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7A2D7E96-6E34-419A-AE5F-296B3A7E7977}"/>
  <workbookPr codeName="ThisWorkbook" defaultThemeVersion="153222"/>
  <mc:AlternateContent xmlns:mc="http://schemas.openxmlformats.org/markup-compatibility/2006">
    <mc:Choice Requires="x15">
      <x15ac:absPath xmlns:x15ac="http://schemas.microsoft.com/office/spreadsheetml/2010/11/ac" url="C:\Users\MarcoPiccoli\Desktop\A.C. Cell\1 - Sito anno 2021\Registro dei Corrispettivi   (44)\"/>
    </mc:Choice>
  </mc:AlternateContent>
  <bookViews>
    <workbookView xWindow="240" yWindow="300" windowWidth="18840" windowHeight="12015" tabRatio="943"/>
  </bookViews>
  <sheets>
    <sheet name="Presentazione" sheetId="16" r:id="rId1"/>
    <sheet name="IMPOSTAZIONI" sheetId="1" r:id="rId2"/>
    <sheet name="GEN" sheetId="2" r:id="rId3"/>
    <sheet name="FEB" sheetId="18" r:id="rId4"/>
    <sheet name="MAR" sheetId="19" r:id="rId5"/>
    <sheet name="APR" sheetId="20" r:id="rId6"/>
    <sheet name="MAG" sheetId="21" r:id="rId7"/>
    <sheet name="GIU" sheetId="22" r:id="rId8"/>
    <sheet name="LUG" sheetId="23" r:id="rId9"/>
    <sheet name="AGO" sheetId="24" r:id="rId10"/>
    <sheet name="SET" sheetId="25" r:id="rId11"/>
    <sheet name="OTT" sheetId="26" r:id="rId12"/>
    <sheet name="NOV" sheetId="27" r:id="rId13"/>
    <sheet name="DIC" sheetId="28" r:id="rId14"/>
    <sheet name="CASSA" sheetId="14" r:id="rId15"/>
    <sheet name="RIEPILOGO" sheetId="29" r:id="rId16"/>
    <sheet name="VERIFICA" sheetId="15" r:id="rId17"/>
    <sheet name="STORICO" sheetId="30" r:id="rId18"/>
    <sheet name="SA.1" sheetId="35" r:id="rId19"/>
    <sheet name="SA.2" sheetId="38" r:id="rId20"/>
  </sheets>
  <definedNames>
    <definedName name="_xlnm._FilterDatabase" localSheetId="14" hidden="1">CASSA!$AY$113:$BC$113</definedName>
    <definedName name="_xlnm._FilterDatabase" localSheetId="1" hidden="1">IMPOSTAZIONI!$E$30:$AF$31</definedName>
    <definedName name="_xlnm._FilterDatabase" localSheetId="0" hidden="1">Presentazione!$C$102:$M$102</definedName>
    <definedName name="_xlnm._FilterDatabase" localSheetId="15" hidden="1">RIEPILOGO!$A$2:$R$66</definedName>
    <definedName name="_xlnm._FilterDatabase" localSheetId="17" hidden="1">STORICO!$C$18:$AL$19</definedName>
    <definedName name="_xlnm._FilterDatabase" localSheetId="16" hidden="1">VERIFICA!#REF!</definedName>
    <definedName name="_xlnm.Print_Area" localSheetId="9">AGO!$C$2:$Q$58,AGO!$C$60:$Q$124,AGO!$C$127:$N$212</definedName>
    <definedName name="_xlnm.Print_Area" localSheetId="5">APR!$C$2:$Q$58,APR!$C$60:$Q$124,APR!$C$127:$N$212</definedName>
    <definedName name="_xlnm.Print_Area" localSheetId="14">CASSA!$B$2:$AE$108</definedName>
    <definedName name="_xlnm.Print_Area" localSheetId="13">DIC!$C$2:$Q$58,DIC!$C$60:$Q$124,DIC!$C$127:$N$212</definedName>
    <definedName name="_xlnm.Print_Area" localSheetId="3">FEB!$C$2:$Q$58,FEB!$C$60:$Q$124,FEB!$C$127:$N$212</definedName>
    <definedName name="_xlnm.Print_Area" localSheetId="2">GEN!$C$2:$Q$58,GEN!$C$60:$Q$124,GEN!$C$127:$N$212</definedName>
    <definedName name="_xlnm.Print_Area" localSheetId="7">GIU!$C$2:$Q$58,GIU!$C$60:$Q$124,GIU!$C$127:$N$212</definedName>
    <definedName name="_xlnm.Print_Area" localSheetId="1">IMPOSTAZIONI!$A$2:$AN$126,IMPOSTAZIONI!$A$427:$AN$455</definedName>
    <definedName name="_xlnm.Print_Area" localSheetId="8">LUG!$C$2:$Q$58,LUG!$C$60:$Q$124,LUG!$C$127:$N$212</definedName>
    <definedName name="_xlnm.Print_Area" localSheetId="6">MAG!$C$2:$Q$58,MAG!$C$60:$Q$124,MAG!$C$127:$N$212</definedName>
    <definedName name="_xlnm.Print_Area" localSheetId="4">MAR!$C$2:$Q$58,MAR!$C$60:$Q$124,MAR!$C$127:$N$212</definedName>
    <definedName name="_xlnm.Print_Area" localSheetId="12">NOV!$C$2:$Q$58,NOV!$C$60:$Q$124,NOV!$C$127:$N$212</definedName>
    <definedName name="_xlnm.Print_Area" localSheetId="11">OTT!$C$2:$Q$58,OTT!$C$60:$Q$124,OTT!$C$127:$N$212</definedName>
    <definedName name="_xlnm.Print_Area" localSheetId="0">Presentazione!$B$2:$N$144</definedName>
    <definedName name="_xlnm.Print_Area" localSheetId="15">RIEPILOGO!$A$2:$T$114,RIEPILOGO!$A$166:$T$190</definedName>
    <definedName name="_xlnm.Print_Area" localSheetId="18">SA.1!$B$1:$O$83</definedName>
    <definedName name="_xlnm.Print_Area" localSheetId="19">SA.2!$B$1:$O$292</definedName>
    <definedName name="_xlnm.Print_Area" localSheetId="10">SET!$C$2:$Q$58,SET!$C$60:$Q$124,SET!$C$127:$N$212</definedName>
    <definedName name="_xlnm.Print_Area" localSheetId="17">STORICO!$B$11:$AM$95</definedName>
    <definedName name="_xlnm.Print_Area" localSheetId="16">VERIFICA!$B$4:$BH$107</definedName>
    <definedName name="_xlnm.Print_Titles" localSheetId="15">RIEPILOGO!$A:$B</definedName>
    <definedName name="_xlnm.Print_Titles" localSheetId="17">STORICO!$B:$I</definedName>
  </definedNames>
  <calcPr calcId="152511"/>
</workbook>
</file>

<file path=xl/calcChain.xml><?xml version="1.0" encoding="utf-8"?>
<calcChain xmlns="http://schemas.openxmlformats.org/spreadsheetml/2006/main">
  <c r="F170" i="16" l="1"/>
  <c r="D170" i="16" s="1"/>
  <c r="AE163" i="16"/>
  <c r="AH163" i="16" s="1"/>
  <c r="AK163" i="16" s="1"/>
  <c r="AN163" i="16" s="1"/>
  <c r="AQ163" i="16" s="1"/>
  <c r="AT163" i="16" s="1"/>
  <c r="AW163" i="16" s="1"/>
  <c r="AZ163" i="16" s="1"/>
  <c r="BC163" i="16" s="1"/>
  <c r="BF163" i="16" s="1"/>
  <c r="H166" i="16"/>
  <c r="C13" i="16"/>
  <c r="G176" i="16"/>
  <c r="F156" i="16"/>
  <c r="AB142" i="30" s="1"/>
  <c r="F77" i="16"/>
  <c r="B165" i="16" s="1"/>
  <c r="K79" i="16"/>
  <c r="G165" i="16" s="1"/>
  <c r="R101" i="2"/>
  <c r="K42" i="2"/>
  <c r="T81" i="2" s="1"/>
  <c r="N42" i="2"/>
  <c r="H170" i="1"/>
  <c r="V8" i="2" s="1"/>
  <c r="V9" i="2" s="1"/>
  <c r="E112" i="14"/>
  <c r="E114" i="14" s="1"/>
  <c r="E484" i="14"/>
  <c r="G484" i="14"/>
  <c r="I484" i="14"/>
  <c r="K484" i="14"/>
  <c r="K159" i="16"/>
  <c r="N387" i="1" s="1"/>
  <c r="L131" i="2"/>
  <c r="C142" i="30"/>
  <c r="B234" i="1"/>
  <c r="A355" i="1" s="1"/>
  <c r="L21" i="1"/>
  <c r="L22" i="1"/>
  <c r="L20" i="1"/>
  <c r="I25" i="1" s="1"/>
  <c r="I24" i="1"/>
  <c r="J12" i="30" s="1"/>
  <c r="J150" i="30" s="1"/>
  <c r="I26" i="1"/>
  <c r="B237" i="1"/>
  <c r="B258" i="1" s="1"/>
  <c r="B402" i="1" s="1"/>
  <c r="B411" i="1" s="1"/>
  <c r="B240" i="1"/>
  <c r="B243" i="1"/>
  <c r="V4" i="2"/>
  <c r="P20" i="1"/>
  <c r="P21" i="1"/>
  <c r="M24" i="1"/>
  <c r="X20" i="1"/>
  <c r="X21" i="1"/>
  <c r="U24" i="1"/>
  <c r="AF20" i="1"/>
  <c r="AF21" i="1"/>
  <c r="AF22" i="1"/>
  <c r="AC24" i="1"/>
  <c r="AC26" i="1"/>
  <c r="K42" i="28"/>
  <c r="N42" i="28"/>
  <c r="C6" i="28"/>
  <c r="C6" i="18"/>
  <c r="E154" i="18" s="1"/>
  <c r="E174" i="14"/>
  <c r="Q174" i="14" s="1"/>
  <c r="N489" i="14"/>
  <c r="P489" i="14"/>
  <c r="R489" i="14"/>
  <c r="T489" i="14"/>
  <c r="L131" i="28"/>
  <c r="G481" i="14"/>
  <c r="J131" i="15"/>
  <c r="J130" i="15"/>
  <c r="J129" i="15"/>
  <c r="J128" i="15"/>
  <c r="J127" i="15"/>
  <c r="K42" i="27"/>
  <c r="N42" i="27"/>
  <c r="C6" i="27"/>
  <c r="E43" i="27" s="1"/>
  <c r="E167" i="27" s="1"/>
  <c r="N488" i="14"/>
  <c r="P488" i="14"/>
  <c r="R488" i="14"/>
  <c r="T488" i="14"/>
  <c r="L131" i="27"/>
  <c r="K42" i="26"/>
  <c r="N42" i="26"/>
  <c r="C6" i="26"/>
  <c r="N487" i="14"/>
  <c r="P487" i="14"/>
  <c r="R487" i="14"/>
  <c r="T487" i="14"/>
  <c r="L131" i="26"/>
  <c r="K42" i="25"/>
  <c r="N42" i="25"/>
  <c r="C6" i="25"/>
  <c r="E43" i="25" s="1"/>
  <c r="E167" i="25" s="1"/>
  <c r="L131" i="25"/>
  <c r="K42" i="24"/>
  <c r="N42" i="24"/>
  <c r="C6" i="24"/>
  <c r="L131" i="24"/>
  <c r="K42" i="23"/>
  <c r="N42" i="23"/>
  <c r="C6" i="23"/>
  <c r="E43" i="23" s="1"/>
  <c r="E167" i="23" s="1"/>
  <c r="L131" i="23"/>
  <c r="K42" i="22"/>
  <c r="N42" i="22"/>
  <c r="C6" i="22"/>
  <c r="L131" i="22"/>
  <c r="H163" i="22"/>
  <c r="K42" i="21"/>
  <c r="N42" i="21"/>
  <c r="C6" i="21"/>
  <c r="E43" i="21" s="1"/>
  <c r="E167" i="21" s="1"/>
  <c r="L131" i="21"/>
  <c r="K42" i="20"/>
  <c r="N42" i="20"/>
  <c r="C6" i="20"/>
  <c r="E43" i="20" s="1"/>
  <c r="E167" i="20" s="1"/>
  <c r="L131" i="20"/>
  <c r="K42" i="19"/>
  <c r="S103" i="19" s="1"/>
  <c r="N42" i="19"/>
  <c r="C6" i="19"/>
  <c r="E43" i="19" s="1"/>
  <c r="E167" i="19" s="1"/>
  <c r="L131" i="19"/>
  <c r="H163" i="19"/>
  <c r="AM26" i="19"/>
  <c r="CJ192" i="14" s="1"/>
  <c r="K42" i="18"/>
  <c r="N42" i="18"/>
  <c r="L131" i="18"/>
  <c r="V4" i="18" s="1"/>
  <c r="E485" i="14"/>
  <c r="G485" i="14"/>
  <c r="I485" i="14"/>
  <c r="K485" i="14"/>
  <c r="AM157" i="30"/>
  <c r="AM161" i="30"/>
  <c r="V4" i="28"/>
  <c r="AK411" i="1"/>
  <c r="H152" i="1"/>
  <c r="L152" i="1"/>
  <c r="P152" i="1"/>
  <c r="T152" i="1"/>
  <c r="AE151" i="1"/>
  <c r="R102" i="2"/>
  <c r="R103" i="2"/>
  <c r="T65" i="2"/>
  <c r="W69" i="2"/>
  <c r="X69" i="2"/>
  <c r="Y69" i="2"/>
  <c r="W70" i="2"/>
  <c r="Z70" i="2" s="1"/>
  <c r="X70" i="2"/>
  <c r="Y70" i="2"/>
  <c r="W71" i="2"/>
  <c r="X71" i="2"/>
  <c r="Y71" i="2"/>
  <c r="T82" i="2"/>
  <c r="W69" i="19"/>
  <c r="X69" i="19"/>
  <c r="Y69" i="19"/>
  <c r="W69" i="22"/>
  <c r="X69" i="22"/>
  <c r="Y69" i="22"/>
  <c r="W69" i="25"/>
  <c r="X69" i="25"/>
  <c r="Y69" i="25"/>
  <c r="W69" i="28"/>
  <c r="X69" i="28"/>
  <c r="Y69" i="28"/>
  <c r="T65" i="28"/>
  <c r="C61" i="28" s="1"/>
  <c r="K87" i="28" s="1"/>
  <c r="J164" i="28" s="1"/>
  <c r="T65" i="27"/>
  <c r="T65" i="26"/>
  <c r="T65" i="25"/>
  <c r="C61" i="25" s="1"/>
  <c r="K87" i="25" s="1"/>
  <c r="J164" i="25" s="1"/>
  <c r="T65" i="24"/>
  <c r="C61" i="24" s="1"/>
  <c r="H89" i="24" s="1"/>
  <c r="T65" i="23"/>
  <c r="T65" i="22"/>
  <c r="T65" i="21"/>
  <c r="C61" i="21" s="1"/>
  <c r="T65" i="20"/>
  <c r="T65" i="19"/>
  <c r="T65" i="18"/>
  <c r="W70" i="19"/>
  <c r="X70" i="19"/>
  <c r="Y70" i="19"/>
  <c r="W70" i="22"/>
  <c r="X70" i="22"/>
  <c r="Y70" i="22"/>
  <c r="W70" i="25"/>
  <c r="X70" i="25"/>
  <c r="Y70" i="25"/>
  <c r="W70" i="28"/>
  <c r="X70" i="28"/>
  <c r="Y70" i="28"/>
  <c r="W71" i="19"/>
  <c r="X71" i="19"/>
  <c r="Y71" i="19"/>
  <c r="W71" i="22"/>
  <c r="X71" i="22"/>
  <c r="Y71" i="22"/>
  <c r="W71" i="25"/>
  <c r="X71" i="25"/>
  <c r="Y71" i="25"/>
  <c r="W71" i="28"/>
  <c r="X71" i="28"/>
  <c r="Y71" i="28"/>
  <c r="H69" i="28"/>
  <c r="AN111" i="14"/>
  <c r="AN112" i="14"/>
  <c r="K62" i="22"/>
  <c r="R81" i="22" s="1"/>
  <c r="S81" i="22" s="1"/>
  <c r="K62" i="20"/>
  <c r="H62" i="18"/>
  <c r="A338" i="1"/>
  <c r="A339" i="1"/>
  <c r="A341" i="1"/>
  <c r="G411" i="1"/>
  <c r="J411" i="1"/>
  <c r="V4" i="19"/>
  <c r="M411" i="1"/>
  <c r="V4" i="20"/>
  <c r="P411" i="1"/>
  <c r="V4" i="21"/>
  <c r="S411" i="1"/>
  <c r="V4" i="22"/>
  <c r="V411" i="1"/>
  <c r="V4" i="23"/>
  <c r="Y411" i="1"/>
  <c r="V4" i="24"/>
  <c r="AB411" i="1"/>
  <c r="V4" i="25"/>
  <c r="AE411" i="1"/>
  <c r="V4" i="26"/>
  <c r="AH411" i="1"/>
  <c r="V4" i="27"/>
  <c r="A308" i="1"/>
  <c r="A309" i="1"/>
  <c r="B2" i="35"/>
  <c r="O2" i="38"/>
  <c r="O2" i="35"/>
  <c r="O56" i="1"/>
  <c r="C56" i="1"/>
  <c r="E491" i="14"/>
  <c r="I491" i="14"/>
  <c r="K134" i="2"/>
  <c r="Z6" i="2"/>
  <c r="H42" i="2"/>
  <c r="G42" i="2"/>
  <c r="L134" i="2"/>
  <c r="L135" i="2"/>
  <c r="C61" i="2"/>
  <c r="O73" i="2" s="1"/>
  <c r="G56" i="1"/>
  <c r="E492" i="14"/>
  <c r="I492" i="14"/>
  <c r="I56" i="1"/>
  <c r="C8" i="18"/>
  <c r="K134" i="18"/>
  <c r="Z6" i="18"/>
  <c r="H42" i="18"/>
  <c r="G42" i="18"/>
  <c r="L134" i="18"/>
  <c r="L135" i="18"/>
  <c r="K62" i="18" s="1"/>
  <c r="C61" i="18"/>
  <c r="O73" i="18" s="1"/>
  <c r="E486" i="14"/>
  <c r="G486" i="14"/>
  <c r="I486" i="14"/>
  <c r="K486" i="14"/>
  <c r="E493" i="14"/>
  <c r="I493" i="14"/>
  <c r="C8" i="19"/>
  <c r="K134" i="19"/>
  <c r="Z6" i="19"/>
  <c r="H42" i="19"/>
  <c r="G42" i="19"/>
  <c r="L134" i="19"/>
  <c r="L135" i="19"/>
  <c r="N62" i="19" s="1"/>
  <c r="C61" i="19"/>
  <c r="N272" i="28" s="1"/>
  <c r="M56" i="1"/>
  <c r="E487" i="14"/>
  <c r="G487" i="14"/>
  <c r="I487" i="14"/>
  <c r="K487" i="14"/>
  <c r="E494" i="14"/>
  <c r="I494" i="14"/>
  <c r="C8" i="20"/>
  <c r="K134" i="20"/>
  <c r="Z6" i="20"/>
  <c r="H42" i="20"/>
  <c r="G42" i="20"/>
  <c r="L134" i="20"/>
  <c r="L135" i="20"/>
  <c r="G62" i="20" s="1"/>
  <c r="E488" i="14"/>
  <c r="G488" i="14"/>
  <c r="I488" i="14"/>
  <c r="K488" i="14"/>
  <c r="E495" i="14"/>
  <c r="I495" i="14"/>
  <c r="E56" i="1"/>
  <c r="C8" i="21"/>
  <c r="K134" i="21"/>
  <c r="Z6" i="21"/>
  <c r="H42" i="21"/>
  <c r="G42" i="21"/>
  <c r="L134" i="21"/>
  <c r="L135" i="21"/>
  <c r="E489" i="14"/>
  <c r="G489" i="14"/>
  <c r="I489" i="14"/>
  <c r="K489" i="14"/>
  <c r="E496" i="14"/>
  <c r="I496" i="14"/>
  <c r="K56" i="1"/>
  <c r="C8" i="22"/>
  <c r="K134" i="22"/>
  <c r="Z6" i="22"/>
  <c r="H42" i="22"/>
  <c r="G42" i="22"/>
  <c r="L134" i="22"/>
  <c r="L135" i="22"/>
  <c r="H62" i="22" s="1"/>
  <c r="H85" i="22" s="1"/>
  <c r="H88" i="22" s="1"/>
  <c r="H163" i="23"/>
  <c r="N484" i="14"/>
  <c r="P484" i="14"/>
  <c r="R484" i="14"/>
  <c r="T484" i="14"/>
  <c r="N491" i="14"/>
  <c r="R491" i="14"/>
  <c r="C8" i="23"/>
  <c r="V8" i="23" s="1"/>
  <c r="V7" i="23" s="1"/>
  <c r="K134" i="23"/>
  <c r="G161" i="23" s="1"/>
  <c r="Z6" i="23"/>
  <c r="H42" i="23"/>
  <c r="G42" i="23"/>
  <c r="L134" i="23"/>
  <c r="L135" i="23"/>
  <c r="G62" i="23" s="1"/>
  <c r="C61" i="23"/>
  <c r="G89" i="23" s="1"/>
  <c r="N485" i="14"/>
  <c r="P485" i="14"/>
  <c r="R485" i="14"/>
  <c r="T485" i="14"/>
  <c r="N492" i="14"/>
  <c r="R492" i="14"/>
  <c r="C8" i="24"/>
  <c r="K134" i="24"/>
  <c r="Z6" i="24"/>
  <c r="H42" i="24"/>
  <c r="G42" i="24"/>
  <c r="L134" i="24"/>
  <c r="L135" i="24"/>
  <c r="H163" i="25"/>
  <c r="N486" i="14"/>
  <c r="P486" i="14"/>
  <c r="R486" i="14"/>
  <c r="T486" i="14"/>
  <c r="N493" i="14"/>
  <c r="R493" i="14"/>
  <c r="C8" i="25"/>
  <c r="K134" i="25"/>
  <c r="Z6" i="25"/>
  <c r="H42" i="25"/>
  <c r="G42" i="25"/>
  <c r="L134" i="25"/>
  <c r="L135" i="25"/>
  <c r="N494" i="14"/>
  <c r="R494" i="14"/>
  <c r="C8" i="26"/>
  <c r="K134" i="26"/>
  <c r="Z6" i="26"/>
  <c r="H42" i="26"/>
  <c r="G42" i="26"/>
  <c r="L134" i="26"/>
  <c r="L135" i="26"/>
  <c r="C61" i="26"/>
  <c r="K89" i="26" s="1"/>
  <c r="N495" i="14"/>
  <c r="R495" i="14"/>
  <c r="C8" i="27"/>
  <c r="K134" i="27"/>
  <c r="Z6" i="27"/>
  <c r="H42" i="27"/>
  <c r="G42" i="27"/>
  <c r="L134" i="27"/>
  <c r="L135" i="27"/>
  <c r="C61" i="27"/>
  <c r="H89" i="27" s="1"/>
  <c r="N496" i="14"/>
  <c r="R496" i="14"/>
  <c r="C8" i="28"/>
  <c r="K134" i="28"/>
  <c r="Z6" i="28"/>
  <c r="H42" i="28"/>
  <c r="G42" i="28"/>
  <c r="L134" i="28"/>
  <c r="L135" i="28"/>
  <c r="I19" i="1"/>
  <c r="H184" i="1"/>
  <c r="H185" i="1"/>
  <c r="H186" i="1"/>
  <c r="C157" i="1"/>
  <c r="D231" i="1"/>
  <c r="D256" i="1"/>
  <c r="D400" i="1" s="1"/>
  <c r="C158" i="1"/>
  <c r="G231" i="1"/>
  <c r="G256" i="1" s="1"/>
  <c r="G400" i="1" s="1"/>
  <c r="C159" i="1"/>
  <c r="C160" i="1"/>
  <c r="M231" i="1" s="1"/>
  <c r="M256" i="1" s="1"/>
  <c r="M400" i="1" s="1"/>
  <c r="C161" i="1"/>
  <c r="C174" i="1" s="1"/>
  <c r="P231" i="1"/>
  <c r="P256" i="1" s="1"/>
  <c r="P400" i="1" s="1"/>
  <c r="C162" i="1"/>
  <c r="S231" i="1"/>
  <c r="S256" i="1"/>
  <c r="S400" i="1" s="1"/>
  <c r="C163" i="1"/>
  <c r="C176" i="1" s="1"/>
  <c r="V231" i="1"/>
  <c r="V256" i="1" s="1"/>
  <c r="V400" i="1" s="1"/>
  <c r="C164" i="1"/>
  <c r="C165" i="1"/>
  <c r="C166" i="1"/>
  <c r="AE231" i="1" s="1"/>
  <c r="AE256" i="1" s="1"/>
  <c r="AE400" i="1"/>
  <c r="C167" i="1"/>
  <c r="AH231" i="1" s="1"/>
  <c r="AH256" i="1" s="1"/>
  <c r="AH400" i="1" s="1"/>
  <c r="C168" i="1"/>
  <c r="AK231" i="1"/>
  <c r="AK256" i="1" s="1"/>
  <c r="AK400" i="1" s="1"/>
  <c r="E193" i="1"/>
  <c r="M19" i="1"/>
  <c r="L192" i="1" s="1"/>
  <c r="N110" i="1"/>
  <c r="W131" i="1"/>
  <c r="U113" i="1"/>
  <c r="C170" i="1"/>
  <c r="C171" i="1"/>
  <c r="C173" i="1"/>
  <c r="G173" i="1"/>
  <c r="C175" i="1"/>
  <c r="C179" i="1"/>
  <c r="C180" i="1"/>
  <c r="C181" i="1"/>
  <c r="B236" i="1"/>
  <c r="B239" i="1"/>
  <c r="B242" i="1"/>
  <c r="B245" i="1"/>
  <c r="B248" i="1"/>
  <c r="AH183" i="1"/>
  <c r="B246" i="1"/>
  <c r="L188" i="1"/>
  <c r="U112" i="1"/>
  <c r="AH185" i="1" s="1"/>
  <c r="Y136" i="1"/>
  <c r="P22" i="1"/>
  <c r="S132" i="1"/>
  <c r="S133" i="1" s="1"/>
  <c r="W132" i="1"/>
  <c r="W133" i="1"/>
  <c r="AD133" i="1" s="1"/>
  <c r="W134" i="1"/>
  <c r="W135" i="1"/>
  <c r="Y135" i="1" s="1"/>
  <c r="R136" i="1"/>
  <c r="AC136" i="1" s="1"/>
  <c r="AD136" i="1"/>
  <c r="M26" i="1"/>
  <c r="E196" i="1"/>
  <c r="H63" i="18"/>
  <c r="E199" i="1"/>
  <c r="N9" i="30"/>
  <c r="M149" i="30" s="1"/>
  <c r="E202" i="1"/>
  <c r="AB184" i="1"/>
  <c r="AE184" i="1"/>
  <c r="R131" i="1"/>
  <c r="AC131" i="1"/>
  <c r="B249" i="1"/>
  <c r="B252" i="1"/>
  <c r="B263" i="1"/>
  <c r="B407" i="1" s="1"/>
  <c r="B416" i="1" s="1"/>
  <c r="AK416" i="1" s="1"/>
  <c r="E205" i="1"/>
  <c r="E208" i="1"/>
  <c r="H63" i="22"/>
  <c r="E211" i="1"/>
  <c r="E214" i="1"/>
  <c r="E217" i="1"/>
  <c r="E220" i="1"/>
  <c r="E223" i="1"/>
  <c r="E226" i="1"/>
  <c r="AH147" i="1"/>
  <c r="H245" i="28"/>
  <c r="AF147" i="1"/>
  <c r="H69" i="2" s="1"/>
  <c r="G76" i="2" s="1"/>
  <c r="H243" i="28"/>
  <c r="AG147" i="1"/>
  <c r="H244" i="28"/>
  <c r="AI147" i="1"/>
  <c r="H246" i="28"/>
  <c r="S66" i="2"/>
  <c r="I70" i="2" s="1"/>
  <c r="S66" i="18"/>
  <c r="W69" i="18"/>
  <c r="X69" i="18"/>
  <c r="Y69" i="18"/>
  <c r="W70" i="18"/>
  <c r="X70" i="18"/>
  <c r="Y70" i="18"/>
  <c r="W71" i="18"/>
  <c r="X71" i="18"/>
  <c r="Y71" i="18"/>
  <c r="S66" i="19"/>
  <c r="H71" i="19"/>
  <c r="S66" i="20"/>
  <c r="W69" i="20"/>
  <c r="X69" i="20"/>
  <c r="Y69" i="20"/>
  <c r="W70" i="20"/>
  <c r="X70" i="20"/>
  <c r="Y70" i="20"/>
  <c r="W71" i="20"/>
  <c r="X71" i="20"/>
  <c r="Y71" i="20"/>
  <c r="H71" i="20"/>
  <c r="S66" i="21"/>
  <c r="W69" i="21"/>
  <c r="X69" i="21"/>
  <c r="Y69" i="21"/>
  <c r="W70" i="21"/>
  <c r="X70" i="21"/>
  <c r="Y70" i="21"/>
  <c r="W71" i="21"/>
  <c r="X71" i="21"/>
  <c r="Y71" i="21"/>
  <c r="H71" i="21"/>
  <c r="I76" i="21" s="1"/>
  <c r="S66" i="22"/>
  <c r="S66" i="23"/>
  <c r="W69" i="23"/>
  <c r="X69" i="23"/>
  <c r="Y69" i="23"/>
  <c r="W70" i="23"/>
  <c r="X70" i="23"/>
  <c r="Y70" i="23"/>
  <c r="W71" i="23"/>
  <c r="X71" i="23"/>
  <c r="Y71" i="23"/>
  <c r="H71" i="23"/>
  <c r="I76" i="23" s="1"/>
  <c r="S66" i="24"/>
  <c r="W69" i="24"/>
  <c r="X69" i="24"/>
  <c r="Y69" i="24"/>
  <c r="W70" i="24"/>
  <c r="X70" i="24"/>
  <c r="Y70" i="24"/>
  <c r="W71" i="24"/>
  <c r="X71" i="24"/>
  <c r="Y71" i="24"/>
  <c r="H71" i="24"/>
  <c r="I76" i="24" s="1"/>
  <c r="S66" i="25"/>
  <c r="H71" i="25"/>
  <c r="I76" i="25" s="1"/>
  <c r="S66" i="26"/>
  <c r="W69" i="26"/>
  <c r="X69" i="26"/>
  <c r="Y69" i="26"/>
  <c r="W70" i="26"/>
  <c r="X70" i="26"/>
  <c r="Y70" i="26"/>
  <c r="W71" i="26"/>
  <c r="X71" i="26"/>
  <c r="Y71" i="26"/>
  <c r="S66" i="27"/>
  <c r="W69" i="27"/>
  <c r="X69" i="27"/>
  <c r="Y69" i="27"/>
  <c r="W70" i="27"/>
  <c r="X70" i="27"/>
  <c r="Y70" i="27"/>
  <c r="W71" i="27"/>
  <c r="X71" i="27"/>
  <c r="Y71" i="27"/>
  <c r="S66" i="28"/>
  <c r="H70" i="19"/>
  <c r="H76" i="19" s="1"/>
  <c r="H70" i="21"/>
  <c r="H76" i="21" s="1"/>
  <c r="H70" i="23"/>
  <c r="H76" i="23" s="1"/>
  <c r="H70" i="25"/>
  <c r="H76" i="25" s="1"/>
  <c r="H70" i="27"/>
  <c r="H76" i="27" s="1"/>
  <c r="H69" i="18"/>
  <c r="G76" i="18"/>
  <c r="H69" i="19"/>
  <c r="G76" i="19" s="1"/>
  <c r="H69" i="20"/>
  <c r="G76" i="20" s="1"/>
  <c r="H69" i="21"/>
  <c r="G76" i="21" s="1"/>
  <c r="H69" i="22"/>
  <c r="H69" i="23"/>
  <c r="G76" i="23" s="1"/>
  <c r="H69" i="24"/>
  <c r="G76" i="24" s="1"/>
  <c r="H69" i="25"/>
  <c r="L69" i="25" s="1"/>
  <c r="H69" i="26"/>
  <c r="G76" i="26" s="1"/>
  <c r="H69" i="27"/>
  <c r="G76" i="27" s="1"/>
  <c r="E163" i="28"/>
  <c r="H260" i="28"/>
  <c r="B32" i="1"/>
  <c r="H65" i="25"/>
  <c r="H65" i="28"/>
  <c r="G112" i="1"/>
  <c r="G113" i="1"/>
  <c r="G114" i="1"/>
  <c r="R132" i="1"/>
  <c r="AC132" i="1" s="1"/>
  <c r="R133" i="1"/>
  <c r="R134" i="1"/>
  <c r="R135" i="1"/>
  <c r="O14" i="1"/>
  <c r="AL14" i="1"/>
  <c r="O9" i="1"/>
  <c r="U114" i="1"/>
  <c r="AH187" i="1"/>
  <c r="AI14" i="30" s="1"/>
  <c r="AG152" i="30" s="1"/>
  <c r="AC19" i="1"/>
  <c r="U19" i="1"/>
  <c r="Q192" i="1" s="1"/>
  <c r="N102" i="1"/>
  <c r="AH106" i="1" s="1"/>
  <c r="U105" i="1"/>
  <c r="U104" i="1"/>
  <c r="AE185" i="1" s="1"/>
  <c r="N94" i="1"/>
  <c r="AH98" i="1" s="1"/>
  <c r="G96" i="1"/>
  <c r="G97" i="1"/>
  <c r="G98" i="1"/>
  <c r="U97" i="1"/>
  <c r="U96" i="1"/>
  <c r="AB185" i="1" s="1"/>
  <c r="G171" i="1"/>
  <c r="AB183" i="1"/>
  <c r="AI218" i="1"/>
  <c r="AD218" i="1" s="1"/>
  <c r="AI214" i="1"/>
  <c r="AD214" i="1" s="1"/>
  <c r="AI203" i="1"/>
  <c r="AD203" i="1" s="1"/>
  <c r="R137" i="1"/>
  <c r="AC137" i="1" s="1"/>
  <c r="S137" i="1"/>
  <c r="W137" i="1"/>
  <c r="U26" i="1"/>
  <c r="P192" i="1"/>
  <c r="X22" i="1"/>
  <c r="R138" i="1"/>
  <c r="R139" i="1"/>
  <c r="R140" i="1"/>
  <c r="AC140" i="1" s="1"/>
  <c r="S140" i="1"/>
  <c r="Y140" i="1" s="1"/>
  <c r="W140" i="1"/>
  <c r="AE183" i="1"/>
  <c r="G104" i="1"/>
  <c r="G105" i="1"/>
  <c r="G106" i="1"/>
  <c r="U98" i="1"/>
  <c r="AB187" i="1"/>
  <c r="AB186" i="1"/>
  <c r="AI9" i="30"/>
  <c r="AG149" i="30" s="1"/>
  <c r="AA9" i="30"/>
  <c r="AA149" i="30"/>
  <c r="H417" i="1"/>
  <c r="K417" i="1" s="1"/>
  <c r="N417" i="1" s="1"/>
  <c r="Q417" i="1" s="1"/>
  <c r="T417" i="1" s="1"/>
  <c r="W417" i="1" s="1"/>
  <c r="Z417" i="1" s="1"/>
  <c r="AC417" i="1" s="1"/>
  <c r="AF417" i="1" s="1"/>
  <c r="AI417" i="1" s="1"/>
  <c r="AL417" i="1" s="1"/>
  <c r="P416" i="1"/>
  <c r="J416" i="1"/>
  <c r="C486" i="15"/>
  <c r="B116" i="15"/>
  <c r="B177" i="29"/>
  <c r="B49" i="29"/>
  <c r="L56" i="18"/>
  <c r="L56" i="19"/>
  <c r="L56" i="20"/>
  <c r="L56" i="21"/>
  <c r="L56" i="22"/>
  <c r="L56" i="23"/>
  <c r="L56" i="24"/>
  <c r="L56" i="25"/>
  <c r="L56" i="26"/>
  <c r="L56" i="27"/>
  <c r="L56" i="28"/>
  <c r="L56" i="2"/>
  <c r="L55" i="18"/>
  <c r="L55" i="19"/>
  <c r="L55" i="20"/>
  <c r="L55" i="21"/>
  <c r="L55" i="22"/>
  <c r="L55" i="23"/>
  <c r="L55" i="24"/>
  <c r="L55" i="25"/>
  <c r="L55" i="26"/>
  <c r="L55" i="27"/>
  <c r="L55" i="28"/>
  <c r="L55" i="2"/>
  <c r="I55" i="18"/>
  <c r="I55" i="19"/>
  <c r="I55" i="20"/>
  <c r="I55" i="21"/>
  <c r="I55" i="22"/>
  <c r="I55" i="23"/>
  <c r="I55" i="24"/>
  <c r="I55" i="25"/>
  <c r="I55" i="26"/>
  <c r="I55" i="27"/>
  <c r="I55" i="28"/>
  <c r="I55" i="2"/>
  <c r="I56" i="18"/>
  <c r="I56" i="19"/>
  <c r="I56" i="20"/>
  <c r="I56" i="21"/>
  <c r="I56" i="22"/>
  <c r="I56" i="23"/>
  <c r="I56" i="24"/>
  <c r="I56" i="25"/>
  <c r="I56" i="26"/>
  <c r="I56" i="27"/>
  <c r="I56" i="28"/>
  <c r="I56" i="2"/>
  <c r="H52" i="18"/>
  <c r="G52" i="18"/>
  <c r="H51" i="18"/>
  <c r="G51" i="18"/>
  <c r="H52" i="19"/>
  <c r="G52" i="19"/>
  <c r="H51" i="19"/>
  <c r="G51" i="19"/>
  <c r="H52" i="20"/>
  <c r="G52" i="20"/>
  <c r="H51" i="20"/>
  <c r="G51" i="20"/>
  <c r="H52" i="21"/>
  <c r="G52" i="21"/>
  <c r="H51" i="21"/>
  <c r="G51" i="21"/>
  <c r="H52" i="22"/>
  <c r="G52" i="22"/>
  <c r="H51" i="22"/>
  <c r="G51" i="22"/>
  <c r="H52" i="23"/>
  <c r="G52" i="23"/>
  <c r="H51" i="23"/>
  <c r="G51" i="23"/>
  <c r="H52" i="24"/>
  <c r="G52" i="24"/>
  <c r="H51" i="24"/>
  <c r="G51" i="24"/>
  <c r="H52" i="25"/>
  <c r="G52" i="25"/>
  <c r="H51" i="25"/>
  <c r="G51" i="25"/>
  <c r="H52" i="26"/>
  <c r="G52" i="26"/>
  <c r="H51" i="26"/>
  <c r="G51" i="26"/>
  <c r="H52" i="27"/>
  <c r="G52" i="27"/>
  <c r="H51" i="27"/>
  <c r="G51" i="27"/>
  <c r="H52" i="28"/>
  <c r="G52" i="28"/>
  <c r="H51" i="28"/>
  <c r="G51" i="28"/>
  <c r="H52" i="2"/>
  <c r="G52" i="2"/>
  <c r="H51" i="2"/>
  <c r="G51" i="2"/>
  <c r="S138" i="1"/>
  <c r="W138" i="1"/>
  <c r="S139" i="1"/>
  <c r="W139" i="1"/>
  <c r="O13" i="1"/>
  <c r="AL13" i="1"/>
  <c r="AD132" i="1"/>
  <c r="O8" i="1"/>
  <c r="AL8" i="1"/>
  <c r="L152" i="28"/>
  <c r="AG137" i="1"/>
  <c r="AG138" i="1"/>
  <c r="AF137" i="1"/>
  <c r="AF138" i="1"/>
  <c r="AH137" i="1"/>
  <c r="AH138" i="1"/>
  <c r="AI137" i="1"/>
  <c r="AI138" i="1"/>
  <c r="AJ137" i="1"/>
  <c r="AJ138" i="1"/>
  <c r="AK137" i="1"/>
  <c r="AK138" i="1"/>
  <c r="AL137" i="1"/>
  <c r="AL138" i="1"/>
  <c r="AP139" i="1"/>
  <c r="AP140" i="1"/>
  <c r="AP141" i="1"/>
  <c r="AP142" i="1"/>
  <c r="AQ142" i="1"/>
  <c r="AR142" i="1" s="1"/>
  <c r="AP143" i="1"/>
  <c r="AQ143" i="1" s="1"/>
  <c r="AR143" i="1" s="1"/>
  <c r="AF139" i="1"/>
  <c r="AG139" i="1"/>
  <c r="AH139" i="1"/>
  <c r="AI139" i="1"/>
  <c r="AJ139" i="1"/>
  <c r="AJ140" i="1"/>
  <c r="AO140" i="1" s="1"/>
  <c r="C128" i="16"/>
  <c r="I85" i="16"/>
  <c r="E157" i="28"/>
  <c r="C308" i="1"/>
  <c r="A316" i="1"/>
  <c r="P91" i="29"/>
  <c r="Q91" i="29"/>
  <c r="C309" i="1"/>
  <c r="C310" i="1"/>
  <c r="C311" i="1"/>
  <c r="C312" i="1"/>
  <c r="C313" i="1"/>
  <c r="C316" i="1"/>
  <c r="E157" i="2"/>
  <c r="C317" i="1"/>
  <c r="E157" i="18"/>
  <c r="E157" i="19"/>
  <c r="E157" i="20"/>
  <c r="E157" i="21"/>
  <c r="E157" i="22"/>
  <c r="E157" i="23"/>
  <c r="E157" i="24"/>
  <c r="E157" i="25"/>
  <c r="E157" i="26"/>
  <c r="E157" i="27"/>
  <c r="L91" i="29"/>
  <c r="M91" i="29"/>
  <c r="H91" i="29"/>
  <c r="I91" i="29"/>
  <c r="D91" i="29"/>
  <c r="E91" i="29"/>
  <c r="C355" i="1"/>
  <c r="A356" i="1"/>
  <c r="A357" i="1"/>
  <c r="A360" i="1"/>
  <c r="A363" i="1"/>
  <c r="C356" i="1"/>
  <c r="C357" i="1"/>
  <c r="C358" i="1"/>
  <c r="C371" i="1" s="1"/>
  <c r="C359" i="1"/>
  <c r="C360" i="1"/>
  <c r="C363" i="1"/>
  <c r="F201" i="29"/>
  <c r="G201" i="29" s="1"/>
  <c r="C116" i="29" s="1"/>
  <c r="K116" i="29" s="1"/>
  <c r="N165" i="29"/>
  <c r="F165" i="29"/>
  <c r="E227" i="1"/>
  <c r="E228" i="1" s="1"/>
  <c r="AL9" i="1"/>
  <c r="H426" i="1"/>
  <c r="K426" i="1" s="1"/>
  <c r="N426" i="1" s="1"/>
  <c r="Q426" i="1"/>
  <c r="T426" i="1" s="1"/>
  <c r="W426" i="1" s="1"/>
  <c r="Z426" i="1" s="1"/>
  <c r="AC426" i="1" s="1"/>
  <c r="AF426" i="1" s="1"/>
  <c r="AI426" i="1" s="1"/>
  <c r="AL426" i="1" s="1"/>
  <c r="AC134" i="1"/>
  <c r="O11" i="1"/>
  <c r="E224" i="1"/>
  <c r="E225" i="1" s="1"/>
  <c r="E218" i="1"/>
  <c r="E219" i="1" s="1"/>
  <c r="E215" i="1"/>
  <c r="E216" i="1" s="1"/>
  <c r="E206" i="1"/>
  <c r="E207" i="1" s="1"/>
  <c r="E203" i="1"/>
  <c r="E204" i="1" s="1"/>
  <c r="H72" i="27"/>
  <c r="K76" i="27"/>
  <c r="K78" i="27" s="1"/>
  <c r="T72" i="27" s="1"/>
  <c r="H72" i="24"/>
  <c r="K76" i="24" s="1"/>
  <c r="K78" i="24"/>
  <c r="K277" i="28" s="1"/>
  <c r="H72" i="23"/>
  <c r="K76" i="23" s="1"/>
  <c r="K78" i="23"/>
  <c r="T72" i="23" s="1"/>
  <c r="H72" i="22"/>
  <c r="K76" i="22" s="1"/>
  <c r="K78" i="22" s="1"/>
  <c r="H72" i="21"/>
  <c r="K76" i="21"/>
  <c r="K78" i="21" s="1"/>
  <c r="H152" i="29" s="1"/>
  <c r="H72" i="20"/>
  <c r="K76" i="20"/>
  <c r="K78" i="20" s="1"/>
  <c r="H72" i="19"/>
  <c r="K76" i="19"/>
  <c r="K78" i="19" s="1"/>
  <c r="H72" i="18"/>
  <c r="K76" i="18" s="1"/>
  <c r="K78" i="18" s="1"/>
  <c r="K271" i="28" s="1"/>
  <c r="A11" i="29"/>
  <c r="A175" i="29" s="1"/>
  <c r="A10" i="29"/>
  <c r="A9" i="29"/>
  <c r="A173" i="29" s="1"/>
  <c r="A8" i="29"/>
  <c r="B8" i="29" s="1"/>
  <c r="A172" i="29"/>
  <c r="R133" i="29"/>
  <c r="F133" i="29"/>
  <c r="G172" i="1"/>
  <c r="AC133" i="1"/>
  <c r="AL10" i="1"/>
  <c r="G174" i="1"/>
  <c r="O10" i="1"/>
  <c r="AE186" i="1"/>
  <c r="U106" i="1"/>
  <c r="AE187" i="1" s="1"/>
  <c r="F200" i="29"/>
  <c r="S101" i="19"/>
  <c r="T101" i="19" s="1"/>
  <c r="R101" i="19"/>
  <c r="S102" i="19"/>
  <c r="T102" i="19" s="1"/>
  <c r="R102" i="19"/>
  <c r="R103" i="19"/>
  <c r="S104" i="19"/>
  <c r="R104" i="19"/>
  <c r="E49" i="29"/>
  <c r="E50" i="29"/>
  <c r="R101" i="18"/>
  <c r="H161" i="18"/>
  <c r="R80" i="18"/>
  <c r="S80" i="18" s="1"/>
  <c r="R81" i="18"/>
  <c r="S81" i="18" s="1"/>
  <c r="S102" i="18"/>
  <c r="T102" i="18" s="1"/>
  <c r="R102" i="18"/>
  <c r="I161" i="18"/>
  <c r="R103" i="18"/>
  <c r="S104" i="18"/>
  <c r="T104" i="18" s="1"/>
  <c r="R104" i="18"/>
  <c r="D49" i="29"/>
  <c r="D50" i="29"/>
  <c r="R104" i="2"/>
  <c r="C49" i="29"/>
  <c r="C50" i="29"/>
  <c r="R101" i="22"/>
  <c r="R102" i="22"/>
  <c r="R103" i="22"/>
  <c r="R104" i="22"/>
  <c r="R80" i="22"/>
  <c r="S80" i="22" s="1"/>
  <c r="I49" i="29"/>
  <c r="I50" i="29"/>
  <c r="R101" i="21"/>
  <c r="S102" i="21"/>
  <c r="R102" i="21"/>
  <c r="R103" i="21"/>
  <c r="R104" i="21"/>
  <c r="H49" i="29"/>
  <c r="H50" i="29"/>
  <c r="R101" i="20"/>
  <c r="G161" i="20"/>
  <c r="R102" i="20"/>
  <c r="R103" i="20"/>
  <c r="S104" i="20"/>
  <c r="R104" i="20"/>
  <c r="R79" i="20"/>
  <c r="S79" i="20" s="1"/>
  <c r="G49" i="29"/>
  <c r="G50" i="29"/>
  <c r="S101" i="25"/>
  <c r="R101" i="25"/>
  <c r="R102" i="25"/>
  <c r="S103" i="25"/>
  <c r="T103" i="25" s="1"/>
  <c r="R103" i="25"/>
  <c r="R104" i="25"/>
  <c r="M49" i="29"/>
  <c r="M50" i="29"/>
  <c r="R101" i="24"/>
  <c r="S102" i="24"/>
  <c r="R102" i="24"/>
  <c r="R103" i="24"/>
  <c r="S104" i="24"/>
  <c r="R104" i="24"/>
  <c r="L49" i="29"/>
  <c r="L50" i="29"/>
  <c r="R101" i="23"/>
  <c r="R102" i="23"/>
  <c r="S103" i="23"/>
  <c r="T103" i="23" s="1"/>
  <c r="R103" i="23"/>
  <c r="R104" i="23"/>
  <c r="K49" i="29"/>
  <c r="K50" i="29"/>
  <c r="R101" i="28"/>
  <c r="R102" i="28"/>
  <c r="R103" i="28"/>
  <c r="R104" i="28"/>
  <c r="Q49" i="29"/>
  <c r="Q50" i="29"/>
  <c r="S101" i="27"/>
  <c r="R101" i="27"/>
  <c r="S102" i="27"/>
  <c r="R102" i="27"/>
  <c r="S103" i="27"/>
  <c r="R103" i="27"/>
  <c r="S104" i="27"/>
  <c r="T104" i="27" s="1"/>
  <c r="R104" i="27"/>
  <c r="P49" i="29"/>
  <c r="P50" i="29"/>
  <c r="R101" i="26"/>
  <c r="R102" i="26"/>
  <c r="R103" i="26"/>
  <c r="R104" i="26"/>
  <c r="O49" i="29"/>
  <c r="O50" i="29"/>
  <c r="T3" i="29"/>
  <c r="G151" i="19"/>
  <c r="G151" i="20"/>
  <c r="G151" i="21"/>
  <c r="G151" i="22"/>
  <c r="G151" i="23"/>
  <c r="G151" i="24"/>
  <c r="G151" i="25"/>
  <c r="G151" i="26"/>
  <c r="G151" i="27"/>
  <c r="G151" i="28"/>
  <c r="M263" i="28"/>
  <c r="H234" i="28"/>
  <c r="G234" i="28"/>
  <c r="K233" i="28"/>
  <c r="H233" i="28"/>
  <c r="H237" i="28"/>
  <c r="B11" i="29"/>
  <c r="B128" i="29" s="1"/>
  <c r="B136" i="29" s="1"/>
  <c r="B144" i="29" s="1"/>
  <c r="B152" i="29" s="1"/>
  <c r="B160" i="29" s="1"/>
  <c r="B9" i="29"/>
  <c r="B126" i="29" s="1"/>
  <c r="B134" i="29" s="1"/>
  <c r="B142" i="29" s="1"/>
  <c r="B150" i="29" s="1"/>
  <c r="B158" i="29" s="1"/>
  <c r="B125" i="29"/>
  <c r="B133" i="29"/>
  <c r="B141" i="29" s="1"/>
  <c r="B149" i="29" s="1"/>
  <c r="B157" i="29" s="1"/>
  <c r="C125" i="29"/>
  <c r="D125" i="29"/>
  <c r="E125" i="29"/>
  <c r="G125" i="29"/>
  <c r="H125" i="29"/>
  <c r="I125" i="29"/>
  <c r="K125" i="29"/>
  <c r="L125" i="29"/>
  <c r="M125" i="29"/>
  <c r="O125" i="29"/>
  <c r="P125" i="29"/>
  <c r="Q125" i="29"/>
  <c r="C126" i="29"/>
  <c r="D126" i="29"/>
  <c r="E126" i="29"/>
  <c r="F126" i="29"/>
  <c r="G126" i="29"/>
  <c r="H126" i="29"/>
  <c r="I126" i="29"/>
  <c r="J126" i="29"/>
  <c r="K126" i="29"/>
  <c r="L126" i="29"/>
  <c r="M126" i="29"/>
  <c r="N126" i="29"/>
  <c r="O126" i="29"/>
  <c r="P126" i="29"/>
  <c r="Q126" i="29"/>
  <c r="R126" i="29"/>
  <c r="C127" i="29"/>
  <c r="D127" i="29"/>
  <c r="E127" i="29"/>
  <c r="G127" i="29"/>
  <c r="H127" i="29"/>
  <c r="I127" i="29"/>
  <c r="K127" i="29"/>
  <c r="L127" i="29"/>
  <c r="M127" i="29"/>
  <c r="O127" i="29"/>
  <c r="P127" i="29"/>
  <c r="Q127" i="29"/>
  <c r="C128" i="29"/>
  <c r="D128" i="29"/>
  <c r="E128" i="29"/>
  <c r="G128" i="29"/>
  <c r="J128" i="29" s="1"/>
  <c r="H128" i="29"/>
  <c r="I128" i="29"/>
  <c r="K128" i="29"/>
  <c r="L128" i="29"/>
  <c r="M128" i="29"/>
  <c r="O128" i="29"/>
  <c r="P128" i="29"/>
  <c r="Q128" i="29"/>
  <c r="R123" i="29"/>
  <c r="N123" i="29"/>
  <c r="H129" i="29"/>
  <c r="J123" i="29"/>
  <c r="C129" i="29"/>
  <c r="F123" i="29"/>
  <c r="C95" i="28"/>
  <c r="S65" i="28"/>
  <c r="G67" i="28"/>
  <c r="S67" i="28" s="1"/>
  <c r="Q122" i="29" s="1"/>
  <c r="C95" i="27"/>
  <c r="C169" i="27" s="1"/>
  <c r="C182" i="27" s="1"/>
  <c r="U65" i="27" s="1"/>
  <c r="T67" i="27" s="1"/>
  <c r="I68" i="27" s="1"/>
  <c r="P132" i="29" s="1"/>
  <c r="G68" i="27"/>
  <c r="P123" i="29" s="1"/>
  <c r="S65" i="27"/>
  <c r="C95" i="26"/>
  <c r="G68" i="26" s="1"/>
  <c r="C169" i="26"/>
  <c r="C182" i="26" s="1"/>
  <c r="U65" i="26" s="1"/>
  <c r="T67" i="26" s="1"/>
  <c r="I68" i="26" s="1"/>
  <c r="O132" i="29" s="1"/>
  <c r="O123" i="29"/>
  <c r="S65" i="26"/>
  <c r="G67" i="26" s="1"/>
  <c r="S67" i="26" s="1"/>
  <c r="O122" i="29" s="1"/>
  <c r="C95" i="25"/>
  <c r="C169" i="25" s="1"/>
  <c r="C182" i="25" s="1"/>
  <c r="U65" i="25" s="1"/>
  <c r="S65" i="25"/>
  <c r="C95" i="24"/>
  <c r="C169" i="24" s="1"/>
  <c r="C182" i="24" s="1"/>
  <c r="U65" i="24" s="1"/>
  <c r="S65" i="24"/>
  <c r="G67" i="24"/>
  <c r="S67" i="24" s="1"/>
  <c r="L122" i="29" s="1"/>
  <c r="C95" i="23"/>
  <c r="C169" i="23" s="1"/>
  <c r="C182" i="23" s="1"/>
  <c r="U65" i="23" s="1"/>
  <c r="T67" i="23" s="1"/>
  <c r="I68" i="23" s="1"/>
  <c r="K132" i="29" s="1"/>
  <c r="G68" i="23"/>
  <c r="K123" i="29" s="1"/>
  <c r="S65" i="23"/>
  <c r="G67" i="23"/>
  <c r="S67" i="23" s="1"/>
  <c r="K122" i="29" s="1"/>
  <c r="C95" i="22"/>
  <c r="S65" i="22"/>
  <c r="G67" i="22" s="1"/>
  <c r="S67" i="22" s="1"/>
  <c r="I122" i="29" s="1"/>
  <c r="C95" i="21"/>
  <c r="C169" i="21" s="1"/>
  <c r="C182" i="21" s="1"/>
  <c r="U65" i="21" s="1"/>
  <c r="S65" i="21"/>
  <c r="C95" i="20"/>
  <c r="C169" i="20" s="1"/>
  <c r="C182" i="20" s="1"/>
  <c r="U65" i="20" s="1"/>
  <c r="T67" i="20" s="1"/>
  <c r="I68" i="20" s="1"/>
  <c r="G132" i="29" s="1"/>
  <c r="S65" i="20"/>
  <c r="C95" i="19"/>
  <c r="S65" i="19"/>
  <c r="G67" i="19" s="1"/>
  <c r="S67" i="19" s="1"/>
  <c r="E122" i="29" s="1"/>
  <c r="S65" i="18"/>
  <c r="G67" i="18"/>
  <c r="S67" i="18" s="1"/>
  <c r="D122" i="29" s="1"/>
  <c r="C95" i="2"/>
  <c r="C169" i="2"/>
  <c r="C182" i="2" s="1"/>
  <c r="U65" i="2" s="1"/>
  <c r="T67" i="2" s="1"/>
  <c r="I68" i="2" s="1"/>
  <c r="C132" i="29" s="1"/>
  <c r="G68" i="2"/>
  <c r="C123" i="29"/>
  <c r="S65" i="2"/>
  <c r="G67" i="2" s="1"/>
  <c r="S67" i="2" s="1"/>
  <c r="C122" i="29" s="1"/>
  <c r="G200" i="29"/>
  <c r="Q115" i="29"/>
  <c r="P115" i="29"/>
  <c r="O115" i="29"/>
  <c r="M115" i="29"/>
  <c r="L115" i="29"/>
  <c r="K115" i="29"/>
  <c r="I115" i="29"/>
  <c r="H115" i="29"/>
  <c r="G115" i="29"/>
  <c r="E115" i="29"/>
  <c r="D115" i="29"/>
  <c r="C115" i="29"/>
  <c r="W72" i="28"/>
  <c r="X72" i="28"/>
  <c r="Y72" i="28"/>
  <c r="W72" i="25"/>
  <c r="X72" i="25"/>
  <c r="Y72" i="25"/>
  <c r="W72" i="22"/>
  <c r="X72" i="22"/>
  <c r="Y72" i="22"/>
  <c r="W72" i="19"/>
  <c r="X72" i="19"/>
  <c r="Y72" i="19"/>
  <c r="Z72" i="19" s="1"/>
  <c r="W72" i="27"/>
  <c r="X72" i="27"/>
  <c r="Y72" i="27"/>
  <c r="W72" i="26"/>
  <c r="X72" i="26"/>
  <c r="Y72" i="26"/>
  <c r="W72" i="24"/>
  <c r="X72" i="24"/>
  <c r="Y72" i="24"/>
  <c r="W72" i="23"/>
  <c r="X72" i="23"/>
  <c r="Y72" i="23"/>
  <c r="W72" i="21"/>
  <c r="X72" i="21"/>
  <c r="Y72" i="21"/>
  <c r="W72" i="20"/>
  <c r="X72" i="20"/>
  <c r="Y72" i="20"/>
  <c r="W72" i="18"/>
  <c r="X72" i="18"/>
  <c r="Y72" i="18"/>
  <c r="W72" i="2"/>
  <c r="X72" i="2"/>
  <c r="Y72" i="2"/>
  <c r="I34" i="1"/>
  <c r="AC34" i="1"/>
  <c r="U34" i="1"/>
  <c r="M34" i="1"/>
  <c r="B95" i="30"/>
  <c r="B80" i="15" s="1"/>
  <c r="B107" i="15" s="1"/>
  <c r="E118" i="15"/>
  <c r="J148" i="15" s="1"/>
  <c r="K154" i="15"/>
  <c r="M148" i="15" s="1"/>
  <c r="K155" i="15"/>
  <c r="N128" i="15"/>
  <c r="J150" i="15"/>
  <c r="AL110" i="14"/>
  <c r="AM109" i="14"/>
  <c r="AM108" i="14"/>
  <c r="K128" i="15"/>
  <c r="E84" i="15"/>
  <c r="T101" i="25"/>
  <c r="AP112" i="14"/>
  <c r="AQ8" i="18"/>
  <c r="AO8" i="18"/>
  <c r="AQ9" i="18"/>
  <c r="AO9" i="18"/>
  <c r="AQ10" i="18"/>
  <c r="AO10" i="18"/>
  <c r="AQ11" i="18"/>
  <c r="AO11" i="18"/>
  <c r="AQ12" i="18"/>
  <c r="AO12" i="18"/>
  <c r="AQ13" i="18"/>
  <c r="AO13" i="18"/>
  <c r="AQ14" i="18"/>
  <c r="AO14" i="18"/>
  <c r="AQ15" i="18"/>
  <c r="AO15" i="18"/>
  <c r="AQ16" i="18"/>
  <c r="AO16" i="18"/>
  <c r="AQ17" i="18"/>
  <c r="AO17" i="18"/>
  <c r="AQ18" i="18"/>
  <c r="AO18" i="18"/>
  <c r="AQ19" i="18"/>
  <c r="AO19" i="18"/>
  <c r="AQ20" i="18"/>
  <c r="AO20" i="18"/>
  <c r="AQ21" i="18"/>
  <c r="AO21" i="18"/>
  <c r="AQ22" i="18"/>
  <c r="AO22" i="18"/>
  <c r="AQ23" i="18"/>
  <c r="AO23" i="18"/>
  <c r="AQ24" i="18"/>
  <c r="AO24" i="18"/>
  <c r="AQ25" i="18"/>
  <c r="AO25" i="18"/>
  <c r="AQ26" i="18"/>
  <c r="AO26" i="18"/>
  <c r="AQ27" i="18"/>
  <c r="AO27" i="18"/>
  <c r="AQ28" i="18"/>
  <c r="AO28" i="18"/>
  <c r="AQ29" i="18"/>
  <c r="AO29" i="18"/>
  <c r="AQ30" i="18"/>
  <c r="AO30" i="18"/>
  <c r="AQ31" i="18"/>
  <c r="AO31" i="18"/>
  <c r="AQ32" i="18"/>
  <c r="AO32" i="18"/>
  <c r="AQ33" i="18"/>
  <c r="AO33" i="18"/>
  <c r="AQ34" i="18"/>
  <c r="AO34" i="18"/>
  <c r="AQ35" i="18"/>
  <c r="AO35" i="18"/>
  <c r="T102" i="21"/>
  <c r="T102" i="24"/>
  <c r="AQ112" i="14"/>
  <c r="CL112" i="14" s="1"/>
  <c r="AN8" i="18"/>
  <c r="AP8" i="18"/>
  <c r="AN9" i="18"/>
  <c r="AP9" i="18"/>
  <c r="AN10" i="18"/>
  <c r="AP10" i="18"/>
  <c r="AN11" i="18"/>
  <c r="AP11" i="18"/>
  <c r="AN12" i="18"/>
  <c r="AP12" i="18"/>
  <c r="AN13" i="18"/>
  <c r="AP13" i="18"/>
  <c r="AN14" i="18"/>
  <c r="AP14" i="18"/>
  <c r="AN15" i="18"/>
  <c r="AP15" i="18"/>
  <c r="AN16" i="18"/>
  <c r="AP16" i="18"/>
  <c r="AN17" i="18"/>
  <c r="AP17" i="18"/>
  <c r="AN18" i="18"/>
  <c r="AP18" i="18"/>
  <c r="AN19" i="18"/>
  <c r="AP19" i="18"/>
  <c r="AN20" i="18"/>
  <c r="AP20" i="18"/>
  <c r="AN21" i="18"/>
  <c r="AP21" i="18"/>
  <c r="AN22" i="18"/>
  <c r="AP22" i="18"/>
  <c r="AN23" i="18"/>
  <c r="AP23" i="18"/>
  <c r="AN24" i="18"/>
  <c r="AP24" i="18"/>
  <c r="AN25" i="18"/>
  <c r="AP25" i="18"/>
  <c r="AN26" i="18"/>
  <c r="AP26" i="18"/>
  <c r="AN27" i="18"/>
  <c r="AP27" i="18"/>
  <c r="AN28" i="18"/>
  <c r="AP28" i="18"/>
  <c r="AN29" i="18"/>
  <c r="AP29" i="18"/>
  <c r="AN30" i="18"/>
  <c r="AP30" i="18"/>
  <c r="AN31" i="18"/>
  <c r="AP31" i="18"/>
  <c r="AN32" i="18"/>
  <c r="AP32" i="18"/>
  <c r="AN33" i="18"/>
  <c r="AP33" i="18"/>
  <c r="AN34" i="18"/>
  <c r="AP34" i="18"/>
  <c r="AN35" i="18"/>
  <c r="AP35" i="18"/>
  <c r="T104" i="20"/>
  <c r="T104" i="24"/>
  <c r="AS112" i="14"/>
  <c r="T79" i="2"/>
  <c r="U79" i="2" s="1"/>
  <c r="T80" i="2"/>
  <c r="U80" i="2" s="1"/>
  <c r="T79" i="18"/>
  <c r="U79" i="18" s="1"/>
  <c r="T80" i="18"/>
  <c r="U80" i="18" s="1"/>
  <c r="T81" i="18"/>
  <c r="U81" i="18" s="1"/>
  <c r="T82" i="18"/>
  <c r="U82" i="18" s="1"/>
  <c r="T79" i="19"/>
  <c r="U79" i="19" s="1"/>
  <c r="T80" i="19"/>
  <c r="U80" i="19" s="1"/>
  <c r="T81" i="19"/>
  <c r="U81" i="19" s="1"/>
  <c r="T82" i="19"/>
  <c r="U82" i="19" s="1"/>
  <c r="T79" i="20"/>
  <c r="U79" i="20" s="1"/>
  <c r="T80" i="20"/>
  <c r="U80" i="20" s="1"/>
  <c r="T81" i="20"/>
  <c r="U81" i="20" s="1"/>
  <c r="T82" i="20"/>
  <c r="U82" i="20" s="1"/>
  <c r="T79" i="21"/>
  <c r="U79" i="21" s="1"/>
  <c r="T80" i="21"/>
  <c r="U80" i="21" s="1"/>
  <c r="T81" i="21"/>
  <c r="U81" i="21" s="1"/>
  <c r="T82" i="21"/>
  <c r="U82" i="21" s="1"/>
  <c r="T79" i="22"/>
  <c r="U79" i="22" s="1"/>
  <c r="T80" i="22"/>
  <c r="U80" i="22" s="1"/>
  <c r="T81" i="22"/>
  <c r="U81" i="22" s="1"/>
  <c r="T82" i="22"/>
  <c r="U82" i="22" s="1"/>
  <c r="T79" i="23"/>
  <c r="U79" i="23" s="1"/>
  <c r="T80" i="23"/>
  <c r="U80" i="23" s="1"/>
  <c r="T81" i="23"/>
  <c r="U81" i="23" s="1"/>
  <c r="T82" i="23"/>
  <c r="U82" i="23" s="1"/>
  <c r="T79" i="24"/>
  <c r="U79" i="24" s="1"/>
  <c r="T80" i="24"/>
  <c r="U80" i="24" s="1"/>
  <c r="T81" i="24"/>
  <c r="U81" i="24" s="1"/>
  <c r="T82" i="24"/>
  <c r="U82" i="24" s="1"/>
  <c r="T79" i="25"/>
  <c r="U79" i="25" s="1"/>
  <c r="T80" i="25"/>
  <c r="U80" i="25" s="1"/>
  <c r="T81" i="25"/>
  <c r="U81" i="25" s="1"/>
  <c r="T82" i="25"/>
  <c r="U82" i="25" s="1"/>
  <c r="AQ355" i="1"/>
  <c r="AQ356" i="1"/>
  <c r="AQ360" i="1"/>
  <c r="AQ363" i="1"/>
  <c r="AQ311" i="1"/>
  <c r="AQ308" i="1"/>
  <c r="BL110" i="14"/>
  <c r="AL11" i="1"/>
  <c r="AQ313" i="1"/>
  <c r="AQ316" i="1"/>
  <c r="AQ317" i="1"/>
  <c r="BK110" i="14"/>
  <c r="C338" i="1"/>
  <c r="A342" i="1"/>
  <c r="A343" i="1"/>
  <c r="A346" i="1"/>
  <c r="AQ338" i="1"/>
  <c r="C339" i="1"/>
  <c r="C340" i="1"/>
  <c r="C341" i="1"/>
  <c r="C342" i="1"/>
  <c r="C343" i="1"/>
  <c r="C346" i="1"/>
  <c r="AQ341" i="1"/>
  <c r="Q140" i="1"/>
  <c r="S141" i="1"/>
  <c r="Y141" i="1" s="1"/>
  <c r="Q141" i="1" s="1"/>
  <c r="S142" i="1"/>
  <c r="Y142" i="1"/>
  <c r="Q142" i="1" s="1"/>
  <c r="S143" i="1"/>
  <c r="Y143" i="1" s="1"/>
  <c r="Q143" i="1" s="1"/>
  <c r="E158" i="2"/>
  <c r="E158" i="18"/>
  <c r="E158" i="19"/>
  <c r="E158" i="20"/>
  <c r="E158" i="21"/>
  <c r="E158" i="22"/>
  <c r="E158" i="23"/>
  <c r="E158" i="24"/>
  <c r="E158" i="25"/>
  <c r="AQ8" i="2"/>
  <c r="AO8" i="2"/>
  <c r="AQ9" i="2"/>
  <c r="AO9" i="2"/>
  <c r="AQ10" i="2"/>
  <c r="AO10" i="2"/>
  <c r="AO11" i="2"/>
  <c r="AQ12" i="2"/>
  <c r="AO12" i="2"/>
  <c r="AQ13" i="2"/>
  <c r="AO13" i="2"/>
  <c r="AQ14" i="2"/>
  <c r="AO14" i="2"/>
  <c r="AQ15" i="2"/>
  <c r="AO15" i="2"/>
  <c r="AQ16" i="2"/>
  <c r="AO16" i="2"/>
  <c r="AQ17" i="2"/>
  <c r="AO17" i="2"/>
  <c r="AQ18" i="2"/>
  <c r="AO18" i="2"/>
  <c r="AQ19" i="2"/>
  <c r="AO19" i="2"/>
  <c r="AO20" i="2"/>
  <c r="AQ21" i="2"/>
  <c r="AO21" i="2"/>
  <c r="AQ22" i="2"/>
  <c r="AO22" i="2"/>
  <c r="AQ23" i="2"/>
  <c r="AO23" i="2"/>
  <c r="AQ24" i="2"/>
  <c r="AO24" i="2"/>
  <c r="AQ25" i="2"/>
  <c r="AO25" i="2"/>
  <c r="AO26" i="2"/>
  <c r="AQ27" i="2"/>
  <c r="AO27" i="2"/>
  <c r="AQ28" i="2"/>
  <c r="AO28" i="2"/>
  <c r="AQ29" i="2"/>
  <c r="AO29" i="2"/>
  <c r="AQ30" i="2"/>
  <c r="AO30" i="2"/>
  <c r="AQ31" i="2"/>
  <c r="AO31" i="2"/>
  <c r="AO32" i="2"/>
  <c r="AQ33" i="2"/>
  <c r="AO33" i="2"/>
  <c r="AQ34" i="2"/>
  <c r="AO34" i="2"/>
  <c r="AQ35" i="2"/>
  <c r="AO35" i="2"/>
  <c r="AQ8" i="19"/>
  <c r="AP8" i="19"/>
  <c r="AQ9" i="19"/>
  <c r="AP9" i="19"/>
  <c r="AQ10" i="19"/>
  <c r="AP10" i="19"/>
  <c r="AQ11" i="19"/>
  <c r="AP11" i="19"/>
  <c r="AQ12" i="19"/>
  <c r="AP12" i="19"/>
  <c r="AQ13" i="19"/>
  <c r="AP13" i="19"/>
  <c r="AQ14" i="19"/>
  <c r="AP14" i="19"/>
  <c r="AQ15" i="19"/>
  <c r="AP15" i="19"/>
  <c r="AQ16" i="19"/>
  <c r="AP16" i="19"/>
  <c r="AQ17" i="19"/>
  <c r="AP17" i="19"/>
  <c r="AQ18" i="19"/>
  <c r="AP18" i="19"/>
  <c r="AQ19" i="19"/>
  <c r="AP19" i="19"/>
  <c r="AQ20" i="19"/>
  <c r="AP20" i="19"/>
  <c r="AQ21" i="19"/>
  <c r="AP21" i="19"/>
  <c r="AQ22" i="19"/>
  <c r="AP22" i="19"/>
  <c r="AQ23" i="19"/>
  <c r="AP23" i="19"/>
  <c r="AQ24" i="19"/>
  <c r="AP24" i="19"/>
  <c r="AQ25" i="19"/>
  <c r="AP25" i="19"/>
  <c r="AQ26" i="19"/>
  <c r="AP26" i="19"/>
  <c r="AQ27" i="19"/>
  <c r="AP27" i="19"/>
  <c r="AQ28" i="19"/>
  <c r="AP28" i="19"/>
  <c r="AQ29" i="19"/>
  <c r="AP29" i="19"/>
  <c r="AQ30" i="19"/>
  <c r="AP30" i="19"/>
  <c r="AQ31" i="19"/>
  <c r="AP31" i="19"/>
  <c r="AQ32" i="19"/>
  <c r="AP32" i="19"/>
  <c r="AQ33" i="19"/>
  <c r="AP33" i="19"/>
  <c r="AQ34" i="19"/>
  <c r="AP34" i="19"/>
  <c r="AQ35" i="19"/>
  <c r="AP35" i="19"/>
  <c r="AP8" i="20"/>
  <c r="AQ8" i="20"/>
  <c r="AO8" i="20"/>
  <c r="AP9" i="20"/>
  <c r="AQ9" i="20"/>
  <c r="AO9" i="20"/>
  <c r="AP10" i="20"/>
  <c r="AQ10" i="20"/>
  <c r="AO10" i="20"/>
  <c r="AP11" i="20"/>
  <c r="AQ11" i="20"/>
  <c r="AO11" i="20"/>
  <c r="AP12" i="20"/>
  <c r="AQ12" i="20"/>
  <c r="AO12" i="20"/>
  <c r="AP13" i="20"/>
  <c r="AQ13" i="20"/>
  <c r="AO13" i="20"/>
  <c r="AP14" i="20"/>
  <c r="AQ14" i="20"/>
  <c r="AO14" i="20"/>
  <c r="AP15" i="20"/>
  <c r="AQ15" i="20"/>
  <c r="AO15" i="20"/>
  <c r="AP16" i="20"/>
  <c r="AQ16" i="20"/>
  <c r="AO16" i="20"/>
  <c r="AP17" i="20"/>
  <c r="AQ17" i="20"/>
  <c r="AO17" i="20"/>
  <c r="AP18" i="20"/>
  <c r="AQ18" i="20"/>
  <c r="AO18" i="20"/>
  <c r="AP19" i="20"/>
  <c r="AQ19" i="20"/>
  <c r="AO19" i="20"/>
  <c r="AP20" i="20"/>
  <c r="AQ20" i="20"/>
  <c r="AO20" i="20"/>
  <c r="AP21" i="20"/>
  <c r="AQ21" i="20"/>
  <c r="AO21" i="20"/>
  <c r="AP22" i="20"/>
  <c r="AQ22" i="20"/>
  <c r="AO22" i="20"/>
  <c r="AP23" i="20"/>
  <c r="AQ23" i="20"/>
  <c r="AO23" i="20"/>
  <c r="AP24" i="20"/>
  <c r="AQ24" i="20"/>
  <c r="AO24" i="20"/>
  <c r="AP25" i="20"/>
  <c r="AQ25" i="20"/>
  <c r="AO25" i="20"/>
  <c r="AP26" i="20"/>
  <c r="AQ26" i="20"/>
  <c r="AO26" i="20"/>
  <c r="AP27" i="20"/>
  <c r="AQ27" i="20"/>
  <c r="AO27" i="20"/>
  <c r="AP28" i="20"/>
  <c r="AQ28" i="20"/>
  <c r="AO28" i="20"/>
  <c r="AP29" i="20"/>
  <c r="AQ29" i="20"/>
  <c r="AO29" i="20"/>
  <c r="AP30" i="20"/>
  <c r="AQ30" i="20"/>
  <c r="AO30" i="20"/>
  <c r="AP31" i="20"/>
  <c r="AQ31" i="20"/>
  <c r="AO31" i="20"/>
  <c r="AP32" i="20"/>
  <c r="AQ32" i="20"/>
  <c r="AO32" i="20"/>
  <c r="AP33" i="20"/>
  <c r="AQ33" i="20"/>
  <c r="AO33" i="20"/>
  <c r="AP34" i="20"/>
  <c r="AQ34" i="20"/>
  <c r="AO34" i="20"/>
  <c r="AP35" i="20"/>
  <c r="AQ35" i="20"/>
  <c r="AO35" i="20"/>
  <c r="AP8" i="21"/>
  <c r="AQ8" i="21"/>
  <c r="AO8" i="21"/>
  <c r="AP9" i="21"/>
  <c r="AQ9" i="21"/>
  <c r="AO9" i="21"/>
  <c r="AP10" i="21"/>
  <c r="AQ10" i="21"/>
  <c r="AO10" i="21"/>
  <c r="AP11" i="21"/>
  <c r="AQ11" i="21"/>
  <c r="AO11" i="21"/>
  <c r="AP12" i="21"/>
  <c r="AQ12" i="21"/>
  <c r="AO12" i="21"/>
  <c r="AP13" i="21"/>
  <c r="AQ13" i="21"/>
  <c r="AO13" i="21"/>
  <c r="AP14" i="21"/>
  <c r="AQ14" i="21"/>
  <c r="AO14" i="21"/>
  <c r="AP15" i="21"/>
  <c r="AQ15" i="21"/>
  <c r="AO15" i="21"/>
  <c r="AP16" i="21"/>
  <c r="AQ16" i="21"/>
  <c r="AO16" i="21"/>
  <c r="AP17" i="21"/>
  <c r="AQ17" i="21"/>
  <c r="AO17" i="21"/>
  <c r="AP18" i="21"/>
  <c r="AQ18" i="21"/>
  <c r="AO18" i="21"/>
  <c r="AP19" i="21"/>
  <c r="AQ19" i="21"/>
  <c r="AO19" i="21"/>
  <c r="AP20" i="21"/>
  <c r="AQ20" i="21"/>
  <c r="AO20" i="21"/>
  <c r="AP21" i="21"/>
  <c r="AQ21" i="21"/>
  <c r="AO21" i="21"/>
  <c r="AP22" i="21"/>
  <c r="AQ22" i="21"/>
  <c r="AO22" i="21"/>
  <c r="AP23" i="21"/>
  <c r="AQ23" i="21"/>
  <c r="AO23" i="21"/>
  <c r="AP24" i="21"/>
  <c r="AQ24" i="21"/>
  <c r="AO24" i="21"/>
  <c r="AP25" i="21"/>
  <c r="AQ25" i="21"/>
  <c r="AO25" i="21"/>
  <c r="AP26" i="21"/>
  <c r="AQ26" i="21"/>
  <c r="AO26" i="21"/>
  <c r="AP27" i="21"/>
  <c r="AQ27" i="21"/>
  <c r="AO27" i="21"/>
  <c r="AP28" i="21"/>
  <c r="AQ28" i="21"/>
  <c r="AO28" i="21"/>
  <c r="AP29" i="21"/>
  <c r="AQ29" i="21"/>
  <c r="AO29" i="21"/>
  <c r="AP30" i="21"/>
  <c r="AQ30" i="21"/>
  <c r="AO30" i="21"/>
  <c r="AP31" i="21"/>
  <c r="AQ31" i="21"/>
  <c r="AO31" i="21"/>
  <c r="AP32" i="21"/>
  <c r="AQ32" i="21"/>
  <c r="AO32" i="21"/>
  <c r="AP33" i="21"/>
  <c r="AQ33" i="21"/>
  <c r="AO33" i="21"/>
  <c r="AP34" i="21"/>
  <c r="AQ34" i="21"/>
  <c r="AO34" i="21"/>
  <c r="AP35" i="21"/>
  <c r="AQ35" i="21"/>
  <c r="AO35" i="21"/>
  <c r="AQ8" i="22"/>
  <c r="AO8" i="22"/>
  <c r="AQ9" i="22"/>
  <c r="AO9" i="22"/>
  <c r="AQ10" i="22"/>
  <c r="AO10" i="22"/>
  <c r="AQ11" i="22"/>
  <c r="AO11" i="22"/>
  <c r="AQ12" i="22"/>
  <c r="AO12" i="22"/>
  <c r="AQ13" i="22"/>
  <c r="AO13" i="22"/>
  <c r="AQ14" i="22"/>
  <c r="AO14" i="22"/>
  <c r="AQ15" i="22"/>
  <c r="AO15" i="22"/>
  <c r="AQ16" i="22"/>
  <c r="AO16" i="22"/>
  <c r="AQ17" i="22"/>
  <c r="AO17" i="22"/>
  <c r="AQ18" i="22"/>
  <c r="AO18" i="22"/>
  <c r="AQ19" i="22"/>
  <c r="AO19" i="22"/>
  <c r="AQ20" i="22"/>
  <c r="AO20" i="22"/>
  <c r="AQ21" i="22"/>
  <c r="AO21" i="22"/>
  <c r="AQ22" i="22"/>
  <c r="AO22" i="22"/>
  <c r="AQ23" i="22"/>
  <c r="AO23" i="22"/>
  <c r="AQ24" i="22"/>
  <c r="AO24" i="22"/>
  <c r="AQ25" i="22"/>
  <c r="AO25" i="22"/>
  <c r="AQ26" i="22"/>
  <c r="AO26" i="22"/>
  <c r="AQ27" i="22"/>
  <c r="AO27" i="22"/>
  <c r="AQ28" i="22"/>
  <c r="AO28" i="22"/>
  <c r="AQ29" i="22"/>
  <c r="AO29" i="22"/>
  <c r="AQ30" i="22"/>
  <c r="AO30" i="22"/>
  <c r="AQ31" i="22"/>
  <c r="AO31" i="22"/>
  <c r="AQ32" i="22"/>
  <c r="AO32" i="22"/>
  <c r="AQ33" i="22"/>
  <c r="AO33" i="22"/>
  <c r="AQ34" i="22"/>
  <c r="AO34" i="22"/>
  <c r="AQ35" i="22"/>
  <c r="AO35" i="22"/>
  <c r="AQ8" i="23"/>
  <c r="AO8" i="23"/>
  <c r="AQ9" i="23"/>
  <c r="AO9" i="23"/>
  <c r="AQ10" i="23"/>
  <c r="AO10" i="23"/>
  <c r="AQ11" i="23"/>
  <c r="AO11" i="23"/>
  <c r="AQ12" i="23"/>
  <c r="AO12" i="23"/>
  <c r="AQ13" i="23"/>
  <c r="AO13" i="23"/>
  <c r="AQ14" i="23"/>
  <c r="AO14" i="23"/>
  <c r="AQ15" i="23"/>
  <c r="AO15" i="23"/>
  <c r="AQ16" i="23"/>
  <c r="AO16" i="23"/>
  <c r="AQ17" i="23"/>
  <c r="AO17" i="23"/>
  <c r="AQ18" i="23"/>
  <c r="AO18" i="23"/>
  <c r="AQ19" i="23"/>
  <c r="AO19" i="23"/>
  <c r="AQ20" i="23"/>
  <c r="AO20" i="23"/>
  <c r="AQ21" i="23"/>
  <c r="AO21" i="23"/>
  <c r="AQ22" i="23"/>
  <c r="AO22" i="23"/>
  <c r="AQ23" i="23"/>
  <c r="AO23" i="23"/>
  <c r="AQ24" i="23"/>
  <c r="AO24" i="23"/>
  <c r="AQ25" i="23"/>
  <c r="AO25" i="23"/>
  <c r="AQ26" i="23"/>
  <c r="AO26" i="23"/>
  <c r="AQ27" i="23"/>
  <c r="AO27" i="23"/>
  <c r="AQ28" i="23"/>
  <c r="AO28" i="23"/>
  <c r="AQ29" i="23"/>
  <c r="AO29" i="23"/>
  <c r="AQ30" i="23"/>
  <c r="AO30" i="23"/>
  <c r="AQ31" i="23"/>
  <c r="AO31" i="23"/>
  <c r="AQ32" i="23"/>
  <c r="AO32" i="23"/>
  <c r="AQ33" i="23"/>
  <c r="AO33" i="23"/>
  <c r="AQ34" i="23"/>
  <c r="AO34" i="23"/>
  <c r="AQ35" i="23"/>
  <c r="AO35" i="23"/>
  <c r="AQ8" i="24"/>
  <c r="AO8" i="24"/>
  <c r="AQ9" i="24"/>
  <c r="AO9" i="24"/>
  <c r="AQ10" i="24"/>
  <c r="AO10" i="24"/>
  <c r="AQ11" i="24"/>
  <c r="AO11" i="24"/>
  <c r="AQ12" i="24"/>
  <c r="AO12" i="24"/>
  <c r="AQ13" i="24"/>
  <c r="AO13" i="24"/>
  <c r="AQ14" i="24"/>
  <c r="AO14" i="24"/>
  <c r="AQ15" i="24"/>
  <c r="AO15" i="24"/>
  <c r="AQ16" i="24"/>
  <c r="AO16" i="24"/>
  <c r="AQ17" i="24"/>
  <c r="AO17" i="24"/>
  <c r="AQ18" i="24"/>
  <c r="AO18" i="24"/>
  <c r="AQ19" i="24"/>
  <c r="AO19" i="24"/>
  <c r="AQ20" i="24"/>
  <c r="AO20" i="24"/>
  <c r="AQ21" i="24"/>
  <c r="AO21" i="24"/>
  <c r="AQ22" i="24"/>
  <c r="AO22" i="24"/>
  <c r="AQ23" i="24"/>
  <c r="AO23" i="24"/>
  <c r="AQ24" i="24"/>
  <c r="AO24" i="24"/>
  <c r="AQ25" i="24"/>
  <c r="AO25" i="24"/>
  <c r="AQ26" i="24"/>
  <c r="AO26" i="24"/>
  <c r="AQ27" i="24"/>
  <c r="AO27" i="24"/>
  <c r="AQ28" i="24"/>
  <c r="AO28" i="24"/>
  <c r="AQ29" i="24"/>
  <c r="AO29" i="24"/>
  <c r="AQ30" i="24"/>
  <c r="AO30" i="24"/>
  <c r="AQ31" i="24"/>
  <c r="AO31" i="24"/>
  <c r="AQ32" i="24"/>
  <c r="AO32" i="24"/>
  <c r="AQ33" i="24"/>
  <c r="AO33" i="24"/>
  <c r="AQ34" i="24"/>
  <c r="AO34" i="24"/>
  <c r="AQ35" i="24"/>
  <c r="AO35" i="24"/>
  <c r="AQ8" i="25"/>
  <c r="AO8" i="25"/>
  <c r="AQ9" i="25"/>
  <c r="AO9" i="25"/>
  <c r="AQ10" i="25"/>
  <c r="AO10" i="25"/>
  <c r="AQ11" i="25"/>
  <c r="AO11" i="25"/>
  <c r="AQ12" i="25"/>
  <c r="AO12" i="25"/>
  <c r="AQ13" i="25"/>
  <c r="AO13" i="25"/>
  <c r="AQ14" i="25"/>
  <c r="AO14" i="25"/>
  <c r="AQ15" i="25"/>
  <c r="AO15" i="25"/>
  <c r="AQ16" i="25"/>
  <c r="AO16" i="25"/>
  <c r="AQ17" i="25"/>
  <c r="AO17" i="25"/>
  <c r="AQ18" i="25"/>
  <c r="AO18" i="25"/>
  <c r="AQ19" i="25"/>
  <c r="AO19" i="25"/>
  <c r="AQ20" i="25"/>
  <c r="AO20" i="25"/>
  <c r="AQ21" i="25"/>
  <c r="AO21" i="25"/>
  <c r="AQ22" i="25"/>
  <c r="AO22" i="25"/>
  <c r="AQ23" i="25"/>
  <c r="AO23" i="25"/>
  <c r="AQ24" i="25"/>
  <c r="AO24" i="25"/>
  <c r="AQ25" i="25"/>
  <c r="AO25" i="25"/>
  <c r="AQ26" i="25"/>
  <c r="AO26" i="25"/>
  <c r="AQ27" i="25"/>
  <c r="AO27" i="25"/>
  <c r="AQ28" i="25"/>
  <c r="AO28" i="25"/>
  <c r="AQ29" i="25"/>
  <c r="AO29" i="25"/>
  <c r="AQ30" i="25"/>
  <c r="AO30" i="25"/>
  <c r="AQ31" i="25"/>
  <c r="AO31" i="25"/>
  <c r="AQ32" i="25"/>
  <c r="AO32" i="25"/>
  <c r="AQ33" i="25"/>
  <c r="AO33" i="25"/>
  <c r="AQ34" i="25"/>
  <c r="AO34" i="25"/>
  <c r="AQ35" i="25"/>
  <c r="AO35" i="25"/>
  <c r="AN8" i="2"/>
  <c r="AP8" i="2"/>
  <c r="AN9" i="2"/>
  <c r="AP9" i="2"/>
  <c r="AN10" i="2"/>
  <c r="AP10" i="2"/>
  <c r="AN12" i="2"/>
  <c r="AP12" i="2"/>
  <c r="AN13" i="2"/>
  <c r="AP13" i="2"/>
  <c r="AN14" i="2"/>
  <c r="AP14" i="2"/>
  <c r="AN15" i="2"/>
  <c r="AP15" i="2"/>
  <c r="AN16" i="2"/>
  <c r="AP16" i="2"/>
  <c r="AN17" i="2"/>
  <c r="AP17" i="2"/>
  <c r="AN18" i="2"/>
  <c r="AP18" i="2"/>
  <c r="AN19" i="2"/>
  <c r="AP19" i="2"/>
  <c r="AN21" i="2"/>
  <c r="AP21" i="2"/>
  <c r="AN22" i="2"/>
  <c r="AP22" i="2"/>
  <c r="AN23" i="2"/>
  <c r="AP23" i="2"/>
  <c r="AN24" i="2"/>
  <c r="AP24" i="2"/>
  <c r="AN25" i="2"/>
  <c r="AP25" i="2"/>
  <c r="AN27" i="2"/>
  <c r="AP27" i="2"/>
  <c r="AN28" i="2"/>
  <c r="AP28" i="2"/>
  <c r="AN29" i="2"/>
  <c r="AP29" i="2"/>
  <c r="AN30" i="2"/>
  <c r="AP30" i="2"/>
  <c r="AN31" i="2"/>
  <c r="AP31" i="2"/>
  <c r="AN33" i="2"/>
  <c r="AP33" i="2"/>
  <c r="AN34" i="2"/>
  <c r="AP34" i="2"/>
  <c r="AN35" i="2"/>
  <c r="AP35" i="2"/>
  <c r="AN8" i="19"/>
  <c r="AO8" i="19"/>
  <c r="AN9" i="19"/>
  <c r="AO9" i="19"/>
  <c r="AN10" i="19"/>
  <c r="AO10" i="19"/>
  <c r="AN11" i="19"/>
  <c r="AO11" i="19"/>
  <c r="AN12" i="19"/>
  <c r="AO12" i="19"/>
  <c r="AN13" i="19"/>
  <c r="AO13" i="19"/>
  <c r="AN14" i="19"/>
  <c r="AO14" i="19"/>
  <c r="AN15" i="19"/>
  <c r="AO15" i="19"/>
  <c r="AN16" i="19"/>
  <c r="AO16" i="19"/>
  <c r="AN17" i="19"/>
  <c r="AO17" i="19"/>
  <c r="AN18" i="19"/>
  <c r="AO18" i="19"/>
  <c r="AN19" i="19"/>
  <c r="AO19" i="19"/>
  <c r="AN20" i="19"/>
  <c r="AO20" i="19"/>
  <c r="AN21" i="19"/>
  <c r="AO21" i="19"/>
  <c r="AN22" i="19"/>
  <c r="AO22" i="19"/>
  <c r="AN23" i="19"/>
  <c r="AO23" i="19"/>
  <c r="AN24" i="19"/>
  <c r="AO24" i="19"/>
  <c r="AN25" i="19"/>
  <c r="AO25" i="19"/>
  <c r="AN26" i="19"/>
  <c r="AO26" i="19"/>
  <c r="AN27" i="19"/>
  <c r="AO27" i="19"/>
  <c r="AN28" i="19"/>
  <c r="AO28" i="19"/>
  <c r="AN29" i="19"/>
  <c r="AO29" i="19"/>
  <c r="AN30" i="19"/>
  <c r="AO30" i="19"/>
  <c r="AN31" i="19"/>
  <c r="AO31" i="19"/>
  <c r="AN32" i="19"/>
  <c r="AO32" i="19"/>
  <c r="AN33" i="19"/>
  <c r="AO33" i="19"/>
  <c r="AN34" i="19"/>
  <c r="AO34" i="19"/>
  <c r="AN35" i="19"/>
  <c r="AO35" i="19"/>
  <c r="AN8" i="20"/>
  <c r="AN9" i="20"/>
  <c r="AN10" i="20"/>
  <c r="AN11" i="20"/>
  <c r="AN12" i="20"/>
  <c r="AN13" i="20"/>
  <c r="AN14" i="20"/>
  <c r="AN15" i="20"/>
  <c r="AN16" i="20"/>
  <c r="AN17" i="20"/>
  <c r="AN18" i="20"/>
  <c r="AN19" i="20"/>
  <c r="AN20" i="20"/>
  <c r="AN21" i="20"/>
  <c r="AN22" i="20"/>
  <c r="AN23" i="20"/>
  <c r="AN24" i="20"/>
  <c r="AN25" i="20"/>
  <c r="AN26" i="20"/>
  <c r="AN27" i="20"/>
  <c r="AN28" i="20"/>
  <c r="AN29" i="20"/>
  <c r="AN30" i="20"/>
  <c r="AN31" i="20"/>
  <c r="AN32" i="20"/>
  <c r="AN33" i="20"/>
  <c r="AN34" i="20"/>
  <c r="AN35" i="20"/>
  <c r="AN8" i="21"/>
  <c r="AN9" i="21"/>
  <c r="AN10" i="21"/>
  <c r="AN11" i="21"/>
  <c r="AN12" i="21"/>
  <c r="AN13" i="21"/>
  <c r="AN14" i="21"/>
  <c r="AN15" i="21"/>
  <c r="AN16" i="21"/>
  <c r="AN17" i="21"/>
  <c r="AN18" i="21"/>
  <c r="AN19" i="21"/>
  <c r="AN20" i="21"/>
  <c r="AN21" i="21"/>
  <c r="AN22" i="21"/>
  <c r="AN23" i="21"/>
  <c r="AN24" i="21"/>
  <c r="AN25" i="21"/>
  <c r="AN26" i="21"/>
  <c r="AN27" i="21"/>
  <c r="AN28" i="21"/>
  <c r="AN29" i="21"/>
  <c r="AN30" i="21"/>
  <c r="AN31" i="21"/>
  <c r="AN32" i="21"/>
  <c r="AN33" i="21"/>
  <c r="AN34" i="21"/>
  <c r="AN35" i="21"/>
  <c r="AN8" i="22"/>
  <c r="AN9" i="22"/>
  <c r="AP9" i="22"/>
  <c r="AN10" i="22"/>
  <c r="AN11" i="22"/>
  <c r="AP11" i="22"/>
  <c r="AN12" i="22"/>
  <c r="AN13" i="22"/>
  <c r="AP13" i="22"/>
  <c r="AN14" i="22"/>
  <c r="AN15" i="22"/>
  <c r="AP15" i="22"/>
  <c r="AN16" i="22"/>
  <c r="AN17" i="22"/>
  <c r="AP17" i="22"/>
  <c r="AN18" i="22"/>
  <c r="AN19" i="22"/>
  <c r="AP19" i="22"/>
  <c r="AN20" i="22"/>
  <c r="AN21" i="22"/>
  <c r="AP21" i="22"/>
  <c r="AN22" i="22"/>
  <c r="AN23" i="22"/>
  <c r="AP23" i="22"/>
  <c r="AN24" i="22"/>
  <c r="AN25" i="22"/>
  <c r="AP25" i="22"/>
  <c r="AN26" i="22"/>
  <c r="AN27" i="22"/>
  <c r="AP27" i="22"/>
  <c r="AN28" i="22"/>
  <c r="AN29" i="22"/>
  <c r="AP29" i="22"/>
  <c r="AN30" i="22"/>
  <c r="AN31" i="22"/>
  <c r="AP31" i="22"/>
  <c r="AN32" i="22"/>
  <c r="AN33" i="22"/>
  <c r="AP33" i="22"/>
  <c r="AN34" i="22"/>
  <c r="AN35" i="22"/>
  <c r="AP35" i="22"/>
  <c r="AN8" i="23"/>
  <c r="AN9" i="23"/>
  <c r="AP9" i="23"/>
  <c r="AN10" i="23"/>
  <c r="AN11" i="23"/>
  <c r="AP11" i="23"/>
  <c r="AN12" i="23"/>
  <c r="AN13" i="23"/>
  <c r="AP13" i="23"/>
  <c r="AN14" i="23"/>
  <c r="AN15" i="23"/>
  <c r="AP15" i="23"/>
  <c r="AN16" i="23"/>
  <c r="AN17" i="23"/>
  <c r="AP17" i="23"/>
  <c r="AN18" i="23"/>
  <c r="AN19" i="23"/>
  <c r="AP19" i="23"/>
  <c r="AN20" i="23"/>
  <c r="AN21" i="23"/>
  <c r="AP21" i="23"/>
  <c r="AN22" i="23"/>
  <c r="AN23" i="23"/>
  <c r="AP23" i="23"/>
  <c r="AN24" i="23"/>
  <c r="AN25" i="23"/>
  <c r="AP25" i="23"/>
  <c r="AN26" i="23"/>
  <c r="AN27" i="23"/>
  <c r="AP27" i="23"/>
  <c r="AN28" i="23"/>
  <c r="AN29" i="23"/>
  <c r="AP29" i="23"/>
  <c r="AN30" i="23"/>
  <c r="AN31" i="23"/>
  <c r="AP31" i="23"/>
  <c r="AN32" i="23"/>
  <c r="AN33" i="23"/>
  <c r="AP33" i="23"/>
  <c r="AN34" i="23"/>
  <c r="AN35" i="23"/>
  <c r="AP35" i="23"/>
  <c r="AN8" i="24"/>
  <c r="AP8" i="24"/>
  <c r="AN9" i="24"/>
  <c r="AP9" i="24"/>
  <c r="AN10" i="24"/>
  <c r="AP10" i="24"/>
  <c r="AN11" i="24"/>
  <c r="AP11" i="24"/>
  <c r="AN12" i="24"/>
  <c r="AP12" i="24"/>
  <c r="AN13" i="24"/>
  <c r="AP13" i="24"/>
  <c r="AN14" i="24"/>
  <c r="AP14" i="24"/>
  <c r="AN15" i="24"/>
  <c r="AP15" i="24"/>
  <c r="AN16" i="24"/>
  <c r="AP16" i="24"/>
  <c r="AN17" i="24"/>
  <c r="AP17" i="24"/>
  <c r="AN18" i="24"/>
  <c r="AP18" i="24"/>
  <c r="AN19" i="24"/>
  <c r="AP19" i="24"/>
  <c r="AN20" i="24"/>
  <c r="AP20" i="24"/>
  <c r="AN21" i="24"/>
  <c r="AP21" i="24"/>
  <c r="AN22" i="24"/>
  <c r="AP22" i="24"/>
  <c r="AN23" i="24"/>
  <c r="AP23" i="24"/>
  <c r="AN24" i="24"/>
  <c r="AP24" i="24"/>
  <c r="AN25" i="24"/>
  <c r="AP25" i="24"/>
  <c r="AN26" i="24"/>
  <c r="AP26" i="24"/>
  <c r="AN27" i="24"/>
  <c r="AP27" i="24"/>
  <c r="AN28" i="24"/>
  <c r="AP28" i="24"/>
  <c r="AN29" i="24"/>
  <c r="AP29" i="24"/>
  <c r="AN30" i="24"/>
  <c r="AP30" i="24"/>
  <c r="AN31" i="24"/>
  <c r="AP31" i="24"/>
  <c r="AN32" i="24"/>
  <c r="AP32" i="24"/>
  <c r="AN33" i="24"/>
  <c r="AP33" i="24"/>
  <c r="AN34" i="24"/>
  <c r="AP34" i="24"/>
  <c r="AN35" i="24"/>
  <c r="AP35" i="24"/>
  <c r="AN8" i="25"/>
  <c r="AP8" i="25"/>
  <c r="AN9" i="25"/>
  <c r="AP9" i="25"/>
  <c r="AN10" i="25"/>
  <c r="AP10" i="25"/>
  <c r="AN11" i="25"/>
  <c r="AP11" i="25"/>
  <c r="AN12" i="25"/>
  <c r="AP12" i="25"/>
  <c r="AN13" i="25"/>
  <c r="AP13" i="25"/>
  <c r="AN14" i="25"/>
  <c r="AP14" i="25"/>
  <c r="AN15" i="25"/>
  <c r="AP15" i="25"/>
  <c r="AN16" i="25"/>
  <c r="AP16" i="25"/>
  <c r="AN17" i="25"/>
  <c r="AP17" i="25"/>
  <c r="AN18" i="25"/>
  <c r="AP18" i="25"/>
  <c r="AN19" i="25"/>
  <c r="AP19" i="25"/>
  <c r="AN20" i="25"/>
  <c r="AP20" i="25"/>
  <c r="AN21" i="25"/>
  <c r="AP21" i="25"/>
  <c r="AN22" i="25"/>
  <c r="AP22" i="25"/>
  <c r="AN23" i="25"/>
  <c r="AP23" i="25"/>
  <c r="AN24" i="25"/>
  <c r="AP24" i="25"/>
  <c r="AN25" i="25"/>
  <c r="AP25" i="25"/>
  <c r="AN26" i="25"/>
  <c r="AP26" i="25"/>
  <c r="AN27" i="25"/>
  <c r="AP27" i="25"/>
  <c r="AN28" i="25"/>
  <c r="AP28" i="25"/>
  <c r="AN29" i="25"/>
  <c r="AP29" i="25"/>
  <c r="AN30" i="25"/>
  <c r="AP30" i="25"/>
  <c r="AN31" i="25"/>
  <c r="AP31" i="25"/>
  <c r="AN32" i="25"/>
  <c r="AP32" i="25"/>
  <c r="AN33" i="25"/>
  <c r="AP33" i="25"/>
  <c r="AN34" i="25"/>
  <c r="AP34" i="25"/>
  <c r="AN35" i="25"/>
  <c r="AP35" i="25"/>
  <c r="C170" i="29"/>
  <c r="G170" i="29"/>
  <c r="H170" i="29"/>
  <c r="L170" i="29"/>
  <c r="M170" i="29"/>
  <c r="P170" i="29"/>
  <c r="Q170" i="29"/>
  <c r="D177" i="29"/>
  <c r="E177" i="29"/>
  <c r="H177" i="29"/>
  <c r="I177" i="29"/>
  <c r="L177" i="29"/>
  <c r="M177" i="29"/>
  <c r="P177" i="29"/>
  <c r="Q177" i="29"/>
  <c r="T79" i="27"/>
  <c r="U79" i="27" s="1"/>
  <c r="T80" i="27"/>
  <c r="U80" i="27" s="1"/>
  <c r="T81" i="27"/>
  <c r="U81" i="27" s="1"/>
  <c r="T82" i="27"/>
  <c r="U82" i="27" s="1"/>
  <c r="T79" i="28"/>
  <c r="U79" i="28" s="1"/>
  <c r="T80" i="28"/>
  <c r="U80" i="28"/>
  <c r="T82" i="28"/>
  <c r="U82" i="28" s="1"/>
  <c r="T79" i="26"/>
  <c r="U79" i="26" s="1"/>
  <c r="T81" i="26"/>
  <c r="U81" i="26" s="1"/>
  <c r="T82" i="26"/>
  <c r="U82" i="26"/>
  <c r="R97" i="28"/>
  <c r="R98" i="28"/>
  <c r="CQ112" i="14"/>
  <c r="S97" i="27"/>
  <c r="R97" i="27"/>
  <c r="T97" i="27" s="1"/>
  <c r="R97" i="26"/>
  <c r="S97" i="25"/>
  <c r="R97" i="25"/>
  <c r="S97" i="24"/>
  <c r="R97" i="24"/>
  <c r="S97" i="23"/>
  <c r="R97" i="23"/>
  <c r="R97" i="22"/>
  <c r="S97" i="21"/>
  <c r="R97" i="21"/>
  <c r="S97" i="20"/>
  <c r="R97" i="20"/>
  <c r="T97" i="20"/>
  <c r="S97" i="19"/>
  <c r="T97" i="19" s="1"/>
  <c r="R97" i="19"/>
  <c r="S97" i="18"/>
  <c r="T97" i="18" s="1"/>
  <c r="R97" i="18"/>
  <c r="S97" i="2"/>
  <c r="R97" i="2"/>
  <c r="T97" i="2"/>
  <c r="C104" i="18"/>
  <c r="AW6" i="18" s="1"/>
  <c r="C102" i="18"/>
  <c r="C101" i="18"/>
  <c r="AT6" i="18" s="1"/>
  <c r="C104" i="19"/>
  <c r="AW6" i="19" s="1"/>
  <c r="C102" i="19"/>
  <c r="AU6" i="19" s="1"/>
  <c r="C101" i="19"/>
  <c r="AT6" i="19"/>
  <c r="C104" i="20"/>
  <c r="AW6" i="20" s="1"/>
  <c r="C102" i="20"/>
  <c r="C101" i="20"/>
  <c r="AT6" i="20" s="1"/>
  <c r="C104" i="21"/>
  <c r="AW6" i="21" s="1"/>
  <c r="C102" i="21"/>
  <c r="AU6" i="21" s="1"/>
  <c r="C101" i="21"/>
  <c r="AT6" i="21"/>
  <c r="C104" i="22"/>
  <c r="AW6" i="22" s="1"/>
  <c r="C102" i="22"/>
  <c r="C101" i="22"/>
  <c r="AT6" i="22" s="1"/>
  <c r="C104" i="23"/>
  <c r="AW6" i="23" s="1"/>
  <c r="C102" i="23"/>
  <c r="AU6" i="23" s="1"/>
  <c r="C101" i="23"/>
  <c r="AT6" i="23"/>
  <c r="C104" i="24"/>
  <c r="AW6" i="24" s="1"/>
  <c r="C102" i="24"/>
  <c r="C101" i="24"/>
  <c r="AT6" i="24" s="1"/>
  <c r="C104" i="25"/>
  <c r="AW6" i="25" s="1"/>
  <c r="C102" i="25"/>
  <c r="AU6" i="25" s="1"/>
  <c r="C101" i="25"/>
  <c r="AT6" i="25"/>
  <c r="C104" i="26"/>
  <c r="AW6" i="26" s="1"/>
  <c r="C102" i="26"/>
  <c r="C101" i="26"/>
  <c r="AT6" i="26" s="1"/>
  <c r="C104" i="27"/>
  <c r="AW6" i="27" s="1"/>
  <c r="C102" i="27"/>
  <c r="AU6" i="27" s="1"/>
  <c r="C101" i="27"/>
  <c r="AT6" i="27"/>
  <c r="C104" i="28"/>
  <c r="AW6" i="28" s="1"/>
  <c r="C102" i="28"/>
  <c r="C101" i="28"/>
  <c r="AT6" i="28" s="1"/>
  <c r="C104" i="2"/>
  <c r="AW6" i="2" s="1"/>
  <c r="C102" i="2"/>
  <c r="AU6" i="2" s="1"/>
  <c r="C101" i="2"/>
  <c r="AT6" i="2"/>
  <c r="T104" i="19"/>
  <c r="T103" i="19"/>
  <c r="T103" i="27"/>
  <c r="T102" i="27"/>
  <c r="T101" i="27"/>
  <c r="C27" i="15"/>
  <c r="C93" i="15" s="1"/>
  <c r="C26" i="15"/>
  <c r="C92" i="15" s="1"/>
  <c r="C25" i="15"/>
  <c r="C91" i="15" s="1"/>
  <c r="C23" i="15"/>
  <c r="C89" i="15" s="1"/>
  <c r="C22" i="15"/>
  <c r="C88" i="15" s="1"/>
  <c r="C20" i="15"/>
  <c r="C86" i="15" s="1"/>
  <c r="C19" i="15"/>
  <c r="C85" i="15" s="1"/>
  <c r="AO38" i="28"/>
  <c r="AO37" i="28"/>
  <c r="AN37" i="28"/>
  <c r="AQ37" i="28"/>
  <c r="AO36" i="28"/>
  <c r="AN36" i="28"/>
  <c r="AQ36" i="28"/>
  <c r="AO35" i="28"/>
  <c r="AN35" i="28"/>
  <c r="AQ35" i="28"/>
  <c r="AO34" i="28"/>
  <c r="AN34" i="28"/>
  <c r="AQ34" i="28"/>
  <c r="AO33" i="28"/>
  <c r="AN33" i="28"/>
  <c r="AQ33" i="28"/>
  <c r="AO32" i="28"/>
  <c r="AN32" i="28"/>
  <c r="AQ32" i="28"/>
  <c r="AO31" i="28"/>
  <c r="AN31" i="28"/>
  <c r="AQ31" i="28"/>
  <c r="AO30" i="28"/>
  <c r="AN30" i="28"/>
  <c r="AQ30" i="28"/>
  <c r="AO29" i="28"/>
  <c r="AN29" i="28"/>
  <c r="AQ29" i="28"/>
  <c r="AO28" i="28"/>
  <c r="AN28" i="28"/>
  <c r="AQ28" i="28"/>
  <c r="AO27" i="28"/>
  <c r="AN27" i="28"/>
  <c r="AQ27" i="28"/>
  <c r="AO26" i="28"/>
  <c r="AN26" i="28"/>
  <c r="AQ26" i="28"/>
  <c r="AO25" i="28"/>
  <c r="AN25" i="28"/>
  <c r="AQ25" i="28"/>
  <c r="AO24" i="28"/>
  <c r="AN24" i="28"/>
  <c r="AQ24" i="28"/>
  <c r="AO23" i="28"/>
  <c r="AN23" i="28"/>
  <c r="AQ23" i="28"/>
  <c r="AO22" i="28"/>
  <c r="AN22" i="28"/>
  <c r="AQ22" i="28"/>
  <c r="AO21" i="28"/>
  <c r="AN21" i="28"/>
  <c r="AQ21" i="28"/>
  <c r="AO20" i="28"/>
  <c r="AN20" i="28"/>
  <c r="AQ20" i="28"/>
  <c r="AO19" i="28"/>
  <c r="AN19" i="28"/>
  <c r="AQ19" i="28"/>
  <c r="AO18" i="28"/>
  <c r="AN18" i="28"/>
  <c r="AQ18" i="28"/>
  <c r="AO17" i="28"/>
  <c r="AN17" i="28"/>
  <c r="AQ17" i="28"/>
  <c r="AO16" i="28"/>
  <c r="AN16" i="28"/>
  <c r="AQ16" i="28"/>
  <c r="AO15" i="28"/>
  <c r="AN15" i="28"/>
  <c r="AQ15" i="28"/>
  <c r="AO14" i="28"/>
  <c r="AN14" i="28"/>
  <c r="AQ14" i="28"/>
  <c r="AO13" i="28"/>
  <c r="AN13" i="28"/>
  <c r="AQ13" i="28"/>
  <c r="AO12" i="28"/>
  <c r="AN12" i="28"/>
  <c r="AQ12" i="28"/>
  <c r="AO11" i="28"/>
  <c r="AN11" i="28"/>
  <c r="AQ11" i="28"/>
  <c r="AO10" i="28"/>
  <c r="AN10" i="28"/>
  <c r="AQ10" i="28"/>
  <c r="AO9" i="28"/>
  <c r="AN9" i="28"/>
  <c r="AQ9" i="28"/>
  <c r="AO8" i="28"/>
  <c r="AN8" i="28"/>
  <c r="AQ8" i="28"/>
  <c r="AO37" i="27"/>
  <c r="AN37" i="27"/>
  <c r="AP37" i="27"/>
  <c r="AQ37" i="27"/>
  <c r="AO36" i="27"/>
  <c r="AN36" i="27"/>
  <c r="AP36" i="27"/>
  <c r="AQ36" i="27"/>
  <c r="AO35" i="27"/>
  <c r="AN35" i="27"/>
  <c r="AP35" i="27"/>
  <c r="AQ35" i="27"/>
  <c r="AO34" i="27"/>
  <c r="AN34" i="27"/>
  <c r="AP34" i="27"/>
  <c r="AQ34" i="27"/>
  <c r="AO33" i="27"/>
  <c r="AN33" i="27"/>
  <c r="AP33" i="27"/>
  <c r="AQ33" i="27"/>
  <c r="AO32" i="27"/>
  <c r="AN32" i="27"/>
  <c r="AP32" i="27"/>
  <c r="AQ32" i="27"/>
  <c r="AO31" i="27"/>
  <c r="AN31" i="27"/>
  <c r="AP31" i="27"/>
  <c r="AQ31" i="27"/>
  <c r="AO30" i="27"/>
  <c r="AN30" i="27"/>
  <c r="AP30" i="27"/>
  <c r="AQ30" i="27"/>
  <c r="AO29" i="27"/>
  <c r="AN29" i="27"/>
  <c r="AP29" i="27"/>
  <c r="AQ29" i="27"/>
  <c r="AO28" i="27"/>
  <c r="AN28" i="27"/>
  <c r="AP28" i="27"/>
  <c r="AQ28" i="27"/>
  <c r="AO27" i="27"/>
  <c r="AN27" i="27"/>
  <c r="AP27" i="27"/>
  <c r="AQ27" i="27"/>
  <c r="AO26" i="27"/>
  <c r="AN26" i="27"/>
  <c r="AP26" i="27"/>
  <c r="AQ26" i="27"/>
  <c r="AO25" i="27"/>
  <c r="AN25" i="27"/>
  <c r="AP25" i="27"/>
  <c r="AQ25" i="27"/>
  <c r="AO24" i="27"/>
  <c r="AN24" i="27"/>
  <c r="AP24" i="27"/>
  <c r="AQ24" i="27"/>
  <c r="AO23" i="27"/>
  <c r="AN23" i="27"/>
  <c r="AP23" i="27"/>
  <c r="AQ23" i="27"/>
  <c r="AO22" i="27"/>
  <c r="AN22" i="27"/>
  <c r="AP22" i="27"/>
  <c r="AQ22" i="27"/>
  <c r="AO21" i="27"/>
  <c r="AN21" i="27"/>
  <c r="AP21" i="27"/>
  <c r="AQ21" i="27"/>
  <c r="AO20" i="27"/>
  <c r="AN20" i="27"/>
  <c r="AP20" i="27"/>
  <c r="AQ20" i="27"/>
  <c r="AO19" i="27"/>
  <c r="AN19" i="27"/>
  <c r="AP19" i="27"/>
  <c r="AQ19" i="27"/>
  <c r="AO18" i="27"/>
  <c r="AN18" i="27"/>
  <c r="AP18" i="27"/>
  <c r="AQ18" i="27"/>
  <c r="AO17" i="27"/>
  <c r="AN17" i="27"/>
  <c r="AP17" i="27"/>
  <c r="AQ17" i="27"/>
  <c r="AO16" i="27"/>
  <c r="AN16" i="27"/>
  <c r="AP16" i="27"/>
  <c r="AQ16" i="27"/>
  <c r="AO15" i="27"/>
  <c r="AN15" i="27"/>
  <c r="AP15" i="27"/>
  <c r="AQ15" i="27"/>
  <c r="AO14" i="27"/>
  <c r="AN14" i="27"/>
  <c r="AP14" i="27"/>
  <c r="AQ14" i="27"/>
  <c r="AO13" i="27"/>
  <c r="AN13" i="27"/>
  <c r="AP13" i="27"/>
  <c r="AQ13" i="27"/>
  <c r="AO12" i="27"/>
  <c r="AN12" i="27"/>
  <c r="AP12" i="27"/>
  <c r="AQ12" i="27"/>
  <c r="AO11" i="27"/>
  <c r="AN11" i="27"/>
  <c r="AP11" i="27"/>
  <c r="AQ11" i="27"/>
  <c r="AO10" i="27"/>
  <c r="AN10" i="27"/>
  <c r="AP10" i="27"/>
  <c r="AQ10" i="27"/>
  <c r="AO9" i="27"/>
  <c r="AN9" i="27"/>
  <c r="AP9" i="27"/>
  <c r="AQ9" i="27"/>
  <c r="AO8" i="27"/>
  <c r="AN8" i="27"/>
  <c r="AP8" i="27"/>
  <c r="AQ8" i="27"/>
  <c r="AO38" i="26"/>
  <c r="AN38" i="26"/>
  <c r="AP38" i="26"/>
  <c r="AQ38" i="26"/>
  <c r="AO37" i="26"/>
  <c r="AN37" i="26"/>
  <c r="AP37" i="26"/>
  <c r="AQ37" i="26"/>
  <c r="AO36" i="26"/>
  <c r="AN36" i="26"/>
  <c r="AP36" i="26"/>
  <c r="AQ36" i="26"/>
  <c r="AO35" i="26"/>
  <c r="AN35" i="26"/>
  <c r="AP35" i="26"/>
  <c r="AQ35" i="26"/>
  <c r="AO34" i="26"/>
  <c r="AN34" i="26"/>
  <c r="AP34" i="26"/>
  <c r="AQ34" i="26"/>
  <c r="AO33" i="26"/>
  <c r="AN33" i="26"/>
  <c r="AP33" i="26"/>
  <c r="AQ33" i="26"/>
  <c r="AO32" i="26"/>
  <c r="AN32" i="26"/>
  <c r="AP32" i="26"/>
  <c r="AQ32" i="26"/>
  <c r="AO31" i="26"/>
  <c r="AN31" i="26"/>
  <c r="AP31" i="26"/>
  <c r="AQ31" i="26"/>
  <c r="AO30" i="26"/>
  <c r="AN30" i="26"/>
  <c r="AP30" i="26"/>
  <c r="AQ30" i="26"/>
  <c r="AO29" i="26"/>
  <c r="AN29" i="26"/>
  <c r="AP29" i="26"/>
  <c r="AQ29" i="26"/>
  <c r="AO28" i="26"/>
  <c r="AN28" i="26"/>
  <c r="AP28" i="26"/>
  <c r="AQ28" i="26"/>
  <c r="AO27" i="26"/>
  <c r="AN27" i="26"/>
  <c r="AP27" i="26"/>
  <c r="AQ27" i="26"/>
  <c r="AO26" i="26"/>
  <c r="AN26" i="26"/>
  <c r="AP26" i="26"/>
  <c r="AQ26" i="26"/>
  <c r="AO25" i="26"/>
  <c r="AN25" i="26"/>
  <c r="AP25" i="26"/>
  <c r="AQ25" i="26"/>
  <c r="AO24" i="26"/>
  <c r="AN24" i="26"/>
  <c r="AP24" i="26"/>
  <c r="AQ24" i="26"/>
  <c r="AO23" i="26"/>
  <c r="AN23" i="26"/>
  <c r="AP23" i="26"/>
  <c r="AQ23" i="26"/>
  <c r="AO22" i="26"/>
  <c r="AN22" i="26"/>
  <c r="AP22" i="26"/>
  <c r="AQ22" i="26"/>
  <c r="AO21" i="26"/>
  <c r="AN21" i="26"/>
  <c r="AP21" i="26"/>
  <c r="AQ21" i="26"/>
  <c r="AO20" i="26"/>
  <c r="AN20" i="26"/>
  <c r="AP20" i="26"/>
  <c r="AQ20" i="26"/>
  <c r="AO19" i="26"/>
  <c r="AN19" i="26"/>
  <c r="AP19" i="26"/>
  <c r="AQ19" i="26"/>
  <c r="AO18" i="26"/>
  <c r="AN18" i="26"/>
  <c r="AP18" i="26"/>
  <c r="AQ18" i="26"/>
  <c r="AO17" i="26"/>
  <c r="AN17" i="26"/>
  <c r="AP17" i="26"/>
  <c r="AQ17" i="26"/>
  <c r="AO16" i="26"/>
  <c r="AN16" i="26"/>
  <c r="AP16" i="26"/>
  <c r="AQ16" i="26"/>
  <c r="AO15" i="26"/>
  <c r="AN15" i="26"/>
  <c r="AP15" i="26"/>
  <c r="AQ15" i="26"/>
  <c r="AO14" i="26"/>
  <c r="AN14" i="26"/>
  <c r="AP14" i="26"/>
  <c r="AQ14" i="26"/>
  <c r="AO13" i="26"/>
  <c r="AN13" i="26"/>
  <c r="AP13" i="26"/>
  <c r="AQ13" i="26"/>
  <c r="AO12" i="26"/>
  <c r="AN12" i="26"/>
  <c r="AP12" i="26"/>
  <c r="AQ12" i="26"/>
  <c r="AO11" i="26"/>
  <c r="AN11" i="26"/>
  <c r="AP11" i="26"/>
  <c r="AQ11" i="26"/>
  <c r="AO10" i="26"/>
  <c r="AN10" i="26"/>
  <c r="AP10" i="26"/>
  <c r="AQ10" i="26"/>
  <c r="AO9" i="26"/>
  <c r="AN9" i="26"/>
  <c r="AP9" i="26"/>
  <c r="AQ9" i="26"/>
  <c r="AO8" i="26"/>
  <c r="AN8" i="26"/>
  <c r="AP8" i="26"/>
  <c r="AQ8" i="26"/>
  <c r="AO37" i="25"/>
  <c r="AN37" i="25"/>
  <c r="AP37" i="25"/>
  <c r="AQ37" i="25"/>
  <c r="AO36" i="25"/>
  <c r="AN36" i="25"/>
  <c r="AP36" i="25"/>
  <c r="AQ36" i="25"/>
  <c r="AO38" i="24"/>
  <c r="AN38" i="24"/>
  <c r="AP38" i="24"/>
  <c r="AQ38" i="24"/>
  <c r="AO37" i="24"/>
  <c r="AN37" i="24"/>
  <c r="AP37" i="24"/>
  <c r="AQ37" i="24"/>
  <c r="AO36" i="24"/>
  <c r="AN36" i="24"/>
  <c r="AP36" i="24"/>
  <c r="AQ36" i="24"/>
  <c r="AO38" i="23"/>
  <c r="AN38" i="23"/>
  <c r="AQ38" i="23"/>
  <c r="AO37" i="23"/>
  <c r="AN37" i="23"/>
  <c r="AQ37" i="23"/>
  <c r="AO36" i="23"/>
  <c r="AN36" i="23"/>
  <c r="AQ36" i="23"/>
  <c r="AO37" i="22"/>
  <c r="AN37" i="22"/>
  <c r="AQ37" i="22"/>
  <c r="AO36" i="22"/>
  <c r="AN36" i="22"/>
  <c r="AQ36" i="22"/>
  <c r="AO38" i="21"/>
  <c r="AN38" i="21"/>
  <c r="AP38" i="21"/>
  <c r="AQ38" i="21"/>
  <c r="AO37" i="21"/>
  <c r="AN37" i="21"/>
  <c r="AP37" i="21"/>
  <c r="AQ37" i="21"/>
  <c r="AO36" i="21"/>
  <c r="AN36" i="21"/>
  <c r="AP36" i="21"/>
  <c r="AQ36" i="21"/>
  <c r="AO37" i="20"/>
  <c r="AN37" i="20"/>
  <c r="AP37" i="20"/>
  <c r="AQ37" i="20"/>
  <c r="AO36" i="20"/>
  <c r="AN36" i="20"/>
  <c r="AP36" i="20"/>
  <c r="AQ36" i="20"/>
  <c r="AN38" i="19"/>
  <c r="AO38" i="19"/>
  <c r="AP38" i="19"/>
  <c r="AQ38" i="19"/>
  <c r="AN37" i="19"/>
  <c r="AO37" i="19"/>
  <c r="AP37" i="19"/>
  <c r="AQ37" i="19"/>
  <c r="AN36" i="19"/>
  <c r="AO36" i="19"/>
  <c r="AP36" i="19"/>
  <c r="AQ36" i="19"/>
  <c r="AN36" i="18"/>
  <c r="AO36" i="18"/>
  <c r="AP36" i="18"/>
  <c r="AQ36" i="18"/>
  <c r="AO38" i="2"/>
  <c r="AO37" i="2"/>
  <c r="AN37" i="2"/>
  <c r="AP37" i="2"/>
  <c r="AQ37" i="2"/>
  <c r="AO36" i="2"/>
  <c r="AN36" i="2"/>
  <c r="AP36" i="2"/>
  <c r="AQ36" i="2"/>
  <c r="R98" i="18"/>
  <c r="R98" i="19"/>
  <c r="R96" i="19" s="1"/>
  <c r="R98" i="20"/>
  <c r="R96" i="20" s="1"/>
  <c r="R98" i="21"/>
  <c r="R96" i="21" s="1"/>
  <c r="R98" i="22"/>
  <c r="R96" i="22" s="1"/>
  <c r="R98" i="23"/>
  <c r="R98" i="24"/>
  <c r="R96" i="24" s="1"/>
  <c r="R98" i="25"/>
  <c r="R96" i="25" s="1"/>
  <c r="R98" i="26"/>
  <c r="R96" i="26" s="1"/>
  <c r="R98" i="27"/>
  <c r="R98" i="2"/>
  <c r="R96" i="2" s="1"/>
  <c r="AK6" i="18"/>
  <c r="AH6" i="18"/>
  <c r="AK6" i="19"/>
  <c r="AI6" i="19"/>
  <c r="AH6" i="19"/>
  <c r="AK6" i="20"/>
  <c r="AK6" i="21"/>
  <c r="AI6" i="21"/>
  <c r="AH6" i="21"/>
  <c r="AH6" i="22"/>
  <c r="AK6" i="23"/>
  <c r="AI6" i="23"/>
  <c r="AH6" i="23"/>
  <c r="AH6" i="24"/>
  <c r="AK6" i="25"/>
  <c r="AI6" i="25"/>
  <c r="AH6" i="25"/>
  <c r="AK6" i="26"/>
  <c r="AH6" i="26"/>
  <c r="AK6" i="27"/>
  <c r="AI6" i="27"/>
  <c r="AH6" i="27"/>
  <c r="AK6" i="28"/>
  <c r="AK6" i="2"/>
  <c r="AI6" i="2"/>
  <c r="AH6" i="2"/>
  <c r="D10" i="14"/>
  <c r="AI111" i="14"/>
  <c r="AI112" i="14"/>
  <c r="L114" i="14"/>
  <c r="L121" i="14" s="1"/>
  <c r="AG110" i="14"/>
  <c r="AG111" i="14"/>
  <c r="D45" i="15"/>
  <c r="K131" i="15"/>
  <c r="E18" i="15"/>
  <c r="E58" i="15" s="1"/>
  <c r="D44" i="15"/>
  <c r="E44" i="15"/>
  <c r="H113" i="15"/>
  <c r="E123" i="15" s="1"/>
  <c r="B135" i="15"/>
  <c r="AC32" i="1"/>
  <c r="F186" i="29" s="1"/>
  <c r="N186" i="29" s="1"/>
  <c r="U32" i="1"/>
  <c r="E186" i="29" s="1"/>
  <c r="M186" i="29" s="1"/>
  <c r="M32" i="1"/>
  <c r="D186" i="29" s="1"/>
  <c r="L186" i="29" s="1"/>
  <c r="I32" i="1"/>
  <c r="C186" i="29" s="1"/>
  <c r="K186" i="29" s="1"/>
  <c r="F188" i="29"/>
  <c r="N188" i="29" s="1"/>
  <c r="E188" i="29"/>
  <c r="D188" i="29"/>
  <c r="C188" i="29"/>
  <c r="E158" i="26"/>
  <c r="E158" i="27"/>
  <c r="E158" i="28"/>
  <c r="M188" i="29"/>
  <c r="L188" i="29"/>
  <c r="G85" i="20"/>
  <c r="G88" i="20" s="1"/>
  <c r="N61" i="20"/>
  <c r="K81" i="20"/>
  <c r="K61" i="20"/>
  <c r="I81" i="20" s="1"/>
  <c r="H61" i="20"/>
  <c r="H81" i="20" s="1"/>
  <c r="G73" i="20"/>
  <c r="L72" i="20"/>
  <c r="L69" i="20"/>
  <c r="N61" i="21"/>
  <c r="K81" i="21" s="1"/>
  <c r="K61" i="21"/>
  <c r="I81" i="21" s="1"/>
  <c r="H61" i="21"/>
  <c r="H81" i="21" s="1"/>
  <c r="E163" i="21"/>
  <c r="G73" i="21"/>
  <c r="L72" i="21"/>
  <c r="L71" i="21"/>
  <c r="L70" i="21"/>
  <c r="L69" i="21"/>
  <c r="N61" i="22"/>
  <c r="K81" i="22" s="1"/>
  <c r="K61" i="22"/>
  <c r="I81" i="22" s="1"/>
  <c r="H61" i="22"/>
  <c r="H81" i="22" s="1"/>
  <c r="G61" i="22"/>
  <c r="G81" i="22" s="1"/>
  <c r="G73" i="22"/>
  <c r="L72" i="22"/>
  <c r="L69" i="22"/>
  <c r="G85" i="23"/>
  <c r="G88" i="23" s="1"/>
  <c r="N61" i="23"/>
  <c r="K81" i="23" s="1"/>
  <c r="K61" i="23"/>
  <c r="I81" i="23" s="1"/>
  <c r="H61" i="23"/>
  <c r="H81" i="23" s="1"/>
  <c r="G61" i="23"/>
  <c r="G81" i="23" s="1"/>
  <c r="G73" i="23"/>
  <c r="L72" i="23"/>
  <c r="L71" i="23"/>
  <c r="L70" i="23"/>
  <c r="L69" i="23"/>
  <c r="N61" i="24"/>
  <c r="K81" i="24" s="1"/>
  <c r="K61" i="24"/>
  <c r="I81" i="24" s="1"/>
  <c r="H61" i="24"/>
  <c r="H81" i="24" s="1"/>
  <c r="G73" i="24"/>
  <c r="L72" i="24"/>
  <c r="L71" i="24"/>
  <c r="L69" i="24"/>
  <c r="N61" i="25"/>
  <c r="K81" i="25" s="1"/>
  <c r="K61" i="25"/>
  <c r="I81" i="25" s="1"/>
  <c r="H61" i="25"/>
  <c r="H81" i="25" s="1"/>
  <c r="G73" i="25"/>
  <c r="L71" i="25"/>
  <c r="L70" i="25"/>
  <c r="N61" i="26"/>
  <c r="K81" i="26" s="1"/>
  <c r="K61" i="26"/>
  <c r="I81" i="26" s="1"/>
  <c r="H61" i="26"/>
  <c r="H81" i="26" s="1"/>
  <c r="G73" i="26"/>
  <c r="L69" i="26"/>
  <c r="N61" i="27"/>
  <c r="K81" i="27" s="1"/>
  <c r="K61" i="27"/>
  <c r="I81" i="27" s="1"/>
  <c r="H61" i="27"/>
  <c r="H81" i="27" s="1"/>
  <c r="G73" i="27"/>
  <c r="L72" i="27"/>
  <c r="L70" i="27"/>
  <c r="L69" i="27"/>
  <c r="N61" i="28"/>
  <c r="K81" i="28" s="1"/>
  <c r="K61" i="28"/>
  <c r="I81" i="28" s="1"/>
  <c r="H61" i="28"/>
  <c r="H81" i="28" s="1"/>
  <c r="G61" i="28"/>
  <c r="G81" i="28" s="1"/>
  <c r="G73" i="28"/>
  <c r="K85" i="19"/>
  <c r="K88" i="19" s="1"/>
  <c r="N61" i="19"/>
  <c r="K81" i="19" s="1"/>
  <c r="K61" i="19"/>
  <c r="I81" i="19" s="1"/>
  <c r="H61" i="19"/>
  <c r="H81" i="19" s="1"/>
  <c r="G73" i="19"/>
  <c r="L72" i="19"/>
  <c r="L70" i="19"/>
  <c r="L69" i="19"/>
  <c r="H85" i="18"/>
  <c r="H88" i="18" s="1"/>
  <c r="I85" i="18"/>
  <c r="I88" i="18" s="1"/>
  <c r="N61" i="18"/>
  <c r="K81" i="18" s="1"/>
  <c r="K61" i="18"/>
  <c r="I81" i="18" s="1"/>
  <c r="H61" i="18"/>
  <c r="H81" i="18" s="1"/>
  <c r="G73" i="18"/>
  <c r="L72" i="18"/>
  <c r="L69" i="18"/>
  <c r="N61" i="2"/>
  <c r="K81" i="2"/>
  <c r="K61" i="2"/>
  <c r="I81" i="2" s="1"/>
  <c r="H61" i="2"/>
  <c r="H81" i="2"/>
  <c r="J6" i="2"/>
  <c r="J45" i="2" s="1"/>
  <c r="E163" i="2"/>
  <c r="G73" i="2"/>
  <c r="L69" i="2"/>
  <c r="C107" i="30"/>
  <c r="C105" i="30"/>
  <c r="C102" i="30"/>
  <c r="AR261" i="1"/>
  <c r="E41" i="1"/>
  <c r="E40" i="1"/>
  <c r="E39" i="1"/>
  <c r="E38" i="1"/>
  <c r="K152" i="18"/>
  <c r="K152" i="19"/>
  <c r="K152" i="20"/>
  <c r="K152" i="21"/>
  <c r="K152" i="22"/>
  <c r="K152" i="23"/>
  <c r="K152" i="24"/>
  <c r="K152" i="25"/>
  <c r="K152" i="26"/>
  <c r="K152" i="27"/>
  <c r="K152" i="28"/>
  <c r="K152" i="2"/>
  <c r="N182" i="29"/>
  <c r="M182" i="29"/>
  <c r="L182" i="29"/>
  <c r="K182" i="29"/>
  <c r="C167" i="29"/>
  <c r="K167" i="29" s="1"/>
  <c r="D258" i="1"/>
  <c r="D299" i="1" s="1"/>
  <c r="AR260" i="1"/>
  <c r="AR259" i="1"/>
  <c r="AR258" i="1"/>
  <c r="AR257" i="1"/>
  <c r="F187" i="29"/>
  <c r="N187" i="29" s="1"/>
  <c r="E187" i="29"/>
  <c r="M187" i="29" s="1"/>
  <c r="D187" i="29"/>
  <c r="L187" i="29"/>
  <c r="C187" i="29"/>
  <c r="K187" i="29" s="1"/>
  <c r="F185" i="29"/>
  <c r="N185" i="29"/>
  <c r="E185" i="29"/>
  <c r="M185" i="29" s="1"/>
  <c r="D185" i="29"/>
  <c r="L185" i="29"/>
  <c r="C185" i="29"/>
  <c r="K185" i="29" s="1"/>
  <c r="F183" i="29"/>
  <c r="N183" i="29"/>
  <c r="E183" i="29"/>
  <c r="M183" i="29" s="1"/>
  <c r="D183" i="29"/>
  <c r="L183" i="29" s="1"/>
  <c r="C183" i="29"/>
  <c r="K183" i="29" s="1"/>
  <c r="B175" i="29"/>
  <c r="B173" i="29"/>
  <c r="B172" i="29"/>
  <c r="C197" i="29"/>
  <c r="B14" i="29" s="1"/>
  <c r="Q121" i="29"/>
  <c r="P121" i="29"/>
  <c r="O121" i="29"/>
  <c r="M121" i="29"/>
  <c r="L121" i="29"/>
  <c r="K121" i="29"/>
  <c r="I121" i="29"/>
  <c r="H121" i="29"/>
  <c r="G121" i="29"/>
  <c r="E121" i="29"/>
  <c r="D121" i="29"/>
  <c r="C121" i="29"/>
  <c r="AJ86" i="14"/>
  <c r="AJ85" i="14"/>
  <c r="AJ84" i="14"/>
  <c r="K58" i="14"/>
  <c r="H58" i="14"/>
  <c r="Q56" i="14"/>
  <c r="C376" i="1"/>
  <c r="C375" i="1"/>
  <c r="C374" i="1"/>
  <c r="C373" i="1"/>
  <c r="C372" i="1"/>
  <c r="C370" i="1"/>
  <c r="C369" i="1"/>
  <c r="C368" i="1"/>
  <c r="C347" i="1"/>
  <c r="C333" i="1"/>
  <c r="C332" i="1"/>
  <c r="C331" i="1"/>
  <c r="C330" i="1"/>
  <c r="C329" i="1"/>
  <c r="C328" i="1"/>
  <c r="C326" i="1"/>
  <c r="C325" i="1"/>
  <c r="C324" i="1"/>
  <c r="B299" i="1"/>
  <c r="B304" i="1"/>
  <c r="B392" i="1"/>
  <c r="B397" i="1"/>
  <c r="C16" i="30"/>
  <c r="C55" i="30" s="1"/>
  <c r="C215" i="2"/>
  <c r="C215" i="18"/>
  <c r="E224" i="18" s="1"/>
  <c r="C216" i="18"/>
  <c r="E225" i="18" s="1"/>
  <c r="C217" i="18"/>
  <c r="C215" i="19"/>
  <c r="C216" i="19"/>
  <c r="E225" i="19" s="1"/>
  <c r="C217" i="19"/>
  <c r="E226" i="19" s="1"/>
  <c r="C215" i="20"/>
  <c r="C216" i="20"/>
  <c r="E225" i="20" s="1"/>
  <c r="C217" i="20"/>
  <c r="E226" i="20" s="1"/>
  <c r="C215" i="21"/>
  <c r="C216" i="21"/>
  <c r="C217" i="21"/>
  <c r="C215" i="22"/>
  <c r="E224" i="22" s="1"/>
  <c r="C216" i="22"/>
  <c r="E225" i="22" s="1"/>
  <c r="C217" i="22"/>
  <c r="C215" i="23"/>
  <c r="E224" i="23" s="1"/>
  <c r="C216" i="23"/>
  <c r="C217" i="23"/>
  <c r="E226" i="23" s="1"/>
  <c r="C215" i="24"/>
  <c r="C216" i="24"/>
  <c r="E225" i="24" s="1"/>
  <c r="C217" i="24"/>
  <c r="E226" i="24" s="1"/>
  <c r="C215" i="25"/>
  <c r="C216" i="25"/>
  <c r="C217" i="25"/>
  <c r="C215" i="26"/>
  <c r="E224" i="26" s="1"/>
  <c r="C216" i="26"/>
  <c r="C217" i="26"/>
  <c r="C215" i="27"/>
  <c r="C216" i="27"/>
  <c r="E225" i="27" s="1"/>
  <c r="C217" i="27"/>
  <c r="E226" i="27" s="1"/>
  <c r="C215" i="28"/>
  <c r="C216" i="28"/>
  <c r="E225" i="28" s="1"/>
  <c r="C217" i="28"/>
  <c r="E226" i="28" s="1"/>
  <c r="C217" i="2"/>
  <c r="E226" i="2" s="1"/>
  <c r="C216" i="2"/>
  <c r="E225" i="2" s="1"/>
  <c r="E224" i="2"/>
  <c r="E226" i="18"/>
  <c r="E224" i="19"/>
  <c r="E224" i="20"/>
  <c r="E226" i="21"/>
  <c r="E225" i="21"/>
  <c r="E226" i="22"/>
  <c r="E225" i="23"/>
  <c r="E224" i="24"/>
  <c r="E226" i="25"/>
  <c r="E225" i="25"/>
  <c r="E226" i="26"/>
  <c r="E225" i="26"/>
  <c r="E224" i="28"/>
  <c r="E224" i="27"/>
  <c r="B126" i="15"/>
  <c r="B124" i="15"/>
  <c r="B125" i="15"/>
  <c r="B127" i="15"/>
  <c r="B128" i="15"/>
  <c r="B129" i="15"/>
  <c r="B130" i="15"/>
  <c r="B131" i="15"/>
  <c r="B132" i="15"/>
  <c r="B133" i="15"/>
  <c r="B134" i="15"/>
  <c r="F61" i="14"/>
  <c r="F62" i="14"/>
  <c r="F63" i="14"/>
  <c r="F64" i="14"/>
  <c r="F65" i="14"/>
  <c r="F66" i="14"/>
  <c r="F67" i="14"/>
  <c r="AI73" i="14"/>
  <c r="AL73" i="14"/>
  <c r="AL74" i="14"/>
  <c r="AI77" i="14"/>
  <c r="AL77" i="14"/>
  <c r="AJ87" i="14"/>
  <c r="D88" i="14"/>
  <c r="Z105" i="14"/>
  <c r="N59" i="1"/>
  <c r="AF59" i="1" s="1"/>
  <c r="Q98" i="30"/>
  <c r="O142" i="30"/>
  <c r="W2" i="30" s="1"/>
  <c r="AO111" i="14"/>
  <c r="AO112" i="14"/>
  <c r="X485" i="14"/>
  <c r="E162" i="18"/>
  <c r="T17" i="29"/>
  <c r="C151" i="30" s="1"/>
  <c r="AI10" i="30"/>
  <c r="R141" i="1"/>
  <c r="AC141" i="1" s="1"/>
  <c r="R142" i="1"/>
  <c r="AC142" i="1" s="1"/>
  <c r="R143" i="1"/>
  <c r="AA10" i="30"/>
  <c r="N10" i="30"/>
  <c r="AK409" i="1"/>
  <c r="AK418" i="1"/>
  <c r="AH409" i="1"/>
  <c r="AH418" i="1" s="1"/>
  <c r="AE409" i="1"/>
  <c r="AE418" i="1"/>
  <c r="V409" i="1"/>
  <c r="V418" i="1" s="1"/>
  <c r="S409" i="1"/>
  <c r="S418" i="1"/>
  <c r="P409" i="1"/>
  <c r="P418" i="1" s="1"/>
  <c r="M409" i="1"/>
  <c r="M418" i="1" s="1"/>
  <c r="G409" i="1"/>
  <c r="G418" i="1"/>
  <c r="D409" i="1"/>
  <c r="D418" i="1" s="1"/>
  <c r="E98" i="30"/>
  <c r="F98" i="30"/>
  <c r="H116" i="30"/>
  <c r="AI12" i="30"/>
  <c r="AG150" i="30" s="1"/>
  <c r="AE14" i="30"/>
  <c r="AD152" i="30" s="1"/>
  <c r="AE13" i="30"/>
  <c r="AD151" i="30" s="1"/>
  <c r="AE12" i="30"/>
  <c r="AD150" i="30" s="1"/>
  <c r="AA14" i="30"/>
  <c r="AA152" i="30" s="1"/>
  <c r="AA13" i="30"/>
  <c r="AA151" i="30" s="1"/>
  <c r="AA12" i="30"/>
  <c r="AA150" i="30" s="1"/>
  <c r="V14" i="30"/>
  <c r="S152" i="30" s="1"/>
  <c r="V12" i="30"/>
  <c r="S150" i="30" s="1"/>
  <c r="R14" i="30"/>
  <c r="P152" i="30" s="1"/>
  <c r="R12" i="30"/>
  <c r="P150" i="30" s="1"/>
  <c r="N14" i="30"/>
  <c r="M152" i="30" s="1"/>
  <c r="N12" i="30"/>
  <c r="M150" i="30" s="1"/>
  <c r="J14" i="30"/>
  <c r="J152" i="30" s="1"/>
  <c r="B48" i="29"/>
  <c r="B97" i="29"/>
  <c r="B63" i="29"/>
  <c r="B17" i="29"/>
  <c r="N131" i="15"/>
  <c r="N130" i="15"/>
  <c r="N129" i="15"/>
  <c r="E119" i="15"/>
  <c r="J154" i="15"/>
  <c r="J155" i="15"/>
  <c r="Q114" i="14"/>
  <c r="F8" i="15"/>
  <c r="H8" i="15" s="1"/>
  <c r="I7" i="15"/>
  <c r="F7" i="15"/>
  <c r="F5" i="15"/>
  <c r="D58" i="15"/>
  <c r="C58" i="15"/>
  <c r="E57" i="15"/>
  <c r="D57" i="15"/>
  <c r="C45" i="15"/>
  <c r="C32" i="15"/>
  <c r="D32" i="15"/>
  <c r="D31" i="15"/>
  <c r="E31" i="15"/>
  <c r="AQ358" i="1"/>
  <c r="J11" i="15"/>
  <c r="J14" i="15"/>
  <c r="J15" i="15"/>
  <c r="EF73" i="14"/>
  <c r="EF74" i="14"/>
  <c r="EF76" i="14"/>
  <c r="EF77" i="14"/>
  <c r="EF78" i="14"/>
  <c r="ED73" i="14"/>
  <c r="ED74" i="14"/>
  <c r="ED75" i="14"/>
  <c r="ED77" i="14"/>
  <c r="ED78" i="14"/>
  <c r="ED79" i="14"/>
  <c r="EB74" i="14"/>
  <c r="EB75" i="14"/>
  <c r="EB76" i="14"/>
  <c r="EB78" i="14"/>
  <c r="EB79" i="14"/>
  <c r="DZ73" i="14"/>
  <c r="DZ75" i="14"/>
  <c r="DZ76" i="14"/>
  <c r="DZ77" i="14"/>
  <c r="DZ79" i="14"/>
  <c r="DX73" i="14"/>
  <c r="DX74" i="14"/>
  <c r="DX76" i="14"/>
  <c r="DX77" i="14"/>
  <c r="DX78" i="14"/>
  <c r="DV73" i="14"/>
  <c r="DV74" i="14"/>
  <c r="DV75" i="14"/>
  <c r="DV77" i="14"/>
  <c r="DV78" i="14"/>
  <c r="DV79" i="14"/>
  <c r="DT74" i="14"/>
  <c r="DT75" i="14"/>
  <c r="DT76" i="14"/>
  <c r="DT78" i="14"/>
  <c r="DT79" i="14"/>
  <c r="DR73" i="14"/>
  <c r="DR75" i="14"/>
  <c r="DR76" i="14"/>
  <c r="DR77" i="14"/>
  <c r="DR79" i="14"/>
  <c r="DP73" i="14"/>
  <c r="DP74" i="14"/>
  <c r="DP76" i="14"/>
  <c r="DP77" i="14"/>
  <c r="DP78" i="14"/>
  <c r="DN73" i="14"/>
  <c r="DN74" i="14"/>
  <c r="DN75" i="14"/>
  <c r="DN77" i="14"/>
  <c r="DN78" i="14"/>
  <c r="DN79" i="14"/>
  <c r="DL74" i="14"/>
  <c r="DL75" i="14"/>
  <c r="DL76" i="14"/>
  <c r="DL77" i="14"/>
  <c r="DL78" i="14"/>
  <c r="DL79" i="14"/>
  <c r="DJ73" i="14"/>
  <c r="DJ74" i="14"/>
  <c r="DJ75" i="14"/>
  <c r="DJ76" i="14"/>
  <c r="DJ77" i="14"/>
  <c r="DJ78" i="14"/>
  <c r="DJ79" i="14"/>
  <c r="DH73" i="14"/>
  <c r="DH74" i="14"/>
  <c r="DH75" i="14"/>
  <c r="DH76" i="14"/>
  <c r="DH77" i="14"/>
  <c r="DH78" i="14"/>
  <c r="DH79" i="14"/>
  <c r="DF73" i="14"/>
  <c r="DF74" i="14"/>
  <c r="DF75" i="14"/>
  <c r="DF76" i="14"/>
  <c r="DF77" i="14"/>
  <c r="DF78" i="14"/>
  <c r="DF79" i="14"/>
  <c r="DD73" i="14"/>
  <c r="DD74" i="14"/>
  <c r="DD75" i="14"/>
  <c r="DD76" i="14"/>
  <c r="DD77" i="14"/>
  <c r="DD78" i="14"/>
  <c r="DD79" i="14"/>
  <c r="DB73" i="14"/>
  <c r="DB74" i="14"/>
  <c r="DB75" i="14"/>
  <c r="DB76" i="14"/>
  <c r="DB77" i="14"/>
  <c r="DB78" i="14"/>
  <c r="DB79" i="14"/>
  <c r="CZ73" i="14"/>
  <c r="CZ74" i="14"/>
  <c r="CZ75" i="14"/>
  <c r="CZ76" i="14"/>
  <c r="CZ77" i="14"/>
  <c r="CZ78" i="14"/>
  <c r="CZ79" i="14"/>
  <c r="CX73" i="14"/>
  <c r="CX74" i="14"/>
  <c r="CX75" i="14"/>
  <c r="CX76" i="14"/>
  <c r="CX77" i="14"/>
  <c r="CX78" i="14"/>
  <c r="CX79" i="14"/>
  <c r="CV73" i="14"/>
  <c r="CV74" i="14"/>
  <c r="CV75" i="14"/>
  <c r="CV76" i="14"/>
  <c r="CV77" i="14"/>
  <c r="CV78" i="14"/>
  <c r="CV79" i="14"/>
  <c r="CT73" i="14"/>
  <c r="CT74" i="14"/>
  <c r="CT75" i="14"/>
  <c r="CT76" i="14"/>
  <c r="CT77" i="14"/>
  <c r="CT78" i="14"/>
  <c r="CT79" i="14"/>
  <c r="CR73" i="14"/>
  <c r="CR74" i="14"/>
  <c r="CR75" i="14"/>
  <c r="CR76" i="14"/>
  <c r="CR77" i="14"/>
  <c r="CR78" i="14"/>
  <c r="CR79" i="14"/>
  <c r="CP73" i="14"/>
  <c r="CP74" i="14"/>
  <c r="CP75" i="14"/>
  <c r="CP76" i="14"/>
  <c r="CP77" i="14"/>
  <c r="CP78" i="14"/>
  <c r="CP79" i="14"/>
  <c r="CN73" i="14"/>
  <c r="CN74" i="14"/>
  <c r="CN75" i="14"/>
  <c r="CN76" i="14"/>
  <c r="CN77" i="14"/>
  <c r="CN78" i="14"/>
  <c r="CN79" i="14"/>
  <c r="CL73" i="14"/>
  <c r="CL74" i="14"/>
  <c r="CL75" i="14"/>
  <c r="CL76" i="14"/>
  <c r="CL77" i="14"/>
  <c r="CL78" i="14"/>
  <c r="CL79" i="14"/>
  <c r="CJ73" i="14"/>
  <c r="CJ74" i="14"/>
  <c r="CJ75" i="14"/>
  <c r="CJ76" i="14"/>
  <c r="CJ77" i="14"/>
  <c r="CJ78" i="14"/>
  <c r="CJ79" i="14"/>
  <c r="CH73" i="14"/>
  <c r="CH74" i="14"/>
  <c r="CH75" i="14"/>
  <c r="CH76" i="14"/>
  <c r="CH77" i="14"/>
  <c r="CH78" i="14"/>
  <c r="CH79" i="14"/>
  <c r="CF73" i="14"/>
  <c r="CF74" i="14"/>
  <c r="CF75" i="14"/>
  <c r="CF76" i="14"/>
  <c r="CF77" i="14"/>
  <c r="CF78" i="14"/>
  <c r="CF79" i="14"/>
  <c r="CD73" i="14"/>
  <c r="CD74" i="14"/>
  <c r="CD75" i="14"/>
  <c r="CD76" i="14"/>
  <c r="CD77" i="14"/>
  <c r="CD78" i="14"/>
  <c r="CD79" i="14"/>
  <c r="CB73" i="14"/>
  <c r="CB74" i="14"/>
  <c r="CB75" i="14"/>
  <c r="CB76" i="14"/>
  <c r="CB77" i="14"/>
  <c r="CB78" i="14"/>
  <c r="CB79" i="14"/>
  <c r="BZ73" i="14"/>
  <c r="BZ74" i="14"/>
  <c r="BZ75" i="14"/>
  <c r="BZ76" i="14"/>
  <c r="BZ77" i="14"/>
  <c r="BZ78" i="14"/>
  <c r="BZ79" i="14"/>
  <c r="BX73" i="14"/>
  <c r="BX74" i="14"/>
  <c r="BX75" i="14"/>
  <c r="BX76" i="14"/>
  <c r="BX77" i="14"/>
  <c r="BX78" i="14"/>
  <c r="BX79" i="14"/>
  <c r="BV73" i="14"/>
  <c r="BV74" i="14"/>
  <c r="BV75" i="14"/>
  <c r="BV76" i="14"/>
  <c r="BV77" i="14"/>
  <c r="BV78" i="14"/>
  <c r="BV79" i="14"/>
  <c r="BT73" i="14"/>
  <c r="BT74" i="14"/>
  <c r="BT75" i="14"/>
  <c r="BT76" i="14"/>
  <c r="BT77" i="14"/>
  <c r="BT78" i="14"/>
  <c r="BT79" i="14"/>
  <c r="BR73" i="14"/>
  <c r="BR74" i="14"/>
  <c r="BR75" i="14"/>
  <c r="BR76" i="14"/>
  <c r="BR77" i="14"/>
  <c r="BR78" i="14"/>
  <c r="BR79" i="14"/>
  <c r="BP73" i="14"/>
  <c r="BP74" i="14"/>
  <c r="BP75" i="14"/>
  <c r="BP76" i="14"/>
  <c r="BP77" i="14"/>
  <c r="BP78" i="14"/>
  <c r="BP79" i="14"/>
  <c r="BN73" i="14"/>
  <c r="BN74" i="14"/>
  <c r="BN75" i="14"/>
  <c r="BN76" i="14"/>
  <c r="BN77" i="14"/>
  <c r="BN78" i="14"/>
  <c r="BN79" i="14"/>
  <c r="BL73" i="14"/>
  <c r="BL74" i="14"/>
  <c r="BL75" i="14"/>
  <c r="BL76" i="14"/>
  <c r="BL77" i="14"/>
  <c r="BL78" i="14"/>
  <c r="BL79" i="14"/>
  <c r="BJ73" i="14"/>
  <c r="BJ74" i="14"/>
  <c r="BJ75" i="14"/>
  <c r="BJ76" i="14"/>
  <c r="BJ77" i="14"/>
  <c r="BJ78" i="14"/>
  <c r="BJ79" i="14"/>
  <c r="BH73" i="14"/>
  <c r="BH74" i="14"/>
  <c r="BH75" i="14"/>
  <c r="BH76" i="14"/>
  <c r="BH77" i="14"/>
  <c r="BH78" i="14"/>
  <c r="BH79" i="14"/>
  <c r="BF73" i="14"/>
  <c r="BF74" i="14"/>
  <c r="BF75" i="14"/>
  <c r="BF76" i="14"/>
  <c r="BF77" i="14"/>
  <c r="BF78" i="14"/>
  <c r="BF79" i="14"/>
  <c r="BD73" i="14"/>
  <c r="BD74" i="14"/>
  <c r="BD75" i="14"/>
  <c r="BD76" i="14"/>
  <c r="BD77" i="14"/>
  <c r="BD78" i="14"/>
  <c r="BD79" i="14"/>
  <c r="BB73" i="14"/>
  <c r="BB74" i="14"/>
  <c r="BB75" i="14"/>
  <c r="BB76" i="14"/>
  <c r="BB77" i="14"/>
  <c r="BB78" i="14"/>
  <c r="BB79" i="14"/>
  <c r="AZ73" i="14"/>
  <c r="AZ74" i="14"/>
  <c r="AZ75" i="14"/>
  <c r="AZ76" i="14"/>
  <c r="AZ77" i="14"/>
  <c r="AZ78" i="14"/>
  <c r="AZ79" i="14"/>
  <c r="AX73" i="14"/>
  <c r="AX74" i="14"/>
  <c r="AX75" i="14"/>
  <c r="AX76" i="14"/>
  <c r="AX77" i="14"/>
  <c r="AX78" i="14"/>
  <c r="AX79" i="14"/>
  <c r="AV73" i="14"/>
  <c r="AV74" i="14"/>
  <c r="AV75" i="14"/>
  <c r="AV76" i="14"/>
  <c r="AV77" i="14"/>
  <c r="AV78" i="14"/>
  <c r="AV79" i="14"/>
  <c r="AT73" i="14"/>
  <c r="AT74" i="14"/>
  <c r="AT75" i="14"/>
  <c r="AT76" i="14"/>
  <c r="AT77" i="14"/>
  <c r="AT78" i="14"/>
  <c r="AT79" i="14"/>
  <c r="AR73" i="14"/>
  <c r="AR74" i="14"/>
  <c r="AR75" i="14"/>
  <c r="AR76" i="14"/>
  <c r="AR77" i="14"/>
  <c r="AR78" i="14"/>
  <c r="AR79" i="14"/>
  <c r="AP73" i="14"/>
  <c r="AP74" i="14"/>
  <c r="AP75" i="14"/>
  <c r="AP76" i="14"/>
  <c r="AP77" i="14"/>
  <c r="AP78" i="14"/>
  <c r="AP79" i="14"/>
  <c r="AN73" i="14"/>
  <c r="AN74" i="14"/>
  <c r="AN75" i="14"/>
  <c r="AN76" i="14"/>
  <c r="AN77" i="14"/>
  <c r="AN78" i="14"/>
  <c r="AN79" i="14"/>
  <c r="V44" i="14"/>
  <c r="C24" i="14"/>
  <c r="C22" i="14"/>
  <c r="C21" i="14"/>
  <c r="AM71" i="14"/>
  <c r="AO71" i="14" s="1"/>
  <c r="AQ71" i="14" s="1"/>
  <c r="AS71" i="14" s="1"/>
  <c r="AU71" i="14" s="1"/>
  <c r="AW71" i="14" s="1"/>
  <c r="AY71" i="14" s="1"/>
  <c r="BA71" i="14" s="1"/>
  <c r="BC71" i="14" s="1"/>
  <c r="BE71" i="14" s="1"/>
  <c r="BG71" i="14" s="1"/>
  <c r="BI71" i="14" s="1"/>
  <c r="BK71" i="14" s="1"/>
  <c r="BM71" i="14" s="1"/>
  <c r="BO71" i="14" s="1"/>
  <c r="BQ71" i="14" s="1"/>
  <c r="BS71" i="14" s="1"/>
  <c r="BU71" i="14" s="1"/>
  <c r="BW71" i="14" s="1"/>
  <c r="BY71" i="14" s="1"/>
  <c r="CA71" i="14" s="1"/>
  <c r="CC71" i="14" s="1"/>
  <c r="CE71" i="14" s="1"/>
  <c r="CG71" i="14" s="1"/>
  <c r="CI71" i="14" s="1"/>
  <c r="CK71" i="14" s="1"/>
  <c r="CM71" i="14" s="1"/>
  <c r="CO71" i="14" s="1"/>
  <c r="CQ71" i="14" s="1"/>
  <c r="CS71" i="14" s="1"/>
  <c r="CU71" i="14" s="1"/>
  <c r="CW71" i="14" s="1"/>
  <c r="CY71" i="14" s="1"/>
  <c r="DA71" i="14" s="1"/>
  <c r="DC71" i="14" s="1"/>
  <c r="DE71" i="14" s="1"/>
  <c r="DG71" i="14" s="1"/>
  <c r="DI71" i="14" s="1"/>
  <c r="DK71" i="14" s="1"/>
  <c r="DM71" i="14" s="1"/>
  <c r="DO71" i="14" s="1"/>
  <c r="DQ71" i="14" s="1"/>
  <c r="DS71" i="14" s="1"/>
  <c r="DU71" i="14" s="1"/>
  <c r="DW71" i="14" s="1"/>
  <c r="DY71" i="14" s="1"/>
  <c r="EA71" i="14" s="1"/>
  <c r="EC71" i="14" s="1"/>
  <c r="EE71" i="14" s="1"/>
  <c r="B27" i="30"/>
  <c r="B29" i="30"/>
  <c r="N67" i="30" s="1"/>
  <c r="B30" i="30"/>
  <c r="R67" i="30" s="1"/>
  <c r="J67" i="30"/>
  <c r="J61" i="30" s="1"/>
  <c r="V67" i="30"/>
  <c r="V66" i="30" s="1"/>
  <c r="AA67" i="30"/>
  <c r="AA57" i="30" s="1"/>
  <c r="B33" i="30"/>
  <c r="N79" i="30" s="1"/>
  <c r="N74" i="30" s="1"/>
  <c r="B35" i="30"/>
  <c r="V79" i="30" s="1"/>
  <c r="B36" i="30"/>
  <c r="AE79" i="30"/>
  <c r="AE70" i="30" s="1"/>
  <c r="B39" i="30"/>
  <c r="B41" i="30"/>
  <c r="N91" i="30" s="1"/>
  <c r="B42" i="30"/>
  <c r="R91" i="30" s="1"/>
  <c r="R87" i="30" s="1"/>
  <c r="J91" i="30"/>
  <c r="J89" i="30" s="1"/>
  <c r="V91" i="30"/>
  <c r="V83" i="30" s="1"/>
  <c r="AA91" i="30"/>
  <c r="AA85" i="30" s="1"/>
  <c r="B16" i="30"/>
  <c r="B18" i="30"/>
  <c r="B19" i="30"/>
  <c r="I4" i="2"/>
  <c r="K130" i="2"/>
  <c r="I44" i="2"/>
  <c r="I4" i="18"/>
  <c r="K130" i="18"/>
  <c r="I4" i="19"/>
  <c r="K130" i="19"/>
  <c r="I4" i="21"/>
  <c r="K130" i="21"/>
  <c r="I44" i="21" s="1"/>
  <c r="I4" i="22"/>
  <c r="I44" i="22" s="1"/>
  <c r="K130" i="22"/>
  <c r="O44" i="22" s="1"/>
  <c r="I4" i="23"/>
  <c r="K130" i="23"/>
  <c r="I4" i="24"/>
  <c r="I44" i="24" s="1"/>
  <c r="K130" i="24"/>
  <c r="I4" i="25"/>
  <c r="K130" i="25"/>
  <c r="I44" i="25" s="1"/>
  <c r="I4" i="26"/>
  <c r="I44" i="26" s="1"/>
  <c r="K130" i="26"/>
  <c r="I4" i="27"/>
  <c r="K130" i="27"/>
  <c r="I4" i="28"/>
  <c r="K130" i="28"/>
  <c r="I4" i="20"/>
  <c r="K130" i="20"/>
  <c r="I44" i="20" s="1"/>
  <c r="L4" i="2"/>
  <c r="L4" i="18"/>
  <c r="L44" i="18" s="1"/>
  <c r="L4" i="19"/>
  <c r="L4" i="21"/>
  <c r="L44" i="21" s="1"/>
  <c r="L4" i="22"/>
  <c r="L4" i="23"/>
  <c r="L4" i="24"/>
  <c r="L44" i="24" s="1"/>
  <c r="L4" i="25"/>
  <c r="L4" i="26"/>
  <c r="L44" i="26" s="1"/>
  <c r="L4" i="27"/>
  <c r="L4" i="28"/>
  <c r="L44" i="28" s="1"/>
  <c r="L4" i="20"/>
  <c r="L44" i="20" s="1"/>
  <c r="G175" i="1"/>
  <c r="G176" i="1"/>
  <c r="J6" i="18"/>
  <c r="J45" i="18" s="1"/>
  <c r="J6" i="19"/>
  <c r="J45" i="19" s="1"/>
  <c r="J6" i="20"/>
  <c r="J6" i="21"/>
  <c r="J6" i="22"/>
  <c r="J45" i="22" s="1"/>
  <c r="J6" i="23"/>
  <c r="J45" i="23" s="1"/>
  <c r="J6" i="24"/>
  <c r="J6" i="25"/>
  <c r="J45" i="25" s="1"/>
  <c r="J6" i="26"/>
  <c r="J45" i="26" s="1"/>
  <c r="J6" i="27"/>
  <c r="J6" i="28"/>
  <c r="I6" i="18"/>
  <c r="I6" i="19"/>
  <c r="I45" i="19" s="1"/>
  <c r="I6" i="20"/>
  <c r="I45" i="20" s="1"/>
  <c r="I6" i="21"/>
  <c r="I6" i="22"/>
  <c r="I6" i="23"/>
  <c r="I45" i="23" s="1"/>
  <c r="I6" i="24"/>
  <c r="I45" i="24" s="1"/>
  <c r="I6" i="25"/>
  <c r="I6" i="26"/>
  <c r="I6" i="27"/>
  <c r="I45" i="27" s="1"/>
  <c r="I6" i="28"/>
  <c r="I45" i="28" s="1"/>
  <c r="I6" i="2"/>
  <c r="I45" i="2" s="1"/>
  <c r="M6" i="18"/>
  <c r="M6" i="19"/>
  <c r="M45" i="19" s="1"/>
  <c r="M6" i="20"/>
  <c r="M45" i="20" s="1"/>
  <c r="M6" i="21"/>
  <c r="M6" i="22"/>
  <c r="M6" i="23"/>
  <c r="M45" i="23" s="1"/>
  <c r="M6" i="24"/>
  <c r="M45" i="24" s="1"/>
  <c r="M6" i="25"/>
  <c r="M6" i="26"/>
  <c r="M6" i="27"/>
  <c r="M45" i="27" s="1"/>
  <c r="M6" i="28"/>
  <c r="M45" i="28" s="1"/>
  <c r="M6" i="2"/>
  <c r="L6" i="18"/>
  <c r="L6" i="19"/>
  <c r="L45" i="19" s="1"/>
  <c r="L6" i="20"/>
  <c r="L45" i="20" s="1"/>
  <c r="L6" i="21"/>
  <c r="L45" i="21" s="1"/>
  <c r="L6" i="22"/>
  <c r="L6" i="23"/>
  <c r="L45" i="23" s="1"/>
  <c r="L6" i="24"/>
  <c r="L45" i="24" s="1"/>
  <c r="L6" i="25"/>
  <c r="L45" i="25" s="1"/>
  <c r="L6" i="26"/>
  <c r="L6" i="27"/>
  <c r="L45" i="27" s="1"/>
  <c r="L6" i="28"/>
  <c r="L45" i="28" s="1"/>
  <c r="L6" i="2"/>
  <c r="L45" i="2" s="1"/>
  <c r="J45" i="20"/>
  <c r="J45" i="21"/>
  <c r="I45" i="21"/>
  <c r="I45" i="22"/>
  <c r="J45" i="24"/>
  <c r="I45" i="25"/>
  <c r="I45" i="26"/>
  <c r="J45" i="27"/>
  <c r="J45" i="28"/>
  <c r="I45" i="18"/>
  <c r="M45" i="2"/>
  <c r="M45" i="21"/>
  <c r="M45" i="22"/>
  <c r="L45" i="22"/>
  <c r="M45" i="25"/>
  <c r="M45" i="26"/>
  <c r="L45" i="26"/>
  <c r="M45" i="18"/>
  <c r="L45" i="18"/>
  <c r="Y28" i="1"/>
  <c r="Q28" i="1"/>
  <c r="AC138" i="1"/>
  <c r="AC139" i="1"/>
  <c r="G177" i="1"/>
  <c r="B108" i="14"/>
  <c r="C212" i="2" s="1"/>
  <c r="B126" i="1"/>
  <c r="B86" i="1"/>
  <c r="AE44" i="30"/>
  <c r="AI44" i="30" s="1"/>
  <c r="N44" i="30"/>
  <c r="R44" i="30" s="1"/>
  <c r="V44" i="30" s="1"/>
  <c r="V87" i="30"/>
  <c r="AA81" i="30"/>
  <c r="H109" i="30"/>
  <c r="Q109" i="30"/>
  <c r="W109" i="30"/>
  <c r="AK297" i="1"/>
  <c r="AK390" i="1" s="1"/>
  <c r="AH297" i="1"/>
  <c r="AH307" i="1" s="1"/>
  <c r="AH323" i="1" s="1"/>
  <c r="AH337" i="1" s="1"/>
  <c r="AH354" i="1" s="1"/>
  <c r="AH367" i="1" s="1"/>
  <c r="AE297" i="1"/>
  <c r="AE390" i="1" s="1"/>
  <c r="V297" i="1"/>
  <c r="V390" i="1"/>
  <c r="S297" i="1"/>
  <c r="S390" i="1" s="1"/>
  <c r="P297" i="1"/>
  <c r="P390" i="1" s="1"/>
  <c r="M297" i="1"/>
  <c r="M390" i="1" s="1"/>
  <c r="G297" i="1"/>
  <c r="G390" i="1" s="1"/>
  <c r="D297" i="1"/>
  <c r="D390" i="1"/>
  <c r="W119" i="30"/>
  <c r="W140" i="30" s="1"/>
  <c r="W122" i="30"/>
  <c r="T119" i="30"/>
  <c r="T122" i="30"/>
  <c r="T140" i="30" s="1"/>
  <c r="Q119" i="30"/>
  <c r="Q140" i="30" s="1"/>
  <c r="Q122" i="30"/>
  <c r="N119" i="30"/>
  <c r="N122" i="30"/>
  <c r="K119" i="30"/>
  <c r="K122" i="30"/>
  <c r="H119" i="30"/>
  <c r="H122" i="30"/>
  <c r="W118" i="30"/>
  <c r="W121" i="30"/>
  <c r="W139" i="30"/>
  <c r="T118" i="30"/>
  <c r="T139" i="30" s="1"/>
  <c r="T121" i="30"/>
  <c r="Q118" i="30"/>
  <c r="Q121" i="30"/>
  <c r="N118" i="30"/>
  <c r="N133" i="30" s="1"/>
  <c r="N121" i="30"/>
  <c r="K118" i="30"/>
  <c r="K121" i="30"/>
  <c r="K139" i="30"/>
  <c r="H118" i="30"/>
  <c r="H121" i="30"/>
  <c r="W116" i="30"/>
  <c r="T116" i="30"/>
  <c r="T137" i="30" s="1"/>
  <c r="Q116" i="30"/>
  <c r="N116" i="30"/>
  <c r="K116" i="30"/>
  <c r="W115" i="30"/>
  <c r="W136" i="30" s="1"/>
  <c r="T115" i="30"/>
  <c r="Q115" i="30"/>
  <c r="Q136" i="30"/>
  <c r="N115" i="30"/>
  <c r="K115" i="30"/>
  <c r="K136" i="30"/>
  <c r="H115" i="30"/>
  <c r="H136" i="30" s="1"/>
  <c r="N134" i="30"/>
  <c r="H134" i="30"/>
  <c r="K133" i="30"/>
  <c r="E119" i="30"/>
  <c r="E122" i="30"/>
  <c r="E140" i="30"/>
  <c r="E118" i="30"/>
  <c r="E121" i="30"/>
  <c r="E116" i="30"/>
  <c r="E137" i="30"/>
  <c r="E115" i="30"/>
  <c r="E136" i="30"/>
  <c r="E134" i="30"/>
  <c r="E133" i="30"/>
  <c r="W110" i="30"/>
  <c r="T110" i="30"/>
  <c r="Q110" i="30"/>
  <c r="N110" i="30"/>
  <c r="K110" i="30"/>
  <c r="H110" i="30"/>
  <c r="E110" i="30"/>
  <c r="G220" i="18"/>
  <c r="I220" i="18" s="1"/>
  <c r="K226" i="18"/>
  <c r="G220" i="19"/>
  <c r="K226" i="20"/>
  <c r="G220" i="21"/>
  <c r="I220" i="21" s="1"/>
  <c r="G220" i="23"/>
  <c r="I220" i="23" s="1"/>
  <c r="K226" i="23"/>
  <c r="G220" i="24"/>
  <c r="I220" i="24" s="1"/>
  <c r="G220" i="27"/>
  <c r="I220" i="27" s="1"/>
  <c r="K226" i="2"/>
  <c r="K229" i="18"/>
  <c r="K228" i="18"/>
  <c r="K227" i="18"/>
  <c r="K225" i="18"/>
  <c r="K224" i="18"/>
  <c r="K229" i="19"/>
  <c r="K228" i="19"/>
  <c r="K227" i="19"/>
  <c r="K226" i="19"/>
  <c r="K225" i="19"/>
  <c r="K224" i="19"/>
  <c r="K229" i="20"/>
  <c r="K228" i="20"/>
  <c r="K227" i="20"/>
  <c r="K225" i="20"/>
  <c r="K224" i="20"/>
  <c r="K229" i="21"/>
  <c r="K228" i="21"/>
  <c r="K227" i="21"/>
  <c r="K226" i="21"/>
  <c r="K225" i="21"/>
  <c r="K224" i="21"/>
  <c r="K229" i="22"/>
  <c r="K228" i="22"/>
  <c r="K227" i="22"/>
  <c r="K226" i="22"/>
  <c r="K225" i="22"/>
  <c r="K224" i="22"/>
  <c r="K229" i="23"/>
  <c r="K228" i="23"/>
  <c r="K227" i="23"/>
  <c r="K225" i="23"/>
  <c r="K224" i="23"/>
  <c r="K229" i="24"/>
  <c r="K228" i="24"/>
  <c r="K227" i="24"/>
  <c r="K226" i="24"/>
  <c r="K225" i="24"/>
  <c r="K224" i="24"/>
  <c r="K229" i="25"/>
  <c r="K228" i="25"/>
  <c r="K227" i="25"/>
  <c r="K226" i="25"/>
  <c r="K225" i="25"/>
  <c r="K224" i="25"/>
  <c r="K229" i="26"/>
  <c r="K228" i="26"/>
  <c r="K227" i="26"/>
  <c r="K226" i="26"/>
  <c r="K225" i="26"/>
  <c r="K224" i="26"/>
  <c r="K229" i="27"/>
  <c r="K228" i="27"/>
  <c r="K227" i="27"/>
  <c r="K226" i="27"/>
  <c r="K225" i="27"/>
  <c r="K224" i="27"/>
  <c r="K229" i="28"/>
  <c r="K228" i="28"/>
  <c r="K227" i="28"/>
  <c r="K226" i="28"/>
  <c r="K225" i="28"/>
  <c r="K224" i="28"/>
  <c r="K229" i="2"/>
  <c r="K228" i="2"/>
  <c r="K227" i="2"/>
  <c r="K225" i="2"/>
  <c r="K224" i="2"/>
  <c r="F167" i="18"/>
  <c r="F167" i="19"/>
  <c r="F167" i="20"/>
  <c r="F167" i="21"/>
  <c r="F167" i="22"/>
  <c r="E43" i="22"/>
  <c r="E167" i="22" s="1"/>
  <c r="F167" i="23"/>
  <c r="F167" i="24"/>
  <c r="E43" i="24"/>
  <c r="E167" i="24" s="1"/>
  <c r="F167" i="25"/>
  <c r="F167" i="26"/>
  <c r="E43" i="26"/>
  <c r="E167" i="26" s="1"/>
  <c r="F167" i="27"/>
  <c r="F167" i="28"/>
  <c r="E43" i="28"/>
  <c r="E167" i="28" s="1"/>
  <c r="F167" i="2"/>
  <c r="C6" i="2"/>
  <c r="E43" i="2" s="1"/>
  <c r="E167" i="2" s="1"/>
  <c r="G98" i="30"/>
  <c r="C100" i="30"/>
  <c r="AL100" i="30"/>
  <c r="AI100" i="30"/>
  <c r="AF100" i="30"/>
  <c r="W100" i="30"/>
  <c r="T100" i="30"/>
  <c r="Q100" i="30"/>
  <c r="N100" i="30"/>
  <c r="H100" i="30"/>
  <c r="E100" i="30"/>
  <c r="AA20" i="30"/>
  <c r="B2" i="30"/>
  <c r="J18" i="1"/>
  <c r="N18" i="1"/>
  <c r="V18" i="1"/>
  <c r="AD18" i="1"/>
  <c r="H96" i="1"/>
  <c r="I96" i="1" s="1"/>
  <c r="H97" i="1"/>
  <c r="I97" i="1" s="1"/>
  <c r="H98" i="1"/>
  <c r="I98" i="1" s="1"/>
  <c r="E140" i="18"/>
  <c r="E148" i="18"/>
  <c r="H104" i="1"/>
  <c r="I104" i="1" s="1"/>
  <c r="H105" i="1"/>
  <c r="I105" i="1" s="1"/>
  <c r="H106" i="1"/>
  <c r="I106" i="1" s="1"/>
  <c r="E140" i="19"/>
  <c r="E148" i="19"/>
  <c r="H112" i="1"/>
  <c r="I112" i="1" s="1"/>
  <c r="H113" i="1"/>
  <c r="I113" i="1" s="1"/>
  <c r="H114" i="1"/>
  <c r="I114" i="1" s="1"/>
  <c r="E140" i="20"/>
  <c r="E148" i="20"/>
  <c r="E140" i="21"/>
  <c r="E148" i="21"/>
  <c r="E140" i="22"/>
  <c r="E148" i="22"/>
  <c r="E140" i="23"/>
  <c r="E148" i="23"/>
  <c r="E140" i="24"/>
  <c r="E148" i="24"/>
  <c r="E140" i="25"/>
  <c r="E148" i="25"/>
  <c r="E140" i="26"/>
  <c r="E148" i="26"/>
  <c r="E140" i="27"/>
  <c r="E148" i="27"/>
  <c r="E140" i="28"/>
  <c r="E148" i="28"/>
  <c r="J2" i="18"/>
  <c r="J2" i="19"/>
  <c r="J2" i="20"/>
  <c r="J2" i="21"/>
  <c r="J2" i="22"/>
  <c r="J2" i="23"/>
  <c r="J2" i="24"/>
  <c r="J2" i="25"/>
  <c r="J2" i="26"/>
  <c r="J2" i="27"/>
  <c r="J2" i="28"/>
  <c r="J2" i="2"/>
  <c r="F60" i="29"/>
  <c r="B26" i="14"/>
  <c r="AQ340" i="1"/>
  <c r="AQ339" i="1"/>
  <c r="AQ309" i="1"/>
  <c r="AQ310" i="1"/>
  <c r="AQ357" i="1"/>
  <c r="E152" i="2"/>
  <c r="L152" i="2"/>
  <c r="E152" i="18"/>
  <c r="L152" i="18"/>
  <c r="E163" i="18"/>
  <c r="E152" i="19"/>
  <c r="L152" i="19"/>
  <c r="E163" i="19"/>
  <c r="E152" i="20"/>
  <c r="L152" i="20"/>
  <c r="E163" i="20"/>
  <c r="E152" i="21"/>
  <c r="L152" i="21"/>
  <c r="E152" i="22"/>
  <c r="L152" i="22"/>
  <c r="E163" i="22"/>
  <c r="E152" i="23"/>
  <c r="L152" i="23"/>
  <c r="E163" i="23"/>
  <c r="E152" i="24"/>
  <c r="L152" i="24"/>
  <c r="E163" i="24"/>
  <c r="E152" i="25"/>
  <c r="L152" i="25"/>
  <c r="E163" i="25"/>
  <c r="E152" i="26"/>
  <c r="L152" i="26"/>
  <c r="E163" i="26"/>
  <c r="E152" i="27"/>
  <c r="L152" i="27"/>
  <c r="E163" i="27"/>
  <c r="E152" i="28"/>
  <c r="K3" i="29"/>
  <c r="K16" i="29"/>
  <c r="C17" i="29"/>
  <c r="D17" i="29"/>
  <c r="E17" i="29"/>
  <c r="F17" i="29"/>
  <c r="G17" i="29"/>
  <c r="H17" i="29"/>
  <c r="I17" i="29"/>
  <c r="J17" i="29"/>
  <c r="K17" i="29"/>
  <c r="L17" i="29"/>
  <c r="M17" i="29"/>
  <c r="N17" i="29"/>
  <c r="O17" i="29"/>
  <c r="P17" i="29"/>
  <c r="Q17" i="29"/>
  <c r="R17" i="29"/>
  <c r="K46" i="29"/>
  <c r="C63" i="29"/>
  <c r="C97" i="29" s="1"/>
  <c r="C48" i="29" s="1"/>
  <c r="D63" i="29"/>
  <c r="D97" i="29" s="1"/>
  <c r="D48" i="29" s="1"/>
  <c r="E63" i="29"/>
  <c r="E97" i="29" s="1"/>
  <c r="E48" i="29" s="1"/>
  <c r="G63" i="29"/>
  <c r="G97" i="29"/>
  <c r="G48" i="29" s="1"/>
  <c r="H63" i="29"/>
  <c r="H97" i="29" s="1"/>
  <c r="H48" i="29"/>
  <c r="I63" i="29"/>
  <c r="I97" i="29" s="1"/>
  <c r="I48" i="29" s="1"/>
  <c r="K63" i="29"/>
  <c r="K97" i="29" s="1"/>
  <c r="K48" i="29" s="1"/>
  <c r="L63" i="29"/>
  <c r="L97" i="29"/>
  <c r="L48" i="29" s="1"/>
  <c r="M63" i="29"/>
  <c r="M97" i="29" s="1"/>
  <c r="M48" i="29" s="1"/>
  <c r="O63" i="29"/>
  <c r="O97" i="29" s="1"/>
  <c r="O48" i="29" s="1"/>
  <c r="P63" i="29"/>
  <c r="P97" i="29" s="1"/>
  <c r="P48" i="29" s="1"/>
  <c r="Q63" i="29"/>
  <c r="Q97" i="29" s="1"/>
  <c r="Q48" i="29" s="1"/>
  <c r="T49" i="29"/>
  <c r="C54" i="29"/>
  <c r="D54" i="29"/>
  <c r="E54" i="29"/>
  <c r="G54" i="29"/>
  <c r="H54" i="29"/>
  <c r="I54" i="29"/>
  <c r="K54" i="29"/>
  <c r="L54" i="29"/>
  <c r="M54" i="29"/>
  <c r="O54" i="29"/>
  <c r="P54" i="29"/>
  <c r="Q54" i="29"/>
  <c r="C55" i="29"/>
  <c r="D55" i="29"/>
  <c r="E55" i="29"/>
  <c r="G55" i="29"/>
  <c r="H55" i="29"/>
  <c r="I55" i="29"/>
  <c r="K55" i="29"/>
  <c r="L55" i="29"/>
  <c r="M55" i="29"/>
  <c r="O55" i="29"/>
  <c r="P55" i="29"/>
  <c r="Q55" i="29"/>
  <c r="C56" i="29"/>
  <c r="D56" i="29"/>
  <c r="E56" i="29"/>
  <c r="G56" i="29"/>
  <c r="H56" i="29"/>
  <c r="I56" i="29"/>
  <c r="K56" i="29"/>
  <c r="L56" i="29"/>
  <c r="M56" i="29"/>
  <c r="O56" i="29"/>
  <c r="P56" i="29"/>
  <c r="Q56" i="29"/>
  <c r="N60" i="29"/>
  <c r="K62" i="29"/>
  <c r="F63" i="29"/>
  <c r="J63" i="29"/>
  <c r="J97" i="29" s="1"/>
  <c r="N63" i="29"/>
  <c r="R63" i="29"/>
  <c r="R97" i="29" s="1"/>
  <c r="T63" i="29"/>
  <c r="K95" i="29"/>
  <c r="F97" i="29"/>
  <c r="N97" i="29"/>
  <c r="AQ347" i="1"/>
  <c r="B107" i="29" s="1"/>
  <c r="F114" i="29"/>
  <c r="N114" i="29"/>
  <c r="C201" i="29"/>
  <c r="N83" i="16"/>
  <c r="C2" i="19"/>
  <c r="C2" i="20"/>
  <c r="C2" i="21"/>
  <c r="C2" i="22"/>
  <c r="C2" i="23"/>
  <c r="C2" i="24"/>
  <c r="C2" i="25"/>
  <c r="C2" i="26"/>
  <c r="C2" i="27"/>
  <c r="C2" i="28"/>
  <c r="C2" i="18"/>
  <c r="O12" i="1"/>
  <c r="AC143" i="1"/>
  <c r="W143" i="1"/>
  <c r="AN234" i="1"/>
  <c r="AN237" i="1" s="1"/>
  <c r="AN240" i="1" s="1"/>
  <c r="AN243" i="1" s="1"/>
  <c r="AN246" i="1" s="1"/>
  <c r="AN249" i="1" s="1"/>
  <c r="AN252" i="1" s="1"/>
  <c r="W1" i="1"/>
  <c r="C49" i="14" s="1"/>
  <c r="L27" i="14" s="1"/>
  <c r="J114" i="1"/>
  <c r="J113" i="1"/>
  <c r="J112" i="1"/>
  <c r="J106" i="1"/>
  <c r="J105" i="1"/>
  <c r="J104" i="1"/>
  <c r="J98" i="1"/>
  <c r="J97" i="1"/>
  <c r="J96" i="1"/>
  <c r="E162" i="19"/>
  <c r="E162" i="23"/>
  <c r="E162" i="24"/>
  <c r="S134" i="1"/>
  <c r="S135" i="1" s="1"/>
  <c r="C118" i="15"/>
  <c r="E162" i="20"/>
  <c r="E162" i="21"/>
  <c r="E162" i="22"/>
  <c r="E162" i="25"/>
  <c r="E162" i="26"/>
  <c r="E162" i="27"/>
  <c r="E162" i="28"/>
  <c r="E162" i="2"/>
  <c r="Y6" i="2"/>
  <c r="Y6" i="18"/>
  <c r="Y6" i="19"/>
  <c r="Y6" i="20"/>
  <c r="Y6" i="21"/>
  <c r="Y6" i="22"/>
  <c r="Y6" i="23"/>
  <c r="Y6" i="24"/>
  <c r="Y6" i="25"/>
  <c r="Y6" i="26"/>
  <c r="Y6" i="27"/>
  <c r="Y6" i="28"/>
  <c r="V307" i="1"/>
  <c r="V323" i="1"/>
  <c r="V337" i="1" s="1"/>
  <c r="V354" i="1" s="1"/>
  <c r="V367" i="1" s="1"/>
  <c r="B46" i="1"/>
  <c r="B387" i="1"/>
  <c r="M128" i="15"/>
  <c r="M129" i="15"/>
  <c r="I11" i="15"/>
  <c r="G11" i="15" s="1"/>
  <c r="AX112" i="14"/>
  <c r="AV112" i="14"/>
  <c r="AU112" i="14"/>
  <c r="AU111" i="14"/>
  <c r="J12" i="15"/>
  <c r="J13" i="15"/>
  <c r="F13" i="15"/>
  <c r="C113" i="15"/>
  <c r="AG21" i="1"/>
  <c r="AC135" i="1"/>
  <c r="G179" i="1"/>
  <c r="G181" i="1"/>
  <c r="G178" i="1"/>
  <c r="G180" i="1"/>
  <c r="AD135" i="1"/>
  <c r="H160" i="18"/>
  <c r="I160" i="18"/>
  <c r="J160" i="18"/>
  <c r="H160" i="19"/>
  <c r="I160" i="19"/>
  <c r="J160" i="19"/>
  <c r="H160" i="20"/>
  <c r="I160" i="20"/>
  <c r="J160" i="20"/>
  <c r="H160" i="21"/>
  <c r="I160" i="21"/>
  <c r="J160" i="21"/>
  <c r="H160" i="22"/>
  <c r="I160" i="22"/>
  <c r="J160" i="22"/>
  <c r="H160" i="23"/>
  <c r="I160" i="23"/>
  <c r="J160" i="23"/>
  <c r="H160" i="24"/>
  <c r="I160" i="24"/>
  <c r="J160" i="24"/>
  <c r="H160" i="25"/>
  <c r="I160" i="25"/>
  <c r="J160" i="25"/>
  <c r="H160" i="26"/>
  <c r="I160" i="26"/>
  <c r="J160" i="26"/>
  <c r="H160" i="27"/>
  <c r="I160" i="27"/>
  <c r="J160" i="27"/>
  <c r="H160" i="28"/>
  <c r="I160" i="28"/>
  <c r="J160" i="28"/>
  <c r="H160" i="2"/>
  <c r="I160" i="2"/>
  <c r="J160" i="2"/>
  <c r="G160" i="18"/>
  <c r="G160" i="19"/>
  <c r="G160" i="20"/>
  <c r="G160" i="21"/>
  <c r="G160" i="22"/>
  <c r="G160" i="23"/>
  <c r="G160" i="24"/>
  <c r="G160" i="25"/>
  <c r="G160" i="26"/>
  <c r="G160" i="27"/>
  <c r="G160" i="28"/>
  <c r="G160" i="2"/>
  <c r="G307" i="1"/>
  <c r="G323" i="1" s="1"/>
  <c r="G337" i="1" s="1"/>
  <c r="G354" i="1" s="1"/>
  <c r="G367" i="1" s="1"/>
  <c r="D307" i="1"/>
  <c r="D323" i="1" s="1"/>
  <c r="D337" i="1" s="1"/>
  <c r="D354" i="1" s="1"/>
  <c r="D367" i="1" s="1"/>
  <c r="AQ359" i="1"/>
  <c r="K159" i="18"/>
  <c r="K159" i="19"/>
  <c r="K159" i="20"/>
  <c r="K159" i="21"/>
  <c r="K159" i="22"/>
  <c r="K159" i="23"/>
  <c r="K159" i="24"/>
  <c r="K159" i="25"/>
  <c r="K159" i="26"/>
  <c r="K159" i="27"/>
  <c r="K159" i="28"/>
  <c r="K159" i="2"/>
  <c r="K158" i="18"/>
  <c r="K158" i="19"/>
  <c r="K158" i="20"/>
  <c r="K158" i="21"/>
  <c r="K158" i="22"/>
  <c r="K158" i="23"/>
  <c r="K158" i="24"/>
  <c r="K158" i="25"/>
  <c r="K158" i="26"/>
  <c r="K158" i="27"/>
  <c r="K158" i="28"/>
  <c r="K158" i="2"/>
  <c r="AQ346" i="1"/>
  <c r="AQ343" i="1"/>
  <c r="AQ342" i="1"/>
  <c r="AQ312" i="1"/>
  <c r="B307" i="1"/>
  <c r="K157" i="18"/>
  <c r="K157" i="19"/>
  <c r="K157" i="20"/>
  <c r="K157" i="21"/>
  <c r="K157" i="22"/>
  <c r="K157" i="23"/>
  <c r="K157" i="24"/>
  <c r="K157" i="25"/>
  <c r="K157" i="26"/>
  <c r="K157" i="27"/>
  <c r="K157" i="28"/>
  <c r="K157" i="2"/>
  <c r="AL12" i="1"/>
  <c r="B256" i="1"/>
  <c r="B297" i="1"/>
  <c r="G268" i="1"/>
  <c r="P268" i="1"/>
  <c r="P284" i="1" s="1"/>
  <c r="AH268" i="1"/>
  <c r="AH284" i="1" s="1"/>
  <c r="B273" i="1"/>
  <c r="B268" i="1"/>
  <c r="B284" i="1" s="1"/>
  <c r="E140" i="2"/>
  <c r="E148" i="2"/>
  <c r="B102" i="2"/>
  <c r="B103" i="2"/>
  <c r="B104" i="2"/>
  <c r="B102" i="18"/>
  <c r="B103" i="18"/>
  <c r="B104" i="18"/>
  <c r="B102" i="19"/>
  <c r="B103" i="19"/>
  <c r="B104" i="19"/>
  <c r="B102" i="20"/>
  <c r="B103" i="20"/>
  <c r="B104" i="20"/>
  <c r="B102" i="21"/>
  <c r="B103" i="21"/>
  <c r="B104" i="21"/>
  <c r="B102" i="22"/>
  <c r="B103" i="22"/>
  <c r="B104" i="22"/>
  <c r="B102" i="23"/>
  <c r="B103" i="23"/>
  <c r="B104" i="23"/>
  <c r="B102" i="24"/>
  <c r="B103" i="24"/>
  <c r="B104" i="24"/>
  <c r="B102" i="25"/>
  <c r="B103" i="25"/>
  <c r="B104" i="25"/>
  <c r="B102" i="26"/>
  <c r="B103" i="26"/>
  <c r="B104" i="26"/>
  <c r="B102" i="27"/>
  <c r="B103" i="27"/>
  <c r="B104" i="27"/>
  <c r="B102" i="28"/>
  <c r="B103" i="28"/>
  <c r="B104" i="28"/>
  <c r="B101" i="2"/>
  <c r="B101" i="18"/>
  <c r="B101" i="19"/>
  <c r="B101" i="20"/>
  <c r="B101" i="21"/>
  <c r="B101" i="22"/>
  <c r="B101" i="23"/>
  <c r="B101" i="24"/>
  <c r="B101" i="25"/>
  <c r="B101" i="26"/>
  <c r="B101" i="27"/>
  <c r="B101" i="28"/>
  <c r="O4" i="18"/>
  <c r="O44" i="18"/>
  <c r="O4" i="19"/>
  <c r="O44" i="19" s="1"/>
  <c r="O4" i="20"/>
  <c r="O4" i="21"/>
  <c r="O44" i="21" s="1"/>
  <c r="O4" i="22"/>
  <c r="O4" i="23"/>
  <c r="O44" i="23" s="1"/>
  <c r="O4" i="24"/>
  <c r="O44" i="24"/>
  <c r="O4" i="25"/>
  <c r="O4" i="26"/>
  <c r="O44" i="26"/>
  <c r="O4" i="27"/>
  <c r="O44" i="27"/>
  <c r="O4" i="28"/>
  <c r="O44" i="28"/>
  <c r="O4" i="2"/>
  <c r="O44" i="2"/>
  <c r="E285" i="1"/>
  <c r="E286" i="1"/>
  <c r="E287" i="1"/>
  <c r="AZ275" i="1"/>
  <c r="AZ290" i="1" s="1"/>
  <c r="AQ275" i="1"/>
  <c r="AQ290" i="1" s="1"/>
  <c r="AH275" i="1"/>
  <c r="AH290" i="1" s="1"/>
  <c r="G275" i="1"/>
  <c r="G290" i="1" s="1"/>
  <c r="E268" i="1"/>
  <c r="E275" i="1" s="1"/>
  <c r="E290" i="1" s="1"/>
  <c r="B288" i="1"/>
  <c r="AZ268" i="1"/>
  <c r="AU268" i="1" s="1"/>
  <c r="AU284" i="1" s="1"/>
  <c r="AZ284" i="1"/>
  <c r="AQ268" i="1"/>
  <c r="AL268" i="1" s="1"/>
  <c r="AL284" i="1" s="1"/>
  <c r="AQ284" i="1"/>
  <c r="AC268" i="1"/>
  <c r="AC284" i="1" s="1"/>
  <c r="G284" i="1"/>
  <c r="N189" i="1"/>
  <c r="O189" i="1" s="1"/>
  <c r="P189" i="1"/>
  <c r="R189" i="1"/>
  <c r="V189" i="1"/>
  <c r="X189" i="1"/>
  <c r="Z189" i="1"/>
  <c r="N188" i="1"/>
  <c r="P188" i="1"/>
  <c r="Q188" i="1"/>
  <c r="R188" i="1"/>
  <c r="S188" i="1"/>
  <c r="T188" i="1"/>
  <c r="U188" i="1"/>
  <c r="V188" i="1"/>
  <c r="N187" i="1"/>
  <c r="Q187" i="1" s="1"/>
  <c r="V187" i="1"/>
  <c r="Z187" i="1"/>
  <c r="O188" i="1"/>
  <c r="W188" i="1"/>
  <c r="X188" i="1"/>
  <c r="Y188" i="1"/>
  <c r="Z188" i="1"/>
  <c r="G170" i="1"/>
  <c r="B233" i="1"/>
  <c r="B226" i="1"/>
  <c r="B228" i="1" s="1"/>
  <c r="B223" i="1"/>
  <c r="B224" i="1" s="1"/>
  <c r="B220" i="1"/>
  <c r="B222" i="1" s="1"/>
  <c r="B217" i="1"/>
  <c r="B218" i="1" s="1"/>
  <c r="B214" i="1"/>
  <c r="B216" i="1" s="1"/>
  <c r="B225" i="1"/>
  <c r="B221" i="1"/>
  <c r="B219" i="1"/>
  <c r="B211" i="1"/>
  <c r="B213" i="1"/>
  <c r="B212" i="1"/>
  <c r="B208" i="1"/>
  <c r="B210" i="1" s="1"/>
  <c r="B209" i="1"/>
  <c r="B205" i="1"/>
  <c r="B206" i="1" s="1"/>
  <c r="B207" i="1"/>
  <c r="B202" i="1"/>
  <c r="B204" i="1" s="1"/>
  <c r="B199" i="1"/>
  <c r="B201" i="1"/>
  <c r="B200" i="1"/>
  <c r="B196" i="1"/>
  <c r="B198" i="1" s="1"/>
  <c r="B197" i="1"/>
  <c r="B193" i="1"/>
  <c r="B194" i="1" s="1"/>
  <c r="B195" i="1"/>
  <c r="P6" i="18"/>
  <c r="P45" i="18" s="1"/>
  <c r="P6" i="19"/>
  <c r="P45" i="19" s="1"/>
  <c r="P6" i="20"/>
  <c r="P45" i="20" s="1"/>
  <c r="P6" i="21"/>
  <c r="P45" i="21" s="1"/>
  <c r="P6" i="22"/>
  <c r="P45" i="22" s="1"/>
  <c r="P6" i="23"/>
  <c r="P45" i="23" s="1"/>
  <c r="P6" i="24"/>
  <c r="P45" i="24" s="1"/>
  <c r="P6" i="25"/>
  <c r="P6" i="26"/>
  <c r="P45" i="26" s="1"/>
  <c r="P6" i="27"/>
  <c r="P6" i="28"/>
  <c r="P45" i="28" s="1"/>
  <c r="P6" i="2"/>
  <c r="P45" i="2" s="1"/>
  <c r="O6" i="18"/>
  <c r="O45" i="18" s="1"/>
  <c r="O6" i="19"/>
  <c r="O6" i="20"/>
  <c r="O45" i="20" s="1"/>
  <c r="O6" i="21"/>
  <c r="O45" i="21" s="1"/>
  <c r="O6" i="22"/>
  <c r="O45" i="22" s="1"/>
  <c r="O6" i="23"/>
  <c r="O6" i="24"/>
  <c r="O45" i="24" s="1"/>
  <c r="O6" i="25"/>
  <c r="O45" i="25" s="1"/>
  <c r="O6" i="26"/>
  <c r="O45" i="26" s="1"/>
  <c r="O6" i="27"/>
  <c r="O6" i="28"/>
  <c r="O45" i="28" s="1"/>
  <c r="O6" i="2"/>
  <c r="O45" i="2" s="1"/>
  <c r="D38" i="18"/>
  <c r="C38" i="18" s="1"/>
  <c r="D37" i="18"/>
  <c r="C37" i="18" s="1"/>
  <c r="D38" i="20"/>
  <c r="C38" i="20" s="1"/>
  <c r="D38" i="22"/>
  <c r="C38" i="22" s="1"/>
  <c r="D38" i="25"/>
  <c r="C38" i="25" s="1"/>
  <c r="D38" i="27"/>
  <c r="C38" i="27" s="1"/>
  <c r="D9" i="2"/>
  <c r="C8" i="2"/>
  <c r="E6" i="18"/>
  <c r="E6" i="19"/>
  <c r="E6" i="20"/>
  <c r="E6" i="21"/>
  <c r="E6" i="22"/>
  <c r="E6" i="23"/>
  <c r="E6" i="24"/>
  <c r="E6" i="25"/>
  <c r="E6" i="26"/>
  <c r="E6" i="27"/>
  <c r="E6" i="28"/>
  <c r="E6" i="2"/>
  <c r="E4" i="18"/>
  <c r="E4" i="19"/>
  <c r="E4" i="20"/>
  <c r="E4" i="21"/>
  <c r="E4" i="22"/>
  <c r="E4" i="23"/>
  <c r="E4" i="24"/>
  <c r="E4" i="25"/>
  <c r="E4" i="26"/>
  <c r="E4" i="27"/>
  <c r="E4" i="28"/>
  <c r="E4" i="2"/>
  <c r="B3" i="1"/>
  <c r="F81" i="16"/>
  <c r="AL181" i="1"/>
  <c r="AK181" i="1"/>
  <c r="AJ181" i="1"/>
  <c r="AI181" i="1"/>
  <c r="AH181" i="1"/>
  <c r="AG181" i="1"/>
  <c r="AF181" i="1"/>
  <c r="AE181" i="1"/>
  <c r="AD181" i="1"/>
  <c r="AC181" i="1"/>
  <c r="AB181" i="1"/>
  <c r="AA181" i="1"/>
  <c r="Z181" i="1"/>
  <c r="Y181" i="1"/>
  <c r="X181" i="1"/>
  <c r="W181" i="1"/>
  <c r="V181" i="1"/>
  <c r="U181" i="1"/>
  <c r="T181" i="1"/>
  <c r="S181" i="1"/>
  <c r="R181" i="1"/>
  <c r="Q181" i="1"/>
  <c r="P181" i="1"/>
  <c r="O181" i="1"/>
  <c r="N181" i="1"/>
  <c r="M181" i="1"/>
  <c r="L181" i="1"/>
  <c r="K181" i="1"/>
  <c r="J181" i="1"/>
  <c r="I181" i="1"/>
  <c r="H181" i="1"/>
  <c r="AK180" i="1"/>
  <c r="AJ180" i="1"/>
  <c r="AI180" i="1"/>
  <c r="AH180" i="1"/>
  <c r="AG180" i="1"/>
  <c r="AF180" i="1"/>
  <c r="AE180" i="1"/>
  <c r="AD180" i="1"/>
  <c r="AC180" i="1"/>
  <c r="AB180" i="1"/>
  <c r="AA180" i="1"/>
  <c r="Z180" i="1"/>
  <c r="Y180" i="1"/>
  <c r="X180" i="1"/>
  <c r="W180" i="1"/>
  <c r="V180" i="1"/>
  <c r="U180" i="1"/>
  <c r="T180" i="1"/>
  <c r="S180" i="1"/>
  <c r="R180" i="1"/>
  <c r="Q180" i="1"/>
  <c r="P180" i="1"/>
  <c r="O180" i="1"/>
  <c r="N180" i="1"/>
  <c r="M180" i="1"/>
  <c r="L180" i="1"/>
  <c r="K180" i="1"/>
  <c r="J180" i="1"/>
  <c r="I180" i="1"/>
  <c r="H180" i="1"/>
  <c r="AL179" i="1"/>
  <c r="AK179" i="1"/>
  <c r="AJ179" i="1"/>
  <c r="AI179" i="1"/>
  <c r="AH179" i="1"/>
  <c r="AG179" i="1"/>
  <c r="AF179" i="1"/>
  <c r="AE179" i="1"/>
  <c r="AD179" i="1"/>
  <c r="AC179" i="1"/>
  <c r="AB179" i="1"/>
  <c r="AA179" i="1"/>
  <c r="Z179" i="1"/>
  <c r="Y179" i="1"/>
  <c r="X179" i="1"/>
  <c r="W179" i="1"/>
  <c r="V179" i="1"/>
  <c r="U179" i="1"/>
  <c r="T179" i="1"/>
  <c r="S179" i="1"/>
  <c r="R179" i="1"/>
  <c r="Q179" i="1"/>
  <c r="P179" i="1"/>
  <c r="O179" i="1"/>
  <c r="N179" i="1"/>
  <c r="M179" i="1"/>
  <c r="L179" i="1"/>
  <c r="K179" i="1"/>
  <c r="J179" i="1"/>
  <c r="I179" i="1"/>
  <c r="H179" i="1"/>
  <c r="AK178" i="1"/>
  <c r="AJ178" i="1"/>
  <c r="AI178" i="1"/>
  <c r="AH178" i="1"/>
  <c r="AG178" i="1"/>
  <c r="AF178" i="1"/>
  <c r="AE178" i="1"/>
  <c r="AD178" i="1"/>
  <c r="AC178" i="1"/>
  <c r="AB178" i="1"/>
  <c r="AA178" i="1"/>
  <c r="Z178" i="1"/>
  <c r="Y178" i="1"/>
  <c r="X178" i="1"/>
  <c r="W178" i="1"/>
  <c r="V178" i="1"/>
  <c r="U178" i="1"/>
  <c r="T178" i="1"/>
  <c r="S178" i="1"/>
  <c r="R178" i="1"/>
  <c r="Q178" i="1"/>
  <c r="P178" i="1"/>
  <c r="O178" i="1"/>
  <c r="N178" i="1"/>
  <c r="M178" i="1"/>
  <c r="L178" i="1"/>
  <c r="K178" i="1"/>
  <c r="J178" i="1"/>
  <c r="I178" i="1"/>
  <c r="H178" i="1"/>
  <c r="AL177" i="1"/>
  <c r="AK177" i="1"/>
  <c r="AJ177" i="1"/>
  <c r="AI177" i="1"/>
  <c r="AH177" i="1"/>
  <c r="AG177" i="1"/>
  <c r="AF177" i="1"/>
  <c r="AE177" i="1"/>
  <c r="AD177" i="1"/>
  <c r="AC177" i="1"/>
  <c r="AB177" i="1"/>
  <c r="AA177" i="1"/>
  <c r="Z177" i="1"/>
  <c r="Y177" i="1"/>
  <c r="X177" i="1"/>
  <c r="W177" i="1"/>
  <c r="V177" i="1"/>
  <c r="U177" i="1"/>
  <c r="T177" i="1"/>
  <c r="S177" i="1"/>
  <c r="R177" i="1"/>
  <c r="Q177" i="1"/>
  <c r="P177" i="1"/>
  <c r="O177" i="1"/>
  <c r="N177" i="1"/>
  <c r="M177" i="1"/>
  <c r="L177" i="1"/>
  <c r="K177" i="1"/>
  <c r="J177" i="1"/>
  <c r="I177" i="1"/>
  <c r="H177" i="1"/>
  <c r="AL176" i="1"/>
  <c r="AK176" i="1"/>
  <c r="AJ176" i="1"/>
  <c r="AI176" i="1"/>
  <c r="AH176" i="1"/>
  <c r="AG176" i="1"/>
  <c r="AF176" i="1"/>
  <c r="AE176" i="1"/>
  <c r="AD176" i="1"/>
  <c r="AC176" i="1"/>
  <c r="AB176" i="1"/>
  <c r="AA176" i="1"/>
  <c r="Z176" i="1"/>
  <c r="Y176" i="1"/>
  <c r="X176" i="1"/>
  <c r="W176" i="1"/>
  <c r="V176" i="1"/>
  <c r="U176" i="1"/>
  <c r="T176" i="1"/>
  <c r="S176" i="1"/>
  <c r="R176" i="1"/>
  <c r="Q176" i="1"/>
  <c r="P176" i="1"/>
  <c r="O176" i="1"/>
  <c r="N176" i="1"/>
  <c r="M176" i="1"/>
  <c r="L176" i="1"/>
  <c r="K176" i="1"/>
  <c r="J176" i="1"/>
  <c r="I176" i="1"/>
  <c r="H176" i="1"/>
  <c r="AK175" i="1"/>
  <c r="AJ175" i="1"/>
  <c r="AI175" i="1"/>
  <c r="AH175" i="1"/>
  <c r="AG175" i="1"/>
  <c r="AF175" i="1"/>
  <c r="AE175" i="1"/>
  <c r="AD175" i="1"/>
  <c r="AC175" i="1"/>
  <c r="AB175" i="1"/>
  <c r="AA175" i="1"/>
  <c r="Z175" i="1"/>
  <c r="Y175" i="1"/>
  <c r="X175" i="1"/>
  <c r="W175" i="1"/>
  <c r="V175" i="1"/>
  <c r="U175" i="1"/>
  <c r="T175" i="1"/>
  <c r="S175" i="1"/>
  <c r="R175" i="1"/>
  <c r="Q175" i="1"/>
  <c r="P175" i="1"/>
  <c r="O175" i="1"/>
  <c r="N175" i="1"/>
  <c r="M175" i="1"/>
  <c r="L175" i="1"/>
  <c r="K175" i="1"/>
  <c r="J175" i="1"/>
  <c r="I175" i="1"/>
  <c r="H175" i="1"/>
  <c r="AL174" i="1"/>
  <c r="AK174" i="1"/>
  <c r="AJ174" i="1"/>
  <c r="AI174" i="1"/>
  <c r="AH174" i="1"/>
  <c r="AG174" i="1"/>
  <c r="AF174" i="1"/>
  <c r="AE174" i="1"/>
  <c r="AD174" i="1"/>
  <c r="AC174" i="1"/>
  <c r="AB174" i="1"/>
  <c r="AA174" i="1"/>
  <c r="Z174" i="1"/>
  <c r="Y174" i="1"/>
  <c r="X174" i="1"/>
  <c r="W174" i="1"/>
  <c r="V174" i="1"/>
  <c r="U174" i="1"/>
  <c r="T174" i="1"/>
  <c r="S174" i="1"/>
  <c r="R174" i="1"/>
  <c r="Q174" i="1"/>
  <c r="P174" i="1"/>
  <c r="O174" i="1"/>
  <c r="N174" i="1"/>
  <c r="M174" i="1"/>
  <c r="L174" i="1"/>
  <c r="K174" i="1"/>
  <c r="J174" i="1"/>
  <c r="I174" i="1"/>
  <c r="H174" i="1"/>
  <c r="AK173" i="1"/>
  <c r="AJ173" i="1"/>
  <c r="AI173" i="1"/>
  <c r="AH173" i="1"/>
  <c r="AG173" i="1"/>
  <c r="AF173" i="1"/>
  <c r="AE173" i="1"/>
  <c r="AD173" i="1"/>
  <c r="AC173" i="1"/>
  <c r="AB173" i="1"/>
  <c r="AA173" i="1"/>
  <c r="Z173" i="1"/>
  <c r="Y173" i="1"/>
  <c r="X173" i="1"/>
  <c r="W173" i="1"/>
  <c r="V173" i="1"/>
  <c r="U173" i="1"/>
  <c r="T173" i="1"/>
  <c r="S173" i="1"/>
  <c r="R173" i="1"/>
  <c r="Q173" i="1"/>
  <c r="P173" i="1"/>
  <c r="O173" i="1"/>
  <c r="N173" i="1"/>
  <c r="M173" i="1"/>
  <c r="L173" i="1"/>
  <c r="K173" i="1"/>
  <c r="J173" i="1"/>
  <c r="I173" i="1"/>
  <c r="H173" i="1"/>
  <c r="AL172" i="1"/>
  <c r="AK172" i="1"/>
  <c r="AJ172" i="1"/>
  <c r="AI172" i="1"/>
  <c r="AH172" i="1"/>
  <c r="AG172" i="1"/>
  <c r="AF172" i="1"/>
  <c r="AE172" i="1"/>
  <c r="AD172" i="1"/>
  <c r="AC172" i="1"/>
  <c r="AB172" i="1"/>
  <c r="AA172" i="1"/>
  <c r="Z172" i="1"/>
  <c r="Y172" i="1"/>
  <c r="X172" i="1"/>
  <c r="W172" i="1"/>
  <c r="V172" i="1"/>
  <c r="U172" i="1"/>
  <c r="T172" i="1"/>
  <c r="S172" i="1"/>
  <c r="R172" i="1"/>
  <c r="Q172" i="1"/>
  <c r="P172" i="1"/>
  <c r="O172" i="1"/>
  <c r="N172" i="1"/>
  <c r="M172" i="1"/>
  <c r="L172" i="1"/>
  <c r="K172" i="1"/>
  <c r="J172" i="1"/>
  <c r="I172" i="1"/>
  <c r="H172" i="1"/>
  <c r="AI171" i="1"/>
  <c r="AH171" i="1"/>
  <c r="AG171" i="1"/>
  <c r="AF171" i="1"/>
  <c r="AE171" i="1"/>
  <c r="AD171" i="1"/>
  <c r="AC171" i="1"/>
  <c r="AB171" i="1"/>
  <c r="AA171" i="1"/>
  <c r="Z171" i="1"/>
  <c r="Y171" i="1"/>
  <c r="X171" i="1"/>
  <c r="W171" i="1"/>
  <c r="V171" i="1"/>
  <c r="U171" i="1"/>
  <c r="T171" i="1"/>
  <c r="S171" i="1"/>
  <c r="R171" i="1"/>
  <c r="Q171" i="1"/>
  <c r="P171" i="1"/>
  <c r="O171" i="1"/>
  <c r="N171" i="1"/>
  <c r="M171" i="1"/>
  <c r="L171" i="1"/>
  <c r="K171" i="1"/>
  <c r="J171" i="1"/>
  <c r="I171" i="1"/>
  <c r="H171" i="1"/>
  <c r="AL170" i="1"/>
  <c r="AK170" i="1"/>
  <c r="AJ170" i="1"/>
  <c r="AI170" i="1"/>
  <c r="AH170" i="1"/>
  <c r="AG170" i="1"/>
  <c r="AF170" i="1"/>
  <c r="AE170" i="1"/>
  <c r="AD170" i="1"/>
  <c r="AC170" i="1"/>
  <c r="AB170" i="1"/>
  <c r="AA170" i="1"/>
  <c r="Z170" i="1"/>
  <c r="Y170" i="1"/>
  <c r="X170" i="1"/>
  <c r="W170" i="1"/>
  <c r="V170" i="1"/>
  <c r="U170" i="1"/>
  <c r="T170" i="1"/>
  <c r="S170" i="1"/>
  <c r="R170" i="1"/>
  <c r="Q170" i="1"/>
  <c r="P170" i="1"/>
  <c r="O170" i="1"/>
  <c r="N170" i="1"/>
  <c r="M170" i="1"/>
  <c r="L170" i="1"/>
  <c r="K170" i="1"/>
  <c r="J170" i="1"/>
  <c r="I170" i="1"/>
  <c r="W141" i="1"/>
  <c r="W142" i="1"/>
  <c r="C144" i="16"/>
  <c r="C88" i="16"/>
  <c r="I5" i="15"/>
  <c r="J114" i="14"/>
  <c r="D2" i="14"/>
  <c r="G151" i="18"/>
  <c r="G151" i="2"/>
  <c r="C94" i="18"/>
  <c r="C94" i="19"/>
  <c r="C94" i="20"/>
  <c r="C94" i="21"/>
  <c r="C94" i="22"/>
  <c r="C94" i="23"/>
  <c r="C94" i="24"/>
  <c r="C94" i="25"/>
  <c r="C94" i="26"/>
  <c r="C94" i="27"/>
  <c r="C94" i="28"/>
  <c r="C94" i="2"/>
  <c r="G58" i="18"/>
  <c r="G58" i="19"/>
  <c r="G58" i="20"/>
  <c r="G58" i="21"/>
  <c r="G58" i="22"/>
  <c r="G58" i="23"/>
  <c r="G58" i="24"/>
  <c r="G58" i="25"/>
  <c r="G58" i="26"/>
  <c r="G58" i="27"/>
  <c r="G58" i="28"/>
  <c r="G58" i="2"/>
  <c r="C58" i="18"/>
  <c r="C58" i="19"/>
  <c r="C58" i="20"/>
  <c r="C58" i="21"/>
  <c r="C58" i="22"/>
  <c r="C58" i="23"/>
  <c r="C58" i="24"/>
  <c r="C58" i="25"/>
  <c r="C58" i="26"/>
  <c r="C58" i="27"/>
  <c r="C58" i="28"/>
  <c r="C58" i="2"/>
  <c r="P45" i="25"/>
  <c r="P45" i="27"/>
  <c r="C2" i="2"/>
  <c r="O45" i="27"/>
  <c r="O45" i="23"/>
  <c r="O45" i="19"/>
  <c r="V84" i="30" l="1"/>
  <c r="V90" i="30"/>
  <c r="V85" i="30"/>
  <c r="E128" i="15"/>
  <c r="V8" i="22"/>
  <c r="V9" i="22" s="1"/>
  <c r="V10" i="22" s="1"/>
  <c r="V11" i="22" s="1"/>
  <c r="V12" i="22" s="1"/>
  <c r="V13" i="22" s="1"/>
  <c r="V14" i="22" s="1"/>
  <c r="V15" i="22" s="1"/>
  <c r="V16" i="22" s="1"/>
  <c r="J174" i="14"/>
  <c r="AA65" i="30"/>
  <c r="V86" i="30"/>
  <c r="V8" i="28"/>
  <c r="V7" i="28" s="1"/>
  <c r="C184" i="29"/>
  <c r="K184" i="29" s="1"/>
  <c r="J13" i="30"/>
  <c r="J151" i="30" s="1"/>
  <c r="H151" i="1"/>
  <c r="H150" i="1" s="1"/>
  <c r="K87" i="23"/>
  <c r="J164" i="23" s="1"/>
  <c r="T72" i="24"/>
  <c r="V7" i="22"/>
  <c r="AE74" i="30"/>
  <c r="V8" i="18"/>
  <c r="E155" i="18"/>
  <c r="E156" i="18" s="1"/>
  <c r="H173" i="15"/>
  <c r="D9" i="22"/>
  <c r="D10" i="22" s="1"/>
  <c r="D11" i="22" s="1"/>
  <c r="V7" i="2"/>
  <c r="E43" i="18"/>
  <c r="E167" i="18" s="1"/>
  <c r="G220" i="25"/>
  <c r="G220" i="22"/>
  <c r="I220" i="22" s="1"/>
  <c r="AA89" i="30"/>
  <c r="V8" i="27"/>
  <c r="E131" i="15"/>
  <c r="V60" i="30"/>
  <c r="I89" i="19"/>
  <c r="G87" i="24"/>
  <c r="G164" i="24" s="1"/>
  <c r="K89" i="19"/>
  <c r="I87" i="2"/>
  <c r="I164" i="2" s="1"/>
  <c r="I89" i="18"/>
  <c r="G87" i="18"/>
  <c r="G164" i="18" s="1"/>
  <c r="I89" i="27"/>
  <c r="G87" i="19"/>
  <c r="G164" i="19" s="1"/>
  <c r="K89" i="27"/>
  <c r="H87" i="27"/>
  <c r="H164" i="27" s="1"/>
  <c r="K87" i="19"/>
  <c r="J164" i="19" s="1"/>
  <c r="G87" i="27"/>
  <c r="G164" i="27" s="1"/>
  <c r="G89" i="2"/>
  <c r="H87" i="19"/>
  <c r="H164" i="19" s="1"/>
  <c r="G89" i="19"/>
  <c r="O73" i="19"/>
  <c r="K87" i="2"/>
  <c r="J164" i="2" s="1"/>
  <c r="G87" i="2"/>
  <c r="G164" i="2" s="1"/>
  <c r="I87" i="27"/>
  <c r="I164" i="27" s="1"/>
  <c r="G89" i="27"/>
  <c r="H87" i="2"/>
  <c r="H164" i="2" s="1"/>
  <c r="H89" i="19"/>
  <c r="N270" i="28"/>
  <c r="C9" i="22"/>
  <c r="V57" i="30"/>
  <c r="V61" i="30"/>
  <c r="E133" i="15"/>
  <c r="E130" i="15"/>
  <c r="E126" i="15"/>
  <c r="E125" i="15" s="1"/>
  <c r="H87" i="23"/>
  <c r="H164" i="23" s="1"/>
  <c r="H87" i="18"/>
  <c r="H164" i="18" s="1"/>
  <c r="O73" i="23"/>
  <c r="V58" i="30"/>
  <c r="V62" i="30"/>
  <c r="E132" i="15"/>
  <c r="E127" i="15"/>
  <c r="E135" i="15"/>
  <c r="E136" i="15" s="1"/>
  <c r="L115" i="15" s="1"/>
  <c r="Z102" i="1"/>
  <c r="V59" i="30"/>
  <c r="E134" i="15"/>
  <c r="E129" i="15"/>
  <c r="K89" i="23"/>
  <c r="V8" i="21"/>
  <c r="V7" i="21" s="1"/>
  <c r="N271" i="28"/>
  <c r="U89" i="23"/>
  <c r="U89" i="19"/>
  <c r="I87" i="28"/>
  <c r="I164" i="28" s="1"/>
  <c r="H89" i="28"/>
  <c r="T72" i="18"/>
  <c r="K89" i="28"/>
  <c r="I89" i="28"/>
  <c r="G89" i="24"/>
  <c r="K89" i="18"/>
  <c r="G87" i="28"/>
  <c r="G164" i="28" s="1"/>
  <c r="G87" i="23"/>
  <c r="G164" i="23" s="1"/>
  <c r="T72" i="21"/>
  <c r="K87" i="18"/>
  <c r="J164" i="18" s="1"/>
  <c r="H89" i="18"/>
  <c r="G89" i="18"/>
  <c r="K89" i="24"/>
  <c r="K89" i="2"/>
  <c r="K274" i="28"/>
  <c r="K87" i="27"/>
  <c r="J164" i="27" s="1"/>
  <c r="G89" i="28"/>
  <c r="H87" i="28"/>
  <c r="H164" i="28" s="1"/>
  <c r="K87" i="24"/>
  <c r="J164" i="24" s="1"/>
  <c r="I89" i="2"/>
  <c r="H89" i="2"/>
  <c r="I87" i="18"/>
  <c r="I164" i="18" s="1"/>
  <c r="I87" i="19"/>
  <c r="I164" i="19" s="1"/>
  <c r="V76" i="30"/>
  <c r="V72" i="30"/>
  <c r="N65" i="30"/>
  <c r="N64" i="30"/>
  <c r="N63" i="30"/>
  <c r="N66" i="30"/>
  <c r="N57" i="30"/>
  <c r="N62" i="30"/>
  <c r="N61" i="30"/>
  <c r="N60" i="30"/>
  <c r="N59" i="30"/>
  <c r="N58" i="30"/>
  <c r="N89" i="30"/>
  <c r="N88" i="30"/>
  <c r="N82" i="30"/>
  <c r="N81" i="30"/>
  <c r="N86" i="30"/>
  <c r="N85" i="30"/>
  <c r="N87" i="30"/>
  <c r="N83" i="30"/>
  <c r="N84" i="30"/>
  <c r="N90" i="30"/>
  <c r="AI121" i="14"/>
  <c r="L128" i="14"/>
  <c r="L135" i="14" s="1"/>
  <c r="AI135" i="14" s="1"/>
  <c r="AG121" i="14"/>
  <c r="D101" i="14"/>
  <c r="Z101" i="14" s="1"/>
  <c r="AD101" i="14" s="1"/>
  <c r="D98" i="14"/>
  <c r="D90" i="14"/>
  <c r="D82" i="14"/>
  <c r="D100" i="14"/>
  <c r="Z100" i="14" s="1"/>
  <c r="AD100" i="14" s="1"/>
  <c r="D92" i="14"/>
  <c r="D84" i="14"/>
  <c r="D76" i="14"/>
  <c r="B10" i="29"/>
  <c r="A174" i="29"/>
  <c r="AR112" i="14"/>
  <c r="AW112" i="14" s="1"/>
  <c r="I76" i="19"/>
  <c r="L71" i="19"/>
  <c r="K63" i="20"/>
  <c r="I85" i="20"/>
  <c r="I88" i="20" s="1"/>
  <c r="R81" i="20"/>
  <c r="S81" i="20" s="1"/>
  <c r="H87" i="25"/>
  <c r="H164" i="25" s="1"/>
  <c r="G89" i="25"/>
  <c r="S101" i="28"/>
  <c r="T101" i="28" s="1"/>
  <c r="S102" i="28"/>
  <c r="T102" i="28" s="1"/>
  <c r="S104" i="28"/>
  <c r="T104" i="28" s="1"/>
  <c r="AP37" i="28"/>
  <c r="AP36" i="28"/>
  <c r="AP35" i="28"/>
  <c r="AP34" i="28"/>
  <c r="AP33" i="28"/>
  <c r="AP32" i="28"/>
  <c r="AP31" i="28"/>
  <c r="AP30" i="28"/>
  <c r="AP29" i="28"/>
  <c r="AP28" i="28"/>
  <c r="AP27" i="28"/>
  <c r="AP26" i="28"/>
  <c r="AP25" i="28"/>
  <c r="AP24" i="28"/>
  <c r="AP23" i="28"/>
  <c r="AP22" i="28"/>
  <c r="AP21" i="28"/>
  <c r="AP20" i="28"/>
  <c r="AP19" i="28"/>
  <c r="AP18" i="28"/>
  <c r="AP17" i="28"/>
  <c r="AP16" i="28"/>
  <c r="AP15" i="28"/>
  <c r="AP14" i="28"/>
  <c r="AP13" i="28"/>
  <c r="AP12" i="28"/>
  <c r="AP11" i="28"/>
  <c r="AP10" i="28"/>
  <c r="AP9" i="28"/>
  <c r="AP8" i="28"/>
  <c r="S103" i="28"/>
  <c r="T103" i="28" s="1"/>
  <c r="T81" i="28"/>
  <c r="U81" i="28" s="1"/>
  <c r="U89" i="28" s="1"/>
  <c r="S97" i="28"/>
  <c r="T97" i="28" s="1"/>
  <c r="K268" i="1"/>
  <c r="K284" i="1" s="1"/>
  <c r="AA61" i="30"/>
  <c r="J81" i="30"/>
  <c r="L44" i="19"/>
  <c r="I44" i="19"/>
  <c r="D78" i="14"/>
  <c r="D94" i="14"/>
  <c r="AU6" i="28"/>
  <c r="AI6" i="28"/>
  <c r="R96" i="28"/>
  <c r="Z72" i="22"/>
  <c r="Z72" i="25" s="1"/>
  <c r="Z72" i="28" s="1"/>
  <c r="Z72" i="20"/>
  <c r="G67" i="25"/>
  <c r="S67" i="25" s="1"/>
  <c r="M122" i="29" s="1"/>
  <c r="G87" i="25"/>
  <c r="G164" i="25" s="1"/>
  <c r="T72" i="20"/>
  <c r="G152" i="29"/>
  <c r="K273" i="28"/>
  <c r="I76" i="20"/>
  <c r="L71" i="20"/>
  <c r="B227" i="1"/>
  <c r="S307" i="1"/>
  <c r="S323" i="1" s="1"/>
  <c r="S337" i="1" s="1"/>
  <c r="S354" i="1" s="1"/>
  <c r="S367" i="1" s="1"/>
  <c r="T189" i="1"/>
  <c r="AK307" i="1"/>
  <c r="AK323" i="1" s="1"/>
  <c r="AK337" i="1" s="1"/>
  <c r="AK354" i="1" s="1"/>
  <c r="AK367" i="1" s="1"/>
  <c r="AE307" i="1"/>
  <c r="AE323" i="1" s="1"/>
  <c r="AE337" i="1" s="1"/>
  <c r="AE354" i="1" s="1"/>
  <c r="AE367" i="1" s="1"/>
  <c r="M307" i="1"/>
  <c r="M323" i="1" s="1"/>
  <c r="M337" i="1" s="1"/>
  <c r="M354" i="1" s="1"/>
  <c r="M367" i="1" s="1"/>
  <c r="P307" i="1"/>
  <c r="P323" i="1" s="1"/>
  <c r="P337" i="1" s="1"/>
  <c r="P354" i="1" s="1"/>
  <c r="P367" i="1" s="1"/>
  <c r="G220" i="28"/>
  <c r="I220" i="28" s="1"/>
  <c r="G220" i="26"/>
  <c r="G220" i="20"/>
  <c r="E139" i="30"/>
  <c r="H133" i="30"/>
  <c r="W133" i="30"/>
  <c r="T134" i="30"/>
  <c r="Q137" i="30"/>
  <c r="H139" i="30"/>
  <c r="K140" i="30"/>
  <c r="AH390" i="1"/>
  <c r="J57" i="30"/>
  <c r="V63" i="30"/>
  <c r="V64" i="30"/>
  <c r="V65" i="30"/>
  <c r="V81" i="30"/>
  <c r="V82" i="30"/>
  <c r="J85" i="30"/>
  <c r="V88" i="30"/>
  <c r="V89" i="30"/>
  <c r="L44" i="22"/>
  <c r="L44" i="2"/>
  <c r="I44" i="28"/>
  <c r="I44" i="18"/>
  <c r="V55" i="30"/>
  <c r="V53" i="30" s="1"/>
  <c r="AE91" i="30"/>
  <c r="AE67" i="30"/>
  <c r="D86" i="14"/>
  <c r="D102" i="14"/>
  <c r="AL76" i="14"/>
  <c r="AL79" i="14"/>
  <c r="AL75" i="14"/>
  <c r="AL78" i="14"/>
  <c r="EF75" i="14"/>
  <c r="EF79" i="14"/>
  <c r="ED76" i="14"/>
  <c r="EB73" i="14"/>
  <c r="EB77" i="14"/>
  <c r="DZ74" i="14"/>
  <c r="DZ78" i="14"/>
  <c r="DX75" i="14"/>
  <c r="DX79" i="14"/>
  <c r="DV76" i="14"/>
  <c r="DT73" i="14"/>
  <c r="DT77" i="14"/>
  <c r="DR74" i="14"/>
  <c r="DR78" i="14"/>
  <c r="DP75" i="14"/>
  <c r="DP79" i="14"/>
  <c r="DN76" i="14"/>
  <c r="DL73" i="14"/>
  <c r="D74" i="14"/>
  <c r="B178" i="29"/>
  <c r="AH6" i="28"/>
  <c r="AK6" i="22"/>
  <c r="AH6" i="20"/>
  <c r="AU6" i="24"/>
  <c r="AI6" i="24"/>
  <c r="T97" i="21"/>
  <c r="I161" i="20"/>
  <c r="C169" i="29"/>
  <c r="E169" i="29"/>
  <c r="P169" i="29"/>
  <c r="D169" i="29"/>
  <c r="M169" i="29"/>
  <c r="L169" i="29"/>
  <c r="E170" i="29"/>
  <c r="K170" i="29"/>
  <c r="N170" i="29" s="1"/>
  <c r="O170" i="29"/>
  <c r="R170" i="29" s="1"/>
  <c r="C177" i="29"/>
  <c r="F177" i="29" s="1"/>
  <c r="G177" i="29"/>
  <c r="J177" i="29" s="1"/>
  <c r="K177" i="29"/>
  <c r="N177" i="29" s="1"/>
  <c r="O177" i="29"/>
  <c r="R177" i="29" s="1"/>
  <c r="H169" i="29"/>
  <c r="D170" i="29"/>
  <c r="I170" i="29"/>
  <c r="J170" i="29" s="1"/>
  <c r="C327" i="1"/>
  <c r="AI221" i="1"/>
  <c r="AD221" i="1" s="1"/>
  <c r="AI222" i="1"/>
  <c r="AD222" i="1" s="1"/>
  <c r="AH220" i="1"/>
  <c r="AC220" i="1" s="1"/>
  <c r="AI200" i="1"/>
  <c r="AD200" i="1" s="1"/>
  <c r="E200" i="1"/>
  <c r="E201" i="1" s="1"/>
  <c r="AI201" i="1"/>
  <c r="AD201" i="1" s="1"/>
  <c r="AI199" i="1"/>
  <c r="AD199" i="1" s="1"/>
  <c r="AH184" i="1"/>
  <c r="AI227" i="1"/>
  <c r="AD227" i="1" s="1"/>
  <c r="AI226" i="1"/>
  <c r="AD226" i="1" s="1"/>
  <c r="AI224" i="1"/>
  <c r="AD224" i="1" s="1"/>
  <c r="AI216" i="1"/>
  <c r="AD216" i="1" s="1"/>
  <c r="AI210" i="1"/>
  <c r="AD210" i="1" s="1"/>
  <c r="AI202" i="1"/>
  <c r="AD202" i="1" s="1"/>
  <c r="AI217" i="1"/>
  <c r="AD217" i="1" s="1"/>
  <c r="AI215" i="1"/>
  <c r="AD215" i="1" s="1"/>
  <c r="AI209" i="1"/>
  <c r="AD209" i="1" s="1"/>
  <c r="AI204" i="1"/>
  <c r="AD204" i="1" s="1"/>
  <c r="AI198" i="1"/>
  <c r="AD198" i="1" s="1"/>
  <c r="AI212" i="1"/>
  <c r="AD212" i="1" s="1"/>
  <c r="AI205" i="1"/>
  <c r="AD205" i="1" s="1"/>
  <c r="AI197" i="1"/>
  <c r="AD197" i="1" s="1"/>
  <c r="AI228" i="1"/>
  <c r="AD228" i="1" s="1"/>
  <c r="AI219" i="1"/>
  <c r="AD219" i="1" s="1"/>
  <c r="AI225" i="1"/>
  <c r="AD225" i="1" s="1"/>
  <c r="B251" i="1"/>
  <c r="AR263" i="1" s="1"/>
  <c r="AP37" i="22"/>
  <c r="AP36" i="22"/>
  <c r="AP8" i="22"/>
  <c r="AP10" i="22"/>
  <c r="AP12" i="22"/>
  <c r="AP14" i="22"/>
  <c r="AP16" i="22"/>
  <c r="AP18" i="22"/>
  <c r="AP20" i="22"/>
  <c r="AP22" i="22"/>
  <c r="AP24" i="22"/>
  <c r="AP26" i="22"/>
  <c r="AP28" i="22"/>
  <c r="AP30" i="22"/>
  <c r="AP32" i="22"/>
  <c r="AP34" i="22"/>
  <c r="S97" i="22"/>
  <c r="T97" i="22" s="1"/>
  <c r="AP38" i="23"/>
  <c r="AP37" i="23"/>
  <c r="AP36" i="23"/>
  <c r="S101" i="23"/>
  <c r="T101" i="23" s="1"/>
  <c r="AP8" i="23"/>
  <c r="AP10" i="23"/>
  <c r="AP12" i="23"/>
  <c r="AP14" i="23"/>
  <c r="AP16" i="23"/>
  <c r="AP18" i="23"/>
  <c r="AP20" i="23"/>
  <c r="AP22" i="23"/>
  <c r="AP24" i="23"/>
  <c r="AP26" i="23"/>
  <c r="AP28" i="23"/>
  <c r="AP30" i="23"/>
  <c r="AP32" i="23"/>
  <c r="AP34" i="23"/>
  <c r="T165" i="16"/>
  <c r="AU163" i="16" s="1"/>
  <c r="V165" i="16"/>
  <c r="V169" i="16" s="1"/>
  <c r="V171" i="16" s="1"/>
  <c r="Q165" i="16"/>
  <c r="U165" i="16"/>
  <c r="N165" i="16"/>
  <c r="R165" i="16"/>
  <c r="AO163" i="16" s="1"/>
  <c r="AO165" i="16" s="1"/>
  <c r="W165" i="16"/>
  <c r="AU6" i="22"/>
  <c r="AI6" i="22"/>
  <c r="Q129" i="29"/>
  <c r="G76" i="28"/>
  <c r="G243" i="28"/>
  <c r="L69" i="28"/>
  <c r="H87" i="21"/>
  <c r="H164" i="21" s="1"/>
  <c r="H89" i="21"/>
  <c r="K87" i="21"/>
  <c r="J164" i="21" s="1"/>
  <c r="K89" i="21"/>
  <c r="O44" i="20"/>
  <c r="N140" i="30"/>
  <c r="J65" i="30"/>
  <c r="I44" i="27"/>
  <c r="K89" i="25"/>
  <c r="AU6" i="20"/>
  <c r="AI6" i="20"/>
  <c r="U89" i="25"/>
  <c r="C9" i="2"/>
  <c r="T133" i="30"/>
  <c r="Q134" i="30"/>
  <c r="T136" i="30"/>
  <c r="N137" i="30"/>
  <c r="L44" i="27"/>
  <c r="L44" i="23"/>
  <c r="I44" i="23"/>
  <c r="AI91" i="30"/>
  <c r="AI84" i="30" s="1"/>
  <c r="AI67" i="30"/>
  <c r="AI61" i="30" s="1"/>
  <c r="D80" i="14"/>
  <c r="D96" i="14"/>
  <c r="G220" i="2"/>
  <c r="C27" i="30"/>
  <c r="G221" i="2" s="1"/>
  <c r="I85" i="22"/>
  <c r="I88" i="22" s="1"/>
  <c r="E45" i="15"/>
  <c r="E32" i="15"/>
  <c r="AK6" i="24"/>
  <c r="AU6" i="26"/>
  <c r="AI6" i="26"/>
  <c r="AU6" i="18"/>
  <c r="AI6" i="18"/>
  <c r="T97" i="23"/>
  <c r="T97" i="25"/>
  <c r="G68" i="19"/>
  <c r="E123" i="29" s="1"/>
  <c r="C169" i="19"/>
  <c r="C182" i="19" s="1"/>
  <c r="U65" i="19" s="1"/>
  <c r="U66" i="2" s="1"/>
  <c r="T67" i="21"/>
  <c r="I68" i="21" s="1"/>
  <c r="H132" i="29" s="1"/>
  <c r="I161" i="22"/>
  <c r="Q169" i="29"/>
  <c r="Y134" i="1"/>
  <c r="AD134" i="1"/>
  <c r="B261" i="1"/>
  <c r="A359" i="1"/>
  <c r="A312" i="1"/>
  <c r="G233" i="28"/>
  <c r="G192" i="1"/>
  <c r="G61" i="20"/>
  <c r="G81" i="20" s="1"/>
  <c r="G61" i="21"/>
  <c r="G81" i="21" s="1"/>
  <c r="G61" i="26"/>
  <c r="G81" i="26" s="1"/>
  <c r="G61" i="27"/>
  <c r="G81" i="27" s="1"/>
  <c r="G61" i="19"/>
  <c r="G81" i="19" s="1"/>
  <c r="G61" i="18"/>
  <c r="G81" i="18" s="1"/>
  <c r="G61" i="2"/>
  <c r="G81" i="2" s="1"/>
  <c r="AR262" i="1"/>
  <c r="G61" i="24"/>
  <c r="G81" i="24" s="1"/>
  <c r="G61" i="25"/>
  <c r="G81" i="25" s="1"/>
  <c r="I87" i="26"/>
  <c r="I164" i="26" s="1"/>
  <c r="I89" i="26"/>
  <c r="H87" i="26"/>
  <c r="H164" i="26" s="1"/>
  <c r="S104" i="26"/>
  <c r="T104" i="26" s="1"/>
  <c r="S103" i="26"/>
  <c r="T103" i="26" s="1"/>
  <c r="T80" i="26"/>
  <c r="U80" i="26" s="1"/>
  <c r="U89" i="26" s="1"/>
  <c r="S97" i="26"/>
  <c r="F179" i="16"/>
  <c r="G180" i="16"/>
  <c r="R96" i="18"/>
  <c r="T97" i="24"/>
  <c r="U89" i="21"/>
  <c r="Z72" i="2"/>
  <c r="G68" i="22"/>
  <c r="I123" i="29" s="1"/>
  <c r="C169" i="22"/>
  <c r="C182" i="22" s="1"/>
  <c r="U65" i="22" s="1"/>
  <c r="U66" i="22" s="1"/>
  <c r="G67" i="27"/>
  <c r="S67" i="27" s="1"/>
  <c r="P122" i="29" s="1"/>
  <c r="G76" i="22"/>
  <c r="J133" i="29"/>
  <c r="AH114" i="1"/>
  <c r="M186" i="1" s="1"/>
  <c r="AH186" i="1"/>
  <c r="AI13" i="30" s="1"/>
  <c r="AG151" i="30" s="1"/>
  <c r="AI195" i="1"/>
  <c r="AD195" i="1" s="1"/>
  <c r="AG193" i="1"/>
  <c r="AB193" i="1" s="1"/>
  <c r="J231" i="1"/>
  <c r="C172" i="1"/>
  <c r="H161" i="22"/>
  <c r="S104" i="22"/>
  <c r="T104" i="22" s="1"/>
  <c r="S101" i="21"/>
  <c r="T101" i="21" s="1"/>
  <c r="S103" i="21"/>
  <c r="T103" i="21" s="1"/>
  <c r="AN114" i="14"/>
  <c r="AN174" i="14"/>
  <c r="C61" i="20"/>
  <c r="G67" i="20"/>
  <c r="S67" i="20" s="1"/>
  <c r="G122" i="29" s="1"/>
  <c r="O73" i="24"/>
  <c r="N277" i="28"/>
  <c r="I87" i="24"/>
  <c r="I164" i="24" s="1"/>
  <c r="H87" i="24"/>
  <c r="H164" i="24" s="1"/>
  <c r="I89" i="24"/>
  <c r="R96" i="27"/>
  <c r="R96" i="23"/>
  <c r="T97" i="26"/>
  <c r="U89" i="22"/>
  <c r="Z72" i="18"/>
  <c r="G68" i="20"/>
  <c r="G123" i="29" s="1"/>
  <c r="C169" i="28"/>
  <c r="C182" i="28" s="1"/>
  <c r="U65" i="28" s="1"/>
  <c r="T67" i="28" s="1"/>
  <c r="I68" i="28" s="1"/>
  <c r="Q132" i="29" s="1"/>
  <c r="G68" i="28"/>
  <c r="Q123" i="29" s="1"/>
  <c r="J136" i="29"/>
  <c r="L152" i="29"/>
  <c r="B262" i="1"/>
  <c r="A313" i="1"/>
  <c r="G62" i="21"/>
  <c r="H62" i="21"/>
  <c r="H85" i="21" s="1"/>
  <c r="H88" i="21" s="1"/>
  <c r="H163" i="2"/>
  <c r="H163" i="18"/>
  <c r="H163" i="27"/>
  <c r="H163" i="20"/>
  <c r="H163" i="26"/>
  <c r="H163" i="24"/>
  <c r="H163" i="28"/>
  <c r="H163" i="21"/>
  <c r="G67" i="21"/>
  <c r="S67" i="21" s="1"/>
  <c r="H122" i="29" s="1"/>
  <c r="T67" i="24"/>
  <c r="I68" i="24" s="1"/>
  <c r="L132" i="29" s="1"/>
  <c r="M129" i="29"/>
  <c r="F125" i="29"/>
  <c r="H65" i="21"/>
  <c r="H65" i="20"/>
  <c r="H201" i="29"/>
  <c r="H65" i="24"/>
  <c r="H72" i="26"/>
  <c r="H72" i="25"/>
  <c r="H71" i="2"/>
  <c r="H71" i="18"/>
  <c r="H71" i="22"/>
  <c r="H71" i="27"/>
  <c r="H71" i="26"/>
  <c r="E212" i="1"/>
  <c r="E213" i="1" s="1"/>
  <c r="AI213" i="1"/>
  <c r="AD213" i="1" s="1"/>
  <c r="Y133" i="1"/>
  <c r="AH208" i="1"/>
  <c r="AC208" i="1" s="1"/>
  <c r="AN38" i="28"/>
  <c r="N280" i="28"/>
  <c r="O73" i="27"/>
  <c r="N62" i="20"/>
  <c r="B259" i="1"/>
  <c r="A310" i="1"/>
  <c r="B311" i="1" s="1"/>
  <c r="B327" i="1" s="1"/>
  <c r="A340" i="1"/>
  <c r="B340" i="1" s="1"/>
  <c r="R9" i="30"/>
  <c r="J152" i="15"/>
  <c r="C69" i="15" s="1"/>
  <c r="C96" i="15" s="1"/>
  <c r="H35" i="1"/>
  <c r="G68" i="24"/>
  <c r="L123" i="29" s="1"/>
  <c r="T67" i="25"/>
  <c r="I68" i="25" s="1"/>
  <c r="M132" i="29" s="1"/>
  <c r="R128" i="29"/>
  <c r="AF140" i="1"/>
  <c r="AK140" i="1" s="1"/>
  <c r="Y139" i="1"/>
  <c r="Q139" i="1" s="1"/>
  <c r="H65" i="2"/>
  <c r="AI207" i="1"/>
  <c r="AD207" i="1" s="1"/>
  <c r="AG205" i="1"/>
  <c r="AB205" i="1" s="1"/>
  <c r="AI206" i="1"/>
  <c r="AD206" i="1" s="1"/>
  <c r="Y132" i="1"/>
  <c r="AH188" i="1"/>
  <c r="AH189" i="1" s="1"/>
  <c r="AH190" i="1" s="1"/>
  <c r="T116" i="1" s="1"/>
  <c r="C178" i="1"/>
  <c r="AB231" i="1"/>
  <c r="AM38" i="19"/>
  <c r="CJ204" i="14" s="1"/>
  <c r="AM10" i="19"/>
  <c r="CJ176" i="14" s="1"/>
  <c r="C174" i="14"/>
  <c r="D174" i="14" s="1"/>
  <c r="Z69" i="2"/>
  <c r="B260" i="1"/>
  <c r="V9" i="30"/>
  <c r="A358" i="1"/>
  <c r="B363" i="1" s="1"/>
  <c r="B376" i="1" s="1"/>
  <c r="A311" i="1"/>
  <c r="Y138" i="1"/>
  <c r="Q138" i="1" s="1"/>
  <c r="AB188" i="1"/>
  <c r="AB189" i="1" s="1"/>
  <c r="AB190" i="1" s="1"/>
  <c r="T100" i="1" s="1"/>
  <c r="Z69" i="20"/>
  <c r="V8" i="25"/>
  <c r="V7" i="25" s="1"/>
  <c r="V8" i="24"/>
  <c r="G169" i="29"/>
  <c r="V8" i="20"/>
  <c r="AM34" i="19"/>
  <c r="CJ200" i="14" s="1"/>
  <c r="G62" i="18"/>
  <c r="G85" i="18" s="1"/>
  <c r="G88" i="18" s="1"/>
  <c r="Z69" i="19"/>
  <c r="I69" i="2"/>
  <c r="N69" i="2" s="1"/>
  <c r="G78" i="2" s="1"/>
  <c r="Z69" i="18"/>
  <c r="Z71" i="2"/>
  <c r="T151" i="1"/>
  <c r="C212" i="25"/>
  <c r="C212" i="21"/>
  <c r="C170" i="16"/>
  <c r="B203" i="1"/>
  <c r="B215" i="1"/>
  <c r="X187" i="1"/>
  <c r="T187" i="1"/>
  <c r="P187" i="1"/>
  <c r="AC275" i="1"/>
  <c r="AC290" i="1" s="1"/>
  <c r="AL275" i="1"/>
  <c r="AL290" i="1" s="1"/>
  <c r="AU275" i="1"/>
  <c r="AU290" i="1" s="1"/>
  <c r="O44" i="25"/>
  <c r="R83" i="30"/>
  <c r="J55" i="30"/>
  <c r="AE75" i="30"/>
  <c r="AE71" i="30"/>
  <c r="AE78" i="30"/>
  <c r="AE76" i="30"/>
  <c r="AE72" i="30"/>
  <c r="AE77" i="30"/>
  <c r="AE73" i="30"/>
  <c r="AE69" i="30"/>
  <c r="J79" i="30"/>
  <c r="R79" i="30"/>
  <c r="AA79" i="30"/>
  <c r="AI79" i="30"/>
  <c r="AA62" i="30"/>
  <c r="AA58" i="30"/>
  <c r="AA66" i="30"/>
  <c r="AA63" i="30"/>
  <c r="AA59" i="30"/>
  <c r="AA64" i="30"/>
  <c r="AA60" i="30"/>
  <c r="E67" i="30"/>
  <c r="AR67" i="30"/>
  <c r="J62" i="30"/>
  <c r="J58" i="30"/>
  <c r="J66" i="30"/>
  <c r="J63" i="30"/>
  <c r="J59" i="30"/>
  <c r="J64" i="30"/>
  <c r="J60" i="30"/>
  <c r="W137" i="30"/>
  <c r="W134" i="30"/>
  <c r="N75" i="30"/>
  <c r="N71" i="30"/>
  <c r="N78" i="30"/>
  <c r="N76" i="30"/>
  <c r="N72" i="30"/>
  <c r="N77" i="30"/>
  <c r="N73" i="30"/>
  <c r="N69" i="30"/>
  <c r="O10" i="30"/>
  <c r="Q10" i="30"/>
  <c r="I220" i="2"/>
  <c r="W187" i="1"/>
  <c r="S187" i="1"/>
  <c r="O187" i="1"/>
  <c r="Y189" i="1"/>
  <c r="U189" i="1"/>
  <c r="Q189" i="1"/>
  <c r="B275" i="1"/>
  <c r="B290" i="1" s="1"/>
  <c r="Q139" i="30"/>
  <c r="Q133" i="30"/>
  <c r="N70" i="30"/>
  <c r="L44" i="25"/>
  <c r="AI88" i="30"/>
  <c r="AI85" i="30"/>
  <c r="R88" i="30"/>
  <c r="R84" i="30"/>
  <c r="R90" i="30"/>
  <c r="R89" i="30"/>
  <c r="R85" i="30"/>
  <c r="R81" i="30"/>
  <c r="R86" i="30"/>
  <c r="R82" i="30"/>
  <c r="V77" i="30"/>
  <c r="V73" i="30"/>
  <c r="V69" i="30"/>
  <c r="V74" i="30"/>
  <c r="V70" i="30"/>
  <c r="V75" i="30"/>
  <c r="V71" i="30"/>
  <c r="V78" i="30"/>
  <c r="AI76" i="14"/>
  <c r="E224" i="21"/>
  <c r="R187" i="1"/>
  <c r="I220" i="25"/>
  <c r="I220" i="19"/>
  <c r="K137" i="30"/>
  <c r="K134" i="30"/>
  <c r="N139" i="30"/>
  <c r="N136" i="30"/>
  <c r="N55" i="30"/>
  <c r="AE55" i="30"/>
  <c r="R64" i="30"/>
  <c r="R60" i="30"/>
  <c r="R65" i="30"/>
  <c r="R61" i="30"/>
  <c r="R57" i="30"/>
  <c r="R62" i="30"/>
  <c r="R58" i="30"/>
  <c r="R66" i="30"/>
  <c r="AD10" i="30"/>
  <c r="AL10" i="30"/>
  <c r="Y187" i="1"/>
  <c r="U187" i="1"/>
  <c r="W189" i="1"/>
  <c r="S189" i="1"/>
  <c r="E284" i="1"/>
  <c r="H140" i="30"/>
  <c r="H137" i="30"/>
  <c r="R59" i="30"/>
  <c r="R63" i="30"/>
  <c r="C212" i="18"/>
  <c r="C212" i="22"/>
  <c r="C212" i="26"/>
  <c r="C212" i="19"/>
  <c r="C212" i="23"/>
  <c r="C212" i="27"/>
  <c r="C212" i="20"/>
  <c r="C212" i="24"/>
  <c r="C212" i="28"/>
  <c r="AA86" i="30"/>
  <c r="AA82" i="30"/>
  <c r="AA87" i="30"/>
  <c r="AA83" i="30"/>
  <c r="AA88" i="30"/>
  <c r="AA84" i="30"/>
  <c r="AA90" i="30"/>
  <c r="E91" i="30"/>
  <c r="AR91" i="30"/>
  <c r="J86" i="30"/>
  <c r="J82" i="30"/>
  <c r="J87" i="30"/>
  <c r="J83" i="30"/>
  <c r="J88" i="30"/>
  <c r="J84" i="30"/>
  <c r="J90" i="30"/>
  <c r="AG135" i="14"/>
  <c r="AI55" i="30"/>
  <c r="R55" i="30"/>
  <c r="AK59" i="14"/>
  <c r="AK72" i="14" s="1"/>
  <c r="AK75" i="14" s="1"/>
  <c r="A12" i="29"/>
  <c r="A176" i="29" s="1"/>
  <c r="K188" i="29"/>
  <c r="AI114" i="14"/>
  <c r="AJ10" i="30"/>
  <c r="AI74" i="14"/>
  <c r="AI78" i="14"/>
  <c r="B136" i="15"/>
  <c r="E124" i="15"/>
  <c r="E224" i="25"/>
  <c r="AG128" i="14"/>
  <c r="AG114" i="14"/>
  <c r="AA55" i="30"/>
  <c r="AB10" i="30"/>
  <c r="AI75" i="14"/>
  <c r="AI79" i="14"/>
  <c r="D75" i="14"/>
  <c r="D79" i="14"/>
  <c r="D83" i="14"/>
  <c r="D87" i="14"/>
  <c r="D91" i="14"/>
  <c r="D95" i="14"/>
  <c r="D99" i="14"/>
  <c r="D103" i="14"/>
  <c r="U89" i="27"/>
  <c r="D77" i="14"/>
  <c r="D81" i="14"/>
  <c r="D85" i="14"/>
  <c r="D89" i="14"/>
  <c r="D93" i="14"/>
  <c r="D97" i="14"/>
  <c r="B339" i="1"/>
  <c r="U89" i="20"/>
  <c r="U89" i="18"/>
  <c r="U89" i="24"/>
  <c r="CM112" i="14"/>
  <c r="CN112" i="14"/>
  <c r="AM478" i="14"/>
  <c r="CE478" i="14" s="1"/>
  <c r="AM476" i="14"/>
  <c r="CE476" i="14" s="1"/>
  <c r="AM474" i="14"/>
  <c r="CE474" i="14" s="1"/>
  <c r="AM472" i="14"/>
  <c r="CE472" i="14" s="1"/>
  <c r="AM470" i="14"/>
  <c r="CE470" i="14" s="1"/>
  <c r="AM468" i="14"/>
  <c r="CE468" i="14" s="1"/>
  <c r="AM466" i="14"/>
  <c r="CE466" i="14" s="1"/>
  <c r="AM464" i="14"/>
  <c r="CE464" i="14" s="1"/>
  <c r="AM462" i="14"/>
  <c r="CE462" i="14" s="1"/>
  <c r="AM460" i="14"/>
  <c r="CE460" i="14" s="1"/>
  <c r="AM458" i="14"/>
  <c r="CE458" i="14" s="1"/>
  <c r="AM456" i="14"/>
  <c r="CE456" i="14" s="1"/>
  <c r="AM454" i="14"/>
  <c r="CE454" i="14" s="1"/>
  <c r="AM452" i="14"/>
  <c r="CE452" i="14" s="1"/>
  <c r="AM450" i="14"/>
  <c r="CE450" i="14" s="1"/>
  <c r="AM448" i="14"/>
  <c r="CE448" i="14" s="1"/>
  <c r="AM446" i="14"/>
  <c r="CE446" i="14" s="1"/>
  <c r="AM444" i="14"/>
  <c r="CE444" i="14" s="1"/>
  <c r="AM442" i="14"/>
  <c r="CE442" i="14" s="1"/>
  <c r="AM440" i="14"/>
  <c r="CE440" i="14" s="1"/>
  <c r="AM438" i="14"/>
  <c r="CE438" i="14" s="1"/>
  <c r="AM436" i="14"/>
  <c r="CE436" i="14" s="1"/>
  <c r="AM434" i="14"/>
  <c r="CE434" i="14" s="1"/>
  <c r="AM432" i="14"/>
  <c r="CE432" i="14" s="1"/>
  <c r="AM430" i="14"/>
  <c r="CE430" i="14" s="1"/>
  <c r="AM428" i="14"/>
  <c r="CE428" i="14" s="1"/>
  <c r="AM426" i="14"/>
  <c r="CE426" i="14" s="1"/>
  <c r="AM424" i="14"/>
  <c r="CE424" i="14" s="1"/>
  <c r="AM422" i="14"/>
  <c r="CE422" i="14" s="1"/>
  <c r="AM420" i="14"/>
  <c r="CE420" i="14" s="1"/>
  <c r="AM479" i="14"/>
  <c r="CE479" i="14" s="1"/>
  <c r="AM475" i="14"/>
  <c r="CE475" i="14" s="1"/>
  <c r="AM471" i="14"/>
  <c r="CE471" i="14" s="1"/>
  <c r="AM467" i="14"/>
  <c r="CE467" i="14" s="1"/>
  <c r="AM463" i="14"/>
  <c r="CE463" i="14" s="1"/>
  <c r="AM459" i="14"/>
  <c r="CE459" i="14" s="1"/>
  <c r="AM455" i="14"/>
  <c r="CE455" i="14" s="1"/>
  <c r="AM451" i="14"/>
  <c r="CE451" i="14" s="1"/>
  <c r="AM445" i="14"/>
  <c r="CE445" i="14" s="1"/>
  <c r="AM441" i="14"/>
  <c r="CE441" i="14" s="1"/>
  <c r="AM437" i="14"/>
  <c r="CE437" i="14" s="1"/>
  <c r="AM433" i="14"/>
  <c r="CE433" i="14" s="1"/>
  <c r="AM429" i="14"/>
  <c r="CE429" i="14" s="1"/>
  <c r="AM425" i="14"/>
  <c r="CE425" i="14" s="1"/>
  <c r="AM421" i="14"/>
  <c r="CE421" i="14" s="1"/>
  <c r="AM417" i="14"/>
  <c r="CE417" i="14" s="1"/>
  <c r="AM415" i="14"/>
  <c r="CE415" i="14" s="1"/>
  <c r="AM413" i="14"/>
  <c r="CE413" i="14" s="1"/>
  <c r="AM411" i="14"/>
  <c r="CE411" i="14" s="1"/>
  <c r="AM409" i="14"/>
  <c r="CE409" i="14" s="1"/>
  <c r="AM407" i="14"/>
  <c r="CE407" i="14" s="1"/>
  <c r="AM405" i="14"/>
  <c r="CE405" i="14" s="1"/>
  <c r="AM403" i="14"/>
  <c r="CE403" i="14" s="1"/>
  <c r="AM401" i="14"/>
  <c r="CE401" i="14" s="1"/>
  <c r="AM399" i="14"/>
  <c r="CE399" i="14" s="1"/>
  <c r="AM397" i="14"/>
  <c r="CE397" i="14" s="1"/>
  <c r="AM395" i="14"/>
  <c r="CE395" i="14" s="1"/>
  <c r="AM393" i="14"/>
  <c r="CE393" i="14" s="1"/>
  <c r="AM391" i="14"/>
  <c r="CE391" i="14" s="1"/>
  <c r="AM389" i="14"/>
  <c r="CE389" i="14" s="1"/>
  <c r="AM387" i="14"/>
  <c r="CE387" i="14" s="1"/>
  <c r="AM385" i="14"/>
  <c r="CE385" i="14" s="1"/>
  <c r="AM383" i="14"/>
  <c r="CE383" i="14" s="1"/>
  <c r="AM381" i="14"/>
  <c r="CE381" i="14" s="1"/>
  <c r="AM379" i="14"/>
  <c r="CE379" i="14" s="1"/>
  <c r="AM377" i="14"/>
  <c r="CE377" i="14" s="1"/>
  <c r="AM375" i="14"/>
  <c r="CE375" i="14" s="1"/>
  <c r="AM373" i="14"/>
  <c r="CE373" i="14" s="1"/>
  <c r="AM371" i="14"/>
  <c r="CE371" i="14" s="1"/>
  <c r="AM369" i="14"/>
  <c r="CE369" i="14" s="1"/>
  <c r="AM367" i="14"/>
  <c r="CE367" i="14" s="1"/>
  <c r="AM365" i="14"/>
  <c r="CE365" i="14" s="1"/>
  <c r="AM363" i="14"/>
  <c r="CE363" i="14" s="1"/>
  <c r="AM361" i="14"/>
  <c r="CE361" i="14" s="1"/>
  <c r="AM359" i="14"/>
  <c r="CE359" i="14" s="1"/>
  <c r="AM357" i="14"/>
  <c r="CE357" i="14" s="1"/>
  <c r="AM355" i="14"/>
  <c r="CE355" i="14" s="1"/>
  <c r="AM353" i="14"/>
  <c r="CE353" i="14" s="1"/>
  <c r="AM351" i="14"/>
  <c r="CE351" i="14" s="1"/>
  <c r="AM349" i="14"/>
  <c r="CE349" i="14" s="1"/>
  <c r="AM347" i="14"/>
  <c r="CE347" i="14" s="1"/>
  <c r="AM345" i="14"/>
  <c r="CE345" i="14" s="1"/>
  <c r="AM343" i="14"/>
  <c r="CE343" i="14" s="1"/>
  <c r="AM341" i="14"/>
  <c r="CE341" i="14" s="1"/>
  <c r="AM339" i="14"/>
  <c r="CE339" i="14" s="1"/>
  <c r="AM337" i="14"/>
  <c r="CE337" i="14" s="1"/>
  <c r="AM335" i="14"/>
  <c r="CE335" i="14" s="1"/>
  <c r="AM333" i="14"/>
  <c r="CE333" i="14" s="1"/>
  <c r="AM331" i="14"/>
  <c r="CE331" i="14" s="1"/>
  <c r="AM329" i="14"/>
  <c r="CE329" i="14" s="1"/>
  <c r="AM327" i="14"/>
  <c r="CE327" i="14" s="1"/>
  <c r="AM325" i="14"/>
  <c r="CE325" i="14" s="1"/>
  <c r="AM323" i="14"/>
  <c r="CE323" i="14" s="1"/>
  <c r="AM321" i="14"/>
  <c r="CE321" i="14" s="1"/>
  <c r="AM319" i="14"/>
  <c r="CE319" i="14" s="1"/>
  <c r="AM317" i="14"/>
  <c r="CE317" i="14" s="1"/>
  <c r="AM315" i="14"/>
  <c r="CE315" i="14" s="1"/>
  <c r="AM313" i="14"/>
  <c r="CE313" i="14" s="1"/>
  <c r="AM311" i="14"/>
  <c r="CE311" i="14" s="1"/>
  <c r="AM309" i="14"/>
  <c r="CE309" i="14" s="1"/>
  <c r="AM307" i="14"/>
  <c r="CE307" i="14" s="1"/>
  <c r="AM305" i="14"/>
  <c r="CE305" i="14" s="1"/>
  <c r="AM303" i="14"/>
  <c r="CE303" i="14" s="1"/>
  <c r="AM301" i="14"/>
  <c r="CE301" i="14" s="1"/>
  <c r="AM299" i="14"/>
  <c r="CE299" i="14" s="1"/>
  <c r="AM297" i="14"/>
  <c r="CE297" i="14" s="1"/>
  <c r="AM295" i="14"/>
  <c r="CE295" i="14" s="1"/>
  <c r="AM293" i="14"/>
  <c r="CE293" i="14" s="1"/>
  <c r="AM291" i="14"/>
  <c r="CE291" i="14" s="1"/>
  <c r="AM289" i="14"/>
  <c r="CE289" i="14" s="1"/>
  <c r="AM473" i="14"/>
  <c r="CE473" i="14" s="1"/>
  <c r="AM465" i="14"/>
  <c r="CE465" i="14" s="1"/>
  <c r="AM457" i="14"/>
  <c r="CE457" i="14" s="1"/>
  <c r="AM449" i="14"/>
  <c r="CE449" i="14" s="1"/>
  <c r="AM443" i="14"/>
  <c r="CE443" i="14" s="1"/>
  <c r="AM435" i="14"/>
  <c r="CE435" i="14" s="1"/>
  <c r="AM427" i="14"/>
  <c r="CE427" i="14" s="1"/>
  <c r="AM419" i="14"/>
  <c r="CE419" i="14" s="1"/>
  <c r="AM418" i="14"/>
  <c r="CE418" i="14" s="1"/>
  <c r="AM414" i="14"/>
  <c r="CE414" i="14" s="1"/>
  <c r="AM410" i="14"/>
  <c r="CE410" i="14" s="1"/>
  <c r="AM406" i="14"/>
  <c r="CE406" i="14" s="1"/>
  <c r="AM402" i="14"/>
  <c r="CE402" i="14" s="1"/>
  <c r="AM398" i="14"/>
  <c r="CE398" i="14" s="1"/>
  <c r="AM394" i="14"/>
  <c r="CE394" i="14" s="1"/>
  <c r="AM390" i="14"/>
  <c r="CE390" i="14" s="1"/>
  <c r="AM384" i="14"/>
  <c r="CE384" i="14" s="1"/>
  <c r="AM380" i="14"/>
  <c r="CE380" i="14" s="1"/>
  <c r="AM376" i="14"/>
  <c r="CE376" i="14" s="1"/>
  <c r="AM372" i="14"/>
  <c r="CE372" i="14" s="1"/>
  <c r="AM368" i="14"/>
  <c r="CE368" i="14" s="1"/>
  <c r="AM364" i="14"/>
  <c r="CE364" i="14" s="1"/>
  <c r="AM360" i="14"/>
  <c r="CE360" i="14" s="1"/>
  <c r="AM354" i="14"/>
  <c r="CE354" i="14" s="1"/>
  <c r="AM350" i="14"/>
  <c r="CE350" i="14" s="1"/>
  <c r="AM346" i="14"/>
  <c r="CE346" i="14" s="1"/>
  <c r="AM342" i="14"/>
  <c r="CE342" i="14" s="1"/>
  <c r="AM338" i="14"/>
  <c r="CE338" i="14" s="1"/>
  <c r="AM334" i="14"/>
  <c r="CE334" i="14" s="1"/>
  <c r="AM330" i="14"/>
  <c r="CE330" i="14" s="1"/>
  <c r="AM324" i="14"/>
  <c r="CE324" i="14" s="1"/>
  <c r="AM320" i="14"/>
  <c r="CE320" i="14" s="1"/>
  <c r="AM316" i="14"/>
  <c r="CE316" i="14" s="1"/>
  <c r="AM312" i="14"/>
  <c r="CE312" i="14" s="1"/>
  <c r="AM308" i="14"/>
  <c r="CE308" i="14" s="1"/>
  <c r="AM304" i="14"/>
  <c r="CE304" i="14" s="1"/>
  <c r="AM300" i="14"/>
  <c r="CE300" i="14" s="1"/>
  <c r="AM296" i="14"/>
  <c r="CE296" i="14" s="1"/>
  <c r="AM294" i="14"/>
  <c r="CE294" i="14" s="1"/>
  <c r="AM290" i="14"/>
  <c r="CE290" i="14" s="1"/>
  <c r="AM287" i="14"/>
  <c r="CE287" i="14" s="1"/>
  <c r="AM285" i="14"/>
  <c r="CE285" i="14" s="1"/>
  <c r="AM283" i="14"/>
  <c r="CE283" i="14" s="1"/>
  <c r="AM281" i="14"/>
  <c r="CE281" i="14" s="1"/>
  <c r="AM279" i="14"/>
  <c r="CE279" i="14" s="1"/>
  <c r="AM277" i="14"/>
  <c r="CE277" i="14" s="1"/>
  <c r="AM275" i="14"/>
  <c r="CE275" i="14" s="1"/>
  <c r="AM273" i="14"/>
  <c r="CE273" i="14" s="1"/>
  <c r="AM271" i="14"/>
  <c r="CE271" i="14" s="1"/>
  <c r="AM269" i="14"/>
  <c r="CE269" i="14" s="1"/>
  <c r="AM267" i="14"/>
  <c r="CE267" i="14" s="1"/>
  <c r="AM265" i="14"/>
  <c r="CE265" i="14" s="1"/>
  <c r="AM263" i="14"/>
  <c r="CE263" i="14" s="1"/>
  <c r="AM261" i="14"/>
  <c r="CE261" i="14" s="1"/>
  <c r="AM259" i="14"/>
  <c r="CE259" i="14" s="1"/>
  <c r="AM257" i="14"/>
  <c r="CE257" i="14" s="1"/>
  <c r="AM255" i="14"/>
  <c r="CE255" i="14" s="1"/>
  <c r="AM253" i="14"/>
  <c r="CE253" i="14" s="1"/>
  <c r="AM251" i="14"/>
  <c r="CE251" i="14" s="1"/>
  <c r="AM249" i="14"/>
  <c r="CE249" i="14" s="1"/>
  <c r="AM247" i="14"/>
  <c r="CE247" i="14" s="1"/>
  <c r="AM245" i="14"/>
  <c r="CE245" i="14" s="1"/>
  <c r="AM243" i="14"/>
  <c r="CE243" i="14" s="1"/>
  <c r="AM241" i="14"/>
  <c r="CE241" i="14" s="1"/>
  <c r="AM239" i="14"/>
  <c r="CE239" i="14" s="1"/>
  <c r="AM237" i="14"/>
  <c r="CE237" i="14" s="1"/>
  <c r="AM235" i="14"/>
  <c r="CE235" i="14" s="1"/>
  <c r="AM233" i="14"/>
  <c r="CE233" i="14" s="1"/>
  <c r="AM231" i="14"/>
  <c r="CE231" i="14" s="1"/>
  <c r="AM229" i="14"/>
  <c r="CE229" i="14" s="1"/>
  <c r="AM227" i="14"/>
  <c r="CE227" i="14" s="1"/>
  <c r="AM225" i="14"/>
  <c r="CE225" i="14" s="1"/>
  <c r="AM223" i="14"/>
  <c r="CE223" i="14" s="1"/>
  <c r="AM221" i="14"/>
  <c r="CE221" i="14" s="1"/>
  <c r="AM219" i="14"/>
  <c r="CE219" i="14" s="1"/>
  <c r="AM217" i="14"/>
  <c r="CE217" i="14" s="1"/>
  <c r="AM215" i="14"/>
  <c r="CE215" i="14" s="1"/>
  <c r="AM213" i="14"/>
  <c r="CE213" i="14" s="1"/>
  <c r="AM211" i="14"/>
  <c r="CE211" i="14" s="1"/>
  <c r="AM209" i="14"/>
  <c r="CE209" i="14" s="1"/>
  <c r="AM207" i="14"/>
  <c r="CE207" i="14" s="1"/>
  <c r="AM205" i="14"/>
  <c r="CE205" i="14" s="1"/>
  <c r="AM203" i="14"/>
  <c r="CE203" i="14" s="1"/>
  <c r="AM201" i="14"/>
  <c r="CE201" i="14" s="1"/>
  <c r="AM199" i="14"/>
  <c r="CE199" i="14" s="1"/>
  <c r="AM197" i="14"/>
  <c r="CE197" i="14" s="1"/>
  <c r="AM195" i="14"/>
  <c r="CE195" i="14" s="1"/>
  <c r="AM193" i="14"/>
  <c r="CE193" i="14" s="1"/>
  <c r="AM191" i="14"/>
  <c r="CE191" i="14" s="1"/>
  <c r="AM189" i="14"/>
  <c r="CE189" i="14" s="1"/>
  <c r="AM187" i="14"/>
  <c r="CE187" i="14" s="1"/>
  <c r="AM185" i="14"/>
  <c r="CE185" i="14" s="1"/>
  <c r="AM183" i="14"/>
  <c r="CE183" i="14" s="1"/>
  <c r="AM181" i="14"/>
  <c r="CE181" i="14" s="1"/>
  <c r="AM179" i="14"/>
  <c r="CE179" i="14" s="1"/>
  <c r="AM177" i="14"/>
  <c r="CE177" i="14" s="1"/>
  <c r="AM175" i="14"/>
  <c r="CE175" i="14" s="1"/>
  <c r="AM173" i="14"/>
  <c r="CE173" i="14" s="1"/>
  <c r="AM171" i="14"/>
  <c r="CE171" i="14" s="1"/>
  <c r="AM169" i="14"/>
  <c r="CE169" i="14" s="1"/>
  <c r="AM167" i="14"/>
  <c r="CE167" i="14" s="1"/>
  <c r="AM165" i="14"/>
  <c r="CE165" i="14" s="1"/>
  <c r="AM163" i="14"/>
  <c r="CE163" i="14" s="1"/>
  <c r="AM161" i="14"/>
  <c r="CE161" i="14" s="1"/>
  <c r="AM159" i="14"/>
  <c r="CE159" i="14" s="1"/>
  <c r="AM157" i="14"/>
  <c r="CE157" i="14" s="1"/>
  <c r="AM155" i="14"/>
  <c r="CE155" i="14" s="1"/>
  <c r="AM153" i="14"/>
  <c r="CE153" i="14" s="1"/>
  <c r="AM151" i="14"/>
  <c r="CE151" i="14" s="1"/>
  <c r="AM149" i="14"/>
  <c r="CE149" i="14" s="1"/>
  <c r="AM147" i="14"/>
  <c r="CE147" i="14" s="1"/>
  <c r="AM145" i="14"/>
  <c r="CE145" i="14" s="1"/>
  <c r="AM143" i="14"/>
  <c r="CE143" i="14" s="1"/>
  <c r="AM141" i="14"/>
  <c r="CE141" i="14" s="1"/>
  <c r="AM139" i="14"/>
  <c r="CE139" i="14" s="1"/>
  <c r="AM137" i="14"/>
  <c r="CE137" i="14" s="1"/>
  <c r="AM135" i="14"/>
  <c r="CE135" i="14" s="1"/>
  <c r="AM133" i="14"/>
  <c r="CE133" i="14" s="1"/>
  <c r="AM131" i="14"/>
  <c r="CE131" i="14" s="1"/>
  <c r="AM129" i="14"/>
  <c r="CE129" i="14" s="1"/>
  <c r="AM127" i="14"/>
  <c r="CE127" i="14" s="1"/>
  <c r="AM125" i="14"/>
  <c r="CE125" i="14" s="1"/>
  <c r="AM123" i="14"/>
  <c r="CE123" i="14" s="1"/>
  <c r="AM121" i="14"/>
  <c r="CE121" i="14" s="1"/>
  <c r="AM119" i="14"/>
  <c r="CE119" i="14" s="1"/>
  <c r="AM117" i="14"/>
  <c r="CE117" i="14" s="1"/>
  <c r="AM115" i="14"/>
  <c r="CE115" i="14" s="1"/>
  <c r="AM286" i="14"/>
  <c r="CE286" i="14" s="1"/>
  <c r="AM282" i="14"/>
  <c r="CE282" i="14" s="1"/>
  <c r="AM278" i="14"/>
  <c r="CE278" i="14" s="1"/>
  <c r="AM274" i="14"/>
  <c r="CE274" i="14" s="1"/>
  <c r="AM270" i="14"/>
  <c r="CE270" i="14" s="1"/>
  <c r="AM266" i="14"/>
  <c r="CE266" i="14" s="1"/>
  <c r="AM264" i="14"/>
  <c r="CE264" i="14" s="1"/>
  <c r="AM260" i="14"/>
  <c r="CE260" i="14" s="1"/>
  <c r="AM256" i="14"/>
  <c r="CE256" i="14" s="1"/>
  <c r="AM252" i="14"/>
  <c r="CE252" i="14" s="1"/>
  <c r="AM248" i="14"/>
  <c r="CE248" i="14" s="1"/>
  <c r="AM244" i="14"/>
  <c r="CE244" i="14" s="1"/>
  <c r="AM240" i="14"/>
  <c r="CE240" i="14" s="1"/>
  <c r="AM236" i="14"/>
  <c r="CE236" i="14" s="1"/>
  <c r="AM234" i="14"/>
  <c r="CE234" i="14" s="1"/>
  <c r="AM230" i="14"/>
  <c r="CE230" i="14" s="1"/>
  <c r="AM226" i="14"/>
  <c r="CE226" i="14" s="1"/>
  <c r="AM222" i="14"/>
  <c r="CE222" i="14" s="1"/>
  <c r="AM218" i="14"/>
  <c r="CE218" i="14" s="1"/>
  <c r="AM214" i="14"/>
  <c r="CE214" i="14" s="1"/>
  <c r="AM210" i="14"/>
  <c r="CE210" i="14" s="1"/>
  <c r="AM206" i="14"/>
  <c r="CE206" i="14" s="1"/>
  <c r="AM204" i="14"/>
  <c r="CE204" i="14" s="1"/>
  <c r="AM200" i="14"/>
  <c r="CE200" i="14" s="1"/>
  <c r="AM196" i="14"/>
  <c r="CE196" i="14" s="1"/>
  <c r="AM192" i="14"/>
  <c r="CE192" i="14" s="1"/>
  <c r="AM188" i="14"/>
  <c r="CE188" i="14" s="1"/>
  <c r="AM184" i="14"/>
  <c r="CE184" i="14" s="1"/>
  <c r="AM180" i="14"/>
  <c r="CE180" i="14" s="1"/>
  <c r="AM176" i="14"/>
  <c r="CE176" i="14" s="1"/>
  <c r="AM170" i="14"/>
  <c r="CE170" i="14" s="1"/>
  <c r="AM166" i="14"/>
  <c r="CE166" i="14" s="1"/>
  <c r="AM162" i="14"/>
  <c r="CE162" i="14" s="1"/>
  <c r="AM158" i="14"/>
  <c r="CE158" i="14" s="1"/>
  <c r="AM154" i="14"/>
  <c r="CE154" i="14" s="1"/>
  <c r="AM150" i="14"/>
  <c r="CE150" i="14" s="1"/>
  <c r="AM146" i="14"/>
  <c r="CE146" i="14" s="1"/>
  <c r="AM144" i="14"/>
  <c r="CE144" i="14" s="1"/>
  <c r="AM140" i="14"/>
  <c r="CE140" i="14" s="1"/>
  <c r="AM138" i="14"/>
  <c r="CE138" i="14" s="1"/>
  <c r="AM134" i="14"/>
  <c r="CE134" i="14" s="1"/>
  <c r="AM132" i="14"/>
  <c r="CE132" i="14" s="1"/>
  <c r="AM128" i="14"/>
  <c r="CE128" i="14" s="1"/>
  <c r="AM126" i="14"/>
  <c r="CE126" i="14" s="1"/>
  <c r="AM122" i="14"/>
  <c r="CE122" i="14" s="1"/>
  <c r="AM118" i="14"/>
  <c r="CE118" i="14" s="1"/>
  <c r="AM116" i="14"/>
  <c r="CE116" i="14" s="1"/>
  <c r="AM469" i="14"/>
  <c r="CE469" i="14" s="1"/>
  <c r="AM453" i="14"/>
  <c r="CE453" i="14" s="1"/>
  <c r="AM439" i="14"/>
  <c r="CE439" i="14" s="1"/>
  <c r="AM423" i="14"/>
  <c r="CE423" i="14" s="1"/>
  <c r="AM412" i="14"/>
  <c r="CE412" i="14" s="1"/>
  <c r="AM404" i="14"/>
  <c r="CE404" i="14" s="1"/>
  <c r="AM396" i="14"/>
  <c r="CE396" i="14" s="1"/>
  <c r="AM388" i="14"/>
  <c r="CE388" i="14" s="1"/>
  <c r="AM382" i="14"/>
  <c r="CE382" i="14" s="1"/>
  <c r="AM374" i="14"/>
  <c r="CE374" i="14" s="1"/>
  <c r="AM366" i="14"/>
  <c r="CE366" i="14" s="1"/>
  <c r="AM358" i="14"/>
  <c r="CE358" i="14" s="1"/>
  <c r="AM352" i="14"/>
  <c r="CE352" i="14" s="1"/>
  <c r="AM344" i="14"/>
  <c r="CE344" i="14" s="1"/>
  <c r="AM336" i="14"/>
  <c r="CE336" i="14" s="1"/>
  <c r="AM328" i="14"/>
  <c r="CE328" i="14" s="1"/>
  <c r="AM322" i="14"/>
  <c r="CE322" i="14" s="1"/>
  <c r="AM314" i="14"/>
  <c r="CE314" i="14" s="1"/>
  <c r="AM306" i="14"/>
  <c r="CE306" i="14" s="1"/>
  <c r="AM298" i="14"/>
  <c r="CE298" i="14" s="1"/>
  <c r="AM292" i="14"/>
  <c r="CE292" i="14" s="1"/>
  <c r="AM477" i="14"/>
  <c r="CE477" i="14" s="1"/>
  <c r="AM447" i="14"/>
  <c r="CE447" i="14" s="1"/>
  <c r="AM408" i="14"/>
  <c r="CE408" i="14" s="1"/>
  <c r="AM392" i="14"/>
  <c r="CE392" i="14" s="1"/>
  <c r="AM378" i="14"/>
  <c r="CE378" i="14" s="1"/>
  <c r="AM362" i="14"/>
  <c r="CE362" i="14" s="1"/>
  <c r="AM348" i="14"/>
  <c r="CE348" i="14" s="1"/>
  <c r="AM332" i="14"/>
  <c r="CE332" i="14" s="1"/>
  <c r="AM318" i="14"/>
  <c r="CE318" i="14" s="1"/>
  <c r="AM302" i="14"/>
  <c r="CE302" i="14" s="1"/>
  <c r="AM228" i="14"/>
  <c r="CE228" i="14" s="1"/>
  <c r="AM220" i="14"/>
  <c r="CE220" i="14" s="1"/>
  <c r="AM212" i="14"/>
  <c r="CE212" i="14" s="1"/>
  <c r="AM198" i="14"/>
  <c r="CE198" i="14" s="1"/>
  <c r="AM190" i="14"/>
  <c r="CE190" i="14" s="1"/>
  <c r="AM182" i="14"/>
  <c r="CE182" i="14" s="1"/>
  <c r="AM174" i="14"/>
  <c r="CE174" i="14" s="1"/>
  <c r="AM461" i="14"/>
  <c r="CE461" i="14" s="1"/>
  <c r="AM431" i="14"/>
  <c r="CE431" i="14" s="1"/>
  <c r="AM416" i="14"/>
  <c r="CE416" i="14" s="1"/>
  <c r="AM400" i="14"/>
  <c r="CE400" i="14" s="1"/>
  <c r="AM386" i="14"/>
  <c r="CE386" i="14" s="1"/>
  <c r="AM370" i="14"/>
  <c r="CE370" i="14" s="1"/>
  <c r="AM356" i="14"/>
  <c r="CE356" i="14" s="1"/>
  <c r="AM340" i="14"/>
  <c r="CE340" i="14" s="1"/>
  <c r="AM326" i="14"/>
  <c r="CE326" i="14" s="1"/>
  <c r="AM310" i="14"/>
  <c r="CE310" i="14" s="1"/>
  <c r="AM288" i="14"/>
  <c r="CE288" i="14" s="1"/>
  <c r="AM280" i="14"/>
  <c r="CE280" i="14" s="1"/>
  <c r="AM272" i="14"/>
  <c r="CE272" i="14" s="1"/>
  <c r="AM258" i="14"/>
  <c r="CE258" i="14" s="1"/>
  <c r="AM250" i="14"/>
  <c r="CE250" i="14" s="1"/>
  <c r="AM242" i="14"/>
  <c r="CE242" i="14" s="1"/>
  <c r="AM172" i="14"/>
  <c r="CE172" i="14" s="1"/>
  <c r="AM164" i="14"/>
  <c r="CE164" i="14" s="1"/>
  <c r="AM156" i="14"/>
  <c r="CE156" i="14" s="1"/>
  <c r="AM148" i="14"/>
  <c r="CE148" i="14" s="1"/>
  <c r="AM136" i="14"/>
  <c r="CE136" i="14" s="1"/>
  <c r="AM124" i="14"/>
  <c r="CE124" i="14" s="1"/>
  <c r="AM114" i="14"/>
  <c r="AM284" i="14"/>
  <c r="CE284" i="14" s="1"/>
  <c r="AM268" i="14"/>
  <c r="CE268" i="14" s="1"/>
  <c r="AM254" i="14"/>
  <c r="CE254" i="14" s="1"/>
  <c r="AM238" i="14"/>
  <c r="CE238" i="14" s="1"/>
  <c r="AM232" i="14"/>
  <c r="CE232" i="14" s="1"/>
  <c r="AM216" i="14"/>
  <c r="CE216" i="14" s="1"/>
  <c r="AM202" i="14"/>
  <c r="CE202" i="14" s="1"/>
  <c r="AM186" i="14"/>
  <c r="CE186" i="14" s="1"/>
  <c r="AM160" i="14"/>
  <c r="CE160" i="14" s="1"/>
  <c r="AM130" i="14"/>
  <c r="CE130" i="14" s="1"/>
  <c r="AM120" i="14"/>
  <c r="CE120" i="14" s="1"/>
  <c r="AM276" i="14"/>
  <c r="CE276" i="14" s="1"/>
  <c r="AM262" i="14"/>
  <c r="CE262" i="14" s="1"/>
  <c r="AM246" i="14"/>
  <c r="CE246" i="14" s="1"/>
  <c r="AM224" i="14"/>
  <c r="CE224" i="14" s="1"/>
  <c r="AM208" i="14"/>
  <c r="CE208" i="14" s="1"/>
  <c r="AM178" i="14"/>
  <c r="CE178" i="14" s="1"/>
  <c r="AM168" i="14"/>
  <c r="CE168" i="14" s="1"/>
  <c r="AM142" i="14"/>
  <c r="CE142" i="14" s="1"/>
  <c r="AM194" i="14"/>
  <c r="CE194" i="14" s="1"/>
  <c r="AM152" i="14"/>
  <c r="CE152" i="14" s="1"/>
  <c r="O129" i="29"/>
  <c r="R125" i="29"/>
  <c r="U66" i="27"/>
  <c r="D61" i="23"/>
  <c r="D61" i="27"/>
  <c r="D61" i="26"/>
  <c r="D61" i="21"/>
  <c r="D61" i="25"/>
  <c r="U66" i="20"/>
  <c r="N127" i="29"/>
  <c r="L129" i="29"/>
  <c r="T126" i="29"/>
  <c r="Z72" i="21"/>
  <c r="Z72" i="23"/>
  <c r="Z72" i="24"/>
  <c r="Z72" i="26"/>
  <c r="Z72" i="27"/>
  <c r="U66" i="24"/>
  <c r="U66" i="25"/>
  <c r="U66" i="23"/>
  <c r="G129" i="29"/>
  <c r="J129" i="29" s="1"/>
  <c r="J125" i="29"/>
  <c r="T167" i="29"/>
  <c r="T116" i="29" s="1"/>
  <c r="T97" i="29"/>
  <c r="CK112" i="14"/>
  <c r="T67" i="19"/>
  <c r="I68" i="19" s="1"/>
  <c r="E132" i="29" s="1"/>
  <c r="U66" i="18"/>
  <c r="U66" i="19"/>
  <c r="K129" i="29"/>
  <c r="N125" i="29"/>
  <c r="T72" i="19"/>
  <c r="K272" i="28"/>
  <c r="E152" i="29"/>
  <c r="N128" i="29"/>
  <c r="P129" i="29"/>
  <c r="R127" i="29"/>
  <c r="I129" i="29"/>
  <c r="E129" i="29"/>
  <c r="D152" i="29"/>
  <c r="F127" i="29"/>
  <c r="D129" i="29"/>
  <c r="T72" i="22"/>
  <c r="K275" i="28"/>
  <c r="I152" i="29"/>
  <c r="K276" i="28"/>
  <c r="K152" i="29"/>
  <c r="AH193" i="1"/>
  <c r="AC193" i="1" s="1"/>
  <c r="AH194" i="1"/>
  <c r="AC194" i="1" s="1"/>
  <c r="AG195" i="1"/>
  <c r="AB195" i="1" s="1"/>
  <c r="AI193" i="1"/>
  <c r="AD193" i="1" s="1"/>
  <c r="E194" i="1"/>
  <c r="E195" i="1" s="1"/>
  <c r="AI194" i="1"/>
  <c r="AD194" i="1" s="1"/>
  <c r="AH195" i="1"/>
  <c r="AC195" i="1" s="1"/>
  <c r="S101" i="22"/>
  <c r="S103" i="22"/>
  <c r="AM32" i="22"/>
  <c r="CJ290" i="14" s="1"/>
  <c r="I169" i="29"/>
  <c r="S102" i="22"/>
  <c r="G68" i="21"/>
  <c r="H123" i="29" s="1"/>
  <c r="G68" i="25"/>
  <c r="M123" i="29" s="1"/>
  <c r="F128" i="29"/>
  <c r="J127" i="29"/>
  <c r="AE188" i="1"/>
  <c r="AE189" i="1" s="1"/>
  <c r="AE190" i="1" s="1"/>
  <c r="T108" i="1" s="1"/>
  <c r="AE9" i="30"/>
  <c r="K280" i="28"/>
  <c r="P152" i="29"/>
  <c r="M185" i="1"/>
  <c r="L185" i="1"/>
  <c r="N133" i="29"/>
  <c r="G76" i="25"/>
  <c r="B355" i="1"/>
  <c r="B368" i="1" s="1"/>
  <c r="B308" i="1"/>
  <c r="B324" i="1" s="1"/>
  <c r="AH140" i="1"/>
  <c r="AM140" i="1" s="1"/>
  <c r="AF141" i="1"/>
  <c r="AQ140" i="1"/>
  <c r="AR140" i="1" s="1"/>
  <c r="AG140" i="1"/>
  <c r="AL140" i="1" s="1"/>
  <c r="V192" i="1"/>
  <c r="AJ198" i="1" s="1"/>
  <c r="AE198" i="1" s="1"/>
  <c r="N233" i="28"/>
  <c r="C177" i="1"/>
  <c r="Z107" i="1" s="1"/>
  <c r="Y231" i="1"/>
  <c r="G62" i="28"/>
  <c r="K62" i="28"/>
  <c r="H62" i="28"/>
  <c r="N62" i="28"/>
  <c r="K234" i="28"/>
  <c r="N234" i="28"/>
  <c r="N278" i="28"/>
  <c r="H89" i="25"/>
  <c r="I87" i="25"/>
  <c r="I89" i="25"/>
  <c r="O73" i="25"/>
  <c r="S104" i="25"/>
  <c r="AM31" i="25"/>
  <c r="CJ381" i="14" s="1"/>
  <c r="S102" i="25"/>
  <c r="S101" i="24"/>
  <c r="S103" i="24"/>
  <c r="V9" i="23"/>
  <c r="S101" i="18"/>
  <c r="G161" i="18"/>
  <c r="S103" i="18"/>
  <c r="V9" i="18"/>
  <c r="S101" i="2"/>
  <c r="AM37" i="2"/>
  <c r="CJ143" i="14" s="1"/>
  <c r="AM36" i="2"/>
  <c r="CJ142" i="14" s="1"/>
  <c r="AM35" i="2"/>
  <c r="CJ141" i="14" s="1"/>
  <c r="AM34" i="2"/>
  <c r="CJ140" i="14" s="1"/>
  <c r="AM33" i="2"/>
  <c r="CJ139" i="14" s="1"/>
  <c r="AM32" i="2"/>
  <c r="CJ138" i="14" s="1"/>
  <c r="AM10" i="2"/>
  <c r="CJ116" i="14" s="1"/>
  <c r="AM9" i="2"/>
  <c r="CJ115" i="14" s="1"/>
  <c r="AM8" i="2"/>
  <c r="CJ114" i="14" s="1"/>
  <c r="S103" i="2"/>
  <c r="AP11" i="2"/>
  <c r="AP26" i="2"/>
  <c r="AM31" i="2"/>
  <c r="CJ137" i="14" s="1"/>
  <c r="AM30" i="2"/>
  <c r="CJ136" i="14" s="1"/>
  <c r="AM29" i="2"/>
  <c r="CJ135" i="14" s="1"/>
  <c r="AM28" i="2"/>
  <c r="CJ134" i="14" s="1"/>
  <c r="AM27" i="2"/>
  <c r="CJ133" i="14" s="1"/>
  <c r="AM26" i="2"/>
  <c r="CJ132" i="14" s="1"/>
  <c r="AQ11" i="2"/>
  <c r="AQ26" i="2"/>
  <c r="AP20" i="2"/>
  <c r="AM18" i="2"/>
  <c r="CJ124" i="14" s="1"/>
  <c r="AM16" i="2"/>
  <c r="CJ122" i="14" s="1"/>
  <c r="AM14" i="2"/>
  <c r="CJ120" i="14" s="1"/>
  <c r="AM12" i="2"/>
  <c r="CJ118" i="14" s="1"/>
  <c r="AQ20" i="2"/>
  <c r="AP38" i="2"/>
  <c r="U81" i="2"/>
  <c r="AM25" i="2"/>
  <c r="CJ131" i="14" s="1"/>
  <c r="AM23" i="2"/>
  <c r="CJ129" i="14" s="1"/>
  <c r="AM21" i="2"/>
  <c r="CJ127" i="14" s="1"/>
  <c r="AQ38" i="2"/>
  <c r="AM24" i="2"/>
  <c r="CJ130" i="14" s="1"/>
  <c r="AM20" i="2"/>
  <c r="CJ126" i="14" s="1"/>
  <c r="AM38" i="2"/>
  <c r="CJ144" i="14" s="1"/>
  <c r="AM17" i="2"/>
  <c r="CJ123" i="14" s="1"/>
  <c r="AM13" i="2"/>
  <c r="CJ119" i="14" s="1"/>
  <c r="S102" i="2"/>
  <c r="AM22" i="2"/>
  <c r="CJ128" i="14" s="1"/>
  <c r="AM15" i="2"/>
  <c r="CJ121" i="14" s="1"/>
  <c r="S104" i="2"/>
  <c r="AM11" i="2"/>
  <c r="CJ117" i="14" s="1"/>
  <c r="AM19" i="2"/>
  <c r="CJ125" i="14" s="1"/>
  <c r="AQ32" i="2"/>
  <c r="AP32" i="2"/>
  <c r="AQ139" i="1"/>
  <c r="M416" i="1"/>
  <c r="AE416" i="1"/>
  <c r="S416" i="1"/>
  <c r="AH416" i="1"/>
  <c r="V416" i="1"/>
  <c r="G416" i="1"/>
  <c r="Y416" i="1"/>
  <c r="B425" i="1"/>
  <c r="AB416" i="1"/>
  <c r="Q193" i="1"/>
  <c r="P193" i="1" s="1"/>
  <c r="Q195" i="1"/>
  <c r="P195" i="1" s="1"/>
  <c r="Q228" i="1"/>
  <c r="P228" i="1" s="1"/>
  <c r="Q198" i="1"/>
  <c r="P198" i="1" s="1"/>
  <c r="Q201" i="1"/>
  <c r="P201" i="1" s="1"/>
  <c r="Q204" i="1"/>
  <c r="P204" i="1" s="1"/>
  <c r="Q207" i="1"/>
  <c r="P207" i="1" s="1"/>
  <c r="Q210" i="1"/>
  <c r="P210" i="1" s="1"/>
  <c r="Q213" i="1"/>
  <c r="P213" i="1" s="1"/>
  <c r="Q216" i="1"/>
  <c r="P216" i="1" s="1"/>
  <c r="Q219" i="1"/>
  <c r="P219" i="1" s="1"/>
  <c r="Q222" i="1"/>
  <c r="P222" i="1" s="1"/>
  <c r="Q225" i="1"/>
  <c r="P225" i="1" s="1"/>
  <c r="Q226" i="1"/>
  <c r="P226" i="1" s="1"/>
  <c r="Q196" i="1"/>
  <c r="P196" i="1" s="1"/>
  <c r="Q199" i="1"/>
  <c r="P199" i="1" s="1"/>
  <c r="Q202" i="1"/>
  <c r="P202" i="1" s="1"/>
  <c r="Q205" i="1"/>
  <c r="P205" i="1" s="1"/>
  <c r="Q208" i="1"/>
  <c r="P208" i="1" s="1"/>
  <c r="Q211" i="1"/>
  <c r="P211" i="1" s="1"/>
  <c r="Q214" i="1"/>
  <c r="P214" i="1" s="1"/>
  <c r="Q217" i="1"/>
  <c r="P217" i="1" s="1"/>
  <c r="Q220" i="1"/>
  <c r="P220" i="1" s="1"/>
  <c r="Q223" i="1"/>
  <c r="P223" i="1" s="1"/>
  <c r="M184" i="1"/>
  <c r="L184" i="1"/>
  <c r="AH214" i="1"/>
  <c r="AC214" i="1" s="1"/>
  <c r="AH226" i="1"/>
  <c r="AC226" i="1" s="1"/>
  <c r="AH218" i="1"/>
  <c r="AC218" i="1" s="1"/>
  <c r="AH200" i="1"/>
  <c r="AC200" i="1" s="1"/>
  <c r="AH207" i="1"/>
  <c r="AC207" i="1" s="1"/>
  <c r="AH219" i="1"/>
  <c r="AC219" i="1" s="1"/>
  <c r="K192" i="1"/>
  <c r="AH202" i="1"/>
  <c r="AC202" i="1" s="1"/>
  <c r="AH216" i="1"/>
  <c r="AC216" i="1" s="1"/>
  <c r="AH228" i="1"/>
  <c r="AC228" i="1" s="1"/>
  <c r="AH215" i="1"/>
  <c r="AC215" i="1" s="1"/>
  <c r="AH227" i="1"/>
  <c r="AC227" i="1" s="1"/>
  <c r="AH205" i="1"/>
  <c r="AC205" i="1" s="1"/>
  <c r="AH217" i="1"/>
  <c r="AC217" i="1" s="1"/>
  <c r="N63" i="20"/>
  <c r="AM37" i="20"/>
  <c r="CJ234" i="14" s="1"/>
  <c r="AM35" i="20"/>
  <c r="CJ232" i="14" s="1"/>
  <c r="AM33" i="20"/>
  <c r="CJ230" i="14" s="1"/>
  <c r="AM31" i="20"/>
  <c r="CJ228" i="14" s="1"/>
  <c r="AM29" i="20"/>
  <c r="CJ226" i="14" s="1"/>
  <c r="AM27" i="20"/>
  <c r="CJ224" i="14" s="1"/>
  <c r="AM25" i="20"/>
  <c r="CJ222" i="14" s="1"/>
  <c r="AM23" i="20"/>
  <c r="CJ220" i="14" s="1"/>
  <c r="AM21" i="20"/>
  <c r="CJ218" i="14" s="1"/>
  <c r="AM19" i="20"/>
  <c r="CJ216" i="14" s="1"/>
  <c r="AM17" i="20"/>
  <c r="CJ214" i="14" s="1"/>
  <c r="AM15" i="20"/>
  <c r="CJ212" i="14" s="1"/>
  <c r="AM13" i="20"/>
  <c r="CJ210" i="14" s="1"/>
  <c r="AM11" i="20"/>
  <c r="CJ208" i="14" s="1"/>
  <c r="AM9" i="20"/>
  <c r="CJ206" i="14" s="1"/>
  <c r="AM34" i="20"/>
  <c r="CJ231" i="14" s="1"/>
  <c r="AM30" i="20"/>
  <c r="CJ227" i="14" s="1"/>
  <c r="AM26" i="20"/>
  <c r="CJ223" i="14" s="1"/>
  <c r="AM22" i="20"/>
  <c r="CJ219" i="14" s="1"/>
  <c r="AM18" i="20"/>
  <c r="CJ215" i="14" s="1"/>
  <c r="AM14" i="20"/>
  <c r="CJ211" i="14" s="1"/>
  <c r="AM10" i="20"/>
  <c r="CJ207" i="14" s="1"/>
  <c r="AM36" i="20"/>
  <c r="CJ233" i="14" s="1"/>
  <c r="AM28" i="20"/>
  <c r="CJ225" i="14" s="1"/>
  <c r="AM20" i="20"/>
  <c r="CJ217" i="14" s="1"/>
  <c r="AM12" i="20"/>
  <c r="CJ209" i="14" s="1"/>
  <c r="S102" i="20"/>
  <c r="AM32" i="20"/>
  <c r="CJ229" i="14" s="1"/>
  <c r="AM16" i="20"/>
  <c r="CJ213" i="14" s="1"/>
  <c r="S101" i="20"/>
  <c r="S103" i="20"/>
  <c r="AM24" i="20"/>
  <c r="CJ221" i="14" s="1"/>
  <c r="AM8" i="20"/>
  <c r="CJ205" i="14" s="1"/>
  <c r="H247" i="28"/>
  <c r="I245" i="28" s="1"/>
  <c r="B315" i="1"/>
  <c r="B331" i="1" s="1"/>
  <c r="B314" i="1"/>
  <c r="B330" i="1" s="1"/>
  <c r="G63" i="18"/>
  <c r="R79" i="18"/>
  <c r="S79" i="18" s="1"/>
  <c r="AI140" i="1"/>
  <c r="AN140" i="1" s="1"/>
  <c r="U25" i="1"/>
  <c r="Q224" i="1" s="1"/>
  <c r="P224" i="1" s="1"/>
  <c r="I156" i="27" s="1"/>
  <c r="I155" i="27" s="1"/>
  <c r="P151" i="1"/>
  <c r="Y137" i="1"/>
  <c r="Q137" i="1" s="1"/>
  <c r="AH225" i="1"/>
  <c r="AC225" i="1" s="1"/>
  <c r="AH223" i="1"/>
  <c r="AC223" i="1" s="1"/>
  <c r="AI223" i="1"/>
  <c r="AD223" i="1" s="1"/>
  <c r="AH224" i="1"/>
  <c r="AC224" i="1" s="1"/>
  <c r="AH213" i="1"/>
  <c r="AC213" i="1" s="1"/>
  <c r="AH211" i="1"/>
  <c r="AC211" i="1" s="1"/>
  <c r="AJ213" i="1"/>
  <c r="AE213" i="1" s="1"/>
  <c r="AI211" i="1"/>
  <c r="AD211" i="1" s="1"/>
  <c r="AH212" i="1"/>
  <c r="AC212" i="1" s="1"/>
  <c r="AG212" i="1"/>
  <c r="AB212" i="1" s="1"/>
  <c r="G161" i="21"/>
  <c r="R79" i="23"/>
  <c r="S79" i="23" s="1"/>
  <c r="G63" i="23"/>
  <c r="AM165" i="30"/>
  <c r="AQ141" i="1"/>
  <c r="AR141" i="1" s="1"/>
  <c r="N135" i="29"/>
  <c r="AH221" i="1"/>
  <c r="AC221" i="1" s="1"/>
  <c r="AH222" i="1"/>
  <c r="AC222" i="1" s="1"/>
  <c r="AJ222" i="1"/>
  <c r="AE222" i="1" s="1"/>
  <c r="AI220" i="1"/>
  <c r="AD220" i="1" s="1"/>
  <c r="E221" i="1"/>
  <c r="E222" i="1" s="1"/>
  <c r="AG221" i="1"/>
  <c r="AB221" i="1" s="1"/>
  <c r="AH209" i="1"/>
  <c r="AC209" i="1" s="1"/>
  <c r="AH210" i="1"/>
  <c r="AC210" i="1" s="1"/>
  <c r="AG210" i="1"/>
  <c r="AB210" i="1" s="1"/>
  <c r="AI208" i="1"/>
  <c r="AD208" i="1" s="1"/>
  <c r="E209" i="1"/>
  <c r="E210" i="1" s="1"/>
  <c r="AH197" i="1"/>
  <c r="AC197" i="1" s="1"/>
  <c r="AH198" i="1"/>
  <c r="AC198" i="1" s="1"/>
  <c r="AI196" i="1"/>
  <c r="AD196" i="1" s="1"/>
  <c r="E197" i="1"/>
  <c r="E198" i="1" s="1"/>
  <c r="AH196" i="1"/>
  <c r="AC196" i="1" s="1"/>
  <c r="AD131" i="1"/>
  <c r="Y131" i="1"/>
  <c r="AG219" i="1"/>
  <c r="AB219" i="1" s="1"/>
  <c r="AG201" i="1"/>
  <c r="AB201" i="1" s="1"/>
  <c r="AG206" i="1"/>
  <c r="AB206" i="1" s="1"/>
  <c r="O73" i="26"/>
  <c r="N279" i="28"/>
  <c r="G87" i="26"/>
  <c r="H89" i="26"/>
  <c r="G89" i="26"/>
  <c r="K87" i="26"/>
  <c r="J164" i="26" s="1"/>
  <c r="O169" i="29"/>
  <c r="S102" i="26"/>
  <c r="S101" i="26"/>
  <c r="N62" i="25"/>
  <c r="G62" i="25"/>
  <c r="H62" i="25"/>
  <c r="K62" i="25"/>
  <c r="N276" i="28"/>
  <c r="H89" i="23"/>
  <c r="I87" i="23"/>
  <c r="I164" i="23" s="1"/>
  <c r="I89" i="23"/>
  <c r="K169" i="29"/>
  <c r="S104" i="23"/>
  <c r="AM33" i="23"/>
  <c r="CJ321" i="14" s="1"/>
  <c r="S102" i="23"/>
  <c r="V17" i="22"/>
  <c r="N274" i="28"/>
  <c r="O73" i="21"/>
  <c r="G87" i="21"/>
  <c r="I87" i="21"/>
  <c r="I164" i="21" s="1"/>
  <c r="G89" i="21"/>
  <c r="I89" i="21"/>
  <c r="AM13" i="21"/>
  <c r="CJ240" i="14" s="1"/>
  <c r="H161" i="21"/>
  <c r="S104" i="21"/>
  <c r="N63" i="19"/>
  <c r="J161" i="19"/>
  <c r="R82" i="19"/>
  <c r="S82" i="19" s="1"/>
  <c r="R82" i="20"/>
  <c r="S82" i="20" s="1"/>
  <c r="AM21" i="21"/>
  <c r="CJ248" i="14" s="1"/>
  <c r="AM17" i="23"/>
  <c r="CJ305" i="14" s="1"/>
  <c r="Z71" i="18"/>
  <c r="H72" i="2"/>
  <c r="H72" i="28"/>
  <c r="H70" i="2"/>
  <c r="H70" i="28"/>
  <c r="H70" i="18"/>
  <c r="H70" i="20"/>
  <c r="H70" i="22"/>
  <c r="H70" i="24"/>
  <c r="H70" i="26"/>
  <c r="AH201" i="1"/>
  <c r="AC201" i="1" s="1"/>
  <c r="AH199" i="1"/>
  <c r="AC199" i="1" s="1"/>
  <c r="O73" i="28"/>
  <c r="N281" i="28"/>
  <c r="K62" i="27"/>
  <c r="N62" i="27"/>
  <c r="H62" i="27"/>
  <c r="V9" i="25"/>
  <c r="AM38" i="24"/>
  <c r="CJ357" i="14" s="1"/>
  <c r="AM36" i="24"/>
  <c r="CJ355" i="14" s="1"/>
  <c r="AM34" i="24"/>
  <c r="CJ353" i="14" s="1"/>
  <c r="AM32" i="24"/>
  <c r="CJ351" i="14" s="1"/>
  <c r="AM35" i="24"/>
  <c r="CJ354" i="14" s="1"/>
  <c r="AM31" i="24"/>
  <c r="CJ350" i="14" s="1"/>
  <c r="AM30" i="24"/>
  <c r="CJ349" i="14" s="1"/>
  <c r="AM28" i="24"/>
  <c r="CJ347" i="14" s="1"/>
  <c r="AM26" i="24"/>
  <c r="CJ345" i="14" s="1"/>
  <c r="AM24" i="24"/>
  <c r="CJ343" i="14" s="1"/>
  <c r="AM22" i="24"/>
  <c r="CJ341" i="14" s="1"/>
  <c r="AM20" i="24"/>
  <c r="CJ339" i="14" s="1"/>
  <c r="AM18" i="24"/>
  <c r="CJ337" i="14" s="1"/>
  <c r="AM16" i="24"/>
  <c r="CJ335" i="14" s="1"/>
  <c r="AM14" i="24"/>
  <c r="CJ333" i="14" s="1"/>
  <c r="AM12" i="24"/>
  <c r="CJ331" i="14" s="1"/>
  <c r="AM10" i="24"/>
  <c r="CJ329" i="14" s="1"/>
  <c r="AM8" i="24"/>
  <c r="CJ327" i="14" s="1"/>
  <c r="AM37" i="24"/>
  <c r="CJ356" i="14" s="1"/>
  <c r="AM27" i="24"/>
  <c r="CJ346" i="14" s="1"/>
  <c r="AM23" i="24"/>
  <c r="CJ342" i="14" s="1"/>
  <c r="AM19" i="24"/>
  <c r="CJ338" i="14" s="1"/>
  <c r="AM15" i="24"/>
  <c r="CJ334" i="14" s="1"/>
  <c r="AM11" i="24"/>
  <c r="CJ330" i="14" s="1"/>
  <c r="AM33" i="24"/>
  <c r="CJ352" i="14" s="1"/>
  <c r="AM29" i="24"/>
  <c r="CJ348" i="14" s="1"/>
  <c r="AM21" i="24"/>
  <c r="CJ340" i="14" s="1"/>
  <c r="AM13" i="24"/>
  <c r="CJ332" i="14" s="1"/>
  <c r="AM25" i="24"/>
  <c r="CJ344" i="14" s="1"/>
  <c r="AM9" i="24"/>
  <c r="CJ328" i="14" s="1"/>
  <c r="AM25" i="23"/>
  <c r="CJ313" i="14" s="1"/>
  <c r="AM37" i="22"/>
  <c r="CJ295" i="14" s="1"/>
  <c r="AM35" i="22"/>
  <c r="CJ293" i="14" s="1"/>
  <c r="AM33" i="22"/>
  <c r="CJ291" i="14" s="1"/>
  <c r="AM31" i="22"/>
  <c r="CJ289" i="14" s="1"/>
  <c r="AM29" i="22"/>
  <c r="CJ287" i="14" s="1"/>
  <c r="AM27" i="22"/>
  <c r="CJ285" i="14" s="1"/>
  <c r="AM25" i="22"/>
  <c r="CJ283" i="14" s="1"/>
  <c r="AM23" i="22"/>
  <c r="CJ281" i="14" s="1"/>
  <c r="AM21" i="22"/>
  <c r="CJ279" i="14" s="1"/>
  <c r="AM19" i="22"/>
  <c r="CJ277" i="14" s="1"/>
  <c r="AM17" i="22"/>
  <c r="CJ275" i="14" s="1"/>
  <c r="AM15" i="22"/>
  <c r="CJ273" i="14" s="1"/>
  <c r="AM13" i="22"/>
  <c r="CJ271" i="14" s="1"/>
  <c r="AM11" i="22"/>
  <c r="CJ269" i="14" s="1"/>
  <c r="AM9" i="22"/>
  <c r="CJ267" i="14" s="1"/>
  <c r="AM34" i="22"/>
  <c r="CJ292" i="14" s="1"/>
  <c r="AM30" i="22"/>
  <c r="CJ288" i="14" s="1"/>
  <c r="AM26" i="22"/>
  <c r="CJ284" i="14" s="1"/>
  <c r="AM22" i="22"/>
  <c r="CJ280" i="14" s="1"/>
  <c r="AM18" i="22"/>
  <c r="CJ276" i="14" s="1"/>
  <c r="AM14" i="22"/>
  <c r="CJ272" i="14" s="1"/>
  <c r="AM10" i="22"/>
  <c r="CJ268" i="14" s="1"/>
  <c r="AM36" i="22"/>
  <c r="CJ294" i="14" s="1"/>
  <c r="AM28" i="22"/>
  <c r="CJ286" i="14" s="1"/>
  <c r="AM20" i="22"/>
  <c r="CJ278" i="14" s="1"/>
  <c r="AM12" i="22"/>
  <c r="CJ270" i="14" s="1"/>
  <c r="AM24" i="22"/>
  <c r="CJ282" i="14" s="1"/>
  <c r="AM8" i="22"/>
  <c r="CJ266" i="14" s="1"/>
  <c r="AM31" i="21"/>
  <c r="CJ258" i="14" s="1"/>
  <c r="G63" i="20"/>
  <c r="G62" i="19"/>
  <c r="H62" i="19"/>
  <c r="K63" i="18"/>
  <c r="K62" i="19"/>
  <c r="U82" i="2"/>
  <c r="AM18" i="19"/>
  <c r="CJ184" i="14" s="1"/>
  <c r="H65" i="19"/>
  <c r="H65" i="23"/>
  <c r="H65" i="27"/>
  <c r="H65" i="18"/>
  <c r="H65" i="22"/>
  <c r="H65" i="26"/>
  <c r="Z70" i="18"/>
  <c r="AH206" i="1"/>
  <c r="AC206" i="1" s="1"/>
  <c r="AH203" i="1"/>
  <c r="AC203" i="1" s="1"/>
  <c r="AH204" i="1"/>
  <c r="AC204" i="1" s="1"/>
  <c r="M25" i="1"/>
  <c r="L151" i="1"/>
  <c r="K62" i="26"/>
  <c r="N62" i="26"/>
  <c r="H62" i="26"/>
  <c r="H62" i="23"/>
  <c r="K62" i="23"/>
  <c r="N62" i="23"/>
  <c r="K62" i="21"/>
  <c r="N62" i="21"/>
  <c r="AN26" i="2"/>
  <c r="AN11" i="2"/>
  <c r="AN32" i="2"/>
  <c r="AN38" i="2"/>
  <c r="AN20" i="2"/>
  <c r="K63" i="22"/>
  <c r="G62" i="26"/>
  <c r="G62" i="27"/>
  <c r="I70" i="18"/>
  <c r="C61" i="22"/>
  <c r="AM16" i="22"/>
  <c r="CJ274" i="14" s="1"/>
  <c r="AM17" i="24"/>
  <c r="CJ336" i="14" s="1"/>
  <c r="V9" i="28"/>
  <c r="N62" i="24"/>
  <c r="G62" i="24"/>
  <c r="G161" i="24" s="1"/>
  <c r="N62" i="22"/>
  <c r="G62" i="22"/>
  <c r="AM36" i="18"/>
  <c r="CJ173" i="14" s="1"/>
  <c r="AM35" i="18"/>
  <c r="CJ172" i="14" s="1"/>
  <c r="AM34" i="18"/>
  <c r="CJ171" i="14" s="1"/>
  <c r="AM33" i="18"/>
  <c r="CJ170" i="14" s="1"/>
  <c r="AM32" i="18"/>
  <c r="CJ169" i="14" s="1"/>
  <c r="AM31" i="18"/>
  <c r="CJ168" i="14" s="1"/>
  <c r="AM30" i="18"/>
  <c r="CJ167" i="14" s="1"/>
  <c r="AM29" i="18"/>
  <c r="CJ166" i="14" s="1"/>
  <c r="AM28" i="18"/>
  <c r="CJ165" i="14" s="1"/>
  <c r="AM27" i="18"/>
  <c r="CJ164" i="14" s="1"/>
  <c r="AM26" i="18"/>
  <c r="CJ163" i="14" s="1"/>
  <c r="AM25" i="18"/>
  <c r="CJ162" i="14" s="1"/>
  <c r="AM24" i="18"/>
  <c r="CJ161" i="14" s="1"/>
  <c r="AM23" i="18"/>
  <c r="CJ160" i="14" s="1"/>
  <c r="AM22" i="18"/>
  <c r="CJ159" i="14" s="1"/>
  <c r="AM21" i="18"/>
  <c r="CJ158" i="14" s="1"/>
  <c r="AM20" i="18"/>
  <c r="CJ157" i="14" s="1"/>
  <c r="AM19" i="18"/>
  <c r="CJ156" i="14" s="1"/>
  <c r="AM18" i="18"/>
  <c r="CJ155" i="14" s="1"/>
  <c r="AM17" i="18"/>
  <c r="CJ154" i="14" s="1"/>
  <c r="AM16" i="18"/>
  <c r="CJ153" i="14" s="1"/>
  <c r="AM15" i="18"/>
  <c r="CJ152" i="14" s="1"/>
  <c r="AM14" i="18"/>
  <c r="CJ151" i="14" s="1"/>
  <c r="AM13" i="18"/>
  <c r="CJ150" i="14" s="1"/>
  <c r="AM12" i="18"/>
  <c r="CJ149" i="14" s="1"/>
  <c r="AM11" i="18"/>
  <c r="CJ148" i="14" s="1"/>
  <c r="AM10" i="18"/>
  <c r="CJ147" i="14" s="1"/>
  <c r="AM9" i="18"/>
  <c r="CJ146" i="14" s="1"/>
  <c r="AM8" i="18"/>
  <c r="CJ145" i="14" s="1"/>
  <c r="K62" i="2"/>
  <c r="G62" i="2"/>
  <c r="H62" i="2"/>
  <c r="N62" i="18"/>
  <c r="H62" i="20"/>
  <c r="K62" i="24"/>
  <c r="Y151" i="1"/>
  <c r="AM14" i="19"/>
  <c r="CJ180" i="14" s="1"/>
  <c r="AM22" i="19"/>
  <c r="CJ188" i="14" s="1"/>
  <c r="AM30" i="19"/>
  <c r="CJ196" i="14" s="1"/>
  <c r="AM9" i="23"/>
  <c r="CJ297" i="14" s="1"/>
  <c r="V8" i="26"/>
  <c r="I72" i="2"/>
  <c r="I72" i="18" s="1"/>
  <c r="I72" i="19" s="1"/>
  <c r="I72" i="20" s="1"/>
  <c r="I72" i="21" s="1"/>
  <c r="I72" i="22" s="1"/>
  <c r="I72" i="23" s="1"/>
  <c r="I72" i="24" s="1"/>
  <c r="I72" i="25" s="1"/>
  <c r="I72" i="26" s="1"/>
  <c r="I72" i="27" s="1"/>
  <c r="I72" i="28" s="1"/>
  <c r="I71" i="2"/>
  <c r="AM38" i="28"/>
  <c r="CJ479" i="14" s="1"/>
  <c r="AM37" i="28"/>
  <c r="CJ478" i="14" s="1"/>
  <c r="AM36" i="28"/>
  <c r="CJ477" i="14" s="1"/>
  <c r="AM35" i="28"/>
  <c r="CJ476" i="14" s="1"/>
  <c r="AM34" i="28"/>
  <c r="CJ475" i="14" s="1"/>
  <c r="AM33" i="28"/>
  <c r="CJ474" i="14" s="1"/>
  <c r="AM32" i="28"/>
  <c r="CJ473" i="14" s="1"/>
  <c r="AM31" i="28"/>
  <c r="CJ472" i="14" s="1"/>
  <c r="AM30" i="28"/>
  <c r="CJ471" i="14" s="1"/>
  <c r="AM29" i="28"/>
  <c r="CJ470" i="14" s="1"/>
  <c r="AM28" i="28"/>
  <c r="CJ469" i="14" s="1"/>
  <c r="AM27" i="28"/>
  <c r="CJ468" i="14" s="1"/>
  <c r="AM26" i="28"/>
  <c r="CJ467" i="14" s="1"/>
  <c r="AM25" i="28"/>
  <c r="CJ466" i="14" s="1"/>
  <c r="AM24" i="28"/>
  <c r="CJ465" i="14" s="1"/>
  <c r="AM23" i="28"/>
  <c r="CJ464" i="14" s="1"/>
  <c r="AM22" i="28"/>
  <c r="CJ463" i="14" s="1"/>
  <c r="AM21" i="28"/>
  <c r="CJ462" i="14" s="1"/>
  <c r="AM20" i="28"/>
  <c r="CJ461" i="14" s="1"/>
  <c r="AM19" i="28"/>
  <c r="CJ460" i="14" s="1"/>
  <c r="AM18" i="28"/>
  <c r="CJ459" i="14" s="1"/>
  <c r="AM17" i="28"/>
  <c r="CJ458" i="14" s="1"/>
  <c r="AM16" i="28"/>
  <c r="CJ457" i="14" s="1"/>
  <c r="AM15" i="28"/>
  <c r="CJ456" i="14" s="1"/>
  <c r="AM14" i="28"/>
  <c r="CJ455" i="14" s="1"/>
  <c r="AM13" i="28"/>
  <c r="CJ454" i="14" s="1"/>
  <c r="AM12" i="28"/>
  <c r="CJ453" i="14" s="1"/>
  <c r="AM11" i="28"/>
  <c r="CJ452" i="14" s="1"/>
  <c r="AM10" i="28"/>
  <c r="CJ451" i="14" s="1"/>
  <c r="AM9" i="28"/>
  <c r="CJ450" i="14" s="1"/>
  <c r="AM8" i="28"/>
  <c r="CJ449" i="14" s="1"/>
  <c r="AQ38" i="28"/>
  <c r="AP38" i="28"/>
  <c r="AM37" i="27"/>
  <c r="CJ448" i="14" s="1"/>
  <c r="AM36" i="27"/>
  <c r="CJ447" i="14" s="1"/>
  <c r="AM35" i="27"/>
  <c r="CJ446" i="14" s="1"/>
  <c r="AM34" i="27"/>
  <c r="CJ445" i="14" s="1"/>
  <c r="AM33" i="27"/>
  <c r="CJ444" i="14" s="1"/>
  <c r="AM32" i="27"/>
  <c r="CJ443" i="14" s="1"/>
  <c r="AM31" i="27"/>
  <c r="CJ442" i="14" s="1"/>
  <c r="AM30" i="27"/>
  <c r="CJ441" i="14" s="1"/>
  <c r="AM29" i="27"/>
  <c r="CJ440" i="14" s="1"/>
  <c r="AM28" i="27"/>
  <c r="CJ439" i="14" s="1"/>
  <c r="AM27" i="27"/>
  <c r="CJ438" i="14" s="1"/>
  <c r="AM26" i="27"/>
  <c r="CJ437" i="14" s="1"/>
  <c r="AM25" i="27"/>
  <c r="CJ436" i="14" s="1"/>
  <c r="AM24" i="27"/>
  <c r="CJ435" i="14" s="1"/>
  <c r="AM23" i="27"/>
  <c r="CJ434" i="14" s="1"/>
  <c r="AM22" i="27"/>
  <c r="CJ433" i="14" s="1"/>
  <c r="AM21" i="27"/>
  <c r="CJ432" i="14" s="1"/>
  <c r="AM20" i="27"/>
  <c r="CJ431" i="14" s="1"/>
  <c r="AM19" i="27"/>
  <c r="CJ430" i="14" s="1"/>
  <c r="AM18" i="27"/>
  <c r="CJ429" i="14" s="1"/>
  <c r="AM17" i="27"/>
  <c r="CJ428" i="14" s="1"/>
  <c r="AM16" i="27"/>
  <c r="CJ427" i="14" s="1"/>
  <c r="AM15" i="27"/>
  <c r="CJ426" i="14" s="1"/>
  <c r="AM14" i="27"/>
  <c r="CJ425" i="14" s="1"/>
  <c r="AM13" i="27"/>
  <c r="CJ424" i="14" s="1"/>
  <c r="AM12" i="27"/>
  <c r="CJ423" i="14" s="1"/>
  <c r="AM11" i="27"/>
  <c r="CJ422" i="14" s="1"/>
  <c r="AM10" i="27"/>
  <c r="CJ421" i="14" s="1"/>
  <c r="AM9" i="27"/>
  <c r="CJ420" i="14" s="1"/>
  <c r="AM8" i="27"/>
  <c r="CJ419" i="14" s="1"/>
  <c r="AM38" i="26"/>
  <c r="CJ418" i="14" s="1"/>
  <c r="AM37" i="26"/>
  <c r="CJ417" i="14" s="1"/>
  <c r="AM36" i="26"/>
  <c r="CJ416" i="14" s="1"/>
  <c r="AM35" i="26"/>
  <c r="CJ415" i="14" s="1"/>
  <c r="AM34" i="26"/>
  <c r="CJ414" i="14" s="1"/>
  <c r="AM33" i="26"/>
  <c r="CJ413" i="14" s="1"/>
  <c r="AM32" i="26"/>
  <c r="CJ412" i="14" s="1"/>
  <c r="AM31" i="26"/>
  <c r="CJ411" i="14" s="1"/>
  <c r="AM30" i="26"/>
  <c r="CJ410" i="14" s="1"/>
  <c r="AM29" i="26"/>
  <c r="CJ409" i="14" s="1"/>
  <c r="AM28" i="26"/>
  <c r="CJ408" i="14" s="1"/>
  <c r="AM27" i="26"/>
  <c r="CJ407" i="14" s="1"/>
  <c r="AM26" i="26"/>
  <c r="CJ406" i="14" s="1"/>
  <c r="AM25" i="26"/>
  <c r="CJ405" i="14" s="1"/>
  <c r="AM24" i="26"/>
  <c r="CJ404" i="14" s="1"/>
  <c r="AM23" i="26"/>
  <c r="CJ403" i="14" s="1"/>
  <c r="AM22" i="26"/>
  <c r="CJ402" i="14" s="1"/>
  <c r="AM21" i="26"/>
  <c r="CJ401" i="14" s="1"/>
  <c r="AM20" i="26"/>
  <c r="CJ400" i="14" s="1"/>
  <c r="AM19" i="26"/>
  <c r="CJ399" i="14" s="1"/>
  <c r="AM18" i="26"/>
  <c r="CJ398" i="14" s="1"/>
  <c r="AM17" i="26"/>
  <c r="CJ397" i="14" s="1"/>
  <c r="AM16" i="26"/>
  <c r="CJ396" i="14" s="1"/>
  <c r="AM15" i="26"/>
  <c r="CJ395" i="14" s="1"/>
  <c r="AM14" i="26"/>
  <c r="CJ394" i="14" s="1"/>
  <c r="AM13" i="26"/>
  <c r="CJ393" i="14" s="1"/>
  <c r="AM12" i="26"/>
  <c r="CJ392" i="14" s="1"/>
  <c r="AM11" i="26"/>
  <c r="CJ391" i="14" s="1"/>
  <c r="AM10" i="26"/>
  <c r="CJ390" i="14" s="1"/>
  <c r="AM9" i="26"/>
  <c r="CJ389" i="14" s="1"/>
  <c r="AM8" i="26"/>
  <c r="CJ388" i="14" s="1"/>
  <c r="AM36" i="25"/>
  <c r="CJ386" i="14" s="1"/>
  <c r="AM34" i="25"/>
  <c r="CJ384" i="14" s="1"/>
  <c r="AM32" i="25"/>
  <c r="CJ382" i="14" s="1"/>
  <c r="AM30" i="25"/>
  <c r="CJ380" i="14" s="1"/>
  <c r="AM28" i="25"/>
  <c r="CJ378" i="14" s="1"/>
  <c r="AM26" i="25"/>
  <c r="CJ376" i="14" s="1"/>
  <c r="AM24" i="25"/>
  <c r="CJ374" i="14" s="1"/>
  <c r="AM22" i="25"/>
  <c r="CJ372" i="14" s="1"/>
  <c r="AM20" i="25"/>
  <c r="CJ370" i="14" s="1"/>
  <c r="AM18" i="25"/>
  <c r="CJ368" i="14" s="1"/>
  <c r="AM16" i="25"/>
  <c r="CJ366" i="14" s="1"/>
  <c r="AM14" i="25"/>
  <c r="CJ364" i="14" s="1"/>
  <c r="AM12" i="25"/>
  <c r="CJ362" i="14" s="1"/>
  <c r="AM10" i="25"/>
  <c r="CJ360" i="14" s="1"/>
  <c r="AM8" i="25"/>
  <c r="CJ358" i="14" s="1"/>
  <c r="AM37" i="25"/>
  <c r="CJ387" i="14" s="1"/>
  <c r="AM33" i="25"/>
  <c r="CJ383" i="14" s="1"/>
  <c r="AM29" i="25"/>
  <c r="CJ379" i="14" s="1"/>
  <c r="AM25" i="25"/>
  <c r="CJ375" i="14" s="1"/>
  <c r="AM21" i="25"/>
  <c r="CJ371" i="14" s="1"/>
  <c r="AM17" i="25"/>
  <c r="CJ367" i="14" s="1"/>
  <c r="AM13" i="25"/>
  <c r="CJ363" i="14" s="1"/>
  <c r="AM9" i="25"/>
  <c r="CJ359" i="14" s="1"/>
  <c r="AM35" i="25"/>
  <c r="CJ385" i="14" s="1"/>
  <c r="AM27" i="25"/>
  <c r="CJ377" i="14" s="1"/>
  <c r="AM19" i="25"/>
  <c r="CJ369" i="14" s="1"/>
  <c r="AM11" i="25"/>
  <c r="CJ361" i="14" s="1"/>
  <c r="AM23" i="25"/>
  <c r="CJ373" i="14" s="1"/>
  <c r="AM38" i="23"/>
  <c r="CJ326" i="14" s="1"/>
  <c r="AM36" i="23"/>
  <c r="CJ324" i="14" s="1"/>
  <c r="AM34" i="23"/>
  <c r="CJ322" i="14" s="1"/>
  <c r="AM32" i="23"/>
  <c r="CJ320" i="14" s="1"/>
  <c r="AM30" i="23"/>
  <c r="CJ318" i="14" s="1"/>
  <c r="AM28" i="23"/>
  <c r="CJ316" i="14" s="1"/>
  <c r="AM26" i="23"/>
  <c r="CJ314" i="14" s="1"/>
  <c r="AM24" i="23"/>
  <c r="CJ312" i="14" s="1"/>
  <c r="AM22" i="23"/>
  <c r="CJ310" i="14" s="1"/>
  <c r="AM20" i="23"/>
  <c r="CJ308" i="14" s="1"/>
  <c r="AM18" i="23"/>
  <c r="CJ306" i="14" s="1"/>
  <c r="AM16" i="23"/>
  <c r="CJ304" i="14" s="1"/>
  <c r="AM14" i="23"/>
  <c r="CJ302" i="14" s="1"/>
  <c r="AM12" i="23"/>
  <c r="CJ300" i="14" s="1"/>
  <c r="AM10" i="23"/>
  <c r="CJ298" i="14" s="1"/>
  <c r="AM8" i="23"/>
  <c r="CJ296" i="14" s="1"/>
  <c r="AM35" i="23"/>
  <c r="CJ323" i="14" s="1"/>
  <c r="AM31" i="23"/>
  <c r="CJ319" i="14" s="1"/>
  <c r="AM27" i="23"/>
  <c r="CJ315" i="14" s="1"/>
  <c r="AM23" i="23"/>
  <c r="CJ311" i="14" s="1"/>
  <c r="AM19" i="23"/>
  <c r="CJ307" i="14" s="1"/>
  <c r="AM15" i="23"/>
  <c r="CJ303" i="14" s="1"/>
  <c r="AM11" i="23"/>
  <c r="CJ299" i="14" s="1"/>
  <c r="AM37" i="23"/>
  <c r="CJ325" i="14" s="1"/>
  <c r="AM29" i="23"/>
  <c r="CJ317" i="14" s="1"/>
  <c r="AM21" i="23"/>
  <c r="CJ309" i="14" s="1"/>
  <c r="AM13" i="23"/>
  <c r="CJ301" i="14" s="1"/>
  <c r="AM38" i="21"/>
  <c r="CJ265" i="14" s="1"/>
  <c r="AM36" i="21"/>
  <c r="CJ263" i="14" s="1"/>
  <c r="AM34" i="21"/>
  <c r="CJ261" i="14" s="1"/>
  <c r="AM32" i="21"/>
  <c r="CJ259" i="14" s="1"/>
  <c r="AM30" i="21"/>
  <c r="CJ257" i="14" s="1"/>
  <c r="AM28" i="21"/>
  <c r="CJ255" i="14" s="1"/>
  <c r="AM37" i="21"/>
  <c r="CJ264" i="14" s="1"/>
  <c r="AM33" i="21"/>
  <c r="CJ260" i="14" s="1"/>
  <c r="AM29" i="21"/>
  <c r="CJ256" i="14" s="1"/>
  <c r="AM26" i="21"/>
  <c r="CJ253" i="14" s="1"/>
  <c r="AM24" i="21"/>
  <c r="CJ251" i="14" s="1"/>
  <c r="AM22" i="21"/>
  <c r="CJ249" i="14" s="1"/>
  <c r="AM20" i="21"/>
  <c r="CJ247" i="14" s="1"/>
  <c r="AM18" i="21"/>
  <c r="CJ245" i="14" s="1"/>
  <c r="AM16" i="21"/>
  <c r="CJ243" i="14" s="1"/>
  <c r="AM14" i="21"/>
  <c r="CJ241" i="14" s="1"/>
  <c r="AM12" i="21"/>
  <c r="CJ239" i="14" s="1"/>
  <c r="AM10" i="21"/>
  <c r="CJ237" i="14" s="1"/>
  <c r="AM8" i="21"/>
  <c r="CJ235" i="14" s="1"/>
  <c r="AM35" i="21"/>
  <c r="CJ262" i="14" s="1"/>
  <c r="AM27" i="21"/>
  <c r="CJ254" i="14" s="1"/>
  <c r="AM23" i="21"/>
  <c r="CJ250" i="14" s="1"/>
  <c r="AM19" i="21"/>
  <c r="CJ246" i="14" s="1"/>
  <c r="AM15" i="21"/>
  <c r="CJ242" i="14" s="1"/>
  <c r="AM11" i="21"/>
  <c r="CJ238" i="14" s="1"/>
  <c r="AM37" i="19"/>
  <c r="CJ203" i="14" s="1"/>
  <c r="AM35" i="19"/>
  <c r="CJ201" i="14" s="1"/>
  <c r="AM33" i="19"/>
  <c r="CJ199" i="14" s="1"/>
  <c r="AM31" i="19"/>
  <c r="CJ197" i="14" s="1"/>
  <c r="AM29" i="19"/>
  <c r="CJ195" i="14" s="1"/>
  <c r="AM27" i="19"/>
  <c r="CJ193" i="14" s="1"/>
  <c r="AM25" i="19"/>
  <c r="CJ191" i="14" s="1"/>
  <c r="AM23" i="19"/>
  <c r="CJ189" i="14" s="1"/>
  <c r="AM21" i="19"/>
  <c r="CJ187" i="14" s="1"/>
  <c r="AM19" i="19"/>
  <c r="CJ185" i="14" s="1"/>
  <c r="AM17" i="19"/>
  <c r="CJ183" i="14" s="1"/>
  <c r="AM15" i="19"/>
  <c r="CJ181" i="14" s="1"/>
  <c r="AM13" i="19"/>
  <c r="CJ179" i="14" s="1"/>
  <c r="AM11" i="19"/>
  <c r="CJ177" i="14" s="1"/>
  <c r="AM9" i="19"/>
  <c r="CJ175" i="14" s="1"/>
  <c r="AM36" i="19"/>
  <c r="CJ202" i="14" s="1"/>
  <c r="AM32" i="19"/>
  <c r="CJ198" i="14" s="1"/>
  <c r="AM28" i="19"/>
  <c r="CJ194" i="14" s="1"/>
  <c r="AM24" i="19"/>
  <c r="CJ190" i="14" s="1"/>
  <c r="AM20" i="19"/>
  <c r="CJ186" i="14" s="1"/>
  <c r="AM16" i="19"/>
  <c r="CJ182" i="14" s="1"/>
  <c r="AM12" i="19"/>
  <c r="CJ178" i="14" s="1"/>
  <c r="AM8" i="19"/>
  <c r="CJ174" i="14" s="1"/>
  <c r="H62" i="24"/>
  <c r="H71" i="28"/>
  <c r="I70" i="19"/>
  <c r="I70" i="20" s="1"/>
  <c r="I70" i="21" s="1"/>
  <c r="I70" i="22" s="1"/>
  <c r="I70" i="23" s="1"/>
  <c r="I70" i="24" s="1"/>
  <c r="I70" i="25" s="1"/>
  <c r="I70" i="26" s="1"/>
  <c r="I70" i="27" s="1"/>
  <c r="I70" i="28" s="1"/>
  <c r="N62" i="2"/>
  <c r="AM9" i="21"/>
  <c r="CJ236" i="14" s="1"/>
  <c r="AM17" i="21"/>
  <c r="CJ244" i="14" s="1"/>
  <c r="AM25" i="21"/>
  <c r="CJ252" i="14" s="1"/>
  <c r="AM15" i="25"/>
  <c r="CJ365" i="14" s="1"/>
  <c r="Z71" i="19"/>
  <c r="V8" i="19"/>
  <c r="Z70" i="19"/>
  <c r="E175" i="14"/>
  <c r="B174" i="14"/>
  <c r="BF165" i="16"/>
  <c r="BC165" i="16"/>
  <c r="AQ165" i="16"/>
  <c r="AE165" i="16"/>
  <c r="AZ165" i="16"/>
  <c r="AU165" i="16"/>
  <c r="AN165" i="16"/>
  <c r="AB165" i="16"/>
  <c r="AH165" i="16"/>
  <c r="BD165" i="16"/>
  <c r="AK165" i="16"/>
  <c r="AT165" i="16"/>
  <c r="AW165" i="16"/>
  <c r="B420" i="1"/>
  <c r="D411" i="1"/>
  <c r="J9" i="30"/>
  <c r="B257" i="1"/>
  <c r="AL111" i="14"/>
  <c r="N169" i="16"/>
  <c r="AC163" i="16"/>
  <c r="AC25" i="1"/>
  <c r="B114" i="14"/>
  <c r="E115" i="14"/>
  <c r="C114" i="14"/>
  <c r="V10" i="2"/>
  <c r="BA163" i="16"/>
  <c r="BA165" i="16" s="1"/>
  <c r="F180" i="16"/>
  <c r="G179" i="16" s="1"/>
  <c r="R13" i="16" s="1"/>
  <c r="F177" i="16"/>
  <c r="BD163" i="16"/>
  <c r="W168" i="16"/>
  <c r="F178" i="16"/>
  <c r="G177" i="16" s="1"/>
  <c r="O165" i="16"/>
  <c r="S165" i="16"/>
  <c r="M165" i="16"/>
  <c r="P165" i="16"/>
  <c r="L186" i="1" l="1"/>
  <c r="C10" i="22"/>
  <c r="I27" i="1"/>
  <c r="J20" i="30" s="1"/>
  <c r="AI57" i="30"/>
  <c r="AI64" i="30"/>
  <c r="V9" i="27"/>
  <c r="V7" i="27"/>
  <c r="L142" i="14"/>
  <c r="AI142" i="14" s="1"/>
  <c r="AI60" i="30"/>
  <c r="C33" i="30"/>
  <c r="AI128" i="14"/>
  <c r="AI62" i="30"/>
  <c r="F170" i="29"/>
  <c r="T170" i="29" s="1"/>
  <c r="AI58" i="30"/>
  <c r="AI65" i="30"/>
  <c r="AI66" i="30"/>
  <c r="N169" i="29"/>
  <c r="E12" i="29"/>
  <c r="E176" i="29" s="1"/>
  <c r="V54" i="30"/>
  <c r="L87" i="2"/>
  <c r="C120" i="29" s="1"/>
  <c r="V47" i="30"/>
  <c r="Q12" i="29"/>
  <c r="Q176" i="29" s="1"/>
  <c r="L87" i="19"/>
  <c r="E120" i="29" s="1"/>
  <c r="C12" i="29"/>
  <c r="C176" i="29" s="1"/>
  <c r="D12" i="29"/>
  <c r="D176" i="29" s="1"/>
  <c r="AI87" i="30"/>
  <c r="AI82" i="30"/>
  <c r="AI89" i="30"/>
  <c r="AI83" i="30"/>
  <c r="AI86" i="30"/>
  <c r="AI90" i="30"/>
  <c r="V9" i="21"/>
  <c r="V10" i="21" s="1"/>
  <c r="AI81" i="30"/>
  <c r="Q13" i="16"/>
  <c r="B162" i="28" s="1"/>
  <c r="F169" i="29"/>
  <c r="L87" i="27"/>
  <c r="P120" i="29" s="1"/>
  <c r="P12" i="29"/>
  <c r="P176" i="29" s="1"/>
  <c r="J169" i="29"/>
  <c r="V51" i="30"/>
  <c r="V45" i="30"/>
  <c r="L87" i="28"/>
  <c r="Q120" i="29" s="1"/>
  <c r="U89" i="2"/>
  <c r="V48" i="30"/>
  <c r="V46" i="30"/>
  <c r="V49" i="30"/>
  <c r="L87" i="18"/>
  <c r="D120" i="29" s="1"/>
  <c r="L87" i="24"/>
  <c r="L120" i="29" s="1"/>
  <c r="V52" i="30"/>
  <c r="V50" i="30"/>
  <c r="V9" i="20"/>
  <c r="V7" i="20"/>
  <c r="I76" i="27"/>
  <c r="L71" i="27"/>
  <c r="B406" i="1"/>
  <c r="B415" i="1" s="1"/>
  <c r="B303" i="1"/>
  <c r="AG214" i="1"/>
  <c r="AB214" i="1" s="1"/>
  <c r="AG217" i="1"/>
  <c r="AB217" i="1" s="1"/>
  <c r="AG211" i="1"/>
  <c r="AB211" i="1" s="1"/>
  <c r="AG196" i="1"/>
  <c r="AB196" i="1" s="1"/>
  <c r="F192" i="1"/>
  <c r="AG223" i="1"/>
  <c r="AB223" i="1" s="1"/>
  <c r="AG202" i="1"/>
  <c r="AB202" i="1" s="1"/>
  <c r="AG226" i="1"/>
  <c r="AB226" i="1" s="1"/>
  <c r="AG208" i="1"/>
  <c r="AB208" i="1" s="1"/>
  <c r="I220" i="20"/>
  <c r="C24" i="15"/>
  <c r="C90" i="15" s="1"/>
  <c r="C103" i="18"/>
  <c r="C103" i="20"/>
  <c r="C103" i="22"/>
  <c r="C103" i="24"/>
  <c r="C103" i="26"/>
  <c r="C103" i="28"/>
  <c r="C103" i="21"/>
  <c r="C103" i="2"/>
  <c r="B127" i="29"/>
  <c r="B135" i="29" s="1"/>
  <c r="B143" i="29" s="1"/>
  <c r="B151" i="29" s="1"/>
  <c r="B159" i="29" s="1"/>
  <c r="C103" i="19"/>
  <c r="C103" i="27"/>
  <c r="B174" i="29"/>
  <c r="C103" i="23"/>
  <c r="C103" i="25"/>
  <c r="B345" i="1"/>
  <c r="AG215" i="1"/>
  <c r="AB215" i="1" s="1"/>
  <c r="AG204" i="1"/>
  <c r="AB204" i="1" s="1"/>
  <c r="AG197" i="1"/>
  <c r="AB197" i="1" s="1"/>
  <c r="AG198" i="1"/>
  <c r="AB198" i="1" s="1"/>
  <c r="AG209" i="1"/>
  <c r="AB209" i="1" s="1"/>
  <c r="AJ210" i="1"/>
  <c r="AE210" i="1" s="1"/>
  <c r="B356" i="1"/>
  <c r="B369" i="1" s="1"/>
  <c r="U66" i="26"/>
  <c r="B343" i="1"/>
  <c r="T150" i="1"/>
  <c r="AC27" i="1"/>
  <c r="V20" i="30" s="1"/>
  <c r="Z69" i="22"/>
  <c r="Z69" i="21"/>
  <c r="S149" i="30"/>
  <c r="C104" i="30"/>
  <c r="V10" i="30"/>
  <c r="N109" i="30"/>
  <c r="D61" i="28"/>
  <c r="D61" i="20"/>
  <c r="I76" i="22"/>
  <c r="L71" i="22"/>
  <c r="G263" i="28"/>
  <c r="G269" i="28" s="1"/>
  <c r="K243" i="28"/>
  <c r="L243" i="28" s="1"/>
  <c r="M255" i="28"/>
  <c r="T177" i="29"/>
  <c r="AE86" i="30"/>
  <c r="AE84" i="30"/>
  <c r="AE90" i="30"/>
  <c r="AE89" i="30"/>
  <c r="AE87" i="30"/>
  <c r="AE82" i="30"/>
  <c r="AE85" i="30"/>
  <c r="AE83" i="30"/>
  <c r="AE81" i="30"/>
  <c r="AE88" i="30"/>
  <c r="R169" i="16"/>
  <c r="R171" i="16" s="1"/>
  <c r="G178" i="16"/>
  <c r="T169" i="16"/>
  <c r="I73" i="2"/>
  <c r="R169" i="29"/>
  <c r="AG203" i="1"/>
  <c r="AB203" i="1" s="1"/>
  <c r="AG228" i="1"/>
  <c r="AB228" i="1" s="1"/>
  <c r="AG216" i="1"/>
  <c r="AB216" i="1" s="1"/>
  <c r="AG222" i="1"/>
  <c r="AB222" i="1" s="1"/>
  <c r="AG213" i="1"/>
  <c r="AB213" i="1" s="1"/>
  <c r="AG224" i="1"/>
  <c r="AB224" i="1" s="1"/>
  <c r="AJ225" i="1"/>
  <c r="AE225" i="1" s="1"/>
  <c r="H63" i="21"/>
  <c r="B309" i="1"/>
  <c r="B325" i="1" s="1"/>
  <c r="B310" i="1"/>
  <c r="B326" i="1" s="1"/>
  <c r="L12" i="29"/>
  <c r="L176" i="29" s="1"/>
  <c r="B362" i="1"/>
  <c r="B375" i="1" s="1"/>
  <c r="T127" i="29"/>
  <c r="T67" i="22"/>
  <c r="I68" i="22" s="1"/>
  <c r="I132" i="29" s="1"/>
  <c r="D61" i="2"/>
  <c r="D61" i="18"/>
  <c r="B313" i="1"/>
  <c r="B329" i="1" s="1"/>
  <c r="U66" i="28"/>
  <c r="B344" i="1"/>
  <c r="B346" i="1"/>
  <c r="AB256" i="1"/>
  <c r="AC100" i="30"/>
  <c r="P149" i="30"/>
  <c r="C103" i="30"/>
  <c r="K109" i="30"/>
  <c r="R10" i="30"/>
  <c r="J161" i="20"/>
  <c r="K85" i="20"/>
  <c r="K88" i="20" s="1"/>
  <c r="I76" i="26"/>
  <c r="L71" i="26"/>
  <c r="I76" i="2"/>
  <c r="F135" i="29"/>
  <c r="L71" i="2"/>
  <c r="J256" i="1"/>
  <c r="K100" i="30"/>
  <c r="AL163" i="16"/>
  <c r="Q172" i="16"/>
  <c r="Q168" i="16"/>
  <c r="Q170" i="16" s="1"/>
  <c r="AG199" i="1"/>
  <c r="AB199" i="1" s="1"/>
  <c r="AG220" i="1"/>
  <c r="AB220" i="1" s="1"/>
  <c r="J135" i="29"/>
  <c r="N136" i="29"/>
  <c r="K76" i="25"/>
  <c r="K78" i="25" s="1"/>
  <c r="L72" i="25"/>
  <c r="B341" i="1"/>
  <c r="B405" i="1"/>
  <c r="B414" i="1" s="1"/>
  <c r="B302" i="1"/>
  <c r="AE61" i="30"/>
  <c r="AE58" i="30"/>
  <c r="AE60" i="30"/>
  <c r="AE64" i="30"/>
  <c r="AE63" i="30"/>
  <c r="AE57" i="30"/>
  <c r="AE66" i="30"/>
  <c r="AE65" i="30"/>
  <c r="AE62" i="30"/>
  <c r="AE59" i="30"/>
  <c r="I69" i="18"/>
  <c r="I69" i="19" s="1"/>
  <c r="AG227" i="1"/>
  <c r="AB227" i="1" s="1"/>
  <c r="B360" i="1"/>
  <c r="B373" i="1" s="1"/>
  <c r="B361" i="1"/>
  <c r="B374" i="1" s="1"/>
  <c r="AJ195" i="1"/>
  <c r="AE195" i="1" s="1"/>
  <c r="U66" i="21"/>
  <c r="B338" i="1"/>
  <c r="K76" i="26"/>
  <c r="K78" i="26" s="1"/>
  <c r="L72" i="26"/>
  <c r="I220" i="26"/>
  <c r="AG200" i="1"/>
  <c r="AB200" i="1" s="1"/>
  <c r="AG218" i="1"/>
  <c r="AB218" i="1" s="1"/>
  <c r="AG207" i="1"/>
  <c r="AB207" i="1" s="1"/>
  <c r="B358" i="1"/>
  <c r="B371" i="1" s="1"/>
  <c r="AG225" i="1"/>
  <c r="AB225" i="1" s="1"/>
  <c r="R80" i="21"/>
  <c r="S80" i="21" s="1"/>
  <c r="B316" i="1"/>
  <c r="B332" i="1" s="1"/>
  <c r="B312" i="1"/>
  <c r="B328" i="1" s="1"/>
  <c r="B359" i="1"/>
  <c r="B372" i="1" s="1"/>
  <c r="B357" i="1"/>
  <c r="B370" i="1" s="1"/>
  <c r="T128" i="29"/>
  <c r="AG194" i="1"/>
  <c r="AB194" i="1" s="1"/>
  <c r="F129" i="29"/>
  <c r="D61" i="24"/>
  <c r="D61" i="22"/>
  <c r="D61" i="19"/>
  <c r="B342" i="1"/>
  <c r="Z110" i="1"/>
  <c r="V9" i="24"/>
  <c r="V7" i="24"/>
  <c r="B404" i="1"/>
  <c r="B413" i="1" s="1"/>
  <c r="D260" i="1"/>
  <c r="D301" i="1" s="1"/>
  <c r="B301" i="1"/>
  <c r="B403" i="1"/>
  <c r="B412" i="1" s="1"/>
  <c r="D259" i="1"/>
  <c r="D300" i="1" s="1"/>
  <c r="B300" i="1"/>
  <c r="I76" i="18"/>
  <c r="L71" i="18"/>
  <c r="G63" i="21"/>
  <c r="R79" i="21"/>
  <c r="S79" i="21" s="1"/>
  <c r="G85" i="21"/>
  <c r="G88" i="21" s="1"/>
  <c r="N273" i="28"/>
  <c r="G87" i="20"/>
  <c r="I89" i="20"/>
  <c r="G89" i="20"/>
  <c r="H87" i="20"/>
  <c r="H164" i="20" s="1"/>
  <c r="K87" i="20"/>
  <c r="J164" i="20" s="1"/>
  <c r="I87" i="20"/>
  <c r="I164" i="20" s="1"/>
  <c r="O73" i="20"/>
  <c r="H89" i="20"/>
  <c r="K89" i="20"/>
  <c r="G221" i="21"/>
  <c r="G221" i="26"/>
  <c r="I221" i="26" s="1"/>
  <c r="C67" i="30"/>
  <c r="G221" i="25"/>
  <c r="G221" i="27"/>
  <c r="G221" i="18"/>
  <c r="G221" i="22"/>
  <c r="G221" i="23"/>
  <c r="G221" i="20"/>
  <c r="I221" i="20" s="1"/>
  <c r="G221" i="28"/>
  <c r="G221" i="19"/>
  <c r="G221" i="24"/>
  <c r="AI59" i="30"/>
  <c r="AI63" i="30"/>
  <c r="AX163" i="16"/>
  <c r="AX165" i="16" s="1"/>
  <c r="AX168" i="16" s="1"/>
  <c r="AX170" i="16" s="1"/>
  <c r="U168" i="16"/>
  <c r="K72" i="2"/>
  <c r="C136" i="29" s="1"/>
  <c r="K70" i="2"/>
  <c r="C134" i="29" s="1"/>
  <c r="K71" i="2"/>
  <c r="C135" i="29" s="1"/>
  <c r="K69" i="2"/>
  <c r="C133" i="29" s="1"/>
  <c r="K96" i="27"/>
  <c r="I158" i="27"/>
  <c r="K95" i="27"/>
  <c r="K94" i="27"/>
  <c r="K93" i="27"/>
  <c r="I69" i="20"/>
  <c r="J149" i="30"/>
  <c r="C101" i="30"/>
  <c r="J10" i="30"/>
  <c r="E109" i="30"/>
  <c r="AZ168" i="16"/>
  <c r="T69" i="2"/>
  <c r="G270" i="28"/>
  <c r="C149" i="29"/>
  <c r="R80" i="2"/>
  <c r="S80" i="2" s="1"/>
  <c r="H63" i="2"/>
  <c r="H161" i="2"/>
  <c r="H85" i="2"/>
  <c r="H88" i="2" s="1"/>
  <c r="G63" i="27"/>
  <c r="G161" i="27"/>
  <c r="R79" i="27"/>
  <c r="S79" i="27" s="1"/>
  <c r="G85" i="27"/>
  <c r="G88" i="27" s="1"/>
  <c r="H76" i="22"/>
  <c r="L70" i="22"/>
  <c r="T104" i="21"/>
  <c r="AQ144" i="1"/>
  <c r="AF142" i="1" s="1"/>
  <c r="AF143" i="1" s="1"/>
  <c r="AR139" i="1"/>
  <c r="AN138" i="1" s="1"/>
  <c r="T102" i="2"/>
  <c r="V10" i="18"/>
  <c r="D9" i="18"/>
  <c r="C9" i="18" s="1"/>
  <c r="I164" i="25"/>
  <c r="M12" i="29" s="1"/>
  <c r="M176" i="29" s="1"/>
  <c r="L87" i="25"/>
  <c r="M120" i="29" s="1"/>
  <c r="AD115" i="1"/>
  <c r="Z99" i="1"/>
  <c r="Y185" i="1"/>
  <c r="E132" i="27" s="1"/>
  <c r="X185" i="1"/>
  <c r="E132" i="26" s="1"/>
  <c r="W185" i="1"/>
  <c r="E132" i="25" s="1"/>
  <c r="V185" i="1"/>
  <c r="E132" i="24" s="1"/>
  <c r="U185" i="1"/>
  <c r="E132" i="23" s="1"/>
  <c r="T185" i="1"/>
  <c r="E132" i="22" s="1"/>
  <c r="S185" i="1"/>
  <c r="E132" i="21" s="1"/>
  <c r="R185" i="1"/>
  <c r="E132" i="20" s="1"/>
  <c r="Q185" i="1"/>
  <c r="E132" i="19" s="1"/>
  <c r="P185" i="1"/>
  <c r="E132" i="18" s="1"/>
  <c r="O185" i="1"/>
  <c r="E132" i="2" s="1"/>
  <c r="Z185" i="1"/>
  <c r="E132" i="28" s="1"/>
  <c r="Z91" i="14"/>
  <c r="AD91" i="14" s="1"/>
  <c r="Z90" i="14"/>
  <c r="AD90" i="14" s="1"/>
  <c r="AK79" i="14"/>
  <c r="AK80" i="14" s="1"/>
  <c r="N18" i="30"/>
  <c r="H112" i="30" s="1"/>
  <c r="N19" i="30"/>
  <c r="H113" i="30" s="1"/>
  <c r="O168" i="16"/>
  <c r="O170" i="16" s="1"/>
  <c r="AF163" i="16"/>
  <c r="R172" i="16"/>
  <c r="BB163" i="16"/>
  <c r="BB165" i="16" s="1"/>
  <c r="B115" i="14"/>
  <c r="E116" i="14"/>
  <c r="C115" i="14"/>
  <c r="D115" i="14" s="1"/>
  <c r="AN115" i="14"/>
  <c r="L115" i="14"/>
  <c r="Q115" i="14"/>
  <c r="H114" i="15"/>
  <c r="J115" i="14"/>
  <c r="N171" i="16"/>
  <c r="B401" i="1"/>
  <c r="B410" i="1" s="1"/>
  <c r="B298" i="1"/>
  <c r="G287" i="1"/>
  <c r="G285" i="1"/>
  <c r="G286" i="1"/>
  <c r="AO169" i="16"/>
  <c r="AK169" i="16"/>
  <c r="AH168" i="16"/>
  <c r="AU169" i="16"/>
  <c r="AE169" i="16"/>
  <c r="BF168" i="16"/>
  <c r="V9" i="19"/>
  <c r="V7" i="19"/>
  <c r="N63" i="2"/>
  <c r="R82" i="2"/>
  <c r="S82" i="2" s="1"/>
  <c r="K85" i="2"/>
  <c r="K88" i="2" s="1"/>
  <c r="V9" i="26"/>
  <c r="V7" i="26"/>
  <c r="N63" i="18"/>
  <c r="G65" i="18" s="1"/>
  <c r="R82" i="18"/>
  <c r="S82" i="18" s="1"/>
  <c r="S89" i="18" s="1"/>
  <c r="U90" i="18" s="1"/>
  <c r="J161" i="18"/>
  <c r="K85" i="18"/>
  <c r="K88" i="18" s="1"/>
  <c r="N88" i="18" s="1"/>
  <c r="N63" i="24"/>
  <c r="R82" i="24"/>
  <c r="S82" i="24" s="1"/>
  <c r="J161" i="24"/>
  <c r="K85" i="24"/>
  <c r="K88" i="24" s="1"/>
  <c r="V10" i="28"/>
  <c r="D9" i="28"/>
  <c r="C9" i="28" s="1"/>
  <c r="I71" i="18"/>
  <c r="I71" i="19" s="1"/>
  <c r="I71" i="20" s="1"/>
  <c r="I71" i="21" s="1"/>
  <c r="I71" i="22" s="1"/>
  <c r="I71" i="23" s="1"/>
  <c r="I71" i="24" s="1"/>
  <c r="I71" i="25" s="1"/>
  <c r="I71" i="26" s="1"/>
  <c r="I71" i="27" s="1"/>
  <c r="I71" i="28" s="1"/>
  <c r="K63" i="21"/>
  <c r="I161" i="21"/>
  <c r="R81" i="21"/>
  <c r="S81" i="21" s="1"/>
  <c r="I85" i="21"/>
  <c r="I88" i="21" s="1"/>
  <c r="H63" i="26"/>
  <c r="H161" i="26"/>
  <c r="R80" i="26"/>
  <c r="S80" i="26" s="1"/>
  <c r="H85" i="26"/>
  <c r="H88" i="26" s="1"/>
  <c r="H161" i="27"/>
  <c r="R80" i="27"/>
  <c r="S80" i="27" s="1"/>
  <c r="H63" i="27"/>
  <c r="H85" i="27"/>
  <c r="H88" i="27" s="1"/>
  <c r="H76" i="24"/>
  <c r="N134" i="29"/>
  <c r="L70" i="24"/>
  <c r="H76" i="28"/>
  <c r="G244" i="28"/>
  <c r="L70" i="28"/>
  <c r="R79" i="25"/>
  <c r="S79" i="25" s="1"/>
  <c r="G63" i="25"/>
  <c r="G161" i="25"/>
  <c r="G85" i="25"/>
  <c r="G88" i="25" s="1"/>
  <c r="L87" i="26"/>
  <c r="O120" i="29" s="1"/>
  <c r="G164" i="26"/>
  <c r="O12" i="29" s="1"/>
  <c r="Z115" i="1"/>
  <c r="P150" i="1"/>
  <c r="U27" i="1"/>
  <c r="R20" i="30" s="1"/>
  <c r="I246" i="28"/>
  <c r="I244" i="28"/>
  <c r="I243" i="28" s="1"/>
  <c r="L193" i="1"/>
  <c r="K193" i="1" s="1"/>
  <c r="L195" i="1"/>
  <c r="K195" i="1" s="1"/>
  <c r="L194" i="1"/>
  <c r="K194" i="1" s="1"/>
  <c r="H156" i="2" s="1"/>
  <c r="H155" i="2" s="1"/>
  <c r="L227" i="1"/>
  <c r="K227" i="1" s="1"/>
  <c r="H156" i="28" s="1"/>
  <c r="H155" i="28" s="1"/>
  <c r="L226" i="1"/>
  <c r="K226" i="1" s="1"/>
  <c r="L212" i="1"/>
  <c r="K212" i="1" s="1"/>
  <c r="H156" i="23" s="1"/>
  <c r="H155" i="23" s="1"/>
  <c r="L228" i="1"/>
  <c r="K228" i="1" s="1"/>
  <c r="L209" i="1"/>
  <c r="K209" i="1" s="1"/>
  <c r="H156" i="22" s="1"/>
  <c r="H155" i="22" s="1"/>
  <c r="L196" i="1"/>
  <c r="K196" i="1" s="1"/>
  <c r="L199" i="1"/>
  <c r="K199" i="1" s="1"/>
  <c r="L202" i="1"/>
  <c r="K202" i="1" s="1"/>
  <c r="L205" i="1"/>
  <c r="K205" i="1" s="1"/>
  <c r="L208" i="1"/>
  <c r="K208" i="1" s="1"/>
  <c r="L211" i="1"/>
  <c r="K211" i="1" s="1"/>
  <c r="L214" i="1"/>
  <c r="K214" i="1" s="1"/>
  <c r="L217" i="1"/>
  <c r="K217" i="1" s="1"/>
  <c r="L220" i="1"/>
  <c r="K220" i="1" s="1"/>
  <c r="L223" i="1"/>
  <c r="K223" i="1" s="1"/>
  <c r="L203" i="1"/>
  <c r="K203" i="1" s="1"/>
  <c r="H156" i="20" s="1"/>
  <c r="H155" i="20" s="1"/>
  <c r="L200" i="1"/>
  <c r="K200" i="1" s="1"/>
  <c r="H156" i="19" s="1"/>
  <c r="H155" i="19" s="1"/>
  <c r="L206" i="1"/>
  <c r="K206" i="1" s="1"/>
  <c r="H156" i="21" s="1"/>
  <c r="H155" i="21" s="1"/>
  <c r="L198" i="1"/>
  <c r="K198" i="1" s="1"/>
  <c r="L201" i="1"/>
  <c r="K201" i="1" s="1"/>
  <c r="L204" i="1"/>
  <c r="K204" i="1" s="1"/>
  <c r="L207" i="1"/>
  <c r="K207" i="1" s="1"/>
  <c r="L210" i="1"/>
  <c r="K210" i="1" s="1"/>
  <c r="L213" i="1"/>
  <c r="K213" i="1" s="1"/>
  <c r="L216" i="1"/>
  <c r="K216" i="1" s="1"/>
  <c r="L219" i="1"/>
  <c r="K219" i="1" s="1"/>
  <c r="L222" i="1"/>
  <c r="K222" i="1" s="1"/>
  <c r="L225" i="1"/>
  <c r="K225" i="1" s="1"/>
  <c r="L224" i="1"/>
  <c r="K224" i="1" s="1"/>
  <c r="H156" i="27" s="1"/>
  <c r="H155" i="27" s="1"/>
  <c r="L221" i="1"/>
  <c r="K221" i="1" s="1"/>
  <c r="H156" i="26" s="1"/>
  <c r="H155" i="26" s="1"/>
  <c r="L218" i="1"/>
  <c r="K218" i="1" s="1"/>
  <c r="H156" i="25" s="1"/>
  <c r="H155" i="25" s="1"/>
  <c r="L215" i="1"/>
  <c r="K215" i="1" s="1"/>
  <c r="H156" i="24" s="1"/>
  <c r="H155" i="24" s="1"/>
  <c r="L197" i="1"/>
  <c r="K197" i="1" s="1"/>
  <c r="H156" i="18" s="1"/>
  <c r="H155" i="18" s="1"/>
  <c r="K1" i="27"/>
  <c r="Q212" i="1"/>
  <c r="P212" i="1" s="1"/>
  <c r="I156" i="23" s="1"/>
  <c r="I155" i="23" s="1"/>
  <c r="T101" i="18"/>
  <c r="T103" i="24"/>
  <c r="R82" i="28"/>
  <c r="S82" i="28" s="1"/>
  <c r="N63" i="28"/>
  <c r="J161" i="28"/>
  <c r="K85" i="28"/>
  <c r="K88" i="28" s="1"/>
  <c r="Y256" i="1"/>
  <c r="Z100" i="30"/>
  <c r="T101" i="22"/>
  <c r="CP112" i="14"/>
  <c r="R129" i="29"/>
  <c r="CS112" i="14"/>
  <c r="CR112" i="14"/>
  <c r="Z93" i="14"/>
  <c r="AD93" i="14" s="1"/>
  <c r="Z92" i="14"/>
  <c r="AD92" i="14" s="1"/>
  <c r="Z77" i="14"/>
  <c r="AD77" i="14" s="1"/>
  <c r="Z76" i="14"/>
  <c r="AD76" i="14" s="1"/>
  <c r="Z95" i="14"/>
  <c r="AD95" i="14" s="1"/>
  <c r="Z94" i="14"/>
  <c r="AD94" i="14" s="1"/>
  <c r="Z79" i="14"/>
  <c r="AD79" i="14" s="1"/>
  <c r="Z78" i="14"/>
  <c r="AD78" i="14" s="1"/>
  <c r="AK76" i="14"/>
  <c r="C137" i="15"/>
  <c r="C14" i="15" s="1"/>
  <c r="C136" i="15"/>
  <c r="C13" i="15" s="1"/>
  <c r="AI52" i="30"/>
  <c r="AI48" i="30"/>
  <c r="AI53" i="30"/>
  <c r="AI49" i="30"/>
  <c r="AI45" i="30"/>
  <c r="AI54" i="30"/>
  <c r="AI50" i="30"/>
  <c r="AI46" i="30"/>
  <c r="AI47" i="30"/>
  <c r="AI51" i="30"/>
  <c r="E89" i="30"/>
  <c r="E85" i="30"/>
  <c r="E81" i="30"/>
  <c r="E88" i="30"/>
  <c r="E84" i="30"/>
  <c r="E87" i="30"/>
  <c r="E83" i="30"/>
  <c r="E86" i="30"/>
  <c r="E82" i="30"/>
  <c r="E90" i="30"/>
  <c r="AA74" i="30"/>
  <c r="AA70" i="30"/>
  <c r="AA75" i="30"/>
  <c r="AA71" i="30"/>
  <c r="AA78" i="30"/>
  <c r="AA76" i="30"/>
  <c r="AA72" i="30"/>
  <c r="AA73" i="30"/>
  <c r="AA77" i="30"/>
  <c r="AA69" i="30"/>
  <c r="C45" i="18"/>
  <c r="C95" i="18" s="1"/>
  <c r="AD44" i="1"/>
  <c r="Y153" i="1" s="1"/>
  <c r="AJ44" i="1"/>
  <c r="N63" i="26"/>
  <c r="R82" i="26"/>
  <c r="S82" i="26" s="1"/>
  <c r="J161" i="26"/>
  <c r="K85" i="26"/>
  <c r="K88" i="26" s="1"/>
  <c r="K63" i="19"/>
  <c r="R81" i="19"/>
  <c r="S81" i="19" s="1"/>
  <c r="I161" i="19"/>
  <c r="I85" i="19"/>
  <c r="I88" i="19" s="1"/>
  <c r="N63" i="27"/>
  <c r="J161" i="27"/>
  <c r="R82" i="27"/>
  <c r="S82" i="27" s="1"/>
  <c r="K85" i="27"/>
  <c r="K88" i="27" s="1"/>
  <c r="H76" i="2"/>
  <c r="F134" i="29"/>
  <c r="L70" i="2"/>
  <c r="T104" i="23"/>
  <c r="C141" i="29"/>
  <c r="G77" i="2"/>
  <c r="E184" i="29"/>
  <c r="M184" i="29" s="1"/>
  <c r="R13" i="30"/>
  <c r="P151" i="30" s="1"/>
  <c r="Q194" i="1"/>
  <c r="P194" i="1" s="1"/>
  <c r="I156" i="2" s="1"/>
  <c r="I155" i="2" s="1"/>
  <c r="T103" i="2"/>
  <c r="T104" i="25"/>
  <c r="H63" i="28"/>
  <c r="R80" i="28"/>
  <c r="S80" i="28" s="1"/>
  <c r="H161" i="28"/>
  <c r="H85" i="28"/>
  <c r="H88" i="28" s="1"/>
  <c r="T125" i="29"/>
  <c r="Z89" i="14"/>
  <c r="AD89" i="14" s="1"/>
  <c r="Z88" i="14"/>
  <c r="AD88" i="14" s="1"/>
  <c r="AA18" i="30"/>
  <c r="Q112" i="30" s="1"/>
  <c r="AA19" i="30"/>
  <c r="Q113" i="30" s="1"/>
  <c r="Z94" i="1"/>
  <c r="C11" i="22"/>
  <c r="D12" i="22"/>
  <c r="M172" i="16"/>
  <c r="Z163" i="16"/>
  <c r="BE163" i="16" s="1"/>
  <c r="BE165" i="16" s="1"/>
  <c r="M168" i="16"/>
  <c r="M170" i="16" s="1"/>
  <c r="T171" i="16"/>
  <c r="T172" i="16"/>
  <c r="V11" i="2"/>
  <c r="D10" i="2"/>
  <c r="C10" i="2" s="1"/>
  <c r="V13" i="30"/>
  <c r="S151" i="30" s="1"/>
  <c r="F184" i="29"/>
  <c r="N184" i="29" s="1"/>
  <c r="AD163" i="16"/>
  <c r="AD165" i="16" s="1"/>
  <c r="BD168" i="16"/>
  <c r="BD170" i="16" s="1"/>
  <c r="BA169" i="16"/>
  <c r="AN168" i="16"/>
  <c r="BC169" i="16"/>
  <c r="BC171" i="16" s="1"/>
  <c r="BC172" i="16"/>
  <c r="E176" i="14"/>
  <c r="B175" i="14"/>
  <c r="C175" i="14"/>
  <c r="D175" i="14" s="1"/>
  <c r="AN175" i="14"/>
  <c r="Q175" i="14"/>
  <c r="H174" i="15"/>
  <c r="J175" i="14"/>
  <c r="Z71" i="22"/>
  <c r="Z71" i="20"/>
  <c r="Z71" i="21"/>
  <c r="I76" i="28"/>
  <c r="G245" i="28"/>
  <c r="R135" i="29"/>
  <c r="L71" i="28"/>
  <c r="I161" i="24"/>
  <c r="K63" i="24"/>
  <c r="R81" i="24"/>
  <c r="S81" i="24" s="1"/>
  <c r="I85" i="24"/>
  <c r="I88" i="24" s="1"/>
  <c r="G63" i="2"/>
  <c r="R79" i="2"/>
  <c r="S79" i="2" s="1"/>
  <c r="G161" i="2"/>
  <c r="G85" i="2"/>
  <c r="G88" i="2" s="1"/>
  <c r="N63" i="22"/>
  <c r="R82" i="22"/>
  <c r="S82" i="22" s="1"/>
  <c r="J161" i="22"/>
  <c r="K85" i="22"/>
  <c r="K88" i="22" s="1"/>
  <c r="O73" i="22"/>
  <c r="G87" i="22"/>
  <c r="K87" i="22"/>
  <c r="J164" i="22" s="1"/>
  <c r="G89" i="22"/>
  <c r="H87" i="22"/>
  <c r="H164" i="22" s="1"/>
  <c r="N275" i="28"/>
  <c r="I89" i="22"/>
  <c r="H89" i="22"/>
  <c r="I87" i="22"/>
  <c r="I164" i="22" s="1"/>
  <c r="K89" i="22"/>
  <c r="G63" i="26"/>
  <c r="R79" i="26"/>
  <c r="S79" i="26" s="1"/>
  <c r="G161" i="26"/>
  <c r="G85" i="26"/>
  <c r="G88" i="26" s="1"/>
  <c r="R81" i="23"/>
  <c r="S81" i="23" s="1"/>
  <c r="K63" i="23"/>
  <c r="I161" i="23"/>
  <c r="I85" i="23"/>
  <c r="I88" i="23" s="1"/>
  <c r="K63" i="26"/>
  <c r="I161" i="26"/>
  <c r="R81" i="26"/>
  <c r="S81" i="26" s="1"/>
  <c r="I85" i="26"/>
  <c r="I88" i="26" s="1"/>
  <c r="N13" i="30"/>
  <c r="M151" i="30" s="1"/>
  <c r="D184" i="29"/>
  <c r="L184" i="29" s="1"/>
  <c r="G63" i="19"/>
  <c r="G161" i="19"/>
  <c r="R79" i="19"/>
  <c r="S79" i="19" s="1"/>
  <c r="G85" i="19"/>
  <c r="G88" i="19" s="1"/>
  <c r="K63" i="27"/>
  <c r="I161" i="27"/>
  <c r="R81" i="27"/>
  <c r="S81" i="27" s="1"/>
  <c r="I85" i="27"/>
  <c r="I88" i="27" s="1"/>
  <c r="H76" i="20"/>
  <c r="J134" i="29"/>
  <c r="L70" i="20"/>
  <c r="K76" i="28"/>
  <c r="K78" i="28" s="1"/>
  <c r="G246" i="28"/>
  <c r="R136" i="29"/>
  <c r="L72" i="28"/>
  <c r="G164" i="21"/>
  <c r="H12" i="29" s="1"/>
  <c r="H176" i="29" s="1"/>
  <c r="L87" i="21"/>
  <c r="H120" i="29" s="1"/>
  <c r="V18" i="22"/>
  <c r="K63" i="25"/>
  <c r="R81" i="25"/>
  <c r="S81" i="25" s="1"/>
  <c r="I161" i="25"/>
  <c r="I85" i="25"/>
  <c r="I88" i="25" s="1"/>
  <c r="T101" i="26"/>
  <c r="AD99" i="1"/>
  <c r="T103" i="20"/>
  <c r="Q218" i="1"/>
  <c r="P218" i="1" s="1"/>
  <c r="I156" i="25" s="1"/>
  <c r="I155" i="25" s="1"/>
  <c r="Q209" i="1"/>
  <c r="P209" i="1" s="1"/>
  <c r="I156" i="22" s="1"/>
  <c r="I155" i="22" s="1"/>
  <c r="Q197" i="1"/>
  <c r="P197" i="1" s="1"/>
  <c r="I156" i="18" s="1"/>
  <c r="I155" i="18" s="1"/>
  <c r="Q227" i="1"/>
  <c r="P227" i="1" s="1"/>
  <c r="I156" i="28" s="1"/>
  <c r="I155" i="28" s="1"/>
  <c r="T103" i="18"/>
  <c r="V10" i="23"/>
  <c r="D9" i="23"/>
  <c r="C9" i="23" s="1"/>
  <c r="T101" i="24"/>
  <c r="K63" i="28"/>
  <c r="I161" i="28"/>
  <c r="R81" i="28"/>
  <c r="S81" i="28" s="1"/>
  <c r="I85" i="28"/>
  <c r="I88" i="28" s="1"/>
  <c r="AJ227" i="1"/>
  <c r="AE227" i="1" s="1"/>
  <c r="AJ219" i="1"/>
  <c r="AE219" i="1" s="1"/>
  <c r="AJ216" i="1"/>
  <c r="AE216" i="1" s="1"/>
  <c r="AJ207" i="1"/>
  <c r="AE207" i="1" s="1"/>
  <c r="AJ204" i="1"/>
  <c r="AE204" i="1" s="1"/>
  <c r="AJ201" i="1"/>
  <c r="AE201" i="1" s="1"/>
  <c r="U192" i="1"/>
  <c r="AJ221" i="1"/>
  <c r="AE221" i="1" s="1"/>
  <c r="AJ220" i="1"/>
  <c r="AE220" i="1" s="1"/>
  <c r="AJ212" i="1"/>
  <c r="AE212" i="1" s="1"/>
  <c r="AJ211" i="1"/>
  <c r="AE211" i="1" s="1"/>
  <c r="AJ206" i="1"/>
  <c r="AE206" i="1" s="1"/>
  <c r="AJ205" i="1"/>
  <c r="AE205" i="1" s="1"/>
  <c r="AJ226" i="1"/>
  <c r="AE226" i="1" s="1"/>
  <c r="AJ203" i="1"/>
  <c r="AE203" i="1" s="1"/>
  <c r="AJ202" i="1"/>
  <c r="AE202" i="1" s="1"/>
  <c r="AJ200" i="1"/>
  <c r="AE200" i="1" s="1"/>
  <c r="AJ199" i="1"/>
  <c r="AE199" i="1" s="1"/>
  <c r="AJ196" i="1"/>
  <c r="AE196" i="1" s="1"/>
  <c r="AJ218" i="1"/>
  <c r="AE218" i="1" s="1"/>
  <c r="AJ217" i="1"/>
  <c r="AE217" i="1" s="1"/>
  <c r="AJ214" i="1"/>
  <c r="AE214" i="1" s="1"/>
  <c r="AJ209" i="1"/>
  <c r="AE209" i="1" s="1"/>
  <c r="AJ208" i="1"/>
  <c r="AE208" i="1" s="1"/>
  <c r="AJ228" i="1"/>
  <c r="AE228" i="1" s="1"/>
  <c r="AJ197" i="1"/>
  <c r="AE197" i="1" s="1"/>
  <c r="AJ224" i="1"/>
  <c r="AE224" i="1" s="1"/>
  <c r="AJ223" i="1"/>
  <c r="AE223" i="1" s="1"/>
  <c r="AJ215" i="1"/>
  <c r="AE215" i="1" s="1"/>
  <c r="T103" i="22"/>
  <c r="AJ193" i="1"/>
  <c r="AE193" i="1" s="1"/>
  <c r="L87" i="23"/>
  <c r="K120" i="29" s="1"/>
  <c r="N129" i="29"/>
  <c r="D85" i="15"/>
  <c r="D60" i="15"/>
  <c r="D51" i="15"/>
  <c r="D49" i="15"/>
  <c r="D47" i="15"/>
  <c r="D63" i="15"/>
  <c r="D59" i="15"/>
  <c r="D39" i="15"/>
  <c r="D37" i="15"/>
  <c r="D35" i="15"/>
  <c r="D33" i="15"/>
  <c r="D65" i="15"/>
  <c r="D36" i="15"/>
  <c r="D64" i="15"/>
  <c r="D62" i="15"/>
  <c r="D52" i="15"/>
  <c r="D48" i="15"/>
  <c r="D50" i="15"/>
  <c r="D34" i="15"/>
  <c r="D61" i="15"/>
  <c r="D46" i="15"/>
  <c r="D38" i="15"/>
  <c r="CE114" i="14"/>
  <c r="G5" i="15"/>
  <c r="Z85" i="14"/>
  <c r="AD85" i="14" s="1"/>
  <c r="Z84" i="14"/>
  <c r="AD84" i="14" s="1"/>
  <c r="Z103" i="14"/>
  <c r="AD103" i="14" s="1"/>
  <c r="Z102" i="14"/>
  <c r="AD102" i="14" s="1"/>
  <c r="Z87" i="14"/>
  <c r="AD87" i="14" s="1"/>
  <c r="Z86" i="14"/>
  <c r="AD86" i="14" s="1"/>
  <c r="AA50" i="30"/>
  <c r="AA46" i="30"/>
  <c r="AA51" i="30"/>
  <c r="AA47" i="30"/>
  <c r="AA52" i="30"/>
  <c r="AA48" i="30"/>
  <c r="AA45" i="30"/>
  <c r="AA49" i="30"/>
  <c r="AA53" i="30"/>
  <c r="AA54" i="30"/>
  <c r="C39" i="30"/>
  <c r="C79" i="30"/>
  <c r="G222" i="20"/>
  <c r="G222" i="23"/>
  <c r="G222" i="26"/>
  <c r="G222" i="18"/>
  <c r="G222" i="27"/>
  <c r="G222" i="21"/>
  <c r="G222" i="24"/>
  <c r="G222" i="28"/>
  <c r="G222" i="22"/>
  <c r="G222" i="2"/>
  <c r="G227" i="2" s="1"/>
  <c r="I227" i="2" s="1"/>
  <c r="AA132" i="30" s="1"/>
  <c r="G222" i="19"/>
  <c r="G222" i="25"/>
  <c r="AI18" i="30"/>
  <c r="W112" i="30" s="1"/>
  <c r="AI19" i="30"/>
  <c r="W113" i="30" s="1"/>
  <c r="AM59" i="14"/>
  <c r="AL60" i="14"/>
  <c r="AE51" i="30"/>
  <c r="AE47" i="30"/>
  <c r="AE52" i="30"/>
  <c r="AE48" i="30"/>
  <c r="AE53" i="30"/>
  <c r="AE49" i="30"/>
  <c r="AE45" i="30"/>
  <c r="AE54" i="30"/>
  <c r="AE46" i="30"/>
  <c r="AE50" i="30"/>
  <c r="AR79" i="30"/>
  <c r="J74" i="30"/>
  <c r="J70" i="30"/>
  <c r="J75" i="30"/>
  <c r="J71" i="30"/>
  <c r="J78" i="30"/>
  <c r="E79" i="30"/>
  <c r="J76" i="30"/>
  <c r="J72" i="30"/>
  <c r="J69" i="30"/>
  <c r="J73" i="30"/>
  <c r="J77" i="30"/>
  <c r="AI163" i="16"/>
  <c r="P172" i="16"/>
  <c r="P169" i="16"/>
  <c r="P171" i="16" s="1"/>
  <c r="AA8" i="2"/>
  <c r="AW169" i="16"/>
  <c r="AW171" i="16" s="1"/>
  <c r="AT168" i="16"/>
  <c r="G63" i="22"/>
  <c r="G65" i="22" s="1"/>
  <c r="R79" i="22"/>
  <c r="S79" i="22" s="1"/>
  <c r="S89" i="22" s="1"/>
  <c r="U90" i="22" s="1"/>
  <c r="G85" i="22"/>
  <c r="G88" i="22" s="1"/>
  <c r="N63" i="23"/>
  <c r="J161" i="23"/>
  <c r="R82" i="23"/>
  <c r="S82" i="23" s="1"/>
  <c r="K85" i="23"/>
  <c r="K88" i="23" s="1"/>
  <c r="L150" i="1"/>
  <c r="M27" i="1"/>
  <c r="N20" i="30" s="1"/>
  <c r="H63" i="19"/>
  <c r="H161" i="19"/>
  <c r="R80" i="19"/>
  <c r="S80" i="19" s="1"/>
  <c r="H85" i="19"/>
  <c r="H88" i="19" s="1"/>
  <c r="J161" i="25"/>
  <c r="N63" i="25"/>
  <c r="R82" i="25"/>
  <c r="S82" i="25" s="1"/>
  <c r="K85" i="25"/>
  <c r="K88" i="25" s="1"/>
  <c r="Q215" i="1"/>
  <c r="P215" i="1" s="1"/>
  <c r="I156" i="24" s="1"/>
  <c r="I155" i="24" s="1"/>
  <c r="AH425" i="1"/>
  <c r="V425" i="1"/>
  <c r="G425" i="1"/>
  <c r="AK425" i="1"/>
  <c r="Y425" i="1"/>
  <c r="J425" i="1"/>
  <c r="AE425" i="1"/>
  <c r="M425" i="1"/>
  <c r="P425" i="1"/>
  <c r="S425" i="1"/>
  <c r="AB425" i="1"/>
  <c r="T104" i="2"/>
  <c r="AG141" i="1"/>
  <c r="AD149" i="30"/>
  <c r="C106" i="30"/>
  <c r="AE10" i="30"/>
  <c r="T109" i="30"/>
  <c r="Q200" i="1"/>
  <c r="P200" i="1" s="1"/>
  <c r="I156" i="19" s="1"/>
  <c r="I155" i="19" s="1"/>
  <c r="Z75" i="14"/>
  <c r="AD75" i="14" s="1"/>
  <c r="Z74" i="14"/>
  <c r="AD74" i="14" s="1"/>
  <c r="AK73" i="14"/>
  <c r="AK77" i="14"/>
  <c r="AK78" i="14"/>
  <c r="AK74" i="14"/>
  <c r="AA111" i="30"/>
  <c r="R76" i="30"/>
  <c r="R72" i="30"/>
  <c r="R77" i="30"/>
  <c r="R73" i="30"/>
  <c r="R69" i="30"/>
  <c r="R74" i="30"/>
  <c r="R70" i="30"/>
  <c r="R71" i="30"/>
  <c r="R78" i="30"/>
  <c r="R75" i="30"/>
  <c r="S168" i="16"/>
  <c r="S170" i="16" s="1"/>
  <c r="AR163" i="16"/>
  <c r="W170" i="16"/>
  <c r="W172" i="16" s="1"/>
  <c r="B163" i="2"/>
  <c r="C193" i="29" s="1"/>
  <c r="F169" i="16"/>
  <c r="G143" i="30"/>
  <c r="B163" i="28"/>
  <c r="Q193" i="29" s="1"/>
  <c r="B163" i="26"/>
  <c r="O193" i="29" s="1"/>
  <c r="B163" i="27"/>
  <c r="P193" i="29" s="1"/>
  <c r="B163" i="24"/>
  <c r="L193" i="29" s="1"/>
  <c r="B163" i="23"/>
  <c r="K193" i="29" s="1"/>
  <c r="B163" i="22"/>
  <c r="I193" i="29" s="1"/>
  <c r="B163" i="25"/>
  <c r="M193" i="29" s="1"/>
  <c r="B163" i="21"/>
  <c r="H193" i="29" s="1"/>
  <c r="B163" i="20"/>
  <c r="G193" i="29" s="1"/>
  <c r="B163" i="19"/>
  <c r="E193" i="29" s="1"/>
  <c r="B163" i="18"/>
  <c r="D193" i="29" s="1"/>
  <c r="K503" i="14"/>
  <c r="F143" i="30"/>
  <c r="B162" i="27"/>
  <c r="B162" i="25"/>
  <c r="B162" i="18"/>
  <c r="D114" i="14"/>
  <c r="V172" i="16"/>
  <c r="N172" i="16"/>
  <c r="AH111" i="14"/>
  <c r="D420" i="1"/>
  <c r="AK420" i="1"/>
  <c r="J420" i="1"/>
  <c r="V420" i="1"/>
  <c r="AH420" i="1"/>
  <c r="G420" i="1"/>
  <c r="S420" i="1"/>
  <c r="AE420" i="1"/>
  <c r="M420" i="1"/>
  <c r="P420" i="1"/>
  <c r="Y420" i="1"/>
  <c r="AB420" i="1"/>
  <c r="AC165" i="16"/>
  <c r="AB168" i="16"/>
  <c r="AQ169" i="16"/>
  <c r="Z70" i="22"/>
  <c r="Z70" i="20"/>
  <c r="Z70" i="21"/>
  <c r="H63" i="24"/>
  <c r="R80" i="24"/>
  <c r="S80" i="24" s="1"/>
  <c r="H161" i="24"/>
  <c r="H85" i="24"/>
  <c r="H88" i="24" s="1"/>
  <c r="H63" i="20"/>
  <c r="G65" i="20" s="1"/>
  <c r="R80" i="20"/>
  <c r="S80" i="20" s="1"/>
  <c r="S89" i="20" s="1"/>
  <c r="U90" i="20" s="1"/>
  <c r="H161" i="20"/>
  <c r="H85" i="20"/>
  <c r="H88" i="20" s="1"/>
  <c r="K63" i="2"/>
  <c r="R81" i="2"/>
  <c r="S81" i="2" s="1"/>
  <c r="I161" i="2"/>
  <c r="I85" i="2"/>
  <c r="I88" i="2" s="1"/>
  <c r="G63" i="24"/>
  <c r="R79" i="24"/>
  <c r="S79" i="24" s="1"/>
  <c r="G85" i="24"/>
  <c r="G88" i="24" s="1"/>
  <c r="N63" i="21"/>
  <c r="J161" i="21"/>
  <c r="R82" i="21"/>
  <c r="S82" i="21" s="1"/>
  <c r="K85" i="21"/>
  <c r="K88" i="21" s="1"/>
  <c r="H63" i="23"/>
  <c r="H161" i="23"/>
  <c r="R80" i="23"/>
  <c r="S80" i="23" s="1"/>
  <c r="H85" i="23"/>
  <c r="H88" i="23" s="1"/>
  <c r="V186" i="1"/>
  <c r="E133" i="24" s="1"/>
  <c r="Z186" i="1"/>
  <c r="E133" i="28" s="1"/>
  <c r="Q186" i="1"/>
  <c r="E133" i="19" s="1"/>
  <c r="U186" i="1"/>
  <c r="E133" i="23" s="1"/>
  <c r="Y186" i="1"/>
  <c r="E133" i="27" s="1"/>
  <c r="T186" i="1"/>
  <c r="E133" i="22" s="1"/>
  <c r="X186" i="1"/>
  <c r="E133" i="26" s="1"/>
  <c r="R186" i="1"/>
  <c r="E133" i="20" s="1"/>
  <c r="S186" i="1"/>
  <c r="E133" i="21" s="1"/>
  <c r="W186" i="1"/>
  <c r="E133" i="25" s="1"/>
  <c r="O186" i="1"/>
  <c r="E133" i="2" s="1"/>
  <c r="P186" i="1"/>
  <c r="E133" i="18" s="1"/>
  <c r="V10" i="25"/>
  <c r="D9" i="25"/>
  <c r="C9" i="25" s="1"/>
  <c r="H76" i="26"/>
  <c r="R134" i="29"/>
  <c r="L70" i="26"/>
  <c r="H76" i="18"/>
  <c r="L70" i="18"/>
  <c r="K76" i="2"/>
  <c r="K78" i="2" s="1"/>
  <c r="F136" i="29"/>
  <c r="L72" i="2"/>
  <c r="T102" i="23"/>
  <c r="H63" i="25"/>
  <c r="R80" i="25"/>
  <c r="S80" i="25" s="1"/>
  <c r="H161" i="25"/>
  <c r="H85" i="25"/>
  <c r="H88" i="25" s="1"/>
  <c r="T102" i="26"/>
  <c r="AM169" i="30"/>
  <c r="AD107" i="1"/>
  <c r="Y250" i="1" s="1"/>
  <c r="T101" i="20"/>
  <c r="T102" i="20"/>
  <c r="V184" i="1"/>
  <c r="E131" i="24" s="1"/>
  <c r="P184" i="1"/>
  <c r="E131" i="18" s="1"/>
  <c r="X184" i="1"/>
  <c r="E131" i="26" s="1"/>
  <c r="U184" i="1"/>
  <c r="E131" i="23" s="1"/>
  <c r="S184" i="1"/>
  <c r="E131" i="21" s="1"/>
  <c r="W184" i="1"/>
  <c r="E131" i="25" s="1"/>
  <c r="T184" i="1"/>
  <c r="E131" i="22" s="1"/>
  <c r="Z184" i="1"/>
  <c r="E131" i="28" s="1"/>
  <c r="Y184" i="1"/>
  <c r="E131" i="27" s="1"/>
  <c r="R184" i="1"/>
  <c r="E131" i="20" s="1"/>
  <c r="O184" i="1"/>
  <c r="E131" i="2" s="1"/>
  <c r="Q184" i="1"/>
  <c r="E131" i="19" s="1"/>
  <c r="Q203" i="1"/>
  <c r="P203" i="1" s="1"/>
  <c r="I156" i="20" s="1"/>
  <c r="I155" i="20" s="1"/>
  <c r="Q206" i="1"/>
  <c r="P206" i="1" s="1"/>
  <c r="I156" i="21" s="1"/>
  <c r="I155" i="21" s="1"/>
  <c r="Q221" i="1"/>
  <c r="P221" i="1" s="1"/>
  <c r="I156" i="26" s="1"/>
  <c r="I155" i="26" s="1"/>
  <c r="J161" i="2"/>
  <c r="T101" i="2"/>
  <c r="T102" i="25"/>
  <c r="G63" i="28"/>
  <c r="R79" i="28"/>
  <c r="S79" i="28" s="1"/>
  <c r="G161" i="28"/>
  <c r="G85" i="28"/>
  <c r="G88" i="28" s="1"/>
  <c r="T102" i="22"/>
  <c r="G161" i="22"/>
  <c r="AJ194" i="1"/>
  <c r="AE194" i="1" s="1"/>
  <c r="K12" i="29"/>
  <c r="T123" i="29"/>
  <c r="T48" i="29"/>
  <c r="Z97" i="14"/>
  <c r="AD97" i="14" s="1"/>
  <c r="Z96" i="14"/>
  <c r="AD96" i="14" s="1"/>
  <c r="Z81" i="14"/>
  <c r="AD81" i="14" s="1"/>
  <c r="Z80" i="14"/>
  <c r="AD80" i="14" s="1"/>
  <c r="Z99" i="14"/>
  <c r="AD99" i="14" s="1"/>
  <c r="Z98" i="14"/>
  <c r="AD98" i="14" s="1"/>
  <c r="Z83" i="14"/>
  <c r="AD83" i="14" s="1"/>
  <c r="Z82" i="14"/>
  <c r="AD82" i="14" s="1"/>
  <c r="I221" i="2"/>
  <c r="AA114" i="30" s="1"/>
  <c r="R52" i="30"/>
  <c r="R48" i="30"/>
  <c r="R53" i="30"/>
  <c r="R49" i="30"/>
  <c r="R45" i="30"/>
  <c r="R54" i="30"/>
  <c r="R50" i="30"/>
  <c r="R46" i="30"/>
  <c r="R51" i="30"/>
  <c r="R47" i="30"/>
  <c r="AG142" i="14"/>
  <c r="N51" i="30"/>
  <c r="N47" i="30"/>
  <c r="N52" i="30"/>
  <c r="N48" i="30"/>
  <c r="N53" i="30"/>
  <c r="N49" i="30"/>
  <c r="N45" i="30"/>
  <c r="N54" i="30"/>
  <c r="N50" i="30"/>
  <c r="N46" i="30"/>
  <c r="G224" i="2"/>
  <c r="I224" i="2" s="1"/>
  <c r="AA123" i="30" s="1"/>
  <c r="E63" i="30"/>
  <c r="E59" i="30"/>
  <c r="E62" i="30"/>
  <c r="E58" i="30"/>
  <c r="E66" i="30"/>
  <c r="E65" i="30"/>
  <c r="E61" i="30"/>
  <c r="E57" i="30"/>
  <c r="E64" i="30"/>
  <c r="E60" i="30"/>
  <c r="AI76" i="30"/>
  <c r="AI72" i="30"/>
  <c r="AI77" i="30"/>
  <c r="AI73" i="30"/>
  <c r="AI69" i="30"/>
  <c r="AI74" i="30"/>
  <c r="AI70" i="30"/>
  <c r="AI75" i="30"/>
  <c r="AI78" i="30"/>
  <c r="AI71" i="30"/>
  <c r="AR55" i="30"/>
  <c r="J50" i="30"/>
  <c r="J46" i="30"/>
  <c r="J51" i="30"/>
  <c r="J47" i="30"/>
  <c r="J52" i="30"/>
  <c r="J48" i="30"/>
  <c r="J49" i="30"/>
  <c r="J45" i="30"/>
  <c r="E55" i="30"/>
  <c r="J53" i="30"/>
  <c r="J54" i="30"/>
  <c r="L149" i="14" l="1"/>
  <c r="D9" i="27"/>
  <c r="C9" i="27" s="1"/>
  <c r="V10" i="27"/>
  <c r="D9" i="21"/>
  <c r="C9" i="21" s="1"/>
  <c r="B162" i="24"/>
  <c r="F12" i="29"/>
  <c r="B162" i="21"/>
  <c r="B162" i="2"/>
  <c r="F120" i="29"/>
  <c r="K1" i="28"/>
  <c r="I157" i="28" s="1"/>
  <c r="K1" i="2"/>
  <c r="I159" i="2" s="1"/>
  <c r="T169" i="29"/>
  <c r="B162" i="19"/>
  <c r="B162" i="22"/>
  <c r="B162" i="26"/>
  <c r="N88" i="22"/>
  <c r="G65" i="23"/>
  <c r="K118" i="29" s="1"/>
  <c r="B162" i="20"/>
  <c r="B162" i="23"/>
  <c r="F176" i="29"/>
  <c r="N120" i="29"/>
  <c r="G224" i="26"/>
  <c r="I224" i="26" s="1"/>
  <c r="K1" i="24"/>
  <c r="R120" i="29"/>
  <c r="S89" i="28"/>
  <c r="U90" i="28" s="1"/>
  <c r="N88" i="24"/>
  <c r="S89" i="23"/>
  <c r="U90" i="23" s="1"/>
  <c r="S89" i="24"/>
  <c r="U90" i="24" s="1"/>
  <c r="I221" i="19"/>
  <c r="G224" i="19"/>
  <c r="I224" i="19" s="1"/>
  <c r="AB400" i="1"/>
  <c r="AB409" i="1" s="1"/>
  <c r="AB418" i="1" s="1"/>
  <c r="Y275" i="1"/>
  <c r="AB297" i="1"/>
  <c r="N88" i="23"/>
  <c r="S172" i="16"/>
  <c r="N88" i="26"/>
  <c r="N283" i="28"/>
  <c r="O266" i="28" s="1"/>
  <c r="T162" i="29" s="1"/>
  <c r="G225" i="2"/>
  <c r="I225" i="2" s="1"/>
  <c r="AA126" i="30" s="1"/>
  <c r="AP128" i="30" s="1"/>
  <c r="J250" i="1"/>
  <c r="C137" i="29"/>
  <c r="U172" i="16"/>
  <c r="U170" i="16"/>
  <c r="G224" i="24"/>
  <c r="I224" i="24" s="1"/>
  <c r="I221" i="24"/>
  <c r="I221" i="23"/>
  <c r="G224" i="23"/>
  <c r="I224" i="23" s="1"/>
  <c r="I221" i="25"/>
  <c r="G224" i="25"/>
  <c r="I224" i="25" s="1"/>
  <c r="L87" i="20"/>
  <c r="G120" i="29" s="1"/>
  <c r="G164" i="20"/>
  <c r="G12" i="29" s="1"/>
  <c r="G176" i="29" s="1"/>
  <c r="D413" i="1"/>
  <c r="AB413" i="1"/>
  <c r="P413" i="1"/>
  <c r="B422" i="1"/>
  <c r="Y413" i="1"/>
  <c r="M413" i="1"/>
  <c r="AH413" i="1"/>
  <c r="J413" i="1"/>
  <c r="S413" i="1"/>
  <c r="AK413" i="1"/>
  <c r="G413" i="1"/>
  <c r="AE413" i="1"/>
  <c r="V413" i="1"/>
  <c r="O152" i="29"/>
  <c r="T72" i="26"/>
  <c r="K279" i="28"/>
  <c r="AK414" i="1"/>
  <c r="AH414" i="1"/>
  <c r="V414" i="1"/>
  <c r="J414" i="1"/>
  <c r="AE414" i="1"/>
  <c r="S414" i="1"/>
  <c r="G414" i="1"/>
  <c r="AB414" i="1"/>
  <c r="B423" i="1"/>
  <c r="M414" i="1"/>
  <c r="P414" i="1"/>
  <c r="Y414" i="1"/>
  <c r="J400" i="1"/>
  <c r="J409" i="1" s="1"/>
  <c r="J418" i="1" s="1"/>
  <c r="Y268" i="1"/>
  <c r="J297" i="1"/>
  <c r="U10" i="30"/>
  <c r="S10" i="30"/>
  <c r="AJ6" i="25"/>
  <c r="AV6" i="25"/>
  <c r="AJ6" i="19"/>
  <c r="AV6" i="19"/>
  <c r="AV6" i="28"/>
  <c r="AJ6" i="28"/>
  <c r="AV6" i="20"/>
  <c r="AJ6" i="20"/>
  <c r="S250" i="1"/>
  <c r="I221" i="22"/>
  <c r="G224" i="22"/>
  <c r="I224" i="22" s="1"/>
  <c r="J412" i="1"/>
  <c r="M412" i="1"/>
  <c r="P412" i="1"/>
  <c r="AH412" i="1"/>
  <c r="AK412" i="1"/>
  <c r="G412" i="1"/>
  <c r="AE412" i="1"/>
  <c r="V412" i="1"/>
  <c r="Y412" i="1"/>
  <c r="AB412" i="1"/>
  <c r="S412" i="1"/>
  <c r="D412" i="1"/>
  <c r="B421" i="1"/>
  <c r="AJ6" i="23"/>
  <c r="AV6" i="23"/>
  <c r="AV6" i="26"/>
  <c r="AJ6" i="26"/>
  <c r="AV6" i="18"/>
  <c r="AJ6" i="18"/>
  <c r="G205" i="1"/>
  <c r="F205" i="1" s="1"/>
  <c r="G206" i="1"/>
  <c r="F206" i="1" s="1"/>
  <c r="G156" i="21" s="1"/>
  <c r="G155" i="21" s="1"/>
  <c r="CM245" i="14" s="1"/>
  <c r="G199" i="1"/>
  <c r="F199" i="1" s="1"/>
  <c r="G202" i="1"/>
  <c r="F202" i="1" s="1"/>
  <c r="G223" i="1"/>
  <c r="F223" i="1" s="1"/>
  <c r="G211" i="1"/>
  <c r="F211" i="1" s="1"/>
  <c r="G214" i="1"/>
  <c r="F214" i="1" s="1"/>
  <c r="G227" i="1"/>
  <c r="F227" i="1" s="1"/>
  <c r="G156" i="28" s="1"/>
  <c r="G155" i="28" s="1"/>
  <c r="G218" i="1"/>
  <c r="F218" i="1" s="1"/>
  <c r="G156" i="25" s="1"/>
  <c r="G155" i="25" s="1"/>
  <c r="G200" i="1"/>
  <c r="F200" i="1" s="1"/>
  <c r="G156" i="19" s="1"/>
  <c r="G155" i="19" s="1"/>
  <c r="CL199" i="14" s="1"/>
  <c r="G204" i="1"/>
  <c r="F204" i="1" s="1"/>
  <c r="G216" i="1"/>
  <c r="F216" i="1" s="1"/>
  <c r="G197" i="1"/>
  <c r="F197" i="1" s="1"/>
  <c r="G156" i="18" s="1"/>
  <c r="G155" i="18" s="1"/>
  <c r="G215" i="1"/>
  <c r="F215" i="1" s="1"/>
  <c r="G156" i="24" s="1"/>
  <c r="G155" i="24" s="1"/>
  <c r="CK354" i="14" s="1"/>
  <c r="G209" i="1"/>
  <c r="F209" i="1" s="1"/>
  <c r="G156" i="22" s="1"/>
  <c r="G155" i="22" s="1"/>
  <c r="G222" i="1"/>
  <c r="F222" i="1" s="1"/>
  <c r="G226" i="1"/>
  <c r="F226" i="1" s="1"/>
  <c r="G221" i="1"/>
  <c r="F221" i="1" s="1"/>
  <c r="G156" i="26" s="1"/>
  <c r="G155" i="26" s="1"/>
  <c r="G203" i="1"/>
  <c r="F203" i="1" s="1"/>
  <c r="G156" i="20" s="1"/>
  <c r="G155" i="20" s="1"/>
  <c r="AP212" i="14" s="1"/>
  <c r="G201" i="1"/>
  <c r="F201" i="1" s="1"/>
  <c r="G213" i="1"/>
  <c r="F213" i="1" s="1"/>
  <c r="G225" i="1"/>
  <c r="F225" i="1" s="1"/>
  <c r="G196" i="1"/>
  <c r="F196" i="1" s="1"/>
  <c r="G193" i="1"/>
  <c r="F193" i="1" s="1"/>
  <c r="G217" i="1"/>
  <c r="F217" i="1" s="1"/>
  <c r="G194" i="1"/>
  <c r="F194" i="1" s="1"/>
  <c r="G156" i="2" s="1"/>
  <c r="G155" i="2" s="1"/>
  <c r="CN123" i="14" s="1"/>
  <c r="G228" i="1"/>
  <c r="F228" i="1" s="1"/>
  <c r="G212" i="1"/>
  <c r="F212" i="1" s="1"/>
  <c r="G156" i="23" s="1"/>
  <c r="G155" i="23" s="1"/>
  <c r="G207" i="1"/>
  <c r="F207" i="1" s="1"/>
  <c r="G219" i="1"/>
  <c r="F219" i="1" s="1"/>
  <c r="G220" i="1"/>
  <c r="F220" i="1" s="1"/>
  <c r="G195" i="1"/>
  <c r="F195" i="1" s="1"/>
  <c r="G224" i="1"/>
  <c r="F224" i="1" s="1"/>
  <c r="G156" i="27" s="1"/>
  <c r="G155" i="27" s="1"/>
  <c r="G198" i="1"/>
  <c r="F198" i="1" s="1"/>
  <c r="G210" i="1"/>
  <c r="F210" i="1" s="1"/>
  <c r="G208" i="1"/>
  <c r="F208" i="1" s="1"/>
  <c r="AY163" i="16"/>
  <c r="AY165" i="16" s="1"/>
  <c r="AW172" i="16"/>
  <c r="BA171" i="16"/>
  <c r="BA172" i="16" s="1"/>
  <c r="K1" i="19"/>
  <c r="I159" i="19" s="1"/>
  <c r="K1" i="18"/>
  <c r="G224" i="28"/>
  <c r="I224" i="28" s="1"/>
  <c r="I221" i="28"/>
  <c r="G224" i="18"/>
  <c r="I224" i="18" s="1"/>
  <c r="I221" i="18"/>
  <c r="B394" i="1"/>
  <c r="E145" i="19"/>
  <c r="E145" i="18"/>
  <c r="E145" i="20"/>
  <c r="E145" i="22"/>
  <c r="E145" i="21"/>
  <c r="E145" i="23"/>
  <c r="E145" i="25"/>
  <c r="E145" i="27"/>
  <c r="E145" i="24"/>
  <c r="E145" i="26"/>
  <c r="E145" i="28"/>
  <c r="E145" i="2"/>
  <c r="V10" i="24"/>
  <c r="V11" i="24" s="1"/>
  <c r="D9" i="24"/>
  <c r="AM163" i="16"/>
  <c r="AM165" i="16" s="1"/>
  <c r="AL165" i="16"/>
  <c r="AV163" i="16"/>
  <c r="AV165" i="16" s="1"/>
  <c r="AV168" i="16" s="1"/>
  <c r="AV170" i="16" s="1"/>
  <c r="AV172" i="16" s="1"/>
  <c r="AJ6" i="2"/>
  <c r="AV6" i="2"/>
  <c r="AV6" i="24"/>
  <c r="AJ6" i="24"/>
  <c r="B396" i="1"/>
  <c r="E147" i="21"/>
  <c r="E147" i="23"/>
  <c r="E147" i="27"/>
  <c r="E147" i="18"/>
  <c r="E147" i="20"/>
  <c r="E147" i="22"/>
  <c r="E147" i="24"/>
  <c r="E147" i="26"/>
  <c r="E147" i="28"/>
  <c r="E147" i="2"/>
  <c r="E147" i="25"/>
  <c r="E147" i="19"/>
  <c r="N88" i="20"/>
  <c r="T129" i="29"/>
  <c r="M250" i="1"/>
  <c r="G224" i="27"/>
  <c r="I224" i="27" s="1"/>
  <c r="I221" i="27"/>
  <c r="G224" i="21"/>
  <c r="I224" i="21" s="1"/>
  <c r="I221" i="21"/>
  <c r="E141" i="18"/>
  <c r="E141" i="20"/>
  <c r="E141" i="22"/>
  <c r="E141" i="24"/>
  <c r="E141" i="26"/>
  <c r="E141" i="28"/>
  <c r="E141" i="21"/>
  <c r="E141" i="23"/>
  <c r="B393" i="1"/>
  <c r="E141" i="19"/>
  <c r="E141" i="2"/>
  <c r="E141" i="25"/>
  <c r="E141" i="27"/>
  <c r="B395" i="1"/>
  <c r="E146" i="21"/>
  <c r="E146" i="23"/>
  <c r="E146" i="25"/>
  <c r="E146" i="27"/>
  <c r="E146" i="18"/>
  <c r="E146" i="20"/>
  <c r="E146" i="24"/>
  <c r="E146" i="28"/>
  <c r="E146" i="19"/>
  <c r="E146" i="22"/>
  <c r="E146" i="26"/>
  <c r="E146" i="2"/>
  <c r="M152" i="29"/>
  <c r="T72" i="25"/>
  <c r="K278" i="28"/>
  <c r="W10" i="30"/>
  <c r="Y10" i="30"/>
  <c r="Z69" i="24"/>
  <c r="Z69" i="23"/>
  <c r="Z69" i="25"/>
  <c r="AJ6" i="27"/>
  <c r="AV6" i="27"/>
  <c r="AJ6" i="21"/>
  <c r="AV6" i="21"/>
  <c r="AV6" i="22"/>
  <c r="AJ6" i="22"/>
  <c r="G224" i="20"/>
  <c r="I224" i="20" s="1"/>
  <c r="AH415" i="1"/>
  <c r="B424" i="1"/>
  <c r="AE415" i="1"/>
  <c r="V415" i="1"/>
  <c r="G415" i="1"/>
  <c r="S415" i="1"/>
  <c r="M415" i="1"/>
  <c r="AB415" i="1"/>
  <c r="J415" i="1"/>
  <c r="Y415" i="1"/>
  <c r="AK415" i="1"/>
  <c r="P415" i="1"/>
  <c r="V10" i="20"/>
  <c r="V11" i="20" s="1"/>
  <c r="D9" i="20"/>
  <c r="G118" i="29"/>
  <c r="AP132" i="30"/>
  <c r="AP133" i="30"/>
  <c r="AP134" i="30"/>
  <c r="G136" i="28"/>
  <c r="G130" i="28"/>
  <c r="G134" i="28" s="1"/>
  <c r="G133" i="28"/>
  <c r="G132" i="28"/>
  <c r="G131" i="28"/>
  <c r="I130" i="26"/>
  <c r="I134" i="26" s="1"/>
  <c r="I136" i="26"/>
  <c r="I131" i="26"/>
  <c r="I133" i="26"/>
  <c r="I132" i="26"/>
  <c r="AO153" i="30"/>
  <c r="AO157" i="30"/>
  <c r="AO161" i="30"/>
  <c r="T61" i="15"/>
  <c r="X61" i="15"/>
  <c r="Q61" i="15"/>
  <c r="U61" i="15"/>
  <c r="Y61" i="15"/>
  <c r="R61" i="15"/>
  <c r="V61" i="15"/>
  <c r="Z61" i="15"/>
  <c r="S61" i="15"/>
  <c r="W61" i="15"/>
  <c r="T52" i="15"/>
  <c r="X52" i="15"/>
  <c r="Q52" i="15"/>
  <c r="U52" i="15"/>
  <c r="Y52" i="15"/>
  <c r="R52" i="15"/>
  <c r="V52" i="15"/>
  <c r="Z52" i="15"/>
  <c r="W52" i="15"/>
  <c r="S52" i="15"/>
  <c r="T39" i="15"/>
  <c r="X39" i="15"/>
  <c r="Q39" i="15"/>
  <c r="U39" i="15"/>
  <c r="Y39" i="15"/>
  <c r="R39" i="15"/>
  <c r="V39" i="15"/>
  <c r="Z39" i="15"/>
  <c r="W39" i="15"/>
  <c r="S39" i="15"/>
  <c r="V194" i="1"/>
  <c r="U194" i="1" s="1"/>
  <c r="J156" i="2" s="1"/>
  <c r="J155" i="2" s="1"/>
  <c r="V195" i="1"/>
  <c r="U195" i="1" s="1"/>
  <c r="V193" i="1"/>
  <c r="U193" i="1" s="1"/>
  <c r="V227" i="1"/>
  <c r="U227" i="1" s="1"/>
  <c r="J156" i="28" s="1"/>
  <c r="J155" i="28" s="1"/>
  <c r="V226" i="1"/>
  <c r="U226" i="1" s="1"/>
  <c r="V224" i="1"/>
  <c r="U224" i="1" s="1"/>
  <c r="J156" i="27" s="1"/>
  <c r="J155" i="27" s="1"/>
  <c r="V221" i="1"/>
  <c r="U221" i="1" s="1"/>
  <c r="J156" i="26" s="1"/>
  <c r="J155" i="26" s="1"/>
  <c r="V228" i="1"/>
  <c r="U228" i="1" s="1"/>
  <c r="V218" i="1"/>
  <c r="U218" i="1" s="1"/>
  <c r="J156" i="25" s="1"/>
  <c r="J155" i="25" s="1"/>
  <c r="AQ359" i="14" s="1"/>
  <c r="V215" i="1"/>
  <c r="U215" i="1" s="1"/>
  <c r="J156" i="24" s="1"/>
  <c r="J155" i="24" s="1"/>
  <c r="CM356" i="14" s="1"/>
  <c r="V209" i="1"/>
  <c r="U209" i="1" s="1"/>
  <c r="J156" i="22" s="1"/>
  <c r="J155" i="22" s="1"/>
  <c r="V206" i="1"/>
  <c r="U206" i="1" s="1"/>
  <c r="J156" i="21" s="1"/>
  <c r="J155" i="21" s="1"/>
  <c r="V197" i="1"/>
  <c r="U197" i="1" s="1"/>
  <c r="J156" i="18" s="1"/>
  <c r="J155" i="18" s="1"/>
  <c r="CL162" i="14" s="1"/>
  <c r="V198" i="1"/>
  <c r="U198" i="1" s="1"/>
  <c r="V201" i="1"/>
  <c r="U201" i="1" s="1"/>
  <c r="V204" i="1"/>
  <c r="U204" i="1" s="1"/>
  <c r="V207" i="1"/>
  <c r="U207" i="1" s="1"/>
  <c r="V210" i="1"/>
  <c r="U210" i="1" s="1"/>
  <c r="V213" i="1"/>
  <c r="U213" i="1" s="1"/>
  <c r="V216" i="1"/>
  <c r="U216" i="1" s="1"/>
  <c r="V219" i="1"/>
  <c r="U219" i="1" s="1"/>
  <c r="V222" i="1"/>
  <c r="U222" i="1" s="1"/>
  <c r="V225" i="1"/>
  <c r="U225" i="1" s="1"/>
  <c r="V203" i="1"/>
  <c r="U203" i="1" s="1"/>
  <c r="J156" i="20" s="1"/>
  <c r="J155" i="20" s="1"/>
  <c r="V200" i="1"/>
  <c r="U200" i="1" s="1"/>
  <c r="J156" i="19" s="1"/>
  <c r="J155" i="19" s="1"/>
  <c r="CM180" i="14" s="1"/>
  <c r="V212" i="1"/>
  <c r="U212" i="1" s="1"/>
  <c r="J156" i="23" s="1"/>
  <c r="J155" i="23" s="1"/>
  <c r="V202" i="1"/>
  <c r="U202" i="1" s="1"/>
  <c r="V214" i="1"/>
  <c r="U214" i="1" s="1"/>
  <c r="V199" i="1"/>
  <c r="U199" i="1" s="1"/>
  <c r="V211" i="1"/>
  <c r="U211" i="1" s="1"/>
  <c r="V223" i="1"/>
  <c r="U223" i="1" s="1"/>
  <c r="V196" i="1"/>
  <c r="U196" i="1" s="1"/>
  <c r="V205" i="1"/>
  <c r="U205" i="1" s="1"/>
  <c r="V208" i="1"/>
  <c r="U208" i="1" s="1"/>
  <c r="V220" i="1"/>
  <c r="U220" i="1" s="1"/>
  <c r="V217" i="1"/>
  <c r="U217" i="1" s="1"/>
  <c r="Z71" i="25"/>
  <c r="Z71" i="23"/>
  <c r="Z71" i="24"/>
  <c r="C169" i="18"/>
  <c r="C182" i="18" s="1"/>
  <c r="U65" i="18" s="1"/>
  <c r="T67" i="18" s="1"/>
  <c r="I68" i="18" s="1"/>
  <c r="D132" i="29" s="1"/>
  <c r="G68" i="18"/>
  <c r="D123" i="29" s="1"/>
  <c r="L174" i="29"/>
  <c r="H1" i="24"/>
  <c r="H158" i="2"/>
  <c r="H96" i="2"/>
  <c r="H94" i="2"/>
  <c r="H93" i="2"/>
  <c r="H95" i="2"/>
  <c r="V10" i="26"/>
  <c r="D9" i="26"/>
  <c r="C9" i="26" s="1"/>
  <c r="AI115" i="14"/>
  <c r="AG115" i="14"/>
  <c r="L122" i="14"/>
  <c r="E117" i="14"/>
  <c r="C116" i="14"/>
  <c r="B116" i="14"/>
  <c r="AN116" i="14"/>
  <c r="L116" i="14"/>
  <c r="Q116" i="14"/>
  <c r="H115" i="15"/>
  <c r="J116" i="14"/>
  <c r="BE169" i="16"/>
  <c r="BE171" i="16" s="1"/>
  <c r="H130" i="28"/>
  <c r="H134" i="28" s="1"/>
  <c r="H136" i="28"/>
  <c r="H131" i="28"/>
  <c r="H133" i="28"/>
  <c r="H132" i="28"/>
  <c r="H130" i="20"/>
  <c r="H134" i="20" s="1"/>
  <c r="H136" i="20"/>
  <c r="H132" i="20"/>
  <c r="H131" i="20"/>
  <c r="H133" i="20"/>
  <c r="H130" i="24"/>
  <c r="H134" i="24" s="1"/>
  <c r="H136" i="24"/>
  <c r="H131" i="24"/>
  <c r="H133" i="24"/>
  <c r="H132" i="24"/>
  <c r="M247" i="1"/>
  <c r="P247" i="1"/>
  <c r="V247" i="1"/>
  <c r="AB247" i="1"/>
  <c r="AH247" i="1"/>
  <c r="G247" i="1"/>
  <c r="D247" i="1"/>
  <c r="S247" i="1"/>
  <c r="Y247" i="1"/>
  <c r="AE247" i="1"/>
  <c r="AK247" i="1"/>
  <c r="J247" i="1"/>
  <c r="H235" i="28"/>
  <c r="K10" i="30"/>
  <c r="M10" i="30"/>
  <c r="I73" i="19"/>
  <c r="AR92" i="30"/>
  <c r="E50" i="30"/>
  <c r="E46" i="30"/>
  <c r="E49" i="30"/>
  <c r="E45" i="30"/>
  <c r="E52" i="30"/>
  <c r="E48" i="30"/>
  <c r="E53" i="30"/>
  <c r="E47" i="30"/>
  <c r="E54" i="30"/>
  <c r="E51" i="30"/>
  <c r="AP115" i="30"/>
  <c r="AP116" i="30"/>
  <c r="AP114" i="30"/>
  <c r="K1" i="20"/>
  <c r="G130" i="2"/>
  <c r="G134" i="2" s="1"/>
  <c r="G132" i="2"/>
  <c r="G136" i="2"/>
  <c r="G131" i="2"/>
  <c r="G133" i="2"/>
  <c r="G136" i="22"/>
  <c r="G130" i="22"/>
  <c r="G134" i="22" s="1"/>
  <c r="G131" i="22"/>
  <c r="G132" i="22"/>
  <c r="G133" i="22"/>
  <c r="G130" i="26"/>
  <c r="G134" i="26" s="1"/>
  <c r="G136" i="26"/>
  <c r="G131" i="26"/>
  <c r="G132" i="26"/>
  <c r="G133" i="26"/>
  <c r="D118" i="29"/>
  <c r="AO165" i="30"/>
  <c r="I130" i="25"/>
  <c r="I134" i="25" s="1"/>
  <c r="I136" i="25"/>
  <c r="I133" i="25"/>
  <c r="I132" i="25"/>
  <c r="I131" i="25"/>
  <c r="I130" i="22"/>
  <c r="I134" i="22" s="1"/>
  <c r="I136" i="22"/>
  <c r="I133" i="22"/>
  <c r="I132" i="22"/>
  <c r="I131" i="22"/>
  <c r="I130" i="28"/>
  <c r="I134" i="28" s="1"/>
  <c r="I136" i="28"/>
  <c r="I132" i="28"/>
  <c r="I131" i="28"/>
  <c r="I133" i="28"/>
  <c r="K235" i="28"/>
  <c r="K1" i="26"/>
  <c r="E74" i="30"/>
  <c r="E70" i="30"/>
  <c r="E78" i="30"/>
  <c r="E77" i="30"/>
  <c r="E73" i="30"/>
  <c r="E69" i="30"/>
  <c r="E76" i="30"/>
  <c r="E72" i="30"/>
  <c r="E75" i="30"/>
  <c r="E71" i="30"/>
  <c r="W128" i="30"/>
  <c r="W125" i="30"/>
  <c r="W131" i="30"/>
  <c r="I222" i="2"/>
  <c r="AA117" i="30" s="1"/>
  <c r="G225" i="21"/>
  <c r="I225" i="21" s="1"/>
  <c r="G227" i="21"/>
  <c r="I227" i="21" s="1"/>
  <c r="I222" i="21"/>
  <c r="I222" i="23"/>
  <c r="G227" i="23"/>
  <c r="I227" i="23" s="1"/>
  <c r="G225" i="23"/>
  <c r="I225" i="23" s="1"/>
  <c r="CG483" i="14"/>
  <c r="CF482" i="14" s="1"/>
  <c r="CF481" i="14"/>
  <c r="W34" i="15"/>
  <c r="S34" i="15"/>
  <c r="Z34" i="15"/>
  <c r="V34" i="15"/>
  <c r="R34" i="15"/>
  <c r="Y34" i="15"/>
  <c r="U34" i="15"/>
  <c r="Q34" i="15"/>
  <c r="T34" i="15"/>
  <c r="X34" i="15"/>
  <c r="T62" i="15"/>
  <c r="X62" i="15"/>
  <c r="Q62" i="15"/>
  <c r="U62" i="15"/>
  <c r="Y62" i="15"/>
  <c r="R62" i="15"/>
  <c r="V62" i="15"/>
  <c r="Z62" i="15"/>
  <c r="W62" i="15"/>
  <c r="S62" i="15"/>
  <c r="W33" i="15"/>
  <c r="S33" i="15"/>
  <c r="Z33" i="15"/>
  <c r="V33" i="15"/>
  <c r="R33" i="15"/>
  <c r="Y33" i="15"/>
  <c r="U33" i="15"/>
  <c r="Q33" i="15"/>
  <c r="X33" i="15"/>
  <c r="T33" i="15"/>
  <c r="D41" i="15"/>
  <c r="F38" i="15" s="1"/>
  <c r="W59" i="15"/>
  <c r="S59" i="15"/>
  <c r="Q59" i="15"/>
  <c r="Z59" i="15"/>
  <c r="V59" i="15"/>
  <c r="R59" i="15"/>
  <c r="Y59" i="15"/>
  <c r="U59" i="15"/>
  <c r="D67" i="15"/>
  <c r="F65" i="15" s="1"/>
  <c r="X59" i="15"/>
  <c r="T59" i="15"/>
  <c r="T51" i="15"/>
  <c r="X51" i="15"/>
  <c r="Q51" i="15"/>
  <c r="U51" i="15"/>
  <c r="Y51" i="15"/>
  <c r="R51" i="15"/>
  <c r="V51" i="15"/>
  <c r="Z51" i="15"/>
  <c r="S51" i="15"/>
  <c r="W51" i="15"/>
  <c r="K1" i="21"/>
  <c r="K246" i="28"/>
  <c r="L246" i="28" s="1"/>
  <c r="M258" i="28"/>
  <c r="K263" i="28"/>
  <c r="K269" i="28" s="1"/>
  <c r="S89" i="26"/>
  <c r="U90" i="26" s="1"/>
  <c r="G65" i="26"/>
  <c r="N88" i="2"/>
  <c r="S89" i="2"/>
  <c r="U90" i="2" s="1"/>
  <c r="BD172" i="16"/>
  <c r="C12" i="22"/>
  <c r="D13" i="22"/>
  <c r="Q128" i="30"/>
  <c r="Q125" i="30"/>
  <c r="Q131" i="30"/>
  <c r="I158" i="2"/>
  <c r="K96" i="2"/>
  <c r="K95" i="2"/>
  <c r="K93" i="2"/>
  <c r="K94" i="2"/>
  <c r="S69" i="2"/>
  <c r="G79" i="2"/>
  <c r="U69" i="2" s="1"/>
  <c r="I7" i="30"/>
  <c r="M28" i="1"/>
  <c r="E28" i="1" s="1"/>
  <c r="I28" i="1"/>
  <c r="I30" i="1" s="1"/>
  <c r="AK30" i="1" s="1"/>
  <c r="E30" i="1" s="1"/>
  <c r="U30" i="1"/>
  <c r="AC30" i="1"/>
  <c r="U28" i="1"/>
  <c r="AC28" i="1"/>
  <c r="M30" i="1"/>
  <c r="C19" i="1"/>
  <c r="E26" i="1"/>
  <c r="E37" i="1"/>
  <c r="CN243" i="14"/>
  <c r="K1" i="23"/>
  <c r="H96" i="25"/>
  <c r="H158" i="25"/>
  <c r="H95" i="25"/>
  <c r="H94" i="25"/>
  <c r="H93" i="25"/>
  <c r="H1" i="27"/>
  <c r="H1" i="23"/>
  <c r="H1" i="19"/>
  <c r="H96" i="23"/>
  <c r="H158" i="23"/>
  <c r="H95" i="23"/>
  <c r="H94" i="23"/>
  <c r="H93" i="23"/>
  <c r="O176" i="29"/>
  <c r="R176" i="29" s="1"/>
  <c r="R12" i="29"/>
  <c r="S89" i="25"/>
  <c r="U90" i="25" s="1"/>
  <c r="K244" i="28"/>
  <c r="L244" i="28" s="1"/>
  <c r="H263" i="28"/>
  <c r="H269" i="28" s="1"/>
  <c r="M256" i="28"/>
  <c r="V10" i="19"/>
  <c r="D9" i="19"/>
  <c r="C9" i="19" s="1"/>
  <c r="G288" i="1"/>
  <c r="B419" i="1"/>
  <c r="D410" i="1"/>
  <c r="AK410" i="1"/>
  <c r="G410" i="1"/>
  <c r="J410" i="1"/>
  <c r="M410" i="1"/>
  <c r="P410" i="1"/>
  <c r="S410" i="1"/>
  <c r="V410" i="1"/>
  <c r="Y410" i="1"/>
  <c r="AB410" i="1"/>
  <c r="AE410" i="1"/>
  <c r="AH410" i="1"/>
  <c r="AA9" i="2"/>
  <c r="AG163" i="16"/>
  <c r="AG165" i="16" s="1"/>
  <c r="AH170" i="16" s="1"/>
  <c r="AH172" i="16" s="1"/>
  <c r="AF165" i="16"/>
  <c r="AE171" i="16" s="1"/>
  <c r="AE172" i="16" s="1"/>
  <c r="H130" i="2"/>
  <c r="H134" i="2" s="1"/>
  <c r="H132" i="2"/>
  <c r="H131" i="2"/>
  <c r="H133" i="2"/>
  <c r="H136" i="2"/>
  <c r="H130" i="21"/>
  <c r="H134" i="21" s="1"/>
  <c r="H136" i="21"/>
  <c r="H133" i="21"/>
  <c r="H132" i="21"/>
  <c r="H131" i="21"/>
  <c r="H130" i="25"/>
  <c r="H134" i="25" s="1"/>
  <c r="H136" i="25"/>
  <c r="H132" i="25"/>
  <c r="H131" i="25"/>
  <c r="H133" i="25"/>
  <c r="AB250" i="1"/>
  <c r="AK250" i="1"/>
  <c r="G250" i="1"/>
  <c r="N88" i="27"/>
  <c r="AZ170" i="16"/>
  <c r="G136" i="19"/>
  <c r="G132" i="19"/>
  <c r="G131" i="19"/>
  <c r="G130" i="19"/>
  <c r="G134" i="19" s="1"/>
  <c r="G133" i="19"/>
  <c r="I130" i="2"/>
  <c r="I134" i="2" s="1"/>
  <c r="I136" i="2"/>
  <c r="I132" i="2"/>
  <c r="I133" i="2"/>
  <c r="I131" i="2"/>
  <c r="G65" i="24"/>
  <c r="T49" i="15"/>
  <c r="X49" i="15"/>
  <c r="Q49" i="15"/>
  <c r="U49" i="15"/>
  <c r="Y49" i="15"/>
  <c r="R49" i="15"/>
  <c r="V49" i="15"/>
  <c r="Z49" i="15"/>
  <c r="S49" i="15"/>
  <c r="W49" i="15"/>
  <c r="V11" i="21"/>
  <c r="I263" i="28"/>
  <c r="I269" i="28" s="1"/>
  <c r="K245" i="28"/>
  <c r="L245" i="28" s="1"/>
  <c r="M257" i="28"/>
  <c r="H96" i="20"/>
  <c r="H158" i="20"/>
  <c r="H93" i="20"/>
  <c r="H95" i="20"/>
  <c r="H94" i="20"/>
  <c r="G65" i="21"/>
  <c r="L156" i="14"/>
  <c r="AI149" i="14"/>
  <c r="AG149" i="14"/>
  <c r="N12" i="29"/>
  <c r="K176" i="29"/>
  <c r="N176" i="29" s="1"/>
  <c r="N88" i="28"/>
  <c r="G65" i="28"/>
  <c r="K96" i="26"/>
  <c r="I158" i="26"/>
  <c r="K95" i="26"/>
  <c r="K94" i="26"/>
  <c r="K93" i="26"/>
  <c r="G136" i="20"/>
  <c r="G133" i="20"/>
  <c r="G130" i="20"/>
  <c r="G134" i="20" s="1"/>
  <c r="G132" i="20"/>
  <c r="G131" i="20"/>
  <c r="G130" i="25"/>
  <c r="G134" i="25" s="1"/>
  <c r="G132" i="25"/>
  <c r="G136" i="25"/>
  <c r="G133" i="25"/>
  <c r="G131" i="25"/>
  <c r="G130" i="18"/>
  <c r="G134" i="18" s="1"/>
  <c r="G136" i="18"/>
  <c r="G133" i="18"/>
  <c r="G132" i="18"/>
  <c r="G131" i="18"/>
  <c r="I132" i="21"/>
  <c r="I136" i="21"/>
  <c r="I133" i="21"/>
  <c r="I130" i="21"/>
  <c r="I134" i="21" s="1"/>
  <c r="I131" i="21"/>
  <c r="I136" i="27"/>
  <c r="I132" i="27"/>
  <c r="I130" i="27"/>
  <c r="I134" i="27" s="1"/>
  <c r="I131" i="27"/>
  <c r="I133" i="27"/>
  <c r="I130" i="24"/>
  <c r="I134" i="24" s="1"/>
  <c r="I136" i="24"/>
  <c r="I131" i="24"/>
  <c r="I133" i="24"/>
  <c r="I132" i="24"/>
  <c r="Z70" i="25"/>
  <c r="Z70" i="23"/>
  <c r="Z70" i="24"/>
  <c r="AY169" i="16"/>
  <c r="AY171" i="16" s="1"/>
  <c r="AP111" i="30"/>
  <c r="AP112" i="30"/>
  <c r="AP113" i="30"/>
  <c r="AF10" i="30"/>
  <c r="AH10" i="30"/>
  <c r="AG142" i="1"/>
  <c r="AG143" i="1" s="1"/>
  <c r="AH141" i="1"/>
  <c r="K96" i="24"/>
  <c r="I158" i="24"/>
  <c r="K95" i="24"/>
  <c r="K94" i="24"/>
  <c r="K93" i="24"/>
  <c r="N69" i="18"/>
  <c r="W127" i="30"/>
  <c r="W124" i="30"/>
  <c r="W130" i="30"/>
  <c r="I222" i="22"/>
  <c r="G227" i="22"/>
  <c r="I227" i="22" s="1"/>
  <c r="G225" i="22"/>
  <c r="I225" i="22" s="1"/>
  <c r="I222" i="27"/>
  <c r="G227" i="27"/>
  <c r="I227" i="27" s="1"/>
  <c r="G225" i="27"/>
  <c r="I225" i="27" s="1"/>
  <c r="I222" i="20"/>
  <c r="G225" i="20"/>
  <c r="I225" i="20" s="1"/>
  <c r="G227" i="20"/>
  <c r="I227" i="20" s="1"/>
  <c r="T38" i="15"/>
  <c r="X38" i="15"/>
  <c r="Q38" i="15"/>
  <c r="U38" i="15"/>
  <c r="Y38" i="15"/>
  <c r="R38" i="15"/>
  <c r="V38" i="15"/>
  <c r="Z38" i="15"/>
  <c r="S38" i="15"/>
  <c r="W38" i="15"/>
  <c r="T50" i="15"/>
  <c r="X50" i="15"/>
  <c r="Q50" i="15"/>
  <c r="U50" i="15"/>
  <c r="Y50" i="15"/>
  <c r="R50" i="15"/>
  <c r="V50" i="15"/>
  <c r="Z50" i="15"/>
  <c r="W50" i="15"/>
  <c r="S50" i="15"/>
  <c r="T64" i="15"/>
  <c r="X64" i="15"/>
  <c r="Q64" i="15"/>
  <c r="U64" i="15"/>
  <c r="Y64" i="15"/>
  <c r="R64" i="15"/>
  <c r="V64" i="15"/>
  <c r="Z64" i="15"/>
  <c r="W64" i="15"/>
  <c r="S64" i="15"/>
  <c r="W35" i="15"/>
  <c r="S35" i="15"/>
  <c r="Z35" i="15"/>
  <c r="V35" i="15"/>
  <c r="R35" i="15"/>
  <c r="Y35" i="15"/>
  <c r="U35" i="15"/>
  <c r="Q35" i="15"/>
  <c r="X35" i="15"/>
  <c r="T35" i="15"/>
  <c r="T63" i="15"/>
  <c r="X63" i="15"/>
  <c r="Q63" i="15"/>
  <c r="U63" i="15"/>
  <c r="Y63" i="15"/>
  <c r="R63" i="15"/>
  <c r="V63" i="15"/>
  <c r="Z63" i="15"/>
  <c r="S63" i="15"/>
  <c r="W63" i="15"/>
  <c r="T60" i="15"/>
  <c r="X60" i="15"/>
  <c r="Q60" i="15"/>
  <c r="U60" i="15"/>
  <c r="Y60" i="15"/>
  <c r="R60" i="15"/>
  <c r="V60" i="15"/>
  <c r="Z60" i="15"/>
  <c r="W60" i="15"/>
  <c r="S60" i="15"/>
  <c r="V11" i="23"/>
  <c r="D10" i="23"/>
  <c r="C10" i="23" s="1"/>
  <c r="K96" i="28"/>
  <c r="I158" i="28"/>
  <c r="K93" i="28"/>
  <c r="K95" i="28"/>
  <c r="K94" i="28"/>
  <c r="K1" i="25"/>
  <c r="V19" i="22"/>
  <c r="T72" i="28"/>
  <c r="Q152" i="29"/>
  <c r="K281" i="28"/>
  <c r="G65" i="19"/>
  <c r="L87" i="22"/>
  <c r="I120" i="29" s="1"/>
  <c r="G164" i="22"/>
  <c r="I12" i="29" s="1"/>
  <c r="G65" i="2"/>
  <c r="G235" i="28"/>
  <c r="AD168" i="16"/>
  <c r="AD170" i="16" s="1"/>
  <c r="X170" i="16"/>
  <c r="Q127" i="30"/>
  <c r="Q124" i="30"/>
  <c r="Q130" i="30"/>
  <c r="K1" i="22"/>
  <c r="I157" i="27"/>
  <c r="I159" i="27"/>
  <c r="AO278" i="1"/>
  <c r="H96" i="26"/>
  <c r="H158" i="26"/>
  <c r="H93" i="26"/>
  <c r="H95" i="26"/>
  <c r="H94" i="26"/>
  <c r="H96" i="21"/>
  <c r="H158" i="21"/>
  <c r="AP258" i="14"/>
  <c r="H93" i="21"/>
  <c r="H95" i="21"/>
  <c r="H94" i="21"/>
  <c r="H1" i="26"/>
  <c r="H1" i="22"/>
  <c r="H1" i="18"/>
  <c r="H1" i="28"/>
  <c r="H1" i="2"/>
  <c r="N88" i="21"/>
  <c r="S89" i="21"/>
  <c r="U90" i="21" s="1"/>
  <c r="N235" i="28"/>
  <c r="X171" i="16"/>
  <c r="X168" i="16" s="1"/>
  <c r="BB168" i="16"/>
  <c r="BB170" i="16" s="1"/>
  <c r="O172" i="16"/>
  <c r="H125" i="30"/>
  <c r="H131" i="30"/>
  <c r="H128" i="30"/>
  <c r="H130" i="18"/>
  <c r="H134" i="18" s="1"/>
  <c r="H136" i="18"/>
  <c r="H132" i="18"/>
  <c r="H131" i="18"/>
  <c r="H133" i="18"/>
  <c r="H130" i="22"/>
  <c r="H134" i="22" s="1"/>
  <c r="H136" i="22"/>
  <c r="H131" i="22"/>
  <c r="H133" i="22"/>
  <c r="H132" i="22"/>
  <c r="H130" i="26"/>
  <c r="H134" i="26" s="1"/>
  <c r="H132" i="26"/>
  <c r="H133" i="26"/>
  <c r="H136" i="26"/>
  <c r="H131" i="26"/>
  <c r="P250" i="1"/>
  <c r="V250" i="1"/>
  <c r="AE250" i="1"/>
  <c r="AZ172" i="16"/>
  <c r="I73" i="20"/>
  <c r="N69" i="20"/>
  <c r="I69" i="21"/>
  <c r="G136" i="23"/>
  <c r="G131" i="23"/>
  <c r="G130" i="23"/>
  <c r="G134" i="23" s="1"/>
  <c r="G133" i="23"/>
  <c r="G132" i="23"/>
  <c r="AO169" i="30"/>
  <c r="AM173" i="30"/>
  <c r="I136" i="19"/>
  <c r="I130" i="19"/>
  <c r="I134" i="19" s="1"/>
  <c r="I132" i="19"/>
  <c r="I131" i="19"/>
  <c r="I133" i="19"/>
  <c r="E169" i="16"/>
  <c r="D169" i="16"/>
  <c r="E170" i="16"/>
  <c r="C173" i="16" s="1"/>
  <c r="C169" i="16"/>
  <c r="AN60" i="14"/>
  <c r="AO59" i="14"/>
  <c r="AM72" i="14"/>
  <c r="I222" i="19"/>
  <c r="G227" i="19"/>
  <c r="I227" i="19" s="1"/>
  <c r="G225" i="19"/>
  <c r="I225" i="19" s="1"/>
  <c r="G225" i="24"/>
  <c r="I225" i="24" s="1"/>
  <c r="G227" i="24"/>
  <c r="I227" i="24" s="1"/>
  <c r="I222" i="24"/>
  <c r="I222" i="26"/>
  <c r="G227" i="26"/>
  <c r="I227" i="26" s="1"/>
  <c r="G225" i="26"/>
  <c r="I225" i="26" s="1"/>
  <c r="G223" i="2"/>
  <c r="G229" i="2" s="1"/>
  <c r="I229" i="2" s="1"/>
  <c r="AA138" i="30" s="1"/>
  <c r="G223" i="21"/>
  <c r="G223" i="24"/>
  <c r="G223" i="28"/>
  <c r="G223" i="19"/>
  <c r="I223" i="19" s="1"/>
  <c r="G223" i="22"/>
  <c r="G223" i="25"/>
  <c r="I223" i="25" s="1"/>
  <c r="G223" i="20"/>
  <c r="I223" i="20" s="1"/>
  <c r="G223" i="23"/>
  <c r="I223" i="23" s="1"/>
  <c r="G223" i="26"/>
  <c r="I223" i="26" s="1"/>
  <c r="G223" i="18"/>
  <c r="I223" i="18" s="1"/>
  <c r="G223" i="27"/>
  <c r="I223" i="27" s="1"/>
  <c r="C91" i="30"/>
  <c r="T65" i="15"/>
  <c r="X65" i="15"/>
  <c r="Q65" i="15"/>
  <c r="U65" i="15"/>
  <c r="Y65" i="15"/>
  <c r="R65" i="15"/>
  <c r="V65" i="15"/>
  <c r="Z65" i="15"/>
  <c r="S65" i="15"/>
  <c r="W65" i="15"/>
  <c r="K96" i="22"/>
  <c r="I158" i="22"/>
  <c r="K95" i="22"/>
  <c r="K94" i="22"/>
  <c r="K93" i="22"/>
  <c r="X172" i="16"/>
  <c r="X169" i="16" s="1"/>
  <c r="C112" i="15"/>
  <c r="C196" i="29"/>
  <c r="I163" i="23"/>
  <c r="I163" i="25"/>
  <c r="I163" i="27"/>
  <c r="I163" i="19"/>
  <c r="I163" i="20"/>
  <c r="I163" i="22"/>
  <c r="I163" i="24"/>
  <c r="I163" i="26"/>
  <c r="I163" i="28"/>
  <c r="I163" i="18"/>
  <c r="I163" i="2"/>
  <c r="I163" i="21"/>
  <c r="Y400" i="1"/>
  <c r="Y297" i="1"/>
  <c r="P275" i="1"/>
  <c r="H96" i="24"/>
  <c r="H158" i="24"/>
  <c r="H93" i="24"/>
  <c r="H95" i="24"/>
  <c r="H94" i="24"/>
  <c r="H1" i="20"/>
  <c r="G65" i="25"/>
  <c r="AP124" i="30"/>
  <c r="AP125" i="30"/>
  <c r="AP123" i="30"/>
  <c r="K96" i="21"/>
  <c r="I158" i="21"/>
  <c r="K93" i="21"/>
  <c r="K95" i="21"/>
  <c r="K94" i="21"/>
  <c r="K96" i="20"/>
  <c r="I158" i="20"/>
  <c r="K95" i="20"/>
  <c r="K94" i="20"/>
  <c r="K93" i="20"/>
  <c r="G136" i="27"/>
  <c r="G133" i="27"/>
  <c r="G131" i="27"/>
  <c r="G130" i="27"/>
  <c r="G134" i="27" s="1"/>
  <c r="G132" i="27"/>
  <c r="G136" i="21"/>
  <c r="G133" i="21"/>
  <c r="G130" i="21"/>
  <c r="G134" i="21" s="1"/>
  <c r="G132" i="21"/>
  <c r="G131" i="21"/>
  <c r="G136" i="24"/>
  <c r="G130" i="24"/>
  <c r="G134" i="24" s="1"/>
  <c r="G132" i="24"/>
  <c r="G133" i="24"/>
  <c r="G131" i="24"/>
  <c r="T72" i="2"/>
  <c r="C152" i="29"/>
  <c r="K270" i="28"/>
  <c r="V11" i="25"/>
  <c r="D10" i="25"/>
  <c r="C10" i="25" s="1"/>
  <c r="I130" i="18"/>
  <c r="I134" i="18" s="1"/>
  <c r="I136" i="18"/>
  <c r="I131" i="18"/>
  <c r="I133" i="18"/>
  <c r="I132" i="18"/>
  <c r="I136" i="20"/>
  <c r="I132" i="20"/>
  <c r="I131" i="20"/>
  <c r="I130" i="20"/>
  <c r="I134" i="20" s="1"/>
  <c r="I133" i="20"/>
  <c r="I130" i="23"/>
  <c r="I134" i="23" s="1"/>
  <c r="I132" i="23"/>
  <c r="I131" i="23"/>
  <c r="I136" i="23"/>
  <c r="I133" i="23"/>
  <c r="AC169" i="16"/>
  <c r="AC171" i="16" s="1"/>
  <c r="AS163" i="16"/>
  <c r="AS165" i="16" s="1"/>
  <c r="AP163" i="16"/>
  <c r="AP165" i="16" s="1"/>
  <c r="AO171" i="16" s="1"/>
  <c r="AO172" i="16" s="1"/>
  <c r="AR165" i="16"/>
  <c r="K96" i="19"/>
  <c r="I158" i="19"/>
  <c r="K93" i="19"/>
  <c r="K95" i="19"/>
  <c r="K94" i="19"/>
  <c r="I73" i="18"/>
  <c r="I118" i="29"/>
  <c r="AX172" i="16"/>
  <c r="AJ163" i="16"/>
  <c r="AJ165" i="16" s="1"/>
  <c r="AI165" i="16"/>
  <c r="I222" i="25"/>
  <c r="G227" i="25"/>
  <c r="I227" i="25" s="1"/>
  <c r="G225" i="25"/>
  <c r="I225" i="25" s="1"/>
  <c r="G225" i="28"/>
  <c r="I225" i="28" s="1"/>
  <c r="G227" i="28"/>
  <c r="I227" i="28" s="1"/>
  <c r="I222" i="28"/>
  <c r="I222" i="18"/>
  <c r="G227" i="18"/>
  <c r="I227" i="18" s="1"/>
  <c r="G225" i="18"/>
  <c r="I225" i="18" s="1"/>
  <c r="Y46" i="15"/>
  <c r="U46" i="15"/>
  <c r="Q46" i="15"/>
  <c r="Z46" i="15"/>
  <c r="X46" i="15"/>
  <c r="T46" i="15"/>
  <c r="D54" i="15"/>
  <c r="F46" i="15" s="1"/>
  <c r="W46" i="15"/>
  <c r="S46" i="15"/>
  <c r="V46" i="15"/>
  <c r="R46" i="15"/>
  <c r="T48" i="15"/>
  <c r="X48" i="15"/>
  <c r="Q48" i="15"/>
  <c r="U48" i="15"/>
  <c r="Y48" i="15"/>
  <c r="R48" i="15"/>
  <c r="V48" i="15"/>
  <c r="Z48" i="15"/>
  <c r="W48" i="15"/>
  <c r="S48" i="15"/>
  <c r="W36" i="15"/>
  <c r="S36" i="15"/>
  <c r="Z36" i="15"/>
  <c r="V36" i="15"/>
  <c r="R36" i="15"/>
  <c r="Y36" i="15"/>
  <c r="U36" i="15"/>
  <c r="Q36" i="15"/>
  <c r="T36" i="15"/>
  <c r="X36" i="15"/>
  <c r="T37" i="15"/>
  <c r="X37" i="15"/>
  <c r="Q37" i="15"/>
  <c r="U37" i="15"/>
  <c r="Y37" i="15"/>
  <c r="R37" i="15"/>
  <c r="V37" i="15"/>
  <c r="Z37" i="15"/>
  <c r="W37" i="15"/>
  <c r="S37" i="15"/>
  <c r="T47" i="15"/>
  <c r="X47" i="15"/>
  <c r="Q47" i="15"/>
  <c r="U47" i="15"/>
  <c r="Y47" i="15"/>
  <c r="R47" i="15"/>
  <c r="V47" i="15"/>
  <c r="Z47" i="15"/>
  <c r="S47" i="15"/>
  <c r="W47" i="15"/>
  <c r="D86" i="15"/>
  <c r="D19" i="15"/>
  <c r="V85" i="15"/>
  <c r="R85" i="15"/>
  <c r="Y85" i="15"/>
  <c r="U85" i="15"/>
  <c r="Q85" i="15"/>
  <c r="X85" i="15"/>
  <c r="T85" i="15"/>
  <c r="W85" i="15"/>
  <c r="S85" i="15"/>
  <c r="F85" i="15"/>
  <c r="Z85" i="15"/>
  <c r="K96" i="18"/>
  <c r="I158" i="18"/>
  <c r="K95" i="18"/>
  <c r="K94" i="18"/>
  <c r="K93" i="18"/>
  <c r="K96" i="25"/>
  <c r="I158" i="25"/>
  <c r="K93" i="25"/>
  <c r="K94" i="25"/>
  <c r="K95" i="25"/>
  <c r="N88" i="19"/>
  <c r="S89" i="19"/>
  <c r="U90" i="19" s="1"/>
  <c r="E177" i="14"/>
  <c r="B176" i="14"/>
  <c r="AN176" i="14"/>
  <c r="C176" i="14"/>
  <c r="D176" i="14" s="1"/>
  <c r="Q176" i="14"/>
  <c r="H175" i="15"/>
  <c r="J176" i="14"/>
  <c r="V12" i="2"/>
  <c r="D11" i="2"/>
  <c r="C11" i="2" s="1"/>
  <c r="AA163" i="16"/>
  <c r="AA165" i="16" s="1"/>
  <c r="AB170" i="16" s="1"/>
  <c r="AB172" i="16" s="1"/>
  <c r="DB166" i="16"/>
  <c r="Z165" i="16"/>
  <c r="CM248" i="14"/>
  <c r="CN235" i="14"/>
  <c r="CK128" i="14"/>
  <c r="K96" i="23"/>
  <c r="I158" i="23"/>
  <c r="K93" i="23"/>
  <c r="K95" i="23"/>
  <c r="K94" i="23"/>
  <c r="H96" i="18"/>
  <c r="H158" i="18"/>
  <c r="H93" i="18"/>
  <c r="H94" i="18"/>
  <c r="H95" i="18"/>
  <c r="H96" i="27"/>
  <c r="H158" i="27"/>
  <c r="H93" i="27"/>
  <c r="H95" i="27"/>
  <c r="H94" i="27"/>
  <c r="H96" i="19"/>
  <c r="H158" i="19"/>
  <c r="H95" i="19"/>
  <c r="H94" i="19"/>
  <c r="H93" i="19"/>
  <c r="H1" i="25"/>
  <c r="H1" i="21"/>
  <c r="H96" i="22"/>
  <c r="H158" i="22"/>
  <c r="H93" i="22"/>
  <c r="H94" i="22"/>
  <c r="H95" i="22"/>
  <c r="H158" i="28"/>
  <c r="H96" i="28"/>
  <c r="H95" i="28"/>
  <c r="H94" i="28"/>
  <c r="H93" i="28"/>
  <c r="S253" i="1"/>
  <c r="Y253" i="1"/>
  <c r="AE253" i="1"/>
  <c r="AK253" i="1"/>
  <c r="J253" i="1"/>
  <c r="M253" i="1"/>
  <c r="P253" i="1"/>
  <c r="V253" i="1"/>
  <c r="AB253" i="1"/>
  <c r="AH253" i="1"/>
  <c r="G253" i="1"/>
  <c r="D253" i="1"/>
  <c r="CL454" i="14"/>
  <c r="CL184" i="14"/>
  <c r="N88" i="25"/>
  <c r="V11" i="28"/>
  <c r="D10" i="28"/>
  <c r="C10" i="28" s="1"/>
  <c r="BF170" i="16"/>
  <c r="BF172" i="16" s="1"/>
  <c r="B391" i="1"/>
  <c r="E139" i="18"/>
  <c r="E139" i="26"/>
  <c r="E139" i="25"/>
  <c r="E139" i="22"/>
  <c r="E139" i="24"/>
  <c r="E139" i="28"/>
  <c r="E139" i="20"/>
  <c r="E139" i="21"/>
  <c r="E139" i="2"/>
  <c r="E139" i="19"/>
  <c r="E139" i="23"/>
  <c r="E139" i="27"/>
  <c r="H130" i="30"/>
  <c r="H127" i="30"/>
  <c r="H124" i="30"/>
  <c r="H130" i="19"/>
  <c r="H134" i="19" s="1"/>
  <c r="H136" i="19"/>
  <c r="H133" i="19"/>
  <c r="H132" i="19"/>
  <c r="H131" i="19"/>
  <c r="H130" i="23"/>
  <c r="H134" i="23" s="1"/>
  <c r="H136" i="23"/>
  <c r="H133" i="23"/>
  <c r="H132" i="23"/>
  <c r="H131" i="23"/>
  <c r="H130" i="27"/>
  <c r="H134" i="27" s="1"/>
  <c r="H136" i="27"/>
  <c r="H131" i="27"/>
  <c r="H133" i="27"/>
  <c r="H132" i="27"/>
  <c r="V11" i="18"/>
  <c r="D10" i="18"/>
  <c r="C10" i="18" s="1"/>
  <c r="AH250" i="1"/>
  <c r="D250" i="1"/>
  <c r="S89" i="27"/>
  <c r="U90" i="27" s="1"/>
  <c r="G65" i="27"/>
  <c r="N69" i="19"/>
  <c r="AP201" i="14" l="1"/>
  <c r="CK247" i="14"/>
  <c r="D10" i="21"/>
  <c r="C10" i="21" s="1"/>
  <c r="CK282" i="14"/>
  <c r="AP470" i="14"/>
  <c r="CL479" i="14"/>
  <c r="CL278" i="14"/>
  <c r="CN293" i="14"/>
  <c r="AP457" i="14"/>
  <c r="CM459" i="14"/>
  <c r="W271" i="1"/>
  <c r="CM280" i="14"/>
  <c r="F36" i="15"/>
  <c r="AP477" i="14"/>
  <c r="CN453" i="14"/>
  <c r="F37" i="15"/>
  <c r="AP145" i="14"/>
  <c r="CL364" i="14"/>
  <c r="CK288" i="14"/>
  <c r="CM170" i="14"/>
  <c r="CK361" i="14"/>
  <c r="CL158" i="14"/>
  <c r="AQ384" i="14"/>
  <c r="CN471" i="14"/>
  <c r="CK449" i="14"/>
  <c r="CN167" i="14"/>
  <c r="CN383" i="14"/>
  <c r="AX278" i="1"/>
  <c r="AP378" i="14"/>
  <c r="CN180" i="14"/>
  <c r="CN295" i="14"/>
  <c r="AP211" i="14"/>
  <c r="CL329" i="14"/>
  <c r="AP476" i="14"/>
  <c r="CN466" i="14"/>
  <c r="I157" i="19"/>
  <c r="AQ478" i="14"/>
  <c r="CK330" i="14"/>
  <c r="CL465" i="14"/>
  <c r="CL356" i="14"/>
  <c r="CL468" i="14"/>
  <c r="CK460" i="14"/>
  <c r="CN115" i="14"/>
  <c r="CM402" i="14"/>
  <c r="CL355" i="14"/>
  <c r="CK174" i="14"/>
  <c r="CK248" i="14"/>
  <c r="AQ471" i="14"/>
  <c r="CK331" i="14"/>
  <c r="CK332" i="14"/>
  <c r="CK458" i="14"/>
  <c r="CM457" i="14"/>
  <c r="AQ347" i="14"/>
  <c r="AQ473" i="14"/>
  <c r="AQ461" i="14"/>
  <c r="CL193" i="14"/>
  <c r="AP180" i="14"/>
  <c r="CL470" i="14"/>
  <c r="CK347" i="14"/>
  <c r="CK398" i="14"/>
  <c r="CN353" i="14"/>
  <c r="CN344" i="14"/>
  <c r="CN263" i="14"/>
  <c r="AQ142" i="14"/>
  <c r="CL449" i="14"/>
  <c r="CK465" i="14"/>
  <c r="CN450" i="14"/>
  <c r="CL452" i="14"/>
  <c r="CK476" i="14"/>
  <c r="CN469" i="14"/>
  <c r="CL183" i="14"/>
  <c r="CM467" i="14"/>
  <c r="V11" i="27"/>
  <c r="D10" i="27"/>
  <c r="C10" i="27" s="1"/>
  <c r="AQ199" i="14"/>
  <c r="AQ453" i="14"/>
  <c r="CK338" i="14"/>
  <c r="CK474" i="14"/>
  <c r="CK124" i="14"/>
  <c r="CN330" i="14"/>
  <c r="CN455" i="14"/>
  <c r="CM462" i="14"/>
  <c r="C174" i="29"/>
  <c r="AP450" i="14"/>
  <c r="CL262" i="14"/>
  <c r="CN341" i="14"/>
  <c r="CM458" i="14"/>
  <c r="CN354" i="14"/>
  <c r="CL403" i="14"/>
  <c r="CK182" i="14"/>
  <c r="CK187" i="14"/>
  <c r="CN157" i="14"/>
  <c r="CN198" i="14"/>
  <c r="CM138" i="14"/>
  <c r="CM179" i="14"/>
  <c r="CM142" i="14"/>
  <c r="AP123" i="14"/>
  <c r="CL198" i="14"/>
  <c r="CK133" i="14"/>
  <c r="CN117" i="14"/>
  <c r="AQ201" i="14"/>
  <c r="AQ157" i="14"/>
  <c r="AQ152" i="14"/>
  <c r="CL200" i="14"/>
  <c r="AQ192" i="14"/>
  <c r="AP204" i="14"/>
  <c r="AQ370" i="14"/>
  <c r="CK142" i="14"/>
  <c r="CN196" i="14"/>
  <c r="CN374" i="14"/>
  <c r="CN125" i="14"/>
  <c r="CM137" i="14"/>
  <c r="G226" i="18"/>
  <c r="I226" i="18" s="1"/>
  <c r="AQ170" i="14"/>
  <c r="CK151" i="14"/>
  <c r="CN360" i="14"/>
  <c r="CN183" i="14"/>
  <c r="I159" i="28"/>
  <c r="AQ150" i="14"/>
  <c r="CL177" i="14"/>
  <c r="AQ183" i="14"/>
  <c r="AQ194" i="14"/>
  <c r="AP176" i="14"/>
  <c r="AP363" i="14"/>
  <c r="AQ372" i="14"/>
  <c r="CK138" i="14"/>
  <c r="CK131" i="14"/>
  <c r="CN381" i="14"/>
  <c r="CN141" i="14"/>
  <c r="CM125" i="14"/>
  <c r="AQ124" i="14"/>
  <c r="CK229" i="14"/>
  <c r="AQ286" i="14"/>
  <c r="CL273" i="14"/>
  <c r="CM284" i="14"/>
  <c r="CK267" i="14"/>
  <c r="CK273" i="14"/>
  <c r="AQ291" i="14"/>
  <c r="CM266" i="14"/>
  <c r="AP283" i="14"/>
  <c r="CL289" i="14"/>
  <c r="CL274" i="14"/>
  <c r="CM287" i="14"/>
  <c r="CK284" i="14"/>
  <c r="AQ281" i="14"/>
  <c r="CL267" i="14"/>
  <c r="CL288" i="14"/>
  <c r="CL285" i="14"/>
  <c r="CM277" i="14"/>
  <c r="CN275" i="14"/>
  <c r="CN270" i="14"/>
  <c r="AP290" i="14"/>
  <c r="CM281" i="14"/>
  <c r="CL290" i="14"/>
  <c r="CN282" i="14"/>
  <c r="AP293" i="14"/>
  <c r="AQ272" i="14"/>
  <c r="AP291" i="14"/>
  <c r="AP266" i="14"/>
  <c r="CM286" i="14"/>
  <c r="CN271" i="14"/>
  <c r="CN286" i="14"/>
  <c r="CN268" i="14"/>
  <c r="CK295" i="14"/>
  <c r="CK269" i="14"/>
  <c r="AQ295" i="14"/>
  <c r="AQ283" i="14"/>
  <c r="AP269" i="14"/>
  <c r="AP284" i="14"/>
  <c r="AP275" i="14"/>
  <c r="CM270" i="14"/>
  <c r="AP271" i="14"/>
  <c r="AP272" i="14"/>
  <c r="AQ293" i="14"/>
  <c r="AQ279" i="14"/>
  <c r="AP282" i="14"/>
  <c r="CN277" i="14"/>
  <c r="CN284" i="14"/>
  <c r="CK285" i="14"/>
  <c r="CK278" i="14"/>
  <c r="CM291" i="14"/>
  <c r="CN280" i="14"/>
  <c r="AP277" i="14"/>
  <c r="AQ285" i="14"/>
  <c r="CL269" i="14"/>
  <c r="CM293" i="14"/>
  <c r="CK287" i="14"/>
  <c r="CM208" i="14"/>
  <c r="CN291" i="14"/>
  <c r="AQ231" i="14"/>
  <c r="CK272" i="14"/>
  <c r="CK402" i="14"/>
  <c r="CN399" i="14"/>
  <c r="CM413" i="14"/>
  <c r="CL271" i="14"/>
  <c r="CK292" i="14"/>
  <c r="CK388" i="14"/>
  <c r="AQ388" i="14"/>
  <c r="CM405" i="14"/>
  <c r="AQ405" i="14"/>
  <c r="AP217" i="14"/>
  <c r="CK234" i="14"/>
  <c r="CN216" i="14"/>
  <c r="CK233" i="14"/>
  <c r="CL209" i="14"/>
  <c r="AQ218" i="14"/>
  <c r="CN224" i="14"/>
  <c r="CM233" i="14"/>
  <c r="AP220" i="14"/>
  <c r="AQ217" i="14"/>
  <c r="AP205" i="14"/>
  <c r="CM215" i="14"/>
  <c r="AP216" i="14"/>
  <c r="AQ228" i="14"/>
  <c r="CN221" i="14"/>
  <c r="CL227" i="14"/>
  <c r="CK213" i="14"/>
  <c r="CL219" i="14"/>
  <c r="AQ214" i="14"/>
  <c r="CK418" i="14"/>
  <c r="CL272" i="14"/>
  <c r="AP389" i="14"/>
  <c r="CK414" i="14"/>
  <c r="CK291" i="14"/>
  <c r="CN403" i="14"/>
  <c r="CM217" i="14"/>
  <c r="AP289" i="14"/>
  <c r="AQ275" i="14"/>
  <c r="CK297" i="14"/>
  <c r="CK320" i="14"/>
  <c r="CM341" i="14"/>
  <c r="CN345" i="14"/>
  <c r="AP334" i="14"/>
  <c r="CL331" i="14"/>
  <c r="CM336" i="14"/>
  <c r="CN334" i="14"/>
  <c r="AP355" i="14"/>
  <c r="CL348" i="14"/>
  <c r="AP329" i="14"/>
  <c r="AQ336" i="14"/>
  <c r="CL343" i="14"/>
  <c r="AQ337" i="14"/>
  <c r="AQ330" i="14"/>
  <c r="CL346" i="14"/>
  <c r="CK336" i="14"/>
  <c r="AQ342" i="14"/>
  <c r="AP350" i="14"/>
  <c r="AP343" i="14"/>
  <c r="AQ352" i="14"/>
  <c r="CL342" i="14"/>
  <c r="CM339" i="14"/>
  <c r="CM333" i="14"/>
  <c r="CN337" i="14"/>
  <c r="CN262" i="14"/>
  <c r="AP246" i="14"/>
  <c r="H175" i="29"/>
  <c r="CK249" i="14"/>
  <c r="CM246" i="14"/>
  <c r="AP244" i="14"/>
  <c r="AQ262" i="14"/>
  <c r="CL194" i="14"/>
  <c r="AP194" i="14"/>
  <c r="AP195" i="14"/>
  <c r="CL187" i="14"/>
  <c r="AP197" i="14"/>
  <c r="AP203" i="14"/>
  <c r="CK126" i="14"/>
  <c r="CK192" i="14"/>
  <c r="CK199" i="14"/>
  <c r="CK406" i="14"/>
  <c r="CK390" i="14"/>
  <c r="CK264" i="14"/>
  <c r="CK140" i="14"/>
  <c r="CN182" i="14"/>
  <c r="CN339" i="14"/>
  <c r="CN411" i="14"/>
  <c r="CN355" i="14"/>
  <c r="CN252" i="14"/>
  <c r="CN129" i="14"/>
  <c r="CM192" i="14"/>
  <c r="CM189" i="14"/>
  <c r="CM182" i="14"/>
  <c r="CM191" i="14"/>
  <c r="CM202" i="14"/>
  <c r="CM355" i="14"/>
  <c r="CM131" i="14"/>
  <c r="AP138" i="14"/>
  <c r="CL411" i="14"/>
  <c r="AP412" i="14"/>
  <c r="AQ349" i="14"/>
  <c r="AQ346" i="14"/>
  <c r="CL133" i="14"/>
  <c r="AQ127" i="14"/>
  <c r="CL126" i="14"/>
  <c r="AP199" i="14"/>
  <c r="AQ245" i="14"/>
  <c r="CK196" i="14"/>
  <c r="CK204" i="14"/>
  <c r="CN414" i="14"/>
  <c r="CM195" i="14"/>
  <c r="AQ333" i="14"/>
  <c r="CM347" i="14"/>
  <c r="AP132" i="14"/>
  <c r="CM116" i="14"/>
  <c r="AP122" i="14"/>
  <c r="AQ137" i="14"/>
  <c r="CN128" i="14"/>
  <c r="CK136" i="14"/>
  <c r="AP143" i="14"/>
  <c r="CL127" i="14"/>
  <c r="CL130" i="14"/>
  <c r="CM141" i="14"/>
  <c r="CM136" i="14"/>
  <c r="CN130" i="14"/>
  <c r="CN144" i="14"/>
  <c r="AP136" i="14"/>
  <c r="AP124" i="14"/>
  <c r="AP121" i="14"/>
  <c r="CL114" i="14"/>
  <c r="CM119" i="14"/>
  <c r="CN122" i="14"/>
  <c r="CN120" i="14"/>
  <c r="AP395" i="14"/>
  <c r="AQ408" i="14"/>
  <c r="CK413" i="14"/>
  <c r="AP401" i="14"/>
  <c r="AP403" i="14"/>
  <c r="CL410" i="14"/>
  <c r="AP398" i="14"/>
  <c r="CL400" i="14"/>
  <c r="CK401" i="14"/>
  <c r="AP390" i="14"/>
  <c r="AP392" i="14"/>
  <c r="AQ403" i="14"/>
  <c r="AQ389" i="14"/>
  <c r="CL394" i="14"/>
  <c r="CM412" i="14"/>
  <c r="CM392" i="14"/>
  <c r="CM397" i="14"/>
  <c r="CN391" i="14"/>
  <c r="CN407" i="14"/>
  <c r="CM174" i="14"/>
  <c r="AQ193" i="14"/>
  <c r="CL186" i="14"/>
  <c r="CM187" i="14"/>
  <c r="CN191" i="14"/>
  <c r="AP192" i="14"/>
  <c r="CL181" i="14"/>
  <c r="CM197" i="14"/>
  <c r="AP187" i="14"/>
  <c r="CN186" i="14"/>
  <c r="AQ176" i="14"/>
  <c r="CL197" i="14"/>
  <c r="CM198" i="14"/>
  <c r="CM176" i="14"/>
  <c r="CN203" i="14"/>
  <c r="N278" i="1"/>
  <c r="I159" i="24"/>
  <c r="CL178" i="14"/>
  <c r="AP178" i="14"/>
  <c r="AP179" i="14"/>
  <c r="AQ182" i="14"/>
  <c r="CL179" i="14"/>
  <c r="AP200" i="14"/>
  <c r="AQ190" i="14"/>
  <c r="AQ204" i="14"/>
  <c r="CK198" i="14"/>
  <c r="CK189" i="14"/>
  <c r="CK176" i="14"/>
  <c r="CK341" i="14"/>
  <c r="CK410" i="14"/>
  <c r="CK394" i="14"/>
  <c r="CK121" i="14"/>
  <c r="AQ126" i="14"/>
  <c r="CN189" i="14"/>
  <c r="CN175" i="14"/>
  <c r="CN415" i="14"/>
  <c r="CN395" i="14"/>
  <c r="CN143" i="14"/>
  <c r="CM349" i="14"/>
  <c r="CM330" i="14"/>
  <c r="CM389" i="14"/>
  <c r="CM414" i="14"/>
  <c r="CM124" i="14"/>
  <c r="CL418" i="14"/>
  <c r="AQ404" i="14"/>
  <c r="AP348" i="14"/>
  <c r="AQ129" i="14"/>
  <c r="E173" i="29"/>
  <c r="AQ178" i="14"/>
  <c r="AQ241" i="14"/>
  <c r="AP196" i="14"/>
  <c r="CK314" i="14"/>
  <c r="CK119" i="14"/>
  <c r="CM331" i="14"/>
  <c r="CL117" i="14"/>
  <c r="CN346" i="14"/>
  <c r="CM346" i="14"/>
  <c r="CM332" i="14"/>
  <c r="CL402" i="14"/>
  <c r="CL395" i="14"/>
  <c r="AQ390" i="14"/>
  <c r="AP417" i="14"/>
  <c r="AQ410" i="14"/>
  <c r="AP406" i="14"/>
  <c r="CL327" i="14"/>
  <c r="CL345" i="14"/>
  <c r="AQ327" i="14"/>
  <c r="CL340" i="14"/>
  <c r="AP357" i="14"/>
  <c r="AQ133" i="14"/>
  <c r="CL129" i="14"/>
  <c r="AP140" i="14"/>
  <c r="CL124" i="14"/>
  <c r="CL188" i="14"/>
  <c r="AP177" i="14"/>
  <c r="AP188" i="14"/>
  <c r="AQ185" i="14"/>
  <c r="CL253" i="14"/>
  <c r="AQ248" i="14"/>
  <c r="CL254" i="14"/>
  <c r="CK117" i="14"/>
  <c r="CK177" i="14"/>
  <c r="CK342" i="14"/>
  <c r="CK345" i="14"/>
  <c r="CK389" i="14"/>
  <c r="CK134" i="14"/>
  <c r="CN184" i="14"/>
  <c r="CN193" i="14"/>
  <c r="CN179" i="14"/>
  <c r="CN394" i="14"/>
  <c r="CN139" i="14"/>
  <c r="CM186" i="14"/>
  <c r="CM406" i="14"/>
  <c r="CL392" i="14"/>
  <c r="AP352" i="14"/>
  <c r="AP327" i="14"/>
  <c r="CL119" i="14"/>
  <c r="AP115" i="14"/>
  <c r="AP134" i="14"/>
  <c r="I157" i="24"/>
  <c r="CL201" i="14"/>
  <c r="AP181" i="14"/>
  <c r="CL202" i="14"/>
  <c r="CK339" i="14"/>
  <c r="CK184" i="14"/>
  <c r="CK352" i="14"/>
  <c r="CK191" i="14"/>
  <c r="CK130" i="14"/>
  <c r="CN347" i="14"/>
  <c r="CN393" i="14"/>
  <c r="CM184" i="14"/>
  <c r="CM338" i="14"/>
  <c r="CM340" i="14"/>
  <c r="CL414" i="14"/>
  <c r="CL353" i="14"/>
  <c r="CL332" i="14"/>
  <c r="AQ121" i="14"/>
  <c r="E271" i="1"/>
  <c r="AP260" i="14"/>
  <c r="CL238" i="14"/>
  <c r="CK144" i="14"/>
  <c r="CK193" i="14"/>
  <c r="CK417" i="14"/>
  <c r="CK175" i="14"/>
  <c r="CK120" i="14"/>
  <c r="CN237" i="14"/>
  <c r="CN327" i="14"/>
  <c r="CN202" i="14"/>
  <c r="CN127" i="14"/>
  <c r="CM177" i="14"/>
  <c r="CM327" i="14"/>
  <c r="CM130" i="14"/>
  <c r="CL144" i="14"/>
  <c r="AQ393" i="14"/>
  <c r="AQ392" i="14"/>
  <c r="AQ340" i="14"/>
  <c r="CL137" i="14"/>
  <c r="CL135" i="14"/>
  <c r="CL131" i="14"/>
  <c r="AP186" i="14"/>
  <c r="CK197" i="14"/>
  <c r="CK200" i="14"/>
  <c r="CL138" i="14"/>
  <c r="CN338" i="14"/>
  <c r="CN348" i="14"/>
  <c r="CN133" i="14"/>
  <c r="CM200" i="14"/>
  <c r="CM404" i="14"/>
  <c r="AP340" i="14"/>
  <c r="CL328" i="14"/>
  <c r="AQ140" i="14"/>
  <c r="I157" i="2"/>
  <c r="N1" i="26"/>
  <c r="AF279" i="1" s="1"/>
  <c r="N1" i="27"/>
  <c r="J159" i="27" s="1"/>
  <c r="G1" i="26"/>
  <c r="AF276" i="1" s="1"/>
  <c r="AP233" i="14"/>
  <c r="AP213" i="14"/>
  <c r="CK226" i="14"/>
  <c r="AQ226" i="14"/>
  <c r="CL284" i="14"/>
  <c r="CK271" i="14"/>
  <c r="CL283" i="14"/>
  <c r="CM267" i="14"/>
  <c r="AP292" i="14"/>
  <c r="AQ118" i="14"/>
  <c r="CL139" i="14"/>
  <c r="CL121" i="14"/>
  <c r="AP133" i="14"/>
  <c r="CM122" i="14"/>
  <c r="CM117" i="14"/>
  <c r="CN114" i="14"/>
  <c r="CK129" i="14"/>
  <c r="CK132" i="14"/>
  <c r="AQ134" i="14"/>
  <c r="AP125" i="14"/>
  <c r="CM123" i="14"/>
  <c r="CM144" i="14"/>
  <c r="CN134" i="14"/>
  <c r="CK118" i="14"/>
  <c r="CK114" i="14"/>
  <c r="AQ132" i="14"/>
  <c r="C173" i="29"/>
  <c r="AP127" i="14"/>
  <c r="AP114" i="14"/>
  <c r="CM135" i="14"/>
  <c r="AP396" i="14"/>
  <c r="AQ409" i="14"/>
  <c r="CM411" i="14"/>
  <c r="CN410" i="14"/>
  <c r="CK397" i="14"/>
  <c r="AP404" i="14"/>
  <c r="AQ353" i="14"/>
  <c r="AQ345" i="14"/>
  <c r="AP347" i="14"/>
  <c r="CL334" i="14"/>
  <c r="CM357" i="14"/>
  <c r="CN336" i="14"/>
  <c r="CK333" i="14"/>
  <c r="CK346" i="14"/>
  <c r="AQ357" i="14"/>
  <c r="AQ354" i="14"/>
  <c r="CL333" i="14"/>
  <c r="CM334" i="14"/>
  <c r="CM353" i="14"/>
  <c r="CN343" i="14"/>
  <c r="CN350" i="14"/>
  <c r="CK348" i="14"/>
  <c r="AP354" i="14"/>
  <c r="CL352" i="14"/>
  <c r="CL351" i="14"/>
  <c r="CM190" i="14"/>
  <c r="CM181" i="14"/>
  <c r="CN190" i="14"/>
  <c r="CN197" i="14"/>
  <c r="CK203" i="14"/>
  <c r="CK181" i="14"/>
  <c r="E175" i="29"/>
  <c r="CN177" i="14"/>
  <c r="CN200" i="14"/>
  <c r="AQ200" i="14"/>
  <c r="AQ197" i="14"/>
  <c r="AQ187" i="14"/>
  <c r="AP198" i="14"/>
  <c r="CN248" i="14"/>
  <c r="AP247" i="14"/>
  <c r="CL241" i="14"/>
  <c r="AP237" i="14"/>
  <c r="CK164" i="14"/>
  <c r="J120" i="29"/>
  <c r="T120" i="29" s="1"/>
  <c r="M175" i="29"/>
  <c r="CM382" i="14"/>
  <c r="CM360" i="14"/>
  <c r="CN382" i="14"/>
  <c r="CK368" i="14"/>
  <c r="CL363" i="14"/>
  <c r="AQ380" i="14"/>
  <c r="AP377" i="14"/>
  <c r="AP371" i="14"/>
  <c r="CL365" i="14"/>
  <c r="CM387" i="14"/>
  <c r="CM369" i="14"/>
  <c r="CN378" i="14"/>
  <c r="CN369" i="14"/>
  <c r="CK380" i="14"/>
  <c r="CM386" i="14"/>
  <c r="CM366" i="14"/>
  <c r="CN366" i="14"/>
  <c r="CN373" i="14"/>
  <c r="CK367" i="14"/>
  <c r="CK381" i="14"/>
  <c r="CK374" i="14"/>
  <c r="AP386" i="14"/>
  <c r="M174" i="29"/>
  <c r="AQ361" i="14"/>
  <c r="AQ381" i="14"/>
  <c r="AQ358" i="14"/>
  <c r="M172" i="29"/>
  <c r="CL384" i="14"/>
  <c r="CL378" i="14"/>
  <c r="CM378" i="14"/>
  <c r="CM372" i="14"/>
  <c r="CN362" i="14"/>
  <c r="CM373" i="14"/>
  <c r="CN380" i="14"/>
  <c r="CK365" i="14"/>
  <c r="CK358" i="14"/>
  <c r="AP387" i="14"/>
  <c r="AQ360" i="14"/>
  <c r="AP368" i="14"/>
  <c r="AQ375" i="14"/>
  <c r="CL368" i="14"/>
  <c r="CL362" i="14"/>
  <c r="CM363" i="14"/>
  <c r="CL381" i="14"/>
  <c r="CN385" i="14"/>
  <c r="CK379" i="14"/>
  <c r="AP360" i="14"/>
  <c r="AP385" i="14"/>
  <c r="AQ368" i="14"/>
  <c r="AP383" i="14"/>
  <c r="CL377" i="14"/>
  <c r="CM375" i="14"/>
  <c r="CK373" i="14"/>
  <c r="AQ377" i="14"/>
  <c r="CL386" i="14"/>
  <c r="AP358" i="14"/>
  <c r="AQ362" i="14"/>
  <c r="AP379" i="14"/>
  <c r="CL373" i="14"/>
  <c r="CM374" i="14"/>
  <c r="CM381" i="14"/>
  <c r="CM384" i="14"/>
  <c r="CN359" i="14"/>
  <c r="CN371" i="14"/>
  <c r="CK359" i="14"/>
  <c r="CK376" i="14"/>
  <c r="CK382" i="14"/>
  <c r="CL387" i="14"/>
  <c r="AQ369" i="14"/>
  <c r="CK384" i="14"/>
  <c r="AP370" i="14"/>
  <c r="CN386" i="14"/>
  <c r="CK363" i="14"/>
  <c r="AP381" i="14"/>
  <c r="CL367" i="14"/>
  <c r="AP364" i="14"/>
  <c r="AP372" i="14"/>
  <c r="AP367" i="14"/>
  <c r="CL361" i="14"/>
  <c r="CM367" i="14"/>
  <c r="CM376" i="14"/>
  <c r="CN379" i="14"/>
  <c r="CN364" i="14"/>
  <c r="AQ373" i="14"/>
  <c r="CM385" i="14"/>
  <c r="CN363" i="14"/>
  <c r="CN376" i="14"/>
  <c r="CK375" i="14"/>
  <c r="CK364" i="14"/>
  <c r="CK377" i="14"/>
  <c r="CK370" i="14"/>
  <c r="AQ374" i="14"/>
  <c r="CL371" i="14"/>
  <c r="CL380" i="14"/>
  <c r="CL374" i="14"/>
  <c r="CL152" i="14"/>
  <c r="AQ166" i="14"/>
  <c r="AP166" i="14"/>
  <c r="AQ160" i="14"/>
  <c r="CL370" i="14"/>
  <c r="AQ367" i="14"/>
  <c r="AQ387" i="14"/>
  <c r="CK156" i="14"/>
  <c r="CK366" i="14"/>
  <c r="CK386" i="14"/>
  <c r="CN164" i="14"/>
  <c r="CM148" i="14"/>
  <c r="CM358" i="14"/>
  <c r="CL171" i="14"/>
  <c r="AP150" i="14"/>
  <c r="AQ371" i="14"/>
  <c r="AQ376" i="14"/>
  <c r="CM362" i="14"/>
  <c r="CM379" i="14"/>
  <c r="AP152" i="14"/>
  <c r="AP369" i="14"/>
  <c r="AP147" i="14"/>
  <c r="AQ171" i="14"/>
  <c r="AQ156" i="14"/>
  <c r="CL360" i="14"/>
  <c r="AQ383" i="14"/>
  <c r="AQ386" i="14"/>
  <c r="CK153" i="14"/>
  <c r="CN153" i="14"/>
  <c r="CN387" i="14"/>
  <c r="CM164" i="14"/>
  <c r="CM365" i="14"/>
  <c r="AQ145" i="14"/>
  <c r="AP365" i="14"/>
  <c r="CM155" i="14"/>
  <c r="AP149" i="14"/>
  <c r="CK436" i="14"/>
  <c r="CK440" i="14"/>
  <c r="CK420" i="14"/>
  <c r="CK424" i="14"/>
  <c r="CM146" i="14"/>
  <c r="CN171" i="14"/>
  <c r="CN172" i="14"/>
  <c r="CK166" i="14"/>
  <c r="CK148" i="14"/>
  <c r="AP167" i="14"/>
  <c r="AP155" i="14"/>
  <c r="AQ149" i="14"/>
  <c r="CL155" i="14"/>
  <c r="CM147" i="14"/>
  <c r="CM168" i="14"/>
  <c r="CN154" i="14"/>
  <c r="CK155" i="14"/>
  <c r="CK170" i="14"/>
  <c r="CM171" i="14"/>
  <c r="CM157" i="14"/>
  <c r="CN173" i="14"/>
  <c r="CN150" i="14"/>
  <c r="CN156" i="14"/>
  <c r="CK147" i="14"/>
  <c r="AQ158" i="14"/>
  <c r="AP158" i="14"/>
  <c r="CL163" i="14"/>
  <c r="CM158" i="14"/>
  <c r="CM152" i="14"/>
  <c r="CN162" i="14"/>
  <c r="CN158" i="14"/>
  <c r="CL157" i="14"/>
  <c r="D172" i="29"/>
  <c r="CM163" i="14"/>
  <c r="CM172" i="14"/>
  <c r="CN159" i="14"/>
  <c r="CK145" i="14"/>
  <c r="CK154" i="14"/>
  <c r="CN146" i="14"/>
  <c r="AQ173" i="14"/>
  <c r="CL170" i="14"/>
  <c r="CM169" i="14"/>
  <c r="CN166" i="14"/>
  <c r="CK161" i="14"/>
  <c r="CK160" i="14"/>
  <c r="AQ168" i="14"/>
  <c r="AQ154" i="14"/>
  <c r="AP153" i="14"/>
  <c r="CL160" i="14"/>
  <c r="CM165" i="14"/>
  <c r="CN170" i="14"/>
  <c r="CN148" i="14"/>
  <c r="CK171" i="14"/>
  <c r="CK167" i="14"/>
  <c r="CL153" i="14"/>
  <c r="CL173" i="14"/>
  <c r="AQ155" i="14"/>
  <c r="AP159" i="14"/>
  <c r="AP160" i="14"/>
  <c r="CL164" i="14"/>
  <c r="CM167" i="14"/>
  <c r="CM149" i="14"/>
  <c r="CN149" i="14"/>
  <c r="CL159" i="14"/>
  <c r="CK173" i="14"/>
  <c r="CK165" i="14"/>
  <c r="CK172" i="14"/>
  <c r="CN163" i="14"/>
  <c r="AQ165" i="14"/>
  <c r="CL151" i="14"/>
  <c r="CM153" i="14"/>
  <c r="CN145" i="14"/>
  <c r="CK149" i="14"/>
  <c r="D173" i="29"/>
  <c r="AQ159" i="14"/>
  <c r="AP165" i="14"/>
  <c r="AP164" i="14"/>
  <c r="CL167" i="14"/>
  <c r="CM173" i="14"/>
  <c r="CM162" i="14"/>
  <c r="CK159" i="14"/>
  <c r="D175" i="29"/>
  <c r="AQ163" i="14"/>
  <c r="AP170" i="14"/>
  <c r="AP168" i="14"/>
  <c r="CN168" i="14"/>
  <c r="CK163" i="14"/>
  <c r="AP171" i="14"/>
  <c r="AQ161" i="14"/>
  <c r="AP148" i="14"/>
  <c r="CL150" i="14"/>
  <c r="AP169" i="14"/>
  <c r="AQ164" i="14"/>
  <c r="AP173" i="14"/>
  <c r="CL376" i="14"/>
  <c r="AP366" i="14"/>
  <c r="CL375" i="14"/>
  <c r="AP380" i="14"/>
  <c r="CL169" i="14"/>
  <c r="CK146" i="14"/>
  <c r="CK360" i="14"/>
  <c r="CN161" i="14"/>
  <c r="CN372" i="14"/>
  <c r="CN365" i="14"/>
  <c r="CN358" i="14"/>
  <c r="CM154" i="14"/>
  <c r="CM368" i="14"/>
  <c r="I223" i="28"/>
  <c r="G228" i="28"/>
  <c r="I228" i="28" s="1"/>
  <c r="G226" i="28"/>
  <c r="I226" i="28" s="1"/>
  <c r="AP146" i="14"/>
  <c r="CL358" i="14"/>
  <c r="AP384" i="14"/>
  <c r="CL383" i="14"/>
  <c r="CN152" i="14"/>
  <c r="AQ147" i="14"/>
  <c r="CM156" i="14"/>
  <c r="I223" i="21"/>
  <c r="G228" i="21"/>
  <c r="I228" i="21" s="1"/>
  <c r="CK266" i="14"/>
  <c r="CN287" i="14"/>
  <c r="AP274" i="14"/>
  <c r="CM285" i="14"/>
  <c r="AQ288" i="14"/>
  <c r="CM273" i="14"/>
  <c r="CL275" i="14"/>
  <c r="CL292" i="14"/>
  <c r="CM279" i="14"/>
  <c r="CM290" i="14"/>
  <c r="CM268" i="14"/>
  <c r="CN274" i="14"/>
  <c r="CK276" i="14"/>
  <c r="CK270" i="14"/>
  <c r="AQ294" i="14"/>
  <c r="AP281" i="14"/>
  <c r="CN273" i="14"/>
  <c r="I173" i="29"/>
  <c r="AQ274" i="14"/>
  <c r="CL293" i="14"/>
  <c r="CM271" i="14"/>
  <c r="CN292" i="14"/>
  <c r="CK277" i="14"/>
  <c r="CN289" i="14"/>
  <c r="AQ268" i="14"/>
  <c r="CL276" i="14"/>
  <c r="CM274" i="14"/>
  <c r="CN294" i="14"/>
  <c r="CN288" i="14"/>
  <c r="AP287" i="14"/>
  <c r="I172" i="29"/>
  <c r="AQ278" i="14"/>
  <c r="AQ282" i="14"/>
  <c r="AP268" i="14"/>
  <c r="AQ271" i="14"/>
  <c r="CL270" i="14"/>
  <c r="CM283" i="14"/>
  <c r="CM288" i="14"/>
  <c r="CN279" i="14"/>
  <c r="CN276" i="14"/>
  <c r="CL391" i="14"/>
  <c r="CM398" i="14"/>
  <c r="CN405" i="14"/>
  <c r="CK400" i="14"/>
  <c r="CL393" i="14"/>
  <c r="O172" i="29"/>
  <c r="CM396" i="14"/>
  <c r="CM394" i="14"/>
  <c r="CN398" i="14"/>
  <c r="CN418" i="14"/>
  <c r="CK405" i="14"/>
  <c r="AQ398" i="14"/>
  <c r="AP409" i="14"/>
  <c r="CL415" i="14"/>
  <c r="CM393" i="14"/>
  <c r="CN409" i="14"/>
  <c r="CK404" i="14"/>
  <c r="AQ407" i="14"/>
  <c r="CL401" i="14"/>
  <c r="CM395" i="14"/>
  <c r="CN402" i="14"/>
  <c r="AQ412" i="14"/>
  <c r="AP400" i="14"/>
  <c r="AP393" i="14"/>
  <c r="AQ413" i="14"/>
  <c r="CL390" i="14"/>
  <c r="CM418" i="14"/>
  <c r="CM417" i="14"/>
  <c r="CN389" i="14"/>
  <c r="G226" i="25"/>
  <c r="I226" i="25" s="1"/>
  <c r="G1" i="18"/>
  <c r="H101" i="30" s="1"/>
  <c r="G1" i="24"/>
  <c r="Z103" i="30" s="1"/>
  <c r="G1" i="19"/>
  <c r="K102" i="30" s="1"/>
  <c r="E135" i="25"/>
  <c r="G135" i="25" s="1"/>
  <c r="E135" i="26"/>
  <c r="I135" i="26" s="1"/>
  <c r="G1" i="23"/>
  <c r="F35" i="15"/>
  <c r="I285" i="28"/>
  <c r="T159" i="29" s="1"/>
  <c r="F47" i="15"/>
  <c r="F48" i="15"/>
  <c r="K283" i="28"/>
  <c r="I223" i="24"/>
  <c r="G226" i="24"/>
  <c r="I226" i="24" s="1"/>
  <c r="I176" i="29"/>
  <c r="J176" i="29" s="1"/>
  <c r="T176" i="29" s="1"/>
  <c r="J12" i="29"/>
  <c r="T12" i="29" s="1"/>
  <c r="AM172" i="16"/>
  <c r="AM169" i="16"/>
  <c r="AM171" i="16" s="1"/>
  <c r="I159" i="18"/>
  <c r="I157" i="18"/>
  <c r="G228" i="18"/>
  <c r="I228" i="18" s="1"/>
  <c r="I223" i="22"/>
  <c r="G229" i="22"/>
  <c r="I229" i="22" s="1"/>
  <c r="AP127" i="30"/>
  <c r="AP126" i="30"/>
  <c r="G229" i="18"/>
  <c r="I229" i="18" s="1"/>
  <c r="E135" i="24"/>
  <c r="H135" i="24" s="1"/>
  <c r="E135" i="27"/>
  <c r="I135" i="27" s="1"/>
  <c r="DA166" i="16"/>
  <c r="CW166" i="16"/>
  <c r="CM282" i="14"/>
  <c r="AQ276" i="14"/>
  <c r="AQ284" i="14"/>
  <c r="N1" i="22"/>
  <c r="J159" i="22" s="1"/>
  <c r="CK304" i="14"/>
  <c r="CN310" i="14"/>
  <c r="CK321" i="14"/>
  <c r="CK325" i="14"/>
  <c r="CK298" i="14"/>
  <c r="CK311" i="14"/>
  <c r="CK432" i="14"/>
  <c r="CK428" i="14"/>
  <c r="CK444" i="14"/>
  <c r="AL168" i="16"/>
  <c r="AK171" i="16"/>
  <c r="AK172" i="16" s="1"/>
  <c r="G96" i="2"/>
  <c r="G158" i="2"/>
  <c r="G94" i="2"/>
  <c r="G95" i="2"/>
  <c r="G93" i="2"/>
  <c r="AQ144" i="14"/>
  <c r="AQ136" i="14"/>
  <c r="CL118" i="14"/>
  <c r="AP139" i="14"/>
  <c r="CL140" i="14"/>
  <c r="CL143" i="14"/>
  <c r="AQ123" i="14"/>
  <c r="CM128" i="14"/>
  <c r="CN131" i="14"/>
  <c r="CN116" i="14"/>
  <c r="CN132" i="14"/>
  <c r="CK122" i="14"/>
  <c r="CK137" i="14"/>
  <c r="AP141" i="14"/>
  <c r="AQ116" i="14"/>
  <c r="AP128" i="14"/>
  <c r="CM129" i="14"/>
  <c r="CM120" i="14"/>
  <c r="AP144" i="14"/>
  <c r="C172" i="29"/>
  <c r="CL136" i="14"/>
  <c r="AQ139" i="14"/>
  <c r="AP130" i="14"/>
  <c r="AP129" i="14"/>
  <c r="CL123" i="14"/>
  <c r="AQ138" i="14"/>
  <c r="CM139" i="14"/>
  <c r="CM134" i="14"/>
  <c r="CM126" i="14"/>
  <c r="CN135" i="14"/>
  <c r="CK141" i="14"/>
  <c r="CK143" i="14"/>
  <c r="AQ117" i="14"/>
  <c r="AQ131" i="14"/>
  <c r="CL134" i="14"/>
  <c r="AQ135" i="14"/>
  <c r="CL116" i="14"/>
  <c r="AQ119" i="14"/>
  <c r="CM118" i="14"/>
  <c r="CN142" i="14"/>
  <c r="CK125" i="14"/>
  <c r="AP118" i="14"/>
  <c r="AQ130" i="14"/>
  <c r="AQ114" i="14"/>
  <c r="G94" i="26"/>
  <c r="G96" i="26"/>
  <c r="G93" i="26"/>
  <c r="G158" i="26"/>
  <c r="G95" i="26"/>
  <c r="AP414" i="14"/>
  <c r="AQ395" i="14"/>
  <c r="AQ414" i="14"/>
  <c r="AP411" i="14"/>
  <c r="CL407" i="14"/>
  <c r="CL406" i="14"/>
  <c r="CM408" i="14"/>
  <c r="CM409" i="14"/>
  <c r="CN401" i="14"/>
  <c r="CK396" i="14"/>
  <c r="CK412" i="14"/>
  <c r="AP394" i="14"/>
  <c r="AQ394" i="14"/>
  <c r="AP405" i="14"/>
  <c r="AP388" i="14"/>
  <c r="AP391" i="14"/>
  <c r="CL417" i="14"/>
  <c r="CL416" i="14"/>
  <c r="CM416" i="14"/>
  <c r="AQ396" i="14"/>
  <c r="AQ411" i="14"/>
  <c r="AQ397" i="14"/>
  <c r="CL399" i="14"/>
  <c r="CL398" i="14"/>
  <c r="CM401" i="14"/>
  <c r="CN397" i="14"/>
  <c r="CN413" i="14"/>
  <c r="CK392" i="14"/>
  <c r="CK408" i="14"/>
  <c r="AP410" i="14"/>
  <c r="AQ418" i="14"/>
  <c r="AQ391" i="14"/>
  <c r="AQ402" i="14"/>
  <c r="AP407" i="14"/>
  <c r="CL409" i="14"/>
  <c r="CL408" i="14"/>
  <c r="CM388" i="14"/>
  <c r="CM403" i="14"/>
  <c r="CN390" i="14"/>
  <c r="CN406" i="14"/>
  <c r="CK393" i="14"/>
  <c r="CK409" i="14"/>
  <c r="G95" i="24"/>
  <c r="G94" i="24"/>
  <c r="G96" i="24"/>
  <c r="G93" i="24"/>
  <c r="G158" i="24"/>
  <c r="AQ356" i="14"/>
  <c r="AP339" i="14"/>
  <c r="AQ338" i="14"/>
  <c r="AQ328" i="14"/>
  <c r="CL350" i="14"/>
  <c r="CM352" i="14"/>
  <c r="CM354" i="14"/>
  <c r="CN357" i="14"/>
  <c r="CK356" i="14"/>
  <c r="CK349" i="14"/>
  <c r="AQ355" i="14"/>
  <c r="AP341" i="14"/>
  <c r="AQ351" i="14"/>
  <c r="AP349" i="14"/>
  <c r="CL336" i="14"/>
  <c r="CL349" i="14"/>
  <c r="CL347" i="14"/>
  <c r="AP330" i="14"/>
  <c r="AQ335" i="14"/>
  <c r="AP333" i="14"/>
  <c r="AQ344" i="14"/>
  <c r="CL337" i="14"/>
  <c r="CL335" i="14"/>
  <c r="CM328" i="14"/>
  <c r="CN331" i="14"/>
  <c r="CN329" i="14"/>
  <c r="CL357" i="14"/>
  <c r="AQ339" i="14"/>
  <c r="AP342" i="14"/>
  <c r="AP336" i="14"/>
  <c r="CL330" i="14"/>
  <c r="L172" i="29"/>
  <c r="CM348" i="14"/>
  <c r="CM343" i="14"/>
  <c r="CM350" i="14"/>
  <c r="CM337" i="14"/>
  <c r="CN340" i="14"/>
  <c r="CN332" i="14"/>
  <c r="CK329" i="14"/>
  <c r="CK351" i="14"/>
  <c r="AP356" i="14"/>
  <c r="AQ334" i="14"/>
  <c r="AP337" i="14"/>
  <c r="AP332" i="14"/>
  <c r="L175" i="29"/>
  <c r="G158" i="19"/>
  <c r="G93" i="19"/>
  <c r="G95" i="19"/>
  <c r="G96" i="19"/>
  <c r="G94" i="19"/>
  <c r="CM203" i="14"/>
  <c r="CN195" i="14"/>
  <c r="CN188" i="14"/>
  <c r="CK190" i="14"/>
  <c r="AQ203" i="14"/>
  <c r="CL204" i="14"/>
  <c r="AQ184" i="14"/>
  <c r="AP185" i="14"/>
  <c r="AQ175" i="14"/>
  <c r="CL176" i="14"/>
  <c r="E172" i="29"/>
  <c r="CM199" i="14"/>
  <c r="CN174" i="14"/>
  <c r="CN181" i="14"/>
  <c r="AQ174" i="14"/>
  <c r="CL175" i="14"/>
  <c r="AQ181" i="14"/>
  <c r="AQ191" i="14"/>
  <c r="CL192" i="14"/>
  <c r="CL185" i="14"/>
  <c r="CM183" i="14"/>
  <c r="CM193" i="14"/>
  <c r="CM196" i="14"/>
  <c r="CK195" i="14"/>
  <c r="CK180" i="14"/>
  <c r="AQ180" i="14"/>
  <c r="CL195" i="14"/>
  <c r="AQ188" i="14"/>
  <c r="AP183" i="14"/>
  <c r="AP182" i="14"/>
  <c r="G96" i="21"/>
  <c r="G95" i="21"/>
  <c r="G158" i="21"/>
  <c r="G93" i="21"/>
  <c r="G94" i="21"/>
  <c r="CM250" i="14"/>
  <c r="CM264" i="14"/>
  <c r="CL246" i="14"/>
  <c r="H172" i="29"/>
  <c r="AP241" i="14"/>
  <c r="AQ253" i="14"/>
  <c r="AP261" i="14"/>
  <c r="CL243" i="14"/>
  <c r="AK421" i="1"/>
  <c r="P421" i="1"/>
  <c r="AB421" i="1"/>
  <c r="G421" i="1"/>
  <c r="S421" i="1"/>
  <c r="AE421" i="1"/>
  <c r="J421" i="1"/>
  <c r="V421" i="1"/>
  <c r="AH421" i="1"/>
  <c r="D421" i="1"/>
  <c r="M421" i="1"/>
  <c r="Y421" i="1"/>
  <c r="AN170" i="16"/>
  <c r="AN172" i="16" s="1"/>
  <c r="T268" i="1"/>
  <c r="T284" i="1" s="1"/>
  <c r="Y284" i="1"/>
  <c r="F49" i="15"/>
  <c r="F52" i="15"/>
  <c r="G228" i="25"/>
  <c r="I228" i="25" s="1"/>
  <c r="CU166" i="16"/>
  <c r="G229" i="25"/>
  <c r="I229" i="25" s="1"/>
  <c r="E135" i="21"/>
  <c r="G135" i="21" s="1"/>
  <c r="G228" i="24"/>
  <c r="I228" i="24" s="1"/>
  <c r="F61" i="15"/>
  <c r="F62" i="15"/>
  <c r="F59" i="15"/>
  <c r="F63" i="15"/>
  <c r="F60" i="15"/>
  <c r="F64" i="15"/>
  <c r="N271" i="1"/>
  <c r="G94" i="20"/>
  <c r="G96" i="20"/>
  <c r="G93" i="20"/>
  <c r="G158" i="20"/>
  <c r="G95" i="20"/>
  <c r="AQ205" i="14"/>
  <c r="CM209" i="14"/>
  <c r="CM219" i="14"/>
  <c r="CK211" i="14"/>
  <c r="AP208" i="14"/>
  <c r="AQ222" i="14"/>
  <c r="AQ209" i="14"/>
  <c r="CL208" i="14"/>
  <c r="CN223" i="14"/>
  <c r="CK227" i="14"/>
  <c r="AP228" i="14"/>
  <c r="CM205" i="14"/>
  <c r="CK210" i="14"/>
  <c r="AQ223" i="14"/>
  <c r="AP209" i="14"/>
  <c r="G96" i="22"/>
  <c r="G93" i="22"/>
  <c r="G158" i="22"/>
  <c r="G95" i="22"/>
  <c r="G94" i="22"/>
  <c r="AP294" i="14"/>
  <c r="I175" i="29"/>
  <c r="CM276" i="14"/>
  <c r="CK274" i="14"/>
  <c r="AP288" i="14"/>
  <c r="AQ289" i="14"/>
  <c r="AQ270" i="14"/>
  <c r="AQ287" i="14"/>
  <c r="CL280" i="14"/>
  <c r="CL286" i="14"/>
  <c r="CM275" i="14"/>
  <c r="CN278" i="14"/>
  <c r="CN269" i="14"/>
  <c r="CK280" i="14"/>
  <c r="CK293" i="14"/>
  <c r="CL279" i="14"/>
  <c r="AQ280" i="14"/>
  <c r="CN266" i="14"/>
  <c r="AP295" i="14"/>
  <c r="AQ273" i="14"/>
  <c r="AP285" i="14"/>
  <c r="AQ269" i="14"/>
  <c r="AP279" i="14"/>
  <c r="AP270" i="14"/>
  <c r="CL266" i="14"/>
  <c r="AQ266" i="14"/>
  <c r="CL268" i="14"/>
  <c r="CM289" i="14"/>
  <c r="CK281" i="14"/>
  <c r="CL294" i="14"/>
  <c r="CL291" i="14"/>
  <c r="AQ292" i="14"/>
  <c r="AP273" i="14"/>
  <c r="AP267" i="14"/>
  <c r="CL277" i="14"/>
  <c r="CM294" i="14"/>
  <c r="CM278" i="14"/>
  <c r="CM269" i="14"/>
  <c r="CM272" i="14"/>
  <c r="CN267" i="14"/>
  <c r="CN285" i="14"/>
  <c r="CK275" i="14"/>
  <c r="CK283" i="14"/>
  <c r="CK286" i="14"/>
  <c r="CL281" i="14"/>
  <c r="CM292" i="14"/>
  <c r="CK268" i="14"/>
  <c r="AP280" i="14"/>
  <c r="AQ277" i="14"/>
  <c r="CL287" i="14"/>
  <c r="AQ290" i="14"/>
  <c r="AQ267" i="14"/>
  <c r="AP286" i="14"/>
  <c r="CL282" i="14"/>
  <c r="CM295" i="14"/>
  <c r="CN290" i="14"/>
  <c r="CN281" i="14"/>
  <c r="CN272" i="14"/>
  <c r="CK294" i="14"/>
  <c r="CK279" i="14"/>
  <c r="CK289" i="14"/>
  <c r="CL295" i="14"/>
  <c r="AP276" i="14"/>
  <c r="AP278" i="14"/>
  <c r="CN283" i="14"/>
  <c r="CK290" i="14"/>
  <c r="J390" i="1"/>
  <c r="J307" i="1"/>
  <c r="J323" i="1" s="1"/>
  <c r="J337" i="1" s="1"/>
  <c r="J354" i="1" s="1"/>
  <c r="J367" i="1" s="1"/>
  <c r="H285" i="28"/>
  <c r="T158" i="29" s="1"/>
  <c r="K285" i="28"/>
  <c r="T160" i="29" s="1"/>
  <c r="G285" i="28"/>
  <c r="T157" i="29" s="1"/>
  <c r="AB390" i="1"/>
  <c r="AB307" i="1"/>
  <c r="AB323" i="1" s="1"/>
  <c r="AB337" i="1" s="1"/>
  <c r="AB354" i="1" s="1"/>
  <c r="AB367" i="1" s="1"/>
  <c r="N1" i="25"/>
  <c r="N1" i="18"/>
  <c r="N1" i="24"/>
  <c r="N279" i="1" s="1"/>
  <c r="AQ215" i="14"/>
  <c r="CM259" i="14"/>
  <c r="V12" i="20"/>
  <c r="Z69" i="28"/>
  <c r="Z69" i="27"/>
  <c r="Z69" i="26"/>
  <c r="V18" i="30"/>
  <c r="N112" i="30" s="1"/>
  <c r="V19" i="30"/>
  <c r="N113" i="30" s="1"/>
  <c r="V12" i="24"/>
  <c r="G1" i="22"/>
  <c r="G94" i="23"/>
  <c r="G95" i="23"/>
  <c r="G93" i="23"/>
  <c r="G96" i="23"/>
  <c r="G158" i="23"/>
  <c r="G1" i="2"/>
  <c r="G95" i="28"/>
  <c r="G158" i="28"/>
  <c r="G94" i="28"/>
  <c r="G96" i="28"/>
  <c r="G93" i="28"/>
  <c r="G1" i="20"/>
  <c r="D422" i="1"/>
  <c r="Y422" i="1"/>
  <c r="M422" i="1"/>
  <c r="AH422" i="1"/>
  <c r="V422" i="1"/>
  <c r="J422" i="1"/>
  <c r="S422" i="1"/>
  <c r="AK422" i="1"/>
  <c r="AB422" i="1"/>
  <c r="AE422" i="1"/>
  <c r="G422" i="1"/>
  <c r="P422" i="1"/>
  <c r="AU171" i="16"/>
  <c r="AU172" i="16" s="1"/>
  <c r="G228" i="27"/>
  <c r="I228" i="27" s="1"/>
  <c r="E135" i="19"/>
  <c r="H135" i="19" s="1"/>
  <c r="N1" i="19"/>
  <c r="J159" i="19" s="1"/>
  <c r="D10" i="20"/>
  <c r="D11" i="20" s="1"/>
  <c r="C9" i="20"/>
  <c r="Y424" i="1"/>
  <c r="J424" i="1"/>
  <c r="AH424" i="1"/>
  <c r="S424" i="1"/>
  <c r="V424" i="1"/>
  <c r="AB424" i="1"/>
  <c r="G424" i="1"/>
  <c r="AK424" i="1"/>
  <c r="AE424" i="1"/>
  <c r="M424" i="1"/>
  <c r="P424" i="1"/>
  <c r="D10" i="24"/>
  <c r="D11" i="24" s="1"/>
  <c r="C9" i="24"/>
  <c r="G94" i="27"/>
  <c r="G96" i="27"/>
  <c r="G93" i="27"/>
  <c r="G158" i="27"/>
  <c r="G95" i="27"/>
  <c r="G1" i="25"/>
  <c r="G1" i="28"/>
  <c r="G95" i="18"/>
  <c r="G94" i="18"/>
  <c r="G158" i="18"/>
  <c r="G96" i="18"/>
  <c r="G93" i="18"/>
  <c r="G96" i="25"/>
  <c r="G94" i="25"/>
  <c r="G158" i="25"/>
  <c r="G95" i="25"/>
  <c r="G93" i="25"/>
  <c r="G1" i="27"/>
  <c r="G1" i="21"/>
  <c r="P246" i="1" s="1"/>
  <c r="R18" i="30"/>
  <c r="K112" i="30" s="1"/>
  <c r="R19" i="30"/>
  <c r="K113" i="30" s="1"/>
  <c r="AK423" i="1"/>
  <c r="M423" i="1"/>
  <c r="AB423" i="1"/>
  <c r="Y423" i="1"/>
  <c r="P423" i="1"/>
  <c r="AE423" i="1"/>
  <c r="V423" i="1"/>
  <c r="G423" i="1"/>
  <c r="AH423" i="1"/>
  <c r="S423" i="1"/>
  <c r="J423" i="1"/>
  <c r="Y290" i="1"/>
  <c r="T275" i="1"/>
  <c r="T290" i="1" s="1"/>
  <c r="AP138" i="30"/>
  <c r="AP139" i="30"/>
  <c r="AP140" i="30"/>
  <c r="L118" i="29"/>
  <c r="H157" i="27"/>
  <c r="H159" i="27"/>
  <c r="AO277" i="1"/>
  <c r="I41" i="1"/>
  <c r="I31" i="1"/>
  <c r="I40" i="1"/>
  <c r="I39" i="1"/>
  <c r="I38" i="1"/>
  <c r="E135" i="22"/>
  <c r="AI122" i="14"/>
  <c r="AG122" i="14"/>
  <c r="L129" i="14"/>
  <c r="G78" i="19"/>
  <c r="G77" i="19" s="1"/>
  <c r="E141" i="29"/>
  <c r="P118" i="29"/>
  <c r="CL226" i="14"/>
  <c r="AP226" i="14"/>
  <c r="CL207" i="14"/>
  <c r="AP223" i="14"/>
  <c r="AQ225" i="14"/>
  <c r="AQ233" i="14"/>
  <c r="CL474" i="14"/>
  <c r="CL458" i="14"/>
  <c r="AP467" i="14"/>
  <c r="AQ455" i="14"/>
  <c r="AQ464" i="14"/>
  <c r="H157" i="21"/>
  <c r="H159" i="21"/>
  <c r="AO270" i="1"/>
  <c r="CK209" i="14"/>
  <c r="CK225" i="14"/>
  <c r="CK243" i="14"/>
  <c r="CK259" i="14"/>
  <c r="CK478" i="14"/>
  <c r="CK462" i="14"/>
  <c r="CN479" i="14"/>
  <c r="CN249" i="14"/>
  <c r="CN208" i="14"/>
  <c r="CN217" i="14"/>
  <c r="CN206" i="14"/>
  <c r="CN244" i="14"/>
  <c r="CN475" i="14"/>
  <c r="CN459" i="14"/>
  <c r="CM227" i="14"/>
  <c r="CM258" i="14"/>
  <c r="CM478" i="14"/>
  <c r="CM473" i="14"/>
  <c r="CM452" i="14"/>
  <c r="AA169" i="16"/>
  <c r="AA171" i="16" s="1"/>
  <c r="CX166" i="16"/>
  <c r="CV166" i="16"/>
  <c r="D20" i="15"/>
  <c r="Y19" i="15"/>
  <c r="U19" i="15"/>
  <c r="Q19" i="15"/>
  <c r="X19" i="15"/>
  <c r="T19" i="15"/>
  <c r="W19" i="15"/>
  <c r="S19" i="15"/>
  <c r="Z19" i="15"/>
  <c r="V19" i="15"/>
  <c r="R19" i="15"/>
  <c r="F19" i="15"/>
  <c r="AS169" i="16"/>
  <c r="AS171" i="16" s="1"/>
  <c r="K6" i="2"/>
  <c r="K43" i="2" s="1"/>
  <c r="H4" i="2"/>
  <c r="H44" i="2" s="1"/>
  <c r="N6" i="2"/>
  <c r="N43" i="2" s="1"/>
  <c r="K4" i="2"/>
  <c r="K44" i="2" s="1"/>
  <c r="H5" i="2"/>
  <c r="H45" i="2" s="1"/>
  <c r="N4" i="2"/>
  <c r="N44" i="2" s="1"/>
  <c r="K5" i="2"/>
  <c r="K45" i="2" s="1"/>
  <c r="N5" i="2"/>
  <c r="N45" i="2" s="1"/>
  <c r="H6" i="2"/>
  <c r="H43" i="2" s="1"/>
  <c r="H3" i="2"/>
  <c r="I2" i="15" s="1"/>
  <c r="G6" i="2"/>
  <c r="G43" i="2" s="1"/>
  <c r="G5" i="2"/>
  <c r="G45" i="2" s="1"/>
  <c r="G4" i="2"/>
  <c r="G44" i="2" s="1"/>
  <c r="G5" i="24"/>
  <c r="G45" i="24" s="1"/>
  <c r="G4" i="24"/>
  <c r="G44" i="24" s="1"/>
  <c r="G6" i="24"/>
  <c r="G43" i="24" s="1"/>
  <c r="H5" i="24"/>
  <c r="H45" i="24" s="1"/>
  <c r="H4" i="24"/>
  <c r="H44" i="24" s="1"/>
  <c r="H6" i="24"/>
  <c r="H43" i="24" s="1"/>
  <c r="K5" i="24"/>
  <c r="K45" i="24" s="1"/>
  <c r="K4" i="24"/>
  <c r="K44" i="24" s="1"/>
  <c r="K6" i="24"/>
  <c r="K43" i="24" s="1"/>
  <c r="N6" i="24"/>
  <c r="N43" i="24" s="1"/>
  <c r="N4" i="24"/>
  <c r="N44" i="24" s="1"/>
  <c r="N5" i="24"/>
  <c r="N45" i="24" s="1"/>
  <c r="H3" i="24"/>
  <c r="K5" i="27"/>
  <c r="K45" i="27" s="1"/>
  <c r="K4" i="27"/>
  <c r="K44" i="27" s="1"/>
  <c r="K6" i="27"/>
  <c r="K43" i="27" s="1"/>
  <c r="N5" i="27"/>
  <c r="N45" i="27" s="1"/>
  <c r="N4" i="27"/>
  <c r="N44" i="27" s="1"/>
  <c r="N6" i="27"/>
  <c r="N43" i="27" s="1"/>
  <c r="G5" i="27"/>
  <c r="G45" i="27" s="1"/>
  <c r="G4" i="27"/>
  <c r="G44" i="27" s="1"/>
  <c r="G6" i="27"/>
  <c r="G43" i="27" s="1"/>
  <c r="H6" i="27"/>
  <c r="H43" i="27" s="1"/>
  <c r="H4" i="27"/>
  <c r="H44" i="27" s="1"/>
  <c r="H5" i="27"/>
  <c r="H45" i="27" s="1"/>
  <c r="H3" i="27"/>
  <c r="D90" i="15"/>
  <c r="D89" i="15"/>
  <c r="D23" i="15" s="1"/>
  <c r="D91" i="15"/>
  <c r="D25" i="15" s="1"/>
  <c r="D88" i="15"/>
  <c r="D22" i="15" s="1"/>
  <c r="D92" i="15"/>
  <c r="D26" i="15" s="1"/>
  <c r="D24" i="15"/>
  <c r="G228" i="19"/>
  <c r="I228" i="19" s="1"/>
  <c r="AM73" i="14"/>
  <c r="AM79" i="14"/>
  <c r="AM80" i="14" s="1"/>
  <c r="AM74" i="14"/>
  <c r="AM78" i="14"/>
  <c r="AM76" i="14"/>
  <c r="AM75" i="14"/>
  <c r="AM77" i="14"/>
  <c r="C172" i="16"/>
  <c r="D172" i="16" s="1"/>
  <c r="N69" i="21"/>
  <c r="I73" i="21"/>
  <c r="I69" i="22"/>
  <c r="CL228" i="14"/>
  <c r="AP230" i="14"/>
  <c r="CL215" i="14"/>
  <c r="AP231" i="14"/>
  <c r="CL217" i="14"/>
  <c r="CL469" i="14"/>
  <c r="CL453" i="14"/>
  <c r="AQ457" i="14"/>
  <c r="AQ475" i="14"/>
  <c r="AP452" i="14"/>
  <c r="AQ468" i="14"/>
  <c r="H157" i="22"/>
  <c r="H159" i="22"/>
  <c r="AX270" i="1"/>
  <c r="AP253" i="14"/>
  <c r="CL251" i="14"/>
  <c r="AP245" i="14"/>
  <c r="AQ249" i="14"/>
  <c r="AQ243" i="14"/>
  <c r="AQ258" i="14"/>
  <c r="AQ237" i="14"/>
  <c r="CL261" i="14"/>
  <c r="AQ246" i="14"/>
  <c r="AP249" i="14"/>
  <c r="CL239" i="14"/>
  <c r="AQ250" i="14"/>
  <c r="AP254" i="14"/>
  <c r="CL249" i="14"/>
  <c r="AQ252" i="14"/>
  <c r="AQ236" i="14"/>
  <c r="AP248" i="14"/>
  <c r="H174" i="29"/>
  <c r="AP251" i="14"/>
  <c r="AP235" i="14"/>
  <c r="CL256" i="14"/>
  <c r="CL248" i="14"/>
  <c r="CL240" i="14"/>
  <c r="CK206" i="14"/>
  <c r="CK222" i="14"/>
  <c r="CK244" i="14"/>
  <c r="CK260" i="14"/>
  <c r="CK469" i="14"/>
  <c r="CK453" i="14"/>
  <c r="CN219" i="14"/>
  <c r="CN246" i="14"/>
  <c r="CN205" i="14"/>
  <c r="CN470" i="14"/>
  <c r="CN454" i="14"/>
  <c r="CN234" i="14"/>
  <c r="CM228" i="14"/>
  <c r="CM255" i="14"/>
  <c r="CM474" i="14"/>
  <c r="CM453" i="14"/>
  <c r="V20" i="22"/>
  <c r="I157" i="25"/>
  <c r="I159" i="25"/>
  <c r="W278" i="1"/>
  <c r="G226" i="27"/>
  <c r="I226" i="27" s="1"/>
  <c r="G228" i="22"/>
  <c r="I228" i="22" s="1"/>
  <c r="G78" i="18"/>
  <c r="G77" i="18" s="1"/>
  <c r="D141" i="29"/>
  <c r="AI141" i="1"/>
  <c r="AH142" i="1"/>
  <c r="AH143" i="1" s="1"/>
  <c r="AE18" i="30"/>
  <c r="T112" i="30" s="1"/>
  <c r="AE19" i="30"/>
  <c r="T113" i="30" s="1"/>
  <c r="AY172" i="16"/>
  <c r="Z70" i="28"/>
  <c r="Z70" i="27"/>
  <c r="Z70" i="26"/>
  <c r="Q118" i="29"/>
  <c r="CL230" i="14"/>
  <c r="AQ206" i="14"/>
  <c r="CL223" i="14"/>
  <c r="AQ207" i="14"/>
  <c r="AP219" i="14"/>
  <c r="V11" i="19"/>
  <c r="D10" i="19"/>
  <c r="C10" i="19" s="1"/>
  <c r="CL472" i="14"/>
  <c r="CL456" i="14"/>
  <c r="AP475" i="14"/>
  <c r="AP461" i="14"/>
  <c r="AQ454" i="14"/>
  <c r="AP454" i="14"/>
  <c r="H157" i="23"/>
  <c r="H159" i="23"/>
  <c r="E277" i="1"/>
  <c r="CK207" i="14"/>
  <c r="CK223" i="14"/>
  <c r="CK245" i="14"/>
  <c r="CK261" i="14"/>
  <c r="CK464" i="14"/>
  <c r="CN207" i="14"/>
  <c r="CN225" i="14"/>
  <c r="CN240" i="14"/>
  <c r="CN473" i="14"/>
  <c r="CN457" i="14"/>
  <c r="CN233" i="14"/>
  <c r="CM232" i="14"/>
  <c r="CM214" i="14"/>
  <c r="CM454" i="14"/>
  <c r="CM449" i="14"/>
  <c r="CM460" i="14"/>
  <c r="O118" i="29"/>
  <c r="I157" i="21"/>
  <c r="I159" i="21"/>
  <c r="AO271" i="1"/>
  <c r="F41" i="15"/>
  <c r="CF483" i="14"/>
  <c r="CF484" i="14"/>
  <c r="G226" i="21"/>
  <c r="I226" i="21" s="1"/>
  <c r="C166" i="30"/>
  <c r="C167" i="30"/>
  <c r="M165" i="30"/>
  <c r="AD165" i="30"/>
  <c r="J165" i="30"/>
  <c r="AA165" i="30"/>
  <c r="S165" i="30"/>
  <c r="P165" i="30"/>
  <c r="AG165" i="30"/>
  <c r="I157" i="20"/>
  <c r="I159" i="20"/>
  <c r="AF271" i="1"/>
  <c r="CL232" i="14"/>
  <c r="AQ210" i="14"/>
  <c r="CL231" i="14"/>
  <c r="AQ212" i="14"/>
  <c r="CL211" i="14"/>
  <c r="H157" i="24"/>
  <c r="H159" i="24"/>
  <c r="N277" i="1"/>
  <c r="N1" i="21"/>
  <c r="N96" i="19"/>
  <c r="J158" i="19"/>
  <c r="N95" i="19"/>
  <c r="N94" i="19"/>
  <c r="N93" i="19"/>
  <c r="CL174" i="14"/>
  <c r="CL189" i="14"/>
  <c r="CL196" i="14"/>
  <c r="AQ195" i="14"/>
  <c r="AP193" i="14"/>
  <c r="AQ196" i="14"/>
  <c r="AP184" i="14"/>
  <c r="CK194" i="14"/>
  <c r="CK201" i="14"/>
  <c r="CK183" i="14"/>
  <c r="CN199" i="14"/>
  <c r="CM185" i="14"/>
  <c r="CM194" i="14"/>
  <c r="AP174" i="14"/>
  <c r="AP191" i="14"/>
  <c r="AQ198" i="14"/>
  <c r="AP189" i="14"/>
  <c r="CL203" i="14"/>
  <c r="AQ202" i="14"/>
  <c r="CK202" i="14"/>
  <c r="CN192" i="14"/>
  <c r="CN185" i="14"/>
  <c r="CM188" i="14"/>
  <c r="CM178" i="14"/>
  <c r="CM175" i="14"/>
  <c r="CL190" i="14"/>
  <c r="E174" i="29"/>
  <c r="AP190" i="14"/>
  <c r="CL180" i="14"/>
  <c r="AP175" i="14"/>
  <c r="AQ179" i="14"/>
  <c r="AQ186" i="14"/>
  <c r="CL191" i="14"/>
  <c r="AQ177" i="14"/>
  <c r="AQ189" i="14"/>
  <c r="AP202" i="14"/>
  <c r="CK178" i="14"/>
  <c r="CK185" i="14"/>
  <c r="CK188" i="14"/>
  <c r="CK179" i="14"/>
  <c r="CN176" i="14"/>
  <c r="CN201" i="14"/>
  <c r="CN178" i="14"/>
  <c r="CN194" i="14"/>
  <c r="CN187" i="14"/>
  <c r="CN204" i="14"/>
  <c r="CM201" i="14"/>
  <c r="CM204" i="14"/>
  <c r="N96" i="18"/>
  <c r="J158" i="18"/>
  <c r="N93" i="18"/>
  <c r="N95" i="18"/>
  <c r="N94" i="18"/>
  <c r="D174" i="29"/>
  <c r="CL149" i="14"/>
  <c r="CL154" i="14"/>
  <c r="CL166" i="14"/>
  <c r="AP172" i="14"/>
  <c r="AQ169" i="14"/>
  <c r="AQ172" i="14"/>
  <c r="CK152" i="14"/>
  <c r="CK169" i="14"/>
  <c r="CN160" i="14"/>
  <c r="CN151" i="14"/>
  <c r="CM145" i="14"/>
  <c r="CM166" i="14"/>
  <c r="CL165" i="14"/>
  <c r="CL156" i="14"/>
  <c r="AQ151" i="14"/>
  <c r="CK157" i="14"/>
  <c r="CK158" i="14"/>
  <c r="CN147" i="14"/>
  <c r="CN155" i="14"/>
  <c r="CM150" i="14"/>
  <c r="CL145" i="14"/>
  <c r="CL161" i="14"/>
  <c r="CL146" i="14"/>
  <c r="CL147" i="14"/>
  <c r="CL168" i="14"/>
  <c r="AP156" i="14"/>
  <c r="AP163" i="14"/>
  <c r="AQ153" i="14"/>
  <c r="AP154" i="14"/>
  <c r="AQ146" i="14"/>
  <c r="AQ162" i="14"/>
  <c r="AP161" i="14"/>
  <c r="AQ167" i="14"/>
  <c r="AP162" i="14"/>
  <c r="AQ148" i="14"/>
  <c r="AP151" i="14"/>
  <c r="AP157" i="14"/>
  <c r="CK168" i="14"/>
  <c r="CK150" i="14"/>
  <c r="CK162" i="14"/>
  <c r="CN169" i="14"/>
  <c r="CN165" i="14"/>
  <c r="CM160" i="14"/>
  <c r="CM161" i="14"/>
  <c r="CM151" i="14"/>
  <c r="CM159" i="14"/>
  <c r="CL172" i="14"/>
  <c r="N96" i="25"/>
  <c r="J158" i="25"/>
  <c r="AB343" i="1" s="1"/>
  <c r="N95" i="25"/>
  <c r="N94" i="25"/>
  <c r="N93" i="25"/>
  <c r="M173" i="29"/>
  <c r="CL382" i="14"/>
  <c r="CL372" i="14"/>
  <c r="AP375" i="14"/>
  <c r="AP382" i="14"/>
  <c r="AQ364" i="14"/>
  <c r="CK369" i="14"/>
  <c r="CK371" i="14"/>
  <c r="CN384" i="14"/>
  <c r="CN377" i="14"/>
  <c r="CM370" i="14"/>
  <c r="AP361" i="14"/>
  <c r="CL379" i="14"/>
  <c r="AQ382" i="14"/>
  <c r="CK378" i="14"/>
  <c r="CN361" i="14"/>
  <c r="CN375" i="14"/>
  <c r="CM364" i="14"/>
  <c r="CM383" i="14"/>
  <c r="CL366" i="14"/>
  <c r="CL369" i="14"/>
  <c r="CL385" i="14"/>
  <c r="AP359" i="14"/>
  <c r="AQ363" i="14"/>
  <c r="AQ379" i="14"/>
  <c r="AQ378" i="14"/>
  <c r="CL359" i="14"/>
  <c r="AP373" i="14"/>
  <c r="AQ385" i="14"/>
  <c r="AP374" i="14"/>
  <c r="AQ365" i="14"/>
  <c r="AQ366" i="14"/>
  <c r="AP376" i="14"/>
  <c r="CK362" i="14"/>
  <c r="CK385" i="14"/>
  <c r="CK372" i="14"/>
  <c r="CK383" i="14"/>
  <c r="CK387" i="14"/>
  <c r="CN368" i="14"/>
  <c r="CN370" i="14"/>
  <c r="CN367" i="14"/>
  <c r="CM380" i="14"/>
  <c r="CM361" i="14"/>
  <c r="CM377" i="14"/>
  <c r="CM371" i="14"/>
  <c r="CM359" i="14"/>
  <c r="N1" i="28"/>
  <c r="J158" i="2"/>
  <c r="N96" i="2"/>
  <c r="N93" i="2"/>
  <c r="N94" i="2"/>
  <c r="N95" i="2"/>
  <c r="CK135" i="14"/>
  <c r="AP117" i="14"/>
  <c r="CN121" i="14"/>
  <c r="CN136" i="14"/>
  <c r="CM133" i="14"/>
  <c r="CM140" i="14"/>
  <c r="CM143" i="14"/>
  <c r="C175" i="29"/>
  <c r="AP119" i="14"/>
  <c r="CL125" i="14"/>
  <c r="AQ125" i="14"/>
  <c r="AP142" i="14"/>
  <c r="CL141" i="14"/>
  <c r="CK116" i="14"/>
  <c r="CL132" i="14"/>
  <c r="CN137" i="14"/>
  <c r="CN118" i="14"/>
  <c r="CM132" i="14"/>
  <c r="CM114" i="14"/>
  <c r="CM121" i="14"/>
  <c r="CM127" i="14"/>
  <c r="AQ128" i="14"/>
  <c r="CL142" i="14"/>
  <c r="CL120" i="14"/>
  <c r="AP131" i="14"/>
  <c r="CK123" i="14"/>
  <c r="CK115" i="14"/>
  <c r="CK139" i="14"/>
  <c r="CK127" i="14"/>
  <c r="CN138" i="14"/>
  <c r="CN126" i="14"/>
  <c r="CN119" i="14"/>
  <c r="CN140" i="14"/>
  <c r="CN124" i="14"/>
  <c r="CM115" i="14"/>
  <c r="AP126" i="14"/>
  <c r="CL128" i="14"/>
  <c r="AP137" i="14"/>
  <c r="CL115" i="14"/>
  <c r="AQ115" i="14"/>
  <c r="AP116" i="14"/>
  <c r="AP135" i="14"/>
  <c r="AP120" i="14"/>
  <c r="AQ120" i="14"/>
  <c r="AQ143" i="14"/>
  <c r="CL122" i="14"/>
  <c r="AQ122" i="14"/>
  <c r="AQ141" i="14"/>
  <c r="C158" i="30"/>
  <c r="C159" i="30"/>
  <c r="S157" i="30"/>
  <c r="P157" i="30"/>
  <c r="AG157" i="30"/>
  <c r="M157" i="30"/>
  <c r="AD157" i="30"/>
  <c r="J157" i="30"/>
  <c r="AA157" i="30"/>
  <c r="E135" i="28"/>
  <c r="Q173" i="29"/>
  <c r="CL148" i="14"/>
  <c r="H157" i="25"/>
  <c r="H159" i="25"/>
  <c r="W277" i="1"/>
  <c r="AI169" i="16"/>
  <c r="AI171" i="16" s="1"/>
  <c r="P290" i="1"/>
  <c r="K275" i="1"/>
  <c r="K290" i="1" s="1"/>
  <c r="G5" i="22"/>
  <c r="G45" i="22" s="1"/>
  <c r="G4" i="22"/>
  <c r="G44" i="22" s="1"/>
  <c r="G6" i="22"/>
  <c r="G43" i="22" s="1"/>
  <c r="H5" i="22"/>
  <c r="H45" i="22" s="1"/>
  <c r="H4" i="22"/>
  <c r="H44" i="22" s="1"/>
  <c r="H6" i="22"/>
  <c r="H43" i="22" s="1"/>
  <c r="K5" i="22"/>
  <c r="K45" i="22" s="1"/>
  <c r="K4" i="22"/>
  <c r="K44" i="22" s="1"/>
  <c r="K6" i="22"/>
  <c r="K43" i="22" s="1"/>
  <c r="N6" i="22"/>
  <c r="N43" i="22" s="1"/>
  <c r="N4" i="22"/>
  <c r="N44" i="22" s="1"/>
  <c r="H3" i="22"/>
  <c r="N5" i="22"/>
  <c r="N45" i="22" s="1"/>
  <c r="H157" i="2"/>
  <c r="H159" i="2"/>
  <c r="E270" i="1"/>
  <c r="X167" i="16"/>
  <c r="W174" i="16" s="1"/>
  <c r="X174" i="16" s="1"/>
  <c r="M174" i="16"/>
  <c r="Q174" i="16" s="1"/>
  <c r="AA10" i="2"/>
  <c r="N96" i="20"/>
  <c r="J158" i="20"/>
  <c r="N94" i="20"/>
  <c r="N95" i="20"/>
  <c r="N93" i="20"/>
  <c r="CK220" i="14"/>
  <c r="CN227" i="14"/>
  <c r="CN229" i="14"/>
  <c r="CN226" i="14"/>
  <c r="CM207" i="14"/>
  <c r="CM230" i="14"/>
  <c r="CK212" i="14"/>
  <c r="CK224" i="14"/>
  <c r="CN213" i="14"/>
  <c r="CM220" i="14"/>
  <c r="CM218" i="14"/>
  <c r="G173" i="29"/>
  <c r="CK208" i="14"/>
  <c r="CK216" i="14"/>
  <c r="CK228" i="14"/>
  <c r="CK232" i="14"/>
  <c r="CN211" i="14"/>
  <c r="CN220" i="14"/>
  <c r="CN214" i="14"/>
  <c r="CM223" i="14"/>
  <c r="CM213" i="14"/>
  <c r="CM229" i="14"/>
  <c r="CM234" i="14"/>
  <c r="N96" i="21"/>
  <c r="J158" i="21"/>
  <c r="N95" i="21"/>
  <c r="N94" i="21"/>
  <c r="N93" i="21"/>
  <c r="CK238" i="14"/>
  <c r="CK254" i="14"/>
  <c r="CN254" i="14"/>
  <c r="CN256" i="14"/>
  <c r="CM257" i="14"/>
  <c r="CM254" i="14"/>
  <c r="CK242" i="14"/>
  <c r="CK258" i="14"/>
  <c r="CN261" i="14"/>
  <c r="CN238" i="14"/>
  <c r="CN264" i="14"/>
  <c r="CM247" i="14"/>
  <c r="CK246" i="14"/>
  <c r="CK250" i="14"/>
  <c r="CK262" i="14"/>
  <c r="CN245" i="14"/>
  <c r="CN247" i="14"/>
  <c r="CM241" i="14"/>
  <c r="CM238" i="14"/>
  <c r="CM244" i="14"/>
  <c r="CM240" i="14"/>
  <c r="CM263" i="14"/>
  <c r="CN477" i="14"/>
  <c r="CL210" i="14"/>
  <c r="AP221" i="14"/>
  <c r="AQ230" i="14"/>
  <c r="AQ211" i="14"/>
  <c r="AP224" i="14"/>
  <c r="AQ234" i="14"/>
  <c r="V12" i="28"/>
  <c r="D11" i="28"/>
  <c r="C11" i="28" s="1"/>
  <c r="CL466" i="14"/>
  <c r="CL450" i="14"/>
  <c r="AQ469" i="14"/>
  <c r="AP453" i="14"/>
  <c r="AP468" i="14"/>
  <c r="AP462" i="14"/>
  <c r="CK217" i="14"/>
  <c r="CK235" i="14"/>
  <c r="CK251" i="14"/>
  <c r="CK470" i="14"/>
  <c r="CK454" i="14"/>
  <c r="CN215" i="14"/>
  <c r="CN242" i="14"/>
  <c r="CN251" i="14"/>
  <c r="CN230" i="14"/>
  <c r="CN467" i="14"/>
  <c r="CN451" i="14"/>
  <c r="CM261" i="14"/>
  <c r="CM224" i="14"/>
  <c r="CM235" i="14"/>
  <c r="CM260" i="14"/>
  <c r="CM236" i="14"/>
  <c r="CM265" i="14"/>
  <c r="DB167" i="16"/>
  <c r="DB168" i="16" s="1"/>
  <c r="DB171" i="16" s="1"/>
  <c r="CY166" i="16"/>
  <c r="CS166" i="16"/>
  <c r="V13" i="2"/>
  <c r="D12" i="2"/>
  <c r="C12" i="2" s="1"/>
  <c r="E178" i="14"/>
  <c r="B177" i="14"/>
  <c r="AN177" i="14"/>
  <c r="C177" i="14"/>
  <c r="D177" i="14" s="1"/>
  <c r="Q177" i="14"/>
  <c r="H176" i="15"/>
  <c r="J177" i="14"/>
  <c r="V86" i="15"/>
  <c r="R86" i="15"/>
  <c r="Y86" i="15"/>
  <c r="U86" i="15"/>
  <c r="Q86" i="15"/>
  <c r="X86" i="15"/>
  <c r="T86" i="15"/>
  <c r="S86" i="15"/>
  <c r="F86" i="15"/>
  <c r="Z86" i="15"/>
  <c r="W86" i="15"/>
  <c r="AJ168" i="16"/>
  <c r="AJ170" i="16" s="1"/>
  <c r="AJ172" i="16"/>
  <c r="AR168" i="16"/>
  <c r="AR170" i="16" s="1"/>
  <c r="AC172" i="16"/>
  <c r="Y390" i="1"/>
  <c r="Y307" i="1"/>
  <c r="Y323" i="1" s="1"/>
  <c r="Y337" i="1" s="1"/>
  <c r="Y354" i="1" s="1"/>
  <c r="Y367" i="1" s="1"/>
  <c r="G5" i="28"/>
  <c r="G45" i="28" s="1"/>
  <c r="G4" i="28"/>
  <c r="G44" i="28" s="1"/>
  <c r="G6" i="28"/>
  <c r="G43" i="28" s="1"/>
  <c r="H5" i="28"/>
  <c r="H45" i="28" s="1"/>
  <c r="H4" i="28"/>
  <c r="H44" i="28" s="1"/>
  <c r="H6" i="28"/>
  <c r="H43" i="28" s="1"/>
  <c r="K5" i="28"/>
  <c r="K45" i="28" s="1"/>
  <c r="K4" i="28"/>
  <c r="K44" i="28" s="1"/>
  <c r="K6" i="28"/>
  <c r="K43" i="28" s="1"/>
  <c r="N4" i="28"/>
  <c r="N44" i="28" s="1"/>
  <c r="N5" i="28"/>
  <c r="N45" i="28" s="1"/>
  <c r="H3" i="28"/>
  <c r="N6" i="28"/>
  <c r="N43" i="28" s="1"/>
  <c r="H5" i="20"/>
  <c r="H45" i="20" s="1"/>
  <c r="H4" i="20"/>
  <c r="H44" i="20" s="1"/>
  <c r="H6" i="20"/>
  <c r="H43" i="20" s="1"/>
  <c r="K5" i="20"/>
  <c r="K45" i="20" s="1"/>
  <c r="K4" i="20"/>
  <c r="K44" i="20" s="1"/>
  <c r="K6" i="20"/>
  <c r="K43" i="20" s="1"/>
  <c r="N5" i="20"/>
  <c r="N45" i="20" s="1"/>
  <c r="N4" i="20"/>
  <c r="N44" i="20" s="1"/>
  <c r="N6" i="20"/>
  <c r="N43" i="20" s="1"/>
  <c r="G5" i="20"/>
  <c r="G45" i="20" s="1"/>
  <c r="G6" i="20"/>
  <c r="G43" i="20" s="1"/>
  <c r="H3" i="20"/>
  <c r="G4" i="20"/>
  <c r="G44" i="20" s="1"/>
  <c r="K5" i="23"/>
  <c r="K45" i="23" s="1"/>
  <c r="K4" i="23"/>
  <c r="K44" i="23" s="1"/>
  <c r="K6" i="23"/>
  <c r="K43" i="23" s="1"/>
  <c r="N5" i="23"/>
  <c r="N45" i="23" s="1"/>
  <c r="N4" i="23"/>
  <c r="N44" i="23" s="1"/>
  <c r="N6" i="23"/>
  <c r="N43" i="23" s="1"/>
  <c r="G5" i="23"/>
  <c r="G45" i="23" s="1"/>
  <c r="G4" i="23"/>
  <c r="G44" i="23" s="1"/>
  <c r="G6" i="23"/>
  <c r="G43" i="23" s="1"/>
  <c r="H4" i="23"/>
  <c r="H44" i="23" s="1"/>
  <c r="H5" i="23"/>
  <c r="H45" i="23" s="1"/>
  <c r="H6" i="23"/>
  <c r="H43" i="23" s="1"/>
  <c r="H3" i="23"/>
  <c r="G228" i="26"/>
  <c r="I228" i="26" s="1"/>
  <c r="AQ59" i="14"/>
  <c r="AP60" i="14"/>
  <c r="AO72" i="14"/>
  <c r="AO173" i="30"/>
  <c r="AM177" i="30"/>
  <c r="E135" i="23"/>
  <c r="K71" i="20"/>
  <c r="K72" i="20"/>
  <c r="K69" i="20"/>
  <c r="G133" i="29" s="1"/>
  <c r="K70" i="20"/>
  <c r="CL212" i="14"/>
  <c r="AP225" i="14"/>
  <c r="AQ216" i="14"/>
  <c r="CL205" i="14"/>
  <c r="AP232" i="14"/>
  <c r="CL477" i="14"/>
  <c r="CL461" i="14"/>
  <c r="AP455" i="14"/>
  <c r="AQ450" i="14"/>
  <c r="AP473" i="14"/>
  <c r="AQ474" i="14"/>
  <c r="AP466" i="14"/>
  <c r="H157" i="28"/>
  <c r="H159" i="28"/>
  <c r="AX277" i="1"/>
  <c r="AQ263" i="14"/>
  <c r="AP264" i="14"/>
  <c r="AQ265" i="14"/>
  <c r="AQ259" i="14"/>
  <c r="CL235" i="14"/>
  <c r="CL259" i="14"/>
  <c r="AQ247" i="14"/>
  <c r="AP250" i="14"/>
  <c r="CL245" i="14"/>
  <c r="AQ257" i="14"/>
  <c r="AQ235" i="14"/>
  <c r="CL255" i="14"/>
  <c r="AQ261" i="14"/>
  <c r="AQ239" i="14"/>
  <c r="AP238" i="14"/>
  <c r="AQ260" i="14"/>
  <c r="AQ244" i="14"/>
  <c r="AP256" i="14"/>
  <c r="AP240" i="14"/>
  <c r="AP259" i="14"/>
  <c r="AP243" i="14"/>
  <c r="CL260" i="14"/>
  <c r="CL252" i="14"/>
  <c r="CL244" i="14"/>
  <c r="CL236" i="14"/>
  <c r="CK214" i="14"/>
  <c r="CK230" i="14"/>
  <c r="CK252" i="14"/>
  <c r="CK477" i="14"/>
  <c r="CK461" i="14"/>
  <c r="CK263" i="14"/>
  <c r="CN253" i="14"/>
  <c r="CN212" i="14"/>
  <c r="CN239" i="14"/>
  <c r="CN222" i="14"/>
  <c r="CN260" i="14"/>
  <c r="CN478" i="14"/>
  <c r="CN462" i="14"/>
  <c r="CM231" i="14"/>
  <c r="CM262" i="14"/>
  <c r="CM221" i="14"/>
  <c r="CM252" i="14"/>
  <c r="CM463" i="14"/>
  <c r="G237" i="28"/>
  <c r="E118" i="29"/>
  <c r="V12" i="23"/>
  <c r="D11" i="23"/>
  <c r="C11" i="23" s="1"/>
  <c r="F50" i="15"/>
  <c r="G229" i="20"/>
  <c r="I229" i="20" s="1"/>
  <c r="G228" i="20"/>
  <c r="I228" i="20" s="1"/>
  <c r="G229" i="27"/>
  <c r="I229" i="27" s="1"/>
  <c r="G172" i="29"/>
  <c r="CL214" i="14"/>
  <c r="AP229" i="14"/>
  <c r="AQ221" i="14"/>
  <c r="CL213" i="14"/>
  <c r="AQ208" i="14"/>
  <c r="AP234" i="14"/>
  <c r="AG169" i="16"/>
  <c r="AG171" i="16" s="1"/>
  <c r="D419" i="1"/>
  <c r="AK419" i="1"/>
  <c r="P419" i="1"/>
  <c r="AB419" i="1"/>
  <c r="M419" i="1"/>
  <c r="Y419" i="1"/>
  <c r="G419" i="1"/>
  <c r="J419" i="1"/>
  <c r="V419" i="1"/>
  <c r="AH419" i="1"/>
  <c r="AE419" i="1"/>
  <c r="S419" i="1"/>
  <c r="Q175" i="29"/>
  <c r="CL464" i="14"/>
  <c r="Q172" i="29"/>
  <c r="AQ477" i="14"/>
  <c r="AQ458" i="14"/>
  <c r="AQ463" i="14"/>
  <c r="AQ456" i="14"/>
  <c r="CK215" i="14"/>
  <c r="CK231" i="14"/>
  <c r="CK253" i="14"/>
  <c r="CK472" i="14"/>
  <c r="CK456" i="14"/>
  <c r="CN241" i="14"/>
  <c r="CN232" i="14"/>
  <c r="CN259" i="14"/>
  <c r="CN210" i="14"/>
  <c r="CN465" i="14"/>
  <c r="CN449" i="14"/>
  <c r="CN218" i="14"/>
  <c r="CM237" i="14"/>
  <c r="CM225" i="14"/>
  <c r="CM226" i="14"/>
  <c r="U31" i="1"/>
  <c r="U41" i="1"/>
  <c r="U40" i="1"/>
  <c r="U39" i="1"/>
  <c r="U38" i="1"/>
  <c r="M31" i="1"/>
  <c r="M41" i="1"/>
  <c r="M40" i="1"/>
  <c r="M39" i="1"/>
  <c r="M38" i="1"/>
  <c r="C13" i="22"/>
  <c r="D14" i="22"/>
  <c r="F34" i="15"/>
  <c r="G228" i="23"/>
  <c r="I228" i="23" s="1"/>
  <c r="CL216" i="14"/>
  <c r="AP206" i="14"/>
  <c r="AQ227" i="14"/>
  <c r="CL221" i="14"/>
  <c r="AQ213" i="14"/>
  <c r="CL225" i="14"/>
  <c r="D116" i="14"/>
  <c r="Z71" i="28"/>
  <c r="Z71" i="27"/>
  <c r="Z71" i="26"/>
  <c r="N1" i="20"/>
  <c r="N96" i="22"/>
  <c r="J158" i="22"/>
  <c r="N93" i="22"/>
  <c r="N95" i="22"/>
  <c r="N94" i="22"/>
  <c r="I174" i="29"/>
  <c r="N96" i="26"/>
  <c r="J158" i="26"/>
  <c r="N94" i="26"/>
  <c r="N95" i="26"/>
  <c r="N93" i="26"/>
  <c r="CK411" i="14"/>
  <c r="CK395" i="14"/>
  <c r="CN408" i="14"/>
  <c r="CN392" i="14"/>
  <c r="CM391" i="14"/>
  <c r="CM410" i="14"/>
  <c r="O174" i="29"/>
  <c r="CL388" i="14"/>
  <c r="AP415" i="14"/>
  <c r="AP397" i="14"/>
  <c r="AP408" i="14"/>
  <c r="AQ400" i="14"/>
  <c r="CK415" i="14"/>
  <c r="CK399" i="14"/>
  <c r="CN404" i="14"/>
  <c r="CN388" i="14"/>
  <c r="CM415" i="14"/>
  <c r="CM400" i="14"/>
  <c r="CL412" i="14"/>
  <c r="CL413" i="14"/>
  <c r="AP399" i="14"/>
  <c r="AQ399" i="14"/>
  <c r="AP402" i="14"/>
  <c r="CK407" i="14"/>
  <c r="CK403" i="14"/>
  <c r="CK391" i="14"/>
  <c r="CN416" i="14"/>
  <c r="CN412" i="14"/>
  <c r="CN400" i="14"/>
  <c r="CN396" i="14"/>
  <c r="CM407" i="14"/>
  <c r="CM399" i="14"/>
  <c r="CM390" i="14"/>
  <c r="CL404" i="14"/>
  <c r="CL396" i="14"/>
  <c r="CL405" i="14"/>
  <c r="CL397" i="14"/>
  <c r="CL389" i="14"/>
  <c r="AQ401" i="14"/>
  <c r="AQ417" i="14"/>
  <c r="AP416" i="14"/>
  <c r="AP413" i="14"/>
  <c r="AQ415" i="14"/>
  <c r="O175" i="29"/>
  <c r="AQ406" i="14"/>
  <c r="AP418" i="14"/>
  <c r="AQ416" i="14"/>
  <c r="O173" i="29"/>
  <c r="N1" i="2"/>
  <c r="AQ171" i="16"/>
  <c r="AQ172" i="16" s="1"/>
  <c r="CK416" i="14"/>
  <c r="CL206" i="14"/>
  <c r="CL182" i="14"/>
  <c r="K72" i="18"/>
  <c r="K69" i="18"/>
  <c r="D133" i="29" s="1"/>
  <c r="K70" i="18"/>
  <c r="K71" i="18"/>
  <c r="V12" i="25"/>
  <c r="D11" i="25"/>
  <c r="C11" i="25" s="1"/>
  <c r="H157" i="20"/>
  <c r="H159" i="20"/>
  <c r="AF270" i="1"/>
  <c r="G5" i="18"/>
  <c r="G45" i="18" s="1"/>
  <c r="G4" i="18"/>
  <c r="G44" i="18" s="1"/>
  <c r="G6" i="18"/>
  <c r="G43" i="18" s="1"/>
  <c r="H5" i="18"/>
  <c r="H45" i="18" s="1"/>
  <c r="H4" i="18"/>
  <c r="H44" i="18" s="1"/>
  <c r="H6" i="18"/>
  <c r="H43" i="18" s="1"/>
  <c r="K5" i="18"/>
  <c r="K45" i="18" s="1"/>
  <c r="K4" i="18"/>
  <c r="K44" i="18" s="1"/>
  <c r="K6" i="18"/>
  <c r="K43" i="18" s="1"/>
  <c r="N6" i="18"/>
  <c r="N43" i="18" s="1"/>
  <c r="N4" i="18"/>
  <c r="N44" i="18" s="1"/>
  <c r="H3" i="18"/>
  <c r="N5" i="18"/>
  <c r="N45" i="18" s="1"/>
  <c r="K5" i="25"/>
  <c r="K45" i="25" s="1"/>
  <c r="K4" i="25"/>
  <c r="K44" i="25" s="1"/>
  <c r="K6" i="25"/>
  <c r="K43" i="25" s="1"/>
  <c r="N5" i="25"/>
  <c r="N45" i="25" s="1"/>
  <c r="N4" i="25"/>
  <c r="N44" i="25" s="1"/>
  <c r="N6" i="25"/>
  <c r="N43" i="25" s="1"/>
  <c r="G5" i="25"/>
  <c r="G45" i="25" s="1"/>
  <c r="G4" i="25"/>
  <c r="G44" i="25" s="1"/>
  <c r="G6" i="25"/>
  <c r="G43" i="25" s="1"/>
  <c r="H5" i="25"/>
  <c r="H45" i="25" s="1"/>
  <c r="H6" i="25"/>
  <c r="H43" i="25" s="1"/>
  <c r="H4" i="25"/>
  <c r="H44" i="25" s="1"/>
  <c r="H3" i="25"/>
  <c r="I223" i="2"/>
  <c r="G228" i="2"/>
  <c r="I228" i="2" s="1"/>
  <c r="AA135" i="30" s="1"/>
  <c r="G229" i="19"/>
  <c r="I229" i="19" s="1"/>
  <c r="G141" i="29"/>
  <c r="G78" i="20"/>
  <c r="H157" i="26"/>
  <c r="H159" i="26"/>
  <c r="AF277" i="1"/>
  <c r="I157" i="22"/>
  <c r="I159" i="22"/>
  <c r="AX271" i="1"/>
  <c r="H118" i="29"/>
  <c r="J118" i="29" s="1"/>
  <c r="AF168" i="16"/>
  <c r="AF170" i="16" s="1"/>
  <c r="I157" i="23"/>
  <c r="I159" i="23"/>
  <c r="E278" i="1"/>
  <c r="AC41" i="1"/>
  <c r="AC31" i="1"/>
  <c r="AC40" i="1"/>
  <c r="AC39" i="1"/>
  <c r="AC38" i="1"/>
  <c r="V11" i="26"/>
  <c r="D10" i="26"/>
  <c r="C10" i="26" s="1"/>
  <c r="J158" i="28"/>
  <c r="N96" i="28"/>
  <c r="N95" i="28"/>
  <c r="N94" i="28"/>
  <c r="N93" i="28"/>
  <c r="CL475" i="14"/>
  <c r="CL463" i="14"/>
  <c r="CL451" i="14"/>
  <c r="AQ465" i="14"/>
  <c r="AQ470" i="14"/>
  <c r="AQ451" i="14"/>
  <c r="AQ462" i="14"/>
  <c r="AQ476" i="14"/>
  <c r="CK459" i="14"/>
  <c r="CN472" i="14"/>
  <c r="CN456" i="14"/>
  <c r="CM466" i="14"/>
  <c r="CM477" i="14"/>
  <c r="CM475" i="14"/>
  <c r="AQ479" i="14"/>
  <c r="Q174" i="29"/>
  <c r="CL459" i="14"/>
  <c r="AP463" i="14"/>
  <c r="AP460" i="14"/>
  <c r="AP449" i="14"/>
  <c r="AP464" i="14"/>
  <c r="CK475" i="14"/>
  <c r="CK463" i="14"/>
  <c r="CN464" i="14"/>
  <c r="CN452" i="14"/>
  <c r="CM450" i="14"/>
  <c r="CM461" i="14"/>
  <c r="CM456" i="14"/>
  <c r="CM451" i="14"/>
  <c r="AP479" i="14"/>
  <c r="CL471" i="14"/>
  <c r="CL467" i="14"/>
  <c r="CL455" i="14"/>
  <c r="AQ449" i="14"/>
  <c r="AP465" i="14"/>
  <c r="AQ467" i="14"/>
  <c r="AP458" i="14"/>
  <c r="AP474" i="14"/>
  <c r="AQ460" i="14"/>
  <c r="CK479" i="14"/>
  <c r="CK471" i="14"/>
  <c r="CK467" i="14"/>
  <c r="CK455" i="14"/>
  <c r="CK451" i="14"/>
  <c r="CN476" i="14"/>
  <c r="CN468" i="14"/>
  <c r="CN460" i="14"/>
  <c r="CM479" i="14"/>
  <c r="CM472" i="14"/>
  <c r="CM471" i="14"/>
  <c r="CM455" i="14"/>
  <c r="C154" i="30"/>
  <c r="C155" i="30"/>
  <c r="E150" i="2"/>
  <c r="M153" i="30"/>
  <c r="J153" i="30"/>
  <c r="S153" i="30"/>
  <c r="P153" i="30"/>
  <c r="D408" i="1"/>
  <c r="CK237" i="14"/>
  <c r="CK236" i="14"/>
  <c r="CL218" i="14"/>
  <c r="AP210" i="14"/>
  <c r="AQ232" i="14"/>
  <c r="CL229" i="14"/>
  <c r="AQ219" i="14"/>
  <c r="AP227" i="14"/>
  <c r="CL234" i="14"/>
  <c r="V12" i="18"/>
  <c r="D11" i="18"/>
  <c r="C11" i="18" s="1"/>
  <c r="CL478" i="14"/>
  <c r="CL462" i="14"/>
  <c r="AP451" i="14"/>
  <c r="AP472" i="14"/>
  <c r="AP469" i="14"/>
  <c r="AQ466" i="14"/>
  <c r="AP478" i="14"/>
  <c r="CK205" i="14"/>
  <c r="CK221" i="14"/>
  <c r="CK239" i="14"/>
  <c r="CK255" i="14"/>
  <c r="CK466" i="14"/>
  <c r="CK450" i="14"/>
  <c r="CK265" i="14"/>
  <c r="CN231" i="14"/>
  <c r="CN258" i="14"/>
  <c r="CN463" i="14"/>
  <c r="CM211" i="14"/>
  <c r="CM242" i="14"/>
  <c r="CM251" i="14"/>
  <c r="CM222" i="14"/>
  <c r="CM468" i="14"/>
  <c r="CM256" i="14"/>
  <c r="Z168" i="16"/>
  <c r="Z170" i="16" s="1"/>
  <c r="Z172" i="16"/>
  <c r="CS167" i="16"/>
  <c r="CS168" i="16" s="1"/>
  <c r="CS171" i="16" s="1"/>
  <c r="CT166" i="16"/>
  <c r="CZ166" i="16"/>
  <c r="F54" i="15"/>
  <c r="G229" i="28"/>
  <c r="I229" i="28" s="1"/>
  <c r="AP168" i="16"/>
  <c r="AP170" i="16" s="1"/>
  <c r="M118" i="29"/>
  <c r="Y409" i="1"/>
  <c r="Y418" i="1" s="1"/>
  <c r="N5" i="21"/>
  <c r="N45" i="21" s="1"/>
  <c r="N4" i="21"/>
  <c r="N44" i="21" s="1"/>
  <c r="N6" i="21"/>
  <c r="N43" i="21" s="1"/>
  <c r="G5" i="21"/>
  <c r="G45" i="21" s="1"/>
  <c r="G4" i="21"/>
  <c r="G44" i="21" s="1"/>
  <c r="G6" i="21"/>
  <c r="G43" i="21" s="1"/>
  <c r="H5" i="21"/>
  <c r="H45" i="21" s="1"/>
  <c r="H4" i="21"/>
  <c r="H44" i="21" s="1"/>
  <c r="H6" i="21"/>
  <c r="H43" i="21" s="1"/>
  <c r="K5" i="21"/>
  <c r="K45" i="21" s="1"/>
  <c r="K6" i="21"/>
  <c r="K43" i="21" s="1"/>
  <c r="K4" i="21"/>
  <c r="K44" i="21" s="1"/>
  <c r="H3" i="21"/>
  <c r="G5" i="26"/>
  <c r="G45" i="26" s="1"/>
  <c r="G4" i="26"/>
  <c r="G44" i="26" s="1"/>
  <c r="G6" i="26"/>
  <c r="G43" i="26" s="1"/>
  <c r="H5" i="26"/>
  <c r="H45" i="26" s="1"/>
  <c r="H4" i="26"/>
  <c r="H44" i="26" s="1"/>
  <c r="H6" i="26"/>
  <c r="H43" i="26" s="1"/>
  <c r="K5" i="26"/>
  <c r="K45" i="26" s="1"/>
  <c r="K4" i="26"/>
  <c r="K44" i="26" s="1"/>
  <c r="K6" i="26"/>
  <c r="K43" i="26" s="1"/>
  <c r="N6" i="26"/>
  <c r="N43" i="26" s="1"/>
  <c r="N4" i="26"/>
  <c r="N44" i="26" s="1"/>
  <c r="N5" i="26"/>
  <c r="N45" i="26" s="1"/>
  <c r="H3" i="26"/>
  <c r="K5" i="19"/>
  <c r="K45" i="19" s="1"/>
  <c r="K4" i="19"/>
  <c r="K44" i="19" s="1"/>
  <c r="K6" i="19"/>
  <c r="K43" i="19" s="1"/>
  <c r="N5" i="19"/>
  <c r="N45" i="19" s="1"/>
  <c r="N4" i="19"/>
  <c r="N44" i="19" s="1"/>
  <c r="N6" i="19"/>
  <c r="N43" i="19" s="1"/>
  <c r="G5" i="19"/>
  <c r="G45" i="19" s="1"/>
  <c r="G4" i="19"/>
  <c r="G44" i="19" s="1"/>
  <c r="G6" i="19"/>
  <c r="G43" i="19" s="1"/>
  <c r="H5" i="19"/>
  <c r="H45" i="19" s="1"/>
  <c r="H6" i="19"/>
  <c r="H43" i="19" s="1"/>
  <c r="H4" i="19"/>
  <c r="H44" i="19" s="1"/>
  <c r="H3" i="19"/>
  <c r="E9" i="29"/>
  <c r="D11" i="29"/>
  <c r="I11" i="29"/>
  <c r="H9" i="29"/>
  <c r="G8" i="29"/>
  <c r="G11" i="29"/>
  <c r="M9" i="29"/>
  <c r="L11" i="29"/>
  <c r="K9" i="29"/>
  <c r="Q8" i="29"/>
  <c r="O8" i="29"/>
  <c r="E8" i="29"/>
  <c r="M8" i="29"/>
  <c r="K8" i="29"/>
  <c r="Q11" i="29"/>
  <c r="P9" i="29"/>
  <c r="O11" i="29"/>
  <c r="D9" i="29"/>
  <c r="I9" i="29"/>
  <c r="H8" i="29"/>
  <c r="M11" i="29"/>
  <c r="I8" i="29"/>
  <c r="G9" i="29"/>
  <c r="Q9" i="29"/>
  <c r="E11" i="29"/>
  <c r="H11" i="29"/>
  <c r="L8" i="29"/>
  <c r="P11" i="29"/>
  <c r="O9" i="29"/>
  <c r="D8" i="29"/>
  <c r="L9" i="29"/>
  <c r="K11" i="29"/>
  <c r="P8" i="29"/>
  <c r="C11" i="29"/>
  <c r="C9" i="29"/>
  <c r="C8" i="29"/>
  <c r="G229" i="26"/>
  <c r="I229" i="26" s="1"/>
  <c r="G226" i="26"/>
  <c r="I226" i="26" s="1"/>
  <c r="G229" i="24"/>
  <c r="I229" i="24" s="1"/>
  <c r="G226" i="19"/>
  <c r="I226" i="19" s="1"/>
  <c r="C170" i="30"/>
  <c r="C171" i="30"/>
  <c r="J169" i="30"/>
  <c r="AA169" i="30"/>
  <c r="S169" i="30"/>
  <c r="P169" i="30"/>
  <c r="AG169" i="30"/>
  <c r="AD169" i="30"/>
  <c r="M169" i="30"/>
  <c r="G226" i="2"/>
  <c r="I226" i="2" s="1"/>
  <c r="AA129" i="30" s="1"/>
  <c r="CL220" i="14"/>
  <c r="AP214" i="14"/>
  <c r="G175" i="29"/>
  <c r="AQ224" i="14"/>
  <c r="AQ220" i="14"/>
  <c r="CL233" i="14"/>
  <c r="BB172" i="16"/>
  <c r="CL473" i="14"/>
  <c r="CL457" i="14"/>
  <c r="AP471" i="14"/>
  <c r="AQ459" i="14"/>
  <c r="AQ452" i="14"/>
  <c r="H157" i="18"/>
  <c r="H159" i="18"/>
  <c r="N270" i="1"/>
  <c r="AQ264" i="14"/>
  <c r="AP265" i="14"/>
  <c r="AQ238" i="14"/>
  <c r="AP263" i="14"/>
  <c r="CL265" i="14"/>
  <c r="AQ254" i="14"/>
  <c r="CL264" i="14"/>
  <c r="CL263" i="14"/>
  <c r="AQ242" i="14"/>
  <c r="AP242" i="14"/>
  <c r="CL237" i="14"/>
  <c r="AQ251" i="14"/>
  <c r="AP257" i="14"/>
  <c r="CL247" i="14"/>
  <c r="AQ255" i="14"/>
  <c r="AP262" i="14"/>
  <c r="CL257" i="14"/>
  <c r="AQ256" i="14"/>
  <c r="AQ240" i="14"/>
  <c r="AP252" i="14"/>
  <c r="AP236" i="14"/>
  <c r="AP255" i="14"/>
  <c r="AP239" i="14"/>
  <c r="CL258" i="14"/>
  <c r="CL250" i="14"/>
  <c r="CL242" i="14"/>
  <c r="H173" i="29"/>
  <c r="CK218" i="14"/>
  <c r="CK240" i="14"/>
  <c r="CK256" i="14"/>
  <c r="CK473" i="14"/>
  <c r="CK457" i="14"/>
  <c r="CN228" i="14"/>
  <c r="CN255" i="14"/>
  <c r="CN474" i="14"/>
  <c r="CN458" i="14"/>
  <c r="CN236" i="14"/>
  <c r="CM249" i="14"/>
  <c r="CM212" i="14"/>
  <c r="CM239" i="14"/>
  <c r="CM210" i="14"/>
  <c r="CM206" i="14"/>
  <c r="CM469" i="14"/>
  <c r="CM464" i="14"/>
  <c r="AD172" i="16"/>
  <c r="N71" i="2"/>
  <c r="N70" i="2"/>
  <c r="N72" i="2"/>
  <c r="C118" i="29"/>
  <c r="G174" i="29"/>
  <c r="G226" i="20"/>
  <c r="I226" i="20" s="1"/>
  <c r="G226" i="22"/>
  <c r="I226" i="22" s="1"/>
  <c r="AT170" i="16"/>
  <c r="AT172" i="16" s="1"/>
  <c r="E135" i="18"/>
  <c r="E135" i="20"/>
  <c r="AI156" i="14"/>
  <c r="AG156" i="14"/>
  <c r="L163" i="14"/>
  <c r="V12" i="21"/>
  <c r="CL222" i="14"/>
  <c r="AP218" i="14"/>
  <c r="AP207" i="14"/>
  <c r="AQ229" i="14"/>
  <c r="L247" i="28"/>
  <c r="L248" i="28" s="1"/>
  <c r="CL476" i="14"/>
  <c r="CL460" i="14"/>
  <c r="AP459" i="14"/>
  <c r="AP456" i="14"/>
  <c r="AQ472" i="14"/>
  <c r="H157" i="19"/>
  <c r="H159" i="19"/>
  <c r="W270" i="1"/>
  <c r="CK219" i="14"/>
  <c r="CK241" i="14"/>
  <c r="CK257" i="14"/>
  <c r="CK468" i="14"/>
  <c r="CK452" i="14"/>
  <c r="CN257" i="14"/>
  <c r="CN250" i="14"/>
  <c r="CN209" i="14"/>
  <c r="CN461" i="14"/>
  <c r="CN265" i="14"/>
  <c r="CM253" i="14"/>
  <c r="CM216" i="14"/>
  <c r="CM243" i="14"/>
  <c r="CM470" i="14"/>
  <c r="CM465" i="14"/>
  <c r="CM476" i="14"/>
  <c r="F51" i="15"/>
  <c r="F67" i="15"/>
  <c r="F33" i="15"/>
  <c r="G229" i="23"/>
  <c r="I229" i="23" s="1"/>
  <c r="G226" i="23"/>
  <c r="I226" i="23" s="1"/>
  <c r="G229" i="21"/>
  <c r="I229" i="21" s="1"/>
  <c r="AP119" i="30"/>
  <c r="AP117" i="30"/>
  <c r="AP118" i="30"/>
  <c r="I157" i="26"/>
  <c r="I159" i="26"/>
  <c r="AF278" i="1"/>
  <c r="E135" i="2"/>
  <c r="K70" i="19"/>
  <c r="E134" i="29" s="1"/>
  <c r="K72" i="19"/>
  <c r="E136" i="29" s="1"/>
  <c r="K71" i="19"/>
  <c r="E135" i="29" s="1"/>
  <c r="K69" i="19"/>
  <c r="E133" i="29" s="1"/>
  <c r="CL224" i="14"/>
  <c r="AP222" i="14"/>
  <c r="AP215" i="14"/>
  <c r="BE172" i="16"/>
  <c r="AI116" i="14"/>
  <c r="AG116" i="14"/>
  <c r="L123" i="14"/>
  <c r="B117" i="14"/>
  <c r="C117" i="14"/>
  <c r="D117" i="14" s="1"/>
  <c r="E118" i="14"/>
  <c r="AN117" i="14"/>
  <c r="L117" i="14"/>
  <c r="Q117" i="14"/>
  <c r="J117" i="14"/>
  <c r="H116" i="15"/>
  <c r="N1" i="23"/>
  <c r="N96" i="23"/>
  <c r="J158" i="23"/>
  <c r="N95" i="23"/>
  <c r="N94" i="23"/>
  <c r="N93" i="23"/>
  <c r="CK296" i="14"/>
  <c r="CK312" i="14"/>
  <c r="CK303" i="14"/>
  <c r="CK319" i="14"/>
  <c r="CK306" i="14"/>
  <c r="CK322" i="14"/>
  <c r="CK317" i="14"/>
  <c r="CK326" i="14"/>
  <c r="CK309" i="14"/>
  <c r="CN302" i="14"/>
  <c r="CN318" i="14"/>
  <c r="CN311" i="14"/>
  <c r="CN304" i="14"/>
  <c r="CN320" i="14"/>
  <c r="CN313" i="14"/>
  <c r="CN301" i="14"/>
  <c r="CM298" i="14"/>
  <c r="CM314" i="14"/>
  <c r="CM311" i="14"/>
  <c r="CM304" i="14"/>
  <c r="CM320" i="14"/>
  <c r="CM317" i="14"/>
  <c r="CM305" i="14"/>
  <c r="CM309" i="14"/>
  <c r="CL300" i="14"/>
  <c r="CL316" i="14"/>
  <c r="CL307" i="14"/>
  <c r="CL323" i="14"/>
  <c r="CL302" i="14"/>
  <c r="CL318" i="14"/>
  <c r="AP305" i="14"/>
  <c r="AP321" i="14"/>
  <c r="AQ309" i="14"/>
  <c r="AP302" i="14"/>
  <c r="AP323" i="14"/>
  <c r="AQ314" i="14"/>
  <c r="CL305" i="14"/>
  <c r="AP308" i="14"/>
  <c r="AQ304" i="14"/>
  <c r="AP304" i="14"/>
  <c r="AQ300" i="14"/>
  <c r="AQ322" i="14"/>
  <c r="AQ312" i="14"/>
  <c r="CL297" i="14"/>
  <c r="AQ318" i="14"/>
  <c r="CL324" i="14"/>
  <c r="AQ302" i="14"/>
  <c r="AQ307" i="14"/>
  <c r="AQ326" i="14"/>
  <c r="AP325" i="14"/>
  <c r="CL326" i="14"/>
  <c r="CK299" i="14"/>
  <c r="CN307" i="14"/>
  <c r="CN324" i="14"/>
  <c r="CM300" i="14"/>
  <c r="CL312" i="14"/>
  <c r="CL319" i="14"/>
  <c r="AP317" i="14"/>
  <c r="AP318" i="14"/>
  <c r="AP320" i="14"/>
  <c r="AP316" i="14"/>
  <c r="AP306" i="14"/>
  <c r="CK300" i="14"/>
  <c r="CK316" i="14"/>
  <c r="CK307" i="14"/>
  <c r="CK323" i="14"/>
  <c r="CK310" i="14"/>
  <c r="CK305" i="14"/>
  <c r="CN306" i="14"/>
  <c r="CN322" i="14"/>
  <c r="CN299" i="14"/>
  <c r="CN315" i="14"/>
  <c r="CN308" i="14"/>
  <c r="CN317" i="14"/>
  <c r="CN326" i="14"/>
  <c r="CN321" i="14"/>
  <c r="CM302" i="14"/>
  <c r="CM318" i="14"/>
  <c r="CM299" i="14"/>
  <c r="CM315" i="14"/>
  <c r="CM308" i="14"/>
  <c r="CM321" i="14"/>
  <c r="CM324" i="14"/>
  <c r="CM326" i="14"/>
  <c r="K173" i="29"/>
  <c r="CL304" i="14"/>
  <c r="CL320" i="14"/>
  <c r="CL311" i="14"/>
  <c r="K172" i="29"/>
  <c r="CL306" i="14"/>
  <c r="CL322" i="14"/>
  <c r="AP309" i="14"/>
  <c r="AQ297" i="14"/>
  <c r="AQ313" i="14"/>
  <c r="CL301" i="14"/>
  <c r="AP307" i="14"/>
  <c r="AQ298" i="14"/>
  <c r="AQ319" i="14"/>
  <c r="CL321" i="14"/>
  <c r="AP314" i="14"/>
  <c r="AQ310" i="14"/>
  <c r="AP310" i="14"/>
  <c r="AQ306" i="14"/>
  <c r="AP300" i="14"/>
  <c r="AQ323" i="14"/>
  <c r="AP311" i="14"/>
  <c r="AQ325" i="14"/>
  <c r="AP326" i="14"/>
  <c r="CK308" i="14"/>
  <c r="CK315" i="14"/>
  <c r="CK318" i="14"/>
  <c r="CK313" i="14"/>
  <c r="CN297" i="14"/>
  <c r="CM323" i="14"/>
  <c r="CM316" i="14"/>
  <c r="CM325" i="14"/>
  <c r="CL296" i="14"/>
  <c r="CL298" i="14"/>
  <c r="AQ305" i="14"/>
  <c r="AQ308" i="14"/>
  <c r="AQ320" i="14"/>
  <c r="AP299" i="14"/>
  <c r="CN303" i="14"/>
  <c r="CN319" i="14"/>
  <c r="CN296" i="14"/>
  <c r="CN312" i="14"/>
  <c r="CN309" i="14"/>
  <c r="CN325" i="14"/>
  <c r="CN305" i="14"/>
  <c r="CM306" i="14"/>
  <c r="CM322" i="14"/>
  <c r="CM303" i="14"/>
  <c r="CM319" i="14"/>
  <c r="CM296" i="14"/>
  <c r="CM312" i="14"/>
  <c r="CM297" i="14"/>
  <c r="CL308" i="14"/>
  <c r="CL299" i="14"/>
  <c r="CL315" i="14"/>
  <c r="K174" i="29"/>
  <c r="CL310" i="14"/>
  <c r="AP297" i="14"/>
  <c r="AP313" i="14"/>
  <c r="AQ301" i="14"/>
  <c r="AQ317" i="14"/>
  <c r="CL317" i="14"/>
  <c r="AP312" i="14"/>
  <c r="AQ303" i="14"/>
  <c r="AP298" i="14"/>
  <c r="AP319" i="14"/>
  <c r="AQ315" i="14"/>
  <c r="CL309" i="14"/>
  <c r="AP315" i="14"/>
  <c r="AQ311" i="14"/>
  <c r="AP322" i="14"/>
  <c r="CL313" i="14"/>
  <c r="CL325" i="14"/>
  <c r="AP324" i="14"/>
  <c r="AQ324" i="14"/>
  <c r="CK302" i="14"/>
  <c r="CK301" i="14"/>
  <c r="CK324" i="14"/>
  <c r="CN298" i="14"/>
  <c r="CN314" i="14"/>
  <c r="CN323" i="14"/>
  <c r="CN300" i="14"/>
  <c r="CN316" i="14"/>
  <c r="CM310" i="14"/>
  <c r="CM307" i="14"/>
  <c r="CM313" i="14"/>
  <c r="CM301" i="14"/>
  <c r="K175" i="29"/>
  <c r="CL303" i="14"/>
  <c r="CL314" i="14"/>
  <c r="AP301" i="14"/>
  <c r="AQ321" i="14"/>
  <c r="AP296" i="14"/>
  <c r="AP303" i="14"/>
  <c r="AQ299" i="14"/>
  <c r="AQ316" i="14"/>
  <c r="AQ296" i="14"/>
  <c r="N96" i="24"/>
  <c r="J158" i="24"/>
  <c r="Y342" i="1" s="1"/>
  <c r="N94" i="24"/>
  <c r="N95" i="24"/>
  <c r="N93" i="24"/>
  <c r="CK343" i="14"/>
  <c r="CK337" i="14"/>
  <c r="CK340" i="14"/>
  <c r="CK355" i="14"/>
  <c r="CK328" i="14"/>
  <c r="CN333" i="14"/>
  <c r="CN351" i="14"/>
  <c r="CM329" i="14"/>
  <c r="CM342" i="14"/>
  <c r="L173" i="29"/>
  <c r="AP328" i="14"/>
  <c r="AQ348" i="14"/>
  <c r="AQ329" i="14"/>
  <c r="AQ341" i="14"/>
  <c r="CK350" i="14"/>
  <c r="CK357" i="14"/>
  <c r="CN349" i="14"/>
  <c r="CN335" i="14"/>
  <c r="CN328" i="14"/>
  <c r="CN352" i="14"/>
  <c r="CL341" i="14"/>
  <c r="AP331" i="14"/>
  <c r="AP338" i="14"/>
  <c r="AP345" i="14"/>
  <c r="AP351" i="14"/>
  <c r="CK327" i="14"/>
  <c r="CK334" i="14"/>
  <c r="CK353" i="14"/>
  <c r="CK344" i="14"/>
  <c r="CN342" i="14"/>
  <c r="CN356" i="14"/>
  <c r="CM345" i="14"/>
  <c r="CM335" i="14"/>
  <c r="CM351" i="14"/>
  <c r="CM344" i="14"/>
  <c r="CL339" i="14"/>
  <c r="CL338" i="14"/>
  <c r="CL354" i="14"/>
  <c r="AP344" i="14"/>
  <c r="AQ332" i="14"/>
  <c r="AP353" i="14"/>
  <c r="AQ343" i="14"/>
  <c r="AQ350" i="14"/>
  <c r="CL344" i="14"/>
  <c r="AP346" i="14"/>
  <c r="AP335" i="14"/>
  <c r="AQ331" i="14"/>
  <c r="N96" i="27"/>
  <c r="J158" i="27"/>
  <c r="N93" i="27"/>
  <c r="N95" i="27"/>
  <c r="N94" i="27"/>
  <c r="CK446" i="14"/>
  <c r="CK442" i="14"/>
  <c r="CK438" i="14"/>
  <c r="CK434" i="14"/>
  <c r="CK430" i="14"/>
  <c r="CK426" i="14"/>
  <c r="CK422" i="14"/>
  <c r="CN447" i="14"/>
  <c r="CN443" i="14"/>
  <c r="CN439" i="14"/>
  <c r="CN435" i="14"/>
  <c r="CN431" i="14"/>
  <c r="CN427" i="14"/>
  <c r="CN423" i="14"/>
  <c r="CN419" i="14"/>
  <c r="CM446" i="14"/>
  <c r="CM441" i="14"/>
  <c r="CM429" i="14"/>
  <c r="CM421" i="14"/>
  <c r="CM436" i="14"/>
  <c r="CM435" i="14"/>
  <c r="CM424" i="14"/>
  <c r="CM420" i="14"/>
  <c r="CM428" i="14"/>
  <c r="P175" i="29"/>
  <c r="CL447" i="14"/>
  <c r="CL443" i="14"/>
  <c r="CL439" i="14"/>
  <c r="CL435" i="14"/>
  <c r="CL428" i="14"/>
  <c r="CL420" i="14"/>
  <c r="CL431" i="14"/>
  <c r="CL423" i="14"/>
  <c r="AP423" i="14"/>
  <c r="AP439" i="14"/>
  <c r="AQ425" i="14"/>
  <c r="AQ441" i="14"/>
  <c r="AQ426" i="14"/>
  <c r="AP429" i="14"/>
  <c r="AP445" i="14"/>
  <c r="AQ431" i="14"/>
  <c r="AQ447" i="14"/>
  <c r="AP432" i="14"/>
  <c r="AQ430" i="14"/>
  <c r="AP422" i="14"/>
  <c r="AP438" i="14"/>
  <c r="AQ424" i="14"/>
  <c r="AQ440" i="14"/>
  <c r="CK443" i="14"/>
  <c r="CK427" i="14"/>
  <c r="CN440" i="14"/>
  <c r="CN424" i="14"/>
  <c r="CM423" i="14"/>
  <c r="CM440" i="14"/>
  <c r="CL448" i="14"/>
  <c r="CL436" i="14"/>
  <c r="CL425" i="14"/>
  <c r="AQ437" i="14"/>
  <c r="AP425" i="14"/>
  <c r="AQ422" i="14"/>
  <c r="CK445" i="14"/>
  <c r="CK441" i="14"/>
  <c r="CK437" i="14"/>
  <c r="CK433" i="14"/>
  <c r="CK429" i="14"/>
  <c r="CK425" i="14"/>
  <c r="CK421" i="14"/>
  <c r="CN446" i="14"/>
  <c r="CN442" i="14"/>
  <c r="CN438" i="14"/>
  <c r="CN434" i="14"/>
  <c r="CN430" i="14"/>
  <c r="CN426" i="14"/>
  <c r="CN422" i="14"/>
  <c r="CM442" i="14"/>
  <c r="CM437" i="14"/>
  <c r="CM427" i="14"/>
  <c r="CM419" i="14"/>
  <c r="CM448" i="14"/>
  <c r="CM426" i="14"/>
  <c r="CM443" i="14"/>
  <c r="CM439" i="14"/>
  <c r="P172" i="29"/>
  <c r="CL446" i="14"/>
  <c r="CL442" i="14"/>
  <c r="CL438" i="14"/>
  <c r="CL434" i="14"/>
  <c r="CL426" i="14"/>
  <c r="CL429" i="14"/>
  <c r="CL421" i="14"/>
  <c r="AP427" i="14"/>
  <c r="AP443" i="14"/>
  <c r="AQ429" i="14"/>
  <c r="AQ445" i="14"/>
  <c r="AP424" i="14"/>
  <c r="AQ438" i="14"/>
  <c r="AP433" i="14"/>
  <c r="AQ419" i="14"/>
  <c r="AQ435" i="14"/>
  <c r="AP440" i="14"/>
  <c r="AQ434" i="14"/>
  <c r="AP426" i="14"/>
  <c r="AP442" i="14"/>
  <c r="AQ428" i="14"/>
  <c r="AQ444" i="14"/>
  <c r="CK447" i="14"/>
  <c r="CK431" i="14"/>
  <c r="CN436" i="14"/>
  <c r="CN420" i="14"/>
  <c r="P173" i="29"/>
  <c r="CL430" i="14"/>
  <c r="AP419" i="14"/>
  <c r="AP448" i="14"/>
  <c r="AP441" i="14"/>
  <c r="AP428" i="14"/>
  <c r="AQ436" i="14"/>
  <c r="CN445" i="14"/>
  <c r="CN441" i="14"/>
  <c r="CN437" i="14"/>
  <c r="CN433" i="14"/>
  <c r="CN429" i="14"/>
  <c r="CN425" i="14"/>
  <c r="CN421" i="14"/>
  <c r="CM438" i="14"/>
  <c r="CM433" i="14"/>
  <c r="CM425" i="14"/>
  <c r="CM444" i="14"/>
  <c r="CM447" i="14"/>
  <c r="CM430" i="14"/>
  <c r="P174" i="29"/>
  <c r="CL445" i="14"/>
  <c r="CL441" i="14"/>
  <c r="CL437" i="14"/>
  <c r="CL432" i="14"/>
  <c r="CL424" i="14"/>
  <c r="CL427" i="14"/>
  <c r="CL419" i="14"/>
  <c r="AP431" i="14"/>
  <c r="AP447" i="14"/>
  <c r="AQ433" i="14"/>
  <c r="AP436" i="14"/>
  <c r="AP421" i="14"/>
  <c r="AP437" i="14"/>
  <c r="AQ423" i="14"/>
  <c r="AQ439" i="14"/>
  <c r="AP420" i="14"/>
  <c r="AP444" i="14"/>
  <c r="AQ442" i="14"/>
  <c r="AP430" i="14"/>
  <c r="AP446" i="14"/>
  <c r="AQ432" i="14"/>
  <c r="AQ448" i="14"/>
  <c r="CK439" i="14"/>
  <c r="CK435" i="14"/>
  <c r="CK423" i="14"/>
  <c r="CK419" i="14"/>
  <c r="CN448" i="14"/>
  <c r="CN444" i="14"/>
  <c r="CN432" i="14"/>
  <c r="CN428" i="14"/>
  <c r="CM434" i="14"/>
  <c r="CM445" i="14"/>
  <c r="CM431" i="14"/>
  <c r="CM432" i="14"/>
  <c r="CM422" i="14"/>
  <c r="CL444" i="14"/>
  <c r="CL440" i="14"/>
  <c r="CL422" i="14"/>
  <c r="CL433" i="14"/>
  <c r="AP435" i="14"/>
  <c r="AQ421" i="14"/>
  <c r="AQ427" i="14"/>
  <c r="AQ443" i="14"/>
  <c r="AQ446" i="14"/>
  <c r="AP434" i="14"/>
  <c r="AQ420" i="14"/>
  <c r="F39" i="15"/>
  <c r="C162" i="30"/>
  <c r="C163" i="30"/>
  <c r="P161" i="30"/>
  <c r="AG161" i="30"/>
  <c r="M161" i="30"/>
  <c r="AD161" i="30"/>
  <c r="J161" i="30"/>
  <c r="AA161" i="30"/>
  <c r="S161" i="30"/>
  <c r="AP362" i="14"/>
  <c r="CK335" i="14"/>
  <c r="CN417" i="14"/>
  <c r="CK448" i="14"/>
  <c r="CK186" i="14"/>
  <c r="D395" i="1" l="1"/>
  <c r="I135" i="25"/>
  <c r="G157" i="26"/>
  <c r="AE310" i="1" s="1"/>
  <c r="D11" i="21"/>
  <c r="C11" i="21" s="1"/>
  <c r="V338" i="1"/>
  <c r="H135" i="25"/>
  <c r="AK31" i="1"/>
  <c r="E31" i="1" s="1"/>
  <c r="Q105" i="30"/>
  <c r="AK252" i="1"/>
  <c r="AK263" i="1" s="1"/>
  <c r="AH249" i="1"/>
  <c r="AH262" i="1" s="1"/>
  <c r="AB249" i="1"/>
  <c r="AB262" i="1" s="1"/>
  <c r="F174" i="29"/>
  <c r="H105" i="30"/>
  <c r="H135" i="26"/>
  <c r="C195" i="25"/>
  <c r="J157" i="22"/>
  <c r="K106" i="30"/>
  <c r="V12" i="27"/>
  <c r="D11" i="27"/>
  <c r="C11" i="27" s="1"/>
  <c r="P341" i="1"/>
  <c r="H103" i="30"/>
  <c r="C195" i="28"/>
  <c r="C195" i="26"/>
  <c r="J157" i="27"/>
  <c r="J159" i="24"/>
  <c r="AO279" i="1"/>
  <c r="AK340" i="1"/>
  <c r="AF107" i="30"/>
  <c r="AL105" i="30"/>
  <c r="AI105" i="30"/>
  <c r="M343" i="1"/>
  <c r="C10" i="24"/>
  <c r="C11" i="24" s="1"/>
  <c r="C195" i="18"/>
  <c r="F173" i="29"/>
  <c r="N174" i="29"/>
  <c r="J159" i="26"/>
  <c r="H106" i="30"/>
  <c r="AX272" i="1"/>
  <c r="AH252" i="1"/>
  <c r="AH263" i="1" s="1"/>
  <c r="AK341" i="1"/>
  <c r="G341" i="1"/>
  <c r="J346" i="1"/>
  <c r="J157" i="24"/>
  <c r="H102" i="30"/>
  <c r="D343" i="1"/>
  <c r="G135" i="26"/>
  <c r="G114" i="26" s="1"/>
  <c r="T107" i="30"/>
  <c r="H104" i="30"/>
  <c r="AB339" i="1"/>
  <c r="S246" i="1"/>
  <c r="S245" i="1" s="1"/>
  <c r="J157" i="26"/>
  <c r="AE309" i="1" s="1"/>
  <c r="AH246" i="1"/>
  <c r="AH245" i="1" s="1"/>
  <c r="S252" i="1"/>
  <c r="S251" i="1" s="1"/>
  <c r="N269" i="1"/>
  <c r="K105" i="30"/>
  <c r="G135" i="24"/>
  <c r="G114" i="24" s="1"/>
  <c r="J157" i="19"/>
  <c r="T105" i="30"/>
  <c r="G159" i="19"/>
  <c r="J357" i="1" s="1"/>
  <c r="AF102" i="30"/>
  <c r="J246" i="1"/>
  <c r="J245" i="1" s="1"/>
  <c r="AE246" i="1"/>
  <c r="AE245" i="1" s="1"/>
  <c r="G249" i="1"/>
  <c r="G262" i="1" s="1"/>
  <c r="J159" i="18"/>
  <c r="S340" i="1"/>
  <c r="AE252" i="1"/>
  <c r="AE251" i="1" s="1"/>
  <c r="I135" i="24"/>
  <c r="I115" i="24" s="1"/>
  <c r="AE249" i="1"/>
  <c r="AE248" i="1" s="1"/>
  <c r="AB246" i="1"/>
  <c r="AB245" i="1" s="1"/>
  <c r="K101" i="30"/>
  <c r="G157" i="19"/>
  <c r="AF104" i="30"/>
  <c r="AF101" i="30"/>
  <c r="AF103" i="30"/>
  <c r="G159" i="26"/>
  <c r="S249" i="1"/>
  <c r="S262" i="1" s="1"/>
  <c r="AF105" i="30"/>
  <c r="AF106" i="30"/>
  <c r="W272" i="1"/>
  <c r="N175" i="29"/>
  <c r="F175" i="29"/>
  <c r="E276" i="1"/>
  <c r="W103" i="30"/>
  <c r="W101" i="30"/>
  <c r="G157" i="23"/>
  <c r="AC107" i="30"/>
  <c r="D341" i="1"/>
  <c r="J249" i="1"/>
  <c r="W104" i="30"/>
  <c r="Z104" i="30"/>
  <c r="N276" i="1"/>
  <c r="Z102" i="30"/>
  <c r="G159" i="24"/>
  <c r="C195" i="20"/>
  <c r="Z107" i="30"/>
  <c r="V252" i="1"/>
  <c r="V263" i="1" s="1"/>
  <c r="J159" i="25"/>
  <c r="S339" i="1"/>
  <c r="H135" i="27"/>
  <c r="H114" i="27" s="1"/>
  <c r="Y249" i="1"/>
  <c r="Y248" i="1" s="1"/>
  <c r="C195" i="27"/>
  <c r="I135" i="19"/>
  <c r="I115" i="19" s="1"/>
  <c r="AB252" i="1"/>
  <c r="AB251" i="1" s="1"/>
  <c r="G157" i="24"/>
  <c r="G159" i="18"/>
  <c r="G157" i="18"/>
  <c r="W102" i="30"/>
  <c r="D342" i="1"/>
  <c r="C195" i="23"/>
  <c r="Z106" i="30"/>
  <c r="Y252" i="1"/>
  <c r="Y263" i="1" s="1"/>
  <c r="Z105" i="30"/>
  <c r="Y246" i="1"/>
  <c r="Y261" i="1" s="1"/>
  <c r="C195" i="22"/>
  <c r="C195" i="19"/>
  <c r="AH339" i="1"/>
  <c r="Z101" i="30"/>
  <c r="G159" i="23"/>
  <c r="J252" i="1"/>
  <c r="J263" i="1" s="1"/>
  <c r="W269" i="1"/>
  <c r="K103" i="30"/>
  <c r="K104" i="30"/>
  <c r="N118" i="29"/>
  <c r="J172" i="29"/>
  <c r="AN159" i="30"/>
  <c r="F172" i="29"/>
  <c r="F9" i="29"/>
  <c r="N11" i="29"/>
  <c r="P340" i="1"/>
  <c r="V13" i="20"/>
  <c r="D12" i="20"/>
  <c r="AL170" i="16"/>
  <c r="AL172" i="16"/>
  <c r="J157" i="18"/>
  <c r="L285" i="28"/>
  <c r="T161" i="29" s="1"/>
  <c r="M341" i="1"/>
  <c r="P338" i="1"/>
  <c r="S341" i="1"/>
  <c r="Q104" i="30"/>
  <c r="Q103" i="30"/>
  <c r="G157" i="21"/>
  <c r="G159" i="21"/>
  <c r="AO269" i="1"/>
  <c r="Q102" i="30"/>
  <c r="Q101" i="30"/>
  <c r="AX276" i="1"/>
  <c r="G159" i="28"/>
  <c r="AL102" i="30"/>
  <c r="G157" i="28"/>
  <c r="AL104" i="30"/>
  <c r="AL103" i="30"/>
  <c r="AL101" i="30"/>
  <c r="AN163" i="30"/>
  <c r="R172" i="29"/>
  <c r="N172" i="29"/>
  <c r="S342" i="1"/>
  <c r="H107" i="30"/>
  <c r="M340" i="1"/>
  <c r="E106" i="30"/>
  <c r="C195" i="21"/>
  <c r="F118" i="29"/>
  <c r="G395" i="1"/>
  <c r="J395" i="1" s="1"/>
  <c r="M395" i="1" s="1"/>
  <c r="P395" i="1" s="1"/>
  <c r="S395" i="1" s="1"/>
  <c r="V395" i="1" s="1"/>
  <c r="Y395" i="1" s="1"/>
  <c r="AB395" i="1" s="1"/>
  <c r="AE395" i="1" s="1"/>
  <c r="AH395" i="1" s="1"/>
  <c r="AK395" i="1" s="1"/>
  <c r="C195" i="24"/>
  <c r="D249" i="1"/>
  <c r="D262" i="1" s="1"/>
  <c r="D303" i="1" s="1"/>
  <c r="N272" i="1"/>
  <c r="J157" i="25"/>
  <c r="G135" i="27"/>
  <c r="G114" i="27" s="1"/>
  <c r="AK246" i="1"/>
  <c r="AK261" i="1" s="1"/>
  <c r="D346" i="1"/>
  <c r="N70" i="19"/>
  <c r="H78" i="19" s="1"/>
  <c r="H77" i="19" s="1"/>
  <c r="AL107" i="30"/>
  <c r="D397" i="1"/>
  <c r="G397" i="1" s="1"/>
  <c r="J397" i="1" s="1"/>
  <c r="M397" i="1" s="1"/>
  <c r="P397" i="1" s="1"/>
  <c r="S397" i="1" s="1"/>
  <c r="V397" i="1" s="1"/>
  <c r="Y397" i="1" s="1"/>
  <c r="AB397" i="1" s="1"/>
  <c r="AE397" i="1" s="1"/>
  <c r="AH397" i="1" s="1"/>
  <c r="AK397" i="1" s="1"/>
  <c r="AC106" i="30"/>
  <c r="G252" i="1"/>
  <c r="G251" i="1" s="1"/>
  <c r="S338" i="1"/>
  <c r="D339" i="1"/>
  <c r="AI107" i="30"/>
  <c r="N245" i="28"/>
  <c r="N257" i="28" s="1"/>
  <c r="I135" i="21"/>
  <c r="I114" i="21" s="1"/>
  <c r="K131" i="30"/>
  <c r="K125" i="30"/>
  <c r="K128" i="30"/>
  <c r="N101" i="30"/>
  <c r="AF269" i="1"/>
  <c r="N104" i="30"/>
  <c r="G157" i="20"/>
  <c r="N102" i="30"/>
  <c r="G159" i="20"/>
  <c r="N103" i="30"/>
  <c r="AX269" i="1"/>
  <c r="T104" i="30"/>
  <c r="T103" i="30"/>
  <c r="G159" i="22"/>
  <c r="S374" i="1" s="1"/>
  <c r="T102" i="30"/>
  <c r="G157" i="22"/>
  <c r="T101" i="30"/>
  <c r="T106" i="30"/>
  <c r="N127" i="30"/>
  <c r="N124" i="30"/>
  <c r="N130" i="30"/>
  <c r="K127" i="30"/>
  <c r="K124" i="30"/>
  <c r="K130" i="30"/>
  <c r="J175" i="29"/>
  <c r="M338" i="1"/>
  <c r="G135" i="19"/>
  <c r="G114" i="19" s="1"/>
  <c r="S343" i="1"/>
  <c r="H135" i="21"/>
  <c r="H115" i="21" s="1"/>
  <c r="E101" i="30"/>
  <c r="E102" i="30"/>
  <c r="G157" i="2"/>
  <c r="E269" i="1"/>
  <c r="G159" i="2"/>
  <c r="E104" i="30"/>
  <c r="E103" i="30"/>
  <c r="V13" i="24"/>
  <c r="D12" i="24"/>
  <c r="AH343" i="1"/>
  <c r="G246" i="1"/>
  <c r="G261" i="1" s="1"/>
  <c r="E137" i="29"/>
  <c r="N244" i="28"/>
  <c r="N243" i="28" s="1"/>
  <c r="E107" i="30"/>
  <c r="W279" i="1"/>
  <c r="S346" i="1"/>
  <c r="P249" i="1"/>
  <c r="P262" i="1" s="1"/>
  <c r="AR172" i="16"/>
  <c r="P252" i="1"/>
  <c r="P251" i="1" s="1"/>
  <c r="AC105" i="30"/>
  <c r="R118" i="29"/>
  <c r="W106" i="30"/>
  <c r="AO276" i="1"/>
  <c r="AI101" i="30"/>
  <c r="G159" i="27"/>
  <c r="AH358" i="1" s="1"/>
  <c r="AI103" i="30"/>
  <c r="AI102" i="30"/>
  <c r="G157" i="27"/>
  <c r="AI106" i="30"/>
  <c r="AI104" i="30"/>
  <c r="AC104" i="30"/>
  <c r="G159" i="25"/>
  <c r="G157" i="25"/>
  <c r="W276" i="1"/>
  <c r="AC103" i="30"/>
  <c r="AC102" i="30"/>
  <c r="AC101" i="30"/>
  <c r="C10" i="20"/>
  <c r="C11" i="20" s="1"/>
  <c r="N128" i="30"/>
  <c r="N125" i="30"/>
  <c r="N131" i="30"/>
  <c r="K107" i="30"/>
  <c r="S69" i="19"/>
  <c r="G79" i="19"/>
  <c r="U69" i="19" s="1"/>
  <c r="AG163" i="14"/>
  <c r="AI163" i="14"/>
  <c r="L170" i="14"/>
  <c r="G135" i="20"/>
  <c r="H135" i="20"/>
  <c r="I135" i="20"/>
  <c r="C142" i="29"/>
  <c r="N73" i="2"/>
  <c r="H78" i="2"/>
  <c r="AM171" i="30"/>
  <c r="AM170" i="30"/>
  <c r="J11" i="29"/>
  <c r="G84" i="19"/>
  <c r="G169" i="19"/>
  <c r="K82" i="26"/>
  <c r="K167" i="26"/>
  <c r="G83" i="26"/>
  <c r="G168" i="26"/>
  <c r="H83" i="21"/>
  <c r="H168" i="21"/>
  <c r="AA11" i="2"/>
  <c r="G273" i="28"/>
  <c r="G149" i="29"/>
  <c r="T69" i="20"/>
  <c r="H83" i="25"/>
  <c r="H168" i="25"/>
  <c r="K168" i="25"/>
  <c r="K83" i="25"/>
  <c r="K83" i="18"/>
  <c r="K168" i="18"/>
  <c r="G82" i="18"/>
  <c r="G167" i="18"/>
  <c r="D135" i="29"/>
  <c r="N71" i="18"/>
  <c r="J157" i="20"/>
  <c r="J159" i="20"/>
  <c r="AF272" i="1"/>
  <c r="C14" i="22"/>
  <c r="D15" i="22"/>
  <c r="G136" i="29"/>
  <c r="N72" i="20"/>
  <c r="H135" i="23"/>
  <c r="G135" i="23"/>
  <c r="I135" i="23"/>
  <c r="AO73" i="14"/>
  <c r="AO75" i="14"/>
  <c r="AO77" i="14"/>
  <c r="AO79" i="14"/>
  <c r="AO80" i="14" s="1"/>
  <c r="AO76" i="14"/>
  <c r="AO74" i="14"/>
  <c r="AO78" i="14"/>
  <c r="K168" i="23"/>
  <c r="K83" i="23"/>
  <c r="G82" i="20"/>
  <c r="G167" i="20"/>
  <c r="I169" i="20"/>
  <c r="I84" i="20"/>
  <c r="I82" i="28"/>
  <c r="I167" i="28"/>
  <c r="G83" i="28"/>
  <c r="G168" i="28"/>
  <c r="V14" i="2"/>
  <c r="D13" i="2"/>
  <c r="C13" i="2" s="1"/>
  <c r="I84" i="22"/>
  <c r="I169" i="22"/>
  <c r="J342" i="1"/>
  <c r="J339" i="1"/>
  <c r="T131" i="30"/>
  <c r="T128" i="30"/>
  <c r="T125" i="30"/>
  <c r="I73" i="22"/>
  <c r="N69" i="22"/>
  <c r="I69" i="23"/>
  <c r="H83" i="27"/>
  <c r="H168" i="27"/>
  <c r="G84" i="27"/>
  <c r="G169" i="27"/>
  <c r="I82" i="24"/>
  <c r="I167" i="24"/>
  <c r="G83" i="24"/>
  <c r="G168" i="24"/>
  <c r="G169" i="2"/>
  <c r="G84" i="2"/>
  <c r="I168" i="2"/>
  <c r="I83" i="2"/>
  <c r="Y20" i="15"/>
  <c r="U20" i="15"/>
  <c r="Q20" i="15"/>
  <c r="X20" i="15"/>
  <c r="T20" i="15"/>
  <c r="W20" i="15"/>
  <c r="S20" i="15"/>
  <c r="R20" i="15"/>
  <c r="Z20" i="15"/>
  <c r="F20" i="15"/>
  <c r="V20" i="15"/>
  <c r="AK339" i="1"/>
  <c r="AK251" i="1"/>
  <c r="N173" i="29"/>
  <c r="J343" i="1"/>
  <c r="L124" i="14"/>
  <c r="AG117" i="14"/>
  <c r="AI117" i="14"/>
  <c r="W107" i="30"/>
  <c r="V13" i="21"/>
  <c r="H135" i="18"/>
  <c r="I135" i="18"/>
  <c r="G135" i="18"/>
  <c r="C143" i="29"/>
  <c r="I78" i="2"/>
  <c r="I77" i="2" s="1"/>
  <c r="AP130" i="30"/>
  <c r="AP131" i="30"/>
  <c r="AP129" i="30"/>
  <c r="F11" i="29"/>
  <c r="R9" i="29"/>
  <c r="J9" i="29"/>
  <c r="N9" i="29"/>
  <c r="J8" i="29"/>
  <c r="H84" i="19"/>
  <c r="H169" i="19"/>
  <c r="K82" i="19"/>
  <c r="K167" i="19"/>
  <c r="I82" i="19"/>
  <c r="I167" i="19"/>
  <c r="K84" i="26"/>
  <c r="K169" i="26"/>
  <c r="I82" i="26"/>
  <c r="I167" i="26"/>
  <c r="H168" i="26"/>
  <c r="H83" i="26"/>
  <c r="G84" i="26"/>
  <c r="G169" i="26"/>
  <c r="I84" i="21"/>
  <c r="I169" i="21"/>
  <c r="H84" i="21"/>
  <c r="H169" i="21"/>
  <c r="K82" i="21"/>
  <c r="K167" i="21"/>
  <c r="BG170" i="16"/>
  <c r="M249" i="1"/>
  <c r="I114" i="26"/>
  <c r="I115" i="26"/>
  <c r="AF172" i="16"/>
  <c r="G77" i="20"/>
  <c r="AP136" i="30"/>
  <c r="AP137" i="30"/>
  <c r="AP135" i="30"/>
  <c r="H82" i="25"/>
  <c r="H167" i="25"/>
  <c r="G83" i="25"/>
  <c r="G168" i="25"/>
  <c r="K169" i="25"/>
  <c r="K84" i="25"/>
  <c r="K84" i="18"/>
  <c r="K169" i="18"/>
  <c r="K82" i="18"/>
  <c r="K167" i="18"/>
  <c r="H167" i="18"/>
  <c r="H82" i="18"/>
  <c r="G83" i="18"/>
  <c r="G168" i="18"/>
  <c r="D134" i="29"/>
  <c r="N70" i="18"/>
  <c r="J159" i="2"/>
  <c r="J157" i="2"/>
  <c r="E272" i="1"/>
  <c r="D396" i="1"/>
  <c r="G396" i="1" s="1"/>
  <c r="J396" i="1" s="1"/>
  <c r="M396" i="1" s="1"/>
  <c r="P396" i="1" s="1"/>
  <c r="S396" i="1" s="1"/>
  <c r="V396" i="1" s="1"/>
  <c r="Y396" i="1" s="1"/>
  <c r="AB396" i="1" s="1"/>
  <c r="AE396" i="1" s="1"/>
  <c r="AH396" i="1" s="1"/>
  <c r="AK396" i="1" s="1"/>
  <c r="R175" i="29"/>
  <c r="AE340" i="1"/>
  <c r="AE338" i="1"/>
  <c r="AE346" i="1"/>
  <c r="AE343" i="1"/>
  <c r="AE342" i="1"/>
  <c r="AE339" i="1"/>
  <c r="AE341" i="1"/>
  <c r="J338" i="1"/>
  <c r="AK346" i="1"/>
  <c r="AG172" i="16"/>
  <c r="Y343" i="1"/>
  <c r="AE331" i="1"/>
  <c r="V13" i="23"/>
  <c r="D12" i="23"/>
  <c r="C12" i="23" s="1"/>
  <c r="N72" i="19"/>
  <c r="G135" i="29"/>
  <c r="G137" i="29" s="1"/>
  <c r="N71" i="20"/>
  <c r="AO177" i="30"/>
  <c r="AM181" i="30"/>
  <c r="H82" i="23"/>
  <c r="H167" i="23"/>
  <c r="G83" i="23"/>
  <c r="G168" i="23"/>
  <c r="K84" i="23"/>
  <c r="K169" i="23"/>
  <c r="I84" i="23"/>
  <c r="I169" i="23"/>
  <c r="G84" i="20"/>
  <c r="G169" i="20"/>
  <c r="H82" i="20"/>
  <c r="H167" i="20"/>
  <c r="I83" i="28"/>
  <c r="I168" i="28"/>
  <c r="H168" i="28"/>
  <c r="H83" i="28"/>
  <c r="G84" i="28"/>
  <c r="G169" i="28"/>
  <c r="E105" i="30"/>
  <c r="E179" i="14"/>
  <c r="B178" i="14"/>
  <c r="C178" i="14"/>
  <c r="D178" i="14" s="1"/>
  <c r="AN178" i="14"/>
  <c r="Q178" i="14"/>
  <c r="H177" i="15"/>
  <c r="J178" i="14"/>
  <c r="DA167" i="16"/>
  <c r="DA168" i="16" s="1"/>
  <c r="DA171" i="16" s="1"/>
  <c r="S174" i="16" s="1"/>
  <c r="CU167" i="16"/>
  <c r="CU168" i="16" s="1"/>
  <c r="CU171" i="16" s="1"/>
  <c r="T174" i="16" s="1"/>
  <c r="CX167" i="16"/>
  <c r="CX168" i="16" s="1"/>
  <c r="CX171" i="16" s="1"/>
  <c r="U174" i="16" s="1"/>
  <c r="CY167" i="16"/>
  <c r="CY168" i="16" s="1"/>
  <c r="CY171" i="16" s="1"/>
  <c r="R174" i="16" s="1"/>
  <c r="CT167" i="16"/>
  <c r="CT168" i="16" s="1"/>
  <c r="CT171" i="16" s="1"/>
  <c r="V174" i="16" s="1"/>
  <c r="CV167" i="16"/>
  <c r="CV168" i="16" s="1"/>
  <c r="CV171" i="16" s="1"/>
  <c r="CZ167" i="16"/>
  <c r="CZ168" i="16" s="1"/>
  <c r="CZ171" i="16" s="1"/>
  <c r="CW167" i="16"/>
  <c r="CW168" i="16" s="1"/>
  <c r="CW171" i="16" s="1"/>
  <c r="J173" i="29"/>
  <c r="K82" i="22"/>
  <c r="K167" i="22"/>
  <c r="H167" i="22"/>
  <c r="H82" i="22"/>
  <c r="G83" i="22"/>
  <c r="G168" i="22"/>
  <c r="AI172" i="16"/>
  <c r="AM159" i="30"/>
  <c r="AM158" i="30"/>
  <c r="J159" i="28"/>
  <c r="J157" i="28"/>
  <c r="AX279" i="1"/>
  <c r="AL106" i="30"/>
  <c r="AB346" i="1"/>
  <c r="AB338" i="1"/>
  <c r="AB341" i="1"/>
  <c r="AB342" i="1"/>
  <c r="AB340" i="1"/>
  <c r="J159" i="21"/>
  <c r="J157" i="21"/>
  <c r="AO272" i="1"/>
  <c r="Q106" i="30"/>
  <c r="Y346" i="1"/>
  <c r="H115" i="25"/>
  <c r="H114" i="25"/>
  <c r="T130" i="30"/>
  <c r="T127" i="30"/>
  <c r="T124" i="30"/>
  <c r="AH346" i="1"/>
  <c r="V21" i="22"/>
  <c r="P339" i="1"/>
  <c r="P343" i="1"/>
  <c r="K71" i="21"/>
  <c r="K70" i="21"/>
  <c r="K69" i="21"/>
  <c r="H133" i="29" s="1"/>
  <c r="K72" i="21"/>
  <c r="V92" i="15"/>
  <c r="R92" i="15"/>
  <c r="Y92" i="15"/>
  <c r="U92" i="15"/>
  <c r="Q92" i="15"/>
  <c r="X92" i="15"/>
  <c r="T92" i="15"/>
  <c r="F92" i="15"/>
  <c r="W92" i="15"/>
  <c r="S92" i="15"/>
  <c r="Z92" i="15"/>
  <c r="V91" i="15"/>
  <c r="R91" i="15"/>
  <c r="Y91" i="15"/>
  <c r="U91" i="15"/>
  <c r="Q91" i="15"/>
  <c r="X91" i="15"/>
  <c r="T91" i="15"/>
  <c r="S91" i="15"/>
  <c r="F91" i="15"/>
  <c r="W91" i="15"/>
  <c r="Z91" i="15"/>
  <c r="V89" i="15"/>
  <c r="R89" i="15"/>
  <c r="Y89" i="15"/>
  <c r="U89" i="15"/>
  <c r="Q89" i="15"/>
  <c r="X89" i="15"/>
  <c r="T89" i="15"/>
  <c r="W89" i="15"/>
  <c r="S89" i="15"/>
  <c r="F89" i="15"/>
  <c r="Z89" i="15"/>
  <c r="H82" i="27"/>
  <c r="H167" i="27"/>
  <c r="K82" i="27"/>
  <c r="K167" i="27"/>
  <c r="I82" i="27"/>
  <c r="I167" i="27"/>
  <c r="K84" i="24"/>
  <c r="K169" i="24"/>
  <c r="I83" i="24"/>
  <c r="I168" i="24"/>
  <c r="H83" i="24"/>
  <c r="H168" i="24"/>
  <c r="G84" i="24"/>
  <c r="G169" i="24"/>
  <c r="G82" i="2"/>
  <c r="G167" i="2"/>
  <c r="I84" i="2"/>
  <c r="I169" i="2"/>
  <c r="K82" i="2"/>
  <c r="K167" i="2"/>
  <c r="V341" i="1"/>
  <c r="AS172" i="16"/>
  <c r="AA172" i="16"/>
  <c r="AD147" i="1"/>
  <c r="AK342" i="1"/>
  <c r="AK338" i="1"/>
  <c r="J340" i="1"/>
  <c r="V340" i="1"/>
  <c r="H82" i="19"/>
  <c r="H167" i="19"/>
  <c r="H167" i="26"/>
  <c r="H82" i="26"/>
  <c r="I82" i="21"/>
  <c r="I167" i="21"/>
  <c r="G169" i="21"/>
  <c r="G84" i="21"/>
  <c r="D404" i="1"/>
  <c r="D401" i="1"/>
  <c r="D403" i="1"/>
  <c r="D402" i="1"/>
  <c r="D124" i="15"/>
  <c r="G82" i="25"/>
  <c r="G167" i="25"/>
  <c r="I84" i="25"/>
  <c r="I169" i="25"/>
  <c r="I84" i="18"/>
  <c r="I169" i="18"/>
  <c r="G82" i="23"/>
  <c r="G167" i="23"/>
  <c r="I83" i="23"/>
  <c r="I168" i="23"/>
  <c r="K84" i="20"/>
  <c r="K169" i="20"/>
  <c r="K82" i="28"/>
  <c r="K167" i="28"/>
  <c r="H167" i="28"/>
  <c r="H82" i="28"/>
  <c r="N106" i="30"/>
  <c r="V13" i="28"/>
  <c r="D12" i="28"/>
  <c r="C12" i="28" s="1"/>
  <c r="H115" i="19"/>
  <c r="H114" i="19"/>
  <c r="N105" i="30"/>
  <c r="K83" i="22"/>
  <c r="K168" i="22"/>
  <c r="G82" i="22"/>
  <c r="G167" i="22"/>
  <c r="J341" i="1"/>
  <c r="M246" i="1"/>
  <c r="AI142" i="1"/>
  <c r="AI143" i="1" s="1"/>
  <c r="V90" i="15"/>
  <c r="R90" i="15"/>
  <c r="Y90" i="15"/>
  <c r="U90" i="15"/>
  <c r="Q90" i="15"/>
  <c r="X90" i="15"/>
  <c r="T90" i="15"/>
  <c r="W90" i="15"/>
  <c r="S90" i="15"/>
  <c r="F90" i="15"/>
  <c r="Z90" i="15"/>
  <c r="H167" i="24"/>
  <c r="H82" i="24"/>
  <c r="K84" i="2"/>
  <c r="K169" i="2"/>
  <c r="N107" i="30"/>
  <c r="AM162" i="30"/>
  <c r="AM163" i="30"/>
  <c r="J159" i="23"/>
  <c r="J157" i="23"/>
  <c r="E279" i="1"/>
  <c r="L130" i="14"/>
  <c r="AI123" i="14"/>
  <c r="AG123" i="14"/>
  <c r="I135" i="2"/>
  <c r="H135" i="2"/>
  <c r="G135" i="2"/>
  <c r="Y339" i="1"/>
  <c r="R8" i="29"/>
  <c r="G82" i="19"/>
  <c r="G167" i="19"/>
  <c r="K168" i="19"/>
  <c r="K83" i="19"/>
  <c r="I83" i="19"/>
  <c r="I168" i="19"/>
  <c r="K83" i="26"/>
  <c r="K168" i="26"/>
  <c r="I83" i="26"/>
  <c r="I168" i="26"/>
  <c r="H84" i="26"/>
  <c r="H169" i="26"/>
  <c r="G82" i="21"/>
  <c r="G167" i="21"/>
  <c r="K83" i="21"/>
  <c r="K168" i="21"/>
  <c r="Y375" i="1"/>
  <c r="V249" i="1"/>
  <c r="AA120" i="30"/>
  <c r="C195" i="2"/>
  <c r="H84" i="25"/>
  <c r="H169" i="25"/>
  <c r="G84" i="25"/>
  <c r="G169" i="25"/>
  <c r="I82" i="25"/>
  <c r="I167" i="25"/>
  <c r="I82" i="18"/>
  <c r="I167" i="18"/>
  <c r="H83" i="18"/>
  <c r="H168" i="18"/>
  <c r="G84" i="18"/>
  <c r="G169" i="18"/>
  <c r="I114" i="27"/>
  <c r="I115" i="27"/>
  <c r="R173" i="29"/>
  <c r="R174" i="29"/>
  <c r="V246" i="1"/>
  <c r="Y341" i="1"/>
  <c r="AH340" i="1"/>
  <c r="G134" i="29"/>
  <c r="N70" i="20"/>
  <c r="C174" i="30"/>
  <c r="C175" i="30"/>
  <c r="S173" i="30"/>
  <c r="P173" i="30"/>
  <c r="AG173" i="30"/>
  <c r="M173" i="30"/>
  <c r="AD173" i="30"/>
  <c r="J173" i="30"/>
  <c r="AA173" i="30"/>
  <c r="AR60" i="14"/>
  <c r="AS59" i="14"/>
  <c r="AQ72" i="14"/>
  <c r="H84" i="23"/>
  <c r="H169" i="23"/>
  <c r="G84" i="23"/>
  <c r="G169" i="23"/>
  <c r="G83" i="20"/>
  <c r="G168" i="20"/>
  <c r="K82" i="20"/>
  <c r="K167" i="20"/>
  <c r="I82" i="20"/>
  <c r="I167" i="20"/>
  <c r="H83" i="20"/>
  <c r="H168" i="20"/>
  <c r="K84" i="28"/>
  <c r="K169" i="28"/>
  <c r="I84" i="28"/>
  <c r="I169" i="28"/>
  <c r="H169" i="28"/>
  <c r="H84" i="28"/>
  <c r="V342" i="1"/>
  <c r="M342" i="1"/>
  <c r="K84" i="22"/>
  <c r="K169" i="22"/>
  <c r="I82" i="22"/>
  <c r="I167" i="22"/>
  <c r="H83" i="22"/>
  <c r="H168" i="22"/>
  <c r="G84" i="22"/>
  <c r="G169" i="22"/>
  <c r="D252" i="1"/>
  <c r="D263" i="1" s="1"/>
  <c r="G342" i="1"/>
  <c r="G339" i="1"/>
  <c r="G340" i="1"/>
  <c r="G338" i="1"/>
  <c r="G343" i="1"/>
  <c r="AN167" i="30"/>
  <c r="AK343" i="1"/>
  <c r="V12" i="19"/>
  <c r="D11" i="19"/>
  <c r="C11" i="19" s="1"/>
  <c r="I114" i="25"/>
  <c r="I115" i="25"/>
  <c r="S69" i="18"/>
  <c r="G79" i="18"/>
  <c r="U69" i="18" s="1"/>
  <c r="AH341" i="1"/>
  <c r="P346" i="1"/>
  <c r="M346" i="1"/>
  <c r="H141" i="29"/>
  <c r="G78" i="21"/>
  <c r="G77" i="21" s="1"/>
  <c r="Y25" i="15"/>
  <c r="U25" i="15"/>
  <c r="Q25" i="15"/>
  <c r="X25" i="15"/>
  <c r="T25" i="15"/>
  <c r="W25" i="15"/>
  <c r="S25" i="15"/>
  <c r="R25" i="15"/>
  <c r="Z25" i="15"/>
  <c r="F25" i="15"/>
  <c r="V25" i="15"/>
  <c r="Y26" i="15"/>
  <c r="U26" i="15"/>
  <c r="Q26" i="15"/>
  <c r="X26" i="15"/>
  <c r="T26" i="15"/>
  <c r="F26" i="15"/>
  <c r="Z26" i="15"/>
  <c r="W26" i="15"/>
  <c r="S26" i="15"/>
  <c r="V26" i="15"/>
  <c r="R26" i="15"/>
  <c r="Y23" i="15"/>
  <c r="U23" i="15"/>
  <c r="Q23" i="15"/>
  <c r="X23" i="15"/>
  <c r="T23" i="15"/>
  <c r="W23" i="15"/>
  <c r="S23" i="15"/>
  <c r="R23" i="15"/>
  <c r="Z23" i="15"/>
  <c r="F23" i="15"/>
  <c r="V23" i="15"/>
  <c r="G82" i="27"/>
  <c r="G167" i="27"/>
  <c r="K83" i="27"/>
  <c r="K168" i="27"/>
  <c r="I83" i="27"/>
  <c r="I168" i="27"/>
  <c r="K83" i="24"/>
  <c r="K168" i="24"/>
  <c r="I84" i="24"/>
  <c r="I169" i="24"/>
  <c r="H84" i="24"/>
  <c r="H169" i="24"/>
  <c r="G168" i="2"/>
  <c r="G83" i="2"/>
  <c r="K83" i="2"/>
  <c r="K168" i="2"/>
  <c r="H83" i="2"/>
  <c r="H168" i="2"/>
  <c r="BG171" i="16"/>
  <c r="BG168" i="16" s="1"/>
  <c r="Q107" i="30"/>
  <c r="AH248" i="1"/>
  <c r="L136" i="14"/>
  <c r="AI129" i="14"/>
  <c r="AG129" i="14"/>
  <c r="H135" i="22"/>
  <c r="G135" i="22"/>
  <c r="I135" i="22"/>
  <c r="Y340" i="1"/>
  <c r="G114" i="21"/>
  <c r="G115" i="21"/>
  <c r="Y338" i="1"/>
  <c r="G346" i="1"/>
  <c r="V339" i="1"/>
  <c r="V343" i="1"/>
  <c r="E119" i="14"/>
  <c r="B118" i="14"/>
  <c r="C118" i="14"/>
  <c r="D118" i="14" s="1"/>
  <c r="AN118" i="14"/>
  <c r="L118" i="14"/>
  <c r="Q118" i="14"/>
  <c r="H117" i="15"/>
  <c r="J118" i="14"/>
  <c r="P261" i="1"/>
  <c r="P245" i="1"/>
  <c r="J174" i="29"/>
  <c r="K77" i="2"/>
  <c r="C144" i="29"/>
  <c r="AN171" i="30"/>
  <c r="F8" i="29"/>
  <c r="R11" i="29"/>
  <c r="N8" i="29"/>
  <c r="H83" i="19"/>
  <c r="H168" i="19"/>
  <c r="G83" i="19"/>
  <c r="G168" i="19"/>
  <c r="K169" i="19"/>
  <c r="K84" i="19"/>
  <c r="I84" i="19"/>
  <c r="I169" i="19"/>
  <c r="I84" i="26"/>
  <c r="I169" i="26"/>
  <c r="G82" i="26"/>
  <c r="G167" i="26"/>
  <c r="I83" i="21"/>
  <c r="I168" i="21"/>
  <c r="H82" i="21"/>
  <c r="H167" i="21"/>
  <c r="G168" i="21"/>
  <c r="G83" i="21"/>
  <c r="K84" i="21"/>
  <c r="K169" i="21"/>
  <c r="AP172" i="16"/>
  <c r="M252" i="1"/>
  <c r="V13" i="18"/>
  <c r="D12" i="18"/>
  <c r="C12" i="18" s="1"/>
  <c r="AM154" i="30"/>
  <c r="E150" i="18"/>
  <c r="E150" i="19"/>
  <c r="E150" i="20"/>
  <c r="E150" i="22"/>
  <c r="E150" i="21"/>
  <c r="S408" i="1"/>
  <c r="M408" i="1"/>
  <c r="P408" i="1"/>
  <c r="G408" i="1"/>
  <c r="J408" i="1"/>
  <c r="V12" i="26"/>
  <c r="D11" i="26"/>
  <c r="C11" i="26" s="1"/>
  <c r="H115" i="26"/>
  <c r="H114" i="26"/>
  <c r="K82" i="25"/>
  <c r="K167" i="25"/>
  <c r="I83" i="25"/>
  <c r="I168" i="25"/>
  <c r="I83" i="18"/>
  <c r="I168" i="18"/>
  <c r="H84" i="18"/>
  <c r="H169" i="18"/>
  <c r="V13" i="25"/>
  <c r="D12" i="25"/>
  <c r="C12" i="25" s="1"/>
  <c r="D136" i="29"/>
  <c r="D137" i="29" s="1"/>
  <c r="N72" i="18"/>
  <c r="D246" i="1"/>
  <c r="D261" i="1" s="1"/>
  <c r="N246" i="28"/>
  <c r="N258" i="28" s="1"/>
  <c r="AH338" i="1"/>
  <c r="N71" i="19"/>
  <c r="H83" i="23"/>
  <c r="H168" i="23"/>
  <c r="K167" i="23"/>
  <c r="K82" i="23"/>
  <c r="I82" i="23"/>
  <c r="I167" i="23"/>
  <c r="K83" i="20"/>
  <c r="K168" i="20"/>
  <c r="I168" i="20"/>
  <c r="I83" i="20"/>
  <c r="H84" i="20"/>
  <c r="H169" i="20"/>
  <c r="K83" i="28"/>
  <c r="K168" i="28"/>
  <c r="G82" i="28"/>
  <c r="G167" i="28"/>
  <c r="V346" i="1"/>
  <c r="AH342" i="1"/>
  <c r="I83" i="22"/>
  <c r="I168" i="22"/>
  <c r="H84" i="22"/>
  <c r="H169" i="22"/>
  <c r="H114" i="24"/>
  <c r="H115" i="24"/>
  <c r="G135" i="28"/>
  <c r="H135" i="28"/>
  <c r="I135" i="28"/>
  <c r="D340" i="1"/>
  <c r="AM166" i="30"/>
  <c r="AM167" i="30"/>
  <c r="J373" i="1"/>
  <c r="AK249" i="1"/>
  <c r="G114" i="25"/>
  <c r="G115" i="25"/>
  <c r="G271" i="28"/>
  <c r="T69" i="18"/>
  <c r="D149" i="29"/>
  <c r="P342" i="1"/>
  <c r="M339" i="1"/>
  <c r="C85" i="16"/>
  <c r="I157" i="16"/>
  <c r="Y24" i="15"/>
  <c r="U24" i="15"/>
  <c r="Q24" i="15"/>
  <c r="X24" i="15"/>
  <c r="T24" i="15"/>
  <c r="W24" i="15"/>
  <c r="S24" i="15"/>
  <c r="Z24" i="15"/>
  <c r="V24" i="15"/>
  <c r="R24" i="15"/>
  <c r="F24" i="15"/>
  <c r="D93" i="15"/>
  <c r="V88" i="15"/>
  <c r="R88" i="15"/>
  <c r="Y88" i="15"/>
  <c r="U88" i="15"/>
  <c r="Q88" i="15"/>
  <c r="X88" i="15"/>
  <c r="T88" i="15"/>
  <c r="F88" i="15"/>
  <c r="W88" i="15"/>
  <c r="Z88" i="15"/>
  <c r="S88" i="15"/>
  <c r="D27" i="15"/>
  <c r="Y22" i="15"/>
  <c r="U22" i="15"/>
  <c r="Q22" i="15"/>
  <c r="X22" i="15"/>
  <c r="T22" i="15"/>
  <c r="W22" i="15"/>
  <c r="S22" i="15"/>
  <c r="Z22" i="15"/>
  <c r="V22" i="15"/>
  <c r="R22" i="15"/>
  <c r="F22" i="15"/>
  <c r="H84" i="27"/>
  <c r="H169" i="27"/>
  <c r="G83" i="27"/>
  <c r="G168" i="27"/>
  <c r="K169" i="27"/>
  <c r="K84" i="27"/>
  <c r="I84" i="27"/>
  <c r="I169" i="27"/>
  <c r="K82" i="24"/>
  <c r="K167" i="24"/>
  <c r="G82" i="24"/>
  <c r="G167" i="24"/>
  <c r="H82" i="2"/>
  <c r="H167" i="2"/>
  <c r="H84" i="2"/>
  <c r="H169" i="2"/>
  <c r="I82" i="2"/>
  <c r="I167" i="2"/>
  <c r="T69" i="19"/>
  <c r="G272" i="28"/>
  <c r="E149" i="29"/>
  <c r="W105" i="30"/>
  <c r="D338" i="1"/>
  <c r="J376" i="1" l="1"/>
  <c r="I114" i="24"/>
  <c r="AE324" i="1"/>
  <c r="S375" i="1"/>
  <c r="AB248" i="1"/>
  <c r="P316" i="1"/>
  <c r="G326" i="1"/>
  <c r="AE374" i="1"/>
  <c r="S372" i="1"/>
  <c r="J356" i="1"/>
  <c r="P370" i="1"/>
  <c r="D12" i="21"/>
  <c r="C12" i="21" s="1"/>
  <c r="AE363" i="1"/>
  <c r="G115" i="19"/>
  <c r="Y369" i="1"/>
  <c r="AH331" i="1"/>
  <c r="M310" i="1"/>
  <c r="AB376" i="1"/>
  <c r="AB363" i="1"/>
  <c r="AE371" i="1"/>
  <c r="AE376" i="1"/>
  <c r="AH324" i="1"/>
  <c r="G115" i="24"/>
  <c r="AE369" i="1"/>
  <c r="AE358" i="1"/>
  <c r="G372" i="1"/>
  <c r="AE373" i="1"/>
  <c r="AK373" i="1"/>
  <c r="V316" i="1"/>
  <c r="AE370" i="1"/>
  <c r="AE357" i="1"/>
  <c r="G371" i="1"/>
  <c r="AH312" i="1"/>
  <c r="S309" i="1"/>
  <c r="G316" i="1"/>
  <c r="G248" i="1"/>
  <c r="D316" i="1"/>
  <c r="J369" i="1"/>
  <c r="AE329" i="1"/>
  <c r="AB360" i="1"/>
  <c r="AH363" i="1"/>
  <c r="J359" i="1"/>
  <c r="G363" i="1"/>
  <c r="AB371" i="1"/>
  <c r="Y313" i="1"/>
  <c r="V13" i="27"/>
  <c r="D12" i="27"/>
  <c r="C12" i="27" s="1"/>
  <c r="AH329" i="1"/>
  <c r="AE325" i="1"/>
  <c r="Y371" i="1"/>
  <c r="AH309" i="1"/>
  <c r="J360" i="1"/>
  <c r="AE332" i="1"/>
  <c r="J363" i="1"/>
  <c r="AB372" i="1"/>
  <c r="AB370" i="1"/>
  <c r="AE313" i="1"/>
  <c r="S332" i="1"/>
  <c r="J371" i="1"/>
  <c r="AE316" i="1"/>
  <c r="Y374" i="1"/>
  <c r="J370" i="1"/>
  <c r="AE330" i="1"/>
  <c r="AH251" i="1"/>
  <c r="G356" i="1"/>
  <c r="J312" i="1"/>
  <c r="Y359" i="1"/>
  <c r="Y356" i="1"/>
  <c r="AE311" i="1"/>
  <c r="AE327" i="1"/>
  <c r="AE308" i="1"/>
  <c r="G376" i="1"/>
  <c r="J358" i="1"/>
  <c r="AH316" i="1"/>
  <c r="J372" i="1"/>
  <c r="Y245" i="1"/>
  <c r="AE328" i="1"/>
  <c r="Y370" i="1"/>
  <c r="AB373" i="1"/>
  <c r="AB375" i="1"/>
  <c r="J375" i="1"/>
  <c r="AE312" i="1"/>
  <c r="J374" i="1"/>
  <c r="AE326" i="1"/>
  <c r="N256" i="28"/>
  <c r="N255" i="28" s="1"/>
  <c r="N259" i="28" s="1"/>
  <c r="O259" i="28" s="1"/>
  <c r="AH261" i="1"/>
  <c r="Y324" i="1"/>
  <c r="P263" i="1"/>
  <c r="Y327" i="1"/>
  <c r="Y357" i="1"/>
  <c r="S376" i="1"/>
  <c r="S356" i="1"/>
  <c r="Y329" i="1"/>
  <c r="Y360" i="1"/>
  <c r="J325" i="1"/>
  <c r="AK358" i="1"/>
  <c r="J308" i="1"/>
  <c r="Y326" i="1"/>
  <c r="S370" i="1"/>
  <c r="S369" i="1"/>
  <c r="Y311" i="1"/>
  <c r="AK328" i="1"/>
  <c r="Y262" i="1"/>
  <c r="AB332" i="1"/>
  <c r="D328" i="1"/>
  <c r="Y376" i="1"/>
  <c r="Y325" i="1"/>
  <c r="AH360" i="1"/>
  <c r="Y358" i="1"/>
  <c r="S371" i="1"/>
  <c r="S357" i="1"/>
  <c r="P313" i="1"/>
  <c r="D329" i="1"/>
  <c r="AE261" i="1"/>
  <c r="H114" i="21"/>
  <c r="P360" i="1"/>
  <c r="J261" i="1"/>
  <c r="V408" i="1"/>
  <c r="V403" i="1" s="1"/>
  <c r="S248" i="1"/>
  <c r="G263" i="1"/>
  <c r="AE262" i="1"/>
  <c r="V376" i="1"/>
  <c r="P328" i="1"/>
  <c r="P358" i="1"/>
  <c r="AH332" i="1"/>
  <c r="AH357" i="1"/>
  <c r="S261" i="1"/>
  <c r="AB358" i="1"/>
  <c r="AB357" i="1"/>
  <c r="AB369" i="1"/>
  <c r="AK357" i="1"/>
  <c r="H115" i="27"/>
  <c r="G115" i="26"/>
  <c r="S263" i="1"/>
  <c r="AH326" i="1"/>
  <c r="AB326" i="1"/>
  <c r="AH374" i="1"/>
  <c r="M324" i="1"/>
  <c r="AB263" i="1"/>
  <c r="J330" i="1"/>
  <c r="J309" i="1"/>
  <c r="AE263" i="1"/>
  <c r="M308" i="1"/>
  <c r="AB261" i="1"/>
  <c r="AH308" i="1"/>
  <c r="AH376" i="1"/>
  <c r="AH313" i="1"/>
  <c r="M325" i="1"/>
  <c r="AB374" i="1"/>
  <c r="AB359" i="1"/>
  <c r="AB356" i="1"/>
  <c r="AH310" i="1"/>
  <c r="S310" i="1"/>
  <c r="AB308" i="1"/>
  <c r="D375" i="1"/>
  <c r="J326" i="1"/>
  <c r="P311" i="1"/>
  <c r="J329" i="1"/>
  <c r="D324" i="1"/>
  <c r="G329" i="1"/>
  <c r="J332" i="1"/>
  <c r="Y332" i="1"/>
  <c r="D363" i="1"/>
  <c r="Y316" i="1"/>
  <c r="AH370" i="1"/>
  <c r="P308" i="1"/>
  <c r="S359" i="1"/>
  <c r="S360" i="1"/>
  <c r="S373" i="1"/>
  <c r="S363" i="1"/>
  <c r="S326" i="1"/>
  <c r="Y328" i="1"/>
  <c r="AB329" i="1"/>
  <c r="D369" i="1"/>
  <c r="G331" i="1"/>
  <c r="AE359" i="1"/>
  <c r="G370" i="1"/>
  <c r="G358" i="1"/>
  <c r="G374" i="1"/>
  <c r="AE375" i="1"/>
  <c r="Y309" i="1"/>
  <c r="Y331" i="1"/>
  <c r="J331" i="1"/>
  <c r="AE356" i="1"/>
  <c r="G357" i="1"/>
  <c r="Y312" i="1"/>
  <c r="J313" i="1"/>
  <c r="J327" i="1"/>
  <c r="AH372" i="1"/>
  <c r="AE360" i="1"/>
  <c r="Y310" i="1"/>
  <c r="AH375" i="1"/>
  <c r="AE372" i="1"/>
  <c r="S358" i="1"/>
  <c r="AK356" i="1"/>
  <c r="S312" i="1"/>
  <c r="AH371" i="1"/>
  <c r="T9" i="29"/>
  <c r="G310" i="1"/>
  <c r="G360" i="1"/>
  <c r="G369" i="1"/>
  <c r="M312" i="1"/>
  <c r="J311" i="1"/>
  <c r="J324" i="1"/>
  <c r="J316" i="1"/>
  <c r="J328" i="1"/>
  <c r="J310" i="1"/>
  <c r="T175" i="29"/>
  <c r="V251" i="1"/>
  <c r="AO163" i="30"/>
  <c r="V162" i="30" s="1"/>
  <c r="P248" i="1"/>
  <c r="T118" i="29"/>
  <c r="E142" i="29"/>
  <c r="J251" i="1"/>
  <c r="M328" i="1"/>
  <c r="G115" i="27"/>
  <c r="I114" i="19"/>
  <c r="M311" i="1"/>
  <c r="P310" i="1"/>
  <c r="P331" i="1"/>
  <c r="P332" i="1"/>
  <c r="P325" i="1"/>
  <c r="AK372" i="1"/>
  <c r="AK363" i="1"/>
  <c r="AK371" i="1"/>
  <c r="M332" i="1"/>
  <c r="G328" i="1"/>
  <c r="G327" i="1"/>
  <c r="G330" i="1"/>
  <c r="G309" i="1"/>
  <c r="M326" i="1"/>
  <c r="Y363" i="1"/>
  <c r="Y372" i="1"/>
  <c r="G325" i="1"/>
  <c r="G312" i="1"/>
  <c r="G324" i="1"/>
  <c r="G308" i="1"/>
  <c r="M329" i="1"/>
  <c r="Y373" i="1"/>
  <c r="Y330" i="1"/>
  <c r="Y308" i="1"/>
  <c r="M331" i="1"/>
  <c r="M330" i="1"/>
  <c r="Y251" i="1"/>
  <c r="P326" i="1"/>
  <c r="P312" i="1"/>
  <c r="P309" i="1"/>
  <c r="P329" i="1"/>
  <c r="M309" i="1"/>
  <c r="AK376" i="1"/>
  <c r="AK359" i="1"/>
  <c r="AK374" i="1"/>
  <c r="M313" i="1"/>
  <c r="N73" i="19"/>
  <c r="M316" i="1"/>
  <c r="P327" i="1"/>
  <c r="P330" i="1"/>
  <c r="P324" i="1"/>
  <c r="M327" i="1"/>
  <c r="AK360" i="1"/>
  <c r="AK375" i="1"/>
  <c r="G313" i="1"/>
  <c r="G311" i="1"/>
  <c r="G332" i="1"/>
  <c r="G373" i="1"/>
  <c r="G375" i="1"/>
  <c r="G359" i="1"/>
  <c r="AB327" i="1"/>
  <c r="J248" i="1"/>
  <c r="J262" i="1"/>
  <c r="G245" i="1"/>
  <c r="T172" i="29"/>
  <c r="T174" i="29"/>
  <c r="AN346" i="1"/>
  <c r="AN175" i="30"/>
  <c r="E150" i="23"/>
  <c r="AO159" i="30"/>
  <c r="W157" i="30" s="1"/>
  <c r="T173" i="29"/>
  <c r="AO107" i="30"/>
  <c r="V369" i="1"/>
  <c r="BG172" i="16"/>
  <c r="BG169" i="16" s="1"/>
  <c r="D330" i="1"/>
  <c r="AN341" i="1"/>
  <c r="AO106" i="30"/>
  <c r="D309" i="1"/>
  <c r="S331" i="1"/>
  <c r="S329" i="1"/>
  <c r="S308" i="1"/>
  <c r="S316" i="1"/>
  <c r="AB328" i="1"/>
  <c r="AB310" i="1"/>
  <c r="AB311" i="1"/>
  <c r="AB331" i="1"/>
  <c r="V359" i="1"/>
  <c r="AH311" i="1"/>
  <c r="AH328" i="1"/>
  <c r="AH330" i="1"/>
  <c r="AH327" i="1"/>
  <c r="AH325" i="1"/>
  <c r="C12" i="24"/>
  <c r="AO101" i="30"/>
  <c r="V14" i="20"/>
  <c r="D13" i="20"/>
  <c r="AK245" i="1"/>
  <c r="D332" i="1"/>
  <c r="S313" i="1"/>
  <c r="S324" i="1"/>
  <c r="S328" i="1"/>
  <c r="S330" i="1"/>
  <c r="AB312" i="1"/>
  <c r="AB325" i="1"/>
  <c r="AB330" i="1"/>
  <c r="AB309" i="1"/>
  <c r="AO103" i="30"/>
  <c r="V14" i="24"/>
  <c r="D13" i="24"/>
  <c r="I115" i="21"/>
  <c r="V373" i="1"/>
  <c r="D327" i="1"/>
  <c r="AN339" i="1"/>
  <c r="V356" i="1"/>
  <c r="D310" i="1"/>
  <c r="V374" i="1"/>
  <c r="D312" i="1"/>
  <c r="AN343" i="1"/>
  <c r="AN342" i="1"/>
  <c r="AK370" i="1"/>
  <c r="AK369" i="1"/>
  <c r="S327" i="1"/>
  <c r="S325" i="1"/>
  <c r="S311" i="1"/>
  <c r="AB324" i="1"/>
  <c r="AB313" i="1"/>
  <c r="AB316" i="1"/>
  <c r="AH373" i="1"/>
  <c r="AH359" i="1"/>
  <c r="AH369" i="1"/>
  <c r="AH356" i="1"/>
  <c r="AO104" i="30"/>
  <c r="AO102" i="30"/>
  <c r="C12" i="20"/>
  <c r="AG145" i="1"/>
  <c r="G39" i="1" s="1"/>
  <c r="AF145" i="1"/>
  <c r="AH145" i="1"/>
  <c r="G40" i="1" s="1"/>
  <c r="AI145" i="1"/>
  <c r="G41" i="1" s="1"/>
  <c r="S69" i="21"/>
  <c r="G79" i="21"/>
  <c r="U69" i="21" s="1"/>
  <c r="S70" i="19"/>
  <c r="H79" i="19"/>
  <c r="U70" i="19" s="1"/>
  <c r="I114" i="28"/>
  <c r="I115" i="28"/>
  <c r="V311" i="1"/>
  <c r="V329" i="1"/>
  <c r="V326" i="1"/>
  <c r="V327" i="1"/>
  <c r="V310" i="1"/>
  <c r="AK324" i="1"/>
  <c r="E144" i="29"/>
  <c r="K77" i="19"/>
  <c r="S69" i="20"/>
  <c r="G79" i="20"/>
  <c r="U69" i="20" s="1"/>
  <c r="D357" i="1"/>
  <c r="I114" i="18"/>
  <c r="I115" i="18"/>
  <c r="V14" i="21"/>
  <c r="J170" i="16"/>
  <c r="V15" i="2"/>
  <c r="D14" i="2"/>
  <c r="C14" i="2" s="1"/>
  <c r="G144" i="29"/>
  <c r="K77" i="20"/>
  <c r="T70" i="2"/>
  <c r="H270" i="28"/>
  <c r="C150" i="29"/>
  <c r="G115" i="20"/>
  <c r="G114" i="20"/>
  <c r="P356" i="1"/>
  <c r="P374" i="1"/>
  <c r="P371" i="1"/>
  <c r="P373" i="1"/>
  <c r="W27" i="15"/>
  <c r="S27" i="15"/>
  <c r="Z27" i="15"/>
  <c r="V27" i="15"/>
  <c r="R27" i="15"/>
  <c r="Y27" i="15"/>
  <c r="U27" i="15"/>
  <c r="Q27" i="15"/>
  <c r="T27" i="15"/>
  <c r="F27" i="15"/>
  <c r="X27" i="15"/>
  <c r="V330" i="1"/>
  <c r="AN340" i="1"/>
  <c r="H114" i="28"/>
  <c r="H115" i="28"/>
  <c r="I265" i="28"/>
  <c r="S258" i="28" s="1"/>
  <c r="D302" i="1"/>
  <c r="G302" i="1" s="1"/>
  <c r="D144" i="29"/>
  <c r="K77" i="18"/>
  <c r="V14" i="25"/>
  <c r="D13" i="25"/>
  <c r="C13" i="25" s="1"/>
  <c r="V13" i="26"/>
  <c r="D12" i="26"/>
  <c r="C12" i="26" s="1"/>
  <c r="P402" i="1"/>
  <c r="P401" i="1"/>
  <c r="P404" i="1"/>
  <c r="P407" i="1"/>
  <c r="P403" i="1"/>
  <c r="P406" i="1"/>
  <c r="P405" i="1"/>
  <c r="D128" i="15"/>
  <c r="H115" i="22"/>
  <c r="H114" i="22"/>
  <c r="AI136" i="14"/>
  <c r="AG136" i="14"/>
  <c r="L143" i="14"/>
  <c r="V309" i="1"/>
  <c r="AQ73" i="14"/>
  <c r="AQ75" i="14"/>
  <c r="AQ78" i="14"/>
  <c r="AQ74" i="14"/>
  <c r="AQ77" i="14"/>
  <c r="AQ76" i="14"/>
  <c r="AQ79" i="14"/>
  <c r="AQ80" i="14" s="1"/>
  <c r="AM175" i="30"/>
  <c r="AM174" i="30"/>
  <c r="G142" i="29"/>
  <c r="H78" i="20"/>
  <c r="H77" i="20" s="1"/>
  <c r="N73" i="20"/>
  <c r="AP120" i="30"/>
  <c r="AP121" i="30"/>
  <c r="AP122" i="30"/>
  <c r="D370" i="1"/>
  <c r="L137" i="14"/>
  <c r="AI130" i="14"/>
  <c r="AG130" i="14"/>
  <c r="V358" i="1"/>
  <c r="V371" i="1"/>
  <c r="V370" i="1"/>
  <c r="V360" i="1"/>
  <c r="V14" i="28"/>
  <c r="D13" i="28"/>
  <c r="C13" i="28" s="1"/>
  <c r="H136" i="29"/>
  <c r="N72" i="21"/>
  <c r="V22" i="22"/>
  <c r="V325" i="1"/>
  <c r="V375" i="1"/>
  <c r="AO105" i="30"/>
  <c r="C178" i="30"/>
  <c r="C179" i="30"/>
  <c r="P177" i="30"/>
  <c r="AG177" i="30"/>
  <c r="M177" i="30"/>
  <c r="AD177" i="30"/>
  <c r="J177" i="30"/>
  <c r="AA177" i="30"/>
  <c r="S177" i="30"/>
  <c r="AK329" i="1"/>
  <c r="AK316" i="1"/>
  <c r="AK331" i="1"/>
  <c r="AK327" i="1"/>
  <c r="M262" i="1"/>
  <c r="M248" i="1"/>
  <c r="Z174" i="16"/>
  <c r="AD174" i="16" s="1"/>
  <c r="BG167" i="16"/>
  <c r="AK174" i="16" s="1"/>
  <c r="BG174" i="16" s="1"/>
  <c r="D373" i="1"/>
  <c r="T71" i="2"/>
  <c r="C151" i="29"/>
  <c r="I270" i="28"/>
  <c r="H115" i="18"/>
  <c r="H114" i="18"/>
  <c r="N69" i="23"/>
  <c r="I73" i="23"/>
  <c r="I69" i="24"/>
  <c r="I114" i="23"/>
  <c r="I115" i="23"/>
  <c r="W143" i="30"/>
  <c r="H142" i="30"/>
  <c r="G387" i="1"/>
  <c r="K265" i="28"/>
  <c r="S259" i="28" s="1"/>
  <c r="M263" i="1"/>
  <c r="M251" i="1"/>
  <c r="S72" i="2"/>
  <c r="K79" i="2"/>
  <c r="U72" i="2" s="1"/>
  <c r="G274" i="28"/>
  <c r="T69" i="21"/>
  <c r="H149" i="29"/>
  <c r="M261" i="1"/>
  <c r="M245" i="1"/>
  <c r="H135" i="29"/>
  <c r="N71" i="21"/>
  <c r="E180" i="14"/>
  <c r="B179" i="14"/>
  <c r="C179" i="14"/>
  <c r="D179" i="14" s="1"/>
  <c r="AN179" i="14"/>
  <c r="J179" i="14"/>
  <c r="Q179" i="14"/>
  <c r="H178" i="15"/>
  <c r="AO181" i="30"/>
  <c r="AM185" i="30"/>
  <c r="AK311" i="1"/>
  <c r="AN338" i="1"/>
  <c r="P376" i="1"/>
  <c r="P363" i="1"/>
  <c r="P372" i="1"/>
  <c r="P357" i="1"/>
  <c r="AK248" i="1"/>
  <c r="AK262" i="1"/>
  <c r="V331" i="1"/>
  <c r="AO167" i="30"/>
  <c r="G115" i="28"/>
  <c r="G114" i="28"/>
  <c r="J402" i="1"/>
  <c r="J401" i="1"/>
  <c r="J404" i="1"/>
  <c r="J406" i="1"/>
  <c r="J403" i="1"/>
  <c r="D126" i="15"/>
  <c r="J407" i="1"/>
  <c r="J405" i="1"/>
  <c r="M402" i="1"/>
  <c r="M401" i="1"/>
  <c r="M404" i="1"/>
  <c r="M407" i="1"/>
  <c r="M403" i="1"/>
  <c r="M405" i="1"/>
  <c r="M406" i="1"/>
  <c r="D127" i="15"/>
  <c r="D371" i="1"/>
  <c r="L125" i="14"/>
  <c r="AI118" i="14"/>
  <c r="AG118" i="14"/>
  <c r="B119" i="14"/>
  <c r="E120" i="14"/>
  <c r="C119" i="14"/>
  <c r="D119" i="14" s="1"/>
  <c r="AN119" i="14"/>
  <c r="L119" i="14"/>
  <c r="Q119" i="14"/>
  <c r="H118" i="15"/>
  <c r="J119" i="14"/>
  <c r="V328" i="1"/>
  <c r="AU59" i="14"/>
  <c r="AT60" i="14"/>
  <c r="AS72" i="14"/>
  <c r="V261" i="1"/>
  <c r="V245" i="1"/>
  <c r="V313" i="1"/>
  <c r="V372" i="1"/>
  <c r="G143" i="29"/>
  <c r="I78" i="20"/>
  <c r="AK332" i="1"/>
  <c r="AK313" i="1"/>
  <c r="AK309" i="1"/>
  <c r="AK312" i="1"/>
  <c r="S71" i="2"/>
  <c r="I79" i="2"/>
  <c r="U71" i="2" s="1"/>
  <c r="G115" i="18"/>
  <c r="G114" i="18"/>
  <c r="AI124" i="14"/>
  <c r="AG124" i="14"/>
  <c r="L131" i="14"/>
  <c r="G78" i="22"/>
  <c r="G77" i="22" s="1"/>
  <c r="I141" i="29"/>
  <c r="G114" i="23"/>
  <c r="G115" i="23"/>
  <c r="C15" i="22"/>
  <c r="D16" i="22"/>
  <c r="M357" i="1"/>
  <c r="M359" i="1"/>
  <c r="M372" i="1"/>
  <c r="M370" i="1"/>
  <c r="M356" i="1"/>
  <c r="M369" i="1"/>
  <c r="M371" i="1"/>
  <c r="M374" i="1"/>
  <c r="M358" i="1"/>
  <c r="M376" i="1"/>
  <c r="M363" i="1"/>
  <c r="M373" i="1"/>
  <c r="M360" i="1"/>
  <c r="M375" i="1"/>
  <c r="H77" i="2"/>
  <c r="I114" i="20"/>
  <c r="I115" i="20"/>
  <c r="L177" i="14"/>
  <c r="AI170" i="14"/>
  <c r="AG170" i="14"/>
  <c r="V93" i="15"/>
  <c r="R93" i="15"/>
  <c r="Y93" i="15"/>
  <c r="U93" i="15"/>
  <c r="Q93" i="15"/>
  <c r="X93" i="15"/>
  <c r="T93" i="15"/>
  <c r="W93" i="15"/>
  <c r="S93" i="15"/>
  <c r="Z93" i="15"/>
  <c r="F93" i="15"/>
  <c r="G115" i="22"/>
  <c r="G114" i="22"/>
  <c r="V13" i="19"/>
  <c r="D12" i="19"/>
  <c r="C12" i="19" s="1"/>
  <c r="AK310" i="1"/>
  <c r="AK308" i="1"/>
  <c r="D359" i="1"/>
  <c r="D360" i="1"/>
  <c r="D376" i="1"/>
  <c r="D372" i="1"/>
  <c r="H272" i="28"/>
  <c r="E150" i="29"/>
  <c r="T70" i="19"/>
  <c r="I78" i="18"/>
  <c r="D143" i="29"/>
  <c r="P375" i="1"/>
  <c r="P359" i="1"/>
  <c r="P369" i="1"/>
  <c r="AA12" i="2"/>
  <c r="E143" i="29"/>
  <c r="I78" i="19"/>
  <c r="G402" i="1"/>
  <c r="G401" i="1"/>
  <c r="G405" i="1"/>
  <c r="G404" i="1"/>
  <c r="G403" i="1"/>
  <c r="G407" i="1"/>
  <c r="D125" i="15"/>
  <c r="G406" i="1"/>
  <c r="S402" i="1"/>
  <c r="S401" i="1"/>
  <c r="S403" i="1"/>
  <c r="S404" i="1"/>
  <c r="D129" i="15"/>
  <c r="S406" i="1"/>
  <c r="S405" i="1"/>
  <c r="S407" i="1"/>
  <c r="V14" i="18"/>
  <c r="D13" i="18"/>
  <c r="C13" i="18" s="1"/>
  <c r="D374" i="1"/>
  <c r="T8" i="29"/>
  <c r="G303" i="1"/>
  <c r="I114" i="22"/>
  <c r="I115" i="22"/>
  <c r="V324" i="1"/>
  <c r="D304" i="1"/>
  <c r="V262" i="1"/>
  <c r="V248" i="1"/>
  <c r="D358" i="1"/>
  <c r="H134" i="29"/>
  <c r="H137" i="29" s="1"/>
  <c r="N70" i="21"/>
  <c r="V308" i="1"/>
  <c r="V332" i="1"/>
  <c r="V158" i="30"/>
  <c r="V363" i="1"/>
  <c r="AK330" i="1"/>
  <c r="AK325" i="1"/>
  <c r="AK326" i="1"/>
  <c r="V14" i="23"/>
  <c r="D13" i="23"/>
  <c r="C13" i="23" s="1"/>
  <c r="D311" i="1"/>
  <c r="D331" i="1"/>
  <c r="D313" i="1"/>
  <c r="D308" i="1"/>
  <c r="D326" i="1"/>
  <c r="D142" i="29"/>
  <c r="H78" i="18"/>
  <c r="N73" i="18"/>
  <c r="D356" i="1"/>
  <c r="T11" i="29"/>
  <c r="K72" i="22"/>
  <c r="K71" i="22"/>
  <c r="K70" i="22"/>
  <c r="K69" i="22"/>
  <c r="I133" i="29" s="1"/>
  <c r="H115" i="23"/>
  <c r="H114" i="23"/>
  <c r="AO171" i="30"/>
  <c r="C145" i="29"/>
  <c r="H114" i="20"/>
  <c r="H115" i="20"/>
  <c r="V312" i="1"/>
  <c r="V357" i="1"/>
  <c r="D325" i="1"/>
  <c r="D13" i="21" l="1"/>
  <c r="C13" i="21" s="1"/>
  <c r="H265" i="28"/>
  <c r="S257" i="28" s="1"/>
  <c r="G265" i="28"/>
  <c r="S256" i="28" s="1"/>
  <c r="V14" i="27"/>
  <c r="D13" i="27"/>
  <c r="C13" i="27" s="1"/>
  <c r="V406" i="1"/>
  <c r="V402" i="1"/>
  <c r="D130" i="15"/>
  <c r="W161" i="30"/>
  <c r="V404" i="1"/>
  <c r="V405" i="1"/>
  <c r="V401" i="1"/>
  <c r="V407" i="1"/>
  <c r="G304" i="1"/>
  <c r="J304" i="1" s="1"/>
  <c r="M304" i="1" s="1"/>
  <c r="P304" i="1" s="1"/>
  <c r="S304" i="1" s="1"/>
  <c r="V304" i="1" s="1"/>
  <c r="Y304" i="1" s="1"/>
  <c r="AB304" i="1" s="1"/>
  <c r="AE304" i="1" s="1"/>
  <c r="AH304" i="1" s="1"/>
  <c r="AK304" i="1" s="1"/>
  <c r="AN263" i="1"/>
  <c r="AN329" i="1"/>
  <c r="J303" i="1"/>
  <c r="M303" i="1" s="1"/>
  <c r="P303" i="1" s="1"/>
  <c r="S303" i="1" s="1"/>
  <c r="V303" i="1" s="1"/>
  <c r="Y303" i="1" s="1"/>
  <c r="AB303" i="1" s="1"/>
  <c r="AE303" i="1" s="1"/>
  <c r="AH303" i="1" s="1"/>
  <c r="AK303" i="1" s="1"/>
  <c r="E150" i="24"/>
  <c r="V163" i="30"/>
  <c r="V159" i="30"/>
  <c r="AN358" i="1"/>
  <c r="AN327" i="1"/>
  <c r="AN376" i="1"/>
  <c r="E145" i="29"/>
  <c r="E157" i="29" s="1"/>
  <c r="AN316" i="1"/>
  <c r="AN311" i="1"/>
  <c r="AN363" i="1"/>
  <c r="AN325" i="1"/>
  <c r="AN360" i="1"/>
  <c r="AN262" i="1"/>
  <c r="AO175" i="30"/>
  <c r="V175" i="30" s="1"/>
  <c r="Y408" i="1"/>
  <c r="Y404" i="1" s="1"/>
  <c r="AN326" i="1"/>
  <c r="AN332" i="1"/>
  <c r="AN179" i="30"/>
  <c r="AN356" i="1"/>
  <c r="AN369" i="1"/>
  <c r="AN328" i="1"/>
  <c r="AN330" i="1"/>
  <c r="V15" i="24"/>
  <c r="D14" i="24"/>
  <c r="AN359" i="1"/>
  <c r="AN309" i="1"/>
  <c r="AN310" i="1"/>
  <c r="C13" i="20"/>
  <c r="AN375" i="1"/>
  <c r="AN312" i="1"/>
  <c r="AN313" i="1"/>
  <c r="AN372" i="1"/>
  <c r="C13" i="24"/>
  <c r="V15" i="20"/>
  <c r="D14" i="20"/>
  <c r="C14" i="20" s="1"/>
  <c r="H142" i="29"/>
  <c r="H78" i="21"/>
  <c r="N73" i="21"/>
  <c r="C16" i="22"/>
  <c r="D17" i="22"/>
  <c r="I273" i="28"/>
  <c r="G151" i="29"/>
  <c r="T71" i="20"/>
  <c r="AS74" i="14"/>
  <c r="AS76" i="14"/>
  <c r="AS78" i="14"/>
  <c r="AS77" i="14"/>
  <c r="AS73" i="14"/>
  <c r="AS75" i="14"/>
  <c r="AS79" i="14"/>
  <c r="AS80" i="14" s="1"/>
  <c r="L126" i="14"/>
  <c r="AI119" i="14"/>
  <c r="AG119" i="14"/>
  <c r="L132" i="14"/>
  <c r="AI125" i="14"/>
  <c r="AG125" i="14"/>
  <c r="V167" i="30"/>
  <c r="V166" i="30"/>
  <c r="W165" i="30"/>
  <c r="G147" i="18"/>
  <c r="H147" i="18" s="1"/>
  <c r="I147" i="18" s="1"/>
  <c r="D147" i="18" s="1"/>
  <c r="G148" i="18"/>
  <c r="H148" i="18" s="1"/>
  <c r="I148" i="18" s="1"/>
  <c r="D148" i="18" s="1"/>
  <c r="G146" i="18"/>
  <c r="H146" i="18" s="1"/>
  <c r="I146" i="18" s="1"/>
  <c r="D146" i="18" s="1"/>
  <c r="J302" i="1"/>
  <c r="M302" i="1" s="1"/>
  <c r="K70" i="23"/>
  <c r="K72" i="23"/>
  <c r="K69" i="23"/>
  <c r="K133" i="29" s="1"/>
  <c r="K71" i="23"/>
  <c r="AF174" i="16"/>
  <c r="AI174" i="16"/>
  <c r="AG174" i="16"/>
  <c r="AJ174" i="16"/>
  <c r="AE174" i="16"/>
  <c r="AH174" i="16"/>
  <c r="V15" i="28"/>
  <c r="D14" i="28"/>
  <c r="C14" i="28" s="1"/>
  <c r="AN370" i="1"/>
  <c r="I206" i="26"/>
  <c r="K206" i="20"/>
  <c r="H206" i="28"/>
  <c r="I206" i="21"/>
  <c r="G206" i="23"/>
  <c r="K206" i="21"/>
  <c r="G206" i="18"/>
  <c r="H206" i="23"/>
  <c r="H206" i="21"/>
  <c r="G206" i="25"/>
  <c r="I206" i="2"/>
  <c r="G206" i="20"/>
  <c r="H206" i="2"/>
  <c r="H206" i="20"/>
  <c r="I206" i="18"/>
  <c r="I206" i="19"/>
  <c r="K206" i="26"/>
  <c r="K206" i="19"/>
  <c r="G206" i="19"/>
  <c r="K206" i="18"/>
  <c r="G206" i="2"/>
  <c r="G206" i="24"/>
  <c r="G206" i="28"/>
  <c r="K206" i="24"/>
  <c r="H206" i="19"/>
  <c r="H206" i="18"/>
  <c r="K206" i="2"/>
  <c r="I206" i="20"/>
  <c r="G206" i="22"/>
  <c r="I206" i="22"/>
  <c r="I206" i="25"/>
  <c r="H206" i="26"/>
  <c r="G206" i="21"/>
  <c r="H206" i="22"/>
  <c r="I206" i="28"/>
  <c r="K206" i="25"/>
  <c r="K206" i="23"/>
  <c r="G206" i="26"/>
  <c r="I206" i="23"/>
  <c r="H206" i="24"/>
  <c r="I206" i="27"/>
  <c r="I206" i="24"/>
  <c r="K206" i="27"/>
  <c r="H206" i="25"/>
  <c r="K206" i="28"/>
  <c r="K206" i="22"/>
  <c r="H206" i="27"/>
  <c r="S70" i="20"/>
  <c r="H79" i="20"/>
  <c r="U70" i="20" s="1"/>
  <c r="AI143" i="14"/>
  <c r="AG143" i="14"/>
  <c r="L150" i="14"/>
  <c r="L270" i="28"/>
  <c r="I135" i="29"/>
  <c r="N71" i="22"/>
  <c r="I272" i="28"/>
  <c r="L272" i="28" s="1"/>
  <c r="E151" i="29"/>
  <c r="E153" i="29" s="1"/>
  <c r="T71" i="19"/>
  <c r="L78" i="19" s="1"/>
  <c r="AA13" i="2"/>
  <c r="I136" i="29"/>
  <c r="N72" i="22"/>
  <c r="H271" i="28"/>
  <c r="D150" i="29"/>
  <c r="T70" i="18"/>
  <c r="AN308" i="1"/>
  <c r="AN374" i="1"/>
  <c r="I77" i="19"/>
  <c r="V14" i="19"/>
  <c r="D13" i="19"/>
  <c r="C13" i="19" s="1"/>
  <c r="S70" i="2"/>
  <c r="L77" i="2" s="1"/>
  <c r="H79" i="2"/>
  <c r="U70" i="2" s="1"/>
  <c r="N79" i="2" s="1"/>
  <c r="S69" i="22"/>
  <c r="G79" i="22"/>
  <c r="U69" i="22" s="1"/>
  <c r="I77" i="20"/>
  <c r="N27" i="30"/>
  <c r="H114" i="30" s="1"/>
  <c r="V27" i="30"/>
  <c r="N114" i="30" s="1"/>
  <c r="AE27" i="30"/>
  <c r="T114" i="30" s="1"/>
  <c r="R33" i="30"/>
  <c r="K117" i="30" s="1"/>
  <c r="AA33" i="30"/>
  <c r="Q117" i="30" s="1"/>
  <c r="AI33" i="30"/>
  <c r="W117" i="30" s="1"/>
  <c r="N39" i="30"/>
  <c r="H120" i="30" s="1"/>
  <c r="V39" i="30"/>
  <c r="N120" i="30" s="1"/>
  <c r="AE39" i="30"/>
  <c r="T120" i="30" s="1"/>
  <c r="E41" i="30"/>
  <c r="J33" i="30"/>
  <c r="E117" i="30" s="1"/>
  <c r="E30" i="30"/>
  <c r="R27" i="30"/>
  <c r="K114" i="30" s="1"/>
  <c r="AA27" i="30"/>
  <c r="Q114" i="30" s="1"/>
  <c r="AI27" i="30"/>
  <c r="W114" i="30" s="1"/>
  <c r="N33" i="30"/>
  <c r="H117" i="30" s="1"/>
  <c r="V33" i="30"/>
  <c r="N117" i="30" s="1"/>
  <c r="AE33" i="30"/>
  <c r="T117" i="30" s="1"/>
  <c r="R39" i="30"/>
  <c r="K120" i="30" s="1"/>
  <c r="AA39" i="30"/>
  <c r="Q120" i="30" s="1"/>
  <c r="AI39" i="30"/>
  <c r="W120" i="30" s="1"/>
  <c r="E36" i="30"/>
  <c r="E29" i="30"/>
  <c r="J39" i="30"/>
  <c r="E120" i="30" s="1"/>
  <c r="E35" i="30"/>
  <c r="J27" i="30"/>
  <c r="E114" i="30" s="1"/>
  <c r="E42" i="30"/>
  <c r="G78" i="23"/>
  <c r="G77" i="23" s="1"/>
  <c r="K141" i="29"/>
  <c r="AM178" i="30"/>
  <c r="AM179" i="30"/>
  <c r="V23" i="22"/>
  <c r="V15" i="25"/>
  <c r="D14" i="25"/>
  <c r="C14" i="25" s="1"/>
  <c r="I264" i="28"/>
  <c r="L78" i="2"/>
  <c r="V16" i="2"/>
  <c r="D15" i="2"/>
  <c r="C15" i="2" s="1"/>
  <c r="V15" i="21"/>
  <c r="D14" i="21"/>
  <c r="C14" i="21" s="1"/>
  <c r="S72" i="19"/>
  <c r="K79" i="19"/>
  <c r="U72" i="19" s="1"/>
  <c r="G206" i="27"/>
  <c r="T71" i="18"/>
  <c r="D151" i="29"/>
  <c r="I271" i="28"/>
  <c r="H77" i="18"/>
  <c r="AN324" i="1"/>
  <c r="L184" i="14"/>
  <c r="AI177" i="14"/>
  <c r="AG177" i="14"/>
  <c r="G275" i="28"/>
  <c r="T69" i="22"/>
  <c r="I149" i="29"/>
  <c r="AO185" i="30"/>
  <c r="AM189" i="30"/>
  <c r="E181" i="14"/>
  <c r="B180" i="14"/>
  <c r="AN180" i="14"/>
  <c r="C180" i="14"/>
  <c r="D180" i="14" s="1"/>
  <c r="Q180" i="14"/>
  <c r="H179" i="15"/>
  <c r="J180" i="14"/>
  <c r="K264" i="28"/>
  <c r="AN373" i="1"/>
  <c r="K77" i="21"/>
  <c r="H144" i="29"/>
  <c r="L144" i="14"/>
  <c r="AG137" i="14"/>
  <c r="AI137" i="14"/>
  <c r="H273" i="28"/>
  <c r="G150" i="29"/>
  <c r="T70" i="20"/>
  <c r="AN261" i="1"/>
  <c r="S72" i="20"/>
  <c r="K79" i="20"/>
  <c r="U72" i="20" s="1"/>
  <c r="AN357" i="1"/>
  <c r="V170" i="30"/>
  <c r="W169" i="30"/>
  <c r="V171" i="30"/>
  <c r="I134" i="29"/>
  <c r="I137" i="29" s="1"/>
  <c r="N70" i="22"/>
  <c r="D145" i="29"/>
  <c r="AN331" i="1"/>
  <c r="V15" i="23"/>
  <c r="D14" i="23"/>
  <c r="C14" i="23" s="1"/>
  <c r="V15" i="18"/>
  <c r="D14" i="18"/>
  <c r="C14" i="18" s="1"/>
  <c r="H264" i="28"/>
  <c r="I77" i="18"/>
  <c r="L138" i="14"/>
  <c r="AI131" i="14"/>
  <c r="AG131" i="14"/>
  <c r="AV60" i="14"/>
  <c r="AW59" i="14"/>
  <c r="AU72" i="14"/>
  <c r="E121" i="14"/>
  <c r="C120" i="14"/>
  <c r="B120" i="14"/>
  <c r="AN120" i="14"/>
  <c r="L120" i="14"/>
  <c r="H119" i="15"/>
  <c r="J120" i="14"/>
  <c r="Q120" i="14"/>
  <c r="AN371" i="1"/>
  <c r="C182" i="30"/>
  <c r="C183" i="30"/>
  <c r="M181" i="30"/>
  <c r="AD181" i="30"/>
  <c r="J181" i="30"/>
  <c r="AA181" i="30"/>
  <c r="S181" i="30"/>
  <c r="P181" i="30"/>
  <c r="AG181" i="30"/>
  <c r="H143" i="29"/>
  <c r="I78" i="21"/>
  <c r="I77" i="21" s="1"/>
  <c r="I73" i="24"/>
  <c r="N69" i="24"/>
  <c r="I69" i="25"/>
  <c r="G145" i="29"/>
  <c r="V14" i="26"/>
  <c r="D13" i="26"/>
  <c r="C13" i="26" s="1"/>
  <c r="S72" i="18"/>
  <c r="K79" i="18"/>
  <c r="U72" i="18" s="1"/>
  <c r="G146" i="2"/>
  <c r="H146" i="2" s="1"/>
  <c r="I146" i="2" s="1"/>
  <c r="D146" i="2" s="1"/>
  <c r="G147" i="2"/>
  <c r="H147" i="2" s="1"/>
  <c r="I147" i="2" s="1"/>
  <c r="D147" i="2" s="1"/>
  <c r="G148" i="2"/>
  <c r="H148" i="2" s="1"/>
  <c r="I148" i="2" s="1"/>
  <c r="D148" i="2" s="1"/>
  <c r="C153" i="29"/>
  <c r="L153" i="1"/>
  <c r="H153" i="1"/>
  <c r="T153" i="1"/>
  <c r="P153" i="1"/>
  <c r="G38" i="1"/>
  <c r="N265" i="28" l="1"/>
  <c r="AE16" i="30"/>
  <c r="T111" i="30" s="1"/>
  <c r="AI16" i="30"/>
  <c r="W111" i="30" s="1"/>
  <c r="W126" i="30" s="1"/>
  <c r="AA16" i="30"/>
  <c r="Q111" i="30" s="1"/>
  <c r="Q129" i="30" s="1"/>
  <c r="G264" i="28"/>
  <c r="R256" i="28" s="1"/>
  <c r="D14" i="27"/>
  <c r="C14" i="27" s="1"/>
  <c r="V15" i="27"/>
  <c r="E158" i="29"/>
  <c r="G153" i="29"/>
  <c r="V174" i="30"/>
  <c r="W173" i="30"/>
  <c r="E159" i="29"/>
  <c r="D131" i="15"/>
  <c r="Y407" i="1"/>
  <c r="E160" i="29"/>
  <c r="Y403" i="1"/>
  <c r="Y401" i="1"/>
  <c r="L273" i="28"/>
  <c r="L78" i="20"/>
  <c r="AE11" i="20" s="1"/>
  <c r="AB408" i="1"/>
  <c r="AB403" i="1" s="1"/>
  <c r="Y405" i="1"/>
  <c r="Y402" i="1"/>
  <c r="AO179" i="30"/>
  <c r="W177" i="30" s="1"/>
  <c r="D153" i="29"/>
  <c r="Y406" i="1"/>
  <c r="AN183" i="30"/>
  <c r="V16" i="20"/>
  <c r="D15" i="20"/>
  <c r="C15" i="20" s="1"/>
  <c r="C14" i="24"/>
  <c r="J169" i="16"/>
  <c r="V16" i="24"/>
  <c r="D15" i="24"/>
  <c r="C15" i="24" s="1"/>
  <c r="N138" i="30"/>
  <c r="Q138" i="30"/>
  <c r="H138" i="30"/>
  <c r="W138" i="30"/>
  <c r="G146" i="20"/>
  <c r="H146" i="20" s="1"/>
  <c r="I146" i="20" s="1"/>
  <c r="D146" i="20" s="1"/>
  <c r="G147" i="20"/>
  <c r="H147" i="20" s="1"/>
  <c r="I147" i="20" s="1"/>
  <c r="D147" i="20" s="1"/>
  <c r="G148" i="20"/>
  <c r="H148" i="20" s="1"/>
  <c r="I148" i="20" s="1"/>
  <c r="D148" i="20" s="1"/>
  <c r="P302" i="1"/>
  <c r="AE10" i="19"/>
  <c r="AE12" i="19"/>
  <c r="AE14" i="19"/>
  <c r="AE16" i="19"/>
  <c r="AE18" i="19"/>
  <c r="AE20" i="19"/>
  <c r="AE22" i="19"/>
  <c r="AE24" i="19"/>
  <c r="AE26" i="19"/>
  <c r="AE28" i="19"/>
  <c r="AE30" i="19"/>
  <c r="AE32" i="19"/>
  <c r="AE34" i="19"/>
  <c r="AE8" i="19"/>
  <c r="AE9" i="19"/>
  <c r="AE11" i="19"/>
  <c r="AE13" i="19"/>
  <c r="AE15" i="19"/>
  <c r="AE17" i="19"/>
  <c r="AE19" i="19"/>
  <c r="AE21" i="19"/>
  <c r="AE23" i="19"/>
  <c r="AE25" i="19"/>
  <c r="AE27" i="19"/>
  <c r="AE29" i="19"/>
  <c r="AE31" i="19"/>
  <c r="AE33" i="19"/>
  <c r="AE35" i="19"/>
  <c r="AE38" i="19"/>
  <c r="AE37" i="19"/>
  <c r="AE36" i="19"/>
  <c r="AD8" i="19"/>
  <c r="AD15" i="19"/>
  <c r="AD23" i="19"/>
  <c r="AD31" i="19"/>
  <c r="AD22" i="19"/>
  <c r="AD28" i="19"/>
  <c r="AD34" i="19"/>
  <c r="AD36" i="19"/>
  <c r="AB16" i="19"/>
  <c r="AB24" i="19"/>
  <c r="AB32" i="19"/>
  <c r="AB25" i="19"/>
  <c r="AB31" i="19"/>
  <c r="AB29" i="19"/>
  <c r="AB35" i="19"/>
  <c r="AC11" i="19"/>
  <c r="AC19" i="19"/>
  <c r="AC27" i="19"/>
  <c r="AC35" i="19"/>
  <c r="AC16" i="19"/>
  <c r="AC24" i="19"/>
  <c r="AC32" i="19"/>
  <c r="AC37" i="19"/>
  <c r="AD13" i="19"/>
  <c r="AD14" i="19"/>
  <c r="AD26" i="19"/>
  <c r="AD38" i="19"/>
  <c r="AB11" i="19"/>
  <c r="AC30" i="19"/>
  <c r="AD9" i="19"/>
  <c r="AD17" i="19"/>
  <c r="AD25" i="19"/>
  <c r="AD33" i="19"/>
  <c r="AD30" i="19"/>
  <c r="AD10" i="19"/>
  <c r="AD16" i="19"/>
  <c r="AD24" i="19"/>
  <c r="AB10" i="19"/>
  <c r="AB18" i="19"/>
  <c r="AB26" i="19"/>
  <c r="AB34" i="19"/>
  <c r="AB33" i="19"/>
  <c r="AB8" i="19"/>
  <c r="AB27" i="19"/>
  <c r="AB38" i="19"/>
  <c r="AC13" i="19"/>
  <c r="AC21" i="19"/>
  <c r="AC29" i="19"/>
  <c r="AC10" i="19"/>
  <c r="AC18" i="19"/>
  <c r="AC26" i="19"/>
  <c r="AC34" i="19"/>
  <c r="AD21" i="19"/>
  <c r="AB30" i="19"/>
  <c r="AB21" i="19"/>
  <c r="AC17" i="19"/>
  <c r="AC14" i="19"/>
  <c r="AC38" i="19"/>
  <c r="AD11" i="19"/>
  <c r="AD19" i="19"/>
  <c r="AD27" i="19"/>
  <c r="AD35" i="19"/>
  <c r="AD12" i="19"/>
  <c r="AD18" i="19"/>
  <c r="AD32" i="19"/>
  <c r="AB12" i="19"/>
  <c r="AB20" i="19"/>
  <c r="AB28" i="19"/>
  <c r="AB9" i="19"/>
  <c r="AB15" i="19"/>
  <c r="AB13" i="19"/>
  <c r="AB19" i="19"/>
  <c r="AB37" i="19"/>
  <c r="AC8" i="19"/>
  <c r="AC15" i="19"/>
  <c r="AC23" i="19"/>
  <c r="AC31" i="19"/>
  <c r="AC12" i="19"/>
  <c r="AC20" i="19"/>
  <c r="AC28" i="19"/>
  <c r="AC36" i="19"/>
  <c r="AD29" i="19"/>
  <c r="AD20" i="19"/>
  <c r="AD37" i="19"/>
  <c r="AB14" i="19"/>
  <c r="AB22" i="19"/>
  <c r="AB17" i="19"/>
  <c r="AB23" i="19"/>
  <c r="AB36" i="19"/>
  <c r="AC9" i="19"/>
  <c r="AC25" i="19"/>
  <c r="AC33" i="19"/>
  <c r="AC22" i="19"/>
  <c r="I142" i="29"/>
  <c r="H78" i="22"/>
  <c r="H77" i="22" s="1"/>
  <c r="N73" i="22"/>
  <c r="AO189" i="30"/>
  <c r="AM193" i="30"/>
  <c r="E39" i="30"/>
  <c r="H135" i="30"/>
  <c r="H132" i="30"/>
  <c r="K205" i="25"/>
  <c r="K203" i="25"/>
  <c r="K199" i="25"/>
  <c r="K204" i="25"/>
  <c r="K200" i="25"/>
  <c r="K196" i="25"/>
  <c r="K201" i="25"/>
  <c r="K197" i="25"/>
  <c r="K202" i="25"/>
  <c r="K198" i="25"/>
  <c r="K204" i="24"/>
  <c r="K200" i="24"/>
  <c r="K196" i="24"/>
  <c r="K201" i="24"/>
  <c r="K197" i="24"/>
  <c r="K202" i="24"/>
  <c r="K198" i="24"/>
  <c r="K199" i="24"/>
  <c r="K205" i="24"/>
  <c r="K203" i="24"/>
  <c r="G202" i="20"/>
  <c r="G198" i="20"/>
  <c r="G205" i="20"/>
  <c r="G201" i="20"/>
  <c r="G197" i="20"/>
  <c r="G204" i="20"/>
  <c r="G200" i="20"/>
  <c r="G196" i="20"/>
  <c r="G203" i="20"/>
  <c r="E206" i="20"/>
  <c r="G199" i="20"/>
  <c r="I203" i="21"/>
  <c r="I199" i="21"/>
  <c r="I205" i="21"/>
  <c r="I204" i="21"/>
  <c r="I200" i="21"/>
  <c r="I196" i="21"/>
  <c r="I201" i="21"/>
  <c r="I197" i="21"/>
  <c r="I202" i="21"/>
  <c r="I198" i="21"/>
  <c r="H150" i="29"/>
  <c r="T70" i="21"/>
  <c r="H274" i="28"/>
  <c r="N69" i="25"/>
  <c r="I73" i="25"/>
  <c r="I69" i="26"/>
  <c r="I274" i="28"/>
  <c r="H151" i="29"/>
  <c r="T71" i="21"/>
  <c r="AI120" i="14"/>
  <c r="AG120" i="14"/>
  <c r="L127" i="14"/>
  <c r="B121" i="14"/>
  <c r="C121" i="14"/>
  <c r="D121" i="14" s="1"/>
  <c r="E122" i="14"/>
  <c r="AN121" i="14"/>
  <c r="Q121" i="14"/>
  <c r="H120" i="15"/>
  <c r="J121" i="14"/>
  <c r="R257" i="28"/>
  <c r="H266" i="28"/>
  <c r="T257" i="28" s="1"/>
  <c r="V16" i="23"/>
  <c r="D15" i="23"/>
  <c r="C15" i="23" s="1"/>
  <c r="E182" i="14"/>
  <c r="B181" i="14"/>
  <c r="AN181" i="14"/>
  <c r="C181" i="14"/>
  <c r="D181" i="14" s="1"/>
  <c r="Q181" i="14"/>
  <c r="H180" i="15"/>
  <c r="J181" i="14"/>
  <c r="V16" i="21"/>
  <c r="D15" i="21"/>
  <c r="C15" i="21" s="1"/>
  <c r="AC15" i="2"/>
  <c r="AC24" i="2"/>
  <c r="AC34" i="2"/>
  <c r="AC33" i="2"/>
  <c r="AC9" i="2"/>
  <c r="AC21" i="2"/>
  <c r="AC37" i="2"/>
  <c r="AE38" i="2"/>
  <c r="AE8" i="2"/>
  <c r="AE16" i="2"/>
  <c r="AE25" i="2"/>
  <c r="AE35" i="2"/>
  <c r="AE13" i="2"/>
  <c r="AE24" i="2"/>
  <c r="AE37" i="2"/>
  <c r="AB11" i="2"/>
  <c r="AB26" i="2"/>
  <c r="AB15" i="2"/>
  <c r="AB34" i="2"/>
  <c r="AB18" i="2"/>
  <c r="AB12" i="2"/>
  <c r="AB30" i="2"/>
  <c r="AB33" i="2"/>
  <c r="AB37" i="2"/>
  <c r="AD38" i="2"/>
  <c r="AD22" i="2"/>
  <c r="AD14" i="2"/>
  <c r="AD33" i="2"/>
  <c r="AD25" i="2"/>
  <c r="AD18" i="2"/>
  <c r="AD9" i="2"/>
  <c r="AB32" i="2"/>
  <c r="AD21" i="2"/>
  <c r="AD17" i="2"/>
  <c r="AC11" i="2"/>
  <c r="AC17" i="2"/>
  <c r="AC27" i="2"/>
  <c r="AC8" i="2"/>
  <c r="AC16" i="2"/>
  <c r="AC18" i="2"/>
  <c r="AC30" i="2"/>
  <c r="AE20" i="2"/>
  <c r="AE9" i="2"/>
  <c r="AE18" i="2"/>
  <c r="AE28" i="2"/>
  <c r="AE10" i="2"/>
  <c r="AE22" i="2"/>
  <c r="AE34" i="2"/>
  <c r="AE36" i="2"/>
  <c r="AB38" i="2"/>
  <c r="AB16" i="2"/>
  <c r="AB35" i="2"/>
  <c r="AB27" i="2"/>
  <c r="AB19" i="2"/>
  <c r="AB8" i="2"/>
  <c r="AB13" i="2"/>
  <c r="AB36" i="2"/>
  <c r="AD12" i="2"/>
  <c r="AD30" i="2"/>
  <c r="AD15" i="2"/>
  <c r="AD34" i="2"/>
  <c r="AD27" i="2"/>
  <c r="AD19" i="2"/>
  <c r="AD37" i="2"/>
  <c r="AB29" i="2"/>
  <c r="AD32" i="2"/>
  <c r="AD8" i="2"/>
  <c r="AD10" i="2"/>
  <c r="AC20" i="2"/>
  <c r="AC32" i="2"/>
  <c r="AC38" i="2"/>
  <c r="AC10" i="2"/>
  <c r="AC19" i="2"/>
  <c r="AC29" i="2"/>
  <c r="AC14" i="2"/>
  <c r="AC25" i="2"/>
  <c r="AC28" i="2"/>
  <c r="AC36" i="2"/>
  <c r="AE11" i="2"/>
  <c r="AE26" i="2"/>
  <c r="AE12" i="2"/>
  <c r="AE21" i="2"/>
  <c r="AE30" i="2"/>
  <c r="AE19" i="2"/>
  <c r="AE31" i="2"/>
  <c r="AE27" i="2"/>
  <c r="AB24" i="2"/>
  <c r="AB9" i="2"/>
  <c r="AB28" i="2"/>
  <c r="AB21" i="2"/>
  <c r="AB23" i="2"/>
  <c r="AB14" i="2"/>
  <c r="AD11" i="2"/>
  <c r="AD26" i="2"/>
  <c r="AD13" i="2"/>
  <c r="AD31" i="2"/>
  <c r="AD23" i="2"/>
  <c r="AD16" i="2"/>
  <c r="AD35" i="2"/>
  <c r="AD28" i="2"/>
  <c r="AD36" i="2"/>
  <c r="AC26" i="2"/>
  <c r="AC13" i="2"/>
  <c r="AC22" i="2"/>
  <c r="AC31" i="2"/>
  <c r="AC23" i="2"/>
  <c r="AC35" i="2"/>
  <c r="AC12" i="2"/>
  <c r="AE32" i="2"/>
  <c r="AE14" i="2"/>
  <c r="AE23" i="2"/>
  <c r="AE33" i="2"/>
  <c r="AE29" i="2"/>
  <c r="AE15" i="2"/>
  <c r="AE17" i="2"/>
  <c r="AB20" i="2"/>
  <c r="AB25" i="2"/>
  <c r="AB17" i="2"/>
  <c r="AB10" i="2"/>
  <c r="AB31" i="2"/>
  <c r="AB22" i="2"/>
  <c r="AD20" i="2"/>
  <c r="AD24" i="2"/>
  <c r="AD29" i="2"/>
  <c r="V16" i="25"/>
  <c r="D15" i="25"/>
  <c r="C15" i="25" s="1"/>
  <c r="E27" i="30"/>
  <c r="N132" i="30"/>
  <c r="N135" i="30"/>
  <c r="V15" i="19"/>
  <c r="D14" i="19"/>
  <c r="C14" i="19" s="1"/>
  <c r="L78" i="18"/>
  <c r="I144" i="29"/>
  <c r="K77" i="22"/>
  <c r="K202" i="28"/>
  <c r="K198" i="28"/>
  <c r="K203" i="28"/>
  <c r="K199" i="28"/>
  <c r="K204" i="28"/>
  <c r="K200" i="28"/>
  <c r="K196" i="28"/>
  <c r="K201" i="28"/>
  <c r="K205" i="28"/>
  <c r="K197" i="28"/>
  <c r="I203" i="27"/>
  <c r="I199" i="27"/>
  <c r="I205" i="27"/>
  <c r="I204" i="27"/>
  <c r="I200" i="27"/>
  <c r="I196" i="27"/>
  <c r="I201" i="27"/>
  <c r="I197" i="27"/>
  <c r="I202" i="27"/>
  <c r="I198" i="27"/>
  <c r="K205" i="23"/>
  <c r="K201" i="23"/>
  <c r="K197" i="23"/>
  <c r="K202" i="23"/>
  <c r="K198" i="23"/>
  <c r="K203" i="23"/>
  <c r="K199" i="23"/>
  <c r="K196" i="23"/>
  <c r="K200" i="23"/>
  <c r="K204" i="23"/>
  <c r="G204" i="21"/>
  <c r="G200" i="21"/>
  <c r="G196" i="21"/>
  <c r="E206" i="21"/>
  <c r="G203" i="21"/>
  <c r="G199" i="21"/>
  <c r="G202" i="21"/>
  <c r="G198" i="21"/>
  <c r="G205" i="21"/>
  <c r="G197" i="21"/>
  <c r="G201" i="21"/>
  <c r="G202" i="22"/>
  <c r="G198" i="22"/>
  <c r="G205" i="22"/>
  <c r="G201" i="22"/>
  <c r="G197" i="22"/>
  <c r="E206" i="22"/>
  <c r="G204" i="22"/>
  <c r="G200" i="22"/>
  <c r="G196" i="22"/>
  <c r="G199" i="22"/>
  <c r="G203" i="22"/>
  <c r="H205" i="19"/>
  <c r="H201" i="19"/>
  <c r="H197" i="19"/>
  <c r="H202" i="19"/>
  <c r="H198" i="19"/>
  <c r="H203" i="19"/>
  <c r="H199" i="19"/>
  <c r="H200" i="19"/>
  <c r="H196" i="19"/>
  <c r="H204" i="19"/>
  <c r="G203" i="2"/>
  <c r="G199" i="2"/>
  <c r="G205" i="2"/>
  <c r="G201" i="2"/>
  <c r="G197" i="2"/>
  <c r="E206" i="2"/>
  <c r="G202" i="2"/>
  <c r="G198" i="2"/>
  <c r="G204" i="2"/>
  <c r="G200" i="2"/>
  <c r="G196" i="2"/>
  <c r="K205" i="26"/>
  <c r="K201" i="26"/>
  <c r="K197" i="26"/>
  <c r="K202" i="26"/>
  <c r="K198" i="26"/>
  <c r="K203" i="26"/>
  <c r="K199" i="26"/>
  <c r="K196" i="26"/>
  <c r="K200" i="26"/>
  <c r="K204" i="26"/>
  <c r="H204" i="2"/>
  <c r="H200" i="2"/>
  <c r="H196" i="2"/>
  <c r="H205" i="2"/>
  <c r="H201" i="2"/>
  <c r="H197" i="2"/>
  <c r="H202" i="2"/>
  <c r="H198" i="2"/>
  <c r="H203" i="2"/>
  <c r="H199" i="2"/>
  <c r="H202" i="21"/>
  <c r="H198" i="21"/>
  <c r="H203" i="21"/>
  <c r="H199" i="21"/>
  <c r="H204" i="21"/>
  <c r="H200" i="21"/>
  <c r="H196" i="21"/>
  <c r="H197" i="21"/>
  <c r="H205" i="21"/>
  <c r="H201" i="21"/>
  <c r="G204" i="23"/>
  <c r="G200" i="23"/>
  <c r="G196" i="23"/>
  <c r="G203" i="23"/>
  <c r="G199" i="23"/>
  <c r="G202" i="23"/>
  <c r="G198" i="23"/>
  <c r="E206" i="23"/>
  <c r="G205" i="23"/>
  <c r="G201" i="23"/>
  <c r="G197" i="23"/>
  <c r="I204" i="26"/>
  <c r="I200" i="26"/>
  <c r="I196" i="26"/>
  <c r="I205" i="26"/>
  <c r="I201" i="26"/>
  <c r="I197" i="26"/>
  <c r="I202" i="26"/>
  <c r="I198" i="26"/>
  <c r="I199" i="26"/>
  <c r="I203" i="26"/>
  <c r="V16" i="28"/>
  <c r="D15" i="28"/>
  <c r="C15" i="28" s="1"/>
  <c r="K134" i="29"/>
  <c r="N70" i="23"/>
  <c r="AI132" i="14"/>
  <c r="AG132" i="14"/>
  <c r="L139" i="14"/>
  <c r="AE8" i="20"/>
  <c r="AD13" i="20"/>
  <c r="S71" i="20"/>
  <c r="L77" i="20" s="1"/>
  <c r="I79" i="20"/>
  <c r="U71" i="20" s="1"/>
  <c r="N79" i="20" s="1"/>
  <c r="AI150" i="14"/>
  <c r="AG150" i="14"/>
  <c r="L157" i="14"/>
  <c r="H202" i="24"/>
  <c r="H198" i="24"/>
  <c r="H203" i="24"/>
  <c r="H199" i="24"/>
  <c r="H204" i="24"/>
  <c r="H200" i="24"/>
  <c r="H196" i="24"/>
  <c r="H197" i="24"/>
  <c r="H201" i="24"/>
  <c r="H205" i="24"/>
  <c r="I204" i="20"/>
  <c r="I200" i="20"/>
  <c r="I196" i="20"/>
  <c r="I205" i="20"/>
  <c r="I201" i="20"/>
  <c r="I197" i="20"/>
  <c r="I202" i="20"/>
  <c r="I198" i="20"/>
  <c r="I199" i="20"/>
  <c r="I203" i="20"/>
  <c r="I202" i="19"/>
  <c r="I198" i="19"/>
  <c r="I203" i="19"/>
  <c r="I199" i="19"/>
  <c r="I205" i="19"/>
  <c r="I204" i="19"/>
  <c r="I200" i="19"/>
  <c r="I196" i="19"/>
  <c r="I197" i="19"/>
  <c r="I201" i="19"/>
  <c r="H203" i="23"/>
  <c r="H199" i="23"/>
  <c r="H204" i="23"/>
  <c r="H200" i="23"/>
  <c r="H196" i="23"/>
  <c r="H205" i="23"/>
  <c r="H201" i="23"/>
  <c r="H197" i="23"/>
  <c r="H202" i="23"/>
  <c r="H198" i="23"/>
  <c r="K135" i="29"/>
  <c r="N71" i="23"/>
  <c r="G159" i="29"/>
  <c r="G157" i="29"/>
  <c r="G158" i="29"/>
  <c r="G160" i="29"/>
  <c r="K71" i="24"/>
  <c r="K72" i="24"/>
  <c r="K70" i="24"/>
  <c r="K69" i="24"/>
  <c r="L133" i="29" s="1"/>
  <c r="S71" i="21"/>
  <c r="I79" i="21"/>
  <c r="U71" i="21" s="1"/>
  <c r="AU73" i="14"/>
  <c r="AU78" i="14"/>
  <c r="AU75" i="14"/>
  <c r="AU74" i="14"/>
  <c r="AU77" i="14"/>
  <c r="AU76" i="14"/>
  <c r="AU79" i="14"/>
  <c r="AU80" i="14" s="1"/>
  <c r="L145" i="14"/>
  <c r="AI138" i="14"/>
  <c r="AG138" i="14"/>
  <c r="D160" i="29"/>
  <c r="D158" i="29"/>
  <c r="D159" i="29"/>
  <c r="D157" i="29"/>
  <c r="AA14" i="2"/>
  <c r="C186" i="30"/>
  <c r="C187" i="30"/>
  <c r="J185" i="30"/>
  <c r="AA185" i="30"/>
  <c r="S185" i="30"/>
  <c r="P185" i="30"/>
  <c r="AG185" i="30"/>
  <c r="M185" i="30"/>
  <c r="AD185" i="30"/>
  <c r="G204" i="27"/>
  <c r="G200" i="27"/>
  <c r="G196" i="27"/>
  <c r="G203" i="27"/>
  <c r="G199" i="27"/>
  <c r="E206" i="27"/>
  <c r="G202" i="27"/>
  <c r="G198" i="27"/>
  <c r="G201" i="27"/>
  <c r="G197" i="27"/>
  <c r="G205" i="27"/>
  <c r="S69" i="23"/>
  <c r="G79" i="23"/>
  <c r="U69" i="23" s="1"/>
  <c r="T138" i="30"/>
  <c r="Q135" i="30"/>
  <c r="Q132" i="30"/>
  <c r="E138" i="30"/>
  <c r="K138" i="30"/>
  <c r="I86" i="2"/>
  <c r="H86" i="2"/>
  <c r="G86" i="2"/>
  <c r="K86" i="2"/>
  <c r="L271" i="28"/>
  <c r="I143" i="29"/>
  <c r="I78" i="22"/>
  <c r="I77" i="22" s="1"/>
  <c r="H202" i="27"/>
  <c r="H198" i="27"/>
  <c r="H203" i="27"/>
  <c r="H199" i="27"/>
  <c r="H204" i="27"/>
  <c r="H200" i="27"/>
  <c r="H196" i="27"/>
  <c r="H197" i="27"/>
  <c r="H205" i="27"/>
  <c r="H201" i="27"/>
  <c r="K204" i="27"/>
  <c r="K200" i="27"/>
  <c r="K196" i="27"/>
  <c r="K201" i="27"/>
  <c r="K197" i="27"/>
  <c r="K202" i="27"/>
  <c r="K198" i="27"/>
  <c r="K199" i="27"/>
  <c r="K205" i="27"/>
  <c r="K203" i="27"/>
  <c r="I204" i="23"/>
  <c r="I200" i="23"/>
  <c r="I196" i="23"/>
  <c r="I205" i="23"/>
  <c r="I201" i="23"/>
  <c r="I197" i="23"/>
  <c r="I202" i="23"/>
  <c r="I198" i="23"/>
  <c r="I199" i="23"/>
  <c r="I203" i="23"/>
  <c r="I205" i="28"/>
  <c r="I201" i="28"/>
  <c r="I197" i="28"/>
  <c r="I202" i="28"/>
  <c r="I198" i="28"/>
  <c r="I203" i="28"/>
  <c r="I199" i="28"/>
  <c r="I196" i="28"/>
  <c r="I204" i="28"/>
  <c r="I200" i="28"/>
  <c r="I202" i="25"/>
  <c r="I198" i="25"/>
  <c r="I203" i="25"/>
  <c r="I199" i="25"/>
  <c r="I205" i="25"/>
  <c r="I204" i="25"/>
  <c r="I200" i="25"/>
  <c r="I196" i="25"/>
  <c r="I197" i="25"/>
  <c r="I201" i="25"/>
  <c r="K202" i="2"/>
  <c r="K198" i="2"/>
  <c r="K203" i="2"/>
  <c r="K199" i="2"/>
  <c r="K204" i="2"/>
  <c r="K200" i="2"/>
  <c r="K196" i="2"/>
  <c r="K197" i="2"/>
  <c r="K201" i="2"/>
  <c r="K205" i="2"/>
  <c r="G202" i="28"/>
  <c r="G198" i="28"/>
  <c r="G205" i="28"/>
  <c r="G201" i="28"/>
  <c r="G197" i="28"/>
  <c r="G204" i="28"/>
  <c r="G200" i="28"/>
  <c r="G196" i="28"/>
  <c r="E206" i="28"/>
  <c r="G203" i="28"/>
  <c r="G199" i="28"/>
  <c r="G204" i="19"/>
  <c r="G200" i="19"/>
  <c r="G196" i="19"/>
  <c r="G203" i="19"/>
  <c r="G199" i="19"/>
  <c r="G202" i="19"/>
  <c r="G198" i="19"/>
  <c r="E206" i="19"/>
  <c r="G201" i="19"/>
  <c r="G197" i="19"/>
  <c r="G205" i="19"/>
  <c r="I203" i="18"/>
  <c r="I199" i="18"/>
  <c r="I204" i="18"/>
  <c r="I200" i="18"/>
  <c r="I196" i="18"/>
  <c r="I205" i="18"/>
  <c r="I201" i="18"/>
  <c r="I197" i="18"/>
  <c r="I202" i="18"/>
  <c r="I198" i="18"/>
  <c r="I205" i="2"/>
  <c r="I201" i="2"/>
  <c r="I197" i="2"/>
  <c r="I202" i="2"/>
  <c r="I198" i="2"/>
  <c r="I203" i="2"/>
  <c r="I199" i="2"/>
  <c r="I200" i="2"/>
  <c r="I196" i="2"/>
  <c r="I204" i="2"/>
  <c r="G202" i="18"/>
  <c r="G198" i="18"/>
  <c r="G205" i="18"/>
  <c r="G201" i="18"/>
  <c r="G197" i="18"/>
  <c r="E206" i="18"/>
  <c r="G204" i="18"/>
  <c r="G200" i="18"/>
  <c r="G196" i="18"/>
  <c r="G199" i="18"/>
  <c r="G203" i="18"/>
  <c r="H204" i="28"/>
  <c r="H200" i="28"/>
  <c r="H196" i="28"/>
  <c r="H205" i="28"/>
  <c r="H201" i="28"/>
  <c r="H197" i="28"/>
  <c r="H202" i="28"/>
  <c r="H198" i="28"/>
  <c r="H199" i="28"/>
  <c r="H203" i="28"/>
  <c r="H77" i="21"/>
  <c r="V15" i="26"/>
  <c r="D14" i="26"/>
  <c r="C14" i="26" s="1"/>
  <c r="L141" i="29"/>
  <c r="G78" i="24"/>
  <c r="W132" i="30"/>
  <c r="W135" i="30"/>
  <c r="O79" i="2"/>
  <c r="O88" i="2"/>
  <c r="H205" i="25"/>
  <c r="H201" i="25"/>
  <c r="H197" i="25"/>
  <c r="H202" i="25"/>
  <c r="H198" i="25"/>
  <c r="H203" i="25"/>
  <c r="H199" i="25"/>
  <c r="H200" i="25"/>
  <c r="H196" i="25"/>
  <c r="H204" i="25"/>
  <c r="H203" i="26"/>
  <c r="H199" i="26"/>
  <c r="H204" i="26"/>
  <c r="H200" i="26"/>
  <c r="H196" i="26"/>
  <c r="H205" i="26"/>
  <c r="H201" i="26"/>
  <c r="H197" i="26"/>
  <c r="H202" i="26"/>
  <c r="H198" i="26"/>
  <c r="K204" i="18"/>
  <c r="K200" i="18"/>
  <c r="K196" i="18"/>
  <c r="K205" i="18"/>
  <c r="K201" i="18"/>
  <c r="K197" i="18"/>
  <c r="K202" i="18"/>
  <c r="K198" i="18"/>
  <c r="K199" i="18"/>
  <c r="K203" i="18"/>
  <c r="G146" i="19"/>
  <c r="H146" i="19" s="1"/>
  <c r="I146" i="19" s="1"/>
  <c r="D146" i="19" s="1"/>
  <c r="G147" i="19"/>
  <c r="H147" i="19" s="1"/>
  <c r="I147" i="19" s="1"/>
  <c r="D147" i="19" s="1"/>
  <c r="G148" i="19"/>
  <c r="H148" i="19" s="1"/>
  <c r="I148" i="19" s="1"/>
  <c r="D148" i="19" s="1"/>
  <c r="AM182" i="30"/>
  <c r="AM183" i="30"/>
  <c r="E150" i="25"/>
  <c r="D120" i="14"/>
  <c r="AY59" i="14"/>
  <c r="AW72" i="14"/>
  <c r="AX60" i="14"/>
  <c r="S71" i="18"/>
  <c r="I79" i="18"/>
  <c r="U71" i="18" s="1"/>
  <c r="V16" i="18"/>
  <c r="D15" i="18"/>
  <c r="C15" i="18" s="1"/>
  <c r="AI144" i="14"/>
  <c r="AG144" i="14"/>
  <c r="L151" i="14"/>
  <c r="S72" i="21"/>
  <c r="K79" i="21"/>
  <c r="U72" i="21" s="1"/>
  <c r="K266" i="28"/>
  <c r="T259" i="28" s="1"/>
  <c r="R259" i="28"/>
  <c r="AI184" i="14"/>
  <c r="AG184" i="14"/>
  <c r="L191" i="14"/>
  <c r="S70" i="18"/>
  <c r="H79" i="18"/>
  <c r="U70" i="18" s="1"/>
  <c r="N79" i="18" s="1"/>
  <c r="V17" i="2"/>
  <c r="D16" i="2"/>
  <c r="C16" i="2" s="1"/>
  <c r="R258" i="28"/>
  <c r="I266" i="28"/>
  <c r="T258" i="28" s="1"/>
  <c r="V24" i="22"/>
  <c r="T69" i="23"/>
  <c r="G276" i="28"/>
  <c r="K149" i="29"/>
  <c r="E135" i="30"/>
  <c r="E132" i="30"/>
  <c r="K132" i="30"/>
  <c r="K135" i="30"/>
  <c r="E33" i="30"/>
  <c r="T135" i="30"/>
  <c r="T132" i="30"/>
  <c r="T123" i="30"/>
  <c r="T126" i="30"/>
  <c r="T129" i="30"/>
  <c r="S71" i="19"/>
  <c r="L77" i="19" s="1"/>
  <c r="I79" i="19"/>
  <c r="U71" i="19" s="1"/>
  <c r="N79" i="19" s="1"/>
  <c r="K205" i="22"/>
  <c r="K203" i="22"/>
  <c r="K199" i="22"/>
  <c r="K204" i="22"/>
  <c r="K200" i="22"/>
  <c r="K196" i="22"/>
  <c r="K201" i="22"/>
  <c r="K197" i="22"/>
  <c r="K202" i="22"/>
  <c r="K198" i="22"/>
  <c r="I203" i="24"/>
  <c r="I199" i="24"/>
  <c r="I205" i="24"/>
  <c r="I204" i="24"/>
  <c r="I200" i="24"/>
  <c r="I196" i="24"/>
  <c r="I201" i="24"/>
  <c r="I197" i="24"/>
  <c r="I202" i="24"/>
  <c r="I198" i="24"/>
  <c r="G202" i="26"/>
  <c r="G198" i="26"/>
  <c r="G205" i="26"/>
  <c r="G201" i="26"/>
  <c r="G197" i="26"/>
  <c r="G204" i="26"/>
  <c r="G200" i="26"/>
  <c r="G196" i="26"/>
  <c r="G203" i="26"/>
  <c r="G199" i="26"/>
  <c r="E206" i="26"/>
  <c r="H205" i="22"/>
  <c r="H201" i="22"/>
  <c r="H197" i="22"/>
  <c r="H202" i="22"/>
  <c r="H198" i="22"/>
  <c r="H203" i="22"/>
  <c r="H199" i="22"/>
  <c r="H200" i="22"/>
  <c r="H196" i="22"/>
  <c r="H204" i="22"/>
  <c r="I202" i="22"/>
  <c r="I198" i="22"/>
  <c r="I203" i="22"/>
  <c r="I199" i="22"/>
  <c r="I205" i="22"/>
  <c r="I204" i="22"/>
  <c r="I200" i="22"/>
  <c r="I196" i="22"/>
  <c r="I197" i="22"/>
  <c r="I201" i="22"/>
  <c r="H202" i="18"/>
  <c r="H198" i="18"/>
  <c r="H203" i="18"/>
  <c r="H199" i="18"/>
  <c r="H204" i="18"/>
  <c r="H200" i="18"/>
  <c r="H196" i="18"/>
  <c r="H197" i="18"/>
  <c r="H201" i="18"/>
  <c r="H205" i="18"/>
  <c r="G202" i="24"/>
  <c r="G198" i="24"/>
  <c r="G205" i="24"/>
  <c r="G201" i="24"/>
  <c r="G197" i="24"/>
  <c r="G204" i="24"/>
  <c r="G200" i="24"/>
  <c r="G196" i="24"/>
  <c r="G203" i="24"/>
  <c r="E206" i="24"/>
  <c r="G199" i="24"/>
  <c r="K205" i="19"/>
  <c r="K203" i="19"/>
  <c r="K199" i="19"/>
  <c r="K204" i="19"/>
  <c r="K200" i="19"/>
  <c r="K196" i="19"/>
  <c r="K201" i="19"/>
  <c r="K197" i="19"/>
  <c r="K202" i="19"/>
  <c r="K198" i="19"/>
  <c r="H203" i="20"/>
  <c r="H199" i="20"/>
  <c r="H204" i="20"/>
  <c r="H200" i="20"/>
  <c r="H196" i="20"/>
  <c r="H205" i="20"/>
  <c r="H201" i="20"/>
  <c r="H197" i="20"/>
  <c r="H202" i="20"/>
  <c r="H198" i="20"/>
  <c r="G204" i="25"/>
  <c r="G200" i="25"/>
  <c r="G196" i="25"/>
  <c r="E206" i="25"/>
  <c r="G203" i="25"/>
  <c r="G199" i="25"/>
  <c r="G202" i="25"/>
  <c r="G198" i="25"/>
  <c r="G197" i="25"/>
  <c r="G205" i="25"/>
  <c r="G201" i="25"/>
  <c r="K204" i="21"/>
  <c r="K200" i="21"/>
  <c r="K196" i="21"/>
  <c r="K201" i="21"/>
  <c r="K197" i="21"/>
  <c r="K202" i="21"/>
  <c r="K198" i="21"/>
  <c r="K205" i="21"/>
  <c r="K199" i="21"/>
  <c r="K203" i="21"/>
  <c r="K205" i="20"/>
  <c r="K201" i="20"/>
  <c r="K197" i="20"/>
  <c r="K202" i="20"/>
  <c r="K198" i="20"/>
  <c r="K203" i="20"/>
  <c r="K199" i="20"/>
  <c r="K196" i="20"/>
  <c r="K204" i="20"/>
  <c r="K200" i="20"/>
  <c r="J171" i="16"/>
  <c r="J165" i="16" s="1"/>
  <c r="K136" i="29"/>
  <c r="K137" i="29" s="1"/>
  <c r="N72" i="23"/>
  <c r="L133" i="14"/>
  <c r="AI126" i="14"/>
  <c r="AG126" i="14"/>
  <c r="C17" i="22"/>
  <c r="D18" i="22"/>
  <c r="H145" i="29"/>
  <c r="W129" i="30" l="1"/>
  <c r="Q123" i="30"/>
  <c r="W123" i="30"/>
  <c r="Q126" i="30"/>
  <c r="G266" i="28"/>
  <c r="T256" i="28" s="1"/>
  <c r="N266" i="28" s="1"/>
  <c r="D15" i="27"/>
  <c r="C15" i="27" s="1"/>
  <c r="V16" i="27"/>
  <c r="AC16" i="20"/>
  <c r="AD29" i="20"/>
  <c r="AE15" i="20"/>
  <c r="AB29" i="20"/>
  <c r="AC33" i="20"/>
  <c r="AB25" i="20"/>
  <c r="AC37" i="20"/>
  <c r="AD17" i="20"/>
  <c r="AE28" i="20"/>
  <c r="AB13" i="20"/>
  <c r="AC34" i="20"/>
  <c r="AD33" i="20"/>
  <c r="AE20" i="20"/>
  <c r="AB9" i="20"/>
  <c r="AC15" i="20"/>
  <c r="AC30" i="20"/>
  <c r="AD35" i="20"/>
  <c r="AB26" i="20"/>
  <c r="AE12" i="20"/>
  <c r="AB21" i="20"/>
  <c r="AZ218" i="14" s="1"/>
  <c r="AE31" i="20"/>
  <c r="AC19" i="20"/>
  <c r="AD36" i="20"/>
  <c r="AD19" i="20"/>
  <c r="AB10" i="20"/>
  <c r="AB33" i="20"/>
  <c r="AB17" i="20"/>
  <c r="AE23" i="20"/>
  <c r="E161" i="29"/>
  <c r="V179" i="30"/>
  <c r="AC29" i="20"/>
  <c r="AC12" i="20"/>
  <c r="AC36" i="20"/>
  <c r="AC22" i="20"/>
  <c r="AE36" i="20"/>
  <c r="AB30" i="20"/>
  <c r="AB24" i="20"/>
  <c r="AD23" i="20"/>
  <c r="AE26" i="20"/>
  <c r="AE10" i="20"/>
  <c r="AD28" i="20"/>
  <c r="AD20" i="20"/>
  <c r="AD12" i="20"/>
  <c r="AE21" i="20"/>
  <c r="AC20" i="20"/>
  <c r="AC13" i="20"/>
  <c r="AC10" i="20"/>
  <c r="AC27" i="20"/>
  <c r="AC24" i="20"/>
  <c r="AC28" i="20"/>
  <c r="AC9" i="20"/>
  <c r="AE37" i="20"/>
  <c r="AB36" i="20"/>
  <c r="AD25" i="20"/>
  <c r="AD9" i="20"/>
  <c r="AB22" i="20"/>
  <c r="AB32" i="20"/>
  <c r="AB16" i="20"/>
  <c r="AD31" i="20"/>
  <c r="AD15" i="20"/>
  <c r="AE30" i="20"/>
  <c r="AE22" i="20"/>
  <c r="AE14" i="20"/>
  <c r="AD34" i="20"/>
  <c r="AD30" i="20"/>
  <c r="AD26" i="20"/>
  <c r="AD22" i="20"/>
  <c r="AD18" i="20"/>
  <c r="AD14" i="20"/>
  <c r="AD10" i="20"/>
  <c r="AE33" i="20"/>
  <c r="AE25" i="20"/>
  <c r="AE17" i="20"/>
  <c r="AE9" i="20"/>
  <c r="AC31" i="20"/>
  <c r="AC26" i="20"/>
  <c r="AC11" i="20"/>
  <c r="AC25" i="20"/>
  <c r="AD37" i="20"/>
  <c r="AB12" i="20"/>
  <c r="AB14" i="20"/>
  <c r="AD8" i="20"/>
  <c r="AE34" i="20"/>
  <c r="AE18" i="20"/>
  <c r="AD32" i="20"/>
  <c r="AD24" i="20"/>
  <c r="AD16" i="20"/>
  <c r="AB8" i="20"/>
  <c r="AE29" i="20"/>
  <c r="AE13" i="20"/>
  <c r="AC8" i="20"/>
  <c r="AC21" i="20"/>
  <c r="AC18" i="20"/>
  <c r="AC35" i="20"/>
  <c r="AC32" i="20"/>
  <c r="AC23" i="20"/>
  <c r="AC17" i="20"/>
  <c r="AC14" i="20"/>
  <c r="AB28" i="20"/>
  <c r="AB37" i="20"/>
  <c r="AB20" i="20"/>
  <c r="AD27" i="20"/>
  <c r="AD11" i="20"/>
  <c r="AD21" i="20"/>
  <c r="AB34" i="20"/>
  <c r="AB18" i="20"/>
  <c r="AE32" i="20"/>
  <c r="AE24" i="20"/>
  <c r="AE16" i="20"/>
  <c r="AB35" i="20"/>
  <c r="AB31" i="20"/>
  <c r="AB27" i="20"/>
  <c r="AB23" i="20"/>
  <c r="AB19" i="20"/>
  <c r="AB15" i="20"/>
  <c r="AB11" i="20"/>
  <c r="AE35" i="20"/>
  <c r="AE27" i="20"/>
  <c r="AE19" i="20"/>
  <c r="V178" i="30"/>
  <c r="AB407" i="1"/>
  <c r="AB404" i="1"/>
  <c r="AB402" i="1"/>
  <c r="AB405" i="1"/>
  <c r="AO183" i="30"/>
  <c r="V183" i="30" s="1"/>
  <c r="L86" i="2"/>
  <c r="C119" i="29" s="1"/>
  <c r="AB406" i="1"/>
  <c r="AB401" i="1"/>
  <c r="N264" i="28"/>
  <c r="D132" i="15"/>
  <c r="L78" i="21"/>
  <c r="AC9" i="21" s="1"/>
  <c r="V17" i="24"/>
  <c r="D16" i="24"/>
  <c r="C16" i="24" s="1"/>
  <c r="V17" i="20"/>
  <c r="D16" i="20"/>
  <c r="C16" i="20" s="1"/>
  <c r="I145" i="29"/>
  <c r="I160" i="29" s="1"/>
  <c r="S71" i="22"/>
  <c r="I79" i="22"/>
  <c r="U71" i="22" s="1"/>
  <c r="O79" i="20"/>
  <c r="O88" i="20"/>
  <c r="K143" i="29"/>
  <c r="I78" i="23"/>
  <c r="I77" i="23" s="1"/>
  <c r="C84" i="16"/>
  <c r="C17" i="16"/>
  <c r="J161" i="16"/>
  <c r="E159" i="16"/>
  <c r="E160" i="16"/>
  <c r="C164" i="29"/>
  <c r="BH80" i="15"/>
  <c r="BH107" i="15" s="1"/>
  <c r="M126" i="1"/>
  <c r="M86" i="1"/>
  <c r="AE108" i="14"/>
  <c r="O87" i="16"/>
  <c r="K210" i="19"/>
  <c r="K210" i="21"/>
  <c r="K210" i="23"/>
  <c r="K210" i="25"/>
  <c r="K210" i="27"/>
  <c r="K210" i="2"/>
  <c r="C113" i="29"/>
  <c r="AL94" i="30"/>
  <c r="O86" i="16"/>
  <c r="M46" i="1"/>
  <c r="K210" i="22"/>
  <c r="C59" i="29"/>
  <c r="K210" i="24"/>
  <c r="K210" i="18"/>
  <c r="K210" i="26"/>
  <c r="F76" i="16"/>
  <c r="K210" i="20"/>
  <c r="K210" i="28"/>
  <c r="B86" i="16"/>
  <c r="AY20" i="2"/>
  <c r="CT126" i="14" s="1"/>
  <c r="AZ126" i="14"/>
  <c r="AY9" i="2"/>
  <c r="CT115" i="14" s="1"/>
  <c r="AZ115" i="14"/>
  <c r="AY37" i="2"/>
  <c r="CT143" i="14" s="1"/>
  <c r="AZ143" i="14"/>
  <c r="AZ117" i="14"/>
  <c r="AY11" i="2"/>
  <c r="CT117" i="14" s="1"/>
  <c r="AZ202" i="14"/>
  <c r="AY36" i="19"/>
  <c r="CT202" i="14" s="1"/>
  <c r="AY9" i="19"/>
  <c r="CT175" i="14" s="1"/>
  <c r="AZ175" i="14"/>
  <c r="AY38" i="19"/>
  <c r="CT204" i="14" s="1"/>
  <c r="AZ204" i="14"/>
  <c r="G86" i="19"/>
  <c r="K86" i="19"/>
  <c r="H86" i="19"/>
  <c r="I86" i="19"/>
  <c r="V25" i="22"/>
  <c r="V18" i="2"/>
  <c r="D17" i="2"/>
  <c r="C17" i="2" s="1"/>
  <c r="AZ60" i="14"/>
  <c r="BA59" i="14"/>
  <c r="AY72" i="14"/>
  <c r="AN187" i="30"/>
  <c r="D161" i="29"/>
  <c r="L152" i="14"/>
  <c r="AI145" i="14"/>
  <c r="AG145" i="14"/>
  <c r="L135" i="29"/>
  <c r="N71" i="24"/>
  <c r="H86" i="20"/>
  <c r="G86" i="20"/>
  <c r="I86" i="20"/>
  <c r="K86" i="20"/>
  <c r="V17" i="25"/>
  <c r="D16" i="25"/>
  <c r="C16" i="25" s="1"/>
  <c r="AY22" i="2"/>
  <c r="CT128" i="14" s="1"/>
  <c r="AZ128" i="14"/>
  <c r="AY25" i="2"/>
  <c r="CT131" i="14" s="1"/>
  <c r="AZ131" i="14"/>
  <c r="AY28" i="2"/>
  <c r="CT134" i="14" s="1"/>
  <c r="AZ134" i="14"/>
  <c r="AY29" i="2"/>
  <c r="CT135" i="14" s="1"/>
  <c r="AZ135" i="14"/>
  <c r="AZ142" i="14"/>
  <c r="AY36" i="2"/>
  <c r="CT142" i="14" s="1"/>
  <c r="AY27" i="2"/>
  <c r="CT133" i="14" s="1"/>
  <c r="AZ133" i="14"/>
  <c r="AY12" i="2"/>
  <c r="CT118" i="14" s="1"/>
  <c r="AZ118" i="14"/>
  <c r="AY26" i="2"/>
  <c r="CT132" i="14" s="1"/>
  <c r="AZ132" i="14"/>
  <c r="E123" i="14"/>
  <c r="C122" i="14"/>
  <c r="D122" i="14" s="1"/>
  <c r="B122" i="14"/>
  <c r="AN122" i="14"/>
  <c r="Q122" i="14"/>
  <c r="H121" i="15"/>
  <c r="J122" i="14"/>
  <c r="L134" i="14"/>
  <c r="AI127" i="14"/>
  <c r="AG127" i="14"/>
  <c r="M141" i="29"/>
  <c r="G78" i="25"/>
  <c r="L274" i="28"/>
  <c r="AO193" i="30"/>
  <c r="AM197" i="30"/>
  <c r="AO197" i="30" s="1"/>
  <c r="S70" i="22"/>
  <c r="H79" i="22"/>
  <c r="U70" i="22" s="1"/>
  <c r="AY22" i="19"/>
  <c r="CT188" i="14" s="1"/>
  <c r="AZ188" i="14"/>
  <c r="AY15" i="19"/>
  <c r="CT181" i="14" s="1"/>
  <c r="AZ181" i="14"/>
  <c r="AY12" i="19"/>
  <c r="CT178" i="14" s="1"/>
  <c r="AZ178" i="14"/>
  <c r="AY30" i="19"/>
  <c r="CT196" i="14" s="1"/>
  <c r="AZ196" i="14"/>
  <c r="AY33" i="19"/>
  <c r="CT199" i="14" s="1"/>
  <c r="AZ199" i="14"/>
  <c r="AY10" i="19"/>
  <c r="CT176" i="14" s="1"/>
  <c r="AZ176" i="14"/>
  <c r="AZ195" i="14"/>
  <c r="AY29" i="19"/>
  <c r="CT195" i="14" s="1"/>
  <c r="AY24" i="19"/>
  <c r="CT190" i="14" s="1"/>
  <c r="AZ190" i="14"/>
  <c r="H160" i="29"/>
  <c r="H158" i="29"/>
  <c r="H159" i="29"/>
  <c r="H157" i="29"/>
  <c r="AG191" i="14"/>
  <c r="AI191" i="14"/>
  <c r="L198" i="14"/>
  <c r="S70" i="21"/>
  <c r="L77" i="21" s="1"/>
  <c r="H79" i="21"/>
  <c r="U70" i="21" s="1"/>
  <c r="N79" i="21" s="1"/>
  <c r="AM187" i="30"/>
  <c r="AM186" i="30"/>
  <c r="AY35" i="2"/>
  <c r="CT141" i="14" s="1"/>
  <c r="AZ141" i="14"/>
  <c r="AY32" i="2"/>
  <c r="CT138" i="14" s="1"/>
  <c r="AZ138" i="14"/>
  <c r="AY18" i="2"/>
  <c r="CT124" i="14" s="1"/>
  <c r="AZ124" i="14"/>
  <c r="AY14" i="19"/>
  <c r="CT180" i="14" s="1"/>
  <c r="AZ180" i="14"/>
  <c r="C18" i="22"/>
  <c r="D19" i="22"/>
  <c r="K144" i="29"/>
  <c r="K77" i="23"/>
  <c r="O79" i="18"/>
  <c r="O88" i="18"/>
  <c r="V17" i="18"/>
  <c r="D16" i="18"/>
  <c r="C16" i="18" s="1"/>
  <c r="G277" i="28"/>
  <c r="L149" i="29"/>
  <c r="T69" i="24"/>
  <c r="I275" i="28"/>
  <c r="I151" i="29"/>
  <c r="T71" i="22"/>
  <c r="AA15" i="2"/>
  <c r="L134" i="29"/>
  <c r="N70" i="24"/>
  <c r="V16" i="19"/>
  <c r="D15" i="19"/>
  <c r="C15" i="19" s="1"/>
  <c r="AY10" i="2"/>
  <c r="CT116" i="14" s="1"/>
  <c r="AZ116" i="14"/>
  <c r="AY23" i="2"/>
  <c r="CT129" i="14" s="1"/>
  <c r="AZ129" i="14"/>
  <c r="AY24" i="2"/>
  <c r="CT130" i="14" s="1"/>
  <c r="AZ130" i="14"/>
  <c r="AY8" i="2"/>
  <c r="CT114" i="14" s="1"/>
  <c r="AZ114" i="14"/>
  <c r="AY16" i="2"/>
  <c r="CT122" i="14" s="1"/>
  <c r="AZ122" i="14"/>
  <c r="AY33" i="2"/>
  <c r="CT139" i="14" s="1"/>
  <c r="AZ139" i="14"/>
  <c r="AZ140" i="14"/>
  <c r="AY34" i="2"/>
  <c r="CT140" i="14" s="1"/>
  <c r="E183" i="14"/>
  <c r="B182" i="14"/>
  <c r="AN182" i="14"/>
  <c r="C182" i="14"/>
  <c r="D182" i="14" s="1"/>
  <c r="Q182" i="14"/>
  <c r="H181" i="15"/>
  <c r="J182" i="14"/>
  <c r="I73" i="26"/>
  <c r="N69" i="26"/>
  <c r="I69" i="27"/>
  <c r="H153" i="29"/>
  <c r="AY23" i="19"/>
  <c r="CT189" i="14" s="1"/>
  <c r="AZ189" i="14"/>
  <c r="AY19" i="19"/>
  <c r="CT185" i="14" s="1"/>
  <c r="AZ185" i="14"/>
  <c r="AY28" i="19"/>
  <c r="CT194" i="14" s="1"/>
  <c r="AZ194" i="14"/>
  <c r="AY27" i="19"/>
  <c r="CT193" i="14" s="1"/>
  <c r="AZ193" i="14"/>
  <c r="AY26" i="19"/>
  <c r="CT192" i="14" s="1"/>
  <c r="AZ192" i="14"/>
  <c r="AY11" i="19"/>
  <c r="CT177" i="14" s="1"/>
  <c r="AZ177" i="14"/>
  <c r="AY25" i="19"/>
  <c r="CT191" i="14" s="1"/>
  <c r="AZ191" i="14"/>
  <c r="S72" i="22"/>
  <c r="K79" i="22"/>
  <c r="U72" i="22" s="1"/>
  <c r="AY31" i="2"/>
  <c r="CT137" i="14" s="1"/>
  <c r="AZ137" i="14"/>
  <c r="AY14" i="2"/>
  <c r="CT120" i="14" s="1"/>
  <c r="AZ120" i="14"/>
  <c r="AY13" i="2"/>
  <c r="CT119" i="14" s="1"/>
  <c r="AZ119" i="14"/>
  <c r="C190" i="30"/>
  <c r="C191" i="30"/>
  <c r="S189" i="30"/>
  <c r="P189" i="30"/>
  <c r="AG189" i="30"/>
  <c r="M189" i="30"/>
  <c r="AD189" i="30"/>
  <c r="AA189" i="30"/>
  <c r="J189" i="30"/>
  <c r="AY37" i="19"/>
  <c r="CT203" i="14" s="1"/>
  <c r="AZ203" i="14"/>
  <c r="AY34" i="19"/>
  <c r="CT200" i="14" s="1"/>
  <c r="AZ200" i="14"/>
  <c r="AY31" i="19"/>
  <c r="CT197" i="14" s="1"/>
  <c r="AZ197" i="14"/>
  <c r="AY16" i="19"/>
  <c r="CT182" i="14" s="1"/>
  <c r="AZ182" i="14"/>
  <c r="L140" i="14"/>
  <c r="AG133" i="14"/>
  <c r="AI133" i="14"/>
  <c r="O79" i="19"/>
  <c r="O88" i="19"/>
  <c r="L77" i="18"/>
  <c r="L158" i="14"/>
  <c r="AG151" i="14"/>
  <c r="AI151" i="14"/>
  <c r="AW73" i="14"/>
  <c r="AW75" i="14"/>
  <c r="AW77" i="14"/>
  <c r="AW79" i="14"/>
  <c r="AW80" i="14" s="1"/>
  <c r="AW76" i="14"/>
  <c r="AW74" i="14"/>
  <c r="AW78" i="14"/>
  <c r="G77" i="24"/>
  <c r="V16" i="26"/>
  <c r="D15" i="26"/>
  <c r="C15" i="26" s="1"/>
  <c r="L136" i="29"/>
  <c r="N72" i="24"/>
  <c r="G161" i="29"/>
  <c r="L164" i="14"/>
  <c r="AI157" i="14"/>
  <c r="AG157" i="14"/>
  <c r="L146" i="14"/>
  <c r="AI139" i="14"/>
  <c r="AG139" i="14"/>
  <c r="K142" i="29"/>
  <c r="H78" i="23"/>
  <c r="H77" i="23" s="1"/>
  <c r="N73" i="23"/>
  <c r="V17" i="28"/>
  <c r="D16" i="28"/>
  <c r="C16" i="28" s="1"/>
  <c r="AC8" i="18"/>
  <c r="AC9" i="18"/>
  <c r="AC11" i="18"/>
  <c r="AC12" i="18"/>
  <c r="AC14" i="18"/>
  <c r="AC16" i="18"/>
  <c r="AC18" i="18"/>
  <c r="AC20" i="18"/>
  <c r="AC22" i="18"/>
  <c r="AC24" i="18"/>
  <c r="AC26" i="18"/>
  <c r="AC28" i="18"/>
  <c r="AC30" i="18"/>
  <c r="AC32" i="18"/>
  <c r="AC34" i="18"/>
  <c r="AB8" i="18"/>
  <c r="AB9" i="18"/>
  <c r="AB10" i="18"/>
  <c r="AD12" i="18"/>
  <c r="AB13" i="18"/>
  <c r="AD14" i="18"/>
  <c r="AB15" i="18"/>
  <c r="AD16" i="18"/>
  <c r="AB17" i="18"/>
  <c r="AD18" i="18"/>
  <c r="AB19" i="18"/>
  <c r="AD20" i="18"/>
  <c r="AB21" i="18"/>
  <c r="AD22" i="18"/>
  <c r="AB23" i="18"/>
  <c r="AD24" i="18"/>
  <c r="AB25" i="18"/>
  <c r="AD26" i="18"/>
  <c r="AB27" i="18"/>
  <c r="AD28" i="18"/>
  <c r="AB29" i="18"/>
  <c r="AD30" i="18"/>
  <c r="AB31" i="18"/>
  <c r="AD32" i="18"/>
  <c r="AB33" i="18"/>
  <c r="AD34" i="18"/>
  <c r="AB35" i="18"/>
  <c r="AD8" i="18"/>
  <c r="AD9" i="18"/>
  <c r="AC10" i="18"/>
  <c r="AB11" i="18"/>
  <c r="AC13" i="18"/>
  <c r="AC15" i="18"/>
  <c r="AC17" i="18"/>
  <c r="AC19" i="18"/>
  <c r="AC21" i="18"/>
  <c r="AC23" i="18"/>
  <c r="AC25" i="18"/>
  <c r="AC27" i="18"/>
  <c r="AC29" i="18"/>
  <c r="AC31" i="18"/>
  <c r="AC33" i="18"/>
  <c r="AC35" i="18"/>
  <c r="AD10" i="18"/>
  <c r="AD13" i="18"/>
  <c r="AB16" i="18"/>
  <c r="AD21" i="18"/>
  <c r="AB24" i="18"/>
  <c r="AD29" i="18"/>
  <c r="AB32" i="18"/>
  <c r="AD11" i="18"/>
  <c r="AB14" i="18"/>
  <c r="AD19" i="18"/>
  <c r="AB22" i="18"/>
  <c r="AD27" i="18"/>
  <c r="AB30" i="18"/>
  <c r="AD35" i="18"/>
  <c r="AB12" i="18"/>
  <c r="AD17" i="18"/>
  <c r="AB20" i="18"/>
  <c r="AD25" i="18"/>
  <c r="AB28" i="18"/>
  <c r="AD33" i="18"/>
  <c r="AD23" i="18"/>
  <c r="AB34" i="18"/>
  <c r="AD15" i="18"/>
  <c r="AB26" i="18"/>
  <c r="AB18" i="18"/>
  <c r="AD31" i="18"/>
  <c r="AB36" i="18"/>
  <c r="AC36" i="18"/>
  <c r="AD36" i="18"/>
  <c r="AE11" i="18"/>
  <c r="AE19" i="18"/>
  <c r="AE27" i="18"/>
  <c r="AE35" i="18"/>
  <c r="AE18" i="18"/>
  <c r="AE26" i="18"/>
  <c r="AE34" i="18"/>
  <c r="AE36" i="18"/>
  <c r="AE16" i="18"/>
  <c r="AE13" i="18"/>
  <c r="AE21" i="18"/>
  <c r="AE29" i="18"/>
  <c r="AE12" i="18"/>
  <c r="AE20" i="18"/>
  <c r="AE28" i="18"/>
  <c r="AE8" i="18"/>
  <c r="AE10" i="18"/>
  <c r="AE15" i="18"/>
  <c r="AE23" i="18"/>
  <c r="AE31" i="18"/>
  <c r="AE14" i="18"/>
  <c r="AE22" i="18"/>
  <c r="AE30" i="18"/>
  <c r="AE9" i="18"/>
  <c r="AE17" i="18"/>
  <c r="AE25" i="18"/>
  <c r="AE33" i="18"/>
  <c r="AE24" i="18"/>
  <c r="AE32" i="18"/>
  <c r="AY17" i="2"/>
  <c r="CT123" i="14" s="1"/>
  <c r="AZ123" i="14"/>
  <c r="AY21" i="2"/>
  <c r="CT127" i="14" s="1"/>
  <c r="AZ127" i="14"/>
  <c r="AY19" i="2"/>
  <c r="CT125" i="14" s="1"/>
  <c r="AZ125" i="14"/>
  <c r="AY38" i="2"/>
  <c r="CT144" i="14" s="1"/>
  <c r="AZ144" i="14"/>
  <c r="AY30" i="2"/>
  <c r="CT136" i="14" s="1"/>
  <c r="AZ136" i="14"/>
  <c r="AY15" i="2"/>
  <c r="CT121" i="14" s="1"/>
  <c r="AZ121" i="14"/>
  <c r="V17" i="21"/>
  <c r="D16" i="21"/>
  <c r="C16" i="21" s="1"/>
  <c r="V17" i="23"/>
  <c r="D16" i="23"/>
  <c r="C16" i="23" s="1"/>
  <c r="K71" i="25"/>
  <c r="K70" i="25"/>
  <c r="K72" i="25"/>
  <c r="K69" i="25"/>
  <c r="M133" i="29" s="1"/>
  <c r="H275" i="28"/>
  <c r="I150" i="29"/>
  <c r="T70" i="22"/>
  <c r="AY17" i="19"/>
  <c r="CT183" i="14" s="1"/>
  <c r="AZ183" i="14"/>
  <c r="AZ179" i="14"/>
  <c r="AY13" i="19"/>
  <c r="CT179" i="14" s="1"/>
  <c r="AY20" i="19"/>
  <c r="CT186" i="14" s="1"/>
  <c r="AZ186" i="14"/>
  <c r="AZ187" i="14"/>
  <c r="AY21" i="19"/>
  <c r="CT187" i="14" s="1"/>
  <c r="AY8" i="19"/>
  <c r="CT174" i="14" s="1"/>
  <c r="AZ174" i="14"/>
  <c r="AY18" i="19"/>
  <c r="CT184" i="14" s="1"/>
  <c r="AZ184" i="14"/>
  <c r="AY35" i="19"/>
  <c r="CT201" i="14" s="1"/>
  <c r="AZ201" i="14"/>
  <c r="AY32" i="19"/>
  <c r="CT198" i="14" s="1"/>
  <c r="AZ198" i="14"/>
  <c r="G148" i="21"/>
  <c r="H148" i="21" s="1"/>
  <c r="I148" i="21" s="1"/>
  <c r="D148" i="21" s="1"/>
  <c r="G146" i="21"/>
  <c r="H146" i="21" s="1"/>
  <c r="I146" i="21" s="1"/>
  <c r="D146" i="21" s="1"/>
  <c r="G147" i="21"/>
  <c r="H147" i="21" s="1"/>
  <c r="I147" i="21" s="1"/>
  <c r="D147" i="21" s="1"/>
  <c r="S302" i="1"/>
  <c r="V17" i="27" l="1"/>
  <c r="D16" i="27"/>
  <c r="C16" i="27" s="1"/>
  <c r="AZ228" i="14"/>
  <c r="AC38" i="21"/>
  <c r="AZ214" i="14"/>
  <c r="AZ227" i="14"/>
  <c r="AZ207" i="14"/>
  <c r="AZ230" i="14"/>
  <c r="AY17" i="20"/>
  <c r="CT214" i="14" s="1"/>
  <c r="AY19" i="20"/>
  <c r="CT216" i="14" s="1"/>
  <c r="AY15" i="20"/>
  <c r="CT212" i="14" s="1"/>
  <c r="AY31" i="20"/>
  <c r="CT228" i="14" s="1"/>
  <c r="AZ206" i="14"/>
  <c r="AY9" i="20"/>
  <c r="CT206" i="14" s="1"/>
  <c r="AZ216" i="14"/>
  <c r="AY18" i="20"/>
  <c r="CT215" i="14" s="1"/>
  <c r="AZ224" i="14"/>
  <c r="AZ210" i="14"/>
  <c r="AY23" i="20"/>
  <c r="CT220" i="14" s="1"/>
  <c r="AD22" i="21"/>
  <c r="AE33" i="21"/>
  <c r="AC31" i="21"/>
  <c r="AY13" i="20"/>
  <c r="CT210" i="14" s="1"/>
  <c r="AY33" i="20"/>
  <c r="CT230" i="14" s="1"/>
  <c r="AY27" i="20"/>
  <c r="CT224" i="14" s="1"/>
  <c r="AY37" i="20"/>
  <c r="CT234" i="14" s="1"/>
  <c r="AY8" i="20"/>
  <c r="CT205" i="14" s="1"/>
  <c r="AZ209" i="14"/>
  <c r="AZ223" i="14"/>
  <c r="AZ222" i="14"/>
  <c r="AZ212" i="14"/>
  <c r="AY22" i="20"/>
  <c r="CT219" i="14" s="1"/>
  <c r="AY10" i="20"/>
  <c r="CT207" i="14" s="1"/>
  <c r="AY30" i="20"/>
  <c r="CT227" i="14" s="1"/>
  <c r="AB35" i="21"/>
  <c r="AE16" i="21"/>
  <c r="AC10" i="21"/>
  <c r="AY35" i="20"/>
  <c r="CT232" i="14" s="1"/>
  <c r="AZ220" i="14"/>
  <c r="AZ213" i="14"/>
  <c r="AY34" i="20"/>
  <c r="CT231" i="14" s="1"/>
  <c r="AZ217" i="14"/>
  <c r="AZ215" i="14"/>
  <c r="AY29" i="20"/>
  <c r="CT226" i="14" s="1"/>
  <c r="AY14" i="20"/>
  <c r="CT211" i="14" s="1"/>
  <c r="AZ208" i="14"/>
  <c r="AY36" i="20"/>
  <c r="CT233" i="14" s="1"/>
  <c r="AZ225" i="14"/>
  <c r="AY24" i="20"/>
  <c r="CT221" i="14" s="1"/>
  <c r="AY25" i="20"/>
  <c r="CT222" i="14" s="1"/>
  <c r="AY26" i="20"/>
  <c r="CT223" i="14" s="1"/>
  <c r="AZ234" i="14"/>
  <c r="AZ229" i="14"/>
  <c r="AZ221" i="14"/>
  <c r="AY20" i="20"/>
  <c r="CT217" i="14" s="1"/>
  <c r="AZ233" i="14"/>
  <c r="AY11" i="20"/>
  <c r="CT208" i="14" s="1"/>
  <c r="AY21" i="20"/>
  <c r="CT218" i="14" s="1"/>
  <c r="AY28" i="20"/>
  <c r="CT225" i="14" s="1"/>
  <c r="AY32" i="20"/>
  <c r="CT229" i="14" s="1"/>
  <c r="AZ226" i="14"/>
  <c r="AY16" i="20"/>
  <c r="CT213" i="14" s="1"/>
  <c r="AZ232" i="14"/>
  <c r="AZ205" i="14"/>
  <c r="AZ211" i="14"/>
  <c r="AY12" i="20"/>
  <c r="CT209" i="14" s="1"/>
  <c r="AZ219" i="14"/>
  <c r="AZ231" i="14"/>
  <c r="AE29" i="21"/>
  <c r="AD37" i="21"/>
  <c r="AD19" i="21"/>
  <c r="AE14" i="21"/>
  <c r="AB29" i="21"/>
  <c r="AC30" i="21"/>
  <c r="AB24" i="21"/>
  <c r="AC19" i="21"/>
  <c r="AE13" i="21"/>
  <c r="AD31" i="21"/>
  <c r="AE37" i="21"/>
  <c r="AD26" i="21"/>
  <c r="AB13" i="21"/>
  <c r="AC26" i="21"/>
  <c r="AB20" i="21"/>
  <c r="AC15" i="21"/>
  <c r="AD38" i="21"/>
  <c r="AE32" i="21"/>
  <c r="AD8" i="21"/>
  <c r="AD9" i="21"/>
  <c r="AB17" i="21"/>
  <c r="AC14" i="21"/>
  <c r="AC35" i="21"/>
  <c r="E150" i="27"/>
  <c r="AE15" i="21"/>
  <c r="AE26" i="21"/>
  <c r="AD29" i="21"/>
  <c r="AE35" i="21"/>
  <c r="AD20" i="21"/>
  <c r="AE20" i="21"/>
  <c r="AE17" i="21"/>
  <c r="AD32" i="21"/>
  <c r="AC36" i="21"/>
  <c r="AB23" i="21"/>
  <c r="AB19" i="21"/>
  <c r="AC22" i="21"/>
  <c r="AB32" i="21"/>
  <c r="AB16" i="21"/>
  <c r="AC27" i="21"/>
  <c r="AC11" i="21"/>
  <c r="I153" i="29"/>
  <c r="AE12" i="21"/>
  <c r="AE10" i="21"/>
  <c r="AD13" i="21"/>
  <c r="AE19" i="21"/>
  <c r="AD35" i="21"/>
  <c r="AD24" i="21"/>
  <c r="AE30" i="21"/>
  <c r="AD25" i="21"/>
  <c r="AC37" i="21"/>
  <c r="AB33" i="21"/>
  <c r="AC34" i="21"/>
  <c r="AC18" i="21"/>
  <c r="AB28" i="21"/>
  <c r="AB12" i="21"/>
  <c r="AC23" i="21"/>
  <c r="AC8" i="21"/>
  <c r="I157" i="29"/>
  <c r="V182" i="30"/>
  <c r="L78" i="22"/>
  <c r="AC16" i="22" s="1"/>
  <c r="AE31" i="21"/>
  <c r="AE38" i="21"/>
  <c r="AE34" i="21"/>
  <c r="AD10" i="21"/>
  <c r="AD16" i="21"/>
  <c r="AE23" i="21"/>
  <c r="AD15" i="21"/>
  <c r="AE11" i="21"/>
  <c r="AD18" i="21"/>
  <c r="AD27" i="21"/>
  <c r="AE8" i="21"/>
  <c r="AD23" i="21"/>
  <c r="AE25" i="21"/>
  <c r="AE22" i="21"/>
  <c r="AD12" i="21"/>
  <c r="AD17" i="21"/>
  <c r="AB38" i="21"/>
  <c r="AB21" i="21"/>
  <c r="AB31" i="21"/>
  <c r="AB25" i="21"/>
  <c r="AB27" i="21"/>
  <c r="AC32" i="21"/>
  <c r="AC24" i="21"/>
  <c r="AC16" i="21"/>
  <c r="AB34" i="21"/>
  <c r="AB26" i="21"/>
  <c r="AB18" i="21"/>
  <c r="AB10" i="21"/>
  <c r="AC29" i="21"/>
  <c r="AC21" i="21"/>
  <c r="AC13" i="21"/>
  <c r="W181" i="30"/>
  <c r="AE28" i="21"/>
  <c r="AE21" i="21"/>
  <c r="AE18" i="21"/>
  <c r="AD28" i="21"/>
  <c r="AD21" i="21"/>
  <c r="AD30" i="21"/>
  <c r="AE27" i="21"/>
  <c r="AE24" i="21"/>
  <c r="AD14" i="21"/>
  <c r="AD11" i="21"/>
  <c r="AD34" i="21"/>
  <c r="AE36" i="21"/>
  <c r="AE9" i="21"/>
  <c r="AD36" i="21"/>
  <c r="AD33" i="21"/>
  <c r="AB37" i="21"/>
  <c r="AB36" i="21"/>
  <c r="AB8" i="21"/>
  <c r="AB15" i="21"/>
  <c r="AB9" i="21"/>
  <c r="AB11" i="21"/>
  <c r="AC28" i="21"/>
  <c r="AC20" i="21"/>
  <c r="AC12" i="21"/>
  <c r="AB30" i="21"/>
  <c r="AB22" i="21"/>
  <c r="AB14" i="21"/>
  <c r="AC33" i="21"/>
  <c r="AC25" i="21"/>
  <c r="AC17" i="21"/>
  <c r="L137" i="29"/>
  <c r="I159" i="29"/>
  <c r="H13" i="16"/>
  <c r="Z69" i="1" s="1"/>
  <c r="X2" i="14" s="1"/>
  <c r="V18" i="20"/>
  <c r="D17" i="20"/>
  <c r="C17" i="20" s="1"/>
  <c r="I158" i="29"/>
  <c r="L86" i="19"/>
  <c r="E119" i="29" s="1"/>
  <c r="V18" i="24"/>
  <c r="D17" i="24"/>
  <c r="C17" i="24" s="1"/>
  <c r="S71" i="23"/>
  <c r="I79" i="23"/>
  <c r="U71" i="23" s="1"/>
  <c r="AY34" i="18"/>
  <c r="CT171" i="14" s="1"/>
  <c r="AZ171" i="14"/>
  <c r="AY33" i="18"/>
  <c r="CT170" i="14" s="1"/>
  <c r="AZ170" i="14"/>
  <c r="AY21" i="18"/>
  <c r="CT158" i="14" s="1"/>
  <c r="AZ158" i="14"/>
  <c r="AY13" i="18"/>
  <c r="CT150" i="14" s="1"/>
  <c r="AZ150" i="14"/>
  <c r="L144" i="29"/>
  <c r="K77" i="24"/>
  <c r="V17" i="26"/>
  <c r="D16" i="26"/>
  <c r="C16" i="26" s="1"/>
  <c r="AM191" i="30"/>
  <c r="AM190" i="30"/>
  <c r="V17" i="19"/>
  <c r="D16" i="19"/>
  <c r="C16" i="19" s="1"/>
  <c r="G146" i="22"/>
  <c r="H146" i="22" s="1"/>
  <c r="I146" i="22" s="1"/>
  <c r="D146" i="22" s="1"/>
  <c r="G148" i="22"/>
  <c r="H148" i="22" s="1"/>
  <c r="I148" i="22" s="1"/>
  <c r="D148" i="22" s="1"/>
  <c r="G147" i="22"/>
  <c r="H147" i="22" s="1"/>
  <c r="I147" i="22" s="1"/>
  <c r="D147" i="22" s="1"/>
  <c r="V302" i="1"/>
  <c r="M134" i="29"/>
  <c r="N70" i="25"/>
  <c r="V18" i="23"/>
  <c r="D17" i="23"/>
  <c r="C17" i="23" s="1"/>
  <c r="V18" i="21"/>
  <c r="D17" i="21"/>
  <c r="C17" i="21" s="1"/>
  <c r="AY36" i="18"/>
  <c r="CT173" i="14" s="1"/>
  <c r="AZ173" i="14"/>
  <c r="AZ165" i="14"/>
  <c r="AY28" i="18"/>
  <c r="CT165" i="14" s="1"/>
  <c r="AZ149" i="14"/>
  <c r="AY12" i="18"/>
  <c r="CT149" i="14" s="1"/>
  <c r="AY22" i="18"/>
  <c r="CT159" i="14" s="1"/>
  <c r="AZ159" i="14"/>
  <c r="AZ169" i="14"/>
  <c r="AY32" i="18"/>
  <c r="CT169" i="14" s="1"/>
  <c r="AZ153" i="14"/>
  <c r="AY16" i="18"/>
  <c r="CT153" i="14" s="1"/>
  <c r="AY9" i="18"/>
  <c r="CT146" i="14" s="1"/>
  <c r="AZ146" i="14"/>
  <c r="H276" i="28"/>
  <c r="K150" i="29"/>
  <c r="T70" i="23"/>
  <c r="AI158" i="14"/>
  <c r="L165" i="14"/>
  <c r="AG158" i="14"/>
  <c r="AI140" i="14"/>
  <c r="AG140" i="14"/>
  <c r="L147" i="14"/>
  <c r="E184" i="14"/>
  <c r="B183" i="14"/>
  <c r="C183" i="14"/>
  <c r="D183" i="14" s="1"/>
  <c r="AN183" i="14"/>
  <c r="Q183" i="14"/>
  <c r="J183" i="14"/>
  <c r="H182" i="15"/>
  <c r="L142" i="29"/>
  <c r="H78" i="24"/>
  <c r="H77" i="24" s="1"/>
  <c r="N73" i="24"/>
  <c r="C19" i="22"/>
  <c r="D20" i="22"/>
  <c r="AO187" i="30"/>
  <c r="L205" i="14"/>
  <c r="AI198" i="14"/>
  <c r="AG198" i="14"/>
  <c r="H161" i="29"/>
  <c r="N79" i="22"/>
  <c r="L141" i="14"/>
  <c r="AI134" i="14"/>
  <c r="AG134" i="14"/>
  <c r="B123" i="14"/>
  <c r="E124" i="14"/>
  <c r="C123" i="14"/>
  <c r="D123" i="14" s="1"/>
  <c r="AN123" i="14"/>
  <c r="Q123" i="14"/>
  <c r="H122" i="15"/>
  <c r="J123" i="14"/>
  <c r="L86" i="20"/>
  <c r="G119" i="29" s="1"/>
  <c r="BC59" i="14"/>
  <c r="BA72" i="14"/>
  <c r="BB60" i="14"/>
  <c r="V19" i="2"/>
  <c r="D18" i="2"/>
  <c r="C18" i="2" s="1"/>
  <c r="M135" i="29"/>
  <c r="N71" i="25"/>
  <c r="AY29" i="18"/>
  <c r="CT166" i="14" s="1"/>
  <c r="AZ166" i="14"/>
  <c r="AZ145" i="14"/>
  <c r="AY8" i="18"/>
  <c r="CT145" i="14" s="1"/>
  <c r="G278" i="28"/>
  <c r="T69" i="25"/>
  <c r="M149" i="29"/>
  <c r="V18" i="25"/>
  <c r="D17" i="25"/>
  <c r="C17" i="25" s="1"/>
  <c r="L275" i="28"/>
  <c r="AY18" i="18"/>
  <c r="CT155" i="14" s="1"/>
  <c r="AZ155" i="14"/>
  <c r="AZ157" i="14"/>
  <c r="AY20" i="18"/>
  <c r="CT157" i="14" s="1"/>
  <c r="AY30" i="18"/>
  <c r="CT167" i="14" s="1"/>
  <c r="AZ167" i="14"/>
  <c r="AY14" i="18"/>
  <c r="CT151" i="14" s="1"/>
  <c r="AZ151" i="14"/>
  <c r="AZ161" i="14"/>
  <c r="AY24" i="18"/>
  <c r="CT161" i="14" s="1"/>
  <c r="V18" i="28"/>
  <c r="D17" i="28"/>
  <c r="C17" i="28" s="1"/>
  <c r="K145" i="29"/>
  <c r="AI146" i="14"/>
  <c r="L153" i="14"/>
  <c r="AG146" i="14"/>
  <c r="AN191" i="30"/>
  <c r="G78" i="26"/>
  <c r="G77" i="26" s="1"/>
  <c r="O141" i="29"/>
  <c r="S72" i="23"/>
  <c r="K79" i="23"/>
  <c r="U72" i="23" s="1"/>
  <c r="O79" i="21"/>
  <c r="O88" i="21"/>
  <c r="M197" i="30"/>
  <c r="AD197" i="30"/>
  <c r="J197" i="30"/>
  <c r="AA197" i="30"/>
  <c r="S197" i="30"/>
  <c r="C199" i="30"/>
  <c r="P197" i="30"/>
  <c r="AG197" i="30"/>
  <c r="C198" i="30"/>
  <c r="AE408" i="1"/>
  <c r="E150" i="26"/>
  <c r="AH408" i="1"/>
  <c r="G77" i="25"/>
  <c r="AA16" i="2"/>
  <c r="L143" i="29"/>
  <c r="I78" i="24"/>
  <c r="I77" i="24" s="1"/>
  <c r="AY25" i="18"/>
  <c r="CT162" i="14" s="1"/>
  <c r="AZ162" i="14"/>
  <c r="AY17" i="18"/>
  <c r="CT154" i="14" s="1"/>
  <c r="AZ154" i="14"/>
  <c r="S70" i="23"/>
  <c r="H79" i="23"/>
  <c r="U70" i="23" s="1"/>
  <c r="K86" i="18"/>
  <c r="I86" i="18"/>
  <c r="G86" i="18"/>
  <c r="H86" i="18"/>
  <c r="I73" i="27"/>
  <c r="N69" i="27"/>
  <c r="I69" i="28"/>
  <c r="L77" i="22"/>
  <c r="M136" i="29"/>
  <c r="N72" i="25"/>
  <c r="AY26" i="18"/>
  <c r="CT163" i="14" s="1"/>
  <c r="AZ163" i="14"/>
  <c r="AY11" i="18"/>
  <c r="CT148" i="14" s="1"/>
  <c r="AZ148" i="14"/>
  <c r="AY35" i="18"/>
  <c r="CT172" i="14" s="1"/>
  <c r="AZ172" i="14"/>
  <c r="AY31" i="18"/>
  <c r="CT168" i="14" s="1"/>
  <c r="AZ168" i="14"/>
  <c r="AY27" i="18"/>
  <c r="CT164" i="14" s="1"/>
  <c r="AZ164" i="14"/>
  <c r="AY23" i="18"/>
  <c r="CT160" i="14" s="1"/>
  <c r="AZ160" i="14"/>
  <c r="AY19" i="18"/>
  <c r="CT156" i="14" s="1"/>
  <c r="AZ156" i="14"/>
  <c r="AY15" i="18"/>
  <c r="CT152" i="14" s="1"/>
  <c r="AZ152" i="14"/>
  <c r="AY10" i="18"/>
  <c r="CT147" i="14" s="1"/>
  <c r="AZ147" i="14"/>
  <c r="AI164" i="14"/>
  <c r="AG164" i="14"/>
  <c r="L171" i="14"/>
  <c r="S69" i="24"/>
  <c r="G79" i="24"/>
  <c r="U69" i="24" s="1"/>
  <c r="K72" i="26"/>
  <c r="K71" i="26"/>
  <c r="K70" i="26"/>
  <c r="K69" i="26"/>
  <c r="O133" i="29" s="1"/>
  <c r="V18" i="18"/>
  <c r="D17" i="18"/>
  <c r="C17" i="18" s="1"/>
  <c r="I86" i="21"/>
  <c r="H86" i="21"/>
  <c r="K86" i="21"/>
  <c r="G86" i="21"/>
  <c r="C194" i="30"/>
  <c r="C195" i="30"/>
  <c r="P193" i="30"/>
  <c r="AG193" i="30"/>
  <c r="M193" i="30"/>
  <c r="AD193" i="30"/>
  <c r="J193" i="30"/>
  <c r="AA193" i="30"/>
  <c r="S193" i="30"/>
  <c r="AI152" i="14"/>
  <c r="AG152" i="14"/>
  <c r="L159" i="14"/>
  <c r="AY73" i="14"/>
  <c r="AY78" i="14"/>
  <c r="AY79" i="14"/>
  <c r="AY80" i="14" s="1"/>
  <c r="AY77" i="14"/>
  <c r="AY76" i="14"/>
  <c r="AY75" i="14"/>
  <c r="AY74" i="14"/>
  <c r="V26" i="22"/>
  <c r="L163" i="2"/>
  <c r="L163" i="28"/>
  <c r="L163" i="26"/>
  <c r="L163" i="25"/>
  <c r="L163" i="27"/>
  <c r="L163" i="24"/>
  <c r="L163" i="23"/>
  <c r="L163" i="22"/>
  <c r="L163" i="19"/>
  <c r="L163" i="21"/>
  <c r="L163" i="18"/>
  <c r="L163" i="20"/>
  <c r="C204" i="29"/>
  <c r="C121" i="15"/>
  <c r="O503" i="14"/>
  <c r="I276" i="28"/>
  <c r="K151" i="29"/>
  <c r="T71" i="23"/>
  <c r="AE28" i="22" l="1"/>
  <c r="AC18" i="22"/>
  <c r="AD27" i="22"/>
  <c r="D17" i="27"/>
  <c r="C17" i="27" s="1"/>
  <c r="V18" i="27"/>
  <c r="R18" i="27" s="1"/>
  <c r="AR429" i="14" s="1"/>
  <c r="AB33" i="22"/>
  <c r="AC27" i="22"/>
  <c r="AB19" i="22"/>
  <c r="AE26" i="22"/>
  <c r="AD24" i="22"/>
  <c r="AB32" i="22"/>
  <c r="AE30" i="22"/>
  <c r="AD33" i="22"/>
  <c r="AC34" i="22"/>
  <c r="AB37" i="22"/>
  <c r="AE11" i="22"/>
  <c r="AC11" i="22"/>
  <c r="AY26" i="21"/>
  <c r="CT253" i="14" s="1"/>
  <c r="AE17" i="22"/>
  <c r="AE8" i="22"/>
  <c r="AB30" i="22"/>
  <c r="AE27" i="22"/>
  <c r="AD23" i="22"/>
  <c r="AC15" i="22"/>
  <c r="AD12" i="22"/>
  <c r="AB34" i="22"/>
  <c r="AB8" i="22"/>
  <c r="AB13" i="22"/>
  <c r="AB35" i="22"/>
  <c r="AD11" i="22"/>
  <c r="AC31" i="22"/>
  <c r="AD28" i="22"/>
  <c r="AC22" i="22"/>
  <c r="AY32" i="21"/>
  <c r="CT259" i="14" s="1"/>
  <c r="AZ257" i="14"/>
  <c r="AZ244" i="14"/>
  <c r="AY16" i="21"/>
  <c r="CT243" i="14" s="1"/>
  <c r="AY37" i="21"/>
  <c r="CT264" i="14" s="1"/>
  <c r="AY24" i="21"/>
  <c r="CT251" i="14" s="1"/>
  <c r="AY23" i="21"/>
  <c r="CT250" i="14" s="1"/>
  <c r="AY13" i="21"/>
  <c r="CT240" i="14" s="1"/>
  <c r="AZ249" i="14"/>
  <c r="AY34" i="21"/>
  <c r="CT261" i="14" s="1"/>
  <c r="AZ235" i="14"/>
  <c r="AB9" i="22"/>
  <c r="AB20" i="22"/>
  <c r="AE12" i="22"/>
  <c r="AB18" i="22"/>
  <c r="AE10" i="22"/>
  <c r="AE9" i="22"/>
  <c r="AE32" i="22"/>
  <c r="AD37" i="22"/>
  <c r="AD21" i="22"/>
  <c r="AD17" i="22"/>
  <c r="AC23" i="22"/>
  <c r="AC8" i="22"/>
  <c r="AD20" i="22"/>
  <c r="AC30" i="22"/>
  <c r="AC14" i="22"/>
  <c r="AY20" i="21"/>
  <c r="CT247" i="14" s="1"/>
  <c r="AY15" i="21"/>
  <c r="CT242" i="14" s="1"/>
  <c r="AZ240" i="14"/>
  <c r="AZ245" i="14"/>
  <c r="AZ258" i="14"/>
  <c r="AY12" i="21"/>
  <c r="CT239" i="14" s="1"/>
  <c r="AZ260" i="14"/>
  <c r="AZ237" i="14"/>
  <c r="AY19" i="21"/>
  <c r="CT246" i="14" s="1"/>
  <c r="AY29" i="21"/>
  <c r="CT256" i="14" s="1"/>
  <c r="AE22" i="22"/>
  <c r="AB23" i="22"/>
  <c r="AE23" i="22"/>
  <c r="AB29" i="22"/>
  <c r="AE21" i="22"/>
  <c r="AB16" i="22"/>
  <c r="AE16" i="22"/>
  <c r="AD36" i="22"/>
  <c r="AD8" i="22"/>
  <c r="AC35" i="22"/>
  <c r="AC19" i="22"/>
  <c r="AD32" i="22"/>
  <c r="AD16" i="22"/>
  <c r="AC26" i="22"/>
  <c r="AC10" i="22"/>
  <c r="AY22" i="21"/>
  <c r="CT249" i="14" s="1"/>
  <c r="AZ259" i="14"/>
  <c r="AZ255" i="14"/>
  <c r="AY35" i="21"/>
  <c r="CT262" i="14" s="1"/>
  <c r="AZ247" i="14"/>
  <c r="AY17" i="21"/>
  <c r="CT244" i="14" s="1"/>
  <c r="AY8" i="21"/>
  <c r="CT235" i="14" s="1"/>
  <c r="AZ246" i="14"/>
  <c r="AZ262" i="14"/>
  <c r="AZ242" i="14"/>
  <c r="AY25" i="21"/>
  <c r="CT252" i="14" s="1"/>
  <c r="AZ238" i="14"/>
  <c r="AZ263" i="14"/>
  <c r="AY9" i="21"/>
  <c r="CT236" i="14" s="1"/>
  <c r="AY14" i="21"/>
  <c r="CT241" i="14" s="1"/>
  <c r="AZ248" i="14"/>
  <c r="AZ256" i="14"/>
  <c r="AZ261" i="14"/>
  <c r="AZ254" i="14"/>
  <c r="AZ265" i="14"/>
  <c r="AY18" i="21"/>
  <c r="CT245" i="14" s="1"/>
  <c r="AY31" i="21"/>
  <c r="CT258" i="14" s="1"/>
  <c r="AZ253" i="14"/>
  <c r="I161" i="29"/>
  <c r="AY33" i="21"/>
  <c r="CT260" i="14" s="1"/>
  <c r="AZ239" i="14"/>
  <c r="AZ264" i="14"/>
  <c r="AZ251" i="14"/>
  <c r="AY10" i="21"/>
  <c r="CT237" i="14" s="1"/>
  <c r="AZ250" i="14"/>
  <c r="AZ241" i="14"/>
  <c r="AZ236" i="14"/>
  <c r="AZ243" i="14"/>
  <c r="AZ252" i="14"/>
  <c r="AN195" i="30"/>
  <c r="AY28" i="21"/>
  <c r="CT255" i="14" s="1"/>
  <c r="AY36" i="21"/>
  <c r="CT263" i="14" s="1"/>
  <c r="AY11" i="21"/>
  <c r="CT238" i="14" s="1"/>
  <c r="AY30" i="21"/>
  <c r="CT257" i="14" s="1"/>
  <c r="AY21" i="21"/>
  <c r="CT248" i="14" s="1"/>
  <c r="AY27" i="21"/>
  <c r="CT254" i="14" s="1"/>
  <c r="AY38" i="21"/>
  <c r="CT265" i="14" s="1"/>
  <c r="K209" i="2"/>
  <c r="BH79" i="15"/>
  <c r="BH106" i="15" s="1"/>
  <c r="M45" i="1"/>
  <c r="K209" i="21"/>
  <c r="C58" i="29"/>
  <c r="M85" i="1"/>
  <c r="K209" i="26"/>
  <c r="K209" i="27"/>
  <c r="K209" i="22"/>
  <c r="M125" i="1"/>
  <c r="K209" i="19"/>
  <c r="K209" i="20"/>
  <c r="AL93" i="30"/>
  <c r="K209" i="23"/>
  <c r="K209" i="28"/>
  <c r="K209" i="18"/>
  <c r="C112" i="29"/>
  <c r="K209" i="25"/>
  <c r="H159" i="16"/>
  <c r="C120" i="15" s="1"/>
  <c r="K209" i="24"/>
  <c r="C163" i="29"/>
  <c r="AB28" i="22"/>
  <c r="AE36" i="22"/>
  <c r="AB14" i="22"/>
  <c r="AB31" i="22"/>
  <c r="AE37" i="22"/>
  <c r="AE31" i="22"/>
  <c r="AE14" i="22"/>
  <c r="AB12" i="22"/>
  <c r="AE34" i="22"/>
  <c r="AE29" i="22"/>
  <c r="AB25" i="22"/>
  <c r="AB22" i="22"/>
  <c r="AB27" i="22"/>
  <c r="AE24" i="22"/>
  <c r="AE19" i="22"/>
  <c r="AC37" i="22"/>
  <c r="AD19" i="22"/>
  <c r="AD13" i="22"/>
  <c r="AD15" i="22"/>
  <c r="AD9" i="22"/>
  <c r="AC29" i="22"/>
  <c r="AC21" i="22"/>
  <c r="AC13" i="22"/>
  <c r="AD34" i="22"/>
  <c r="AD26" i="22"/>
  <c r="AD18" i="22"/>
  <c r="AD10" i="22"/>
  <c r="AC28" i="22"/>
  <c r="AC20" i="22"/>
  <c r="AC12" i="22"/>
  <c r="L86" i="18"/>
  <c r="D119" i="29" s="1"/>
  <c r="F119" i="29" s="1"/>
  <c r="L77" i="23"/>
  <c r="I86" i="23" s="1"/>
  <c r="AB36" i="22"/>
  <c r="AB17" i="22"/>
  <c r="AE33" i="22"/>
  <c r="AB26" i="22"/>
  <c r="AB15" i="22"/>
  <c r="AE20" i="22"/>
  <c r="AE15" i="22"/>
  <c r="AB24" i="22"/>
  <c r="AB21" i="22"/>
  <c r="AE18" i="22"/>
  <c r="AE13" i="22"/>
  <c r="AE25" i="22"/>
  <c r="AB10" i="22"/>
  <c r="AB11" i="22"/>
  <c r="AE35" i="22"/>
  <c r="AC36" i="22"/>
  <c r="AD35" i="22"/>
  <c r="AD29" i="22"/>
  <c r="AD31" i="22"/>
  <c r="AD25" i="22"/>
  <c r="AC33" i="22"/>
  <c r="AC25" i="22"/>
  <c r="AC17" i="22"/>
  <c r="AC9" i="22"/>
  <c r="AD30" i="22"/>
  <c r="AD22" i="22"/>
  <c r="AD14" i="22"/>
  <c r="AC32" i="22"/>
  <c r="AC24" i="22"/>
  <c r="N79" i="23"/>
  <c r="O88" i="23" s="1"/>
  <c r="AK408" i="1"/>
  <c r="AK401" i="1" s="1"/>
  <c r="M137" i="29"/>
  <c r="V19" i="24"/>
  <c r="T19" i="24" s="1"/>
  <c r="Y19" i="24" s="1"/>
  <c r="D18" i="24"/>
  <c r="C18" i="24" s="1"/>
  <c r="V19" i="20"/>
  <c r="E19" i="20" s="1"/>
  <c r="G216" i="14" s="1"/>
  <c r="D18" i="20"/>
  <c r="C18" i="20" s="1"/>
  <c r="S70" i="24"/>
  <c r="H79" i="24"/>
  <c r="U70" i="24" s="1"/>
  <c r="AE402" i="1"/>
  <c r="AE401" i="1"/>
  <c r="AE403" i="1"/>
  <c r="AE404" i="1"/>
  <c r="AE405" i="1"/>
  <c r="AE407" i="1"/>
  <c r="AE406" i="1"/>
  <c r="D133" i="15"/>
  <c r="V20" i="2"/>
  <c r="U20" i="2" s="1"/>
  <c r="Z20" i="2" s="1"/>
  <c r="D19" i="2"/>
  <c r="C19" i="2" s="1"/>
  <c r="L148" i="14"/>
  <c r="AI141" i="14"/>
  <c r="AG141" i="14"/>
  <c r="M142" i="29"/>
  <c r="H78" i="25"/>
  <c r="H77" i="25" s="1"/>
  <c r="N73" i="25"/>
  <c r="A98" i="29"/>
  <c r="A64" i="29"/>
  <c r="A68" i="29" s="1"/>
  <c r="A72" i="29" s="1"/>
  <c r="A76" i="29" s="1"/>
  <c r="A80" i="29" s="1"/>
  <c r="A84" i="29" s="1"/>
  <c r="A88" i="29" s="1"/>
  <c r="A102" i="29"/>
  <c r="A101" i="29"/>
  <c r="A99" i="29"/>
  <c r="A18" i="29"/>
  <c r="A22" i="29" s="1"/>
  <c r="A26" i="29" s="1"/>
  <c r="A30" i="29" s="1"/>
  <c r="A34" i="29" s="1"/>
  <c r="A38" i="29" s="1"/>
  <c r="A42" i="29" s="1"/>
  <c r="A100" i="29"/>
  <c r="A104" i="29"/>
  <c r="A103" i="29"/>
  <c r="U16" i="19"/>
  <c r="Z16" i="19" s="1"/>
  <c r="U8" i="19"/>
  <c r="Z8" i="19" s="1"/>
  <c r="U12" i="19"/>
  <c r="Z12" i="19" s="1"/>
  <c r="U11" i="19"/>
  <c r="Z11" i="19" s="1"/>
  <c r="U15" i="19"/>
  <c r="Z15" i="19" s="1"/>
  <c r="U17" i="19"/>
  <c r="Z17" i="19" s="1"/>
  <c r="U9" i="19"/>
  <c r="Z9" i="19" s="1"/>
  <c r="U13" i="19"/>
  <c r="Z13" i="19" s="1"/>
  <c r="U10" i="19"/>
  <c r="Z10" i="19" s="1"/>
  <c r="U14" i="19"/>
  <c r="Z14" i="19" s="1"/>
  <c r="T14" i="19"/>
  <c r="Y14" i="19" s="1"/>
  <c r="T13" i="19"/>
  <c r="Y13" i="19" s="1"/>
  <c r="T15" i="19"/>
  <c r="Y15" i="19" s="1"/>
  <c r="R16" i="19"/>
  <c r="AR182" i="14" s="1"/>
  <c r="R8" i="19"/>
  <c r="AR174" i="14" s="1"/>
  <c r="R11" i="19"/>
  <c r="AR177" i="14" s="1"/>
  <c r="R17" i="19"/>
  <c r="AR183" i="14" s="1"/>
  <c r="S13" i="19"/>
  <c r="X13" i="19" s="1"/>
  <c r="S8" i="19"/>
  <c r="X8" i="19" s="1"/>
  <c r="S14" i="19"/>
  <c r="X14" i="19" s="1"/>
  <c r="T8" i="19"/>
  <c r="Y8" i="19" s="1"/>
  <c r="T12" i="19"/>
  <c r="Y12" i="19" s="1"/>
  <c r="T9" i="19"/>
  <c r="Y9" i="19" s="1"/>
  <c r="T11" i="19"/>
  <c r="Y11" i="19" s="1"/>
  <c r="R14" i="19"/>
  <c r="AR180" i="14" s="1"/>
  <c r="R9" i="19"/>
  <c r="AR175" i="14" s="1"/>
  <c r="S11" i="19"/>
  <c r="X11" i="19" s="1"/>
  <c r="R10" i="19"/>
  <c r="AR176" i="14" s="1"/>
  <c r="T10" i="19"/>
  <c r="Y10" i="19" s="1"/>
  <c r="R12" i="19"/>
  <c r="AR178" i="14" s="1"/>
  <c r="S17" i="19"/>
  <c r="X17" i="19" s="1"/>
  <c r="S9" i="19"/>
  <c r="X9" i="19" s="1"/>
  <c r="S16" i="19"/>
  <c r="X16" i="19" s="1"/>
  <c r="S10" i="19"/>
  <c r="X10" i="19" s="1"/>
  <c r="T16" i="19"/>
  <c r="Y16" i="19" s="1"/>
  <c r="T17" i="19"/>
  <c r="Y17" i="19" s="1"/>
  <c r="R15" i="19"/>
  <c r="AR181" i="14" s="1"/>
  <c r="R13" i="19"/>
  <c r="AR179" i="14" s="1"/>
  <c r="S15" i="19"/>
  <c r="X15" i="19" s="1"/>
  <c r="S12" i="19"/>
  <c r="X12" i="19" s="1"/>
  <c r="R14" i="27"/>
  <c r="AR425" i="14" s="1"/>
  <c r="S13" i="27"/>
  <c r="X13" i="27" s="1"/>
  <c r="S16" i="27"/>
  <c r="X16" i="27" s="1"/>
  <c r="S10" i="27"/>
  <c r="X10" i="27" s="1"/>
  <c r="U13" i="27"/>
  <c r="Z13" i="27" s="1"/>
  <c r="U14" i="27"/>
  <c r="Z14" i="27" s="1"/>
  <c r="T14" i="27"/>
  <c r="Y14" i="27" s="1"/>
  <c r="U15" i="27"/>
  <c r="Z15" i="27" s="1"/>
  <c r="T16" i="27"/>
  <c r="Y16" i="27" s="1"/>
  <c r="T9" i="27"/>
  <c r="Y9" i="27" s="1"/>
  <c r="R12" i="27"/>
  <c r="AR423" i="14" s="1"/>
  <c r="S11" i="27"/>
  <c r="X11" i="27" s="1"/>
  <c r="S12" i="27"/>
  <c r="X12" i="27" s="1"/>
  <c r="U11" i="27"/>
  <c r="Z11" i="27" s="1"/>
  <c r="U10" i="27"/>
  <c r="Z10" i="27" s="1"/>
  <c r="U16" i="27"/>
  <c r="Z16" i="27" s="1"/>
  <c r="T12" i="27"/>
  <c r="Y12" i="27" s="1"/>
  <c r="T17" i="27"/>
  <c r="Y17" i="27" s="1"/>
  <c r="S18" i="27"/>
  <c r="X18" i="27" s="1"/>
  <c r="T15" i="27"/>
  <c r="Y15" i="27" s="1"/>
  <c r="R10" i="27"/>
  <c r="AR421" i="14" s="1"/>
  <c r="R15" i="27"/>
  <c r="AR426" i="14" s="1"/>
  <c r="R17" i="27"/>
  <c r="AR428" i="14" s="1"/>
  <c r="R13" i="27"/>
  <c r="AR424" i="14" s="1"/>
  <c r="S17" i="27"/>
  <c r="X17" i="27" s="1"/>
  <c r="S9" i="27"/>
  <c r="X9" i="27" s="1"/>
  <c r="S8" i="27"/>
  <c r="X8" i="27" s="1"/>
  <c r="S14" i="27"/>
  <c r="X14" i="27" s="1"/>
  <c r="U17" i="27"/>
  <c r="Z17" i="27" s="1"/>
  <c r="U9" i="27"/>
  <c r="Z9" i="27" s="1"/>
  <c r="U8" i="27"/>
  <c r="Z8" i="27" s="1"/>
  <c r="T10" i="27"/>
  <c r="Y10" i="27" s="1"/>
  <c r="T13" i="27"/>
  <c r="Y13" i="27" s="1"/>
  <c r="R16" i="27"/>
  <c r="AR427" i="14" s="1"/>
  <c r="R8" i="27"/>
  <c r="AR419" i="14" s="1"/>
  <c r="R11" i="27"/>
  <c r="AR422" i="14" s="1"/>
  <c r="R9" i="27"/>
  <c r="AR420" i="14" s="1"/>
  <c r="S15" i="27"/>
  <c r="X15" i="27" s="1"/>
  <c r="U12" i="27"/>
  <c r="Z12" i="27" s="1"/>
  <c r="T8" i="27"/>
  <c r="Y8" i="27" s="1"/>
  <c r="T11" i="27"/>
  <c r="Y11" i="27" s="1"/>
  <c r="E13" i="2"/>
  <c r="G119" i="14" s="1"/>
  <c r="E9" i="2"/>
  <c r="G115" i="14" s="1"/>
  <c r="E16" i="2"/>
  <c r="G122" i="14" s="1"/>
  <c r="E12" i="2"/>
  <c r="G118" i="14" s="1"/>
  <c r="E8" i="2"/>
  <c r="E14" i="2"/>
  <c r="G120" i="14" s="1"/>
  <c r="E15" i="2"/>
  <c r="G121" i="14" s="1"/>
  <c r="E10" i="2"/>
  <c r="G116" i="14" s="1"/>
  <c r="E11" i="2"/>
  <c r="G117" i="14" s="1"/>
  <c r="S13" i="2"/>
  <c r="X13" i="2" s="1"/>
  <c r="S8" i="2"/>
  <c r="X8" i="2" s="1"/>
  <c r="S10" i="2"/>
  <c r="X10" i="2" s="1"/>
  <c r="U19" i="2"/>
  <c r="Z19" i="2" s="1"/>
  <c r="U9" i="2"/>
  <c r="Z9" i="2" s="1"/>
  <c r="U10" i="2"/>
  <c r="Z10" i="2" s="1"/>
  <c r="U18" i="2"/>
  <c r="Z18" i="2" s="1"/>
  <c r="R14" i="2"/>
  <c r="AR120" i="14" s="1"/>
  <c r="R17" i="2"/>
  <c r="AR123" i="14" s="1"/>
  <c r="T18" i="2"/>
  <c r="Y18" i="2" s="1"/>
  <c r="T10" i="2"/>
  <c r="Y10" i="2" s="1"/>
  <c r="R8" i="2"/>
  <c r="AR114" i="14" s="1"/>
  <c r="S19" i="2"/>
  <c r="X19" i="2" s="1"/>
  <c r="S9" i="2"/>
  <c r="X9" i="2" s="1"/>
  <c r="U17" i="2"/>
  <c r="Z17" i="2" s="1"/>
  <c r="U8" i="2"/>
  <c r="Z8" i="2" s="1"/>
  <c r="R11" i="2"/>
  <c r="AR117" i="14" s="1"/>
  <c r="R12" i="2"/>
  <c r="AR118" i="14" s="1"/>
  <c r="R13" i="2"/>
  <c r="AR119" i="14" s="1"/>
  <c r="R15" i="2"/>
  <c r="AR121" i="14" s="1"/>
  <c r="R19" i="2"/>
  <c r="AR125" i="14" s="1"/>
  <c r="T11" i="2"/>
  <c r="Y11" i="2" s="1"/>
  <c r="T16" i="2"/>
  <c r="Y16" i="2" s="1"/>
  <c r="T8" i="2"/>
  <c r="Y8" i="2" s="1"/>
  <c r="T19" i="2"/>
  <c r="Y19" i="2" s="1"/>
  <c r="T17" i="2"/>
  <c r="Y17" i="2" s="1"/>
  <c r="R16" i="2"/>
  <c r="AR122" i="14" s="1"/>
  <c r="T12" i="2"/>
  <c r="Y12" i="2" s="1"/>
  <c r="T9" i="2"/>
  <c r="Y9" i="2" s="1"/>
  <c r="S17" i="2"/>
  <c r="X17" i="2" s="1"/>
  <c r="S18" i="2"/>
  <c r="X18" i="2" s="1"/>
  <c r="S11" i="2"/>
  <c r="X11" i="2" s="1"/>
  <c r="U15" i="2"/>
  <c r="Z15" i="2" s="1"/>
  <c r="U11" i="2"/>
  <c r="Z11" i="2" s="1"/>
  <c r="U16" i="2"/>
  <c r="Z16" i="2" s="1"/>
  <c r="R18" i="2"/>
  <c r="AR124" i="14" s="1"/>
  <c r="R10" i="2"/>
  <c r="AR116" i="14" s="1"/>
  <c r="R9" i="2"/>
  <c r="AR115" i="14" s="1"/>
  <c r="T14" i="2"/>
  <c r="Y14" i="2" s="1"/>
  <c r="T15" i="2"/>
  <c r="Y15" i="2" s="1"/>
  <c r="T13" i="2"/>
  <c r="Y13" i="2" s="1"/>
  <c r="S15" i="2"/>
  <c r="X15" i="2" s="1"/>
  <c r="S14" i="2"/>
  <c r="X14" i="2" s="1"/>
  <c r="S12" i="2"/>
  <c r="X12" i="2" s="1"/>
  <c r="S16" i="2"/>
  <c r="X16" i="2" s="1"/>
  <c r="U13" i="2"/>
  <c r="Z13" i="2" s="1"/>
  <c r="U12" i="2"/>
  <c r="Z12" i="2" s="1"/>
  <c r="U14" i="2"/>
  <c r="Z14" i="2" s="1"/>
  <c r="AA17" i="2"/>
  <c r="E17" i="2" s="1"/>
  <c r="G123" i="14" s="1"/>
  <c r="L166" i="14"/>
  <c r="AG159" i="14"/>
  <c r="AI159" i="14"/>
  <c r="V19" i="18"/>
  <c r="S19" i="18" s="1"/>
  <c r="D18" i="18"/>
  <c r="C18" i="18" s="1"/>
  <c r="O135" i="29"/>
  <c r="N71" i="26"/>
  <c r="K86" i="22"/>
  <c r="I86" i="22"/>
  <c r="G86" i="22"/>
  <c r="H86" i="22"/>
  <c r="I277" i="28"/>
  <c r="T71" i="24"/>
  <c r="L151" i="29"/>
  <c r="AM198" i="30"/>
  <c r="AM199" i="30"/>
  <c r="L160" i="14"/>
  <c r="AI153" i="14"/>
  <c r="AG153" i="14"/>
  <c r="M143" i="29"/>
  <c r="I78" i="25"/>
  <c r="E125" i="14"/>
  <c r="C124" i="14"/>
  <c r="D124" i="14" s="1"/>
  <c r="B124" i="14"/>
  <c r="AN124" i="14"/>
  <c r="Q124" i="14"/>
  <c r="H123" i="15"/>
  <c r="J124" i="14"/>
  <c r="V186" i="30"/>
  <c r="W185" i="30"/>
  <c r="V187" i="30"/>
  <c r="L172" i="14"/>
  <c r="AI165" i="14"/>
  <c r="AG165" i="14"/>
  <c r="L276" i="28"/>
  <c r="V19" i="23"/>
  <c r="T19" i="23" s="1"/>
  <c r="D18" i="23"/>
  <c r="C18" i="23" s="1"/>
  <c r="V18" i="26"/>
  <c r="S18" i="26" s="1"/>
  <c r="X18" i="26" s="1"/>
  <c r="D17" i="26"/>
  <c r="C17" i="26" s="1"/>
  <c r="E26" i="22"/>
  <c r="G284" i="14" s="1"/>
  <c r="E24" i="22"/>
  <c r="G282" i="14" s="1"/>
  <c r="E22" i="22"/>
  <c r="G280" i="14" s="1"/>
  <c r="E20" i="22"/>
  <c r="G278" i="14" s="1"/>
  <c r="E18" i="22"/>
  <c r="G276" i="14" s="1"/>
  <c r="E16" i="22"/>
  <c r="G274" i="14" s="1"/>
  <c r="E14" i="22"/>
  <c r="G272" i="14" s="1"/>
  <c r="E12" i="22"/>
  <c r="G270" i="14" s="1"/>
  <c r="E10" i="22"/>
  <c r="G268" i="14" s="1"/>
  <c r="E8" i="22"/>
  <c r="E23" i="22"/>
  <c r="G281" i="14" s="1"/>
  <c r="E19" i="22"/>
  <c r="G277" i="14" s="1"/>
  <c r="E15" i="22"/>
  <c r="G273" i="14" s="1"/>
  <c r="E11" i="22"/>
  <c r="G269" i="14" s="1"/>
  <c r="E25" i="22"/>
  <c r="G283" i="14" s="1"/>
  <c r="E17" i="22"/>
  <c r="G275" i="14" s="1"/>
  <c r="E9" i="22"/>
  <c r="G267" i="14" s="1"/>
  <c r="E13" i="22"/>
  <c r="G271" i="14" s="1"/>
  <c r="S24" i="22"/>
  <c r="X24" i="22" s="1"/>
  <c r="T21" i="22"/>
  <c r="Y21" i="22" s="1"/>
  <c r="S16" i="22"/>
  <c r="X16" i="22" s="1"/>
  <c r="T13" i="22"/>
  <c r="Y13" i="22" s="1"/>
  <c r="S8" i="22"/>
  <c r="X8" i="22" s="1"/>
  <c r="T25" i="22"/>
  <c r="Y25" i="22" s="1"/>
  <c r="S20" i="22"/>
  <c r="X20" i="22" s="1"/>
  <c r="E21" i="22"/>
  <c r="G279" i="14" s="1"/>
  <c r="S12" i="22"/>
  <c r="X12" i="22" s="1"/>
  <c r="T9" i="22"/>
  <c r="Y9" i="22" s="1"/>
  <c r="T17" i="22"/>
  <c r="Y17" i="22" s="1"/>
  <c r="T15" i="22"/>
  <c r="Y15" i="22" s="1"/>
  <c r="T23" i="22"/>
  <c r="Y23" i="22" s="1"/>
  <c r="S19" i="22"/>
  <c r="X19" i="22" s="1"/>
  <c r="S11" i="22"/>
  <c r="X11" i="22" s="1"/>
  <c r="T20" i="22"/>
  <c r="Y20" i="22" s="1"/>
  <c r="T12" i="22"/>
  <c r="Y12" i="22" s="1"/>
  <c r="T11" i="22"/>
  <c r="Y11" i="22" s="1"/>
  <c r="S23" i="22"/>
  <c r="X23" i="22" s="1"/>
  <c r="T24" i="22"/>
  <c r="Y24" i="22" s="1"/>
  <c r="T16" i="22"/>
  <c r="Y16" i="22" s="1"/>
  <c r="S10" i="22"/>
  <c r="X10" i="22" s="1"/>
  <c r="S18" i="22"/>
  <c r="X18" i="22" s="1"/>
  <c r="S26" i="22"/>
  <c r="X26" i="22" s="1"/>
  <c r="S25" i="22"/>
  <c r="X25" i="22" s="1"/>
  <c r="S17" i="22"/>
  <c r="X17" i="22" s="1"/>
  <c r="S9" i="22"/>
  <c r="X9" i="22" s="1"/>
  <c r="T26" i="22"/>
  <c r="Y26" i="22" s="1"/>
  <c r="T18" i="22"/>
  <c r="Y18" i="22" s="1"/>
  <c r="T10" i="22"/>
  <c r="Y10" i="22" s="1"/>
  <c r="T8" i="22"/>
  <c r="Y8" i="22" s="1"/>
  <c r="S14" i="22"/>
  <c r="X14" i="22" s="1"/>
  <c r="S22" i="22"/>
  <c r="X22" i="22" s="1"/>
  <c r="S21" i="22"/>
  <c r="X21" i="22" s="1"/>
  <c r="S13" i="22"/>
  <c r="X13" i="22" s="1"/>
  <c r="T22" i="22"/>
  <c r="Y22" i="22" s="1"/>
  <c r="T14" i="22"/>
  <c r="Y14" i="22" s="1"/>
  <c r="T19" i="22"/>
  <c r="Y19" i="22" s="1"/>
  <c r="S15" i="22"/>
  <c r="X15" i="22" s="1"/>
  <c r="U19" i="22"/>
  <c r="Z19" i="22" s="1"/>
  <c r="U11" i="22"/>
  <c r="Z11" i="22" s="1"/>
  <c r="U24" i="22"/>
  <c r="Z24" i="22" s="1"/>
  <c r="U8" i="22"/>
  <c r="Z8" i="22" s="1"/>
  <c r="U10" i="22"/>
  <c r="Z10" i="22" s="1"/>
  <c r="U14" i="22"/>
  <c r="Z14" i="22" s="1"/>
  <c r="R22" i="22"/>
  <c r="AR280" i="14" s="1"/>
  <c r="R14" i="22"/>
  <c r="AR272" i="14" s="1"/>
  <c r="R17" i="22"/>
  <c r="AR275" i="14" s="1"/>
  <c r="R19" i="22"/>
  <c r="AR277" i="14" s="1"/>
  <c r="R15" i="22"/>
  <c r="AR273" i="14" s="1"/>
  <c r="U21" i="22"/>
  <c r="Z21" i="22" s="1"/>
  <c r="R8" i="22"/>
  <c r="AR266" i="14" s="1"/>
  <c r="U25" i="22"/>
  <c r="Z25" i="22" s="1"/>
  <c r="U17" i="22"/>
  <c r="Z17" i="22" s="1"/>
  <c r="U9" i="22"/>
  <c r="Z9" i="22" s="1"/>
  <c r="U20" i="22"/>
  <c r="Z20" i="22" s="1"/>
  <c r="R20" i="22"/>
  <c r="AR278" i="14" s="1"/>
  <c r="R12" i="22"/>
  <c r="AR270" i="14" s="1"/>
  <c r="R13" i="22"/>
  <c r="AR271" i="14" s="1"/>
  <c r="R11" i="22"/>
  <c r="AR269" i="14" s="1"/>
  <c r="U23" i="22"/>
  <c r="Z23" i="22" s="1"/>
  <c r="U15" i="22"/>
  <c r="Z15" i="22" s="1"/>
  <c r="U16" i="22"/>
  <c r="Z16" i="22" s="1"/>
  <c r="U26" i="22"/>
  <c r="Z26" i="22" s="1"/>
  <c r="U22" i="22"/>
  <c r="Z22" i="22" s="1"/>
  <c r="R26" i="22"/>
  <c r="AR284" i="14" s="1"/>
  <c r="R18" i="22"/>
  <c r="AR276" i="14" s="1"/>
  <c r="R10" i="22"/>
  <c r="AR268" i="14" s="1"/>
  <c r="R25" i="22"/>
  <c r="AR283" i="14" s="1"/>
  <c r="R9" i="22"/>
  <c r="AR267" i="14" s="1"/>
  <c r="R23" i="22"/>
  <c r="AR281" i="14" s="1"/>
  <c r="U13" i="22"/>
  <c r="Z13" i="22" s="1"/>
  <c r="U12" i="22"/>
  <c r="Z12" i="22" s="1"/>
  <c r="U18" i="22"/>
  <c r="Z18" i="22" s="1"/>
  <c r="R24" i="22"/>
  <c r="AR282" i="14" s="1"/>
  <c r="R16" i="22"/>
  <c r="AR274" i="14" s="1"/>
  <c r="R21" i="22"/>
  <c r="AR279" i="14" s="1"/>
  <c r="O136" i="29"/>
  <c r="N72" i="26"/>
  <c r="N69" i="28"/>
  <c r="I73" i="28"/>
  <c r="S69" i="25"/>
  <c r="G79" i="25"/>
  <c r="U69" i="25" s="1"/>
  <c r="V19" i="28"/>
  <c r="D18" i="28"/>
  <c r="C18" i="28" s="1"/>
  <c r="V19" i="25"/>
  <c r="S19" i="25" s="1"/>
  <c r="X19" i="25" s="1"/>
  <c r="D18" i="25"/>
  <c r="C18" i="25" s="1"/>
  <c r="BD60" i="14"/>
  <c r="BE59" i="14"/>
  <c r="BC72" i="14"/>
  <c r="C20" i="22"/>
  <c r="D21" i="22"/>
  <c r="S15" i="18"/>
  <c r="X15" i="18" s="1"/>
  <c r="S11" i="18"/>
  <c r="X11" i="18" s="1"/>
  <c r="T18" i="18"/>
  <c r="Y18" i="18" s="1"/>
  <c r="S13" i="18"/>
  <c r="X13" i="18" s="1"/>
  <c r="T10" i="18"/>
  <c r="Y10" i="18" s="1"/>
  <c r="S17" i="18"/>
  <c r="X17" i="18" s="1"/>
  <c r="T14" i="18"/>
  <c r="Y14" i="18" s="1"/>
  <c r="S9" i="18"/>
  <c r="X9" i="18" s="1"/>
  <c r="R12" i="18"/>
  <c r="AR149" i="14" s="1"/>
  <c r="R15" i="18"/>
  <c r="AR152" i="14" s="1"/>
  <c r="R14" i="18"/>
  <c r="AR151" i="14" s="1"/>
  <c r="T17" i="18"/>
  <c r="Y17" i="18" s="1"/>
  <c r="T9" i="18"/>
  <c r="Y9" i="18" s="1"/>
  <c r="T12" i="18"/>
  <c r="Y12" i="18" s="1"/>
  <c r="S18" i="18"/>
  <c r="X18" i="18" s="1"/>
  <c r="S10" i="18"/>
  <c r="X10" i="18" s="1"/>
  <c r="R8" i="18"/>
  <c r="AR145" i="14" s="1"/>
  <c r="R13" i="18"/>
  <c r="AR150" i="14" s="1"/>
  <c r="R10" i="18"/>
  <c r="AR147" i="14" s="1"/>
  <c r="R16" i="18"/>
  <c r="AR153" i="14" s="1"/>
  <c r="T15" i="18"/>
  <c r="Y15" i="18" s="1"/>
  <c r="T16" i="18"/>
  <c r="Y16" i="18" s="1"/>
  <c r="S16" i="18"/>
  <c r="X16" i="18" s="1"/>
  <c r="S8" i="18"/>
  <c r="X8" i="18" s="1"/>
  <c r="T13" i="18"/>
  <c r="Y13" i="18" s="1"/>
  <c r="R17" i="18"/>
  <c r="AR154" i="14" s="1"/>
  <c r="R9" i="18"/>
  <c r="AR146" i="14" s="1"/>
  <c r="R18" i="18"/>
  <c r="AR155" i="14" s="1"/>
  <c r="T11" i="18"/>
  <c r="Y11" i="18" s="1"/>
  <c r="T8" i="18"/>
  <c r="Y8" i="18" s="1"/>
  <c r="S12" i="18"/>
  <c r="X12" i="18" s="1"/>
  <c r="R11" i="18"/>
  <c r="AR148" i="14" s="1"/>
  <c r="S14" i="18"/>
  <c r="X14" i="18" s="1"/>
  <c r="U16" i="18"/>
  <c r="Z16" i="18" s="1"/>
  <c r="U8" i="18"/>
  <c r="Z8" i="18" s="1"/>
  <c r="U9" i="18"/>
  <c r="Z9" i="18" s="1"/>
  <c r="U15" i="18"/>
  <c r="Z15" i="18" s="1"/>
  <c r="U14" i="18"/>
  <c r="Z14" i="18" s="1"/>
  <c r="U12" i="18"/>
  <c r="Z12" i="18" s="1"/>
  <c r="U17" i="18"/>
  <c r="Z17" i="18" s="1"/>
  <c r="U11" i="18"/>
  <c r="Z11" i="18" s="1"/>
  <c r="U18" i="18"/>
  <c r="Z18" i="18" s="1"/>
  <c r="U10" i="18"/>
  <c r="Z10" i="18" s="1"/>
  <c r="U13" i="18"/>
  <c r="Z13" i="18" s="1"/>
  <c r="R14" i="23"/>
  <c r="AR302" i="14" s="1"/>
  <c r="R11" i="23"/>
  <c r="AR299" i="14" s="1"/>
  <c r="R12" i="23"/>
  <c r="AR300" i="14" s="1"/>
  <c r="R18" i="23"/>
  <c r="AR306" i="14" s="1"/>
  <c r="R17" i="23"/>
  <c r="AR305" i="14" s="1"/>
  <c r="R9" i="23"/>
  <c r="AR297" i="14" s="1"/>
  <c r="R8" i="23"/>
  <c r="AR296" i="14" s="1"/>
  <c r="R10" i="23"/>
  <c r="AR298" i="14" s="1"/>
  <c r="R13" i="23"/>
  <c r="AR301" i="14" s="1"/>
  <c r="R16" i="23"/>
  <c r="AR304" i="14" s="1"/>
  <c r="R15" i="23"/>
  <c r="AR303" i="14" s="1"/>
  <c r="T17" i="23"/>
  <c r="Y17" i="23" s="1"/>
  <c r="T9" i="23"/>
  <c r="Y9" i="23" s="1"/>
  <c r="U18" i="23"/>
  <c r="Z18" i="23" s="1"/>
  <c r="U10" i="23"/>
  <c r="Z10" i="23" s="1"/>
  <c r="U15" i="23"/>
  <c r="Z15" i="23" s="1"/>
  <c r="U17" i="23"/>
  <c r="Z17" i="23" s="1"/>
  <c r="S16" i="23"/>
  <c r="X16" i="23" s="1"/>
  <c r="S8" i="23"/>
  <c r="X8" i="23" s="1"/>
  <c r="S9" i="23"/>
  <c r="X9" i="23" s="1"/>
  <c r="S15" i="23"/>
  <c r="X15" i="23" s="1"/>
  <c r="T11" i="23"/>
  <c r="Y11" i="23" s="1"/>
  <c r="T10" i="23"/>
  <c r="Y10" i="23" s="1"/>
  <c r="S18" i="23"/>
  <c r="X18" i="23" s="1"/>
  <c r="T15" i="23"/>
  <c r="Y15" i="23" s="1"/>
  <c r="T18" i="23"/>
  <c r="Y18" i="23" s="1"/>
  <c r="T16" i="23"/>
  <c r="Y16" i="23" s="1"/>
  <c r="U16" i="23"/>
  <c r="Z16" i="23" s="1"/>
  <c r="U8" i="23"/>
  <c r="Z8" i="23" s="1"/>
  <c r="U11" i="23"/>
  <c r="Z11" i="23" s="1"/>
  <c r="U9" i="23"/>
  <c r="Z9" i="23" s="1"/>
  <c r="S14" i="23"/>
  <c r="X14" i="23" s="1"/>
  <c r="T8" i="23"/>
  <c r="Y8" i="23" s="1"/>
  <c r="T13" i="23"/>
  <c r="Y13" i="23" s="1"/>
  <c r="T14" i="23"/>
  <c r="Y14" i="23" s="1"/>
  <c r="U14" i="23"/>
  <c r="Z14" i="23" s="1"/>
  <c r="U13" i="23"/>
  <c r="Z13" i="23" s="1"/>
  <c r="S12" i="23"/>
  <c r="X12" i="23" s="1"/>
  <c r="S17" i="23"/>
  <c r="X17" i="23" s="1"/>
  <c r="S11" i="23"/>
  <c r="X11" i="23" s="1"/>
  <c r="T12" i="23"/>
  <c r="Y12" i="23" s="1"/>
  <c r="U12" i="23"/>
  <c r="Z12" i="23" s="1"/>
  <c r="S10" i="23"/>
  <c r="X10" i="23" s="1"/>
  <c r="S13" i="23"/>
  <c r="X13" i="23" s="1"/>
  <c r="X9" i="26"/>
  <c r="S10" i="26"/>
  <c r="X10" i="26" s="1"/>
  <c r="S15" i="26"/>
  <c r="X15" i="26" s="1"/>
  <c r="S9" i="26"/>
  <c r="U10" i="26"/>
  <c r="Z10" i="26" s="1"/>
  <c r="U13" i="26"/>
  <c r="Z13" i="26" s="1"/>
  <c r="R11" i="26"/>
  <c r="AR391" i="14" s="1"/>
  <c r="R10" i="26"/>
  <c r="AR390" i="14" s="1"/>
  <c r="R8" i="26"/>
  <c r="AR388" i="14" s="1"/>
  <c r="R12" i="26"/>
  <c r="AR392" i="14" s="1"/>
  <c r="T15" i="26"/>
  <c r="Y15" i="26" s="1"/>
  <c r="T8" i="26"/>
  <c r="Y8" i="26" s="1"/>
  <c r="T10" i="26"/>
  <c r="Y10" i="26" s="1"/>
  <c r="S12" i="26"/>
  <c r="X12" i="26" s="1"/>
  <c r="U12" i="26"/>
  <c r="Z12" i="26" s="1"/>
  <c r="R13" i="26"/>
  <c r="AR393" i="14" s="1"/>
  <c r="R16" i="26"/>
  <c r="AR396" i="14" s="1"/>
  <c r="T17" i="26"/>
  <c r="Y17" i="26" s="1"/>
  <c r="S16" i="26"/>
  <c r="X16" i="26" s="1"/>
  <c r="S8" i="26"/>
  <c r="X8" i="26" s="1"/>
  <c r="S11" i="26"/>
  <c r="X11" i="26" s="1"/>
  <c r="S13" i="26"/>
  <c r="X13" i="26" s="1"/>
  <c r="U16" i="26"/>
  <c r="Z16" i="26" s="1"/>
  <c r="U8" i="26"/>
  <c r="Z8" i="26" s="1"/>
  <c r="U9" i="26"/>
  <c r="Z9" i="26" s="1"/>
  <c r="U15" i="26"/>
  <c r="Z15" i="26" s="1"/>
  <c r="R17" i="26"/>
  <c r="AR397" i="14" s="1"/>
  <c r="R9" i="26"/>
  <c r="AR389" i="14" s="1"/>
  <c r="T13" i="26"/>
  <c r="Y13" i="26" s="1"/>
  <c r="S14" i="26"/>
  <c r="X14" i="26" s="1"/>
  <c r="S17" i="26"/>
  <c r="X17" i="26" s="1"/>
  <c r="U14" i="26"/>
  <c r="Z14" i="26" s="1"/>
  <c r="U11" i="26"/>
  <c r="Z11" i="26" s="1"/>
  <c r="R15" i="26"/>
  <c r="AR395" i="14" s="1"/>
  <c r="T11" i="26"/>
  <c r="Y11" i="26" s="1"/>
  <c r="T16" i="26"/>
  <c r="Y16" i="26" s="1"/>
  <c r="T14" i="26"/>
  <c r="Y14" i="26" s="1"/>
  <c r="U17" i="26"/>
  <c r="Z17" i="26" s="1"/>
  <c r="R14" i="26"/>
  <c r="AR394" i="14" s="1"/>
  <c r="T9" i="26"/>
  <c r="Y9" i="26" s="1"/>
  <c r="T12" i="26"/>
  <c r="Y12" i="26" s="1"/>
  <c r="L86" i="21"/>
  <c r="H119" i="29" s="1"/>
  <c r="K77" i="25"/>
  <c r="M144" i="29"/>
  <c r="G78" i="27"/>
  <c r="G77" i="27" s="1"/>
  <c r="P141" i="29"/>
  <c r="AH402" i="1"/>
  <c r="AH401" i="1"/>
  <c r="AH404" i="1"/>
  <c r="AH403" i="1"/>
  <c r="AH405" i="1"/>
  <c r="AH407" i="1"/>
  <c r="AH406" i="1"/>
  <c r="D134" i="15"/>
  <c r="G279" i="28"/>
  <c r="T69" i="26"/>
  <c r="O149" i="29"/>
  <c r="K159" i="29"/>
  <c r="K157" i="29"/>
  <c r="K160" i="29"/>
  <c r="K158" i="29"/>
  <c r="O79" i="22"/>
  <c r="O88" i="22"/>
  <c r="H277" i="28"/>
  <c r="L150" i="29"/>
  <c r="T70" i="24"/>
  <c r="L78" i="23"/>
  <c r="E18" i="20"/>
  <c r="G215" i="14" s="1"/>
  <c r="E16" i="20"/>
  <c r="G213" i="14" s="1"/>
  <c r="E14" i="20"/>
  <c r="G211" i="14" s="1"/>
  <c r="E12" i="20"/>
  <c r="G209" i="14" s="1"/>
  <c r="E10" i="20"/>
  <c r="G207" i="14" s="1"/>
  <c r="E8" i="20"/>
  <c r="E15" i="20"/>
  <c r="G212" i="14" s="1"/>
  <c r="E11" i="20"/>
  <c r="G208" i="14" s="1"/>
  <c r="E17" i="20"/>
  <c r="G214" i="14" s="1"/>
  <c r="E9" i="20"/>
  <c r="G206" i="14" s="1"/>
  <c r="E13" i="20"/>
  <c r="G210" i="14" s="1"/>
  <c r="T16" i="20"/>
  <c r="Y16" i="20" s="1"/>
  <c r="R16" i="20"/>
  <c r="AR213" i="14" s="1"/>
  <c r="T14" i="20"/>
  <c r="Y14" i="20" s="1"/>
  <c r="U14" i="20"/>
  <c r="Z14" i="20" s="1"/>
  <c r="U9" i="20"/>
  <c r="Z9" i="20" s="1"/>
  <c r="R15" i="20"/>
  <c r="AR212" i="14" s="1"/>
  <c r="R14" i="20"/>
  <c r="AR211" i="14" s="1"/>
  <c r="T15" i="20"/>
  <c r="Y15" i="20" s="1"/>
  <c r="T8" i="20"/>
  <c r="Y8" i="20" s="1"/>
  <c r="U17" i="20"/>
  <c r="Z17" i="20" s="1"/>
  <c r="T12" i="20"/>
  <c r="Y12" i="20" s="1"/>
  <c r="U15" i="20"/>
  <c r="Z15" i="20" s="1"/>
  <c r="U11" i="20"/>
  <c r="Z11" i="20" s="1"/>
  <c r="R12" i="20"/>
  <c r="AR209" i="14" s="1"/>
  <c r="U12" i="20"/>
  <c r="Z12" i="20" s="1"/>
  <c r="R13" i="20"/>
  <c r="AR210" i="14" s="1"/>
  <c r="R18" i="20"/>
  <c r="AR215" i="14" s="1"/>
  <c r="T13" i="20"/>
  <c r="Y13" i="20" s="1"/>
  <c r="T10" i="20"/>
  <c r="Y10" i="20" s="1"/>
  <c r="U10" i="20"/>
  <c r="Z10" i="20" s="1"/>
  <c r="R11" i="20"/>
  <c r="AR208" i="14" s="1"/>
  <c r="T11" i="20"/>
  <c r="Y11" i="20" s="1"/>
  <c r="U19" i="20"/>
  <c r="Z19" i="20" s="1"/>
  <c r="T18" i="20"/>
  <c r="Y18" i="20" s="1"/>
  <c r="R8" i="20"/>
  <c r="AR205" i="14" s="1"/>
  <c r="U16" i="20"/>
  <c r="Z16" i="20" s="1"/>
  <c r="U8" i="20"/>
  <c r="Z8" i="20" s="1"/>
  <c r="U13" i="20"/>
  <c r="Z13" i="20" s="1"/>
  <c r="R17" i="20"/>
  <c r="AR214" i="14" s="1"/>
  <c r="R9" i="20"/>
  <c r="AR206" i="14" s="1"/>
  <c r="R10" i="20"/>
  <c r="AR207" i="14" s="1"/>
  <c r="T17" i="20"/>
  <c r="Y17" i="20" s="1"/>
  <c r="T9" i="20"/>
  <c r="Y9" i="20" s="1"/>
  <c r="U18" i="20"/>
  <c r="Z18" i="20" s="1"/>
  <c r="R19" i="20"/>
  <c r="AR216" i="14" s="1"/>
  <c r="S14" i="20"/>
  <c r="X14" i="20" s="1"/>
  <c r="S11" i="20"/>
  <c r="X11" i="20" s="1"/>
  <c r="S13" i="20"/>
  <c r="X13" i="20" s="1"/>
  <c r="S9" i="20"/>
  <c r="X9" i="20" s="1"/>
  <c r="S16" i="20"/>
  <c r="X16" i="20" s="1"/>
  <c r="S12" i="20"/>
  <c r="X12" i="20" s="1"/>
  <c r="S18" i="20"/>
  <c r="X18" i="20" s="1"/>
  <c r="S10" i="20"/>
  <c r="X10" i="20" s="1"/>
  <c r="S17" i="20"/>
  <c r="X17" i="20" s="1"/>
  <c r="S8" i="20"/>
  <c r="X8" i="20" s="1"/>
  <c r="S15" i="20"/>
  <c r="X15" i="20" s="1"/>
  <c r="R13" i="25"/>
  <c r="AR363" i="14" s="1"/>
  <c r="R14" i="25"/>
  <c r="AR364" i="14" s="1"/>
  <c r="R16" i="25"/>
  <c r="AR366" i="14" s="1"/>
  <c r="T11" i="25"/>
  <c r="Y11" i="25" s="1"/>
  <c r="T16" i="25"/>
  <c r="Y16" i="25" s="1"/>
  <c r="U12" i="25"/>
  <c r="Z12" i="25" s="1"/>
  <c r="U17" i="25"/>
  <c r="Z17" i="25" s="1"/>
  <c r="S18" i="25"/>
  <c r="X18" i="25" s="1"/>
  <c r="S10" i="25"/>
  <c r="X10" i="25" s="1"/>
  <c r="S15" i="25"/>
  <c r="X15" i="25" s="1"/>
  <c r="S13" i="25"/>
  <c r="X13" i="25" s="1"/>
  <c r="R11" i="25"/>
  <c r="AR361" i="14" s="1"/>
  <c r="R10" i="25"/>
  <c r="AR360" i="14" s="1"/>
  <c r="R8" i="25"/>
  <c r="AR358" i="14" s="1"/>
  <c r="R12" i="25"/>
  <c r="AR362" i="14" s="1"/>
  <c r="T17" i="25"/>
  <c r="Y17" i="25" s="1"/>
  <c r="T9" i="25"/>
  <c r="Y9" i="25" s="1"/>
  <c r="T12" i="25"/>
  <c r="Y12" i="25" s="1"/>
  <c r="U18" i="25"/>
  <c r="Z18" i="25" s="1"/>
  <c r="U10" i="25"/>
  <c r="Z10" i="25" s="1"/>
  <c r="U13" i="25"/>
  <c r="Z13" i="25" s="1"/>
  <c r="U15" i="25"/>
  <c r="Z15" i="25" s="1"/>
  <c r="S16" i="25"/>
  <c r="X16" i="25" s="1"/>
  <c r="S8" i="25"/>
  <c r="X8" i="25" s="1"/>
  <c r="S11" i="25"/>
  <c r="X11" i="25" s="1"/>
  <c r="S17" i="25"/>
  <c r="X17" i="25" s="1"/>
  <c r="R15" i="25"/>
  <c r="AR365" i="14" s="1"/>
  <c r="R18" i="25"/>
  <c r="AR368" i="14" s="1"/>
  <c r="R17" i="25"/>
  <c r="AR367" i="14" s="1"/>
  <c r="R9" i="25"/>
  <c r="AR359" i="14" s="1"/>
  <c r="T15" i="25"/>
  <c r="Y15" i="25" s="1"/>
  <c r="T8" i="25"/>
  <c r="Y8" i="25" s="1"/>
  <c r="T18" i="25"/>
  <c r="Y18" i="25" s="1"/>
  <c r="U16" i="25"/>
  <c r="Z16" i="25" s="1"/>
  <c r="U8" i="25"/>
  <c r="Z8" i="25" s="1"/>
  <c r="U9" i="25"/>
  <c r="Z9" i="25" s="1"/>
  <c r="U11" i="25"/>
  <c r="Z11" i="25" s="1"/>
  <c r="S14" i="25"/>
  <c r="X14" i="25" s="1"/>
  <c r="S9" i="25"/>
  <c r="X9" i="25" s="1"/>
  <c r="T13" i="25"/>
  <c r="Y13" i="25" s="1"/>
  <c r="T10" i="25"/>
  <c r="Y10" i="25" s="1"/>
  <c r="T14" i="25"/>
  <c r="Y14" i="25" s="1"/>
  <c r="U14" i="25"/>
  <c r="Z14" i="25" s="1"/>
  <c r="S12" i="25"/>
  <c r="X12" i="25" s="1"/>
  <c r="S71" i="24"/>
  <c r="I79" i="24"/>
  <c r="U71" i="24" s="1"/>
  <c r="S69" i="26"/>
  <c r="G79" i="26"/>
  <c r="U69" i="26" s="1"/>
  <c r="V19" i="21"/>
  <c r="U19" i="21" s="1"/>
  <c r="D18" i="21"/>
  <c r="C18" i="21" s="1"/>
  <c r="AO191" i="30"/>
  <c r="S72" i="24"/>
  <c r="K79" i="24"/>
  <c r="U72" i="24" s="1"/>
  <c r="E17" i="21"/>
  <c r="G244" i="14" s="1"/>
  <c r="E15" i="21"/>
  <c r="G242" i="14" s="1"/>
  <c r="E13" i="21"/>
  <c r="G240" i="14" s="1"/>
  <c r="E11" i="21"/>
  <c r="G238" i="14" s="1"/>
  <c r="E9" i="21"/>
  <c r="G236" i="14" s="1"/>
  <c r="E16" i="21"/>
  <c r="G243" i="14" s="1"/>
  <c r="E12" i="21"/>
  <c r="G239" i="14" s="1"/>
  <c r="E8" i="21"/>
  <c r="E14" i="21"/>
  <c r="G241" i="14" s="1"/>
  <c r="E18" i="21"/>
  <c r="G245" i="14" s="1"/>
  <c r="E10" i="21"/>
  <c r="G237" i="14" s="1"/>
  <c r="R16" i="21"/>
  <c r="AR243" i="14" s="1"/>
  <c r="S13" i="21"/>
  <c r="X13" i="21" s="1"/>
  <c r="R8" i="21"/>
  <c r="AR235" i="14" s="1"/>
  <c r="S12" i="21"/>
  <c r="X12" i="21" s="1"/>
  <c r="S11" i="21"/>
  <c r="X11" i="21" s="1"/>
  <c r="S9" i="21"/>
  <c r="X9" i="21" s="1"/>
  <c r="R17" i="21"/>
  <c r="AR244" i="14" s="1"/>
  <c r="R9" i="21"/>
  <c r="AR236" i="14" s="1"/>
  <c r="R14" i="21"/>
  <c r="AR241" i="14" s="1"/>
  <c r="S8" i="21"/>
  <c r="X8" i="21" s="1"/>
  <c r="S18" i="21"/>
  <c r="X18" i="21" s="1"/>
  <c r="S10" i="21"/>
  <c r="X10" i="21" s="1"/>
  <c r="R15" i="21"/>
  <c r="AR242" i="14" s="1"/>
  <c r="R10" i="21"/>
  <c r="AR237" i="14" s="1"/>
  <c r="R12" i="21"/>
  <c r="AR239" i="14" s="1"/>
  <c r="S16" i="21"/>
  <c r="X16" i="21" s="1"/>
  <c r="R13" i="21"/>
  <c r="AR240" i="14" s="1"/>
  <c r="S14" i="21"/>
  <c r="X14" i="21" s="1"/>
  <c r="S15" i="21"/>
  <c r="X15" i="21" s="1"/>
  <c r="S17" i="21"/>
  <c r="X17" i="21" s="1"/>
  <c r="R11" i="21"/>
  <c r="AR238" i="14" s="1"/>
  <c r="R18" i="21"/>
  <c r="AR245" i="14" s="1"/>
  <c r="T13" i="21"/>
  <c r="Y13" i="21" s="1"/>
  <c r="T12" i="21"/>
  <c r="Y12" i="21" s="1"/>
  <c r="T14" i="21"/>
  <c r="Y14" i="21" s="1"/>
  <c r="U12" i="21"/>
  <c r="Z12" i="21" s="1"/>
  <c r="T15" i="21"/>
  <c r="Y15" i="21" s="1"/>
  <c r="U9" i="21"/>
  <c r="Z9" i="21" s="1"/>
  <c r="T19" i="21"/>
  <c r="Y19" i="21" s="1"/>
  <c r="T11" i="21"/>
  <c r="Y11" i="21" s="1"/>
  <c r="T8" i="21"/>
  <c r="Y8" i="21" s="1"/>
  <c r="T18" i="21"/>
  <c r="Y18" i="21" s="1"/>
  <c r="U18" i="21"/>
  <c r="Z18" i="21" s="1"/>
  <c r="U10" i="21"/>
  <c r="Z10" i="21" s="1"/>
  <c r="U17" i="21"/>
  <c r="Z17" i="21" s="1"/>
  <c r="U11" i="21"/>
  <c r="Z11" i="21" s="1"/>
  <c r="T16" i="21"/>
  <c r="Y16" i="21" s="1"/>
  <c r="T10" i="21"/>
  <c r="Y10" i="21" s="1"/>
  <c r="U15" i="21"/>
  <c r="Z15" i="21" s="1"/>
  <c r="T17" i="21"/>
  <c r="Y17" i="21" s="1"/>
  <c r="T9" i="21"/>
  <c r="Y9" i="21" s="1"/>
  <c r="U16" i="21"/>
  <c r="Z16" i="21" s="1"/>
  <c r="U8" i="21"/>
  <c r="Z8" i="21" s="1"/>
  <c r="U13" i="21"/>
  <c r="Z13" i="21" s="1"/>
  <c r="U14" i="21"/>
  <c r="Z14" i="21" s="1"/>
  <c r="U15" i="24"/>
  <c r="Z15" i="24" s="1"/>
  <c r="T16" i="24"/>
  <c r="Y16" i="24" s="1"/>
  <c r="T8" i="24"/>
  <c r="Y8" i="24" s="1"/>
  <c r="T13" i="24"/>
  <c r="Y13" i="24" s="1"/>
  <c r="S17" i="24"/>
  <c r="X17" i="24" s="1"/>
  <c r="S9" i="24"/>
  <c r="X9" i="24" s="1"/>
  <c r="S8" i="24"/>
  <c r="X8" i="24" s="1"/>
  <c r="S14" i="24"/>
  <c r="X14" i="24" s="1"/>
  <c r="R14" i="24"/>
  <c r="AR333" i="14" s="1"/>
  <c r="T10" i="24"/>
  <c r="Y10" i="24" s="1"/>
  <c r="S11" i="24"/>
  <c r="X11" i="24" s="1"/>
  <c r="S18" i="24"/>
  <c r="X18" i="24" s="1"/>
  <c r="U13" i="24"/>
  <c r="Z13" i="24" s="1"/>
  <c r="U18" i="24"/>
  <c r="Z18" i="24" s="1"/>
  <c r="U12" i="24"/>
  <c r="Z12" i="24" s="1"/>
  <c r="T14" i="24"/>
  <c r="Y14" i="24" s="1"/>
  <c r="T9" i="24"/>
  <c r="Y9" i="24" s="1"/>
  <c r="T11" i="24"/>
  <c r="Y11" i="24" s="1"/>
  <c r="S15" i="24"/>
  <c r="X15" i="24" s="1"/>
  <c r="S10" i="24"/>
  <c r="X10" i="24" s="1"/>
  <c r="R12" i="24"/>
  <c r="AR331" i="14" s="1"/>
  <c r="R15" i="24"/>
  <c r="AR334" i="14" s="1"/>
  <c r="R17" i="24"/>
  <c r="AR336" i="14" s="1"/>
  <c r="U10" i="24"/>
  <c r="Z10" i="24" s="1"/>
  <c r="T17" i="24"/>
  <c r="Y17" i="24" s="1"/>
  <c r="R8" i="24"/>
  <c r="AR327" i="14" s="1"/>
  <c r="U11" i="24"/>
  <c r="Z11" i="24" s="1"/>
  <c r="U14" i="24"/>
  <c r="Z14" i="24" s="1"/>
  <c r="U16" i="24"/>
  <c r="Z16" i="24" s="1"/>
  <c r="T12" i="24"/>
  <c r="Y12" i="24" s="1"/>
  <c r="S13" i="24"/>
  <c r="X13" i="24" s="1"/>
  <c r="S16" i="24"/>
  <c r="X16" i="24" s="1"/>
  <c r="R18" i="24"/>
  <c r="AR337" i="14" s="1"/>
  <c r="R10" i="24"/>
  <c r="AR329" i="14" s="1"/>
  <c r="R11" i="24"/>
  <c r="AR330" i="14" s="1"/>
  <c r="R9" i="24"/>
  <c r="AR328" i="14" s="1"/>
  <c r="R13" i="24"/>
  <c r="AR332" i="14" s="1"/>
  <c r="U17" i="24"/>
  <c r="Z17" i="24" s="1"/>
  <c r="U9" i="24"/>
  <c r="Z9" i="24" s="1"/>
  <c r="U8" i="24"/>
  <c r="Z8" i="24" s="1"/>
  <c r="T18" i="24"/>
  <c r="Y18" i="24" s="1"/>
  <c r="T15" i="24"/>
  <c r="Y15" i="24" s="1"/>
  <c r="S12" i="24"/>
  <c r="X12" i="24" s="1"/>
  <c r="R16" i="24"/>
  <c r="AR335" i="14" s="1"/>
  <c r="U13" i="28"/>
  <c r="Z13" i="28" s="1"/>
  <c r="S13" i="28"/>
  <c r="X13" i="28" s="1"/>
  <c r="S16" i="28"/>
  <c r="X16" i="28" s="1"/>
  <c r="S10" i="28"/>
  <c r="X10" i="28" s="1"/>
  <c r="T18" i="28"/>
  <c r="Y18" i="28" s="1"/>
  <c r="T10" i="28"/>
  <c r="Y10" i="28" s="1"/>
  <c r="T17" i="28"/>
  <c r="Y17" i="28" s="1"/>
  <c r="T15" i="28"/>
  <c r="Y15" i="28" s="1"/>
  <c r="R16" i="28"/>
  <c r="AR457" i="14" s="1"/>
  <c r="R8" i="28"/>
  <c r="AR449" i="14" s="1"/>
  <c r="R15" i="28"/>
  <c r="AR456" i="14" s="1"/>
  <c r="R17" i="28"/>
  <c r="AR458" i="14" s="1"/>
  <c r="S18" i="28"/>
  <c r="X18" i="28" s="1"/>
  <c r="U11" i="28"/>
  <c r="Z11" i="28" s="1"/>
  <c r="U18" i="28"/>
  <c r="Z18" i="28" s="1"/>
  <c r="U12" i="28"/>
  <c r="Z12" i="28" s="1"/>
  <c r="S11" i="28"/>
  <c r="X11" i="28" s="1"/>
  <c r="S12" i="28"/>
  <c r="X12" i="28" s="1"/>
  <c r="S14" i="28"/>
  <c r="X14" i="28" s="1"/>
  <c r="T16" i="28"/>
  <c r="Y16" i="28" s="1"/>
  <c r="T8" i="28"/>
  <c r="Y8" i="28" s="1"/>
  <c r="T13" i="28"/>
  <c r="Y13" i="28" s="1"/>
  <c r="R14" i="28"/>
  <c r="AR455" i="14" s="1"/>
  <c r="R11" i="28"/>
  <c r="AR452" i="14" s="1"/>
  <c r="R9" i="28"/>
  <c r="AR450" i="14" s="1"/>
  <c r="R18" i="28"/>
  <c r="AR459" i="14" s="1"/>
  <c r="R13" i="28"/>
  <c r="AR454" i="14" s="1"/>
  <c r="U17" i="28"/>
  <c r="Z17" i="28" s="1"/>
  <c r="U9" i="28"/>
  <c r="Z9" i="28" s="1"/>
  <c r="U14" i="28"/>
  <c r="Z14" i="28" s="1"/>
  <c r="U16" i="28"/>
  <c r="Z16" i="28" s="1"/>
  <c r="S17" i="28"/>
  <c r="X17" i="28" s="1"/>
  <c r="S9" i="28"/>
  <c r="X9" i="28" s="1"/>
  <c r="S8" i="28"/>
  <c r="X8" i="28" s="1"/>
  <c r="T14" i="28"/>
  <c r="Y14" i="28" s="1"/>
  <c r="T9" i="28"/>
  <c r="Y9" i="28" s="1"/>
  <c r="R12" i="28"/>
  <c r="AR453" i="14" s="1"/>
  <c r="U15" i="28"/>
  <c r="Z15" i="28" s="1"/>
  <c r="U10" i="28"/>
  <c r="Z10" i="28" s="1"/>
  <c r="U8" i="28"/>
  <c r="Z8" i="28" s="1"/>
  <c r="S15" i="28"/>
  <c r="X15" i="28" s="1"/>
  <c r="T12" i="28"/>
  <c r="Y12" i="28" s="1"/>
  <c r="T11" i="28"/>
  <c r="Y11" i="28" s="1"/>
  <c r="R10" i="28"/>
  <c r="AR451" i="14" s="1"/>
  <c r="R19" i="28"/>
  <c r="AR460" i="14" s="1"/>
  <c r="V27" i="22"/>
  <c r="T27" i="22" s="1"/>
  <c r="AM194" i="30"/>
  <c r="AM195" i="30"/>
  <c r="O134" i="29"/>
  <c r="N70" i="26"/>
  <c r="AG171" i="14"/>
  <c r="L178" i="14"/>
  <c r="AI171" i="14"/>
  <c r="K70" i="27"/>
  <c r="K72" i="27"/>
  <c r="K69" i="27"/>
  <c r="P133" i="29" s="1"/>
  <c r="K71" i="27"/>
  <c r="E150" i="28"/>
  <c r="AN199" i="30"/>
  <c r="BA74" i="14"/>
  <c r="BA76" i="14"/>
  <c r="BA78" i="14"/>
  <c r="BA77" i="14"/>
  <c r="BA73" i="14"/>
  <c r="BA75" i="14"/>
  <c r="BA79" i="14"/>
  <c r="BA80" i="14" s="1"/>
  <c r="L212" i="14"/>
  <c r="AI205" i="14"/>
  <c r="AG205" i="14"/>
  <c r="L145" i="29"/>
  <c r="E185" i="14"/>
  <c r="B184" i="14"/>
  <c r="AN184" i="14"/>
  <c r="C184" i="14"/>
  <c r="D184" i="14" s="1"/>
  <c r="Q184" i="14"/>
  <c r="H183" i="15"/>
  <c r="J184" i="14"/>
  <c r="L154" i="14"/>
  <c r="AG147" i="14"/>
  <c r="AI147" i="14"/>
  <c r="K153" i="29"/>
  <c r="G146" i="23"/>
  <c r="H146" i="23" s="1"/>
  <c r="I146" i="23" s="1"/>
  <c r="D146" i="23" s="1"/>
  <c r="G147" i="23"/>
  <c r="H147" i="23" s="1"/>
  <c r="I147" i="23" s="1"/>
  <c r="D147" i="23" s="1"/>
  <c r="G148" i="23"/>
  <c r="H148" i="23" s="1"/>
  <c r="I148" i="23" s="1"/>
  <c r="D148" i="23" s="1"/>
  <c r="Y302" i="1"/>
  <c r="V18" i="19"/>
  <c r="D17" i="19"/>
  <c r="C17" i="19" s="1"/>
  <c r="T18" i="26" l="1"/>
  <c r="Y18" i="26" s="1"/>
  <c r="W9" i="21"/>
  <c r="AS236" i="14"/>
  <c r="W11" i="25"/>
  <c r="AO361" i="14" s="1"/>
  <c r="AS361" i="14"/>
  <c r="W12" i="20"/>
  <c r="AS209" i="14"/>
  <c r="W15" i="20"/>
  <c r="AO212" i="14" s="1"/>
  <c r="AS212" i="14"/>
  <c r="W9" i="26"/>
  <c r="AS389" i="14"/>
  <c r="W14" i="23"/>
  <c r="AO302" i="14" s="1"/>
  <c r="AS302" i="14"/>
  <c r="W12" i="18"/>
  <c r="AS149" i="14"/>
  <c r="W10" i="28"/>
  <c r="AO451" i="14" s="1"/>
  <c r="AS451" i="14"/>
  <c r="W11" i="28"/>
  <c r="AS452" i="14"/>
  <c r="W17" i="28"/>
  <c r="AS458" i="14"/>
  <c r="W16" i="24"/>
  <c r="AS335" i="14"/>
  <c r="W9" i="24"/>
  <c r="AO328" i="14" s="1"/>
  <c r="AS328" i="14"/>
  <c r="W11" i="21"/>
  <c r="AS238" i="14"/>
  <c r="W13" i="21"/>
  <c r="AO240" i="14" s="1"/>
  <c r="AS240" i="14"/>
  <c r="W15" i="21"/>
  <c r="AS242" i="14"/>
  <c r="W14" i="21"/>
  <c r="AO241" i="14" s="1"/>
  <c r="AS241" i="14"/>
  <c r="W16" i="21"/>
  <c r="AS243" i="14"/>
  <c r="W17" i="25"/>
  <c r="AO367" i="14" s="1"/>
  <c r="AS367" i="14"/>
  <c r="W10" i="25"/>
  <c r="AS360" i="14"/>
  <c r="W13" i="25"/>
  <c r="AO363" i="14" s="1"/>
  <c r="AS363" i="14"/>
  <c r="W19" i="20"/>
  <c r="AS216" i="14"/>
  <c r="W10" i="20"/>
  <c r="AO207" i="14" s="1"/>
  <c r="AS207" i="14"/>
  <c r="W14" i="20"/>
  <c r="AS211" i="14"/>
  <c r="W12" i="26"/>
  <c r="AO392" i="14" s="1"/>
  <c r="AS392" i="14"/>
  <c r="W16" i="23"/>
  <c r="AS304" i="14"/>
  <c r="W9" i="23"/>
  <c r="AO297" i="14" s="1"/>
  <c r="AS297" i="14"/>
  <c r="W11" i="23"/>
  <c r="AS299" i="14"/>
  <c r="W17" i="18"/>
  <c r="AO154" i="14" s="1"/>
  <c r="AS154" i="14"/>
  <c r="W13" i="18"/>
  <c r="AS150" i="14"/>
  <c r="W15" i="18"/>
  <c r="AO152" i="14" s="1"/>
  <c r="CI152" i="14" s="1"/>
  <c r="CH152" i="14" s="1"/>
  <c r="AS152" i="14"/>
  <c r="W9" i="22"/>
  <c r="AS267" i="14"/>
  <c r="W26" i="22"/>
  <c r="AO284" i="14" s="1"/>
  <c r="AS284" i="14"/>
  <c r="W12" i="22"/>
  <c r="AS270" i="14"/>
  <c r="W15" i="22"/>
  <c r="AO273" i="14" s="1"/>
  <c r="AS273" i="14"/>
  <c r="W22" i="22"/>
  <c r="AS280" i="14"/>
  <c r="W18" i="2"/>
  <c r="AO124" i="14" s="1"/>
  <c r="CI124" i="14" s="1"/>
  <c r="CH124" i="14" s="1"/>
  <c r="AS124" i="14"/>
  <c r="W15" i="2"/>
  <c r="AS121" i="14"/>
  <c r="W8" i="2"/>
  <c r="AO114" i="14" s="1"/>
  <c r="CI114" i="14" s="1"/>
  <c r="CH114" i="14" s="1"/>
  <c r="AS114" i="14"/>
  <c r="W14" i="2"/>
  <c r="AS120" i="14"/>
  <c r="W16" i="27"/>
  <c r="AO427" i="14" s="1"/>
  <c r="AS427" i="14"/>
  <c r="W15" i="27"/>
  <c r="AS426" i="14"/>
  <c r="W13" i="19"/>
  <c r="AO179" i="14" s="1"/>
  <c r="AS179" i="14"/>
  <c r="W12" i="19"/>
  <c r="AS178" i="14"/>
  <c r="W9" i="19"/>
  <c r="AO175" i="14" s="1"/>
  <c r="AS175" i="14"/>
  <c r="W16" i="19"/>
  <c r="AS182" i="14"/>
  <c r="W13" i="28"/>
  <c r="AO454" i="14" s="1"/>
  <c r="AS454" i="14"/>
  <c r="W18" i="25"/>
  <c r="AS368" i="14"/>
  <c r="W9" i="20"/>
  <c r="AS206" i="14"/>
  <c r="W16" i="26"/>
  <c r="AS396" i="14"/>
  <c r="W8" i="26"/>
  <c r="AO388" i="14" s="1"/>
  <c r="AS388" i="14"/>
  <c r="W13" i="23"/>
  <c r="AS301" i="14"/>
  <c r="W8" i="18"/>
  <c r="AO145" i="14" s="1"/>
  <c r="CI145" i="14" s="1"/>
  <c r="CH145" i="14" s="1"/>
  <c r="AS145" i="14"/>
  <c r="W21" i="22"/>
  <c r="AS279" i="14"/>
  <c r="W25" i="22"/>
  <c r="AS283" i="14"/>
  <c r="W19" i="22"/>
  <c r="AS277" i="14"/>
  <c r="W16" i="2"/>
  <c r="AO122" i="14" s="1"/>
  <c r="CI122" i="14" s="1"/>
  <c r="CH122" i="14" s="1"/>
  <c r="AS122" i="14"/>
  <c r="W13" i="2"/>
  <c r="AS119" i="14"/>
  <c r="W9" i="27"/>
  <c r="AO420" i="14" s="1"/>
  <c r="AS420" i="14"/>
  <c r="W10" i="27"/>
  <c r="AS421" i="14"/>
  <c r="W14" i="27"/>
  <c r="AO425" i="14" s="1"/>
  <c r="AS425" i="14"/>
  <c r="W15" i="19"/>
  <c r="AS181" i="14"/>
  <c r="W14" i="19"/>
  <c r="AO180" i="14" s="1"/>
  <c r="AS180" i="14"/>
  <c r="W17" i="19"/>
  <c r="AS183" i="14"/>
  <c r="W18" i="28"/>
  <c r="AO459" i="14" s="1"/>
  <c r="AS459" i="14"/>
  <c r="W8" i="28"/>
  <c r="AS449" i="14"/>
  <c r="W10" i="24"/>
  <c r="AS329" i="14"/>
  <c r="W8" i="24"/>
  <c r="AS327" i="14"/>
  <c r="W15" i="24"/>
  <c r="AO334" i="14" s="1"/>
  <c r="AS334" i="14"/>
  <c r="W12" i="21"/>
  <c r="AS239" i="14"/>
  <c r="W17" i="21"/>
  <c r="AO244" i="14" s="1"/>
  <c r="AS244" i="14"/>
  <c r="W8" i="21"/>
  <c r="AS235" i="14"/>
  <c r="W15" i="25"/>
  <c r="AO365" i="14" s="1"/>
  <c r="AS365" i="14"/>
  <c r="W12" i="25"/>
  <c r="AS362" i="14"/>
  <c r="W16" i="25"/>
  <c r="AO366" i="14" s="1"/>
  <c r="AS366" i="14"/>
  <c r="W17" i="20"/>
  <c r="AS214" i="14"/>
  <c r="W8" i="20"/>
  <c r="AO205" i="14" s="1"/>
  <c r="CI205" i="14" s="1"/>
  <c r="CH205" i="14" s="1"/>
  <c r="AS205" i="14"/>
  <c r="W11" i="20"/>
  <c r="AS208" i="14"/>
  <c r="W18" i="20"/>
  <c r="AO215" i="14" s="1"/>
  <c r="AS215" i="14"/>
  <c r="W14" i="26"/>
  <c r="AS394" i="14"/>
  <c r="W17" i="26"/>
  <c r="AO397" i="14" s="1"/>
  <c r="AS397" i="14"/>
  <c r="W13" i="26"/>
  <c r="AS393" i="14"/>
  <c r="W10" i="26"/>
  <c r="AO390" i="14" s="1"/>
  <c r="AS390" i="14"/>
  <c r="W10" i="23"/>
  <c r="AS298" i="14"/>
  <c r="W18" i="23"/>
  <c r="AO306" i="14" s="1"/>
  <c r="AS306" i="14"/>
  <c r="W11" i="18"/>
  <c r="AS148" i="14"/>
  <c r="W18" i="18"/>
  <c r="AO155" i="14" s="1"/>
  <c r="AS155" i="14"/>
  <c r="W16" i="18"/>
  <c r="AS153" i="14"/>
  <c r="W16" i="22"/>
  <c r="AO274" i="14" s="1"/>
  <c r="AS274" i="14"/>
  <c r="W10" i="22"/>
  <c r="AS268" i="14"/>
  <c r="W11" i="22"/>
  <c r="AO269" i="14" s="1"/>
  <c r="AS269" i="14"/>
  <c r="W8" i="22"/>
  <c r="AS266" i="14"/>
  <c r="W17" i="22"/>
  <c r="AO275" i="14" s="1"/>
  <c r="AS275" i="14"/>
  <c r="W9" i="2"/>
  <c r="AS115" i="14"/>
  <c r="W12" i="2"/>
  <c r="AO118" i="14" s="1"/>
  <c r="CI118" i="14" s="1"/>
  <c r="CH118" i="14" s="1"/>
  <c r="AS118" i="14"/>
  <c r="W11" i="27"/>
  <c r="AS422" i="14"/>
  <c r="W13" i="27"/>
  <c r="AO424" i="14" s="1"/>
  <c r="AS424" i="14"/>
  <c r="W10" i="19"/>
  <c r="AS176" i="14"/>
  <c r="W11" i="19"/>
  <c r="AO177" i="14" s="1"/>
  <c r="CI177" i="14" s="1"/>
  <c r="CH177" i="14" s="1"/>
  <c r="AS177" i="14"/>
  <c r="W14" i="28"/>
  <c r="AS455" i="14"/>
  <c r="W15" i="28"/>
  <c r="AO456" i="14" s="1"/>
  <c r="AS456" i="14"/>
  <c r="W11" i="24"/>
  <c r="AS330" i="14"/>
  <c r="W17" i="24"/>
  <c r="AO336" i="14" s="1"/>
  <c r="AS336" i="14"/>
  <c r="W16" i="20"/>
  <c r="AS213" i="14"/>
  <c r="W17" i="23"/>
  <c r="AO305" i="14" s="1"/>
  <c r="AS305" i="14"/>
  <c r="W20" i="22"/>
  <c r="AS278" i="14"/>
  <c r="W19" i="28"/>
  <c r="AS460" i="14"/>
  <c r="W12" i="28"/>
  <c r="AS453" i="14"/>
  <c r="W9" i="28"/>
  <c r="AO450" i="14" s="1"/>
  <c r="AS450" i="14"/>
  <c r="W16" i="28"/>
  <c r="AS457" i="14"/>
  <c r="W13" i="24"/>
  <c r="AO332" i="14" s="1"/>
  <c r="AS332" i="14"/>
  <c r="W18" i="24"/>
  <c r="AS337" i="14"/>
  <c r="W12" i="24"/>
  <c r="AO331" i="14" s="1"/>
  <c r="AS331" i="14"/>
  <c r="W14" i="24"/>
  <c r="AS333" i="14"/>
  <c r="W18" i="21"/>
  <c r="AO245" i="14" s="1"/>
  <c r="AS245" i="14"/>
  <c r="W10" i="21"/>
  <c r="AS237" i="14"/>
  <c r="W9" i="25"/>
  <c r="AO359" i="14" s="1"/>
  <c r="AS359" i="14"/>
  <c r="W8" i="25"/>
  <c r="AS358" i="14"/>
  <c r="W14" i="25"/>
  <c r="AO364" i="14" s="1"/>
  <c r="AS364" i="14"/>
  <c r="W13" i="20"/>
  <c r="AS210" i="14"/>
  <c r="W15" i="26"/>
  <c r="AO395" i="14" s="1"/>
  <c r="AS395" i="14"/>
  <c r="W11" i="26"/>
  <c r="AS391" i="14"/>
  <c r="W15" i="23"/>
  <c r="AS303" i="14"/>
  <c r="W8" i="23"/>
  <c r="AS296" i="14"/>
  <c r="W12" i="23"/>
  <c r="AO300" i="14" s="1"/>
  <c r="AS300" i="14"/>
  <c r="W9" i="18"/>
  <c r="AS146" i="14"/>
  <c r="W10" i="18"/>
  <c r="AO147" i="14" s="1"/>
  <c r="CI147" i="14" s="1"/>
  <c r="CH147" i="14" s="1"/>
  <c r="AS147" i="14"/>
  <c r="W14" i="18"/>
  <c r="AS151" i="14"/>
  <c r="W24" i="22"/>
  <c r="AO282" i="14" s="1"/>
  <c r="AS282" i="14"/>
  <c r="W23" i="22"/>
  <c r="AS281" i="14"/>
  <c r="W18" i="22"/>
  <c r="AO276" i="14" s="1"/>
  <c r="AS276" i="14"/>
  <c r="W13" i="22"/>
  <c r="AS271" i="14"/>
  <c r="W14" i="22"/>
  <c r="AS272" i="14"/>
  <c r="W10" i="2"/>
  <c r="AS116" i="14"/>
  <c r="W19" i="2"/>
  <c r="AO125" i="14" s="1"/>
  <c r="CI125" i="14" s="1"/>
  <c r="CH125" i="14" s="1"/>
  <c r="AS125" i="14"/>
  <c r="W11" i="2"/>
  <c r="AS117" i="14"/>
  <c r="W17" i="2"/>
  <c r="AO123" i="14" s="1"/>
  <c r="CI123" i="14" s="1"/>
  <c r="CH123" i="14" s="1"/>
  <c r="AS123" i="14"/>
  <c r="W8" i="27"/>
  <c r="AS419" i="14"/>
  <c r="W17" i="27"/>
  <c r="AO428" i="14" s="1"/>
  <c r="AS428" i="14"/>
  <c r="W12" i="27"/>
  <c r="AS423" i="14"/>
  <c r="W8" i="19"/>
  <c r="AO174" i="14" s="1"/>
  <c r="AS174" i="14"/>
  <c r="W18" i="27"/>
  <c r="AS429" i="14"/>
  <c r="T19" i="25"/>
  <c r="Y19" i="25" s="1"/>
  <c r="AA18" i="2"/>
  <c r="E18" i="2" s="1"/>
  <c r="G124" i="14" s="1"/>
  <c r="T18" i="27"/>
  <c r="Y18" i="27" s="1"/>
  <c r="V19" i="27"/>
  <c r="D18" i="27"/>
  <c r="C18" i="27" s="1"/>
  <c r="U18" i="27"/>
  <c r="Z18" i="27" s="1"/>
  <c r="AZ285" i="14"/>
  <c r="AY23" i="22"/>
  <c r="CT281" i="14" s="1"/>
  <c r="H86" i="23"/>
  <c r="K86" i="23"/>
  <c r="AY14" i="22"/>
  <c r="CT272" i="14" s="1"/>
  <c r="S19" i="20"/>
  <c r="X19" i="20" s="1"/>
  <c r="R20" i="2"/>
  <c r="AR126" i="14" s="1"/>
  <c r="AY11" i="22"/>
  <c r="CT269" i="14" s="1"/>
  <c r="AZ270" i="14"/>
  <c r="T19" i="20"/>
  <c r="Y19" i="20" s="1"/>
  <c r="S19" i="23"/>
  <c r="X19" i="23" s="1"/>
  <c r="AZ281" i="14"/>
  <c r="AZ280" i="14"/>
  <c r="AY26" i="22"/>
  <c r="CT284" i="14" s="1"/>
  <c r="AZ295" i="14"/>
  <c r="AZ276" i="14"/>
  <c r="AY18" i="22"/>
  <c r="CT276" i="14" s="1"/>
  <c r="AZ290" i="14"/>
  <c r="AZ292" i="14"/>
  <c r="O79" i="23"/>
  <c r="AY17" i="22"/>
  <c r="CT275" i="14" s="1"/>
  <c r="AZ274" i="14"/>
  <c r="AZ266" i="14"/>
  <c r="AY22" i="22"/>
  <c r="CT280" i="14" s="1"/>
  <c r="AZ267" i="14"/>
  <c r="AY20" i="22"/>
  <c r="CT278" i="14" s="1"/>
  <c r="AY16" i="22"/>
  <c r="CT274" i="14" s="1"/>
  <c r="L153" i="29"/>
  <c r="AZ269" i="14"/>
  <c r="AY8" i="22"/>
  <c r="CT266" i="14" s="1"/>
  <c r="AY24" i="22"/>
  <c r="CT282" i="14" s="1"/>
  <c r="AY30" i="22"/>
  <c r="CT288" i="14" s="1"/>
  <c r="AZ291" i="14"/>
  <c r="AZ293" i="14"/>
  <c r="AZ279" i="14"/>
  <c r="AY15" i="22"/>
  <c r="CT273" i="14" s="1"/>
  <c r="AZ294" i="14"/>
  <c r="AZ278" i="14"/>
  <c r="AZ284" i="14"/>
  <c r="AY29" i="22"/>
  <c r="CT287" i="14" s="1"/>
  <c r="AY34" i="22"/>
  <c r="CT292" i="14" s="1"/>
  <c r="AY37" i="22"/>
  <c r="CT295" i="14" s="1"/>
  <c r="AZ286" i="14"/>
  <c r="AY32" i="22"/>
  <c r="CT290" i="14" s="1"/>
  <c r="AY9" i="22"/>
  <c r="CT267" i="14" s="1"/>
  <c r="AZ282" i="14"/>
  <c r="AY12" i="22"/>
  <c r="CT270" i="14" s="1"/>
  <c r="AY21" i="22"/>
  <c r="CT279" i="14" s="1"/>
  <c r="R19" i="24"/>
  <c r="AR338" i="14" s="1"/>
  <c r="AY36" i="22"/>
  <c r="CT294" i="14" s="1"/>
  <c r="AO195" i="30"/>
  <c r="V194" i="30" s="1"/>
  <c r="T19" i="28"/>
  <c r="Y19" i="28" s="1"/>
  <c r="S19" i="24"/>
  <c r="X19" i="24" s="1"/>
  <c r="S19" i="21"/>
  <c r="X19" i="21" s="1"/>
  <c r="G86" i="23"/>
  <c r="T20" i="2"/>
  <c r="Y20" i="2" s="1"/>
  <c r="S20" i="2"/>
  <c r="X20" i="2" s="1"/>
  <c r="R18" i="19"/>
  <c r="AR184" i="14" s="1"/>
  <c r="AY27" i="22"/>
  <c r="CT285" i="14" s="1"/>
  <c r="AZ275" i="14"/>
  <c r="AZ289" i="14"/>
  <c r="AY10" i="22"/>
  <c r="CT268" i="14" s="1"/>
  <c r="AZ277" i="14"/>
  <c r="AZ283" i="14"/>
  <c r="S19" i="28"/>
  <c r="X19" i="28" s="1"/>
  <c r="U19" i="28"/>
  <c r="Z19" i="28" s="1"/>
  <c r="U19" i="24"/>
  <c r="Z19" i="24" s="1"/>
  <c r="AZ287" i="14"/>
  <c r="R18" i="26"/>
  <c r="AR398" i="14" s="1"/>
  <c r="U18" i="26"/>
  <c r="Z18" i="26" s="1"/>
  <c r="AZ288" i="14"/>
  <c r="AY13" i="22"/>
  <c r="CT271" i="14" s="1"/>
  <c r="AZ272" i="14"/>
  <c r="N79" i="24"/>
  <c r="O88" i="24" s="1"/>
  <c r="L78" i="24"/>
  <c r="AE31" i="24" s="1"/>
  <c r="AZ271" i="14"/>
  <c r="AK406" i="1"/>
  <c r="AY33" i="22"/>
  <c r="CT291" i="14" s="1"/>
  <c r="AY35" i="22"/>
  <c r="CT293" i="14" s="1"/>
  <c r="AZ268" i="14"/>
  <c r="AZ273" i="14"/>
  <c r="AY19" i="22"/>
  <c r="CT277" i="14" s="1"/>
  <c r="AY28" i="22"/>
  <c r="CT286" i="14" s="1"/>
  <c r="AY31" i="22"/>
  <c r="CT289" i="14" s="1"/>
  <c r="AO209" i="14"/>
  <c r="AY25" i="22"/>
  <c r="CT283" i="14" s="1"/>
  <c r="D70" i="16"/>
  <c r="C178" i="29" s="1"/>
  <c r="AO396" i="14"/>
  <c r="AO419" i="14"/>
  <c r="AK402" i="1"/>
  <c r="D135" i="15"/>
  <c r="Z19" i="21"/>
  <c r="AO335" i="14"/>
  <c r="AO278" i="14"/>
  <c r="AK404" i="1"/>
  <c r="AO242" i="14"/>
  <c r="E19" i="21"/>
  <c r="G246" i="14" s="1"/>
  <c r="AK246" i="14" s="1"/>
  <c r="O137" i="29"/>
  <c r="R19" i="21"/>
  <c r="AR246" i="14" s="1"/>
  <c r="L77" i="24"/>
  <c r="G86" i="24" s="1"/>
  <c r="U19" i="25"/>
  <c r="Z19" i="25" s="1"/>
  <c r="U19" i="18"/>
  <c r="Z19" i="18" s="1"/>
  <c r="AO115" i="14"/>
  <c r="CI115" i="14" s="1"/>
  <c r="CH115" i="14" s="1"/>
  <c r="AK405" i="1"/>
  <c r="AK403" i="1"/>
  <c r="V20" i="24"/>
  <c r="D19" i="24"/>
  <c r="C19" i="24" s="1"/>
  <c r="AO267" i="14"/>
  <c r="R19" i="25"/>
  <c r="AR369" i="14" s="1"/>
  <c r="AO298" i="14"/>
  <c r="T19" i="18"/>
  <c r="Y19" i="18" s="1"/>
  <c r="X19" i="18"/>
  <c r="AO279" i="14"/>
  <c r="AO283" i="14"/>
  <c r="AO277" i="14"/>
  <c r="AO422" i="14"/>
  <c r="AO426" i="14"/>
  <c r="T18" i="19"/>
  <c r="Y18" i="19" s="1"/>
  <c r="V20" i="20"/>
  <c r="D19" i="20"/>
  <c r="C19" i="20" s="1"/>
  <c r="R19" i="18"/>
  <c r="AR156" i="14" s="1"/>
  <c r="AO199" i="30"/>
  <c r="V199" i="30" s="1"/>
  <c r="AK407" i="1"/>
  <c r="AO213" i="14"/>
  <c r="AO301" i="14"/>
  <c r="AO151" i="14"/>
  <c r="CI151" i="14" s="1"/>
  <c r="CH151" i="14" s="1"/>
  <c r="AO119" i="14"/>
  <c r="CI119" i="14" s="1"/>
  <c r="CH119" i="14" s="1"/>
  <c r="AO120" i="14"/>
  <c r="CI120" i="14" s="1"/>
  <c r="CH120" i="14" s="1"/>
  <c r="AO362" i="14"/>
  <c r="AO208" i="14"/>
  <c r="AO211" i="14"/>
  <c r="AO150" i="14"/>
  <c r="CI150" i="14" s="1"/>
  <c r="CH150" i="14" s="1"/>
  <c r="AO337" i="14"/>
  <c r="AO238" i="14"/>
  <c r="AO239" i="14"/>
  <c r="AO235" i="14"/>
  <c r="AO358" i="14"/>
  <c r="AO303" i="14"/>
  <c r="AO296" i="14"/>
  <c r="AO149" i="14"/>
  <c r="CI149" i="14" s="1"/>
  <c r="CH149" i="14" s="1"/>
  <c r="AO117" i="14"/>
  <c r="CI117" i="14" s="1"/>
  <c r="CH117" i="14" s="1"/>
  <c r="AO299" i="14"/>
  <c r="AO153" i="14"/>
  <c r="CI153" i="14" s="1"/>
  <c r="CH153" i="14" s="1"/>
  <c r="AO281" i="14"/>
  <c r="AO271" i="14"/>
  <c r="AO121" i="14"/>
  <c r="CI121" i="14" s="1"/>
  <c r="CH121" i="14" s="1"/>
  <c r="AO178" i="14"/>
  <c r="AO329" i="14"/>
  <c r="AK239" i="14"/>
  <c r="T239" i="14"/>
  <c r="AO368" i="14"/>
  <c r="AO206" i="14"/>
  <c r="G205" i="14"/>
  <c r="AO270" i="14"/>
  <c r="AK271" i="14"/>
  <c r="T271" i="14"/>
  <c r="G266" i="14"/>
  <c r="AK122" i="14"/>
  <c r="T122" i="14"/>
  <c r="V19" i="19"/>
  <c r="D18" i="19"/>
  <c r="C18" i="19" s="1"/>
  <c r="AI212" i="14"/>
  <c r="AG212" i="14"/>
  <c r="L219" i="14"/>
  <c r="AO457" i="14"/>
  <c r="AO237" i="14"/>
  <c r="AO243" i="14"/>
  <c r="G235" i="14"/>
  <c r="AK240" i="14"/>
  <c r="T240" i="14"/>
  <c r="AK216" i="14"/>
  <c r="T216" i="14"/>
  <c r="AK211" i="14"/>
  <c r="T211" i="14"/>
  <c r="K161" i="29"/>
  <c r="BG59" i="14"/>
  <c r="BF60" i="14"/>
  <c r="BE72" i="14"/>
  <c r="V20" i="25"/>
  <c r="D19" i="25"/>
  <c r="C19" i="25" s="1"/>
  <c r="O144" i="29"/>
  <c r="K77" i="26"/>
  <c r="U27" i="22"/>
  <c r="Z27" i="22" s="1"/>
  <c r="AO272" i="14"/>
  <c r="AK267" i="14"/>
  <c r="T267" i="14"/>
  <c r="AK277" i="14"/>
  <c r="T277" i="14"/>
  <c r="AK272" i="14"/>
  <c r="T272" i="14"/>
  <c r="AK280" i="14"/>
  <c r="T280" i="14"/>
  <c r="B125" i="14"/>
  <c r="C125" i="14"/>
  <c r="D125" i="14" s="1"/>
  <c r="E126" i="14"/>
  <c r="AN125" i="14"/>
  <c r="Q125" i="14"/>
  <c r="J125" i="14"/>
  <c r="H124" i="15"/>
  <c r="AK118" i="14"/>
  <c r="T118" i="14"/>
  <c r="AK119" i="14"/>
  <c r="T119" i="14"/>
  <c r="E103" i="29"/>
  <c r="I103" i="29"/>
  <c r="M103" i="29"/>
  <c r="Q103" i="29"/>
  <c r="B103" i="29"/>
  <c r="C103" i="29"/>
  <c r="F103" i="29" s="1"/>
  <c r="G103" i="29"/>
  <c r="J103" i="29" s="1"/>
  <c r="K103" i="29"/>
  <c r="N103" i="29" s="1"/>
  <c r="O103" i="29"/>
  <c r="R103" i="29" s="1"/>
  <c r="H103" i="29"/>
  <c r="P103" i="29"/>
  <c r="L103" i="29"/>
  <c r="D103" i="29"/>
  <c r="A85" i="29"/>
  <c r="A86" i="29"/>
  <c r="B30" i="29"/>
  <c r="P30" i="29"/>
  <c r="H30" i="29"/>
  <c r="Q30" i="29"/>
  <c r="L30" i="29"/>
  <c r="I30" i="29"/>
  <c r="D30" i="29"/>
  <c r="K30" i="29"/>
  <c r="M30" i="29"/>
  <c r="C30" i="29"/>
  <c r="O30" i="29"/>
  <c r="G30" i="29"/>
  <c r="E30" i="29"/>
  <c r="A32" i="29"/>
  <c r="A31" i="29"/>
  <c r="B22" i="29"/>
  <c r="O22" i="29"/>
  <c r="M22" i="29"/>
  <c r="K22" i="29"/>
  <c r="G22" i="29"/>
  <c r="E22" i="29"/>
  <c r="C22" i="29"/>
  <c r="P22" i="29"/>
  <c r="H22" i="29"/>
  <c r="Q22" i="29"/>
  <c r="L22" i="29"/>
  <c r="I22" i="29"/>
  <c r="D22" i="29"/>
  <c r="A23" i="29"/>
  <c r="A24" i="29"/>
  <c r="Q42" i="29"/>
  <c r="L42" i="29"/>
  <c r="I42" i="29"/>
  <c r="D42" i="29"/>
  <c r="M42" i="29"/>
  <c r="E42" i="29"/>
  <c r="K42" i="29"/>
  <c r="C42" i="29"/>
  <c r="O42" i="29"/>
  <c r="G42" i="29"/>
  <c r="B42" i="29"/>
  <c r="P42" i="29"/>
  <c r="H42" i="29"/>
  <c r="A43" i="29"/>
  <c r="A44" i="29"/>
  <c r="B98" i="29"/>
  <c r="C98" i="29"/>
  <c r="G98" i="29"/>
  <c r="K98" i="29"/>
  <c r="O98" i="29"/>
  <c r="D98" i="29"/>
  <c r="H98" i="29"/>
  <c r="L98" i="29"/>
  <c r="P98" i="29"/>
  <c r="M98" i="29"/>
  <c r="Q98" i="29"/>
  <c r="E98" i="29"/>
  <c r="I98" i="29"/>
  <c r="M145" i="29"/>
  <c r="AI148" i="14"/>
  <c r="AG148" i="14"/>
  <c r="L155" i="14"/>
  <c r="P136" i="29"/>
  <c r="N72" i="27"/>
  <c r="AI178" i="14"/>
  <c r="AG178" i="14"/>
  <c r="L185" i="14"/>
  <c r="AO330" i="14"/>
  <c r="AO327" i="14"/>
  <c r="AO360" i="14"/>
  <c r="AO214" i="14"/>
  <c r="AK281" i="14"/>
  <c r="T281" i="14"/>
  <c r="V20" i="23"/>
  <c r="D19" i="23"/>
  <c r="C19" i="23" s="1"/>
  <c r="AK117" i="14"/>
  <c r="T117" i="14"/>
  <c r="AO182" i="14"/>
  <c r="AO176" i="14"/>
  <c r="AO183" i="14"/>
  <c r="B104" i="29"/>
  <c r="D104" i="29"/>
  <c r="H104" i="29"/>
  <c r="L104" i="29"/>
  <c r="P104" i="29"/>
  <c r="E104" i="29"/>
  <c r="I104" i="29"/>
  <c r="M104" i="29"/>
  <c r="Q104" i="29"/>
  <c r="G104" i="29"/>
  <c r="J104" i="29" s="1"/>
  <c r="K104" i="29"/>
  <c r="N104" i="29" s="1"/>
  <c r="O104" i="29"/>
  <c r="R104" i="29" s="1"/>
  <c r="C104" i="29"/>
  <c r="F104" i="29" s="1"/>
  <c r="B34" i="29"/>
  <c r="O34" i="29"/>
  <c r="G34" i="29"/>
  <c r="P34" i="29"/>
  <c r="K34" i="29"/>
  <c r="H34" i="29"/>
  <c r="C34" i="29"/>
  <c r="Q34" i="29"/>
  <c r="L34" i="29"/>
  <c r="I34" i="29"/>
  <c r="D34" i="29"/>
  <c r="E34" i="29"/>
  <c r="M34" i="29"/>
  <c r="A35" i="29"/>
  <c r="A36" i="29"/>
  <c r="A69" i="29"/>
  <c r="A70" i="29"/>
  <c r="A78" i="29"/>
  <c r="A77" i="29"/>
  <c r="P26" i="29"/>
  <c r="M26" i="29"/>
  <c r="H26" i="29"/>
  <c r="E26" i="29"/>
  <c r="L26" i="29"/>
  <c r="D26" i="29"/>
  <c r="Q26" i="29"/>
  <c r="I26" i="29"/>
  <c r="C26" i="29"/>
  <c r="O26" i="29"/>
  <c r="K26" i="29"/>
  <c r="G26" i="29"/>
  <c r="B26" i="29"/>
  <c r="A27" i="29"/>
  <c r="A28" i="29"/>
  <c r="E186" i="14"/>
  <c r="B185" i="14"/>
  <c r="AN185" i="14"/>
  <c r="C185" i="14"/>
  <c r="D185" i="14" s="1"/>
  <c r="Q185" i="14"/>
  <c r="J185" i="14"/>
  <c r="H184" i="15"/>
  <c r="AO236" i="14"/>
  <c r="AK242" i="14"/>
  <c r="T242" i="14"/>
  <c r="AK210" i="14"/>
  <c r="T210" i="14"/>
  <c r="AO304" i="14"/>
  <c r="AK275" i="14"/>
  <c r="T275" i="14"/>
  <c r="AK282" i="14"/>
  <c r="T282" i="14"/>
  <c r="AO116" i="14"/>
  <c r="CI116" i="14" s="1"/>
  <c r="CH116" i="14" s="1"/>
  <c r="AK123" i="14"/>
  <c r="T123" i="14"/>
  <c r="AI154" i="14"/>
  <c r="L161" i="14"/>
  <c r="AG154" i="14"/>
  <c r="L159" i="29"/>
  <c r="L157" i="29"/>
  <c r="L160" i="29"/>
  <c r="L158" i="29"/>
  <c r="P134" i="29"/>
  <c r="N70" i="27"/>
  <c r="V28" i="22"/>
  <c r="AO453" i="14"/>
  <c r="AK237" i="14"/>
  <c r="T237" i="14"/>
  <c r="AK245" i="14"/>
  <c r="T245" i="14"/>
  <c r="AK241" i="14"/>
  <c r="T241" i="14"/>
  <c r="AK243" i="14"/>
  <c r="T243" i="14"/>
  <c r="AK236" i="14"/>
  <c r="T236" i="14"/>
  <c r="AK244" i="14"/>
  <c r="T244" i="14"/>
  <c r="W189" i="30"/>
  <c r="V191" i="30"/>
  <c r="V190" i="30"/>
  <c r="AK206" i="14"/>
  <c r="T206" i="14"/>
  <c r="AK208" i="14"/>
  <c r="T208" i="14"/>
  <c r="AK207" i="14"/>
  <c r="T207" i="14"/>
  <c r="AK215" i="14"/>
  <c r="T215" i="14"/>
  <c r="L277" i="28"/>
  <c r="S69" i="27"/>
  <c r="G79" i="27"/>
  <c r="U69" i="27" s="1"/>
  <c r="AO389" i="14"/>
  <c r="AO391" i="14"/>
  <c r="AO393" i="14"/>
  <c r="U19" i="23"/>
  <c r="Z19" i="23" s="1"/>
  <c r="Y19" i="23"/>
  <c r="AO148" i="14"/>
  <c r="CI148" i="14" s="1"/>
  <c r="CH148" i="14" s="1"/>
  <c r="AO146" i="14"/>
  <c r="CI146" i="14" s="1"/>
  <c r="CH146" i="14" s="1"/>
  <c r="C21" i="22"/>
  <c r="D22" i="22"/>
  <c r="K70" i="28"/>
  <c r="K72" i="28"/>
  <c r="K69" i="28"/>
  <c r="Q133" i="29" s="1"/>
  <c r="K71" i="28"/>
  <c r="AO268" i="14"/>
  <c r="AK279" i="14"/>
  <c r="T279" i="14"/>
  <c r="AK283" i="14"/>
  <c r="T283" i="14"/>
  <c r="AK269" i="14"/>
  <c r="T269" i="14"/>
  <c r="E27" i="22"/>
  <c r="G285" i="14" s="1"/>
  <c r="AK268" i="14"/>
  <c r="T268" i="14"/>
  <c r="AK276" i="14"/>
  <c r="T276" i="14"/>
  <c r="AK284" i="14"/>
  <c r="T284" i="14"/>
  <c r="V19" i="26"/>
  <c r="D18" i="26"/>
  <c r="C18" i="26" s="1"/>
  <c r="AI172" i="14"/>
  <c r="AG172" i="14"/>
  <c r="L179" i="14"/>
  <c r="I278" i="28"/>
  <c r="M151" i="29"/>
  <c r="T71" i="25"/>
  <c r="O143" i="29"/>
  <c r="I78" i="26"/>
  <c r="I77" i="26" s="1"/>
  <c r="V20" i="18"/>
  <c r="D19" i="18"/>
  <c r="C19" i="18" s="1"/>
  <c r="AI166" i="14"/>
  <c r="L173" i="14"/>
  <c r="AG166" i="14"/>
  <c r="AK124" i="14"/>
  <c r="T124" i="14"/>
  <c r="AK116" i="14"/>
  <c r="T116" i="14"/>
  <c r="AO421" i="14"/>
  <c r="S18" i="19"/>
  <c r="X18" i="19" s="1"/>
  <c r="U18" i="19"/>
  <c r="Z18" i="19" s="1"/>
  <c r="A73" i="29"/>
  <c r="A74" i="29"/>
  <c r="B18" i="29"/>
  <c r="A20" i="29"/>
  <c r="A19" i="29"/>
  <c r="B99" i="29"/>
  <c r="D99" i="29"/>
  <c r="L99" i="29"/>
  <c r="O99" i="29"/>
  <c r="R99" i="29" s="1"/>
  <c r="P99" i="29"/>
  <c r="Q99" i="29"/>
  <c r="C99" i="29"/>
  <c r="F99" i="29" s="1"/>
  <c r="I99" i="29"/>
  <c r="K99" i="29"/>
  <c r="N99" i="29" s="1"/>
  <c r="H99" i="29"/>
  <c r="E99" i="29"/>
  <c r="G99" i="29"/>
  <c r="J99" i="29" s="1"/>
  <c r="M99" i="29"/>
  <c r="B101" i="29"/>
  <c r="C101" i="29"/>
  <c r="F101" i="29" s="1"/>
  <c r="G101" i="29"/>
  <c r="J101" i="29" s="1"/>
  <c r="K101" i="29"/>
  <c r="N101" i="29" s="1"/>
  <c r="O101" i="29"/>
  <c r="R101" i="29" s="1"/>
  <c r="D101" i="29"/>
  <c r="H101" i="29"/>
  <c r="L101" i="29"/>
  <c r="P101" i="29"/>
  <c r="E101" i="29"/>
  <c r="I101" i="29"/>
  <c r="M101" i="29"/>
  <c r="Q101" i="29"/>
  <c r="A82" i="29"/>
  <c r="A81" i="29"/>
  <c r="M150" i="29"/>
  <c r="T70" i="25"/>
  <c r="H278" i="28"/>
  <c r="V21" i="2"/>
  <c r="D20" i="2"/>
  <c r="C20" i="2" s="1"/>
  <c r="G146" i="24"/>
  <c r="H146" i="24" s="1"/>
  <c r="I146" i="24" s="1"/>
  <c r="D146" i="24" s="1"/>
  <c r="G148" i="24"/>
  <c r="H148" i="24" s="1"/>
  <c r="I148" i="24" s="1"/>
  <c r="D148" i="24" s="1"/>
  <c r="G147" i="24"/>
  <c r="H147" i="24" s="1"/>
  <c r="I147" i="24" s="1"/>
  <c r="D147" i="24" s="1"/>
  <c r="AB302" i="1"/>
  <c r="AO333" i="14"/>
  <c r="AO210" i="14"/>
  <c r="AK213" i="14"/>
  <c r="T213" i="14"/>
  <c r="S72" i="25"/>
  <c r="K79" i="25"/>
  <c r="U72" i="25" s="1"/>
  <c r="AO280" i="14"/>
  <c r="AO266" i="14"/>
  <c r="AK274" i="14"/>
  <c r="T274" i="14"/>
  <c r="AO181" i="14"/>
  <c r="P135" i="29"/>
  <c r="N71" i="27"/>
  <c r="O142" i="29"/>
  <c r="H78" i="26"/>
  <c r="N73" i="26"/>
  <c r="AO449" i="14"/>
  <c r="AO455" i="14"/>
  <c r="AO452" i="14"/>
  <c r="AO458" i="14"/>
  <c r="AK238" i="14"/>
  <c r="T238" i="14"/>
  <c r="V20" i="21"/>
  <c r="D19" i="21"/>
  <c r="C19" i="21" s="1"/>
  <c r="AK214" i="14"/>
  <c r="T214" i="14"/>
  <c r="AK212" i="14"/>
  <c r="T212" i="14"/>
  <c r="AK209" i="14"/>
  <c r="T209" i="14"/>
  <c r="AB10" i="23"/>
  <c r="AB12" i="23"/>
  <c r="AB14" i="23"/>
  <c r="AB16" i="23"/>
  <c r="AB18" i="23"/>
  <c r="AB20" i="23"/>
  <c r="AB22" i="23"/>
  <c r="AB24" i="23"/>
  <c r="AB26" i="23"/>
  <c r="AB28" i="23"/>
  <c r="AB30" i="23"/>
  <c r="AB32" i="23"/>
  <c r="AB34" i="23"/>
  <c r="AB8" i="23"/>
  <c r="AB13" i="23"/>
  <c r="AB21" i="23"/>
  <c r="AB29" i="23"/>
  <c r="AB11" i="23"/>
  <c r="AB19" i="23"/>
  <c r="AB27" i="23"/>
  <c r="AB35" i="23"/>
  <c r="AB9" i="23"/>
  <c r="AB17" i="23"/>
  <c r="AB25" i="23"/>
  <c r="AB33" i="23"/>
  <c r="AB31" i="23"/>
  <c r="AB23" i="23"/>
  <c r="AB15" i="23"/>
  <c r="AB37" i="23"/>
  <c r="AB36" i="23"/>
  <c r="AB38" i="23"/>
  <c r="AD8" i="23"/>
  <c r="AD15" i="23"/>
  <c r="AD23" i="23"/>
  <c r="AD31" i="23"/>
  <c r="AD18" i="23"/>
  <c r="AD24" i="23"/>
  <c r="AD30" i="23"/>
  <c r="AD28" i="23"/>
  <c r="AE16" i="23"/>
  <c r="AE24" i="23"/>
  <c r="AE32" i="23"/>
  <c r="AE11" i="23"/>
  <c r="AE19" i="23"/>
  <c r="AE27" i="23"/>
  <c r="AE35" i="23"/>
  <c r="AC13" i="23"/>
  <c r="AC21" i="23"/>
  <c r="AC29" i="23"/>
  <c r="AC10" i="23"/>
  <c r="AC18" i="23"/>
  <c r="AC26" i="23"/>
  <c r="AC34" i="23"/>
  <c r="AD10" i="23"/>
  <c r="AD36" i="23"/>
  <c r="AE22" i="23"/>
  <c r="AE30" i="23"/>
  <c r="AE17" i="23"/>
  <c r="AE33" i="23"/>
  <c r="AC19" i="23"/>
  <c r="AC16" i="23"/>
  <c r="AD9" i="23"/>
  <c r="AD17" i="23"/>
  <c r="AD25" i="23"/>
  <c r="AD33" i="23"/>
  <c r="AD26" i="23"/>
  <c r="AD32" i="23"/>
  <c r="AD20" i="23"/>
  <c r="AD37" i="23"/>
  <c r="AE10" i="23"/>
  <c r="AE18" i="23"/>
  <c r="AE26" i="23"/>
  <c r="AE34" i="23"/>
  <c r="AE13" i="23"/>
  <c r="AE21" i="23"/>
  <c r="AE29" i="23"/>
  <c r="AE36" i="23"/>
  <c r="AC8" i="23"/>
  <c r="AC15" i="23"/>
  <c r="AC23" i="23"/>
  <c r="AC31" i="23"/>
  <c r="AC12" i="23"/>
  <c r="AC20" i="23"/>
  <c r="AC28" i="23"/>
  <c r="AC38" i="23"/>
  <c r="AD13" i="23"/>
  <c r="AD29" i="23"/>
  <c r="AD22" i="23"/>
  <c r="AE14" i="23"/>
  <c r="AC32" i="23"/>
  <c r="AD11" i="23"/>
  <c r="AD19" i="23"/>
  <c r="AD27" i="23"/>
  <c r="AD35" i="23"/>
  <c r="AD34" i="23"/>
  <c r="AD14" i="23"/>
  <c r="AD12" i="23"/>
  <c r="AE12" i="23"/>
  <c r="AE20" i="23"/>
  <c r="AE28" i="23"/>
  <c r="AE8" i="23"/>
  <c r="AE15" i="23"/>
  <c r="AE23" i="23"/>
  <c r="AE31" i="23"/>
  <c r="AE38" i="23"/>
  <c r="AC9" i="23"/>
  <c r="AC17" i="23"/>
  <c r="AC25" i="23"/>
  <c r="AC33" i="23"/>
  <c r="AC14" i="23"/>
  <c r="AC22" i="23"/>
  <c r="AC30" i="23"/>
  <c r="AC37" i="23"/>
  <c r="AD21" i="23"/>
  <c r="AD16" i="23"/>
  <c r="AD38" i="23"/>
  <c r="AE9" i="23"/>
  <c r="AE25" i="23"/>
  <c r="AE37" i="23"/>
  <c r="AC11" i="23"/>
  <c r="AC27" i="23"/>
  <c r="AC35" i="23"/>
  <c r="AC24" i="23"/>
  <c r="AC36" i="23"/>
  <c r="G280" i="28"/>
  <c r="P149" i="29"/>
  <c r="T69" i="27"/>
  <c r="AO394" i="14"/>
  <c r="R19" i="23"/>
  <c r="AR307" i="14" s="1"/>
  <c r="BC73" i="14"/>
  <c r="BC74" i="14"/>
  <c r="BC77" i="14"/>
  <c r="BC79" i="14"/>
  <c r="BC80" i="14" s="1"/>
  <c r="BC76" i="14"/>
  <c r="BC78" i="14"/>
  <c r="BC75" i="14"/>
  <c r="V20" i="28"/>
  <c r="D19" i="28"/>
  <c r="C19" i="28" s="1"/>
  <c r="Q141" i="29"/>
  <c r="G78" i="28"/>
  <c r="G77" i="28" s="1"/>
  <c r="R27" i="22"/>
  <c r="AR285" i="14" s="1"/>
  <c r="S27" i="22"/>
  <c r="X27" i="22" s="1"/>
  <c r="Y27" i="22"/>
  <c r="AK273" i="14"/>
  <c r="T273" i="14"/>
  <c r="AK270" i="14"/>
  <c r="T270" i="14"/>
  <c r="AK278" i="14"/>
  <c r="T278" i="14"/>
  <c r="I77" i="25"/>
  <c r="AI160" i="14"/>
  <c r="AG160" i="14"/>
  <c r="L167" i="14"/>
  <c r="L86" i="22"/>
  <c r="I119" i="29" s="1"/>
  <c r="J119" i="29" s="1"/>
  <c r="AK121" i="14"/>
  <c r="T121" i="14"/>
  <c r="AK120" i="14"/>
  <c r="T120" i="14"/>
  <c r="G114" i="14"/>
  <c r="AK115" i="14"/>
  <c r="T115" i="14"/>
  <c r="AO423" i="14"/>
  <c r="B100" i="29"/>
  <c r="D100" i="29"/>
  <c r="H100" i="29"/>
  <c r="L100" i="29"/>
  <c r="P100" i="29"/>
  <c r="E100" i="29"/>
  <c r="I100" i="29"/>
  <c r="M100" i="29"/>
  <c r="Q100" i="29"/>
  <c r="K100" i="29"/>
  <c r="N100" i="29" s="1"/>
  <c r="C100" i="29"/>
  <c r="F100" i="29" s="1"/>
  <c r="O100" i="29"/>
  <c r="R100" i="29" s="1"/>
  <c r="G100" i="29"/>
  <c r="J100" i="29" s="1"/>
  <c r="A89" i="29"/>
  <c r="A90" i="29"/>
  <c r="B38" i="29"/>
  <c r="K38" i="29"/>
  <c r="C38" i="29"/>
  <c r="O38" i="29"/>
  <c r="L38" i="29"/>
  <c r="G38" i="29"/>
  <c r="D38" i="29"/>
  <c r="Q38" i="29"/>
  <c r="I38" i="29"/>
  <c r="P38" i="29"/>
  <c r="M38" i="29"/>
  <c r="E38" i="29"/>
  <c r="H38" i="29"/>
  <c r="A40" i="29"/>
  <c r="A39" i="29"/>
  <c r="B102" i="29"/>
  <c r="C102" i="29"/>
  <c r="F102" i="29" s="1"/>
  <c r="G102" i="29"/>
  <c r="J102" i="29" s="1"/>
  <c r="K102" i="29"/>
  <c r="N102" i="29" s="1"/>
  <c r="O102" i="29"/>
  <c r="R102" i="29" s="1"/>
  <c r="D102" i="29"/>
  <c r="H102" i="29"/>
  <c r="L102" i="29"/>
  <c r="P102" i="29"/>
  <c r="I102" i="29"/>
  <c r="Q102" i="29"/>
  <c r="M102" i="29"/>
  <c r="E102" i="29"/>
  <c r="A65" i="29"/>
  <c r="A66" i="29"/>
  <c r="S70" i="25"/>
  <c r="H79" i="25"/>
  <c r="U70" i="25" s="1"/>
  <c r="W19" i="18" l="1"/>
  <c r="AS156" i="14"/>
  <c r="W20" i="2"/>
  <c r="AO126" i="14" s="1"/>
  <c r="CI126" i="14" s="1"/>
  <c r="CH126" i="14" s="1"/>
  <c r="AS126" i="14"/>
  <c r="W19" i="21"/>
  <c r="AO246" i="14" s="1"/>
  <c r="AS246" i="14"/>
  <c r="W18" i="19"/>
  <c r="AO184" i="14" s="1"/>
  <c r="CI184" i="14" s="1"/>
  <c r="CH184" i="14" s="1"/>
  <c r="AS184" i="14"/>
  <c r="W27" i="22"/>
  <c r="AS285" i="14"/>
  <c r="W19" i="23"/>
  <c r="AO307" i="14" s="1"/>
  <c r="AS307" i="14"/>
  <c r="W19" i="25"/>
  <c r="AS369" i="14"/>
  <c r="W18" i="26"/>
  <c r="AS398" i="14"/>
  <c r="W19" i="24"/>
  <c r="AO338" i="14" s="1"/>
  <c r="AS338" i="14"/>
  <c r="AO429" i="14"/>
  <c r="L278" i="28"/>
  <c r="L86" i="23"/>
  <c r="K119" i="29" s="1"/>
  <c r="AB13" i="24"/>
  <c r="V195" i="30"/>
  <c r="T19" i="27"/>
  <c r="Y19" i="27" s="1"/>
  <c r="D19" i="27"/>
  <c r="C19" i="27" s="1"/>
  <c r="V20" i="27"/>
  <c r="R19" i="27"/>
  <c r="AR430" i="14" s="1"/>
  <c r="U19" i="27"/>
  <c r="Z19" i="27" s="1"/>
  <c r="S19" i="27"/>
  <c r="X19" i="27" s="1"/>
  <c r="AO216" i="14"/>
  <c r="CI178" i="14"/>
  <c r="CH178" i="14" s="1"/>
  <c r="AD37" i="24"/>
  <c r="AB37" i="24"/>
  <c r="AC12" i="24"/>
  <c r="AB8" i="24"/>
  <c r="AE29" i="24"/>
  <c r="AE9" i="24"/>
  <c r="AE28" i="24"/>
  <c r="AC35" i="24"/>
  <c r="AE32" i="24"/>
  <c r="AC37" i="24"/>
  <c r="AE18" i="24"/>
  <c r="AB33" i="24"/>
  <c r="AD10" i="24"/>
  <c r="AD21" i="24"/>
  <c r="O79" i="24"/>
  <c r="W193" i="30"/>
  <c r="AO398" i="14"/>
  <c r="AC32" i="24"/>
  <c r="AB34" i="24"/>
  <c r="AC25" i="24"/>
  <c r="AD15" i="24"/>
  <c r="AE16" i="24"/>
  <c r="AC16" i="24"/>
  <c r="AB36" i="24"/>
  <c r="AC31" i="24"/>
  <c r="AD13" i="24"/>
  <c r="AE30" i="24"/>
  <c r="AC38" i="24"/>
  <c r="AB18" i="24"/>
  <c r="AC21" i="24"/>
  <c r="AD25" i="24"/>
  <c r="AE12" i="24"/>
  <c r="AB30" i="24"/>
  <c r="AD29" i="24"/>
  <c r="AB22" i="24"/>
  <c r="AC9" i="24"/>
  <c r="AD11" i="24"/>
  <c r="AE27" i="24"/>
  <c r="AD30" i="24"/>
  <c r="AB20" i="24"/>
  <c r="AC15" i="24"/>
  <c r="AD35" i="24"/>
  <c r="AE14" i="24"/>
  <c r="AC24" i="24"/>
  <c r="AB35" i="24"/>
  <c r="AC34" i="24"/>
  <c r="AD32" i="24"/>
  <c r="AE23" i="24"/>
  <c r="AB17" i="24"/>
  <c r="AD19" i="24"/>
  <c r="AB23" i="24"/>
  <c r="AC22" i="24"/>
  <c r="AD20" i="24"/>
  <c r="AE11" i="24"/>
  <c r="AE36" i="24"/>
  <c r="AB29" i="24"/>
  <c r="AC28" i="24"/>
  <c r="AD26" i="24"/>
  <c r="AE25" i="24"/>
  <c r="AE10" i="24"/>
  <c r="AB19" i="24"/>
  <c r="AC18" i="24"/>
  <c r="AD16" i="24"/>
  <c r="AE8" i="24"/>
  <c r="AO460" i="14"/>
  <c r="M153" i="29"/>
  <c r="AA19" i="2"/>
  <c r="E19" i="2" s="1"/>
  <c r="G125" i="14" s="1"/>
  <c r="CI212" i="14"/>
  <c r="CH212" i="14" s="1"/>
  <c r="K86" i="24"/>
  <c r="K178" i="29"/>
  <c r="T246" i="14"/>
  <c r="V198" i="30"/>
  <c r="AB25" i="24"/>
  <c r="AC11" i="24"/>
  <c r="AD17" i="24"/>
  <c r="AB32" i="24"/>
  <c r="AB31" i="24"/>
  <c r="AC33" i="24"/>
  <c r="AC30" i="24"/>
  <c r="AD8" i="24"/>
  <c r="AD28" i="24"/>
  <c r="AE24" i="24"/>
  <c r="AE19" i="24"/>
  <c r="AC27" i="24"/>
  <c r="AD14" i="24"/>
  <c r="AE21" i="24"/>
  <c r="AB14" i="24"/>
  <c r="AC36" i="24"/>
  <c r="AC8" i="24"/>
  <c r="AD38" i="24"/>
  <c r="AD34" i="24"/>
  <c r="AE37" i="24"/>
  <c r="AE33" i="24"/>
  <c r="AB24" i="24"/>
  <c r="AE34" i="24"/>
  <c r="AB16" i="24"/>
  <c r="AB27" i="24"/>
  <c r="AC29" i="24"/>
  <c r="AC26" i="24"/>
  <c r="AD31" i="24"/>
  <c r="AD24" i="24"/>
  <c r="AE20" i="24"/>
  <c r="AE15" i="24"/>
  <c r="AB10" i="24"/>
  <c r="AB9" i="24"/>
  <c r="AD36" i="24"/>
  <c r="AD22" i="24"/>
  <c r="AB28" i="24"/>
  <c r="AB15" i="24"/>
  <c r="AC17" i="24"/>
  <c r="AC14" i="24"/>
  <c r="AD9" i="24"/>
  <c r="AD12" i="24"/>
  <c r="AE35" i="24"/>
  <c r="AB38" i="24"/>
  <c r="AD23" i="24"/>
  <c r="AE26" i="24"/>
  <c r="AB26" i="24"/>
  <c r="AB21" i="24"/>
  <c r="AC23" i="24"/>
  <c r="AC20" i="24"/>
  <c r="AD33" i="24"/>
  <c r="AD18" i="24"/>
  <c r="AE22" i="24"/>
  <c r="AE17" i="24"/>
  <c r="AC19" i="24"/>
  <c r="AE13" i="24"/>
  <c r="AB12" i="24"/>
  <c r="AB11" i="24"/>
  <c r="AC13" i="24"/>
  <c r="AC10" i="24"/>
  <c r="AD27" i="24"/>
  <c r="AE38" i="24"/>
  <c r="C126" i="26"/>
  <c r="C126" i="24"/>
  <c r="C126" i="19"/>
  <c r="K14" i="29"/>
  <c r="C126" i="22"/>
  <c r="C126" i="2"/>
  <c r="C126" i="27"/>
  <c r="C14" i="29"/>
  <c r="B3" i="14"/>
  <c r="C126" i="25"/>
  <c r="C126" i="23"/>
  <c r="C126" i="20"/>
  <c r="C126" i="28"/>
  <c r="C126" i="21"/>
  <c r="C126" i="18"/>
  <c r="W197" i="30"/>
  <c r="AO156" i="14"/>
  <c r="CI156" i="14" s="1"/>
  <c r="CH156" i="14" s="1"/>
  <c r="L78" i="25"/>
  <c r="AB30" i="25" s="1"/>
  <c r="T103" i="29"/>
  <c r="H86" i="24"/>
  <c r="CI154" i="14"/>
  <c r="CH154" i="14" s="1"/>
  <c r="I86" i="24"/>
  <c r="V21" i="20"/>
  <c r="D20" i="20"/>
  <c r="C20" i="20" s="1"/>
  <c r="T20" i="20"/>
  <c r="Y20" i="20" s="1"/>
  <c r="E20" i="20"/>
  <c r="G217" i="14" s="1"/>
  <c r="U20" i="20"/>
  <c r="Z20" i="20" s="1"/>
  <c r="R20" i="20"/>
  <c r="AR217" i="14" s="1"/>
  <c r="S20" i="20"/>
  <c r="X20" i="20" s="1"/>
  <c r="P137" i="29"/>
  <c r="T104" i="29"/>
  <c r="AO369" i="14"/>
  <c r="V21" i="24"/>
  <c r="D20" i="24"/>
  <c r="C20" i="24" s="1"/>
  <c r="T20" i="24"/>
  <c r="Y20" i="24" s="1"/>
  <c r="S20" i="24"/>
  <c r="X20" i="24" s="1"/>
  <c r="R20" i="24"/>
  <c r="AR339" i="14" s="1"/>
  <c r="U20" i="24"/>
  <c r="Z20" i="24" s="1"/>
  <c r="AO285" i="14"/>
  <c r="M40" i="29"/>
  <c r="M39" i="29" s="1"/>
  <c r="D40" i="29"/>
  <c r="D39" i="29" s="1"/>
  <c r="C40" i="29"/>
  <c r="C39" i="29" s="1"/>
  <c r="F38" i="29"/>
  <c r="AK114" i="14"/>
  <c r="T114" i="14"/>
  <c r="AH121" i="14"/>
  <c r="AL121" i="14"/>
  <c r="L174" i="14"/>
  <c r="AG167" i="14"/>
  <c r="AI167" i="14"/>
  <c r="S69" i="28"/>
  <c r="G79" i="28"/>
  <c r="U69" i="28" s="1"/>
  <c r="AY38" i="23"/>
  <c r="CT326" i="14" s="1"/>
  <c r="AZ326" i="14"/>
  <c r="AY23" i="23"/>
  <c r="CT311" i="14" s="1"/>
  <c r="AZ311" i="14"/>
  <c r="AZ305" i="14"/>
  <c r="AY17" i="23"/>
  <c r="CT305" i="14" s="1"/>
  <c r="AY19" i="23"/>
  <c r="CT307" i="14" s="1"/>
  <c r="AZ307" i="14"/>
  <c r="AY13" i="23"/>
  <c r="CT301" i="14" s="1"/>
  <c r="AZ301" i="14"/>
  <c r="AY30" i="23"/>
  <c r="CT318" i="14" s="1"/>
  <c r="AZ318" i="14"/>
  <c r="AY22" i="23"/>
  <c r="CT310" i="14" s="1"/>
  <c r="AZ310" i="14"/>
  <c r="AY14" i="23"/>
  <c r="CT302" i="14" s="1"/>
  <c r="AZ302" i="14"/>
  <c r="AH212" i="14"/>
  <c r="AL212" i="14"/>
  <c r="AH246" i="14"/>
  <c r="AL246" i="14"/>
  <c r="H279" i="28"/>
  <c r="O150" i="29"/>
  <c r="T70" i="26"/>
  <c r="AH213" i="14"/>
  <c r="AL213" i="14"/>
  <c r="V22" i="2"/>
  <c r="D21" i="2"/>
  <c r="C21" i="2" s="1"/>
  <c r="T21" i="2"/>
  <c r="Y21" i="2" s="1"/>
  <c r="R21" i="2"/>
  <c r="AR127" i="14" s="1"/>
  <c r="S21" i="2"/>
  <c r="X21" i="2" s="1"/>
  <c r="U21" i="2"/>
  <c r="Z21" i="2" s="1"/>
  <c r="BY112" i="14"/>
  <c r="BY111" i="14" s="1"/>
  <c r="B62" i="15"/>
  <c r="BA112" i="14"/>
  <c r="BA111" i="14" s="1"/>
  <c r="B33" i="15"/>
  <c r="AH116" i="14"/>
  <c r="AL116" i="14"/>
  <c r="L186" i="14"/>
  <c r="AG179" i="14"/>
  <c r="AI179" i="14"/>
  <c r="CI179" i="14" s="1"/>
  <c r="CH179" i="14" s="1"/>
  <c r="AH284" i="14"/>
  <c r="AL284" i="14"/>
  <c r="AH268" i="14"/>
  <c r="AL268" i="14"/>
  <c r="Q134" i="29"/>
  <c r="N70" i="28"/>
  <c r="AH215" i="14"/>
  <c r="AL215" i="14"/>
  <c r="AH208" i="14"/>
  <c r="AL208" i="14"/>
  <c r="AH244" i="14"/>
  <c r="AL244" i="14"/>
  <c r="AH243" i="14"/>
  <c r="AL243" i="14"/>
  <c r="AH245" i="14"/>
  <c r="AL245" i="14"/>
  <c r="AH242" i="14"/>
  <c r="AL242" i="14"/>
  <c r="BC112" i="14"/>
  <c r="BC111" i="14" s="1"/>
  <c r="B35" i="15"/>
  <c r="F26" i="29"/>
  <c r="C28" i="29"/>
  <c r="C27" i="29" s="1"/>
  <c r="L28" i="29"/>
  <c r="L27" i="29" s="1"/>
  <c r="P28" i="29"/>
  <c r="P27" i="29" s="1"/>
  <c r="E36" i="29"/>
  <c r="E35" i="29" s="1"/>
  <c r="Q36" i="29"/>
  <c r="Q35" i="29" s="1"/>
  <c r="P36" i="29"/>
  <c r="P35" i="29" s="1"/>
  <c r="B65" i="15"/>
  <c r="CB112" i="14"/>
  <c r="CB111" i="14" s="1"/>
  <c r="V21" i="23"/>
  <c r="D20" i="23"/>
  <c r="C20" i="23" s="1"/>
  <c r="S20" i="23"/>
  <c r="X20" i="23" s="1"/>
  <c r="R20" i="23"/>
  <c r="AR308" i="14" s="1"/>
  <c r="U20" i="23"/>
  <c r="Z20" i="23" s="1"/>
  <c r="T20" i="23"/>
  <c r="Y20" i="23" s="1"/>
  <c r="L192" i="14"/>
  <c r="AI185" i="14"/>
  <c r="AG185" i="14"/>
  <c r="P144" i="29"/>
  <c r="K77" i="27"/>
  <c r="E105" i="29"/>
  <c r="L105" i="29"/>
  <c r="N98" i="29"/>
  <c r="K105" i="29"/>
  <c r="BG112" i="14"/>
  <c r="BG111" i="14" s="1"/>
  <c r="B39" i="15"/>
  <c r="K44" i="29"/>
  <c r="N42" i="29"/>
  <c r="I44" i="29"/>
  <c r="I43" i="29" s="1"/>
  <c r="Q24" i="29"/>
  <c r="Q23" i="29" s="1"/>
  <c r="E24" i="29"/>
  <c r="E23" i="29" s="1"/>
  <c r="O24" i="29"/>
  <c r="O23" i="29" s="1"/>
  <c r="R22" i="29"/>
  <c r="E32" i="29"/>
  <c r="E31" i="29" s="1"/>
  <c r="M32" i="29"/>
  <c r="M31" i="29" s="1"/>
  <c r="L32" i="29"/>
  <c r="L31" i="29" s="1"/>
  <c r="BD112" i="14"/>
  <c r="BD111" i="14" s="1"/>
  <c r="B36" i="15"/>
  <c r="AH118" i="14"/>
  <c r="AL118" i="14"/>
  <c r="AH272" i="14"/>
  <c r="AL272" i="14"/>
  <c r="AH267" i="14"/>
  <c r="AL267" i="14"/>
  <c r="BE73" i="14"/>
  <c r="BE75" i="14"/>
  <c r="BE77" i="14"/>
  <c r="BE79" i="14"/>
  <c r="BE80" i="14" s="1"/>
  <c r="BE76" i="14"/>
  <c r="BE74" i="14"/>
  <c r="BE78" i="14"/>
  <c r="AH216" i="14"/>
  <c r="AL216" i="14"/>
  <c r="AH240" i="14"/>
  <c r="AL240" i="14"/>
  <c r="AH239" i="14"/>
  <c r="AL239" i="14"/>
  <c r="P40" i="29"/>
  <c r="P39" i="29" s="1"/>
  <c r="G40" i="29"/>
  <c r="J38" i="29"/>
  <c r="K40" i="29"/>
  <c r="K39" i="29" s="1"/>
  <c r="N38" i="29"/>
  <c r="T100" i="29"/>
  <c r="S71" i="25"/>
  <c r="L77" i="25" s="1"/>
  <c r="I79" i="25"/>
  <c r="U71" i="25" s="1"/>
  <c r="N79" i="25" s="1"/>
  <c r="AH270" i="14"/>
  <c r="AL270" i="14"/>
  <c r="V21" i="28"/>
  <c r="D20" i="28"/>
  <c r="C20" i="28" s="1"/>
  <c r="U20" i="28"/>
  <c r="Z20" i="28" s="1"/>
  <c r="T20" i="28"/>
  <c r="Y20" i="28" s="1"/>
  <c r="R20" i="28"/>
  <c r="AR461" i="14" s="1"/>
  <c r="S20" i="28"/>
  <c r="X20" i="28" s="1"/>
  <c r="AY36" i="23"/>
  <c r="CT324" i="14" s="1"/>
  <c r="AZ324" i="14"/>
  <c r="AY31" i="23"/>
  <c r="CT319" i="14" s="1"/>
  <c r="AZ319" i="14"/>
  <c r="AZ297" i="14"/>
  <c r="AY9" i="23"/>
  <c r="CT297" i="14" s="1"/>
  <c r="AY11" i="23"/>
  <c r="CT299" i="14" s="1"/>
  <c r="AZ299" i="14"/>
  <c r="AY8" i="23"/>
  <c r="CT296" i="14" s="1"/>
  <c r="AZ296" i="14"/>
  <c r="AY28" i="23"/>
  <c r="CT316" i="14" s="1"/>
  <c r="AZ316" i="14"/>
  <c r="AY20" i="23"/>
  <c r="CT308" i="14" s="1"/>
  <c r="AZ308" i="14"/>
  <c r="AY12" i="23"/>
  <c r="CT300" i="14" s="1"/>
  <c r="AZ300" i="14"/>
  <c r="H77" i="26"/>
  <c r="BW112" i="14"/>
  <c r="BW111" i="14" s="1"/>
  <c r="B60" i="15"/>
  <c r="S71" i="26"/>
  <c r="I79" i="26"/>
  <c r="U71" i="26" s="1"/>
  <c r="V20" i="26"/>
  <c r="D19" i="26"/>
  <c r="C19" i="26" s="1"/>
  <c r="R19" i="26"/>
  <c r="AR399" i="14" s="1"/>
  <c r="U19" i="26"/>
  <c r="Z19" i="26" s="1"/>
  <c r="S19" i="26"/>
  <c r="X19" i="26" s="1"/>
  <c r="T19" i="26"/>
  <c r="Y19" i="26" s="1"/>
  <c r="AK285" i="14"/>
  <c r="T285" i="14"/>
  <c r="AH283" i="14"/>
  <c r="AL283" i="14"/>
  <c r="Q135" i="29"/>
  <c r="N71" i="28"/>
  <c r="C22" i="22"/>
  <c r="D23" i="22"/>
  <c r="AH282" i="14"/>
  <c r="AL282" i="14"/>
  <c r="AH210" i="14"/>
  <c r="AL210" i="14"/>
  <c r="E187" i="14"/>
  <c r="B186" i="14"/>
  <c r="C186" i="14"/>
  <c r="D186" i="14" s="1"/>
  <c r="AN186" i="14"/>
  <c r="Q186" i="14"/>
  <c r="H185" i="15"/>
  <c r="J186" i="14"/>
  <c r="J26" i="29"/>
  <c r="G28" i="29"/>
  <c r="G27" i="29" s="1"/>
  <c r="I28" i="29"/>
  <c r="I27" i="29" s="1"/>
  <c r="E28" i="29"/>
  <c r="E27" i="29" s="1"/>
  <c r="D36" i="29"/>
  <c r="D35" i="29" s="1"/>
  <c r="F34" i="29"/>
  <c r="C36" i="29"/>
  <c r="G36" i="29"/>
  <c r="G35" i="29" s="1"/>
  <c r="J34" i="29"/>
  <c r="AH117" i="14"/>
  <c r="AL117" i="14"/>
  <c r="Q105" i="29"/>
  <c r="H105" i="29"/>
  <c r="J98" i="29"/>
  <c r="G105" i="29"/>
  <c r="J42" i="29"/>
  <c r="G44" i="29"/>
  <c r="E44" i="29"/>
  <c r="E43" i="29" s="1"/>
  <c r="L44" i="29"/>
  <c r="L43" i="29" s="1"/>
  <c r="D24" i="29"/>
  <c r="D23" i="29" s="1"/>
  <c r="H24" i="29"/>
  <c r="H23" i="29" s="1"/>
  <c r="G24" i="29"/>
  <c r="J22" i="29"/>
  <c r="BB112" i="14"/>
  <c r="BB111" i="14" s="1"/>
  <c r="B34" i="15"/>
  <c r="J30" i="29"/>
  <c r="G32" i="29"/>
  <c r="K32" i="29"/>
  <c r="N30" i="29"/>
  <c r="Q32" i="29"/>
  <c r="Q31" i="29" s="1"/>
  <c r="CA112" i="14"/>
  <c r="CA111" i="14" s="1"/>
  <c r="B64" i="15"/>
  <c r="S72" i="26"/>
  <c r="K79" i="26"/>
  <c r="U72" i="26" s="1"/>
  <c r="AK235" i="14"/>
  <c r="T235" i="14"/>
  <c r="V20" i="19"/>
  <c r="D19" i="19"/>
  <c r="C19" i="19" s="1"/>
  <c r="T19" i="19"/>
  <c r="Y19" i="19" s="1"/>
  <c r="U19" i="19"/>
  <c r="Z19" i="19" s="1"/>
  <c r="R19" i="19"/>
  <c r="AR185" i="14" s="1"/>
  <c r="S19" i="19"/>
  <c r="X19" i="19" s="1"/>
  <c r="AH271" i="14"/>
  <c r="AL271" i="14"/>
  <c r="T102" i="29"/>
  <c r="H40" i="29"/>
  <c r="H39" i="29" s="1"/>
  <c r="I40" i="29"/>
  <c r="I39" i="29" s="1"/>
  <c r="L40" i="29"/>
  <c r="L39" i="29" s="1"/>
  <c r="BF112" i="14"/>
  <c r="BF111" i="14" s="1"/>
  <c r="B38" i="15"/>
  <c r="AH120" i="14"/>
  <c r="AL120" i="14"/>
  <c r="AY37" i="23"/>
  <c r="CT325" i="14" s="1"/>
  <c r="AZ325" i="14"/>
  <c r="AZ321" i="14"/>
  <c r="AY33" i="23"/>
  <c r="CT321" i="14" s="1"/>
  <c r="AY35" i="23"/>
  <c r="CT323" i="14" s="1"/>
  <c r="AZ323" i="14"/>
  <c r="AY29" i="23"/>
  <c r="CT317" i="14" s="1"/>
  <c r="AZ317" i="14"/>
  <c r="AY34" i="23"/>
  <c r="CT322" i="14" s="1"/>
  <c r="AZ322" i="14"/>
  <c r="AY26" i="23"/>
  <c r="CT314" i="14" s="1"/>
  <c r="AZ314" i="14"/>
  <c r="AY18" i="23"/>
  <c r="CT306" i="14" s="1"/>
  <c r="AZ306" i="14"/>
  <c r="AY10" i="23"/>
  <c r="CT298" i="14" s="1"/>
  <c r="AZ298" i="14"/>
  <c r="AH209" i="14"/>
  <c r="AL209" i="14"/>
  <c r="AH214" i="14"/>
  <c r="AL214" i="14"/>
  <c r="V21" i="21"/>
  <c r="D20" i="21"/>
  <c r="C20" i="21" s="1"/>
  <c r="E20" i="21"/>
  <c r="R20" i="21"/>
  <c r="AR247" i="14" s="1"/>
  <c r="S20" i="21"/>
  <c r="X20" i="21" s="1"/>
  <c r="T20" i="21"/>
  <c r="Y20" i="21" s="1"/>
  <c r="U20" i="21"/>
  <c r="Z20" i="21" s="1"/>
  <c r="AH238" i="14"/>
  <c r="AL238" i="14"/>
  <c r="O145" i="29"/>
  <c r="G147" i="25"/>
  <c r="H147" i="25" s="1"/>
  <c r="I147" i="25" s="1"/>
  <c r="D147" i="25" s="1"/>
  <c r="G146" i="25"/>
  <c r="H146" i="25" s="1"/>
  <c r="I146" i="25" s="1"/>
  <c r="D146" i="25" s="1"/>
  <c r="G148" i="25"/>
  <c r="H148" i="25" s="1"/>
  <c r="I148" i="25" s="1"/>
  <c r="D148" i="25" s="1"/>
  <c r="AE302" i="1"/>
  <c r="AB22" i="25"/>
  <c r="AB28" i="25"/>
  <c r="AC9" i="25"/>
  <c r="AD12" i="25"/>
  <c r="AC13" i="25"/>
  <c r="AH124" i="14"/>
  <c r="AL124" i="14"/>
  <c r="L180" i="14"/>
  <c r="AI173" i="14"/>
  <c r="AG173" i="14"/>
  <c r="V21" i="18"/>
  <c r="D20" i="18"/>
  <c r="C20" i="18" s="1"/>
  <c r="S20" i="18"/>
  <c r="X20" i="18" s="1"/>
  <c r="R20" i="18"/>
  <c r="AR157" i="14" s="1"/>
  <c r="U20" i="18"/>
  <c r="Z20" i="18" s="1"/>
  <c r="T20" i="18"/>
  <c r="Y20" i="18" s="1"/>
  <c r="AH276" i="14"/>
  <c r="AL276" i="14"/>
  <c r="AH207" i="14"/>
  <c r="AL207" i="14"/>
  <c r="AH206" i="14"/>
  <c r="AL206" i="14"/>
  <c r="AH236" i="14"/>
  <c r="AL236" i="14"/>
  <c r="AH241" i="14"/>
  <c r="AL241" i="14"/>
  <c r="AH237" i="14"/>
  <c r="AL237" i="14"/>
  <c r="V29" i="22"/>
  <c r="E28" i="22"/>
  <c r="G286" i="14" s="1"/>
  <c r="T28" i="22"/>
  <c r="Y28" i="22" s="1"/>
  <c r="U28" i="22"/>
  <c r="Z28" i="22" s="1"/>
  <c r="R28" i="22"/>
  <c r="AR286" i="14" s="1"/>
  <c r="S28" i="22"/>
  <c r="X28" i="22" s="1"/>
  <c r="P142" i="29"/>
  <c r="H78" i="27"/>
  <c r="H77" i="27" s="1"/>
  <c r="N73" i="27"/>
  <c r="L161" i="29"/>
  <c r="L168" i="14"/>
  <c r="AI161" i="14"/>
  <c r="AG161" i="14"/>
  <c r="AH123" i="14"/>
  <c r="AL123" i="14"/>
  <c r="K28" i="29"/>
  <c r="K27" i="29" s="1"/>
  <c r="N26" i="29"/>
  <c r="Q28" i="29"/>
  <c r="Q27" i="29" s="1"/>
  <c r="H28" i="29"/>
  <c r="H27" i="29" s="1"/>
  <c r="I36" i="29"/>
  <c r="I35" i="29" s="1"/>
  <c r="H36" i="29"/>
  <c r="H35" i="29" s="1"/>
  <c r="O36" i="29"/>
  <c r="O35" i="29" s="1"/>
  <c r="R34" i="29"/>
  <c r="R36" i="29" s="1"/>
  <c r="AH281" i="14"/>
  <c r="AL281" i="14"/>
  <c r="L162" i="14"/>
  <c r="AG155" i="14"/>
  <c r="AI155" i="14"/>
  <c r="CI155" i="14" s="1"/>
  <c r="CH155" i="14" s="1"/>
  <c r="M160" i="29"/>
  <c r="M158" i="29"/>
  <c r="M157" i="29"/>
  <c r="M159" i="29"/>
  <c r="M105" i="29"/>
  <c r="D105" i="29"/>
  <c r="F98" i="29"/>
  <c r="C105" i="29"/>
  <c r="H44" i="29"/>
  <c r="H43" i="29" s="1"/>
  <c r="O44" i="29"/>
  <c r="O43" i="29" s="1"/>
  <c r="R42" i="29"/>
  <c r="M44" i="29"/>
  <c r="M43" i="29" s="1"/>
  <c r="Q44" i="29"/>
  <c r="Q43" i="29" s="1"/>
  <c r="I24" i="29"/>
  <c r="I23" i="29" s="1"/>
  <c r="P24" i="29"/>
  <c r="P23" i="29" s="1"/>
  <c r="K24" i="29"/>
  <c r="K23" i="29" s="1"/>
  <c r="N22" i="29"/>
  <c r="O32" i="29"/>
  <c r="R30" i="29"/>
  <c r="D32" i="29"/>
  <c r="D31" i="29" s="1"/>
  <c r="H32" i="29"/>
  <c r="H31" i="29" s="1"/>
  <c r="AH119" i="14"/>
  <c r="AL119" i="14"/>
  <c r="E127" i="14"/>
  <c r="C126" i="14"/>
  <c r="D126" i="14" s="1"/>
  <c r="B126" i="14"/>
  <c r="AN126" i="14"/>
  <c r="Q126" i="14"/>
  <c r="H125" i="15"/>
  <c r="J126" i="14"/>
  <c r="AH280" i="14"/>
  <c r="AL280" i="14"/>
  <c r="AH277" i="14"/>
  <c r="AL277" i="14"/>
  <c r="V21" i="25"/>
  <c r="D20" i="25"/>
  <c r="C20" i="25" s="1"/>
  <c r="T20" i="25"/>
  <c r="Y20" i="25" s="1"/>
  <c r="S20" i="25"/>
  <c r="X20" i="25" s="1"/>
  <c r="U20" i="25"/>
  <c r="Z20" i="25" s="1"/>
  <c r="R20" i="25"/>
  <c r="AR370" i="14" s="1"/>
  <c r="BH60" i="14"/>
  <c r="BI59" i="14"/>
  <c r="BG72" i="14"/>
  <c r="AH211" i="14"/>
  <c r="AL211" i="14"/>
  <c r="AH122" i="14"/>
  <c r="AL122" i="14"/>
  <c r="BZ112" i="14"/>
  <c r="BZ111" i="14" s="1"/>
  <c r="B63" i="15"/>
  <c r="E40" i="29"/>
  <c r="E39" i="29" s="1"/>
  <c r="Q40" i="29"/>
  <c r="Q39" i="29" s="1"/>
  <c r="O40" i="29"/>
  <c r="R38" i="29"/>
  <c r="BX112" i="14"/>
  <c r="BX111" i="14" s="1"/>
  <c r="B61" i="15"/>
  <c r="AH115" i="14"/>
  <c r="AL115" i="14"/>
  <c r="AH278" i="14"/>
  <c r="AL278" i="14"/>
  <c r="AH273" i="14"/>
  <c r="AL273" i="14"/>
  <c r="T69" i="28"/>
  <c r="G281" i="28"/>
  <c r="Q149" i="29"/>
  <c r="AY15" i="23"/>
  <c r="CT303" i="14" s="1"/>
  <c r="AZ303" i="14"/>
  <c r="AZ313" i="14"/>
  <c r="AY25" i="23"/>
  <c r="CT313" i="14" s="1"/>
  <c r="AY27" i="23"/>
  <c r="CT315" i="14" s="1"/>
  <c r="AZ315" i="14"/>
  <c r="AY21" i="23"/>
  <c r="CT309" i="14" s="1"/>
  <c r="AZ309" i="14"/>
  <c r="AY32" i="23"/>
  <c r="CT320" i="14" s="1"/>
  <c r="AZ320" i="14"/>
  <c r="AY24" i="23"/>
  <c r="CT312" i="14" s="1"/>
  <c r="AZ312" i="14"/>
  <c r="AY16" i="23"/>
  <c r="CT304" i="14" s="1"/>
  <c r="AZ304" i="14"/>
  <c r="P143" i="29"/>
  <c r="I78" i="27"/>
  <c r="I77" i="27" s="1"/>
  <c r="AH274" i="14"/>
  <c r="AL274" i="14"/>
  <c r="T101" i="29"/>
  <c r="T99" i="29"/>
  <c r="I279" i="28"/>
  <c r="O151" i="29"/>
  <c r="T71" i="26"/>
  <c r="AH269" i="14"/>
  <c r="AL269" i="14"/>
  <c r="AH279" i="14"/>
  <c r="AL279" i="14"/>
  <c r="Q136" i="29"/>
  <c r="Q137" i="29" s="1"/>
  <c r="N72" i="28"/>
  <c r="AH275" i="14"/>
  <c r="AL275" i="14"/>
  <c r="O28" i="29"/>
  <c r="O27" i="29" s="1"/>
  <c r="R26" i="29"/>
  <c r="D28" i="29"/>
  <c r="D27" i="29" s="1"/>
  <c r="M28" i="29"/>
  <c r="M27" i="29" s="1"/>
  <c r="M36" i="29"/>
  <c r="M35" i="29" s="1"/>
  <c r="L36" i="29"/>
  <c r="L35" i="29" s="1"/>
  <c r="K36" i="29"/>
  <c r="N34" i="29"/>
  <c r="BE112" i="14"/>
  <c r="BE111" i="14" s="1"/>
  <c r="B37" i="15"/>
  <c r="I105" i="29"/>
  <c r="P105" i="29"/>
  <c r="R98" i="29"/>
  <c r="O105" i="29"/>
  <c r="BV112" i="14"/>
  <c r="BV111" i="14" s="1"/>
  <c r="B59" i="15"/>
  <c r="P44" i="29"/>
  <c r="P43" i="29" s="1"/>
  <c r="C44" i="29"/>
  <c r="C43" i="29" s="1"/>
  <c r="F42" i="29"/>
  <c r="D44" i="29"/>
  <c r="D43" i="29" s="1"/>
  <c r="L24" i="29"/>
  <c r="L23" i="29" s="1"/>
  <c r="C24" i="29"/>
  <c r="F22" i="29"/>
  <c r="M24" i="29"/>
  <c r="M23" i="29" s="1"/>
  <c r="F30" i="29"/>
  <c r="C32" i="29"/>
  <c r="C31" i="29" s="1"/>
  <c r="I32" i="29"/>
  <c r="I31" i="29" s="1"/>
  <c r="P32" i="29"/>
  <c r="P31" i="29" s="1"/>
  <c r="AG219" i="14"/>
  <c r="AI219" i="14"/>
  <c r="L226" i="14"/>
  <c r="AK266" i="14"/>
  <c r="T266" i="14"/>
  <c r="AK205" i="14"/>
  <c r="T205" i="14"/>
  <c r="W20" i="18" l="1"/>
  <c r="AS157" i="14"/>
  <c r="W19" i="26"/>
  <c r="AO399" i="14" s="1"/>
  <c r="AS399" i="14"/>
  <c r="W21" i="2"/>
  <c r="AO127" i="14" s="1"/>
  <c r="CI127" i="14" s="1"/>
  <c r="CH127" i="14" s="1"/>
  <c r="AS127" i="14"/>
  <c r="W19" i="27"/>
  <c r="AO430" i="14" s="1"/>
  <c r="AS430" i="14"/>
  <c r="W28" i="22"/>
  <c r="AO286" i="14" s="1"/>
  <c r="AS286" i="14"/>
  <c r="W20" i="21"/>
  <c r="AO247" i="14" s="1"/>
  <c r="AS247" i="14"/>
  <c r="W19" i="19"/>
  <c r="AO185" i="14" s="1"/>
  <c r="CI185" i="14" s="1"/>
  <c r="CH185" i="14" s="1"/>
  <c r="AS185" i="14"/>
  <c r="W20" i="24"/>
  <c r="AO339" i="14" s="1"/>
  <c r="AS339" i="14"/>
  <c r="W20" i="25"/>
  <c r="AO370" i="14" s="1"/>
  <c r="AS370" i="14"/>
  <c r="W20" i="28"/>
  <c r="AS461" i="14"/>
  <c r="W20" i="23"/>
  <c r="AS308" i="14"/>
  <c r="W20" i="20"/>
  <c r="AO217" i="14" s="1"/>
  <c r="AS217" i="14"/>
  <c r="U20" i="27"/>
  <c r="Z20" i="27" s="1"/>
  <c r="S20" i="27"/>
  <c r="X20" i="27" s="1"/>
  <c r="V21" i="27"/>
  <c r="T20" i="27"/>
  <c r="Y20" i="27" s="1"/>
  <c r="R20" i="27"/>
  <c r="AR431" i="14" s="1"/>
  <c r="D20" i="27"/>
  <c r="C20" i="27" s="1"/>
  <c r="AD20" i="25"/>
  <c r="AC15" i="25"/>
  <c r="AE11" i="25"/>
  <c r="AB20" i="25"/>
  <c r="AB24" i="25"/>
  <c r="AD27" i="25"/>
  <c r="AB23" i="25"/>
  <c r="AE17" i="25"/>
  <c r="AY18" i="24"/>
  <c r="CT337" i="14" s="1"/>
  <c r="AC19" i="25"/>
  <c r="AE30" i="25"/>
  <c r="AD29" i="25"/>
  <c r="AE14" i="25"/>
  <c r="AY37" i="24"/>
  <c r="CT356" i="14" s="1"/>
  <c r="AZ351" i="14"/>
  <c r="AD30" i="25"/>
  <c r="AE27" i="25"/>
  <c r="AD15" i="25"/>
  <c r="AD25" i="25"/>
  <c r="AE33" i="25"/>
  <c r="AB17" i="25"/>
  <c r="AC10" i="25"/>
  <c r="AD22" i="25"/>
  <c r="AC24" i="25"/>
  <c r="AC30" i="25"/>
  <c r="AD33" i="25"/>
  <c r="AB18" i="25"/>
  <c r="AC33" i="25"/>
  <c r="AD26" i="25"/>
  <c r="AB25" i="25"/>
  <c r="AE32" i="25"/>
  <c r="AB31" i="25"/>
  <c r="AE28" i="25"/>
  <c r="AC14" i="25"/>
  <c r="AE18" i="25"/>
  <c r="AB19" i="25"/>
  <c r="AE12" i="25"/>
  <c r="AC20" i="25"/>
  <c r="AD36" i="25"/>
  <c r="AB8" i="25"/>
  <c r="AC37" i="25"/>
  <c r="AE8" i="25"/>
  <c r="AD11" i="25"/>
  <c r="AY35" i="24"/>
  <c r="CT354" i="14" s="1"/>
  <c r="AZ349" i="14"/>
  <c r="AZ337" i="14"/>
  <c r="AY16" i="24"/>
  <c r="CT335" i="14" s="1"/>
  <c r="AY32" i="24"/>
  <c r="CT351" i="14" s="1"/>
  <c r="AY34" i="24"/>
  <c r="CT353" i="14" s="1"/>
  <c r="AY20" i="24"/>
  <c r="CT339" i="14" s="1"/>
  <c r="AY26" i="24"/>
  <c r="CT345" i="14" s="1"/>
  <c r="AZ331" i="14"/>
  <c r="AZ334" i="14"/>
  <c r="AZ343" i="14"/>
  <c r="AY27" i="24"/>
  <c r="CT346" i="14" s="1"/>
  <c r="AY14" i="24"/>
  <c r="CT333" i="14" s="1"/>
  <c r="AZ344" i="14"/>
  <c r="AY10" i="24"/>
  <c r="CT329" i="14" s="1"/>
  <c r="AY22" i="24"/>
  <c r="CT341" i="14" s="1"/>
  <c r="AY30" i="24"/>
  <c r="CT349" i="14" s="1"/>
  <c r="AY29" i="24"/>
  <c r="CT348" i="14" s="1"/>
  <c r="AY23" i="24"/>
  <c r="CT342" i="14" s="1"/>
  <c r="AZ329" i="14"/>
  <c r="AY36" i="24"/>
  <c r="CT355" i="14" s="1"/>
  <c r="AY12" i="24"/>
  <c r="CT331" i="14" s="1"/>
  <c r="AY9" i="24"/>
  <c r="CT328" i="14" s="1"/>
  <c r="AZ347" i="14"/>
  <c r="AY31" i="24"/>
  <c r="CT350" i="14" s="1"/>
  <c r="AZ346" i="14"/>
  <c r="AY8" i="24"/>
  <c r="CT327" i="14" s="1"/>
  <c r="AY28" i="24"/>
  <c r="CT347" i="14" s="1"/>
  <c r="T30" i="29"/>
  <c r="R105" i="29"/>
  <c r="AZ342" i="14"/>
  <c r="AZ333" i="14"/>
  <c r="AY25" i="24"/>
  <c r="CT344" i="14" s="1"/>
  <c r="AZ341" i="14"/>
  <c r="AY15" i="24"/>
  <c r="CT334" i="14" s="1"/>
  <c r="AZ353" i="14"/>
  <c r="R40" i="29"/>
  <c r="AZ339" i="14"/>
  <c r="AY24" i="24"/>
  <c r="CT343" i="14" s="1"/>
  <c r="AZ335" i="14"/>
  <c r="AZ327" i="14"/>
  <c r="AZ356" i="14"/>
  <c r="AY13" i="24"/>
  <c r="CT332" i="14" s="1"/>
  <c r="AY19" i="24"/>
  <c r="CT338" i="14" s="1"/>
  <c r="AZ345" i="14"/>
  <c r="AY17" i="24"/>
  <c r="CT336" i="14" s="1"/>
  <c r="AZ355" i="14"/>
  <c r="AY38" i="24"/>
  <c r="CT357" i="14" s="1"/>
  <c r="AY21" i="24"/>
  <c r="CT340" i="14" s="1"/>
  <c r="AY33" i="24"/>
  <c r="CT352" i="14" s="1"/>
  <c r="AY11" i="24"/>
  <c r="CT330" i="14" s="1"/>
  <c r="AZ328" i="14"/>
  <c r="AZ350" i="14"/>
  <c r="AE29" i="25"/>
  <c r="AB27" i="25"/>
  <c r="AE37" i="25"/>
  <c r="AD14" i="25"/>
  <c r="AB36" i="25"/>
  <c r="AC32" i="25"/>
  <c r="AB9" i="25"/>
  <c r="AC25" i="25"/>
  <c r="AE24" i="25"/>
  <c r="AD13" i="25"/>
  <c r="AC31" i="25"/>
  <c r="AC26" i="25"/>
  <c r="AE23" i="25"/>
  <c r="AD18" i="25"/>
  <c r="AB35" i="25"/>
  <c r="AK125" i="14"/>
  <c r="T125" i="14"/>
  <c r="L86" i="24"/>
  <c r="L119" i="29" s="1"/>
  <c r="AZ338" i="14"/>
  <c r="AZ354" i="14"/>
  <c r="AZ332" i="14"/>
  <c r="AZ352" i="14"/>
  <c r="AZ348" i="14"/>
  <c r="AZ336" i="14"/>
  <c r="AZ330" i="14"/>
  <c r="AZ340" i="14"/>
  <c r="AZ357" i="14"/>
  <c r="T42" i="29"/>
  <c r="T22" i="29"/>
  <c r="F105" i="29"/>
  <c r="F24" i="29"/>
  <c r="R32" i="29"/>
  <c r="AE36" i="25"/>
  <c r="AE20" i="25"/>
  <c r="AD17" i="25"/>
  <c r="AC22" i="25"/>
  <c r="AC11" i="25"/>
  <c r="AE19" i="25"/>
  <c r="AE10" i="25"/>
  <c r="AD32" i="25"/>
  <c r="AD8" i="25"/>
  <c r="AB13" i="25"/>
  <c r="AB10" i="25"/>
  <c r="AE13" i="25"/>
  <c r="AD9" i="25"/>
  <c r="AC36" i="25"/>
  <c r="AC12" i="25"/>
  <c r="AE34" i="25"/>
  <c r="AE9" i="25"/>
  <c r="AD24" i="25"/>
  <c r="AD21" i="25"/>
  <c r="AB11" i="25"/>
  <c r="AB16" i="25"/>
  <c r="AB21" i="25"/>
  <c r="AC34" i="25"/>
  <c r="AC23" i="25"/>
  <c r="AE31" i="25"/>
  <c r="AE22" i="25"/>
  <c r="AD16" i="25"/>
  <c r="AD19" i="25"/>
  <c r="AB29" i="25"/>
  <c r="AB14" i="25"/>
  <c r="AC16" i="25"/>
  <c r="AE21" i="25"/>
  <c r="AD10" i="25"/>
  <c r="AC35" i="25"/>
  <c r="AC27" i="25"/>
  <c r="AE35" i="25"/>
  <c r="AE26" i="25"/>
  <c r="AD35" i="25"/>
  <c r="AD23" i="25"/>
  <c r="AB33" i="25"/>
  <c r="AB26" i="25"/>
  <c r="AC21" i="25"/>
  <c r="AD34" i="25"/>
  <c r="AB34" i="25"/>
  <c r="AC28" i="25"/>
  <c r="AC17" i="25"/>
  <c r="AE25" i="25"/>
  <c r="AE16" i="25"/>
  <c r="AD31" i="25"/>
  <c r="AB37" i="25"/>
  <c r="AB15" i="25"/>
  <c r="AC29" i="25"/>
  <c r="AB12" i="25"/>
  <c r="AC18" i="25"/>
  <c r="AC8" i="25"/>
  <c r="AE15" i="25"/>
  <c r="AD37" i="25"/>
  <c r="AD28" i="25"/>
  <c r="AB32" i="25"/>
  <c r="N32" i="29"/>
  <c r="N44" i="29"/>
  <c r="V22" i="20"/>
  <c r="S21" i="20"/>
  <c r="X21" i="20" s="1"/>
  <c r="U21" i="20"/>
  <c r="Z21" i="20" s="1"/>
  <c r="T21" i="20"/>
  <c r="Y21" i="20" s="1"/>
  <c r="R21" i="20"/>
  <c r="AR218" i="14" s="1"/>
  <c r="E21" i="20"/>
  <c r="G218" i="14" s="1"/>
  <c r="D21" i="20"/>
  <c r="C21" i="20" s="1"/>
  <c r="N36" i="29"/>
  <c r="V22" i="24"/>
  <c r="U21" i="24"/>
  <c r="Z21" i="24" s="1"/>
  <c r="D21" i="24"/>
  <c r="C21" i="24" s="1"/>
  <c r="T21" i="24"/>
  <c r="Y21" i="24" s="1"/>
  <c r="R21" i="24"/>
  <c r="AR340" i="14" s="1"/>
  <c r="S21" i="24"/>
  <c r="X21" i="24" s="1"/>
  <c r="AK217" i="14"/>
  <c r="T217" i="14"/>
  <c r="J24" i="29"/>
  <c r="J35" i="29"/>
  <c r="R23" i="29"/>
  <c r="AO157" i="14"/>
  <c r="CI157" i="14" s="1"/>
  <c r="CH157" i="14" s="1"/>
  <c r="F39" i="29"/>
  <c r="F43" i="29"/>
  <c r="O79" i="25"/>
  <c r="O88" i="25"/>
  <c r="I86" i="25"/>
  <c r="H86" i="25"/>
  <c r="G86" i="25"/>
  <c r="K86" i="25"/>
  <c r="AH266" i="14"/>
  <c r="AL266" i="14"/>
  <c r="F31" i="29"/>
  <c r="R27" i="29"/>
  <c r="CG279" i="14"/>
  <c r="CF279" i="14"/>
  <c r="CG277" i="14"/>
  <c r="CF277" i="14"/>
  <c r="N23" i="29"/>
  <c r="CG281" i="14"/>
  <c r="CF281" i="14"/>
  <c r="N27" i="29"/>
  <c r="AI168" i="14"/>
  <c r="AG168" i="14"/>
  <c r="L175" i="14"/>
  <c r="S70" i="27"/>
  <c r="H79" i="27"/>
  <c r="U70" i="27" s="1"/>
  <c r="CG237" i="14"/>
  <c r="CF237" i="14"/>
  <c r="CG236" i="14"/>
  <c r="CF236" i="14"/>
  <c r="CG207" i="14"/>
  <c r="CF207" i="14"/>
  <c r="CG276" i="14"/>
  <c r="CF276" i="14"/>
  <c r="V22" i="18"/>
  <c r="D21" i="18"/>
  <c r="C21" i="18" s="1"/>
  <c r="R21" i="18"/>
  <c r="AR158" i="14" s="1"/>
  <c r="T21" i="18"/>
  <c r="Y21" i="18" s="1"/>
  <c r="U21" i="18"/>
  <c r="Z21" i="18" s="1"/>
  <c r="S21" i="18"/>
  <c r="X21" i="18" s="1"/>
  <c r="AI180" i="14"/>
  <c r="CI180" i="14" s="1"/>
  <c r="CH180" i="14" s="1"/>
  <c r="AG180" i="14"/>
  <c r="L187" i="14"/>
  <c r="CG238" i="14"/>
  <c r="CF238" i="14"/>
  <c r="CG209" i="14"/>
  <c r="CF209" i="14"/>
  <c r="CG120" i="14"/>
  <c r="CF120" i="14"/>
  <c r="BF138" i="14"/>
  <c r="BF126" i="14"/>
  <c r="BF479" i="14"/>
  <c r="BF132" i="14"/>
  <c r="BF117" i="14"/>
  <c r="BF144" i="14"/>
  <c r="BF147" i="14"/>
  <c r="BF151" i="14"/>
  <c r="BF155" i="14"/>
  <c r="BF159" i="14"/>
  <c r="BF163" i="14"/>
  <c r="BF167" i="14"/>
  <c r="BF171" i="14"/>
  <c r="BF176" i="14"/>
  <c r="BF180" i="14"/>
  <c r="BF184" i="14"/>
  <c r="BF188" i="14"/>
  <c r="BF192" i="14"/>
  <c r="BF196" i="14"/>
  <c r="BF200" i="14"/>
  <c r="BF207" i="14"/>
  <c r="BF211" i="14"/>
  <c r="BF215" i="14"/>
  <c r="BF219" i="14"/>
  <c r="BF223" i="14"/>
  <c r="BF227" i="14"/>
  <c r="BF231" i="14"/>
  <c r="BF237" i="14"/>
  <c r="BF241" i="14"/>
  <c r="BF245" i="14"/>
  <c r="BF145" i="14"/>
  <c r="BF150" i="14"/>
  <c r="BF156" i="14"/>
  <c r="BF161" i="14"/>
  <c r="BF166" i="14"/>
  <c r="BF172" i="14"/>
  <c r="BF178" i="14"/>
  <c r="BF183" i="14"/>
  <c r="BF189" i="14"/>
  <c r="BF194" i="14"/>
  <c r="BF199" i="14"/>
  <c r="BF208" i="14"/>
  <c r="BF213" i="14"/>
  <c r="BF218" i="14"/>
  <c r="BF224" i="14"/>
  <c r="BF229" i="14"/>
  <c r="BF236" i="14"/>
  <c r="BF242" i="14"/>
  <c r="BF247" i="14"/>
  <c r="BF251" i="14"/>
  <c r="BF255" i="14"/>
  <c r="BF259" i="14"/>
  <c r="BF266" i="14"/>
  <c r="BF270" i="14"/>
  <c r="BF274" i="14"/>
  <c r="BF278" i="14"/>
  <c r="BF282" i="14"/>
  <c r="BF286" i="14"/>
  <c r="BF290" i="14"/>
  <c r="BF296" i="14"/>
  <c r="BF300" i="14"/>
  <c r="BF304" i="14"/>
  <c r="BF308" i="14"/>
  <c r="BF312" i="14"/>
  <c r="BF316" i="14"/>
  <c r="BF320" i="14"/>
  <c r="BF327" i="14"/>
  <c r="BF331" i="14"/>
  <c r="BF335" i="14"/>
  <c r="BF339" i="14"/>
  <c r="BF343" i="14"/>
  <c r="BF347" i="14"/>
  <c r="BF351" i="14"/>
  <c r="BF358" i="14"/>
  <c r="BF362" i="14"/>
  <c r="BF366" i="14"/>
  <c r="BF370" i="14"/>
  <c r="BF374" i="14"/>
  <c r="BF378" i="14"/>
  <c r="BF382" i="14"/>
  <c r="BF146" i="14"/>
  <c r="BF152" i="14"/>
  <c r="BF157" i="14"/>
  <c r="BF162" i="14"/>
  <c r="BF168" i="14"/>
  <c r="BF174" i="14"/>
  <c r="BF179" i="14"/>
  <c r="BF185" i="14"/>
  <c r="BF190" i="14"/>
  <c r="BF195" i="14"/>
  <c r="BF201" i="14"/>
  <c r="BF209" i="14"/>
  <c r="BF214" i="14"/>
  <c r="BF220" i="14"/>
  <c r="BF225" i="14"/>
  <c r="BF230" i="14"/>
  <c r="BF238" i="14"/>
  <c r="BF243" i="14"/>
  <c r="BF248" i="14"/>
  <c r="BF252" i="14"/>
  <c r="BF256" i="14"/>
  <c r="BF260" i="14"/>
  <c r="BF267" i="14"/>
  <c r="BF271" i="14"/>
  <c r="BF275" i="14"/>
  <c r="BF279" i="14"/>
  <c r="BF283" i="14"/>
  <c r="BF287" i="14"/>
  <c r="BF291" i="14"/>
  <c r="BF297" i="14"/>
  <c r="BF301" i="14"/>
  <c r="BF305" i="14"/>
  <c r="BF309" i="14"/>
  <c r="BF313" i="14"/>
  <c r="BF317" i="14"/>
  <c r="BF321" i="14"/>
  <c r="BF328" i="14"/>
  <c r="BF332" i="14"/>
  <c r="BF336" i="14"/>
  <c r="BF340" i="14"/>
  <c r="BF344" i="14"/>
  <c r="BF348" i="14"/>
  <c r="BF352" i="14"/>
  <c r="BF359" i="14"/>
  <c r="BF363" i="14"/>
  <c r="BF367" i="14"/>
  <c r="BF371" i="14"/>
  <c r="BF375" i="14"/>
  <c r="BF379" i="14"/>
  <c r="BF383" i="14"/>
  <c r="BF148" i="14"/>
  <c r="BF153" i="14"/>
  <c r="BF158" i="14"/>
  <c r="BF164" i="14"/>
  <c r="BF169" i="14"/>
  <c r="BF175" i="14"/>
  <c r="BF181" i="14"/>
  <c r="BF186" i="14"/>
  <c r="BF191" i="14"/>
  <c r="BF197" i="14"/>
  <c r="BF205" i="14"/>
  <c r="BF210" i="14"/>
  <c r="BF216" i="14"/>
  <c r="BF221" i="14"/>
  <c r="BF226" i="14"/>
  <c r="BF232" i="14"/>
  <c r="BF239" i="14"/>
  <c r="BF244" i="14"/>
  <c r="BF249" i="14"/>
  <c r="BF253" i="14"/>
  <c r="BF257" i="14"/>
  <c r="BF261" i="14"/>
  <c r="BF268" i="14"/>
  <c r="BF272" i="14"/>
  <c r="BF276" i="14"/>
  <c r="BF280" i="14"/>
  <c r="BF284" i="14"/>
  <c r="BF288" i="14"/>
  <c r="BF292" i="14"/>
  <c r="BF298" i="14"/>
  <c r="BF302" i="14"/>
  <c r="BF306" i="14"/>
  <c r="BF310" i="14"/>
  <c r="BF314" i="14"/>
  <c r="BF318" i="14"/>
  <c r="BF322" i="14"/>
  <c r="BF329" i="14"/>
  <c r="BF333" i="14"/>
  <c r="BF337" i="14"/>
  <c r="BF341" i="14"/>
  <c r="BF345" i="14"/>
  <c r="BF349" i="14"/>
  <c r="BF353" i="14"/>
  <c r="BF360" i="14"/>
  <c r="BF364" i="14"/>
  <c r="BF368" i="14"/>
  <c r="BF372" i="14"/>
  <c r="BF376" i="14"/>
  <c r="BF380" i="14"/>
  <c r="BF384" i="14"/>
  <c r="BF160" i="14"/>
  <c r="BF182" i="14"/>
  <c r="BF206" i="14"/>
  <c r="BF228" i="14"/>
  <c r="BF250" i="14"/>
  <c r="BF269" i="14"/>
  <c r="BF285" i="14"/>
  <c r="BF303" i="14"/>
  <c r="BF319" i="14"/>
  <c r="BF338" i="14"/>
  <c r="BF354" i="14"/>
  <c r="BF373" i="14"/>
  <c r="BF165" i="14"/>
  <c r="BF187" i="14"/>
  <c r="BF212" i="14"/>
  <c r="BF235" i="14"/>
  <c r="BF254" i="14"/>
  <c r="BF273" i="14"/>
  <c r="BF289" i="14"/>
  <c r="BF307" i="14"/>
  <c r="BF323" i="14"/>
  <c r="BF342" i="14"/>
  <c r="BF361" i="14"/>
  <c r="BF377" i="14"/>
  <c r="BF149" i="14"/>
  <c r="BF170" i="14"/>
  <c r="BF193" i="14"/>
  <c r="BF217" i="14"/>
  <c r="BF240" i="14"/>
  <c r="BF258" i="14"/>
  <c r="BF277" i="14"/>
  <c r="BF293" i="14"/>
  <c r="BF311" i="14"/>
  <c r="BF330" i="14"/>
  <c r="BF346" i="14"/>
  <c r="BF365" i="14"/>
  <c r="BF381" i="14"/>
  <c r="BF198" i="14"/>
  <c r="BF281" i="14"/>
  <c r="BF350" i="14"/>
  <c r="BF222" i="14"/>
  <c r="BF299" i="14"/>
  <c r="BF369" i="14"/>
  <c r="BF154" i="14"/>
  <c r="BF246" i="14"/>
  <c r="BF315" i="14"/>
  <c r="BF385" i="14"/>
  <c r="BF262" i="14"/>
  <c r="BF173" i="14"/>
  <c r="BF264" i="14"/>
  <c r="BF324" i="14"/>
  <c r="BF356" i="14"/>
  <c r="BF388" i="14"/>
  <c r="BF392" i="14"/>
  <c r="BF396" i="14"/>
  <c r="BF400" i="14"/>
  <c r="BF404" i="14"/>
  <c r="BF408" i="14"/>
  <c r="BF412" i="14"/>
  <c r="BF416" i="14"/>
  <c r="BF420" i="14"/>
  <c r="BF424" i="14"/>
  <c r="BF428" i="14"/>
  <c r="BF432" i="14"/>
  <c r="BF436" i="14"/>
  <c r="BF440" i="14"/>
  <c r="BF444" i="14"/>
  <c r="BF448" i="14"/>
  <c r="BF452" i="14"/>
  <c r="BF456" i="14"/>
  <c r="BF460" i="14"/>
  <c r="BF464" i="14"/>
  <c r="BF468" i="14"/>
  <c r="BF472" i="14"/>
  <c r="BF476" i="14"/>
  <c r="BF334" i="14"/>
  <c r="BF202" i="14"/>
  <c r="BF233" i="14"/>
  <c r="BF265" i="14"/>
  <c r="BF325" i="14"/>
  <c r="BF357" i="14"/>
  <c r="BF389" i="14"/>
  <c r="BF393" i="14"/>
  <c r="BF397" i="14"/>
  <c r="BF401" i="14"/>
  <c r="BF405" i="14"/>
  <c r="BF409" i="14"/>
  <c r="BF413" i="14"/>
  <c r="BF417" i="14"/>
  <c r="BF421" i="14"/>
  <c r="BF425" i="14"/>
  <c r="BF429" i="14"/>
  <c r="BF433" i="14"/>
  <c r="BF437" i="14"/>
  <c r="BF441" i="14"/>
  <c r="BF445" i="14"/>
  <c r="BF449" i="14"/>
  <c r="BF453" i="14"/>
  <c r="BF457" i="14"/>
  <c r="BF461" i="14"/>
  <c r="BF465" i="14"/>
  <c r="BF469" i="14"/>
  <c r="BF473" i="14"/>
  <c r="BF477" i="14"/>
  <c r="BF203" i="14"/>
  <c r="BF234" i="14"/>
  <c r="BF294" i="14"/>
  <c r="BF326" i="14"/>
  <c r="BF386" i="14"/>
  <c r="BF390" i="14"/>
  <c r="BF394" i="14"/>
  <c r="BF398" i="14"/>
  <c r="BF402" i="14"/>
  <c r="BF406" i="14"/>
  <c r="BF410" i="14"/>
  <c r="BF414" i="14"/>
  <c r="BF418" i="14"/>
  <c r="BF422" i="14"/>
  <c r="BF426" i="14"/>
  <c r="BF430" i="14"/>
  <c r="BF434" i="14"/>
  <c r="BF438" i="14"/>
  <c r="BF442" i="14"/>
  <c r="BF446" i="14"/>
  <c r="BF450" i="14"/>
  <c r="BF454" i="14"/>
  <c r="BF458" i="14"/>
  <c r="BF462" i="14"/>
  <c r="BF466" i="14"/>
  <c r="BF470" i="14"/>
  <c r="BF474" i="14"/>
  <c r="BF478" i="14"/>
  <c r="BF177" i="14"/>
  <c r="BF355" i="14"/>
  <c r="BF399" i="14"/>
  <c r="BF415" i="14"/>
  <c r="BF431" i="14"/>
  <c r="BF447" i="14"/>
  <c r="BF463" i="14"/>
  <c r="BF114" i="14"/>
  <c r="BF119" i="14"/>
  <c r="BF123" i="14"/>
  <c r="BF128" i="14"/>
  <c r="BF133" i="14"/>
  <c r="BF137" i="14"/>
  <c r="BF403" i="14"/>
  <c r="BF435" i="14"/>
  <c r="BF467" i="14"/>
  <c r="BF115" i="14"/>
  <c r="BF129" i="14"/>
  <c r="BF139" i="14"/>
  <c r="BF263" i="14"/>
  <c r="BF391" i="14"/>
  <c r="BF407" i="14"/>
  <c r="BF423" i="14"/>
  <c r="BF439" i="14"/>
  <c r="BF455" i="14"/>
  <c r="BF471" i="14"/>
  <c r="BF116" i="14"/>
  <c r="BF121" i="14"/>
  <c r="BF125" i="14"/>
  <c r="BF130" i="14"/>
  <c r="BF135" i="14"/>
  <c r="BF140" i="14"/>
  <c r="BF142" i="14"/>
  <c r="BF204" i="14"/>
  <c r="BF387" i="14"/>
  <c r="BF419" i="14"/>
  <c r="BF451" i="14"/>
  <c r="BF120" i="14"/>
  <c r="BF124" i="14"/>
  <c r="BF134" i="14"/>
  <c r="BF295" i="14"/>
  <c r="BF395" i="14"/>
  <c r="BF411" i="14"/>
  <c r="BF427" i="14"/>
  <c r="BF443" i="14"/>
  <c r="BF459" i="14"/>
  <c r="BF475" i="14"/>
  <c r="BF118" i="14"/>
  <c r="BF122" i="14"/>
  <c r="BF127" i="14"/>
  <c r="BF131" i="14"/>
  <c r="BF136" i="14"/>
  <c r="BF141" i="14"/>
  <c r="BF143" i="14"/>
  <c r="AH235" i="14"/>
  <c r="AL235" i="14"/>
  <c r="J32" i="29"/>
  <c r="BB138" i="14"/>
  <c r="BB126" i="14"/>
  <c r="BB479" i="14"/>
  <c r="BB132" i="14"/>
  <c r="BB117" i="14"/>
  <c r="BB144" i="14"/>
  <c r="BB147" i="14"/>
  <c r="BB151" i="14"/>
  <c r="BB155" i="14"/>
  <c r="BB159" i="14"/>
  <c r="BB163" i="14"/>
  <c r="BB167" i="14"/>
  <c r="BB171" i="14"/>
  <c r="BB176" i="14"/>
  <c r="BB180" i="14"/>
  <c r="BB184" i="14"/>
  <c r="BB188" i="14"/>
  <c r="BB192" i="14"/>
  <c r="BB196" i="14"/>
  <c r="BB200" i="14"/>
  <c r="BB207" i="14"/>
  <c r="BB211" i="14"/>
  <c r="BB215" i="14"/>
  <c r="BB219" i="14"/>
  <c r="BB223" i="14"/>
  <c r="BB227" i="14"/>
  <c r="BB231" i="14"/>
  <c r="BB237" i="14"/>
  <c r="BB241" i="14"/>
  <c r="BB245" i="14"/>
  <c r="BB249" i="14"/>
  <c r="BB253" i="14"/>
  <c r="BB257" i="14"/>
  <c r="BB261" i="14"/>
  <c r="BB268" i="14"/>
  <c r="BB272" i="14"/>
  <c r="BB276" i="14"/>
  <c r="BB280" i="14"/>
  <c r="BB284" i="14"/>
  <c r="BB288" i="14"/>
  <c r="BB292" i="14"/>
  <c r="BB298" i="14"/>
  <c r="BB302" i="14"/>
  <c r="BB306" i="14"/>
  <c r="BB310" i="14"/>
  <c r="BB314" i="14"/>
  <c r="BB318" i="14"/>
  <c r="BB322" i="14"/>
  <c r="BB329" i="14"/>
  <c r="BB333" i="14"/>
  <c r="BB337" i="14"/>
  <c r="BB341" i="14"/>
  <c r="BB345" i="14"/>
  <c r="BB349" i="14"/>
  <c r="BB353" i="14"/>
  <c r="BB360" i="14"/>
  <c r="BB364" i="14"/>
  <c r="BB368" i="14"/>
  <c r="BB372" i="14"/>
  <c r="BB376" i="14"/>
  <c r="BB380" i="14"/>
  <c r="BB384" i="14"/>
  <c r="BB148" i="14"/>
  <c r="BB152" i="14"/>
  <c r="BB156" i="14"/>
  <c r="BB160" i="14"/>
  <c r="BB164" i="14"/>
  <c r="BB168" i="14"/>
  <c r="BB172" i="14"/>
  <c r="BB177" i="14"/>
  <c r="BB181" i="14"/>
  <c r="BB185" i="14"/>
  <c r="BB189" i="14"/>
  <c r="BB193" i="14"/>
  <c r="BB197" i="14"/>
  <c r="BB201" i="14"/>
  <c r="BB208" i="14"/>
  <c r="BB212" i="14"/>
  <c r="BB216" i="14"/>
  <c r="BB220" i="14"/>
  <c r="BB224" i="14"/>
  <c r="BB228" i="14"/>
  <c r="BB232" i="14"/>
  <c r="BB238" i="14"/>
  <c r="BB242" i="14"/>
  <c r="BB246" i="14"/>
  <c r="BB250" i="14"/>
  <c r="BB254" i="14"/>
  <c r="BB258" i="14"/>
  <c r="BB262" i="14"/>
  <c r="BB269" i="14"/>
  <c r="BB273" i="14"/>
  <c r="BB277" i="14"/>
  <c r="BB281" i="14"/>
  <c r="BB285" i="14"/>
  <c r="BB289" i="14"/>
  <c r="BB293" i="14"/>
  <c r="BB299" i="14"/>
  <c r="BB303" i="14"/>
  <c r="BB307" i="14"/>
  <c r="BB311" i="14"/>
  <c r="BB315" i="14"/>
  <c r="BB319" i="14"/>
  <c r="BB323" i="14"/>
  <c r="BB330" i="14"/>
  <c r="BB334" i="14"/>
  <c r="BB338" i="14"/>
  <c r="BB342" i="14"/>
  <c r="BB346" i="14"/>
  <c r="BB350" i="14"/>
  <c r="BB354" i="14"/>
  <c r="BB361" i="14"/>
  <c r="BB365" i="14"/>
  <c r="BB369" i="14"/>
  <c r="BB373" i="14"/>
  <c r="BB377" i="14"/>
  <c r="BB381" i="14"/>
  <c r="BB385" i="14"/>
  <c r="BB145" i="14"/>
  <c r="BB149" i="14"/>
  <c r="BB153" i="14"/>
  <c r="BB157" i="14"/>
  <c r="BB161" i="14"/>
  <c r="BB165" i="14"/>
  <c r="BB169" i="14"/>
  <c r="BB174" i="14"/>
  <c r="BB178" i="14"/>
  <c r="BB182" i="14"/>
  <c r="BB186" i="14"/>
  <c r="BB190" i="14"/>
  <c r="BB194" i="14"/>
  <c r="BB198" i="14"/>
  <c r="BB205" i="14"/>
  <c r="BB209" i="14"/>
  <c r="BB213" i="14"/>
  <c r="BB217" i="14"/>
  <c r="BB221" i="14"/>
  <c r="BB225" i="14"/>
  <c r="BB229" i="14"/>
  <c r="BB235" i="14"/>
  <c r="BB239" i="14"/>
  <c r="BB243" i="14"/>
  <c r="BB247" i="14"/>
  <c r="BB251" i="14"/>
  <c r="BB255" i="14"/>
  <c r="BB259" i="14"/>
  <c r="BB266" i="14"/>
  <c r="BB270" i="14"/>
  <c r="BB274" i="14"/>
  <c r="BB278" i="14"/>
  <c r="BB282" i="14"/>
  <c r="BB286" i="14"/>
  <c r="BB290" i="14"/>
  <c r="BB296" i="14"/>
  <c r="BB300" i="14"/>
  <c r="BB304" i="14"/>
  <c r="BB308" i="14"/>
  <c r="BB312" i="14"/>
  <c r="BB316" i="14"/>
  <c r="BB320" i="14"/>
  <c r="BB327" i="14"/>
  <c r="BB331" i="14"/>
  <c r="BB335" i="14"/>
  <c r="BB339" i="14"/>
  <c r="BB343" i="14"/>
  <c r="BB347" i="14"/>
  <c r="BB351" i="14"/>
  <c r="BB358" i="14"/>
  <c r="BB362" i="14"/>
  <c r="BB366" i="14"/>
  <c r="BB370" i="14"/>
  <c r="BB374" i="14"/>
  <c r="BB378" i="14"/>
  <c r="BB382" i="14"/>
  <c r="BB154" i="14"/>
  <c r="BB170" i="14"/>
  <c r="BB187" i="14"/>
  <c r="BB206" i="14"/>
  <c r="BB222" i="14"/>
  <c r="BB240" i="14"/>
  <c r="BB256" i="14"/>
  <c r="BB275" i="14"/>
  <c r="BB291" i="14"/>
  <c r="BB309" i="14"/>
  <c r="BB328" i="14"/>
  <c r="BB344" i="14"/>
  <c r="BB363" i="14"/>
  <c r="BB379" i="14"/>
  <c r="BB158" i="14"/>
  <c r="BB175" i="14"/>
  <c r="BB191" i="14"/>
  <c r="BB210" i="14"/>
  <c r="BB226" i="14"/>
  <c r="BB244" i="14"/>
  <c r="BB260" i="14"/>
  <c r="BB279" i="14"/>
  <c r="BB297" i="14"/>
  <c r="BB313" i="14"/>
  <c r="BB332" i="14"/>
  <c r="BB348" i="14"/>
  <c r="BB367" i="14"/>
  <c r="BB383" i="14"/>
  <c r="BB146" i="14"/>
  <c r="BB162" i="14"/>
  <c r="BB179" i="14"/>
  <c r="BB195" i="14"/>
  <c r="BB214" i="14"/>
  <c r="BB230" i="14"/>
  <c r="BB248" i="14"/>
  <c r="BB267" i="14"/>
  <c r="BB283" i="14"/>
  <c r="BB301" i="14"/>
  <c r="BB317" i="14"/>
  <c r="BB336" i="14"/>
  <c r="BB352" i="14"/>
  <c r="BB371" i="14"/>
  <c r="BB183" i="14"/>
  <c r="BB252" i="14"/>
  <c r="BB321" i="14"/>
  <c r="BB199" i="14"/>
  <c r="BB271" i="14"/>
  <c r="BB340" i="14"/>
  <c r="BB150" i="14"/>
  <c r="BB218" i="14"/>
  <c r="BB287" i="14"/>
  <c r="BB359" i="14"/>
  <c r="BB305" i="14"/>
  <c r="BB375" i="14"/>
  <c r="BB166" i="14"/>
  <c r="BB236" i="14"/>
  <c r="BB202" i="14"/>
  <c r="BB234" i="14"/>
  <c r="BB295" i="14"/>
  <c r="BB356" i="14"/>
  <c r="BB388" i="14"/>
  <c r="BB393" i="14"/>
  <c r="BB398" i="14"/>
  <c r="BB402" i="14"/>
  <c r="BB407" i="14"/>
  <c r="BB412" i="14"/>
  <c r="BB416" i="14"/>
  <c r="BB421" i="14"/>
  <c r="BB426" i="14"/>
  <c r="BB430" i="14"/>
  <c r="BB435" i="14"/>
  <c r="BB440" i="14"/>
  <c r="BB444" i="14"/>
  <c r="BB449" i="14"/>
  <c r="BB454" i="14"/>
  <c r="BB458" i="14"/>
  <c r="BB463" i="14"/>
  <c r="BB468" i="14"/>
  <c r="BB472" i="14"/>
  <c r="BB476" i="14"/>
  <c r="BB264" i="14"/>
  <c r="BB404" i="14"/>
  <c r="BB432" i="14"/>
  <c r="BB460" i="14"/>
  <c r="BB203" i="14"/>
  <c r="BB263" i="14"/>
  <c r="BB324" i="14"/>
  <c r="BB357" i="14"/>
  <c r="BB389" i="14"/>
  <c r="BB394" i="14"/>
  <c r="BB399" i="14"/>
  <c r="BB403" i="14"/>
  <c r="BB408" i="14"/>
  <c r="BB413" i="14"/>
  <c r="BB417" i="14"/>
  <c r="BB422" i="14"/>
  <c r="BB427" i="14"/>
  <c r="BB431" i="14"/>
  <c r="BB436" i="14"/>
  <c r="BB441" i="14"/>
  <c r="BB445" i="14"/>
  <c r="BB450" i="14"/>
  <c r="BB455" i="14"/>
  <c r="BB459" i="14"/>
  <c r="BB464" i="14"/>
  <c r="BB469" i="14"/>
  <c r="BB473" i="14"/>
  <c r="BB477" i="14"/>
  <c r="BB355" i="14"/>
  <c r="BB411" i="14"/>
  <c r="BB439" i="14"/>
  <c r="BB467" i="14"/>
  <c r="BB204" i="14"/>
  <c r="BB265" i="14"/>
  <c r="BB325" i="14"/>
  <c r="BB386" i="14"/>
  <c r="BB391" i="14"/>
  <c r="BB395" i="14"/>
  <c r="BB400" i="14"/>
  <c r="BB405" i="14"/>
  <c r="BB409" i="14"/>
  <c r="BB414" i="14"/>
  <c r="BB419" i="14"/>
  <c r="BB423" i="14"/>
  <c r="BB428" i="14"/>
  <c r="BB433" i="14"/>
  <c r="BB437" i="14"/>
  <c r="BB442" i="14"/>
  <c r="BB447" i="14"/>
  <c r="BB451" i="14"/>
  <c r="BB456" i="14"/>
  <c r="BB461" i="14"/>
  <c r="BB465" i="14"/>
  <c r="BB470" i="14"/>
  <c r="BB474" i="14"/>
  <c r="BB478" i="14"/>
  <c r="BB390" i="14"/>
  <c r="BB418" i="14"/>
  <c r="BB446" i="14"/>
  <c r="BB387" i="14"/>
  <c r="BB406" i="14"/>
  <c r="BB424" i="14"/>
  <c r="BB443" i="14"/>
  <c r="BB462" i="14"/>
  <c r="BB453" i="14"/>
  <c r="BB114" i="14"/>
  <c r="BB119" i="14"/>
  <c r="BB123" i="14"/>
  <c r="BB128" i="14"/>
  <c r="BB133" i="14"/>
  <c r="BB137" i="14"/>
  <c r="BB142" i="14"/>
  <c r="BB392" i="14"/>
  <c r="BB429" i="14"/>
  <c r="BB466" i="14"/>
  <c r="BB173" i="14"/>
  <c r="BB115" i="14"/>
  <c r="BB124" i="14"/>
  <c r="BB129" i="14"/>
  <c r="BB134" i="14"/>
  <c r="BB139" i="14"/>
  <c r="BB294" i="14"/>
  <c r="BB396" i="14"/>
  <c r="BB415" i="14"/>
  <c r="BB434" i="14"/>
  <c r="BB452" i="14"/>
  <c r="BB471" i="14"/>
  <c r="BB397" i="14"/>
  <c r="BB116" i="14"/>
  <c r="BB121" i="14"/>
  <c r="BB125" i="14"/>
  <c r="BB130" i="14"/>
  <c r="BB135" i="14"/>
  <c r="BB140" i="14"/>
  <c r="BB233" i="14"/>
  <c r="BB410" i="14"/>
  <c r="BB448" i="14"/>
  <c r="BB120" i="14"/>
  <c r="BB143" i="14"/>
  <c r="BB326" i="14"/>
  <c r="BB401" i="14"/>
  <c r="BB420" i="14"/>
  <c r="BB438" i="14"/>
  <c r="BB457" i="14"/>
  <c r="BB475" i="14"/>
  <c r="BB425" i="14"/>
  <c r="BB118" i="14"/>
  <c r="BB122" i="14"/>
  <c r="BB127" i="14"/>
  <c r="BB131" i="14"/>
  <c r="BB136" i="14"/>
  <c r="BB141" i="14"/>
  <c r="J44" i="29"/>
  <c r="F36" i="29"/>
  <c r="J28" i="29"/>
  <c r="E188" i="14"/>
  <c r="B187" i="14"/>
  <c r="C187" i="14"/>
  <c r="D187" i="14" s="1"/>
  <c r="AN187" i="14"/>
  <c r="Q187" i="14"/>
  <c r="J187" i="14"/>
  <c r="H186" i="15"/>
  <c r="S70" i="26"/>
  <c r="L77" i="26" s="1"/>
  <c r="H79" i="26"/>
  <c r="U70" i="26" s="1"/>
  <c r="N79" i="26" s="1"/>
  <c r="N39" i="29"/>
  <c r="J40" i="29"/>
  <c r="CG216" i="14"/>
  <c r="CF216" i="14"/>
  <c r="CG118" i="14"/>
  <c r="CF118" i="14"/>
  <c r="CB149" i="14"/>
  <c r="CB162" i="14"/>
  <c r="CB168" i="14"/>
  <c r="CB235" i="14"/>
  <c r="CB239" i="14"/>
  <c r="CB243" i="14"/>
  <c r="CB247" i="14"/>
  <c r="CB251" i="14"/>
  <c r="CB255" i="14"/>
  <c r="CB259" i="14"/>
  <c r="CB263" i="14"/>
  <c r="CB146" i="14"/>
  <c r="CB152" i="14"/>
  <c r="CB156" i="14"/>
  <c r="CB165" i="14"/>
  <c r="CB174" i="14"/>
  <c r="CB178" i="14"/>
  <c r="CB182" i="14"/>
  <c r="CB186" i="14"/>
  <c r="CB190" i="14"/>
  <c r="CB194" i="14"/>
  <c r="CB198" i="14"/>
  <c r="CB202" i="14"/>
  <c r="CB206" i="14"/>
  <c r="CB210" i="14"/>
  <c r="CB214" i="14"/>
  <c r="CB218" i="14"/>
  <c r="CB222" i="14"/>
  <c r="CB226" i="14"/>
  <c r="CB230" i="14"/>
  <c r="CB234" i="14"/>
  <c r="CB269" i="14"/>
  <c r="CB273" i="14"/>
  <c r="CB277" i="14"/>
  <c r="CB281" i="14"/>
  <c r="CB285" i="14"/>
  <c r="CB289" i="14"/>
  <c r="CB293" i="14"/>
  <c r="CB297" i="14"/>
  <c r="CB301" i="14"/>
  <c r="CB305" i="14"/>
  <c r="CB309" i="14"/>
  <c r="CB313" i="14"/>
  <c r="CB317" i="14"/>
  <c r="CB321" i="14"/>
  <c r="CB325" i="14"/>
  <c r="CB329" i="14"/>
  <c r="CB333" i="14"/>
  <c r="CB337" i="14"/>
  <c r="CB341" i="14"/>
  <c r="CB345" i="14"/>
  <c r="CB349" i="14"/>
  <c r="CB353" i="14"/>
  <c r="CB357" i="14"/>
  <c r="CB361" i="14"/>
  <c r="CB365" i="14"/>
  <c r="CB369" i="14"/>
  <c r="CB373" i="14"/>
  <c r="CB377" i="14"/>
  <c r="CB381" i="14"/>
  <c r="CB385" i="14"/>
  <c r="CB389" i="14"/>
  <c r="CB150" i="14"/>
  <c r="CB163" i="14"/>
  <c r="CB169" i="14"/>
  <c r="CB236" i="14"/>
  <c r="CB240" i="14"/>
  <c r="CB244" i="14"/>
  <c r="CB248" i="14"/>
  <c r="CB252" i="14"/>
  <c r="CB256" i="14"/>
  <c r="CB260" i="14"/>
  <c r="CB264" i="14"/>
  <c r="CB147" i="14"/>
  <c r="CB153" i="14"/>
  <c r="CB157" i="14"/>
  <c r="CB166" i="14"/>
  <c r="CB175" i="14"/>
  <c r="CB179" i="14"/>
  <c r="CB183" i="14"/>
  <c r="CB187" i="14"/>
  <c r="CB191" i="14"/>
  <c r="CB195" i="14"/>
  <c r="CB199" i="14"/>
  <c r="CB203" i="14"/>
  <c r="CB207" i="14"/>
  <c r="CB211" i="14"/>
  <c r="CB215" i="14"/>
  <c r="CB219" i="14"/>
  <c r="CB223" i="14"/>
  <c r="CB227" i="14"/>
  <c r="CB231" i="14"/>
  <c r="CB266" i="14"/>
  <c r="CB270" i="14"/>
  <c r="CB274" i="14"/>
  <c r="CB278" i="14"/>
  <c r="CB282" i="14"/>
  <c r="CB286" i="14"/>
  <c r="CB290" i="14"/>
  <c r="CB294" i="14"/>
  <c r="CB298" i="14"/>
  <c r="CB302" i="14"/>
  <c r="CB306" i="14"/>
  <c r="CB310" i="14"/>
  <c r="CB314" i="14"/>
  <c r="CB318" i="14"/>
  <c r="CB322" i="14"/>
  <c r="CB326" i="14"/>
  <c r="CB330" i="14"/>
  <c r="CB334" i="14"/>
  <c r="CB338" i="14"/>
  <c r="CB342" i="14"/>
  <c r="CB346" i="14"/>
  <c r="CB350" i="14"/>
  <c r="CB354" i="14"/>
  <c r="CB358" i="14"/>
  <c r="CB362" i="14"/>
  <c r="CB366" i="14"/>
  <c r="CB370" i="14"/>
  <c r="CB374" i="14"/>
  <c r="CB378" i="14"/>
  <c r="CB382" i="14"/>
  <c r="CB386" i="14"/>
  <c r="CB390" i="14"/>
  <c r="CB394" i="14"/>
  <c r="CB160" i="14"/>
  <c r="CB164" i="14"/>
  <c r="CB170" i="14"/>
  <c r="CB237" i="14"/>
  <c r="CB241" i="14"/>
  <c r="CB245" i="14"/>
  <c r="CB249" i="14"/>
  <c r="CB253" i="14"/>
  <c r="CB238" i="14"/>
  <c r="CB254" i="14"/>
  <c r="CB262" i="14"/>
  <c r="CB151" i="14"/>
  <c r="CB159" i="14"/>
  <c r="CB177" i="14"/>
  <c r="CB185" i="14"/>
  <c r="CB193" i="14"/>
  <c r="CB201" i="14"/>
  <c r="CB209" i="14"/>
  <c r="CB217" i="14"/>
  <c r="CB225" i="14"/>
  <c r="CB233" i="14"/>
  <c r="CB272" i="14"/>
  <c r="CB280" i="14"/>
  <c r="CB288" i="14"/>
  <c r="CB296" i="14"/>
  <c r="CB304" i="14"/>
  <c r="CB312" i="14"/>
  <c r="CB320" i="14"/>
  <c r="CB328" i="14"/>
  <c r="CB336" i="14"/>
  <c r="CB344" i="14"/>
  <c r="CB352" i="14"/>
  <c r="CB360" i="14"/>
  <c r="CB368" i="14"/>
  <c r="CB376" i="14"/>
  <c r="CB384" i="14"/>
  <c r="CB392" i="14"/>
  <c r="CB397" i="14"/>
  <c r="CB401" i="14"/>
  <c r="CB405" i="14"/>
  <c r="CB409" i="14"/>
  <c r="CB413" i="14"/>
  <c r="CB417" i="14"/>
  <c r="CB421" i="14"/>
  <c r="CB425" i="14"/>
  <c r="CB429" i="14"/>
  <c r="CB433" i="14"/>
  <c r="CB437" i="14"/>
  <c r="CB441" i="14"/>
  <c r="CB445" i="14"/>
  <c r="CB449" i="14"/>
  <c r="CB453" i="14"/>
  <c r="CB457" i="14"/>
  <c r="CB461" i="14"/>
  <c r="CB465" i="14"/>
  <c r="CB469" i="14"/>
  <c r="CB473" i="14"/>
  <c r="CB477" i="14"/>
  <c r="CB115" i="14"/>
  <c r="CB119" i="14"/>
  <c r="CB123" i="14"/>
  <c r="CB127" i="14"/>
  <c r="CB131" i="14"/>
  <c r="CB135" i="14"/>
  <c r="CB139" i="14"/>
  <c r="CB143" i="14"/>
  <c r="CB196" i="14"/>
  <c r="CB323" i="14"/>
  <c r="CB355" i="14"/>
  <c r="CB379" i="14"/>
  <c r="CB398" i="14"/>
  <c r="CB410" i="14"/>
  <c r="CB422" i="14"/>
  <c r="CB434" i="14"/>
  <c r="CB442" i="14"/>
  <c r="CB454" i="14"/>
  <c r="CB462" i="14"/>
  <c r="CB470" i="14"/>
  <c r="CB116" i="14"/>
  <c r="CB128" i="14"/>
  <c r="CB136" i="14"/>
  <c r="CB144" i="14"/>
  <c r="CB167" i="14"/>
  <c r="CB246" i="14"/>
  <c r="CB258" i="14"/>
  <c r="CB145" i="14"/>
  <c r="CB155" i="14"/>
  <c r="CB173" i="14"/>
  <c r="CB181" i="14"/>
  <c r="CB189" i="14"/>
  <c r="CB197" i="14"/>
  <c r="CB205" i="14"/>
  <c r="CB213" i="14"/>
  <c r="CB221" i="14"/>
  <c r="CB229" i="14"/>
  <c r="CB268" i="14"/>
  <c r="CB276" i="14"/>
  <c r="CB284" i="14"/>
  <c r="CB292" i="14"/>
  <c r="CB300" i="14"/>
  <c r="CB308" i="14"/>
  <c r="CB316" i="14"/>
  <c r="CB324" i="14"/>
  <c r="CB332" i="14"/>
  <c r="CB340" i="14"/>
  <c r="CB348" i="14"/>
  <c r="CB356" i="14"/>
  <c r="CB364" i="14"/>
  <c r="CB372" i="14"/>
  <c r="CB380" i="14"/>
  <c r="CB388" i="14"/>
  <c r="CB395" i="14"/>
  <c r="CB399" i="14"/>
  <c r="CB403" i="14"/>
  <c r="CB407" i="14"/>
  <c r="CB411" i="14"/>
  <c r="CB415" i="14"/>
  <c r="CB419" i="14"/>
  <c r="CB423" i="14"/>
  <c r="CB427" i="14"/>
  <c r="CB431" i="14"/>
  <c r="CB435" i="14"/>
  <c r="CB439" i="14"/>
  <c r="CB443" i="14"/>
  <c r="CB447" i="14"/>
  <c r="CB451" i="14"/>
  <c r="CB455" i="14"/>
  <c r="CB459" i="14"/>
  <c r="CB463" i="14"/>
  <c r="CB467" i="14"/>
  <c r="CB471" i="14"/>
  <c r="CB475" i="14"/>
  <c r="CB479" i="14"/>
  <c r="CB117" i="14"/>
  <c r="CB121" i="14"/>
  <c r="CB125" i="14"/>
  <c r="CB129" i="14"/>
  <c r="CB133" i="14"/>
  <c r="CB137" i="14"/>
  <c r="CB141" i="14"/>
  <c r="CB161" i="14"/>
  <c r="CB242" i="14"/>
  <c r="CB257" i="14"/>
  <c r="CB265" i="14"/>
  <c r="CB154" i="14"/>
  <c r="CB172" i="14"/>
  <c r="CB180" i="14"/>
  <c r="CB188" i="14"/>
  <c r="CB204" i="14"/>
  <c r="CB212" i="14"/>
  <c r="CB220" i="14"/>
  <c r="CB228" i="14"/>
  <c r="CB267" i="14"/>
  <c r="CB275" i="14"/>
  <c r="CB283" i="14"/>
  <c r="CB291" i="14"/>
  <c r="CB299" i="14"/>
  <c r="CB307" i="14"/>
  <c r="CB315" i="14"/>
  <c r="CB331" i="14"/>
  <c r="CB339" i="14"/>
  <c r="CB347" i="14"/>
  <c r="CB363" i="14"/>
  <c r="CB371" i="14"/>
  <c r="CB387" i="14"/>
  <c r="CB393" i="14"/>
  <c r="CB402" i="14"/>
  <c r="CB406" i="14"/>
  <c r="CB414" i="14"/>
  <c r="CB418" i="14"/>
  <c r="CB426" i="14"/>
  <c r="CB430" i="14"/>
  <c r="CB438" i="14"/>
  <c r="CB446" i="14"/>
  <c r="CB450" i="14"/>
  <c r="CB458" i="14"/>
  <c r="CB466" i="14"/>
  <c r="CB474" i="14"/>
  <c r="CB478" i="14"/>
  <c r="CB120" i="14"/>
  <c r="CB124" i="14"/>
  <c r="CB132" i="14"/>
  <c r="CB140" i="14"/>
  <c r="CB171" i="14"/>
  <c r="CB250" i="14"/>
  <c r="CB261" i="14"/>
  <c r="CB148" i="14"/>
  <c r="CB158" i="14"/>
  <c r="CB176" i="14"/>
  <c r="CB184" i="14"/>
  <c r="CB192" i="14"/>
  <c r="CB200" i="14"/>
  <c r="CB208" i="14"/>
  <c r="CB216" i="14"/>
  <c r="CB224" i="14"/>
  <c r="CB232" i="14"/>
  <c r="CB271" i="14"/>
  <c r="CB279" i="14"/>
  <c r="CB287" i="14"/>
  <c r="CB295" i="14"/>
  <c r="CB303" i="14"/>
  <c r="CB311" i="14"/>
  <c r="CB319" i="14"/>
  <c r="CB327" i="14"/>
  <c r="CB335" i="14"/>
  <c r="CB343" i="14"/>
  <c r="CB351" i="14"/>
  <c r="CB359" i="14"/>
  <c r="CB367" i="14"/>
  <c r="CB375" i="14"/>
  <c r="CB383" i="14"/>
  <c r="CB391" i="14"/>
  <c r="CB396" i="14"/>
  <c r="CB400" i="14"/>
  <c r="CB404" i="14"/>
  <c r="CB408" i="14"/>
  <c r="CB412" i="14"/>
  <c r="CB416" i="14"/>
  <c r="CB420" i="14"/>
  <c r="CB424" i="14"/>
  <c r="CB428" i="14"/>
  <c r="CB432" i="14"/>
  <c r="CB436" i="14"/>
  <c r="CB440" i="14"/>
  <c r="CB444" i="14"/>
  <c r="CB448" i="14"/>
  <c r="CB452" i="14"/>
  <c r="CB456" i="14"/>
  <c r="CB460" i="14"/>
  <c r="CB464" i="14"/>
  <c r="CB468" i="14"/>
  <c r="CB472" i="14"/>
  <c r="CB476" i="14"/>
  <c r="CB114" i="14"/>
  <c r="CB118" i="14"/>
  <c r="CB122" i="14"/>
  <c r="CB126" i="14"/>
  <c r="CB130" i="14"/>
  <c r="CB134" i="14"/>
  <c r="CB138" i="14"/>
  <c r="CB142" i="14"/>
  <c r="F27" i="29"/>
  <c r="BC117" i="14"/>
  <c r="BC144" i="14"/>
  <c r="BC132" i="14"/>
  <c r="BC126" i="14"/>
  <c r="BC479" i="14"/>
  <c r="BC138" i="14"/>
  <c r="BC146" i="14"/>
  <c r="BC150" i="14"/>
  <c r="BC154" i="14"/>
  <c r="BC158" i="14"/>
  <c r="BC162" i="14"/>
  <c r="BC166" i="14"/>
  <c r="BC170" i="14"/>
  <c r="BC175" i="14"/>
  <c r="BC179" i="14"/>
  <c r="BC183" i="14"/>
  <c r="BC187" i="14"/>
  <c r="BC191" i="14"/>
  <c r="BC195" i="14"/>
  <c r="BC199" i="14"/>
  <c r="BC206" i="14"/>
  <c r="BC210" i="14"/>
  <c r="BC214" i="14"/>
  <c r="BC218" i="14"/>
  <c r="BC222" i="14"/>
  <c r="BC226" i="14"/>
  <c r="BC230" i="14"/>
  <c r="BC236" i="14"/>
  <c r="BC240" i="14"/>
  <c r="BC244" i="14"/>
  <c r="BC248" i="14"/>
  <c r="BC252" i="14"/>
  <c r="BC256" i="14"/>
  <c r="BC260" i="14"/>
  <c r="BC267" i="14"/>
  <c r="BC271" i="14"/>
  <c r="BC275" i="14"/>
  <c r="BC279" i="14"/>
  <c r="BC283" i="14"/>
  <c r="BC287" i="14"/>
  <c r="BC291" i="14"/>
  <c r="BC297" i="14"/>
  <c r="BC301" i="14"/>
  <c r="BC305" i="14"/>
  <c r="BC309" i="14"/>
  <c r="BC313" i="14"/>
  <c r="BC317" i="14"/>
  <c r="BC321" i="14"/>
  <c r="BC328" i="14"/>
  <c r="BC332" i="14"/>
  <c r="BC336" i="14"/>
  <c r="BC340" i="14"/>
  <c r="BC344" i="14"/>
  <c r="BC348" i="14"/>
  <c r="BC352" i="14"/>
  <c r="BC359" i="14"/>
  <c r="BC363" i="14"/>
  <c r="BC367" i="14"/>
  <c r="BC371" i="14"/>
  <c r="BC375" i="14"/>
  <c r="BC379" i="14"/>
  <c r="BC383" i="14"/>
  <c r="BC147" i="14"/>
  <c r="BC151" i="14"/>
  <c r="BC155" i="14"/>
  <c r="BC159" i="14"/>
  <c r="BC163" i="14"/>
  <c r="BC167" i="14"/>
  <c r="BC171" i="14"/>
  <c r="BC176" i="14"/>
  <c r="BC180" i="14"/>
  <c r="BC184" i="14"/>
  <c r="BC188" i="14"/>
  <c r="BC192" i="14"/>
  <c r="BC196" i="14"/>
  <c r="BC200" i="14"/>
  <c r="BC207" i="14"/>
  <c r="BC211" i="14"/>
  <c r="BC215" i="14"/>
  <c r="BC219" i="14"/>
  <c r="BC223" i="14"/>
  <c r="BC227" i="14"/>
  <c r="BC231" i="14"/>
  <c r="BC237" i="14"/>
  <c r="BC241" i="14"/>
  <c r="BC245" i="14"/>
  <c r="BC249" i="14"/>
  <c r="BC253" i="14"/>
  <c r="BC257" i="14"/>
  <c r="BC261" i="14"/>
  <c r="BC268" i="14"/>
  <c r="BC272" i="14"/>
  <c r="BC276" i="14"/>
  <c r="BC280" i="14"/>
  <c r="BC284" i="14"/>
  <c r="BC288" i="14"/>
  <c r="BC292" i="14"/>
  <c r="BC298" i="14"/>
  <c r="BC302" i="14"/>
  <c r="BC306" i="14"/>
  <c r="BC310" i="14"/>
  <c r="BC314" i="14"/>
  <c r="BC318" i="14"/>
  <c r="BC322" i="14"/>
  <c r="BC329" i="14"/>
  <c r="BC333" i="14"/>
  <c r="BC337" i="14"/>
  <c r="BC341" i="14"/>
  <c r="BC345" i="14"/>
  <c r="BC349" i="14"/>
  <c r="BC353" i="14"/>
  <c r="BC360" i="14"/>
  <c r="BC364" i="14"/>
  <c r="BC368" i="14"/>
  <c r="BC372" i="14"/>
  <c r="BC376" i="14"/>
  <c r="BC380" i="14"/>
  <c r="BC384" i="14"/>
  <c r="BC148" i="14"/>
  <c r="BC152" i="14"/>
  <c r="BC156" i="14"/>
  <c r="BC160" i="14"/>
  <c r="BC164" i="14"/>
  <c r="BC168" i="14"/>
  <c r="BC172" i="14"/>
  <c r="BC177" i="14"/>
  <c r="BC181" i="14"/>
  <c r="BC185" i="14"/>
  <c r="BC189" i="14"/>
  <c r="BC193" i="14"/>
  <c r="BC197" i="14"/>
  <c r="BC201" i="14"/>
  <c r="BC208" i="14"/>
  <c r="BC212" i="14"/>
  <c r="BC216" i="14"/>
  <c r="BC220" i="14"/>
  <c r="BC224" i="14"/>
  <c r="BC228" i="14"/>
  <c r="BC232" i="14"/>
  <c r="BC238" i="14"/>
  <c r="BC242" i="14"/>
  <c r="BC246" i="14"/>
  <c r="BC250" i="14"/>
  <c r="BC254" i="14"/>
  <c r="BC258" i="14"/>
  <c r="BC262" i="14"/>
  <c r="BC269" i="14"/>
  <c r="BC273" i="14"/>
  <c r="BC277" i="14"/>
  <c r="BC281" i="14"/>
  <c r="BC285" i="14"/>
  <c r="BC289" i="14"/>
  <c r="BC293" i="14"/>
  <c r="BC299" i="14"/>
  <c r="BC303" i="14"/>
  <c r="BC307" i="14"/>
  <c r="BC311" i="14"/>
  <c r="BC315" i="14"/>
  <c r="BC319" i="14"/>
  <c r="BC323" i="14"/>
  <c r="BC330" i="14"/>
  <c r="BC334" i="14"/>
  <c r="BC338" i="14"/>
  <c r="BC342" i="14"/>
  <c r="BC346" i="14"/>
  <c r="BC350" i="14"/>
  <c r="BC354" i="14"/>
  <c r="BC361" i="14"/>
  <c r="BC365" i="14"/>
  <c r="BC369" i="14"/>
  <c r="BC373" i="14"/>
  <c r="BC377" i="14"/>
  <c r="BC381" i="14"/>
  <c r="BC385" i="14"/>
  <c r="BC149" i="14"/>
  <c r="BC165" i="14"/>
  <c r="BC182" i="14"/>
  <c r="BC198" i="14"/>
  <c r="BC217" i="14"/>
  <c r="BC235" i="14"/>
  <c r="BC251" i="14"/>
  <c r="BC270" i="14"/>
  <c r="BC286" i="14"/>
  <c r="BC304" i="14"/>
  <c r="BC320" i="14"/>
  <c r="BC339" i="14"/>
  <c r="BC358" i="14"/>
  <c r="BC374" i="14"/>
  <c r="BC153" i="14"/>
  <c r="BC169" i="14"/>
  <c r="BC186" i="14"/>
  <c r="BC205" i="14"/>
  <c r="BC221" i="14"/>
  <c r="BC239" i="14"/>
  <c r="BC255" i="14"/>
  <c r="BC274" i="14"/>
  <c r="BC290" i="14"/>
  <c r="BC308" i="14"/>
  <c r="BC327" i="14"/>
  <c r="BC343" i="14"/>
  <c r="BC362" i="14"/>
  <c r="BC378" i="14"/>
  <c r="BC157" i="14"/>
  <c r="BC174" i="14"/>
  <c r="BC190" i="14"/>
  <c r="BC209" i="14"/>
  <c r="BC225" i="14"/>
  <c r="BC243" i="14"/>
  <c r="BC259" i="14"/>
  <c r="BC278" i="14"/>
  <c r="BC296" i="14"/>
  <c r="BC312" i="14"/>
  <c r="BC331" i="14"/>
  <c r="BC347" i="14"/>
  <c r="BC366" i="14"/>
  <c r="BC382" i="14"/>
  <c r="BC194" i="14"/>
  <c r="BC266" i="14"/>
  <c r="BC335" i="14"/>
  <c r="BC145" i="14"/>
  <c r="BC213" i="14"/>
  <c r="BC282" i="14"/>
  <c r="BC351" i="14"/>
  <c r="BC161" i="14"/>
  <c r="BC229" i="14"/>
  <c r="BC300" i="14"/>
  <c r="BC370" i="14"/>
  <c r="BC247" i="14"/>
  <c r="BC316" i="14"/>
  <c r="BC204" i="14"/>
  <c r="BC263" i="14"/>
  <c r="BC295" i="14"/>
  <c r="BC355" i="14"/>
  <c r="BC387" i="14"/>
  <c r="BC391" i="14"/>
  <c r="BC395" i="14"/>
  <c r="BC399" i="14"/>
  <c r="BC403" i="14"/>
  <c r="BC407" i="14"/>
  <c r="BC411" i="14"/>
  <c r="BC415" i="14"/>
  <c r="BC419" i="14"/>
  <c r="BC423" i="14"/>
  <c r="BC427" i="14"/>
  <c r="BC431" i="14"/>
  <c r="BC435" i="14"/>
  <c r="BC439" i="14"/>
  <c r="BC443" i="14"/>
  <c r="BC447" i="14"/>
  <c r="BC451" i="14"/>
  <c r="BC455" i="14"/>
  <c r="BC459" i="14"/>
  <c r="BC463" i="14"/>
  <c r="BC467" i="14"/>
  <c r="BC471" i="14"/>
  <c r="BC475" i="14"/>
  <c r="BC173" i="14"/>
  <c r="BC264" i="14"/>
  <c r="BC324" i="14"/>
  <c r="BC356" i="14"/>
  <c r="BC388" i="14"/>
  <c r="BC392" i="14"/>
  <c r="BC396" i="14"/>
  <c r="BC400" i="14"/>
  <c r="BC404" i="14"/>
  <c r="BC408" i="14"/>
  <c r="BC412" i="14"/>
  <c r="BC416" i="14"/>
  <c r="BC420" i="14"/>
  <c r="BC424" i="14"/>
  <c r="BC428" i="14"/>
  <c r="BC432" i="14"/>
  <c r="BC436" i="14"/>
  <c r="BC440" i="14"/>
  <c r="BC444" i="14"/>
  <c r="BC448" i="14"/>
  <c r="BC452" i="14"/>
  <c r="BC456" i="14"/>
  <c r="BC460" i="14"/>
  <c r="BC464" i="14"/>
  <c r="BC468" i="14"/>
  <c r="BC472" i="14"/>
  <c r="BC476" i="14"/>
  <c r="BC178" i="14"/>
  <c r="BC202" i="14"/>
  <c r="BC233" i="14"/>
  <c r="BC265" i="14"/>
  <c r="BC325" i="14"/>
  <c r="BC357" i="14"/>
  <c r="BC389" i="14"/>
  <c r="BC393" i="14"/>
  <c r="BC397" i="14"/>
  <c r="BC401" i="14"/>
  <c r="BC405" i="14"/>
  <c r="BC409" i="14"/>
  <c r="BC413" i="14"/>
  <c r="BC417" i="14"/>
  <c r="BC421" i="14"/>
  <c r="BC425" i="14"/>
  <c r="BC429" i="14"/>
  <c r="BC433" i="14"/>
  <c r="BC437" i="14"/>
  <c r="BC441" i="14"/>
  <c r="BC445" i="14"/>
  <c r="BC449" i="14"/>
  <c r="BC453" i="14"/>
  <c r="BC457" i="14"/>
  <c r="BC461" i="14"/>
  <c r="BC465" i="14"/>
  <c r="BC469" i="14"/>
  <c r="BC473" i="14"/>
  <c r="BC477" i="14"/>
  <c r="BC326" i="14"/>
  <c r="BC398" i="14"/>
  <c r="BC414" i="14"/>
  <c r="BC430" i="14"/>
  <c r="BC446" i="14"/>
  <c r="BC462" i="14"/>
  <c r="BC478" i="14"/>
  <c r="BC114" i="14"/>
  <c r="BC119" i="14"/>
  <c r="BC123" i="14"/>
  <c r="BC128" i="14"/>
  <c r="BC133" i="14"/>
  <c r="BC137" i="14"/>
  <c r="BC142" i="14"/>
  <c r="BC203" i="14"/>
  <c r="BC386" i="14"/>
  <c r="BC402" i="14"/>
  <c r="BC434" i="14"/>
  <c r="BC466" i="14"/>
  <c r="BC115" i="14"/>
  <c r="BC120" i="14"/>
  <c r="BC124" i="14"/>
  <c r="BC129" i="14"/>
  <c r="BC134" i="14"/>
  <c r="BC139" i="14"/>
  <c r="BC234" i="14"/>
  <c r="BC390" i="14"/>
  <c r="BC406" i="14"/>
  <c r="BC422" i="14"/>
  <c r="BC438" i="14"/>
  <c r="BC454" i="14"/>
  <c r="BC470" i="14"/>
  <c r="BC116" i="14"/>
  <c r="BC121" i="14"/>
  <c r="BC125" i="14"/>
  <c r="BC130" i="14"/>
  <c r="BC135" i="14"/>
  <c r="BC140" i="14"/>
  <c r="BC418" i="14"/>
  <c r="BC450" i="14"/>
  <c r="BC143" i="14"/>
  <c r="BC294" i="14"/>
  <c r="BC394" i="14"/>
  <c r="BC410" i="14"/>
  <c r="BC426" i="14"/>
  <c r="BC442" i="14"/>
  <c r="BC458" i="14"/>
  <c r="BC474" i="14"/>
  <c r="BC118" i="14"/>
  <c r="BC122" i="14"/>
  <c r="BC127" i="14"/>
  <c r="BC131" i="14"/>
  <c r="BC136" i="14"/>
  <c r="BC141" i="14"/>
  <c r="CG213" i="14"/>
  <c r="CF213" i="14"/>
  <c r="L279" i="28"/>
  <c r="CG121" i="14"/>
  <c r="CF121" i="14"/>
  <c r="AH114" i="14"/>
  <c r="AL114" i="14"/>
  <c r="AH205" i="14"/>
  <c r="AL205" i="14"/>
  <c r="F32" i="29"/>
  <c r="C23" i="29"/>
  <c r="F23" i="29" s="1"/>
  <c r="K35" i="29"/>
  <c r="N35" i="29" s="1"/>
  <c r="R28" i="29"/>
  <c r="G283" i="28"/>
  <c r="CG278" i="14"/>
  <c r="CF278" i="14"/>
  <c r="BX138" i="14"/>
  <c r="BX126" i="14"/>
  <c r="BX479" i="14"/>
  <c r="BX132" i="14"/>
  <c r="BX117" i="14"/>
  <c r="BX144" i="14"/>
  <c r="BX147" i="14"/>
  <c r="BX151" i="14"/>
  <c r="BX155" i="14"/>
  <c r="BX159" i="14"/>
  <c r="BX163" i="14"/>
  <c r="BX167" i="14"/>
  <c r="BX171" i="14"/>
  <c r="BX176" i="14"/>
  <c r="BX180" i="14"/>
  <c r="BX184" i="14"/>
  <c r="BX188" i="14"/>
  <c r="BX192" i="14"/>
  <c r="BX196" i="14"/>
  <c r="BX200" i="14"/>
  <c r="BX207" i="14"/>
  <c r="BX211" i="14"/>
  <c r="BX215" i="14"/>
  <c r="BX219" i="14"/>
  <c r="BX223" i="14"/>
  <c r="BX227" i="14"/>
  <c r="BX231" i="14"/>
  <c r="BX237" i="14"/>
  <c r="BX241" i="14"/>
  <c r="BX245" i="14"/>
  <c r="BX249" i="14"/>
  <c r="BX253" i="14"/>
  <c r="BX257" i="14"/>
  <c r="BX261" i="14"/>
  <c r="BX268" i="14"/>
  <c r="BX272" i="14"/>
  <c r="BX276" i="14"/>
  <c r="BX280" i="14"/>
  <c r="BX284" i="14"/>
  <c r="BX288" i="14"/>
  <c r="BX292" i="14"/>
  <c r="BX298" i="14"/>
  <c r="BX302" i="14"/>
  <c r="BX306" i="14"/>
  <c r="BX310" i="14"/>
  <c r="BX314" i="14"/>
  <c r="BX318" i="14"/>
  <c r="BX322" i="14"/>
  <c r="BX329" i="14"/>
  <c r="BX333" i="14"/>
  <c r="BX337" i="14"/>
  <c r="BX341" i="14"/>
  <c r="BX345" i="14"/>
  <c r="BX349" i="14"/>
  <c r="BX353" i="14"/>
  <c r="BX360" i="14"/>
  <c r="BX364" i="14"/>
  <c r="BX368" i="14"/>
  <c r="BX372" i="14"/>
  <c r="BX376" i="14"/>
  <c r="BX380" i="14"/>
  <c r="BX384" i="14"/>
  <c r="BX148" i="14"/>
  <c r="BX152" i="14"/>
  <c r="BX156" i="14"/>
  <c r="BX160" i="14"/>
  <c r="BX164" i="14"/>
  <c r="BX168" i="14"/>
  <c r="BX172" i="14"/>
  <c r="BX177" i="14"/>
  <c r="BX181" i="14"/>
  <c r="BX185" i="14"/>
  <c r="BX189" i="14"/>
  <c r="BX193" i="14"/>
  <c r="BX197" i="14"/>
  <c r="BX201" i="14"/>
  <c r="BX208" i="14"/>
  <c r="BX212" i="14"/>
  <c r="BX216" i="14"/>
  <c r="BX220" i="14"/>
  <c r="BX224" i="14"/>
  <c r="BX228" i="14"/>
  <c r="BX232" i="14"/>
  <c r="BX238" i="14"/>
  <c r="BX242" i="14"/>
  <c r="BX246" i="14"/>
  <c r="BX250" i="14"/>
  <c r="BX254" i="14"/>
  <c r="BX258" i="14"/>
  <c r="BX262" i="14"/>
  <c r="BX269" i="14"/>
  <c r="BX273" i="14"/>
  <c r="BX277" i="14"/>
  <c r="BX281" i="14"/>
  <c r="BX285" i="14"/>
  <c r="BX289" i="14"/>
  <c r="BX293" i="14"/>
  <c r="BX299" i="14"/>
  <c r="BX303" i="14"/>
  <c r="BX307" i="14"/>
  <c r="BX311" i="14"/>
  <c r="BX315" i="14"/>
  <c r="BX319" i="14"/>
  <c r="BX323" i="14"/>
  <c r="BX330" i="14"/>
  <c r="BX334" i="14"/>
  <c r="BX338" i="14"/>
  <c r="BX342" i="14"/>
  <c r="BX346" i="14"/>
  <c r="BX350" i="14"/>
  <c r="BX354" i="14"/>
  <c r="BX361" i="14"/>
  <c r="BX365" i="14"/>
  <c r="BX369" i="14"/>
  <c r="BX373" i="14"/>
  <c r="BX377" i="14"/>
  <c r="BX381" i="14"/>
  <c r="BX385" i="14"/>
  <c r="BX145" i="14"/>
  <c r="BX149" i="14"/>
  <c r="BX153" i="14"/>
  <c r="BX157" i="14"/>
  <c r="BX161" i="14"/>
  <c r="BX165" i="14"/>
  <c r="BX169" i="14"/>
  <c r="BX174" i="14"/>
  <c r="BX178" i="14"/>
  <c r="BX182" i="14"/>
  <c r="BX186" i="14"/>
  <c r="BX190" i="14"/>
  <c r="BX194" i="14"/>
  <c r="BX198" i="14"/>
  <c r="BX205" i="14"/>
  <c r="BX209" i="14"/>
  <c r="BX213" i="14"/>
  <c r="BX217" i="14"/>
  <c r="BX221" i="14"/>
  <c r="BX225" i="14"/>
  <c r="BX229" i="14"/>
  <c r="BX235" i="14"/>
  <c r="BX239" i="14"/>
  <c r="BX243" i="14"/>
  <c r="BX247" i="14"/>
  <c r="BX251" i="14"/>
  <c r="BX255" i="14"/>
  <c r="BX259" i="14"/>
  <c r="BX266" i="14"/>
  <c r="BX270" i="14"/>
  <c r="BX274" i="14"/>
  <c r="BX278" i="14"/>
  <c r="BX282" i="14"/>
  <c r="BX286" i="14"/>
  <c r="BX290" i="14"/>
  <c r="BX296" i="14"/>
  <c r="BX300" i="14"/>
  <c r="BX304" i="14"/>
  <c r="BX308" i="14"/>
  <c r="BX312" i="14"/>
  <c r="BX316" i="14"/>
  <c r="BX320" i="14"/>
  <c r="BX327" i="14"/>
  <c r="BX331" i="14"/>
  <c r="BX335" i="14"/>
  <c r="BX339" i="14"/>
  <c r="BX343" i="14"/>
  <c r="BX347" i="14"/>
  <c r="BX351" i="14"/>
  <c r="BX358" i="14"/>
  <c r="BX362" i="14"/>
  <c r="BX366" i="14"/>
  <c r="BX370" i="14"/>
  <c r="BX374" i="14"/>
  <c r="BX378" i="14"/>
  <c r="BX382" i="14"/>
  <c r="BX154" i="14"/>
  <c r="BX170" i="14"/>
  <c r="BX187" i="14"/>
  <c r="BX206" i="14"/>
  <c r="BX222" i="14"/>
  <c r="BX240" i="14"/>
  <c r="BX256" i="14"/>
  <c r="BX275" i="14"/>
  <c r="BX291" i="14"/>
  <c r="BX309" i="14"/>
  <c r="BX328" i="14"/>
  <c r="BX344" i="14"/>
  <c r="BX363" i="14"/>
  <c r="BX379" i="14"/>
  <c r="BX158" i="14"/>
  <c r="BX175" i="14"/>
  <c r="BX191" i="14"/>
  <c r="BX210" i="14"/>
  <c r="BX226" i="14"/>
  <c r="BX244" i="14"/>
  <c r="BX260" i="14"/>
  <c r="BX279" i="14"/>
  <c r="BX297" i="14"/>
  <c r="BX313" i="14"/>
  <c r="BX332" i="14"/>
  <c r="BX348" i="14"/>
  <c r="BX367" i="14"/>
  <c r="BX383" i="14"/>
  <c r="BX146" i="14"/>
  <c r="BX162" i="14"/>
  <c r="BX179" i="14"/>
  <c r="BX195" i="14"/>
  <c r="BX214" i="14"/>
  <c r="BX230" i="14"/>
  <c r="BX248" i="14"/>
  <c r="BX267" i="14"/>
  <c r="BX283" i="14"/>
  <c r="BX301" i="14"/>
  <c r="BX317" i="14"/>
  <c r="BX336" i="14"/>
  <c r="BX352" i="14"/>
  <c r="BX371" i="14"/>
  <c r="BX166" i="14"/>
  <c r="BX236" i="14"/>
  <c r="BX305" i="14"/>
  <c r="BX375" i="14"/>
  <c r="BX183" i="14"/>
  <c r="BX252" i="14"/>
  <c r="BX321" i="14"/>
  <c r="BX199" i="14"/>
  <c r="BX271" i="14"/>
  <c r="BX340" i="14"/>
  <c r="BX218" i="14"/>
  <c r="BX173" i="14"/>
  <c r="BX264" i="14"/>
  <c r="BX324" i="14"/>
  <c r="BX356" i="14"/>
  <c r="BX388" i="14"/>
  <c r="BX392" i="14"/>
  <c r="BX396" i="14"/>
  <c r="BX400" i="14"/>
  <c r="BX404" i="14"/>
  <c r="BX408" i="14"/>
  <c r="BX412" i="14"/>
  <c r="BX416" i="14"/>
  <c r="BX420" i="14"/>
  <c r="BX424" i="14"/>
  <c r="BX428" i="14"/>
  <c r="BX432" i="14"/>
  <c r="BX436" i="14"/>
  <c r="BX440" i="14"/>
  <c r="BX444" i="14"/>
  <c r="BX448" i="14"/>
  <c r="BX452" i="14"/>
  <c r="BX456" i="14"/>
  <c r="BX460" i="14"/>
  <c r="BX464" i="14"/>
  <c r="BX468" i="14"/>
  <c r="BX472" i="14"/>
  <c r="BX476" i="14"/>
  <c r="BX287" i="14"/>
  <c r="BX202" i="14"/>
  <c r="BX233" i="14"/>
  <c r="BX265" i="14"/>
  <c r="BX325" i="14"/>
  <c r="BX357" i="14"/>
  <c r="BX389" i="14"/>
  <c r="BX393" i="14"/>
  <c r="BX397" i="14"/>
  <c r="BX401" i="14"/>
  <c r="BX405" i="14"/>
  <c r="BX409" i="14"/>
  <c r="BX413" i="14"/>
  <c r="BX417" i="14"/>
  <c r="BX421" i="14"/>
  <c r="BX425" i="14"/>
  <c r="BX429" i="14"/>
  <c r="BX433" i="14"/>
  <c r="BX437" i="14"/>
  <c r="BX441" i="14"/>
  <c r="BX445" i="14"/>
  <c r="BX449" i="14"/>
  <c r="BX453" i="14"/>
  <c r="BX457" i="14"/>
  <c r="BX461" i="14"/>
  <c r="BX465" i="14"/>
  <c r="BX469" i="14"/>
  <c r="BX473" i="14"/>
  <c r="BX477" i="14"/>
  <c r="BX359" i="14"/>
  <c r="BX203" i="14"/>
  <c r="BX234" i="14"/>
  <c r="BX294" i="14"/>
  <c r="BX326" i="14"/>
  <c r="BX386" i="14"/>
  <c r="BX390" i="14"/>
  <c r="BX394" i="14"/>
  <c r="BX398" i="14"/>
  <c r="BX402" i="14"/>
  <c r="BX406" i="14"/>
  <c r="BX410" i="14"/>
  <c r="BX414" i="14"/>
  <c r="BX418" i="14"/>
  <c r="BX422" i="14"/>
  <c r="BX426" i="14"/>
  <c r="BX430" i="14"/>
  <c r="BX434" i="14"/>
  <c r="BX438" i="14"/>
  <c r="BX442" i="14"/>
  <c r="BX446" i="14"/>
  <c r="BX450" i="14"/>
  <c r="BX454" i="14"/>
  <c r="BX458" i="14"/>
  <c r="BX462" i="14"/>
  <c r="BX466" i="14"/>
  <c r="BX470" i="14"/>
  <c r="BX474" i="14"/>
  <c r="BX478" i="14"/>
  <c r="BX150" i="14"/>
  <c r="BX204" i="14"/>
  <c r="BX387" i="14"/>
  <c r="BX403" i="14"/>
  <c r="BX419" i="14"/>
  <c r="BX435" i="14"/>
  <c r="BX451" i="14"/>
  <c r="BX467" i="14"/>
  <c r="BX114" i="14"/>
  <c r="BX119" i="14"/>
  <c r="BX123" i="14"/>
  <c r="BX128" i="14"/>
  <c r="BX133" i="14"/>
  <c r="BX137" i="14"/>
  <c r="BX142" i="14"/>
  <c r="BX263" i="14"/>
  <c r="BX423" i="14"/>
  <c r="BX455" i="14"/>
  <c r="BX124" i="14"/>
  <c r="BX134" i="14"/>
  <c r="BX295" i="14"/>
  <c r="BX395" i="14"/>
  <c r="BX411" i="14"/>
  <c r="BX427" i="14"/>
  <c r="BX443" i="14"/>
  <c r="BX459" i="14"/>
  <c r="BX475" i="14"/>
  <c r="BX116" i="14"/>
  <c r="BX121" i="14"/>
  <c r="BX125" i="14"/>
  <c r="BX130" i="14"/>
  <c r="BX135" i="14"/>
  <c r="BX140" i="14"/>
  <c r="BX391" i="14"/>
  <c r="BX407" i="14"/>
  <c r="BX439" i="14"/>
  <c r="BX471" i="14"/>
  <c r="BX115" i="14"/>
  <c r="BX120" i="14"/>
  <c r="BX129" i="14"/>
  <c r="BX139" i="14"/>
  <c r="BX143" i="14"/>
  <c r="BX355" i="14"/>
  <c r="BX399" i="14"/>
  <c r="BX415" i="14"/>
  <c r="BX431" i="14"/>
  <c r="BX447" i="14"/>
  <c r="BX463" i="14"/>
  <c r="BX118" i="14"/>
  <c r="BX122" i="14"/>
  <c r="BX127" i="14"/>
  <c r="BX131" i="14"/>
  <c r="BX136" i="14"/>
  <c r="BX141" i="14"/>
  <c r="O39" i="29"/>
  <c r="R39" i="29" s="1"/>
  <c r="BZ117" i="14"/>
  <c r="BZ144" i="14"/>
  <c r="BZ132" i="14"/>
  <c r="BZ138" i="14"/>
  <c r="BZ126" i="14"/>
  <c r="BZ479" i="14"/>
  <c r="BZ147" i="14"/>
  <c r="BZ151" i="14"/>
  <c r="BZ155" i="14"/>
  <c r="BZ159" i="14"/>
  <c r="BZ163" i="14"/>
  <c r="BZ167" i="14"/>
  <c r="BZ171" i="14"/>
  <c r="BZ176" i="14"/>
  <c r="BZ180" i="14"/>
  <c r="BZ184" i="14"/>
  <c r="BZ188" i="14"/>
  <c r="BZ192" i="14"/>
  <c r="BZ196" i="14"/>
  <c r="BZ200" i="14"/>
  <c r="BZ207" i="14"/>
  <c r="BZ211" i="14"/>
  <c r="BZ215" i="14"/>
  <c r="BZ219" i="14"/>
  <c r="BZ223" i="14"/>
  <c r="BZ227" i="14"/>
  <c r="BZ231" i="14"/>
  <c r="BZ237" i="14"/>
  <c r="BZ241" i="14"/>
  <c r="BZ245" i="14"/>
  <c r="BZ249" i="14"/>
  <c r="BZ253" i="14"/>
  <c r="BZ257" i="14"/>
  <c r="BZ261" i="14"/>
  <c r="BZ268" i="14"/>
  <c r="BZ272" i="14"/>
  <c r="BZ276" i="14"/>
  <c r="BZ280" i="14"/>
  <c r="BZ284" i="14"/>
  <c r="BZ288" i="14"/>
  <c r="BZ292" i="14"/>
  <c r="BZ298" i="14"/>
  <c r="BZ302" i="14"/>
  <c r="BZ306" i="14"/>
  <c r="BZ310" i="14"/>
  <c r="BZ314" i="14"/>
  <c r="BZ318" i="14"/>
  <c r="BZ322" i="14"/>
  <c r="BZ329" i="14"/>
  <c r="BZ333" i="14"/>
  <c r="BZ337" i="14"/>
  <c r="BZ341" i="14"/>
  <c r="BZ345" i="14"/>
  <c r="BZ349" i="14"/>
  <c r="BZ353" i="14"/>
  <c r="BZ360" i="14"/>
  <c r="BZ364" i="14"/>
  <c r="BZ368" i="14"/>
  <c r="BZ372" i="14"/>
  <c r="BZ376" i="14"/>
  <c r="BZ380" i="14"/>
  <c r="BZ384" i="14"/>
  <c r="BZ148" i="14"/>
  <c r="BZ152" i="14"/>
  <c r="BZ156" i="14"/>
  <c r="BZ160" i="14"/>
  <c r="BZ164" i="14"/>
  <c r="BZ168" i="14"/>
  <c r="BZ172" i="14"/>
  <c r="BZ177" i="14"/>
  <c r="BZ181" i="14"/>
  <c r="BZ185" i="14"/>
  <c r="BZ189" i="14"/>
  <c r="BZ193" i="14"/>
  <c r="BZ197" i="14"/>
  <c r="BZ201" i="14"/>
  <c r="BZ208" i="14"/>
  <c r="BZ212" i="14"/>
  <c r="BZ216" i="14"/>
  <c r="BZ220" i="14"/>
  <c r="BZ224" i="14"/>
  <c r="BZ228" i="14"/>
  <c r="BZ232" i="14"/>
  <c r="BZ238" i="14"/>
  <c r="BZ242" i="14"/>
  <c r="BZ246" i="14"/>
  <c r="BZ250" i="14"/>
  <c r="BZ254" i="14"/>
  <c r="BZ258" i="14"/>
  <c r="BZ262" i="14"/>
  <c r="BZ269" i="14"/>
  <c r="BZ273" i="14"/>
  <c r="BZ277" i="14"/>
  <c r="BZ281" i="14"/>
  <c r="BZ285" i="14"/>
  <c r="BZ289" i="14"/>
  <c r="BZ293" i="14"/>
  <c r="BZ299" i="14"/>
  <c r="BZ303" i="14"/>
  <c r="BZ307" i="14"/>
  <c r="BZ311" i="14"/>
  <c r="BZ315" i="14"/>
  <c r="BZ319" i="14"/>
  <c r="BZ323" i="14"/>
  <c r="BZ330" i="14"/>
  <c r="BZ334" i="14"/>
  <c r="BZ338" i="14"/>
  <c r="BZ342" i="14"/>
  <c r="BZ346" i="14"/>
  <c r="BZ350" i="14"/>
  <c r="BZ354" i="14"/>
  <c r="BZ361" i="14"/>
  <c r="BZ365" i="14"/>
  <c r="BZ369" i="14"/>
  <c r="BZ373" i="14"/>
  <c r="BZ377" i="14"/>
  <c r="BZ381" i="14"/>
  <c r="BZ385" i="14"/>
  <c r="BZ145" i="14"/>
  <c r="BZ149" i="14"/>
  <c r="BZ153" i="14"/>
  <c r="BZ157" i="14"/>
  <c r="BZ161" i="14"/>
  <c r="BZ165" i="14"/>
  <c r="BZ169" i="14"/>
  <c r="BZ174" i="14"/>
  <c r="BZ178" i="14"/>
  <c r="BZ182" i="14"/>
  <c r="BZ186" i="14"/>
  <c r="BZ190" i="14"/>
  <c r="BZ194" i="14"/>
  <c r="BZ198" i="14"/>
  <c r="BZ205" i="14"/>
  <c r="BZ209" i="14"/>
  <c r="BZ213" i="14"/>
  <c r="BZ217" i="14"/>
  <c r="BZ221" i="14"/>
  <c r="BZ225" i="14"/>
  <c r="BZ229" i="14"/>
  <c r="BZ235" i="14"/>
  <c r="BZ239" i="14"/>
  <c r="BZ243" i="14"/>
  <c r="BZ247" i="14"/>
  <c r="BZ251" i="14"/>
  <c r="BZ255" i="14"/>
  <c r="BZ259" i="14"/>
  <c r="BZ266" i="14"/>
  <c r="BZ270" i="14"/>
  <c r="BZ274" i="14"/>
  <c r="BZ278" i="14"/>
  <c r="BZ282" i="14"/>
  <c r="BZ286" i="14"/>
  <c r="BZ290" i="14"/>
  <c r="BZ296" i="14"/>
  <c r="BZ300" i="14"/>
  <c r="BZ304" i="14"/>
  <c r="BZ308" i="14"/>
  <c r="BZ312" i="14"/>
  <c r="BZ316" i="14"/>
  <c r="BZ320" i="14"/>
  <c r="BZ327" i="14"/>
  <c r="BZ331" i="14"/>
  <c r="BZ335" i="14"/>
  <c r="BZ339" i="14"/>
  <c r="BZ343" i="14"/>
  <c r="BZ347" i="14"/>
  <c r="BZ351" i="14"/>
  <c r="BZ358" i="14"/>
  <c r="BZ362" i="14"/>
  <c r="BZ366" i="14"/>
  <c r="BZ370" i="14"/>
  <c r="BZ374" i="14"/>
  <c r="BZ378" i="14"/>
  <c r="BZ382" i="14"/>
  <c r="BZ154" i="14"/>
  <c r="BZ170" i="14"/>
  <c r="BZ187" i="14"/>
  <c r="BZ206" i="14"/>
  <c r="BZ222" i="14"/>
  <c r="BZ240" i="14"/>
  <c r="BZ256" i="14"/>
  <c r="BZ275" i="14"/>
  <c r="BZ291" i="14"/>
  <c r="BZ309" i="14"/>
  <c r="BZ328" i="14"/>
  <c r="BZ344" i="14"/>
  <c r="BZ363" i="14"/>
  <c r="BZ379" i="14"/>
  <c r="BZ158" i="14"/>
  <c r="BZ175" i="14"/>
  <c r="BZ191" i="14"/>
  <c r="BZ210" i="14"/>
  <c r="BZ226" i="14"/>
  <c r="BZ244" i="14"/>
  <c r="BZ260" i="14"/>
  <c r="BZ279" i="14"/>
  <c r="BZ297" i="14"/>
  <c r="BZ313" i="14"/>
  <c r="BZ332" i="14"/>
  <c r="BZ348" i="14"/>
  <c r="BZ367" i="14"/>
  <c r="BZ383" i="14"/>
  <c r="BZ146" i="14"/>
  <c r="BZ162" i="14"/>
  <c r="BZ179" i="14"/>
  <c r="BZ195" i="14"/>
  <c r="BZ214" i="14"/>
  <c r="BZ230" i="14"/>
  <c r="BZ248" i="14"/>
  <c r="BZ267" i="14"/>
  <c r="BZ283" i="14"/>
  <c r="BZ301" i="14"/>
  <c r="BZ317" i="14"/>
  <c r="BZ336" i="14"/>
  <c r="BZ352" i="14"/>
  <c r="BZ371" i="14"/>
  <c r="BZ166" i="14"/>
  <c r="BZ236" i="14"/>
  <c r="BZ305" i="14"/>
  <c r="BZ375" i="14"/>
  <c r="BZ183" i="14"/>
  <c r="BZ252" i="14"/>
  <c r="BZ321" i="14"/>
  <c r="BZ199" i="14"/>
  <c r="BZ271" i="14"/>
  <c r="BZ340" i="14"/>
  <c r="BZ287" i="14"/>
  <c r="BZ173" i="14"/>
  <c r="BZ264" i="14"/>
  <c r="BZ324" i="14"/>
  <c r="BZ356" i="14"/>
  <c r="BZ388" i="14"/>
  <c r="BZ392" i="14"/>
  <c r="BZ396" i="14"/>
  <c r="BZ400" i="14"/>
  <c r="BZ404" i="14"/>
  <c r="BZ408" i="14"/>
  <c r="BZ412" i="14"/>
  <c r="BZ416" i="14"/>
  <c r="BZ420" i="14"/>
  <c r="BZ424" i="14"/>
  <c r="BZ428" i="14"/>
  <c r="BZ432" i="14"/>
  <c r="BZ436" i="14"/>
  <c r="BZ440" i="14"/>
  <c r="BZ444" i="14"/>
  <c r="BZ448" i="14"/>
  <c r="BZ452" i="14"/>
  <c r="BZ456" i="14"/>
  <c r="BZ460" i="14"/>
  <c r="BZ464" i="14"/>
  <c r="BZ468" i="14"/>
  <c r="BZ472" i="14"/>
  <c r="BZ476" i="14"/>
  <c r="BZ359" i="14"/>
  <c r="BZ202" i="14"/>
  <c r="BZ233" i="14"/>
  <c r="BZ265" i="14"/>
  <c r="BZ325" i="14"/>
  <c r="BZ357" i="14"/>
  <c r="BZ389" i="14"/>
  <c r="BZ393" i="14"/>
  <c r="BZ397" i="14"/>
  <c r="BZ401" i="14"/>
  <c r="BZ405" i="14"/>
  <c r="BZ409" i="14"/>
  <c r="BZ413" i="14"/>
  <c r="BZ417" i="14"/>
  <c r="BZ421" i="14"/>
  <c r="BZ425" i="14"/>
  <c r="BZ429" i="14"/>
  <c r="BZ433" i="14"/>
  <c r="BZ437" i="14"/>
  <c r="BZ441" i="14"/>
  <c r="BZ445" i="14"/>
  <c r="BZ449" i="14"/>
  <c r="BZ453" i="14"/>
  <c r="BZ457" i="14"/>
  <c r="BZ461" i="14"/>
  <c r="BZ465" i="14"/>
  <c r="BZ469" i="14"/>
  <c r="BZ473" i="14"/>
  <c r="BZ477" i="14"/>
  <c r="BZ150" i="14"/>
  <c r="BZ203" i="14"/>
  <c r="BZ234" i="14"/>
  <c r="BZ294" i="14"/>
  <c r="BZ326" i="14"/>
  <c r="BZ386" i="14"/>
  <c r="BZ390" i="14"/>
  <c r="BZ394" i="14"/>
  <c r="BZ398" i="14"/>
  <c r="BZ402" i="14"/>
  <c r="BZ406" i="14"/>
  <c r="BZ410" i="14"/>
  <c r="BZ414" i="14"/>
  <c r="BZ418" i="14"/>
  <c r="BZ422" i="14"/>
  <c r="BZ426" i="14"/>
  <c r="BZ430" i="14"/>
  <c r="BZ434" i="14"/>
  <c r="BZ438" i="14"/>
  <c r="BZ442" i="14"/>
  <c r="BZ446" i="14"/>
  <c r="BZ450" i="14"/>
  <c r="BZ454" i="14"/>
  <c r="BZ458" i="14"/>
  <c r="BZ462" i="14"/>
  <c r="BZ466" i="14"/>
  <c r="BZ470" i="14"/>
  <c r="BZ474" i="14"/>
  <c r="BZ478" i="14"/>
  <c r="BZ263" i="14"/>
  <c r="BZ391" i="14"/>
  <c r="BZ407" i="14"/>
  <c r="BZ423" i="14"/>
  <c r="BZ439" i="14"/>
  <c r="BZ455" i="14"/>
  <c r="BZ471" i="14"/>
  <c r="BZ114" i="14"/>
  <c r="BZ119" i="14"/>
  <c r="BZ123" i="14"/>
  <c r="BZ128" i="14"/>
  <c r="BZ133" i="14"/>
  <c r="BZ137" i="14"/>
  <c r="BZ142" i="14"/>
  <c r="BZ295" i="14"/>
  <c r="BZ427" i="14"/>
  <c r="BZ459" i="14"/>
  <c r="BZ124" i="14"/>
  <c r="BZ134" i="14"/>
  <c r="BZ218" i="14"/>
  <c r="BZ355" i="14"/>
  <c r="BZ399" i="14"/>
  <c r="BZ415" i="14"/>
  <c r="BZ431" i="14"/>
  <c r="BZ447" i="14"/>
  <c r="BZ463" i="14"/>
  <c r="BZ116" i="14"/>
  <c r="BZ121" i="14"/>
  <c r="BZ125" i="14"/>
  <c r="BZ130" i="14"/>
  <c r="BZ135" i="14"/>
  <c r="BZ140" i="14"/>
  <c r="BZ395" i="14"/>
  <c r="BZ411" i="14"/>
  <c r="BZ443" i="14"/>
  <c r="BZ475" i="14"/>
  <c r="BZ115" i="14"/>
  <c r="BZ120" i="14"/>
  <c r="BZ129" i="14"/>
  <c r="BZ139" i="14"/>
  <c r="BZ143" i="14"/>
  <c r="BZ204" i="14"/>
  <c r="BZ387" i="14"/>
  <c r="BZ403" i="14"/>
  <c r="BZ419" i="14"/>
  <c r="BZ435" i="14"/>
  <c r="BZ451" i="14"/>
  <c r="BZ467" i="14"/>
  <c r="BZ118" i="14"/>
  <c r="BZ122" i="14"/>
  <c r="BZ127" i="14"/>
  <c r="BZ131" i="14"/>
  <c r="BZ136" i="14"/>
  <c r="BZ141" i="14"/>
  <c r="CG122" i="14"/>
  <c r="CF122" i="14"/>
  <c r="CG211" i="14"/>
  <c r="CF211" i="14"/>
  <c r="BG73" i="14"/>
  <c r="BG74" i="14"/>
  <c r="BG77" i="14"/>
  <c r="BG76" i="14"/>
  <c r="BG79" i="14"/>
  <c r="BG80" i="14" s="1"/>
  <c r="BG78" i="14"/>
  <c r="BG75" i="14"/>
  <c r="AA20" i="2"/>
  <c r="E20" i="2" s="1"/>
  <c r="G126" i="14" s="1"/>
  <c r="R44" i="29"/>
  <c r="T98" i="29"/>
  <c r="M161" i="29"/>
  <c r="P145" i="29"/>
  <c r="V30" i="22"/>
  <c r="S29" i="22"/>
  <c r="X29" i="22" s="1"/>
  <c r="E29" i="22"/>
  <c r="R29" i="22"/>
  <c r="AR287" i="14" s="1"/>
  <c r="U29" i="22"/>
  <c r="Z29" i="22" s="1"/>
  <c r="T29" i="22"/>
  <c r="Y29" i="22" s="1"/>
  <c r="CG124" i="14"/>
  <c r="CF124" i="14"/>
  <c r="G148" i="26"/>
  <c r="H148" i="26" s="1"/>
  <c r="I148" i="26" s="1"/>
  <c r="D148" i="26" s="1"/>
  <c r="G147" i="26"/>
  <c r="H147" i="26" s="1"/>
  <c r="I147" i="26" s="1"/>
  <c r="D147" i="26" s="1"/>
  <c r="G146" i="26"/>
  <c r="H146" i="26" s="1"/>
  <c r="I146" i="26" s="1"/>
  <c r="D146" i="26" s="1"/>
  <c r="AH302" i="1"/>
  <c r="O158" i="29"/>
  <c r="O159" i="29"/>
  <c r="O157" i="29"/>
  <c r="O160" i="29"/>
  <c r="V22" i="21"/>
  <c r="D21" i="21"/>
  <c r="C21" i="21" s="1"/>
  <c r="S21" i="21"/>
  <c r="X21" i="21" s="1"/>
  <c r="U21" i="21"/>
  <c r="Z21" i="21" s="1"/>
  <c r="E21" i="21"/>
  <c r="G248" i="14" s="1"/>
  <c r="T21" i="21"/>
  <c r="Y21" i="21" s="1"/>
  <c r="R21" i="21"/>
  <c r="AR248" i="14" s="1"/>
  <c r="V21" i="19"/>
  <c r="D20" i="19"/>
  <c r="C20" i="19" s="1"/>
  <c r="T20" i="19"/>
  <c r="Y20" i="19" s="1"/>
  <c r="U20" i="19"/>
  <c r="Z20" i="19" s="1"/>
  <c r="S20" i="19"/>
  <c r="X20" i="19" s="1"/>
  <c r="R20" i="19"/>
  <c r="AR186" i="14" s="1"/>
  <c r="K31" i="29"/>
  <c r="N31" i="29" s="1"/>
  <c r="G31" i="29"/>
  <c r="J31" i="29" s="1"/>
  <c r="G23" i="29"/>
  <c r="J23" i="29" s="1"/>
  <c r="G43" i="29"/>
  <c r="J43" i="29" s="1"/>
  <c r="C35" i="29"/>
  <c r="F35" i="29" s="1"/>
  <c r="CG210" i="14"/>
  <c r="CF210" i="14"/>
  <c r="Q143" i="29"/>
  <c r="I78" i="28"/>
  <c r="I77" i="28" s="1"/>
  <c r="V21" i="26"/>
  <c r="D20" i="26"/>
  <c r="C20" i="26" s="1"/>
  <c r="R20" i="26"/>
  <c r="AR400" i="14" s="1"/>
  <c r="T20" i="26"/>
  <c r="Y20" i="26" s="1"/>
  <c r="U20" i="26"/>
  <c r="Z20" i="26" s="1"/>
  <c r="S20" i="26"/>
  <c r="X20" i="26" s="1"/>
  <c r="G39" i="29"/>
  <c r="J39" i="29" s="1"/>
  <c r="CG272" i="14"/>
  <c r="CF272" i="14"/>
  <c r="BD138" i="14"/>
  <c r="BD126" i="14"/>
  <c r="BD479" i="14"/>
  <c r="BD144" i="14"/>
  <c r="BD132" i="14"/>
  <c r="BD117" i="14"/>
  <c r="BD145" i="14"/>
  <c r="BD149" i="14"/>
  <c r="BD153" i="14"/>
  <c r="BD157" i="14"/>
  <c r="BD161" i="14"/>
  <c r="BD165" i="14"/>
  <c r="BD169" i="14"/>
  <c r="BD174" i="14"/>
  <c r="BD178" i="14"/>
  <c r="BD182" i="14"/>
  <c r="BD186" i="14"/>
  <c r="BD190" i="14"/>
  <c r="BD194" i="14"/>
  <c r="BD198" i="14"/>
  <c r="BD205" i="14"/>
  <c r="BD209" i="14"/>
  <c r="BD213" i="14"/>
  <c r="BD217" i="14"/>
  <c r="BD221" i="14"/>
  <c r="BD225" i="14"/>
  <c r="BD229" i="14"/>
  <c r="BD235" i="14"/>
  <c r="BD239" i="14"/>
  <c r="BD243" i="14"/>
  <c r="BD247" i="14"/>
  <c r="BD251" i="14"/>
  <c r="BD255" i="14"/>
  <c r="BD259" i="14"/>
  <c r="BD266" i="14"/>
  <c r="BD270" i="14"/>
  <c r="BD274" i="14"/>
  <c r="BD278" i="14"/>
  <c r="BD282" i="14"/>
  <c r="BD286" i="14"/>
  <c r="BD290" i="14"/>
  <c r="BD296" i="14"/>
  <c r="BD300" i="14"/>
  <c r="BD304" i="14"/>
  <c r="BD308" i="14"/>
  <c r="BD312" i="14"/>
  <c r="BD316" i="14"/>
  <c r="BD320" i="14"/>
  <c r="BD327" i="14"/>
  <c r="BD331" i="14"/>
  <c r="BD335" i="14"/>
  <c r="BD339" i="14"/>
  <c r="BD343" i="14"/>
  <c r="BD347" i="14"/>
  <c r="BD351" i="14"/>
  <c r="BD358" i="14"/>
  <c r="BD362" i="14"/>
  <c r="BD366" i="14"/>
  <c r="BD370" i="14"/>
  <c r="BD374" i="14"/>
  <c r="BD378" i="14"/>
  <c r="BD382" i="14"/>
  <c r="BD146" i="14"/>
  <c r="BD150" i="14"/>
  <c r="BD154" i="14"/>
  <c r="BD158" i="14"/>
  <c r="BD162" i="14"/>
  <c r="BD166" i="14"/>
  <c r="BD170" i="14"/>
  <c r="BD175" i="14"/>
  <c r="BD179" i="14"/>
  <c r="BD183" i="14"/>
  <c r="BD187" i="14"/>
  <c r="BD191" i="14"/>
  <c r="BD195" i="14"/>
  <c r="BD199" i="14"/>
  <c r="BD206" i="14"/>
  <c r="BD210" i="14"/>
  <c r="BD214" i="14"/>
  <c r="BD218" i="14"/>
  <c r="BD222" i="14"/>
  <c r="BD226" i="14"/>
  <c r="BD230" i="14"/>
  <c r="BD236" i="14"/>
  <c r="BD240" i="14"/>
  <c r="BD244" i="14"/>
  <c r="BD248" i="14"/>
  <c r="BD252" i="14"/>
  <c r="BD256" i="14"/>
  <c r="BD260" i="14"/>
  <c r="BD267" i="14"/>
  <c r="BD271" i="14"/>
  <c r="BD275" i="14"/>
  <c r="BD279" i="14"/>
  <c r="BD283" i="14"/>
  <c r="BD287" i="14"/>
  <c r="BD291" i="14"/>
  <c r="BD297" i="14"/>
  <c r="BD301" i="14"/>
  <c r="BD305" i="14"/>
  <c r="BD309" i="14"/>
  <c r="BD313" i="14"/>
  <c r="BD317" i="14"/>
  <c r="BD321" i="14"/>
  <c r="BD328" i="14"/>
  <c r="BD332" i="14"/>
  <c r="BD336" i="14"/>
  <c r="BD340" i="14"/>
  <c r="BD344" i="14"/>
  <c r="BD348" i="14"/>
  <c r="BD352" i="14"/>
  <c r="BD359" i="14"/>
  <c r="BD363" i="14"/>
  <c r="BD367" i="14"/>
  <c r="BD371" i="14"/>
  <c r="BD375" i="14"/>
  <c r="BD379" i="14"/>
  <c r="BD383" i="14"/>
  <c r="BD147" i="14"/>
  <c r="BD151" i="14"/>
  <c r="BD155" i="14"/>
  <c r="BD159" i="14"/>
  <c r="BD163" i="14"/>
  <c r="BD167" i="14"/>
  <c r="BD171" i="14"/>
  <c r="BD176" i="14"/>
  <c r="BD180" i="14"/>
  <c r="BD184" i="14"/>
  <c r="BD188" i="14"/>
  <c r="BD192" i="14"/>
  <c r="BD196" i="14"/>
  <c r="BD200" i="14"/>
  <c r="BD207" i="14"/>
  <c r="BD211" i="14"/>
  <c r="BD215" i="14"/>
  <c r="BD219" i="14"/>
  <c r="BD223" i="14"/>
  <c r="BD227" i="14"/>
  <c r="BD231" i="14"/>
  <c r="BD237" i="14"/>
  <c r="BD241" i="14"/>
  <c r="BD245" i="14"/>
  <c r="BD249" i="14"/>
  <c r="BD253" i="14"/>
  <c r="BD257" i="14"/>
  <c r="BD261" i="14"/>
  <c r="BD268" i="14"/>
  <c r="BD272" i="14"/>
  <c r="BD276" i="14"/>
  <c r="BD280" i="14"/>
  <c r="BD284" i="14"/>
  <c r="BD288" i="14"/>
  <c r="BD292" i="14"/>
  <c r="BD298" i="14"/>
  <c r="BD302" i="14"/>
  <c r="BD306" i="14"/>
  <c r="BD310" i="14"/>
  <c r="BD314" i="14"/>
  <c r="BD318" i="14"/>
  <c r="BD322" i="14"/>
  <c r="BD329" i="14"/>
  <c r="BD333" i="14"/>
  <c r="BD337" i="14"/>
  <c r="BD341" i="14"/>
  <c r="BD345" i="14"/>
  <c r="BD349" i="14"/>
  <c r="BD353" i="14"/>
  <c r="BD360" i="14"/>
  <c r="BD364" i="14"/>
  <c r="BD368" i="14"/>
  <c r="BD372" i="14"/>
  <c r="BD376" i="14"/>
  <c r="BD380" i="14"/>
  <c r="BD384" i="14"/>
  <c r="BD148" i="14"/>
  <c r="BD164" i="14"/>
  <c r="BD181" i="14"/>
  <c r="BD197" i="14"/>
  <c r="BD216" i="14"/>
  <c r="BD232" i="14"/>
  <c r="BD250" i="14"/>
  <c r="BD269" i="14"/>
  <c r="BD285" i="14"/>
  <c r="BD303" i="14"/>
  <c r="BD319" i="14"/>
  <c r="BD338" i="14"/>
  <c r="BD354" i="14"/>
  <c r="BD373" i="14"/>
  <c r="BD152" i="14"/>
  <c r="BD168" i="14"/>
  <c r="BD185" i="14"/>
  <c r="BD201" i="14"/>
  <c r="BD220" i="14"/>
  <c r="BD238" i="14"/>
  <c r="BD254" i="14"/>
  <c r="BD273" i="14"/>
  <c r="BD289" i="14"/>
  <c r="BD307" i="14"/>
  <c r="BD323" i="14"/>
  <c r="BD342" i="14"/>
  <c r="BD361" i="14"/>
  <c r="BD377" i="14"/>
  <c r="BD156" i="14"/>
  <c r="BD172" i="14"/>
  <c r="BD189" i="14"/>
  <c r="BD208" i="14"/>
  <c r="BD224" i="14"/>
  <c r="BD242" i="14"/>
  <c r="BD258" i="14"/>
  <c r="BD277" i="14"/>
  <c r="BD293" i="14"/>
  <c r="BD311" i="14"/>
  <c r="BD330" i="14"/>
  <c r="BD346" i="14"/>
  <c r="BD365" i="14"/>
  <c r="BD381" i="14"/>
  <c r="BD160" i="14"/>
  <c r="BD228" i="14"/>
  <c r="BD299" i="14"/>
  <c r="BD369" i="14"/>
  <c r="BD177" i="14"/>
  <c r="BD246" i="14"/>
  <c r="BD315" i="14"/>
  <c r="BD385" i="14"/>
  <c r="BD193" i="14"/>
  <c r="BD262" i="14"/>
  <c r="BD334" i="14"/>
  <c r="BD281" i="14"/>
  <c r="BD350" i="14"/>
  <c r="BD212" i="14"/>
  <c r="BD173" i="14"/>
  <c r="BD264" i="14"/>
  <c r="BD324" i="14"/>
  <c r="BD356" i="14"/>
  <c r="BD388" i="14"/>
  <c r="BD392" i="14"/>
  <c r="BD396" i="14"/>
  <c r="BD400" i="14"/>
  <c r="BD404" i="14"/>
  <c r="BD408" i="14"/>
  <c r="BD412" i="14"/>
  <c r="BD416" i="14"/>
  <c r="BD420" i="14"/>
  <c r="BD424" i="14"/>
  <c r="BD428" i="14"/>
  <c r="BD432" i="14"/>
  <c r="BD436" i="14"/>
  <c r="BD440" i="14"/>
  <c r="BD444" i="14"/>
  <c r="BD448" i="14"/>
  <c r="BD452" i="14"/>
  <c r="BD456" i="14"/>
  <c r="BD460" i="14"/>
  <c r="BD464" i="14"/>
  <c r="BD468" i="14"/>
  <c r="BD472" i="14"/>
  <c r="BD476" i="14"/>
  <c r="BD202" i="14"/>
  <c r="BD233" i="14"/>
  <c r="BD265" i="14"/>
  <c r="BD325" i="14"/>
  <c r="BD357" i="14"/>
  <c r="BD389" i="14"/>
  <c r="BD393" i="14"/>
  <c r="BD397" i="14"/>
  <c r="BD401" i="14"/>
  <c r="BD405" i="14"/>
  <c r="BD409" i="14"/>
  <c r="BD413" i="14"/>
  <c r="BD417" i="14"/>
  <c r="BD421" i="14"/>
  <c r="BD425" i="14"/>
  <c r="BD429" i="14"/>
  <c r="BD433" i="14"/>
  <c r="BD437" i="14"/>
  <c r="BD441" i="14"/>
  <c r="BD445" i="14"/>
  <c r="BD449" i="14"/>
  <c r="BD453" i="14"/>
  <c r="BD457" i="14"/>
  <c r="BD461" i="14"/>
  <c r="BD465" i="14"/>
  <c r="BD469" i="14"/>
  <c r="BD473" i="14"/>
  <c r="BD477" i="14"/>
  <c r="BD203" i="14"/>
  <c r="BD234" i="14"/>
  <c r="BD294" i="14"/>
  <c r="BD326" i="14"/>
  <c r="BD386" i="14"/>
  <c r="BD390" i="14"/>
  <c r="BD394" i="14"/>
  <c r="BD398" i="14"/>
  <c r="BD402" i="14"/>
  <c r="BD406" i="14"/>
  <c r="BD410" i="14"/>
  <c r="BD414" i="14"/>
  <c r="BD418" i="14"/>
  <c r="BD422" i="14"/>
  <c r="BD426" i="14"/>
  <c r="BD430" i="14"/>
  <c r="BD434" i="14"/>
  <c r="BD438" i="14"/>
  <c r="BD442" i="14"/>
  <c r="BD446" i="14"/>
  <c r="BD450" i="14"/>
  <c r="BD454" i="14"/>
  <c r="BD458" i="14"/>
  <c r="BD462" i="14"/>
  <c r="BD466" i="14"/>
  <c r="BD470" i="14"/>
  <c r="BD474" i="14"/>
  <c r="BD478" i="14"/>
  <c r="BD295" i="14"/>
  <c r="BD395" i="14"/>
  <c r="BD411" i="14"/>
  <c r="BD427" i="14"/>
  <c r="BD443" i="14"/>
  <c r="BD459" i="14"/>
  <c r="BD475" i="14"/>
  <c r="BD114" i="14"/>
  <c r="BD119" i="14"/>
  <c r="BD123" i="14"/>
  <c r="BD128" i="14"/>
  <c r="BD133" i="14"/>
  <c r="BD137" i="14"/>
  <c r="BD399" i="14"/>
  <c r="BD431" i="14"/>
  <c r="BD463" i="14"/>
  <c r="BD115" i="14"/>
  <c r="BD124" i="14"/>
  <c r="BD129" i="14"/>
  <c r="BD139" i="14"/>
  <c r="BD204" i="14"/>
  <c r="BD387" i="14"/>
  <c r="BD403" i="14"/>
  <c r="BD419" i="14"/>
  <c r="BD435" i="14"/>
  <c r="BD451" i="14"/>
  <c r="BD467" i="14"/>
  <c r="BD116" i="14"/>
  <c r="BD121" i="14"/>
  <c r="BD125" i="14"/>
  <c r="BD130" i="14"/>
  <c r="BD135" i="14"/>
  <c r="BD140" i="14"/>
  <c r="BD142" i="14"/>
  <c r="BD355" i="14"/>
  <c r="BD415" i="14"/>
  <c r="BD447" i="14"/>
  <c r="BD120" i="14"/>
  <c r="BD134" i="14"/>
  <c r="BD263" i="14"/>
  <c r="BD391" i="14"/>
  <c r="BD407" i="14"/>
  <c r="BD423" i="14"/>
  <c r="BD439" i="14"/>
  <c r="BD455" i="14"/>
  <c r="BD471" i="14"/>
  <c r="BD118" i="14"/>
  <c r="BD122" i="14"/>
  <c r="BD127" i="14"/>
  <c r="BD131" i="14"/>
  <c r="BD136" i="14"/>
  <c r="BD141" i="14"/>
  <c r="BD143" i="14"/>
  <c r="K43" i="29"/>
  <c r="N43" i="29" s="1"/>
  <c r="BG117" i="14"/>
  <c r="BG144" i="14"/>
  <c r="BG132" i="14"/>
  <c r="BG138" i="14"/>
  <c r="BG126" i="14"/>
  <c r="BG479" i="14"/>
  <c r="BG145" i="14"/>
  <c r="BG149" i="14"/>
  <c r="BG153" i="14"/>
  <c r="BG157" i="14"/>
  <c r="BG161" i="14"/>
  <c r="BG165" i="14"/>
  <c r="BG169" i="14"/>
  <c r="BG174" i="14"/>
  <c r="BG178" i="14"/>
  <c r="BG182" i="14"/>
  <c r="BG186" i="14"/>
  <c r="BG190" i="14"/>
  <c r="BG194" i="14"/>
  <c r="BG198" i="14"/>
  <c r="BG205" i="14"/>
  <c r="BG209" i="14"/>
  <c r="BG213" i="14"/>
  <c r="BG217" i="14"/>
  <c r="BG221" i="14"/>
  <c r="BG225" i="14"/>
  <c r="BG229" i="14"/>
  <c r="BG235" i="14"/>
  <c r="BG239" i="14"/>
  <c r="BG243" i="14"/>
  <c r="BG247" i="14"/>
  <c r="BG251" i="14"/>
  <c r="BG255" i="14"/>
  <c r="BG259" i="14"/>
  <c r="BG266" i="14"/>
  <c r="BG270" i="14"/>
  <c r="BG274" i="14"/>
  <c r="BG278" i="14"/>
  <c r="BG282" i="14"/>
  <c r="BG286" i="14"/>
  <c r="BG290" i="14"/>
  <c r="BG296" i="14"/>
  <c r="BG300" i="14"/>
  <c r="BG304" i="14"/>
  <c r="BG308" i="14"/>
  <c r="BG312" i="14"/>
  <c r="BG316" i="14"/>
  <c r="BG320" i="14"/>
  <c r="BG327" i="14"/>
  <c r="BG331" i="14"/>
  <c r="BG335" i="14"/>
  <c r="BG339" i="14"/>
  <c r="BG343" i="14"/>
  <c r="BG347" i="14"/>
  <c r="BG351" i="14"/>
  <c r="BG358" i="14"/>
  <c r="BG362" i="14"/>
  <c r="BG366" i="14"/>
  <c r="BG370" i="14"/>
  <c r="BG374" i="14"/>
  <c r="BG378" i="14"/>
  <c r="BG382" i="14"/>
  <c r="BG146" i="14"/>
  <c r="BG150" i="14"/>
  <c r="BG154" i="14"/>
  <c r="BG158" i="14"/>
  <c r="BG162" i="14"/>
  <c r="BG166" i="14"/>
  <c r="BG170" i="14"/>
  <c r="BG175" i="14"/>
  <c r="BG179" i="14"/>
  <c r="BG183" i="14"/>
  <c r="BG187" i="14"/>
  <c r="BG191" i="14"/>
  <c r="BG195" i="14"/>
  <c r="BG199" i="14"/>
  <c r="BG206" i="14"/>
  <c r="BG210" i="14"/>
  <c r="BG214" i="14"/>
  <c r="BG218" i="14"/>
  <c r="BG222" i="14"/>
  <c r="BG226" i="14"/>
  <c r="BG230" i="14"/>
  <c r="BG236" i="14"/>
  <c r="BG240" i="14"/>
  <c r="BG244" i="14"/>
  <c r="BG248" i="14"/>
  <c r="BG252" i="14"/>
  <c r="BG256" i="14"/>
  <c r="BG260" i="14"/>
  <c r="BG267" i="14"/>
  <c r="BG271" i="14"/>
  <c r="BG275" i="14"/>
  <c r="BG279" i="14"/>
  <c r="BG283" i="14"/>
  <c r="BG287" i="14"/>
  <c r="BG291" i="14"/>
  <c r="BG297" i="14"/>
  <c r="BG301" i="14"/>
  <c r="BG305" i="14"/>
  <c r="BG309" i="14"/>
  <c r="BG313" i="14"/>
  <c r="BG317" i="14"/>
  <c r="BG321" i="14"/>
  <c r="BG328" i="14"/>
  <c r="BG332" i="14"/>
  <c r="BG336" i="14"/>
  <c r="BG340" i="14"/>
  <c r="BG344" i="14"/>
  <c r="BG348" i="14"/>
  <c r="BG352" i="14"/>
  <c r="BG359" i="14"/>
  <c r="BG363" i="14"/>
  <c r="BG367" i="14"/>
  <c r="BG371" i="14"/>
  <c r="BG375" i="14"/>
  <c r="BG379" i="14"/>
  <c r="BG383" i="14"/>
  <c r="BG147" i="14"/>
  <c r="BG151" i="14"/>
  <c r="BG155" i="14"/>
  <c r="BG159" i="14"/>
  <c r="BG163" i="14"/>
  <c r="BG167" i="14"/>
  <c r="BG171" i="14"/>
  <c r="BG176" i="14"/>
  <c r="BG180" i="14"/>
  <c r="BG184" i="14"/>
  <c r="BG188" i="14"/>
  <c r="BG192" i="14"/>
  <c r="BG196" i="14"/>
  <c r="BG200" i="14"/>
  <c r="BG207" i="14"/>
  <c r="BG211" i="14"/>
  <c r="BG215" i="14"/>
  <c r="BG219" i="14"/>
  <c r="BG223" i="14"/>
  <c r="BG227" i="14"/>
  <c r="BG231" i="14"/>
  <c r="BG237" i="14"/>
  <c r="BG241" i="14"/>
  <c r="BG245" i="14"/>
  <c r="BG249" i="14"/>
  <c r="BG253" i="14"/>
  <c r="BG257" i="14"/>
  <c r="BG261" i="14"/>
  <c r="BG268" i="14"/>
  <c r="BG272" i="14"/>
  <c r="BG276" i="14"/>
  <c r="BG280" i="14"/>
  <c r="BG284" i="14"/>
  <c r="BG288" i="14"/>
  <c r="BG292" i="14"/>
  <c r="BG298" i="14"/>
  <c r="BG302" i="14"/>
  <c r="BG306" i="14"/>
  <c r="BG310" i="14"/>
  <c r="BG314" i="14"/>
  <c r="BG318" i="14"/>
  <c r="BG322" i="14"/>
  <c r="BG329" i="14"/>
  <c r="BG333" i="14"/>
  <c r="BG337" i="14"/>
  <c r="BG341" i="14"/>
  <c r="BG345" i="14"/>
  <c r="BG349" i="14"/>
  <c r="BG353" i="14"/>
  <c r="BG360" i="14"/>
  <c r="BG364" i="14"/>
  <c r="BG368" i="14"/>
  <c r="BG372" i="14"/>
  <c r="BG376" i="14"/>
  <c r="BG380" i="14"/>
  <c r="BG384" i="14"/>
  <c r="BG148" i="14"/>
  <c r="BG164" i="14"/>
  <c r="BG181" i="14"/>
  <c r="BG197" i="14"/>
  <c r="BG216" i="14"/>
  <c r="BG232" i="14"/>
  <c r="BG250" i="14"/>
  <c r="BG269" i="14"/>
  <c r="BG285" i="14"/>
  <c r="BG303" i="14"/>
  <c r="BG319" i="14"/>
  <c r="BG338" i="14"/>
  <c r="BG354" i="14"/>
  <c r="BG373" i="14"/>
  <c r="BG152" i="14"/>
  <c r="BG168" i="14"/>
  <c r="BG185" i="14"/>
  <c r="BG201" i="14"/>
  <c r="BG220" i="14"/>
  <c r="BG238" i="14"/>
  <c r="BG254" i="14"/>
  <c r="BG273" i="14"/>
  <c r="BG289" i="14"/>
  <c r="BG307" i="14"/>
  <c r="BG323" i="14"/>
  <c r="BG342" i="14"/>
  <c r="BG361" i="14"/>
  <c r="BG377" i="14"/>
  <c r="BG156" i="14"/>
  <c r="BG172" i="14"/>
  <c r="BG189" i="14"/>
  <c r="BG208" i="14"/>
  <c r="BG224" i="14"/>
  <c r="BG242" i="14"/>
  <c r="BG258" i="14"/>
  <c r="BG277" i="14"/>
  <c r="BG293" i="14"/>
  <c r="BG311" i="14"/>
  <c r="BG330" i="14"/>
  <c r="BG346" i="14"/>
  <c r="BG365" i="14"/>
  <c r="BG381" i="14"/>
  <c r="BG177" i="14"/>
  <c r="BG246" i="14"/>
  <c r="BG315" i="14"/>
  <c r="BG385" i="14"/>
  <c r="BG193" i="14"/>
  <c r="BG262" i="14"/>
  <c r="BG334" i="14"/>
  <c r="BG212" i="14"/>
  <c r="BG281" i="14"/>
  <c r="BG350" i="14"/>
  <c r="BG299" i="14"/>
  <c r="BG203" i="14"/>
  <c r="BG234" i="14"/>
  <c r="BG294" i="14"/>
  <c r="BG326" i="14"/>
  <c r="BG386" i="14"/>
  <c r="BG390" i="14"/>
  <c r="BG394" i="14"/>
  <c r="BG398" i="14"/>
  <c r="BG402" i="14"/>
  <c r="BG406" i="14"/>
  <c r="BG410" i="14"/>
  <c r="BG414" i="14"/>
  <c r="BG418" i="14"/>
  <c r="BG422" i="14"/>
  <c r="BG426" i="14"/>
  <c r="BG430" i="14"/>
  <c r="BG434" i="14"/>
  <c r="BG438" i="14"/>
  <c r="BG442" i="14"/>
  <c r="BG446" i="14"/>
  <c r="BG450" i="14"/>
  <c r="BG454" i="14"/>
  <c r="BG458" i="14"/>
  <c r="BG462" i="14"/>
  <c r="BG466" i="14"/>
  <c r="BG470" i="14"/>
  <c r="BG474" i="14"/>
  <c r="BG478" i="14"/>
  <c r="BG369" i="14"/>
  <c r="BG204" i="14"/>
  <c r="BG263" i="14"/>
  <c r="BG295" i="14"/>
  <c r="BG355" i="14"/>
  <c r="BG387" i="14"/>
  <c r="BG391" i="14"/>
  <c r="BG395" i="14"/>
  <c r="BG399" i="14"/>
  <c r="BG403" i="14"/>
  <c r="BG407" i="14"/>
  <c r="BG411" i="14"/>
  <c r="BG415" i="14"/>
  <c r="BG419" i="14"/>
  <c r="BG423" i="14"/>
  <c r="BG427" i="14"/>
  <c r="BG431" i="14"/>
  <c r="BG435" i="14"/>
  <c r="BG439" i="14"/>
  <c r="BG443" i="14"/>
  <c r="BG447" i="14"/>
  <c r="BG451" i="14"/>
  <c r="BG455" i="14"/>
  <c r="BG459" i="14"/>
  <c r="BG463" i="14"/>
  <c r="BG467" i="14"/>
  <c r="BG471" i="14"/>
  <c r="BG475" i="14"/>
  <c r="BG160" i="14"/>
  <c r="BG173" i="14"/>
  <c r="BG264" i="14"/>
  <c r="BG324" i="14"/>
  <c r="BG356" i="14"/>
  <c r="BG388" i="14"/>
  <c r="BG392" i="14"/>
  <c r="BG396" i="14"/>
  <c r="BG400" i="14"/>
  <c r="BG404" i="14"/>
  <c r="BG408" i="14"/>
  <c r="BG412" i="14"/>
  <c r="BG416" i="14"/>
  <c r="BG420" i="14"/>
  <c r="BG424" i="14"/>
  <c r="BG428" i="14"/>
  <c r="BG432" i="14"/>
  <c r="BG436" i="14"/>
  <c r="BG440" i="14"/>
  <c r="BG444" i="14"/>
  <c r="BG448" i="14"/>
  <c r="BG452" i="14"/>
  <c r="BG456" i="14"/>
  <c r="BG460" i="14"/>
  <c r="BG464" i="14"/>
  <c r="BG468" i="14"/>
  <c r="BG472" i="14"/>
  <c r="BG476" i="14"/>
  <c r="BG202" i="14"/>
  <c r="BG357" i="14"/>
  <c r="BG401" i="14"/>
  <c r="BG417" i="14"/>
  <c r="BG433" i="14"/>
  <c r="BG449" i="14"/>
  <c r="BG465" i="14"/>
  <c r="BG114" i="14"/>
  <c r="BG119" i="14"/>
  <c r="BG123" i="14"/>
  <c r="BG128" i="14"/>
  <c r="BG133" i="14"/>
  <c r="BG137" i="14"/>
  <c r="BG142" i="14"/>
  <c r="BG228" i="14"/>
  <c r="BG405" i="14"/>
  <c r="BG437" i="14"/>
  <c r="BG469" i="14"/>
  <c r="BG120" i="14"/>
  <c r="BG129" i="14"/>
  <c r="BG139" i="14"/>
  <c r="BG265" i="14"/>
  <c r="BG393" i="14"/>
  <c r="BG409" i="14"/>
  <c r="BG425" i="14"/>
  <c r="BG441" i="14"/>
  <c r="BG457" i="14"/>
  <c r="BG473" i="14"/>
  <c r="BG116" i="14"/>
  <c r="BG121" i="14"/>
  <c r="BG125" i="14"/>
  <c r="BG130" i="14"/>
  <c r="BG135" i="14"/>
  <c r="BG140" i="14"/>
  <c r="BG233" i="14"/>
  <c r="BG389" i="14"/>
  <c r="BG421" i="14"/>
  <c r="BG453" i="14"/>
  <c r="BG115" i="14"/>
  <c r="BG124" i="14"/>
  <c r="BG134" i="14"/>
  <c r="BG143" i="14"/>
  <c r="BG325" i="14"/>
  <c r="BG397" i="14"/>
  <c r="BG413" i="14"/>
  <c r="BG429" i="14"/>
  <c r="BG445" i="14"/>
  <c r="BG461" i="14"/>
  <c r="BG477" i="14"/>
  <c r="BG118" i="14"/>
  <c r="BG122" i="14"/>
  <c r="BG127" i="14"/>
  <c r="BG131" i="14"/>
  <c r="BG136" i="14"/>
  <c r="BG141" i="14"/>
  <c r="F28" i="29"/>
  <c r="CG242" i="14"/>
  <c r="CF242" i="14"/>
  <c r="CG243" i="14"/>
  <c r="CF243" i="14"/>
  <c r="CG215" i="14"/>
  <c r="CF215" i="14"/>
  <c r="Q142" i="29"/>
  <c r="H78" i="28"/>
  <c r="H77" i="28" s="1"/>
  <c r="N73" i="28"/>
  <c r="CG284" i="14"/>
  <c r="CF284" i="14"/>
  <c r="BA117" i="14"/>
  <c r="BA126" i="14"/>
  <c r="BA148" i="14"/>
  <c r="BA152" i="14"/>
  <c r="BA156" i="14"/>
  <c r="BA177" i="14"/>
  <c r="BA181" i="14"/>
  <c r="BA185" i="14"/>
  <c r="BA208" i="14"/>
  <c r="BA212" i="14"/>
  <c r="BA216" i="14"/>
  <c r="BA238" i="14"/>
  <c r="BA242" i="14"/>
  <c r="BA246" i="14"/>
  <c r="BA269" i="14"/>
  <c r="BA273" i="14"/>
  <c r="BA277" i="14"/>
  <c r="BA281" i="14"/>
  <c r="BA285" i="14"/>
  <c r="BA299" i="14"/>
  <c r="BA303" i="14"/>
  <c r="BA307" i="14"/>
  <c r="BA330" i="14"/>
  <c r="BA334" i="14"/>
  <c r="BA338" i="14"/>
  <c r="BA361" i="14"/>
  <c r="BA365" i="14"/>
  <c r="BA369" i="14"/>
  <c r="BA145" i="14"/>
  <c r="BA149" i="14"/>
  <c r="BA153" i="14"/>
  <c r="BA157" i="14"/>
  <c r="BA174" i="14"/>
  <c r="BA178" i="14"/>
  <c r="BA182" i="14"/>
  <c r="BA205" i="14"/>
  <c r="BA209" i="14"/>
  <c r="BA213" i="14"/>
  <c r="BA217" i="14"/>
  <c r="BA235" i="14"/>
  <c r="BA239" i="14"/>
  <c r="BA243" i="14"/>
  <c r="BA247" i="14"/>
  <c r="BA266" i="14"/>
  <c r="BA270" i="14"/>
  <c r="BA274" i="14"/>
  <c r="BA278" i="14"/>
  <c r="BA282" i="14"/>
  <c r="BA286" i="14"/>
  <c r="BA296" i="14"/>
  <c r="BA300" i="14"/>
  <c r="BA304" i="14"/>
  <c r="BA308" i="14"/>
  <c r="BA327" i="14"/>
  <c r="BA331" i="14"/>
  <c r="BA335" i="14"/>
  <c r="BA339" i="14"/>
  <c r="BA358" i="14"/>
  <c r="BA362" i="14"/>
  <c r="BA366" i="14"/>
  <c r="BA370" i="14"/>
  <c r="BA146" i="14"/>
  <c r="BA150" i="14"/>
  <c r="BA154" i="14"/>
  <c r="BA175" i="14"/>
  <c r="BA179" i="14"/>
  <c r="BA183" i="14"/>
  <c r="BA206" i="14"/>
  <c r="BA210" i="14"/>
  <c r="BA214" i="14"/>
  <c r="BA236" i="14"/>
  <c r="BA240" i="14"/>
  <c r="BA244" i="14"/>
  <c r="BA267" i="14"/>
  <c r="BA271" i="14"/>
  <c r="BA275" i="14"/>
  <c r="BA279" i="14"/>
  <c r="BA283" i="14"/>
  <c r="BA297" i="14"/>
  <c r="BA301" i="14"/>
  <c r="BA305" i="14"/>
  <c r="BA328" i="14"/>
  <c r="BA332" i="14"/>
  <c r="BA336" i="14"/>
  <c r="BA359" i="14"/>
  <c r="BA363" i="14"/>
  <c r="BA367" i="14"/>
  <c r="BA176" i="14"/>
  <c r="BA211" i="14"/>
  <c r="BA245" i="14"/>
  <c r="BA280" i="14"/>
  <c r="BA298" i="14"/>
  <c r="BA333" i="14"/>
  <c r="BA368" i="14"/>
  <c r="BA147" i="14"/>
  <c r="BA180" i="14"/>
  <c r="BA215" i="14"/>
  <c r="BA268" i="14"/>
  <c r="BA284" i="14"/>
  <c r="BA302" i="14"/>
  <c r="BA337" i="14"/>
  <c r="BA151" i="14"/>
  <c r="BA184" i="14"/>
  <c r="BA237" i="14"/>
  <c r="BA272" i="14"/>
  <c r="BA306" i="14"/>
  <c r="BA360" i="14"/>
  <c r="BA241" i="14"/>
  <c r="BA329" i="14"/>
  <c r="BA207" i="14"/>
  <c r="BA276" i="14"/>
  <c r="BA364" i="14"/>
  <c r="BA155" i="14"/>
  <c r="BA389" i="14"/>
  <c r="BA394" i="14"/>
  <c r="BA399" i="14"/>
  <c r="BA422" i="14"/>
  <c r="BA427" i="14"/>
  <c r="BA450" i="14"/>
  <c r="BA455" i="14"/>
  <c r="BA459" i="14"/>
  <c r="BA397" i="14"/>
  <c r="BA425" i="14"/>
  <c r="BA453" i="14"/>
  <c r="BA391" i="14"/>
  <c r="BA395" i="14"/>
  <c r="BA419" i="14"/>
  <c r="BA423" i="14"/>
  <c r="BA428" i="14"/>
  <c r="BA451" i="14"/>
  <c r="BA456" i="14"/>
  <c r="BA461" i="14"/>
  <c r="BA460" i="14"/>
  <c r="BA392" i="14"/>
  <c r="BA396" i="14"/>
  <c r="BA420" i="14"/>
  <c r="BA424" i="14"/>
  <c r="BA429" i="14"/>
  <c r="BA452" i="14"/>
  <c r="BA457" i="14"/>
  <c r="BA388" i="14"/>
  <c r="BA426" i="14"/>
  <c r="BA114" i="14"/>
  <c r="BA119" i="14"/>
  <c r="BA123" i="14"/>
  <c r="BA393" i="14"/>
  <c r="BA430" i="14"/>
  <c r="BA115" i="14"/>
  <c r="BA120" i="14"/>
  <c r="BA124" i="14"/>
  <c r="BA398" i="14"/>
  <c r="BA454" i="14"/>
  <c r="BA390" i="14"/>
  <c r="BA116" i="14"/>
  <c r="BA121" i="14"/>
  <c r="BA125" i="14"/>
  <c r="BA449" i="14"/>
  <c r="BA421" i="14"/>
  <c r="BA458" i="14"/>
  <c r="BA118" i="14"/>
  <c r="BA122" i="14"/>
  <c r="BA127" i="14"/>
  <c r="BY126" i="14"/>
  <c r="BY479" i="14"/>
  <c r="BY117" i="14"/>
  <c r="BY144" i="14"/>
  <c r="BY138" i="14"/>
  <c r="BY132" i="14"/>
  <c r="BY147" i="14"/>
  <c r="BY151" i="14"/>
  <c r="BY155" i="14"/>
  <c r="BY159" i="14"/>
  <c r="BY163" i="14"/>
  <c r="BY167" i="14"/>
  <c r="BY171" i="14"/>
  <c r="BY176" i="14"/>
  <c r="BY180" i="14"/>
  <c r="BY184" i="14"/>
  <c r="BY188" i="14"/>
  <c r="BY192" i="14"/>
  <c r="BY196" i="14"/>
  <c r="BY200" i="14"/>
  <c r="BY207" i="14"/>
  <c r="BY211" i="14"/>
  <c r="BY215" i="14"/>
  <c r="BY219" i="14"/>
  <c r="BY223" i="14"/>
  <c r="BY227" i="14"/>
  <c r="BY231" i="14"/>
  <c r="BY237" i="14"/>
  <c r="BY241" i="14"/>
  <c r="BY245" i="14"/>
  <c r="BY249" i="14"/>
  <c r="BY253" i="14"/>
  <c r="BY257" i="14"/>
  <c r="BY261" i="14"/>
  <c r="BY268" i="14"/>
  <c r="BY272" i="14"/>
  <c r="BY276" i="14"/>
  <c r="BY280" i="14"/>
  <c r="BY284" i="14"/>
  <c r="BY288" i="14"/>
  <c r="BY292" i="14"/>
  <c r="BY298" i="14"/>
  <c r="BY302" i="14"/>
  <c r="BY306" i="14"/>
  <c r="BY310" i="14"/>
  <c r="BY314" i="14"/>
  <c r="BY318" i="14"/>
  <c r="BY322" i="14"/>
  <c r="BY329" i="14"/>
  <c r="BY333" i="14"/>
  <c r="BY337" i="14"/>
  <c r="BY341" i="14"/>
  <c r="BY345" i="14"/>
  <c r="BY349" i="14"/>
  <c r="BY353" i="14"/>
  <c r="BY360" i="14"/>
  <c r="BY364" i="14"/>
  <c r="BY368" i="14"/>
  <c r="BY372" i="14"/>
  <c r="BY376" i="14"/>
  <c r="BY380" i="14"/>
  <c r="BY384" i="14"/>
  <c r="BY148" i="14"/>
  <c r="BY152" i="14"/>
  <c r="BY156" i="14"/>
  <c r="BY160" i="14"/>
  <c r="BY164" i="14"/>
  <c r="BY168" i="14"/>
  <c r="BY172" i="14"/>
  <c r="BY177" i="14"/>
  <c r="BY181" i="14"/>
  <c r="BY185" i="14"/>
  <c r="BY189" i="14"/>
  <c r="BY193" i="14"/>
  <c r="BY197" i="14"/>
  <c r="BY201" i="14"/>
  <c r="BY208" i="14"/>
  <c r="BY212" i="14"/>
  <c r="BY216" i="14"/>
  <c r="BY220" i="14"/>
  <c r="BY224" i="14"/>
  <c r="BY228" i="14"/>
  <c r="BY232" i="14"/>
  <c r="BY238" i="14"/>
  <c r="BY242" i="14"/>
  <c r="BY246" i="14"/>
  <c r="BY250" i="14"/>
  <c r="BY254" i="14"/>
  <c r="BY258" i="14"/>
  <c r="BY262" i="14"/>
  <c r="BY269" i="14"/>
  <c r="BY273" i="14"/>
  <c r="BY277" i="14"/>
  <c r="BY281" i="14"/>
  <c r="BY285" i="14"/>
  <c r="BY289" i="14"/>
  <c r="BY293" i="14"/>
  <c r="BY299" i="14"/>
  <c r="BY303" i="14"/>
  <c r="BY307" i="14"/>
  <c r="BY311" i="14"/>
  <c r="BY315" i="14"/>
  <c r="BY319" i="14"/>
  <c r="BY323" i="14"/>
  <c r="BY330" i="14"/>
  <c r="BY334" i="14"/>
  <c r="BY338" i="14"/>
  <c r="BY342" i="14"/>
  <c r="BY346" i="14"/>
  <c r="BY350" i="14"/>
  <c r="BY354" i="14"/>
  <c r="BY361" i="14"/>
  <c r="BY365" i="14"/>
  <c r="BY369" i="14"/>
  <c r="BY373" i="14"/>
  <c r="BY377" i="14"/>
  <c r="BY381" i="14"/>
  <c r="BY385" i="14"/>
  <c r="BY145" i="14"/>
  <c r="BY149" i="14"/>
  <c r="BY153" i="14"/>
  <c r="BY157" i="14"/>
  <c r="BY161" i="14"/>
  <c r="BY165" i="14"/>
  <c r="BY169" i="14"/>
  <c r="BY174" i="14"/>
  <c r="BY178" i="14"/>
  <c r="BY182" i="14"/>
  <c r="BY186" i="14"/>
  <c r="BY190" i="14"/>
  <c r="BY194" i="14"/>
  <c r="BY198" i="14"/>
  <c r="BY205" i="14"/>
  <c r="BY209" i="14"/>
  <c r="BY213" i="14"/>
  <c r="BY217" i="14"/>
  <c r="BY221" i="14"/>
  <c r="BY225" i="14"/>
  <c r="BY229" i="14"/>
  <c r="BY235" i="14"/>
  <c r="BY239" i="14"/>
  <c r="BY243" i="14"/>
  <c r="BY247" i="14"/>
  <c r="BY251" i="14"/>
  <c r="BY255" i="14"/>
  <c r="BY259" i="14"/>
  <c r="BY266" i="14"/>
  <c r="BY270" i="14"/>
  <c r="BY274" i="14"/>
  <c r="BY278" i="14"/>
  <c r="BY282" i="14"/>
  <c r="BY286" i="14"/>
  <c r="BY290" i="14"/>
  <c r="BY296" i="14"/>
  <c r="BY300" i="14"/>
  <c r="BY304" i="14"/>
  <c r="BY308" i="14"/>
  <c r="BY312" i="14"/>
  <c r="BY316" i="14"/>
  <c r="BY320" i="14"/>
  <c r="BY327" i="14"/>
  <c r="BY331" i="14"/>
  <c r="BY335" i="14"/>
  <c r="BY339" i="14"/>
  <c r="BY343" i="14"/>
  <c r="BY347" i="14"/>
  <c r="BY351" i="14"/>
  <c r="BY358" i="14"/>
  <c r="BY362" i="14"/>
  <c r="BY366" i="14"/>
  <c r="BY370" i="14"/>
  <c r="BY374" i="14"/>
  <c r="BY378" i="14"/>
  <c r="BY382" i="14"/>
  <c r="BY154" i="14"/>
  <c r="BY170" i="14"/>
  <c r="BY187" i="14"/>
  <c r="BY206" i="14"/>
  <c r="BY222" i="14"/>
  <c r="BY240" i="14"/>
  <c r="BY256" i="14"/>
  <c r="BY275" i="14"/>
  <c r="BY291" i="14"/>
  <c r="BY309" i="14"/>
  <c r="BY328" i="14"/>
  <c r="BY344" i="14"/>
  <c r="BY363" i="14"/>
  <c r="BY379" i="14"/>
  <c r="BY158" i="14"/>
  <c r="BY175" i="14"/>
  <c r="BY191" i="14"/>
  <c r="BY210" i="14"/>
  <c r="BY226" i="14"/>
  <c r="BY244" i="14"/>
  <c r="BY260" i="14"/>
  <c r="BY279" i="14"/>
  <c r="BY297" i="14"/>
  <c r="BY313" i="14"/>
  <c r="BY332" i="14"/>
  <c r="BY348" i="14"/>
  <c r="BY367" i="14"/>
  <c r="BY383" i="14"/>
  <c r="BY146" i="14"/>
  <c r="BY162" i="14"/>
  <c r="BY179" i="14"/>
  <c r="BY195" i="14"/>
  <c r="BY214" i="14"/>
  <c r="BY230" i="14"/>
  <c r="BY248" i="14"/>
  <c r="BY267" i="14"/>
  <c r="BY283" i="14"/>
  <c r="BY301" i="14"/>
  <c r="BY317" i="14"/>
  <c r="BY336" i="14"/>
  <c r="BY352" i="14"/>
  <c r="BY371" i="14"/>
  <c r="BY199" i="14"/>
  <c r="BY271" i="14"/>
  <c r="BY340" i="14"/>
  <c r="BY150" i="14"/>
  <c r="BY218" i="14"/>
  <c r="BY287" i="14"/>
  <c r="BY359" i="14"/>
  <c r="BY166" i="14"/>
  <c r="BY236" i="14"/>
  <c r="BY305" i="14"/>
  <c r="BY375" i="14"/>
  <c r="BY252" i="14"/>
  <c r="BY203" i="14"/>
  <c r="BY234" i="14"/>
  <c r="BY294" i="14"/>
  <c r="BY326" i="14"/>
  <c r="BY386" i="14"/>
  <c r="BY390" i="14"/>
  <c r="BY394" i="14"/>
  <c r="BY398" i="14"/>
  <c r="BY402" i="14"/>
  <c r="BY406" i="14"/>
  <c r="BY410" i="14"/>
  <c r="BY414" i="14"/>
  <c r="BY418" i="14"/>
  <c r="BY422" i="14"/>
  <c r="BY426" i="14"/>
  <c r="BY430" i="14"/>
  <c r="BY434" i="14"/>
  <c r="BY438" i="14"/>
  <c r="BY442" i="14"/>
  <c r="BY446" i="14"/>
  <c r="BY450" i="14"/>
  <c r="BY454" i="14"/>
  <c r="BY458" i="14"/>
  <c r="BY462" i="14"/>
  <c r="BY466" i="14"/>
  <c r="BY470" i="14"/>
  <c r="BY474" i="14"/>
  <c r="BY478" i="14"/>
  <c r="BY321" i="14"/>
  <c r="BY204" i="14"/>
  <c r="BY263" i="14"/>
  <c r="BY295" i="14"/>
  <c r="BY355" i="14"/>
  <c r="BY387" i="14"/>
  <c r="BY391" i="14"/>
  <c r="BY395" i="14"/>
  <c r="BY399" i="14"/>
  <c r="BY403" i="14"/>
  <c r="BY407" i="14"/>
  <c r="BY411" i="14"/>
  <c r="BY415" i="14"/>
  <c r="BY419" i="14"/>
  <c r="BY423" i="14"/>
  <c r="BY427" i="14"/>
  <c r="BY431" i="14"/>
  <c r="BY435" i="14"/>
  <c r="BY439" i="14"/>
  <c r="BY443" i="14"/>
  <c r="BY447" i="14"/>
  <c r="BY451" i="14"/>
  <c r="BY455" i="14"/>
  <c r="BY459" i="14"/>
  <c r="BY463" i="14"/>
  <c r="BY467" i="14"/>
  <c r="BY471" i="14"/>
  <c r="BY475" i="14"/>
  <c r="BY173" i="14"/>
  <c r="BY264" i="14"/>
  <c r="BY324" i="14"/>
  <c r="BY356" i="14"/>
  <c r="BY388" i="14"/>
  <c r="BY392" i="14"/>
  <c r="BY396" i="14"/>
  <c r="BY400" i="14"/>
  <c r="BY404" i="14"/>
  <c r="BY408" i="14"/>
  <c r="BY412" i="14"/>
  <c r="BY416" i="14"/>
  <c r="BY420" i="14"/>
  <c r="BY424" i="14"/>
  <c r="BY428" i="14"/>
  <c r="BY432" i="14"/>
  <c r="BY436" i="14"/>
  <c r="BY440" i="14"/>
  <c r="BY444" i="14"/>
  <c r="BY448" i="14"/>
  <c r="BY452" i="14"/>
  <c r="BY456" i="14"/>
  <c r="BY460" i="14"/>
  <c r="BY464" i="14"/>
  <c r="BY468" i="14"/>
  <c r="BY472" i="14"/>
  <c r="BY476" i="14"/>
  <c r="BY233" i="14"/>
  <c r="BY389" i="14"/>
  <c r="BY405" i="14"/>
  <c r="BY421" i="14"/>
  <c r="BY437" i="14"/>
  <c r="BY453" i="14"/>
  <c r="BY469" i="14"/>
  <c r="BY114" i="14"/>
  <c r="BY119" i="14"/>
  <c r="BY123" i="14"/>
  <c r="BY128" i="14"/>
  <c r="BY133" i="14"/>
  <c r="BY137" i="14"/>
  <c r="BY265" i="14"/>
  <c r="BY425" i="14"/>
  <c r="BY457" i="14"/>
  <c r="BY115" i="14"/>
  <c r="BY124" i="14"/>
  <c r="BY139" i="14"/>
  <c r="BY325" i="14"/>
  <c r="BY397" i="14"/>
  <c r="BY413" i="14"/>
  <c r="BY429" i="14"/>
  <c r="BY445" i="14"/>
  <c r="BY461" i="14"/>
  <c r="BY477" i="14"/>
  <c r="BY116" i="14"/>
  <c r="BY121" i="14"/>
  <c r="BY125" i="14"/>
  <c r="BY130" i="14"/>
  <c r="BY135" i="14"/>
  <c r="BY140" i="14"/>
  <c r="BY142" i="14"/>
  <c r="BY183" i="14"/>
  <c r="BY393" i="14"/>
  <c r="BY409" i="14"/>
  <c r="BY441" i="14"/>
  <c r="BY473" i="14"/>
  <c r="BY120" i="14"/>
  <c r="BY129" i="14"/>
  <c r="BY134" i="14"/>
  <c r="BY202" i="14"/>
  <c r="BY357" i="14"/>
  <c r="BY401" i="14"/>
  <c r="BY417" i="14"/>
  <c r="BY433" i="14"/>
  <c r="BY449" i="14"/>
  <c r="BY465" i="14"/>
  <c r="BY118" i="14"/>
  <c r="BY122" i="14"/>
  <c r="BY127" i="14"/>
  <c r="BY131" i="14"/>
  <c r="BY136" i="14"/>
  <c r="BY141" i="14"/>
  <c r="BY143" i="14"/>
  <c r="CG212" i="14"/>
  <c r="CF212" i="14"/>
  <c r="L233" i="14"/>
  <c r="AI226" i="14"/>
  <c r="AG226" i="14"/>
  <c r="F44" i="29"/>
  <c r="BV117" i="14"/>
  <c r="BV144" i="14"/>
  <c r="BV132" i="14"/>
  <c r="BV479" i="14"/>
  <c r="BV138" i="14"/>
  <c r="BV126" i="14"/>
  <c r="BV146" i="14"/>
  <c r="BV150" i="14"/>
  <c r="BV154" i="14"/>
  <c r="BV158" i="14"/>
  <c r="BV162" i="14"/>
  <c r="BV166" i="14"/>
  <c r="BV170" i="14"/>
  <c r="BV174" i="14"/>
  <c r="BV178" i="14"/>
  <c r="BV182" i="14"/>
  <c r="BV186" i="14"/>
  <c r="BV190" i="14"/>
  <c r="BV194" i="14"/>
  <c r="BV198" i="14"/>
  <c r="BV208" i="14"/>
  <c r="BV212" i="14"/>
  <c r="BV216" i="14"/>
  <c r="BV220" i="14"/>
  <c r="BV224" i="14"/>
  <c r="BV228" i="14"/>
  <c r="BV232" i="14"/>
  <c r="BV237" i="14"/>
  <c r="BV241" i="14"/>
  <c r="BV245" i="14"/>
  <c r="BV249" i="14"/>
  <c r="BV253" i="14"/>
  <c r="BV257" i="14"/>
  <c r="BV261" i="14"/>
  <c r="BV267" i="14"/>
  <c r="BV271" i="14"/>
  <c r="BV275" i="14"/>
  <c r="BV279" i="14"/>
  <c r="BV283" i="14"/>
  <c r="BV287" i="14"/>
  <c r="BV291" i="14"/>
  <c r="BV296" i="14"/>
  <c r="BV300" i="14"/>
  <c r="BV304" i="14"/>
  <c r="BV308" i="14"/>
  <c r="BV312" i="14"/>
  <c r="BV316" i="14"/>
  <c r="BV320" i="14"/>
  <c r="BV330" i="14"/>
  <c r="BV334" i="14"/>
  <c r="BV338" i="14"/>
  <c r="BV342" i="14"/>
  <c r="BV346" i="14"/>
  <c r="BV350" i="14"/>
  <c r="BV354" i="14"/>
  <c r="BV360" i="14"/>
  <c r="BV364" i="14"/>
  <c r="BV368" i="14"/>
  <c r="BV372" i="14"/>
  <c r="BV376" i="14"/>
  <c r="BV380" i="14"/>
  <c r="BV384" i="14"/>
  <c r="BV147" i="14"/>
  <c r="BV151" i="14"/>
  <c r="BV155" i="14"/>
  <c r="BV159" i="14"/>
  <c r="BV163" i="14"/>
  <c r="BV167" i="14"/>
  <c r="BV171" i="14"/>
  <c r="BV175" i="14"/>
  <c r="BV179" i="14"/>
  <c r="BV183" i="14"/>
  <c r="BV187" i="14"/>
  <c r="BV191" i="14"/>
  <c r="BV195" i="14"/>
  <c r="BV199" i="14"/>
  <c r="BV205" i="14"/>
  <c r="BV209" i="14"/>
  <c r="BV213" i="14"/>
  <c r="BV217" i="14"/>
  <c r="BV221" i="14"/>
  <c r="BV225" i="14"/>
  <c r="BV229" i="14"/>
  <c r="BV238" i="14"/>
  <c r="BV242" i="14"/>
  <c r="BV246" i="14"/>
  <c r="BV250" i="14"/>
  <c r="BV254" i="14"/>
  <c r="BV258" i="14"/>
  <c r="BV262" i="14"/>
  <c r="BV268" i="14"/>
  <c r="BV272" i="14"/>
  <c r="BV276" i="14"/>
  <c r="BV280" i="14"/>
  <c r="BV284" i="14"/>
  <c r="BV288" i="14"/>
  <c r="BV292" i="14"/>
  <c r="BV297" i="14"/>
  <c r="BV301" i="14"/>
  <c r="BV305" i="14"/>
  <c r="BV309" i="14"/>
  <c r="BV313" i="14"/>
  <c r="BV317" i="14"/>
  <c r="BV321" i="14"/>
  <c r="BV327" i="14"/>
  <c r="BV331" i="14"/>
  <c r="BV335" i="14"/>
  <c r="BV339" i="14"/>
  <c r="BV343" i="14"/>
  <c r="BV347" i="14"/>
  <c r="BV351" i="14"/>
  <c r="BV361" i="14"/>
  <c r="BV365" i="14"/>
  <c r="BV369" i="14"/>
  <c r="BV373" i="14"/>
  <c r="BV377" i="14"/>
  <c r="BV381" i="14"/>
  <c r="BV385" i="14"/>
  <c r="BV148" i="14"/>
  <c r="BV152" i="14"/>
  <c r="BV156" i="14"/>
  <c r="BV160" i="14"/>
  <c r="BV164" i="14"/>
  <c r="BV168" i="14"/>
  <c r="BV172" i="14"/>
  <c r="BV176" i="14"/>
  <c r="BV180" i="14"/>
  <c r="BV184" i="14"/>
  <c r="BV188" i="14"/>
  <c r="BV192" i="14"/>
  <c r="BV196" i="14"/>
  <c r="BV200" i="14"/>
  <c r="BV206" i="14"/>
  <c r="BV210" i="14"/>
  <c r="BV214" i="14"/>
  <c r="BV218" i="14"/>
  <c r="BV222" i="14"/>
  <c r="BV226" i="14"/>
  <c r="BV230" i="14"/>
  <c r="BV235" i="14"/>
  <c r="BV239" i="14"/>
  <c r="BV243" i="14"/>
  <c r="BV247" i="14"/>
  <c r="BV251" i="14"/>
  <c r="BV255" i="14"/>
  <c r="BV259" i="14"/>
  <c r="BV269" i="14"/>
  <c r="BV273" i="14"/>
  <c r="BV277" i="14"/>
  <c r="BV281" i="14"/>
  <c r="BV285" i="14"/>
  <c r="BV289" i="14"/>
  <c r="BV293" i="14"/>
  <c r="BV298" i="14"/>
  <c r="BV302" i="14"/>
  <c r="BV306" i="14"/>
  <c r="BV310" i="14"/>
  <c r="BV314" i="14"/>
  <c r="BV318" i="14"/>
  <c r="BV322" i="14"/>
  <c r="BV328" i="14"/>
  <c r="BV332" i="14"/>
  <c r="BV336" i="14"/>
  <c r="BV340" i="14"/>
  <c r="BV344" i="14"/>
  <c r="BV348" i="14"/>
  <c r="BV352" i="14"/>
  <c r="BV358" i="14"/>
  <c r="BV362" i="14"/>
  <c r="BV366" i="14"/>
  <c r="BV370" i="14"/>
  <c r="BV374" i="14"/>
  <c r="BV378" i="14"/>
  <c r="BV382" i="14"/>
  <c r="BV149" i="14"/>
  <c r="BV165" i="14"/>
  <c r="BV177" i="14"/>
  <c r="BV193" i="14"/>
  <c r="BV219" i="14"/>
  <c r="BV240" i="14"/>
  <c r="BV256" i="14"/>
  <c r="BV266" i="14"/>
  <c r="BV282" i="14"/>
  <c r="BV311" i="14"/>
  <c r="BV337" i="14"/>
  <c r="BV353" i="14"/>
  <c r="BV363" i="14"/>
  <c r="BV379" i="14"/>
  <c r="BV153" i="14"/>
  <c r="BV169" i="14"/>
  <c r="BV181" i="14"/>
  <c r="BV197" i="14"/>
  <c r="BV207" i="14"/>
  <c r="BV223" i="14"/>
  <c r="BV244" i="14"/>
  <c r="BV260" i="14"/>
  <c r="BV270" i="14"/>
  <c r="BV286" i="14"/>
  <c r="BV299" i="14"/>
  <c r="BV315" i="14"/>
  <c r="BV341" i="14"/>
  <c r="BV367" i="14"/>
  <c r="BV383" i="14"/>
  <c r="BV157" i="14"/>
  <c r="BV185" i="14"/>
  <c r="BV201" i="14"/>
  <c r="BV211" i="14"/>
  <c r="BV227" i="14"/>
  <c r="BV248" i="14"/>
  <c r="BV274" i="14"/>
  <c r="BV290" i="14"/>
  <c r="BV303" i="14"/>
  <c r="BV319" i="14"/>
  <c r="BV329" i="14"/>
  <c r="BV345" i="14"/>
  <c r="BV371" i="14"/>
  <c r="BV231" i="14"/>
  <c r="BV252" i="14"/>
  <c r="BV333" i="14"/>
  <c r="BV375" i="14"/>
  <c r="BV145" i="14"/>
  <c r="BV189" i="14"/>
  <c r="BV307" i="14"/>
  <c r="BV349" i="14"/>
  <c r="BV161" i="14"/>
  <c r="BV323" i="14"/>
  <c r="BV173" i="14"/>
  <c r="BV264" i="14"/>
  <c r="BV324" i="14"/>
  <c r="BV356" i="14"/>
  <c r="BV388" i="14"/>
  <c r="BV392" i="14"/>
  <c r="BV396" i="14"/>
  <c r="BV400" i="14"/>
  <c r="BV404" i="14"/>
  <c r="BV408" i="14"/>
  <c r="BV412" i="14"/>
  <c r="BV416" i="14"/>
  <c r="BV420" i="14"/>
  <c r="BV424" i="14"/>
  <c r="BV428" i="14"/>
  <c r="BV432" i="14"/>
  <c r="BV436" i="14"/>
  <c r="BV440" i="14"/>
  <c r="BV444" i="14"/>
  <c r="BV448" i="14"/>
  <c r="BV452" i="14"/>
  <c r="BV456" i="14"/>
  <c r="BV460" i="14"/>
  <c r="BV464" i="14"/>
  <c r="BV468" i="14"/>
  <c r="BV472" i="14"/>
  <c r="BV476" i="14"/>
  <c r="BV236" i="14"/>
  <c r="BV202" i="14"/>
  <c r="BV233" i="14"/>
  <c r="BV265" i="14"/>
  <c r="BV325" i="14"/>
  <c r="BV357" i="14"/>
  <c r="BV389" i="14"/>
  <c r="BV393" i="14"/>
  <c r="BV397" i="14"/>
  <c r="BV401" i="14"/>
  <c r="BV405" i="14"/>
  <c r="BV409" i="14"/>
  <c r="BV413" i="14"/>
  <c r="BV417" i="14"/>
  <c r="BV421" i="14"/>
  <c r="BV425" i="14"/>
  <c r="BV429" i="14"/>
  <c r="BV433" i="14"/>
  <c r="BV437" i="14"/>
  <c r="BV441" i="14"/>
  <c r="BV445" i="14"/>
  <c r="BV449" i="14"/>
  <c r="BV453" i="14"/>
  <c r="BV457" i="14"/>
  <c r="BV461" i="14"/>
  <c r="BV465" i="14"/>
  <c r="BV469" i="14"/>
  <c r="BV473" i="14"/>
  <c r="BV477" i="14"/>
  <c r="BV215" i="14"/>
  <c r="BV203" i="14"/>
  <c r="BV234" i="14"/>
  <c r="BV294" i="14"/>
  <c r="BV326" i="14"/>
  <c r="BV386" i="14"/>
  <c r="BV390" i="14"/>
  <c r="BV394" i="14"/>
  <c r="BV398" i="14"/>
  <c r="BV402" i="14"/>
  <c r="BV406" i="14"/>
  <c r="BV410" i="14"/>
  <c r="BV414" i="14"/>
  <c r="BV418" i="14"/>
  <c r="BV422" i="14"/>
  <c r="BV426" i="14"/>
  <c r="BV430" i="14"/>
  <c r="BV434" i="14"/>
  <c r="BV438" i="14"/>
  <c r="BV442" i="14"/>
  <c r="BV446" i="14"/>
  <c r="BV450" i="14"/>
  <c r="BV454" i="14"/>
  <c r="BV458" i="14"/>
  <c r="BV462" i="14"/>
  <c r="BV466" i="14"/>
  <c r="BV470" i="14"/>
  <c r="BV474" i="14"/>
  <c r="BV478" i="14"/>
  <c r="BV355" i="14"/>
  <c r="BV399" i="14"/>
  <c r="BV415" i="14"/>
  <c r="BV431" i="14"/>
  <c r="BV447" i="14"/>
  <c r="BV463" i="14"/>
  <c r="BV114" i="14"/>
  <c r="BV119" i="14"/>
  <c r="BV123" i="14"/>
  <c r="BV128" i="14"/>
  <c r="BV133" i="14"/>
  <c r="BV137" i="14"/>
  <c r="BV142" i="14"/>
  <c r="BV419" i="14"/>
  <c r="BV467" i="14"/>
  <c r="BV124" i="14"/>
  <c r="BV134" i="14"/>
  <c r="BV263" i="14"/>
  <c r="BV391" i="14"/>
  <c r="BV407" i="14"/>
  <c r="BV423" i="14"/>
  <c r="BV439" i="14"/>
  <c r="BV455" i="14"/>
  <c r="BV471" i="14"/>
  <c r="BV116" i="14"/>
  <c r="BV121" i="14"/>
  <c r="BV125" i="14"/>
  <c r="BV130" i="14"/>
  <c r="BV135" i="14"/>
  <c r="BV140" i="14"/>
  <c r="BV204" i="14"/>
  <c r="BV387" i="14"/>
  <c r="BV403" i="14"/>
  <c r="BV435" i="14"/>
  <c r="BV451" i="14"/>
  <c r="BV115" i="14"/>
  <c r="BV120" i="14"/>
  <c r="BV129" i="14"/>
  <c r="BV139" i="14"/>
  <c r="BV143" i="14"/>
  <c r="BV278" i="14"/>
  <c r="BV359" i="14"/>
  <c r="BV295" i="14"/>
  <c r="BV395" i="14"/>
  <c r="BV411" i="14"/>
  <c r="BV427" i="14"/>
  <c r="BV443" i="14"/>
  <c r="BV459" i="14"/>
  <c r="BV475" i="14"/>
  <c r="BV118" i="14"/>
  <c r="BV122" i="14"/>
  <c r="BV127" i="14"/>
  <c r="BV131" i="14"/>
  <c r="BV136" i="14"/>
  <c r="BV141" i="14"/>
  <c r="BE117" i="14"/>
  <c r="BE144" i="14"/>
  <c r="BE132" i="14"/>
  <c r="BE479" i="14"/>
  <c r="BE138" i="14"/>
  <c r="BE126" i="14"/>
  <c r="BE145" i="14"/>
  <c r="BE149" i="14"/>
  <c r="BE153" i="14"/>
  <c r="BE157" i="14"/>
  <c r="BE161" i="14"/>
  <c r="BE165" i="14"/>
  <c r="BE169" i="14"/>
  <c r="BE174" i="14"/>
  <c r="BE178" i="14"/>
  <c r="BE182" i="14"/>
  <c r="BE146" i="14"/>
  <c r="BE150" i="14"/>
  <c r="BE154" i="14"/>
  <c r="BE158" i="14"/>
  <c r="BE162" i="14"/>
  <c r="BE166" i="14"/>
  <c r="BE170" i="14"/>
  <c r="BE175" i="14"/>
  <c r="BE179" i="14"/>
  <c r="BE183" i="14"/>
  <c r="BE187" i="14"/>
  <c r="BE191" i="14"/>
  <c r="BE195" i="14"/>
  <c r="BE199" i="14"/>
  <c r="BE206" i="14"/>
  <c r="BE210" i="14"/>
  <c r="BE214" i="14"/>
  <c r="BE218" i="14"/>
  <c r="BE222" i="14"/>
  <c r="BE226" i="14"/>
  <c r="BE230" i="14"/>
  <c r="BE236" i="14"/>
  <c r="BE240" i="14"/>
  <c r="BE244" i="14"/>
  <c r="BE248" i="14"/>
  <c r="BE252" i="14"/>
  <c r="BE256" i="14"/>
  <c r="BE260" i="14"/>
  <c r="BE267" i="14"/>
  <c r="BE271" i="14"/>
  <c r="BE147" i="14"/>
  <c r="BE151" i="14"/>
  <c r="BE155" i="14"/>
  <c r="BE159" i="14"/>
  <c r="BE163" i="14"/>
  <c r="BE167" i="14"/>
  <c r="BE171" i="14"/>
  <c r="BE176" i="14"/>
  <c r="BE180" i="14"/>
  <c r="BE184" i="14"/>
  <c r="BE188" i="14"/>
  <c r="BE192" i="14"/>
  <c r="BE196" i="14"/>
  <c r="BE200" i="14"/>
  <c r="BE207" i="14"/>
  <c r="BE211" i="14"/>
  <c r="BE215" i="14"/>
  <c r="BE219" i="14"/>
  <c r="BE223" i="14"/>
  <c r="BE227" i="14"/>
  <c r="BE231" i="14"/>
  <c r="BE237" i="14"/>
  <c r="BE241" i="14"/>
  <c r="BE245" i="14"/>
  <c r="BE249" i="14"/>
  <c r="BE253" i="14"/>
  <c r="BE257" i="14"/>
  <c r="BE261" i="14"/>
  <c r="BE268" i="14"/>
  <c r="BE272" i="14"/>
  <c r="BE276" i="14"/>
  <c r="BE280" i="14"/>
  <c r="BE284" i="14"/>
  <c r="BE288" i="14"/>
  <c r="BE292" i="14"/>
  <c r="BE298" i="14"/>
  <c r="BE302" i="14"/>
  <c r="BE306" i="14"/>
  <c r="BE310" i="14"/>
  <c r="BE314" i="14"/>
  <c r="BE318" i="14"/>
  <c r="BE322" i="14"/>
  <c r="BE329" i="14"/>
  <c r="BE333" i="14"/>
  <c r="BE337" i="14"/>
  <c r="BE341" i="14"/>
  <c r="BE345" i="14"/>
  <c r="BE349" i="14"/>
  <c r="BE353" i="14"/>
  <c r="BE360" i="14"/>
  <c r="BE364" i="14"/>
  <c r="BE368" i="14"/>
  <c r="BE372" i="14"/>
  <c r="BE376" i="14"/>
  <c r="BE380" i="14"/>
  <c r="BE384" i="14"/>
  <c r="BE148" i="14"/>
  <c r="BE164" i="14"/>
  <c r="BE181" i="14"/>
  <c r="BE190" i="14"/>
  <c r="BE198" i="14"/>
  <c r="BE209" i="14"/>
  <c r="BE217" i="14"/>
  <c r="BE225" i="14"/>
  <c r="BE235" i="14"/>
  <c r="BE243" i="14"/>
  <c r="BE251" i="14"/>
  <c r="BE259" i="14"/>
  <c r="BE270" i="14"/>
  <c r="BE277" i="14"/>
  <c r="BE282" i="14"/>
  <c r="BE287" i="14"/>
  <c r="BE293" i="14"/>
  <c r="BE300" i="14"/>
  <c r="BE305" i="14"/>
  <c r="BE311" i="14"/>
  <c r="BE316" i="14"/>
  <c r="BE321" i="14"/>
  <c r="BE330" i="14"/>
  <c r="BE335" i="14"/>
  <c r="BE340" i="14"/>
  <c r="BE346" i="14"/>
  <c r="BE351" i="14"/>
  <c r="BE359" i="14"/>
  <c r="BE365" i="14"/>
  <c r="BE370" i="14"/>
  <c r="BE375" i="14"/>
  <c r="BE381" i="14"/>
  <c r="BE152" i="14"/>
  <c r="BE168" i="14"/>
  <c r="BE185" i="14"/>
  <c r="BE193" i="14"/>
  <c r="BE201" i="14"/>
  <c r="BE212" i="14"/>
  <c r="BE220" i="14"/>
  <c r="BE228" i="14"/>
  <c r="BE238" i="14"/>
  <c r="BE246" i="14"/>
  <c r="BE254" i="14"/>
  <c r="BE262" i="14"/>
  <c r="BE273" i="14"/>
  <c r="BE278" i="14"/>
  <c r="BE283" i="14"/>
  <c r="BE289" i="14"/>
  <c r="BE296" i="14"/>
  <c r="BE301" i="14"/>
  <c r="BE307" i="14"/>
  <c r="BE312" i="14"/>
  <c r="BE317" i="14"/>
  <c r="BE323" i="14"/>
  <c r="BE331" i="14"/>
  <c r="BE336" i="14"/>
  <c r="BE342" i="14"/>
  <c r="BE347" i="14"/>
  <c r="BE352" i="14"/>
  <c r="BE361" i="14"/>
  <c r="BE366" i="14"/>
  <c r="BE371" i="14"/>
  <c r="BE377" i="14"/>
  <c r="BE382" i="14"/>
  <c r="BE156" i="14"/>
  <c r="BE172" i="14"/>
  <c r="BE186" i="14"/>
  <c r="BE194" i="14"/>
  <c r="BE205" i="14"/>
  <c r="BE213" i="14"/>
  <c r="BE221" i="14"/>
  <c r="BE229" i="14"/>
  <c r="BE239" i="14"/>
  <c r="BE247" i="14"/>
  <c r="BE255" i="14"/>
  <c r="BE266" i="14"/>
  <c r="BE274" i="14"/>
  <c r="BE279" i="14"/>
  <c r="BE285" i="14"/>
  <c r="BE290" i="14"/>
  <c r="BE297" i="14"/>
  <c r="BE303" i="14"/>
  <c r="BE308" i="14"/>
  <c r="BE313" i="14"/>
  <c r="BE319" i="14"/>
  <c r="BE327" i="14"/>
  <c r="BE332" i="14"/>
  <c r="BE338" i="14"/>
  <c r="BE343" i="14"/>
  <c r="BE348" i="14"/>
  <c r="BE354" i="14"/>
  <c r="BE362" i="14"/>
  <c r="BE367" i="14"/>
  <c r="BE373" i="14"/>
  <c r="BE378" i="14"/>
  <c r="BE383" i="14"/>
  <c r="BE189" i="14"/>
  <c r="BE224" i="14"/>
  <c r="BE258" i="14"/>
  <c r="BE286" i="14"/>
  <c r="BE309" i="14"/>
  <c r="BE334" i="14"/>
  <c r="BE358" i="14"/>
  <c r="BE379" i="14"/>
  <c r="BE197" i="14"/>
  <c r="BE232" i="14"/>
  <c r="BE269" i="14"/>
  <c r="BE291" i="14"/>
  <c r="BE315" i="14"/>
  <c r="BE339" i="14"/>
  <c r="BE363" i="14"/>
  <c r="BE385" i="14"/>
  <c r="BE160" i="14"/>
  <c r="BE208" i="14"/>
  <c r="BE242" i="14"/>
  <c r="BE275" i="14"/>
  <c r="BE299" i="14"/>
  <c r="BE320" i="14"/>
  <c r="BE344" i="14"/>
  <c r="BE369" i="14"/>
  <c r="BE250" i="14"/>
  <c r="BE350" i="14"/>
  <c r="BE281" i="14"/>
  <c r="BE374" i="14"/>
  <c r="BE177" i="14"/>
  <c r="BE304" i="14"/>
  <c r="BE203" i="14"/>
  <c r="BE234" i="14"/>
  <c r="BE294" i="14"/>
  <c r="BE326" i="14"/>
  <c r="BE386" i="14"/>
  <c r="BE390" i="14"/>
  <c r="BE394" i="14"/>
  <c r="BE398" i="14"/>
  <c r="BE402" i="14"/>
  <c r="BE406" i="14"/>
  <c r="BE410" i="14"/>
  <c r="BE414" i="14"/>
  <c r="BE418" i="14"/>
  <c r="BE422" i="14"/>
  <c r="BE426" i="14"/>
  <c r="BE430" i="14"/>
  <c r="BE434" i="14"/>
  <c r="BE438" i="14"/>
  <c r="BE442" i="14"/>
  <c r="BE446" i="14"/>
  <c r="BE450" i="14"/>
  <c r="BE454" i="14"/>
  <c r="BE458" i="14"/>
  <c r="BE462" i="14"/>
  <c r="BE466" i="14"/>
  <c r="BE470" i="14"/>
  <c r="BE474" i="14"/>
  <c r="BE478" i="14"/>
  <c r="BE216" i="14"/>
  <c r="BE204" i="14"/>
  <c r="BE263" i="14"/>
  <c r="BE295" i="14"/>
  <c r="BE355" i="14"/>
  <c r="BE387" i="14"/>
  <c r="BE391" i="14"/>
  <c r="BE395" i="14"/>
  <c r="BE399" i="14"/>
  <c r="BE403" i="14"/>
  <c r="BE407" i="14"/>
  <c r="BE411" i="14"/>
  <c r="BE415" i="14"/>
  <c r="BE419" i="14"/>
  <c r="BE423" i="14"/>
  <c r="BE427" i="14"/>
  <c r="BE431" i="14"/>
  <c r="BE435" i="14"/>
  <c r="BE439" i="14"/>
  <c r="BE443" i="14"/>
  <c r="BE447" i="14"/>
  <c r="BE451" i="14"/>
  <c r="BE455" i="14"/>
  <c r="BE459" i="14"/>
  <c r="BE463" i="14"/>
  <c r="BE467" i="14"/>
  <c r="BE471" i="14"/>
  <c r="BE475" i="14"/>
  <c r="BE328" i="14"/>
  <c r="BE173" i="14"/>
  <c r="BE264" i="14"/>
  <c r="BE324" i="14"/>
  <c r="BE356" i="14"/>
  <c r="BE388" i="14"/>
  <c r="BE392" i="14"/>
  <c r="BE396" i="14"/>
  <c r="BE400" i="14"/>
  <c r="BE404" i="14"/>
  <c r="BE408" i="14"/>
  <c r="BE412" i="14"/>
  <c r="BE416" i="14"/>
  <c r="BE420" i="14"/>
  <c r="BE424" i="14"/>
  <c r="BE428" i="14"/>
  <c r="BE432" i="14"/>
  <c r="BE436" i="14"/>
  <c r="BE440" i="14"/>
  <c r="BE444" i="14"/>
  <c r="BE448" i="14"/>
  <c r="BE452" i="14"/>
  <c r="BE456" i="14"/>
  <c r="BE460" i="14"/>
  <c r="BE464" i="14"/>
  <c r="BE468" i="14"/>
  <c r="BE472" i="14"/>
  <c r="BE476" i="14"/>
  <c r="BE325" i="14"/>
  <c r="BE397" i="14"/>
  <c r="BE413" i="14"/>
  <c r="BE429" i="14"/>
  <c r="BE445" i="14"/>
  <c r="BE461" i="14"/>
  <c r="BE477" i="14"/>
  <c r="BE114" i="14"/>
  <c r="BE119" i="14"/>
  <c r="BE123" i="14"/>
  <c r="BE128" i="14"/>
  <c r="BE133" i="14"/>
  <c r="BE137" i="14"/>
  <c r="BE142" i="14"/>
  <c r="BE357" i="14"/>
  <c r="BE433" i="14"/>
  <c r="BE465" i="14"/>
  <c r="BE120" i="14"/>
  <c r="BE129" i="14"/>
  <c r="BE233" i="14"/>
  <c r="BE389" i="14"/>
  <c r="BE405" i="14"/>
  <c r="BE421" i="14"/>
  <c r="BE437" i="14"/>
  <c r="BE453" i="14"/>
  <c r="BE469" i="14"/>
  <c r="BE116" i="14"/>
  <c r="BE121" i="14"/>
  <c r="BE125" i="14"/>
  <c r="BE130" i="14"/>
  <c r="BE135" i="14"/>
  <c r="BE140" i="14"/>
  <c r="BE202" i="14"/>
  <c r="BE401" i="14"/>
  <c r="BE417" i="14"/>
  <c r="BE449" i="14"/>
  <c r="BE115" i="14"/>
  <c r="BE124" i="14"/>
  <c r="BE134" i="14"/>
  <c r="BE139" i="14"/>
  <c r="BE143" i="14"/>
  <c r="BE265" i="14"/>
  <c r="BE393" i="14"/>
  <c r="BE409" i="14"/>
  <c r="BE425" i="14"/>
  <c r="BE441" i="14"/>
  <c r="BE457" i="14"/>
  <c r="BE473" i="14"/>
  <c r="BE118" i="14"/>
  <c r="BE122" i="14"/>
  <c r="BE127" i="14"/>
  <c r="BE131" i="14"/>
  <c r="BE136" i="14"/>
  <c r="BE141" i="14"/>
  <c r="CG275" i="14"/>
  <c r="CF275" i="14"/>
  <c r="Q144" i="29"/>
  <c r="K77" i="28"/>
  <c r="CG269" i="14"/>
  <c r="CF269" i="14"/>
  <c r="CG274" i="14"/>
  <c r="CF274" i="14"/>
  <c r="I280" i="28"/>
  <c r="T71" i="27"/>
  <c r="P151" i="29"/>
  <c r="BK59" i="14"/>
  <c r="BJ60" i="14"/>
  <c r="BI72" i="14"/>
  <c r="CG280" i="14"/>
  <c r="CF280" i="14"/>
  <c r="CG119" i="14"/>
  <c r="CF119" i="14"/>
  <c r="O31" i="29"/>
  <c r="R31" i="29" s="1"/>
  <c r="N24" i="29"/>
  <c r="R35" i="29"/>
  <c r="N28" i="29"/>
  <c r="AK286" i="14"/>
  <c r="T286" i="14"/>
  <c r="CG241" i="14"/>
  <c r="CF241" i="14"/>
  <c r="CG206" i="14"/>
  <c r="CF206" i="14"/>
  <c r="G247" i="14"/>
  <c r="CG214" i="14"/>
  <c r="CF214" i="14"/>
  <c r="T34" i="29"/>
  <c r="AH285" i="14"/>
  <c r="AL285" i="14"/>
  <c r="CG270" i="14"/>
  <c r="CF270" i="14"/>
  <c r="N40" i="29"/>
  <c r="CG239" i="14"/>
  <c r="CF239" i="14"/>
  <c r="CG240" i="14"/>
  <c r="CF240" i="14"/>
  <c r="R24" i="29"/>
  <c r="N105" i="29"/>
  <c r="S72" i="27"/>
  <c r="K79" i="27"/>
  <c r="U72" i="27" s="1"/>
  <c r="AO308" i="14"/>
  <c r="T26" i="29"/>
  <c r="AI186" i="14"/>
  <c r="L193" i="14"/>
  <c r="AG186" i="14"/>
  <c r="L78" i="26"/>
  <c r="T38" i="29"/>
  <c r="S71" i="27"/>
  <c r="I79" i="27"/>
  <c r="U71" i="27" s="1"/>
  <c r="CG273" i="14"/>
  <c r="CF273" i="14"/>
  <c r="CG115" i="14"/>
  <c r="CF115" i="14"/>
  <c r="V22" i="25"/>
  <c r="D21" i="25"/>
  <c r="C21" i="25" s="1"/>
  <c r="R21" i="25"/>
  <c r="AR371" i="14" s="1"/>
  <c r="T21" i="25"/>
  <c r="Y21" i="25" s="1"/>
  <c r="U21" i="25"/>
  <c r="Z21" i="25" s="1"/>
  <c r="S21" i="25"/>
  <c r="X21" i="25" s="1"/>
  <c r="B127" i="14"/>
  <c r="E128" i="14"/>
  <c r="C127" i="14"/>
  <c r="D127" i="14" s="1"/>
  <c r="AN127" i="14"/>
  <c r="Q127" i="14"/>
  <c r="H126" i="15"/>
  <c r="J127" i="14"/>
  <c r="R43" i="29"/>
  <c r="AI162" i="14"/>
  <c r="L169" i="14"/>
  <c r="AG162" i="14"/>
  <c r="CG123" i="14"/>
  <c r="CF123" i="14"/>
  <c r="H280" i="28"/>
  <c r="P150" i="29"/>
  <c r="T70" i="27"/>
  <c r="CG271" i="14"/>
  <c r="CF271" i="14"/>
  <c r="CA161" i="14"/>
  <c r="CA167" i="14"/>
  <c r="CA171" i="14"/>
  <c r="CA238" i="14"/>
  <c r="CA242" i="14"/>
  <c r="CA246" i="14"/>
  <c r="CA250" i="14"/>
  <c r="CA254" i="14"/>
  <c r="CA258" i="14"/>
  <c r="CA262" i="14"/>
  <c r="CA145" i="14"/>
  <c r="CA151" i="14"/>
  <c r="CA155" i="14"/>
  <c r="CA159" i="14"/>
  <c r="CA173" i="14"/>
  <c r="CA177" i="14"/>
  <c r="CA181" i="14"/>
  <c r="CA185" i="14"/>
  <c r="CA189" i="14"/>
  <c r="CA193" i="14"/>
  <c r="CA197" i="14"/>
  <c r="CA201" i="14"/>
  <c r="CA205" i="14"/>
  <c r="CA209" i="14"/>
  <c r="CA213" i="14"/>
  <c r="CA217" i="14"/>
  <c r="CA221" i="14"/>
  <c r="CA225" i="14"/>
  <c r="CA229" i="14"/>
  <c r="CA233" i="14"/>
  <c r="CA268" i="14"/>
  <c r="CA272" i="14"/>
  <c r="CA276" i="14"/>
  <c r="CA280" i="14"/>
  <c r="CA284" i="14"/>
  <c r="CA288" i="14"/>
  <c r="CA292" i="14"/>
  <c r="CA296" i="14"/>
  <c r="CA300" i="14"/>
  <c r="CA304" i="14"/>
  <c r="CA308" i="14"/>
  <c r="CA312" i="14"/>
  <c r="CA316" i="14"/>
  <c r="CA320" i="14"/>
  <c r="CA324" i="14"/>
  <c r="CA328" i="14"/>
  <c r="CA332" i="14"/>
  <c r="CA336" i="14"/>
  <c r="CA340" i="14"/>
  <c r="CA344" i="14"/>
  <c r="CA348" i="14"/>
  <c r="CA352" i="14"/>
  <c r="CA356" i="14"/>
  <c r="CA360" i="14"/>
  <c r="CA364" i="14"/>
  <c r="CA368" i="14"/>
  <c r="CA372" i="14"/>
  <c r="CA376" i="14"/>
  <c r="CA380" i="14"/>
  <c r="CA384" i="14"/>
  <c r="CA388" i="14"/>
  <c r="CA392" i="14"/>
  <c r="CA396" i="14"/>
  <c r="CA400" i="14"/>
  <c r="CA404" i="14"/>
  <c r="CA408" i="14"/>
  <c r="CA412" i="14"/>
  <c r="CA416" i="14"/>
  <c r="CA420" i="14"/>
  <c r="CA424" i="14"/>
  <c r="CA428" i="14"/>
  <c r="CA432" i="14"/>
  <c r="CA436" i="14"/>
  <c r="CA440" i="14"/>
  <c r="CA444" i="14"/>
  <c r="CA448" i="14"/>
  <c r="CA452" i="14"/>
  <c r="CA456" i="14"/>
  <c r="CA460" i="14"/>
  <c r="CA464" i="14"/>
  <c r="CA468" i="14"/>
  <c r="CA472" i="14"/>
  <c r="CA476" i="14"/>
  <c r="CA149" i="14"/>
  <c r="CA162" i="14"/>
  <c r="CA168" i="14"/>
  <c r="CA235" i="14"/>
  <c r="CA239" i="14"/>
  <c r="CA243" i="14"/>
  <c r="CA247" i="14"/>
  <c r="CA251" i="14"/>
  <c r="CA255" i="14"/>
  <c r="CA259" i="14"/>
  <c r="CA263" i="14"/>
  <c r="CA146" i="14"/>
  <c r="CA152" i="14"/>
  <c r="CA156" i="14"/>
  <c r="CA165" i="14"/>
  <c r="CA174" i="14"/>
  <c r="CA178" i="14"/>
  <c r="CA182" i="14"/>
  <c r="CA186" i="14"/>
  <c r="CA190" i="14"/>
  <c r="CA194" i="14"/>
  <c r="CA198" i="14"/>
  <c r="CA202" i="14"/>
  <c r="CA206" i="14"/>
  <c r="CA210" i="14"/>
  <c r="CA214" i="14"/>
  <c r="CA218" i="14"/>
  <c r="CA222" i="14"/>
  <c r="CA226" i="14"/>
  <c r="CA230" i="14"/>
  <c r="CA234" i="14"/>
  <c r="CA269" i="14"/>
  <c r="CA273" i="14"/>
  <c r="CA277" i="14"/>
  <c r="CA281" i="14"/>
  <c r="CA285" i="14"/>
  <c r="CA289" i="14"/>
  <c r="CA293" i="14"/>
  <c r="CA297" i="14"/>
  <c r="CA301" i="14"/>
  <c r="CA305" i="14"/>
  <c r="CA309" i="14"/>
  <c r="CA313" i="14"/>
  <c r="CA317" i="14"/>
  <c r="CA321" i="14"/>
  <c r="CA325" i="14"/>
  <c r="CA329" i="14"/>
  <c r="CA333" i="14"/>
  <c r="CA337" i="14"/>
  <c r="CA341" i="14"/>
  <c r="CA345" i="14"/>
  <c r="CA349" i="14"/>
  <c r="CA353" i="14"/>
  <c r="CA357" i="14"/>
  <c r="CA361" i="14"/>
  <c r="CA365" i="14"/>
  <c r="CA369" i="14"/>
  <c r="CA373" i="14"/>
  <c r="CA377" i="14"/>
  <c r="CA381" i="14"/>
  <c r="CA385" i="14"/>
  <c r="CA389" i="14"/>
  <c r="CA393" i="14"/>
  <c r="CA397" i="14"/>
  <c r="CA401" i="14"/>
  <c r="CA405" i="14"/>
  <c r="CA409" i="14"/>
  <c r="CA413" i="14"/>
  <c r="CA417" i="14"/>
  <c r="CA421" i="14"/>
  <c r="CA425" i="14"/>
  <c r="CA429" i="14"/>
  <c r="CA433" i="14"/>
  <c r="CA437" i="14"/>
  <c r="CA441" i="14"/>
  <c r="CA445" i="14"/>
  <c r="CA449" i="14"/>
  <c r="CA453" i="14"/>
  <c r="CA457" i="14"/>
  <c r="CA461" i="14"/>
  <c r="CA465" i="14"/>
  <c r="CA469" i="14"/>
  <c r="CA473" i="14"/>
  <c r="CA477" i="14"/>
  <c r="CA150" i="14"/>
  <c r="CA163" i="14"/>
  <c r="CA169" i="14"/>
  <c r="CA236" i="14"/>
  <c r="CA240" i="14"/>
  <c r="CA244" i="14"/>
  <c r="CA248" i="14"/>
  <c r="CA252" i="14"/>
  <c r="CA256" i="14"/>
  <c r="CA260" i="14"/>
  <c r="CA264" i="14"/>
  <c r="CA147" i="14"/>
  <c r="CA153" i="14"/>
  <c r="CA157" i="14"/>
  <c r="CA166" i="14"/>
  <c r="CA175" i="14"/>
  <c r="CA179" i="14"/>
  <c r="CA183" i="14"/>
  <c r="CA187" i="14"/>
  <c r="CA191" i="14"/>
  <c r="CA195" i="14"/>
  <c r="CA199" i="14"/>
  <c r="CA203" i="14"/>
  <c r="CA207" i="14"/>
  <c r="CA211" i="14"/>
  <c r="CA215" i="14"/>
  <c r="CA219" i="14"/>
  <c r="CA223" i="14"/>
  <c r="CA227" i="14"/>
  <c r="CA231" i="14"/>
  <c r="CA266" i="14"/>
  <c r="CA270" i="14"/>
  <c r="CA274" i="14"/>
  <c r="CA278" i="14"/>
  <c r="CA282" i="14"/>
  <c r="CA286" i="14"/>
  <c r="CA290" i="14"/>
  <c r="CA294" i="14"/>
  <c r="CA298" i="14"/>
  <c r="CA302" i="14"/>
  <c r="CA306" i="14"/>
  <c r="CA310" i="14"/>
  <c r="CA314" i="14"/>
  <c r="CA318" i="14"/>
  <c r="CA322" i="14"/>
  <c r="CA326" i="14"/>
  <c r="CA330" i="14"/>
  <c r="CA334" i="14"/>
  <c r="CA338" i="14"/>
  <c r="CA342" i="14"/>
  <c r="CA346" i="14"/>
  <c r="CA350" i="14"/>
  <c r="CA354" i="14"/>
  <c r="CA358" i="14"/>
  <c r="CA362" i="14"/>
  <c r="CA366" i="14"/>
  <c r="CA370" i="14"/>
  <c r="CA374" i="14"/>
  <c r="CA378" i="14"/>
  <c r="CA382" i="14"/>
  <c r="CA386" i="14"/>
  <c r="CA390" i="14"/>
  <c r="CA394" i="14"/>
  <c r="CA398" i="14"/>
  <c r="CA402" i="14"/>
  <c r="CA406" i="14"/>
  <c r="CA410" i="14"/>
  <c r="CA414" i="14"/>
  <c r="CA418" i="14"/>
  <c r="CA422" i="14"/>
  <c r="CA426" i="14"/>
  <c r="CA430" i="14"/>
  <c r="CA434" i="14"/>
  <c r="CA438" i="14"/>
  <c r="CA442" i="14"/>
  <c r="CA446" i="14"/>
  <c r="CA450" i="14"/>
  <c r="CA454" i="14"/>
  <c r="CA458" i="14"/>
  <c r="CA462" i="14"/>
  <c r="CA466" i="14"/>
  <c r="CA470" i="14"/>
  <c r="CA474" i="14"/>
  <c r="CA478" i="14"/>
  <c r="CA237" i="14"/>
  <c r="CA253" i="14"/>
  <c r="CA148" i="14"/>
  <c r="CA176" i="14"/>
  <c r="CA192" i="14"/>
  <c r="CA208" i="14"/>
  <c r="CA224" i="14"/>
  <c r="CA271" i="14"/>
  <c r="CA287" i="14"/>
  <c r="CA303" i="14"/>
  <c r="CA319" i="14"/>
  <c r="CA335" i="14"/>
  <c r="CA351" i="14"/>
  <c r="CA367" i="14"/>
  <c r="CA383" i="14"/>
  <c r="CA399" i="14"/>
  <c r="CA415" i="14"/>
  <c r="CA431" i="14"/>
  <c r="CA447" i="14"/>
  <c r="CA463" i="14"/>
  <c r="CA479" i="14"/>
  <c r="CA114" i="14"/>
  <c r="CA118" i="14"/>
  <c r="CA122" i="14"/>
  <c r="CA126" i="14"/>
  <c r="CA130" i="14"/>
  <c r="CA134" i="14"/>
  <c r="CA138" i="14"/>
  <c r="CA142" i="14"/>
  <c r="CA115" i="14"/>
  <c r="CA123" i="14"/>
  <c r="CA131" i="14"/>
  <c r="CA139" i="14"/>
  <c r="CA164" i="14"/>
  <c r="CA245" i="14"/>
  <c r="CA261" i="14"/>
  <c r="CA158" i="14"/>
  <c r="CA184" i="14"/>
  <c r="CA200" i="14"/>
  <c r="CA216" i="14"/>
  <c r="CA232" i="14"/>
  <c r="CA279" i="14"/>
  <c r="CA295" i="14"/>
  <c r="CA311" i="14"/>
  <c r="CA327" i="14"/>
  <c r="CA343" i="14"/>
  <c r="CA359" i="14"/>
  <c r="CA375" i="14"/>
  <c r="CA391" i="14"/>
  <c r="CA407" i="14"/>
  <c r="CA423" i="14"/>
  <c r="CA439" i="14"/>
  <c r="CA455" i="14"/>
  <c r="CA471" i="14"/>
  <c r="CA116" i="14"/>
  <c r="CA120" i="14"/>
  <c r="CA124" i="14"/>
  <c r="CA128" i="14"/>
  <c r="CA132" i="14"/>
  <c r="CA136" i="14"/>
  <c r="CA140" i="14"/>
  <c r="CA144" i="14"/>
  <c r="CA160" i="14"/>
  <c r="CA241" i="14"/>
  <c r="CA257" i="14"/>
  <c r="CA154" i="14"/>
  <c r="CA180" i="14"/>
  <c r="CA196" i="14"/>
  <c r="CA212" i="14"/>
  <c r="CA228" i="14"/>
  <c r="CA275" i="14"/>
  <c r="CA291" i="14"/>
  <c r="CA307" i="14"/>
  <c r="CA323" i="14"/>
  <c r="CA339" i="14"/>
  <c r="CA355" i="14"/>
  <c r="CA371" i="14"/>
  <c r="CA387" i="14"/>
  <c r="CA403" i="14"/>
  <c r="CA419" i="14"/>
  <c r="CA435" i="14"/>
  <c r="CA451" i="14"/>
  <c r="CA467" i="14"/>
  <c r="CA119" i="14"/>
  <c r="CA127" i="14"/>
  <c r="CA135" i="14"/>
  <c r="CA143" i="14"/>
  <c r="CA170" i="14"/>
  <c r="CA249" i="14"/>
  <c r="CA265" i="14"/>
  <c r="CA172" i="14"/>
  <c r="CA188" i="14"/>
  <c r="CA204" i="14"/>
  <c r="CA220" i="14"/>
  <c r="CA267" i="14"/>
  <c r="CA283" i="14"/>
  <c r="CA299" i="14"/>
  <c r="CA315" i="14"/>
  <c r="CA331" i="14"/>
  <c r="CA347" i="14"/>
  <c r="CA363" i="14"/>
  <c r="CA379" i="14"/>
  <c r="CA395" i="14"/>
  <c r="CA411" i="14"/>
  <c r="CA427" i="14"/>
  <c r="CA443" i="14"/>
  <c r="CA459" i="14"/>
  <c r="CA475" i="14"/>
  <c r="CA117" i="14"/>
  <c r="CA121" i="14"/>
  <c r="CA125" i="14"/>
  <c r="CA129" i="14"/>
  <c r="CA133" i="14"/>
  <c r="CA137" i="14"/>
  <c r="CA141" i="14"/>
  <c r="J105" i="29"/>
  <c r="CG117" i="14"/>
  <c r="CF117" i="14"/>
  <c r="J36" i="29"/>
  <c r="J27" i="29"/>
  <c r="CG282" i="14"/>
  <c r="CF282" i="14"/>
  <c r="C23" i="22"/>
  <c r="D24" i="22"/>
  <c r="CG283" i="14"/>
  <c r="CF283" i="14"/>
  <c r="BW132" i="14"/>
  <c r="BW138" i="14"/>
  <c r="BW144" i="14"/>
  <c r="BW126" i="14"/>
  <c r="BW479" i="14"/>
  <c r="BW117" i="14"/>
  <c r="BW147" i="14"/>
  <c r="BW151" i="14"/>
  <c r="BW155" i="14"/>
  <c r="BW159" i="14"/>
  <c r="BW163" i="14"/>
  <c r="BW167" i="14"/>
  <c r="BW171" i="14"/>
  <c r="BW176" i="14"/>
  <c r="BW180" i="14"/>
  <c r="BW184" i="14"/>
  <c r="BW188" i="14"/>
  <c r="BW192" i="14"/>
  <c r="BW196" i="14"/>
  <c r="BW200" i="14"/>
  <c r="BW207" i="14"/>
  <c r="BW211" i="14"/>
  <c r="BW215" i="14"/>
  <c r="BW219" i="14"/>
  <c r="BW223" i="14"/>
  <c r="BW227" i="14"/>
  <c r="BW231" i="14"/>
  <c r="BW237" i="14"/>
  <c r="BW241" i="14"/>
  <c r="BW245" i="14"/>
  <c r="BW249" i="14"/>
  <c r="BW253" i="14"/>
  <c r="BW257" i="14"/>
  <c r="BW261" i="14"/>
  <c r="BW268" i="14"/>
  <c r="BW272" i="14"/>
  <c r="BW276" i="14"/>
  <c r="BW280" i="14"/>
  <c r="BW284" i="14"/>
  <c r="BW288" i="14"/>
  <c r="BW292" i="14"/>
  <c r="BW298" i="14"/>
  <c r="BW302" i="14"/>
  <c r="BW306" i="14"/>
  <c r="BW310" i="14"/>
  <c r="BW314" i="14"/>
  <c r="BW318" i="14"/>
  <c r="BW322" i="14"/>
  <c r="BW329" i="14"/>
  <c r="BW333" i="14"/>
  <c r="BW337" i="14"/>
  <c r="BW341" i="14"/>
  <c r="BW345" i="14"/>
  <c r="BW349" i="14"/>
  <c r="BW353" i="14"/>
  <c r="BW360" i="14"/>
  <c r="BW364" i="14"/>
  <c r="BW368" i="14"/>
  <c r="BW372" i="14"/>
  <c r="BW376" i="14"/>
  <c r="BW380" i="14"/>
  <c r="BW384" i="14"/>
  <c r="BW148" i="14"/>
  <c r="BW152" i="14"/>
  <c r="BW156" i="14"/>
  <c r="BW160" i="14"/>
  <c r="BW164" i="14"/>
  <c r="BW168" i="14"/>
  <c r="BW172" i="14"/>
  <c r="BW177" i="14"/>
  <c r="BW181" i="14"/>
  <c r="BW185" i="14"/>
  <c r="BW189" i="14"/>
  <c r="BW193" i="14"/>
  <c r="BW197" i="14"/>
  <c r="BW201" i="14"/>
  <c r="BW208" i="14"/>
  <c r="BW212" i="14"/>
  <c r="BW216" i="14"/>
  <c r="BW220" i="14"/>
  <c r="BW224" i="14"/>
  <c r="BW228" i="14"/>
  <c r="BW232" i="14"/>
  <c r="BW238" i="14"/>
  <c r="BW242" i="14"/>
  <c r="BW246" i="14"/>
  <c r="BW250" i="14"/>
  <c r="BW254" i="14"/>
  <c r="BW258" i="14"/>
  <c r="BW262" i="14"/>
  <c r="BW269" i="14"/>
  <c r="BW273" i="14"/>
  <c r="BW277" i="14"/>
  <c r="BW281" i="14"/>
  <c r="BW285" i="14"/>
  <c r="BW289" i="14"/>
  <c r="BW293" i="14"/>
  <c r="BW299" i="14"/>
  <c r="BW303" i="14"/>
  <c r="BW307" i="14"/>
  <c r="BW311" i="14"/>
  <c r="BW315" i="14"/>
  <c r="BW319" i="14"/>
  <c r="BW323" i="14"/>
  <c r="BW330" i="14"/>
  <c r="BW334" i="14"/>
  <c r="BW338" i="14"/>
  <c r="BW342" i="14"/>
  <c r="BW346" i="14"/>
  <c r="BW350" i="14"/>
  <c r="BW354" i="14"/>
  <c r="BW361" i="14"/>
  <c r="BW365" i="14"/>
  <c r="BW369" i="14"/>
  <c r="BW373" i="14"/>
  <c r="BW377" i="14"/>
  <c r="BW381" i="14"/>
  <c r="BW385" i="14"/>
  <c r="BW145" i="14"/>
  <c r="BW149" i="14"/>
  <c r="BW153" i="14"/>
  <c r="BW157" i="14"/>
  <c r="BW161" i="14"/>
  <c r="BW165" i="14"/>
  <c r="BW169" i="14"/>
  <c r="BW174" i="14"/>
  <c r="BW178" i="14"/>
  <c r="BW182" i="14"/>
  <c r="BW186" i="14"/>
  <c r="BW190" i="14"/>
  <c r="BW194" i="14"/>
  <c r="BW198" i="14"/>
  <c r="BW205" i="14"/>
  <c r="BW209" i="14"/>
  <c r="BW213" i="14"/>
  <c r="BW217" i="14"/>
  <c r="BW221" i="14"/>
  <c r="BW225" i="14"/>
  <c r="BW229" i="14"/>
  <c r="BW235" i="14"/>
  <c r="BW239" i="14"/>
  <c r="BW243" i="14"/>
  <c r="BW247" i="14"/>
  <c r="BW251" i="14"/>
  <c r="BW255" i="14"/>
  <c r="BW259" i="14"/>
  <c r="BW266" i="14"/>
  <c r="BW270" i="14"/>
  <c r="BW274" i="14"/>
  <c r="BW278" i="14"/>
  <c r="BW282" i="14"/>
  <c r="BW286" i="14"/>
  <c r="BW290" i="14"/>
  <c r="BW296" i="14"/>
  <c r="BW300" i="14"/>
  <c r="BW304" i="14"/>
  <c r="BW308" i="14"/>
  <c r="BW312" i="14"/>
  <c r="BW316" i="14"/>
  <c r="BW320" i="14"/>
  <c r="BW327" i="14"/>
  <c r="BW331" i="14"/>
  <c r="BW335" i="14"/>
  <c r="BW339" i="14"/>
  <c r="BW343" i="14"/>
  <c r="BW347" i="14"/>
  <c r="BW351" i="14"/>
  <c r="BW358" i="14"/>
  <c r="BW362" i="14"/>
  <c r="BW366" i="14"/>
  <c r="BW370" i="14"/>
  <c r="BW374" i="14"/>
  <c r="BW378" i="14"/>
  <c r="BW382" i="14"/>
  <c r="BW154" i="14"/>
  <c r="BW170" i="14"/>
  <c r="BW187" i="14"/>
  <c r="BW206" i="14"/>
  <c r="BW222" i="14"/>
  <c r="BW240" i="14"/>
  <c r="BW256" i="14"/>
  <c r="BW275" i="14"/>
  <c r="BW291" i="14"/>
  <c r="BW309" i="14"/>
  <c r="BW328" i="14"/>
  <c r="BW344" i="14"/>
  <c r="BW363" i="14"/>
  <c r="BW379" i="14"/>
  <c r="BW158" i="14"/>
  <c r="BW175" i="14"/>
  <c r="BW191" i="14"/>
  <c r="BW210" i="14"/>
  <c r="BW226" i="14"/>
  <c r="BW244" i="14"/>
  <c r="BW260" i="14"/>
  <c r="BW279" i="14"/>
  <c r="BW297" i="14"/>
  <c r="BW313" i="14"/>
  <c r="BW332" i="14"/>
  <c r="BW348" i="14"/>
  <c r="BW367" i="14"/>
  <c r="BW383" i="14"/>
  <c r="BW146" i="14"/>
  <c r="BW162" i="14"/>
  <c r="BW179" i="14"/>
  <c r="BW195" i="14"/>
  <c r="BW214" i="14"/>
  <c r="BW230" i="14"/>
  <c r="BW248" i="14"/>
  <c r="BW267" i="14"/>
  <c r="BW283" i="14"/>
  <c r="BW301" i="14"/>
  <c r="BW317" i="14"/>
  <c r="BW336" i="14"/>
  <c r="BW352" i="14"/>
  <c r="BW371" i="14"/>
  <c r="BW199" i="14"/>
  <c r="BW271" i="14"/>
  <c r="BW340" i="14"/>
  <c r="BW150" i="14"/>
  <c r="BW218" i="14"/>
  <c r="BW287" i="14"/>
  <c r="BW359" i="14"/>
  <c r="BW166" i="14"/>
  <c r="BW236" i="14"/>
  <c r="BW305" i="14"/>
  <c r="BW375" i="14"/>
  <c r="BW183" i="14"/>
  <c r="BW203" i="14"/>
  <c r="BW234" i="14"/>
  <c r="BW294" i="14"/>
  <c r="BW326" i="14"/>
  <c r="BW386" i="14"/>
  <c r="BW390" i="14"/>
  <c r="BW394" i="14"/>
  <c r="BW398" i="14"/>
  <c r="BW402" i="14"/>
  <c r="BW406" i="14"/>
  <c r="BW410" i="14"/>
  <c r="BW414" i="14"/>
  <c r="BW418" i="14"/>
  <c r="BW422" i="14"/>
  <c r="BW426" i="14"/>
  <c r="BW430" i="14"/>
  <c r="BW434" i="14"/>
  <c r="BW438" i="14"/>
  <c r="BW442" i="14"/>
  <c r="BW446" i="14"/>
  <c r="BW450" i="14"/>
  <c r="BW454" i="14"/>
  <c r="BW458" i="14"/>
  <c r="BW462" i="14"/>
  <c r="BW466" i="14"/>
  <c r="BW470" i="14"/>
  <c r="BW474" i="14"/>
  <c r="BW478" i="14"/>
  <c r="BW252" i="14"/>
  <c r="BW204" i="14"/>
  <c r="BW263" i="14"/>
  <c r="BW295" i="14"/>
  <c r="BW355" i="14"/>
  <c r="BW387" i="14"/>
  <c r="BW391" i="14"/>
  <c r="BW395" i="14"/>
  <c r="BW399" i="14"/>
  <c r="BW403" i="14"/>
  <c r="BW407" i="14"/>
  <c r="BW411" i="14"/>
  <c r="BW415" i="14"/>
  <c r="BW419" i="14"/>
  <c r="BW423" i="14"/>
  <c r="BW427" i="14"/>
  <c r="BW431" i="14"/>
  <c r="BW435" i="14"/>
  <c r="BW439" i="14"/>
  <c r="BW443" i="14"/>
  <c r="BW447" i="14"/>
  <c r="BW451" i="14"/>
  <c r="BW455" i="14"/>
  <c r="BW459" i="14"/>
  <c r="BW463" i="14"/>
  <c r="BW467" i="14"/>
  <c r="BW471" i="14"/>
  <c r="BW475" i="14"/>
  <c r="BW321" i="14"/>
  <c r="BW173" i="14"/>
  <c r="BW264" i="14"/>
  <c r="BW324" i="14"/>
  <c r="BW356" i="14"/>
  <c r="BW388" i="14"/>
  <c r="BW392" i="14"/>
  <c r="BW396" i="14"/>
  <c r="BW400" i="14"/>
  <c r="BW404" i="14"/>
  <c r="BW408" i="14"/>
  <c r="BW412" i="14"/>
  <c r="BW416" i="14"/>
  <c r="BW420" i="14"/>
  <c r="BW424" i="14"/>
  <c r="BW428" i="14"/>
  <c r="BW432" i="14"/>
  <c r="BW436" i="14"/>
  <c r="BW440" i="14"/>
  <c r="BW444" i="14"/>
  <c r="BW448" i="14"/>
  <c r="BW452" i="14"/>
  <c r="BW456" i="14"/>
  <c r="BW460" i="14"/>
  <c r="BW464" i="14"/>
  <c r="BW468" i="14"/>
  <c r="BW472" i="14"/>
  <c r="BW476" i="14"/>
  <c r="BW202" i="14"/>
  <c r="BW357" i="14"/>
  <c r="BW401" i="14"/>
  <c r="BW417" i="14"/>
  <c r="BW433" i="14"/>
  <c r="BW449" i="14"/>
  <c r="BW465" i="14"/>
  <c r="BW114" i="14"/>
  <c r="BW119" i="14"/>
  <c r="BW123" i="14"/>
  <c r="BW128" i="14"/>
  <c r="BW133" i="14"/>
  <c r="BW137" i="14"/>
  <c r="BW389" i="14"/>
  <c r="BW421" i="14"/>
  <c r="BW453" i="14"/>
  <c r="BW115" i="14"/>
  <c r="BW129" i="14"/>
  <c r="BW139" i="14"/>
  <c r="BW265" i="14"/>
  <c r="BW393" i="14"/>
  <c r="BW409" i="14"/>
  <c r="BW425" i="14"/>
  <c r="BW441" i="14"/>
  <c r="BW457" i="14"/>
  <c r="BW473" i="14"/>
  <c r="BW116" i="14"/>
  <c r="BW121" i="14"/>
  <c r="BW125" i="14"/>
  <c r="BW130" i="14"/>
  <c r="BW135" i="14"/>
  <c r="BW140" i="14"/>
  <c r="BW142" i="14"/>
  <c r="BW233" i="14"/>
  <c r="BW405" i="14"/>
  <c r="BW437" i="14"/>
  <c r="BW469" i="14"/>
  <c r="BW120" i="14"/>
  <c r="BW124" i="14"/>
  <c r="BW134" i="14"/>
  <c r="BW325" i="14"/>
  <c r="BW397" i="14"/>
  <c r="BW413" i="14"/>
  <c r="BW429" i="14"/>
  <c r="BW445" i="14"/>
  <c r="BW461" i="14"/>
  <c r="BW477" i="14"/>
  <c r="BW118" i="14"/>
  <c r="BW122" i="14"/>
  <c r="BW127" i="14"/>
  <c r="BW131" i="14"/>
  <c r="BW136" i="14"/>
  <c r="BW141" i="14"/>
  <c r="BW143" i="14"/>
  <c r="AO461" i="14"/>
  <c r="V22" i="28"/>
  <c r="D21" i="28"/>
  <c r="C21" i="28" s="1"/>
  <c r="R21" i="28"/>
  <c r="AR462" i="14" s="1"/>
  <c r="S21" i="28"/>
  <c r="X21" i="28" s="1"/>
  <c r="U21" i="28"/>
  <c r="Z21" i="28" s="1"/>
  <c r="T21" i="28"/>
  <c r="Y21" i="28" s="1"/>
  <c r="CG267" i="14"/>
  <c r="CF267" i="14"/>
  <c r="AI192" i="14"/>
  <c r="AG192" i="14"/>
  <c r="L199" i="14"/>
  <c r="V22" i="23"/>
  <c r="D21" i="23"/>
  <c r="C21" i="23" s="1"/>
  <c r="U21" i="23"/>
  <c r="Z21" i="23" s="1"/>
  <c r="R21" i="23"/>
  <c r="AR309" i="14" s="1"/>
  <c r="T21" i="23"/>
  <c r="Y21" i="23" s="1"/>
  <c r="S21" i="23"/>
  <c r="X21" i="23" s="1"/>
  <c r="CG245" i="14"/>
  <c r="CF245" i="14"/>
  <c r="CG244" i="14"/>
  <c r="CF244" i="14"/>
  <c r="CG208" i="14"/>
  <c r="CF208" i="14"/>
  <c r="CG268" i="14"/>
  <c r="CF268" i="14"/>
  <c r="CG116" i="14"/>
  <c r="CF116" i="14"/>
  <c r="V23" i="2"/>
  <c r="D22" i="2"/>
  <c r="C22" i="2" s="1"/>
  <c r="S22" i="2"/>
  <c r="X22" i="2" s="1"/>
  <c r="T22" i="2"/>
  <c r="Y22" i="2" s="1"/>
  <c r="R22" i="2"/>
  <c r="AR128" i="14" s="1"/>
  <c r="U22" i="2"/>
  <c r="Z22" i="2" s="1"/>
  <c r="O153" i="29"/>
  <c r="CG246" i="14"/>
  <c r="CF246" i="14"/>
  <c r="AI174" i="14"/>
  <c r="CI174" i="14" s="1"/>
  <c r="CH174" i="14" s="1"/>
  <c r="L181" i="14"/>
  <c r="AG174" i="14"/>
  <c r="F40" i="29"/>
  <c r="BA371" i="14" l="1"/>
  <c r="W29" i="22"/>
  <c r="BA287" i="14" s="1"/>
  <c r="AS287" i="14"/>
  <c r="W20" i="19"/>
  <c r="BA186" i="14" s="1"/>
  <c r="AS186" i="14"/>
  <c r="W21" i="18"/>
  <c r="BA158" i="14" s="1"/>
  <c r="AS158" i="14"/>
  <c r="W21" i="24"/>
  <c r="BA340" i="14" s="1"/>
  <c r="AS340" i="14"/>
  <c r="W21" i="21"/>
  <c r="BA248" i="14" s="1"/>
  <c r="AS248" i="14"/>
  <c r="W21" i="20"/>
  <c r="BA218" i="14" s="1"/>
  <c r="AS218" i="14"/>
  <c r="W22" i="2"/>
  <c r="BA128" i="14" s="1"/>
  <c r="AS128" i="14"/>
  <c r="W21" i="28"/>
  <c r="BA462" i="14" s="1"/>
  <c r="AS462" i="14"/>
  <c r="W20" i="26"/>
  <c r="BA400" i="14" s="1"/>
  <c r="AS400" i="14"/>
  <c r="W21" i="23"/>
  <c r="BA309" i="14" s="1"/>
  <c r="AS309" i="14"/>
  <c r="W21" i="25"/>
  <c r="AO371" i="14" s="1"/>
  <c r="AS371" i="14"/>
  <c r="W20" i="27"/>
  <c r="BA431" i="14" s="1"/>
  <c r="AS431" i="14"/>
  <c r="AY12" i="25"/>
  <c r="CT362" i="14" s="1"/>
  <c r="T21" i="27"/>
  <c r="Y21" i="27" s="1"/>
  <c r="R21" i="27"/>
  <c r="V22" i="27"/>
  <c r="U21" i="27"/>
  <c r="Z21" i="27" s="1"/>
  <c r="D21" i="27"/>
  <c r="C21" i="27" s="1"/>
  <c r="S21" i="27"/>
  <c r="X21" i="27"/>
  <c r="AY20" i="25"/>
  <c r="CT370" i="14" s="1"/>
  <c r="AY25" i="25"/>
  <c r="CT375" i="14" s="1"/>
  <c r="AZ358" i="14"/>
  <c r="AY37" i="25"/>
  <c r="CT387" i="14" s="1"/>
  <c r="AY30" i="25"/>
  <c r="CT380" i="14" s="1"/>
  <c r="AZ380" i="14"/>
  <c r="AZ383" i="14"/>
  <c r="AY24" i="25"/>
  <c r="CT374" i="14" s="1"/>
  <c r="AZ362" i="14"/>
  <c r="AZ360" i="14"/>
  <c r="AY28" i="25"/>
  <c r="CT378" i="14" s="1"/>
  <c r="AY10" i="25"/>
  <c r="CT360" i="14" s="1"/>
  <c r="AZ367" i="14"/>
  <c r="AZ382" i="14"/>
  <c r="AY27" i="25"/>
  <c r="CT377" i="14" s="1"/>
  <c r="AY31" i="25"/>
  <c r="CT381" i="14" s="1"/>
  <c r="AY26" i="25"/>
  <c r="CT376" i="14" s="1"/>
  <c r="AZ375" i="14"/>
  <c r="AZ378" i="14"/>
  <c r="AY18" i="25"/>
  <c r="CT368" i="14" s="1"/>
  <c r="AZ387" i="14"/>
  <c r="AY17" i="25"/>
  <c r="CT367" i="14" s="1"/>
  <c r="AZ359" i="14"/>
  <c r="AZ368" i="14"/>
  <c r="AZ376" i="14"/>
  <c r="AY8" i="25"/>
  <c r="CT358" i="14" s="1"/>
  <c r="T44" i="29"/>
  <c r="AZ377" i="14"/>
  <c r="AY15" i="25"/>
  <c r="CT365" i="14" s="1"/>
  <c r="AY29" i="25"/>
  <c r="CT379" i="14" s="1"/>
  <c r="AZ366" i="14"/>
  <c r="AZ384" i="14"/>
  <c r="AY35" i="25"/>
  <c r="CT385" i="14" s="1"/>
  <c r="AZ364" i="14"/>
  <c r="AZ372" i="14"/>
  <c r="AZ386" i="14"/>
  <c r="AY13" i="25"/>
  <c r="CT363" i="14" s="1"/>
  <c r="AZ369" i="14"/>
  <c r="AY36" i="25"/>
  <c r="CT386" i="14" s="1"/>
  <c r="AZ379" i="14"/>
  <c r="AZ365" i="14"/>
  <c r="AY23" i="25"/>
  <c r="CT373" i="14" s="1"/>
  <c r="AY9" i="25"/>
  <c r="CT359" i="14" s="1"/>
  <c r="AH125" i="14"/>
  <c r="AL125" i="14"/>
  <c r="T126" i="14"/>
  <c r="AK126" i="14"/>
  <c r="AY33" i="25"/>
  <c r="CT383" i="14" s="1"/>
  <c r="AY16" i="25"/>
  <c r="CT366" i="14" s="1"/>
  <c r="AZ370" i="14"/>
  <c r="AZ381" i="14"/>
  <c r="AZ371" i="14"/>
  <c r="AZ385" i="14"/>
  <c r="AY19" i="25"/>
  <c r="CT369" i="14" s="1"/>
  <c r="AZ373" i="14"/>
  <c r="AY11" i="25"/>
  <c r="CT361" i="14" s="1"/>
  <c r="AY34" i="25"/>
  <c r="CT384" i="14" s="1"/>
  <c r="AZ363" i="14"/>
  <c r="AY32" i="25"/>
  <c r="CT382" i="14" s="1"/>
  <c r="AY22" i="25"/>
  <c r="CT372" i="14" s="1"/>
  <c r="AY21" i="25"/>
  <c r="CT371" i="14" s="1"/>
  <c r="AZ374" i="14"/>
  <c r="T105" i="29"/>
  <c r="AY14" i="25"/>
  <c r="CT364" i="14" s="1"/>
  <c r="T32" i="29"/>
  <c r="AZ361" i="14"/>
  <c r="P153" i="29"/>
  <c r="T24" i="29"/>
  <c r="V23" i="20"/>
  <c r="E22" i="20"/>
  <c r="G219" i="14" s="1"/>
  <c r="U22" i="20"/>
  <c r="Z22" i="20" s="1"/>
  <c r="R22" i="20"/>
  <c r="S22" i="20"/>
  <c r="X22" i="20" s="1"/>
  <c r="T22" i="20"/>
  <c r="Y22" i="20" s="1"/>
  <c r="D22" i="20"/>
  <c r="C22" i="20" s="1"/>
  <c r="T40" i="29"/>
  <c r="L280" i="28"/>
  <c r="V23" i="24"/>
  <c r="R22" i="24"/>
  <c r="U22" i="24"/>
  <c r="Z22" i="24" s="1"/>
  <c r="T22" i="24"/>
  <c r="Y22" i="24" s="1"/>
  <c r="S22" i="24"/>
  <c r="X22" i="24" s="1"/>
  <c r="D22" i="24"/>
  <c r="C22" i="24" s="1"/>
  <c r="AH217" i="14"/>
  <c r="AL217" i="14"/>
  <c r="AK218" i="14"/>
  <c r="T218" i="14"/>
  <c r="L78" i="27"/>
  <c r="AB34" i="27" s="1"/>
  <c r="V23" i="23"/>
  <c r="D22" i="23"/>
  <c r="C22" i="23" s="1"/>
  <c r="R22" i="23"/>
  <c r="U22" i="23"/>
  <c r="Z22" i="23" s="1"/>
  <c r="S22" i="23"/>
  <c r="X22" i="23" s="1"/>
  <c r="T22" i="23"/>
  <c r="Y22" i="23" s="1"/>
  <c r="V23" i="28"/>
  <c r="D22" i="28"/>
  <c r="C22" i="28" s="1"/>
  <c r="T22" i="28"/>
  <c r="Y22" i="28" s="1"/>
  <c r="U22" i="28"/>
  <c r="Z22" i="28" s="1"/>
  <c r="R22" i="28"/>
  <c r="S22" i="28"/>
  <c r="X22" i="28" s="1"/>
  <c r="L176" i="14"/>
  <c r="AI169" i="14"/>
  <c r="AG169" i="14"/>
  <c r="E129" i="14"/>
  <c r="C128" i="14"/>
  <c r="D128" i="14" s="1"/>
  <c r="B128" i="14"/>
  <c r="AN128" i="14"/>
  <c r="H127" i="15"/>
  <c r="J128" i="14"/>
  <c r="Q128" i="14"/>
  <c r="Q145" i="29"/>
  <c r="AO400" i="14"/>
  <c r="S71" i="28"/>
  <c r="I79" i="28"/>
  <c r="U71" i="28" s="1"/>
  <c r="V22" i="19"/>
  <c r="D21" i="19"/>
  <c r="C21" i="19" s="1"/>
  <c r="U21" i="19"/>
  <c r="Z21" i="19" s="1"/>
  <c r="S21" i="19"/>
  <c r="X21" i="19" s="1"/>
  <c r="T21" i="19"/>
  <c r="Y21" i="19" s="1"/>
  <c r="R21" i="19"/>
  <c r="O161" i="29"/>
  <c r="G287" i="14"/>
  <c r="CG235" i="14"/>
  <c r="CF235" i="14"/>
  <c r="V23" i="18"/>
  <c r="D22" i="18"/>
  <c r="C22" i="18" s="1"/>
  <c r="U22" i="18"/>
  <c r="Z22" i="18" s="1"/>
  <c r="T22" i="18"/>
  <c r="Y22" i="18" s="1"/>
  <c r="R22" i="18"/>
  <c r="S22" i="18"/>
  <c r="X22" i="18" s="1"/>
  <c r="CG266" i="14"/>
  <c r="CF266" i="14"/>
  <c r="T43" i="29"/>
  <c r="V24" i="2"/>
  <c r="D23" i="2"/>
  <c r="C23" i="2" s="1"/>
  <c r="T23" i="2"/>
  <c r="Y23" i="2" s="1"/>
  <c r="U23" i="2"/>
  <c r="Z23" i="2" s="1"/>
  <c r="R23" i="2"/>
  <c r="S23" i="2"/>
  <c r="X23" i="2" s="1"/>
  <c r="V23" i="25"/>
  <c r="D22" i="25"/>
  <c r="C22" i="25" s="1"/>
  <c r="U22" i="25"/>
  <c r="Z22" i="25" s="1"/>
  <c r="R22" i="25"/>
  <c r="S22" i="25"/>
  <c r="X22" i="25" s="1"/>
  <c r="T22" i="25"/>
  <c r="Y22" i="25" s="1"/>
  <c r="AA21" i="2"/>
  <c r="E21" i="2" s="1"/>
  <c r="G127" i="14" s="1"/>
  <c r="AK127" i="14" s="1"/>
  <c r="L200" i="14"/>
  <c r="AI193" i="14"/>
  <c r="AG193" i="14"/>
  <c r="S70" i="28"/>
  <c r="H79" i="28"/>
  <c r="U70" i="28" s="1"/>
  <c r="V22" i="26"/>
  <c r="D21" i="26"/>
  <c r="C21" i="26" s="1"/>
  <c r="S21" i="26"/>
  <c r="X21" i="26" s="1"/>
  <c r="U21" i="26"/>
  <c r="R21" i="26"/>
  <c r="Z21" i="26"/>
  <c r="T21" i="26"/>
  <c r="Y21" i="26" s="1"/>
  <c r="V31" i="22"/>
  <c r="T30" i="22"/>
  <c r="Y30" i="22" s="1"/>
  <c r="R30" i="22"/>
  <c r="E30" i="22"/>
  <c r="S30" i="22"/>
  <c r="X30" i="22" s="1"/>
  <c r="U30" i="22"/>
  <c r="Z30" i="22" s="1"/>
  <c r="CG114" i="14"/>
  <c r="CF114" i="14"/>
  <c r="L194" i="14"/>
  <c r="AG187" i="14"/>
  <c r="AI187" i="14"/>
  <c r="AO158" i="14"/>
  <c r="CI158" i="14" s="1"/>
  <c r="CH158" i="14" s="1"/>
  <c r="N79" i="27"/>
  <c r="T31" i="29"/>
  <c r="T39" i="29"/>
  <c r="AO128" i="14"/>
  <c r="CI128" i="14" s="1"/>
  <c r="AG199" i="14"/>
  <c r="L206" i="14"/>
  <c r="AI199" i="14"/>
  <c r="AK247" i="14"/>
  <c r="T247" i="14"/>
  <c r="BL60" i="14"/>
  <c r="BM59" i="14"/>
  <c r="BK72" i="14"/>
  <c r="L240" i="14"/>
  <c r="AI233" i="14"/>
  <c r="AG233" i="14"/>
  <c r="T28" i="29"/>
  <c r="T35" i="29"/>
  <c r="V23" i="21"/>
  <c r="D22" i="21"/>
  <c r="C22" i="21" s="1"/>
  <c r="E22" i="21"/>
  <c r="S22" i="21"/>
  <c r="X22" i="21" s="1"/>
  <c r="U22" i="21"/>
  <c r="Z22" i="21" s="1"/>
  <c r="R22" i="21"/>
  <c r="T22" i="21"/>
  <c r="Y22" i="21" s="1"/>
  <c r="P157" i="29"/>
  <c r="P158" i="29"/>
  <c r="P160" i="29"/>
  <c r="P159" i="29"/>
  <c r="T23" i="29"/>
  <c r="CG205" i="14"/>
  <c r="CF205" i="14"/>
  <c r="T27" i="29"/>
  <c r="O79" i="26"/>
  <c r="O88" i="26"/>
  <c r="T36" i="29"/>
  <c r="L77" i="27"/>
  <c r="L188" i="14"/>
  <c r="AI181" i="14"/>
  <c r="CI181" i="14" s="1"/>
  <c r="CH181" i="14" s="1"/>
  <c r="AG181" i="14"/>
  <c r="C24" i="22"/>
  <c r="D25" i="22"/>
  <c r="AC30" i="26"/>
  <c r="AC14" i="26"/>
  <c r="AC33" i="26"/>
  <c r="AC17" i="26"/>
  <c r="AC32" i="26"/>
  <c r="AC16" i="26"/>
  <c r="AC15" i="26"/>
  <c r="AC37" i="26"/>
  <c r="AE24" i="26"/>
  <c r="AE37" i="26"/>
  <c r="AE19" i="26"/>
  <c r="AE34" i="26"/>
  <c r="AE18" i="26"/>
  <c r="AE29" i="26"/>
  <c r="AE33" i="26"/>
  <c r="AB25" i="26"/>
  <c r="AB9" i="26"/>
  <c r="AB24" i="26"/>
  <c r="AB37" i="26"/>
  <c r="AB19" i="26"/>
  <c r="AB22" i="26"/>
  <c r="AB30" i="26"/>
  <c r="AB10" i="26"/>
  <c r="AD31" i="26"/>
  <c r="AD15" i="26"/>
  <c r="AD30" i="26"/>
  <c r="AD14" i="26"/>
  <c r="AD33" i="26"/>
  <c r="AD17" i="26"/>
  <c r="AD16" i="26"/>
  <c r="AD24" i="26"/>
  <c r="AC18" i="26"/>
  <c r="AC21" i="26"/>
  <c r="AC20" i="26"/>
  <c r="AC11" i="26"/>
  <c r="AE28" i="26"/>
  <c r="AE23" i="26"/>
  <c r="AE22" i="26"/>
  <c r="AE9" i="26"/>
  <c r="AB29" i="26"/>
  <c r="AB12" i="26"/>
  <c r="AB18" i="26"/>
  <c r="AD19" i="26"/>
  <c r="AD18" i="26"/>
  <c r="AD21" i="26"/>
  <c r="AC26" i="26"/>
  <c r="AC10" i="26"/>
  <c r="AC29" i="26"/>
  <c r="AC13" i="26"/>
  <c r="AC28" i="26"/>
  <c r="AC12" i="26"/>
  <c r="AC23" i="26"/>
  <c r="AE38" i="26"/>
  <c r="AE20" i="26"/>
  <c r="AE31" i="26"/>
  <c r="AE15" i="26"/>
  <c r="AE30" i="26"/>
  <c r="AE14" i="26"/>
  <c r="AE13" i="26"/>
  <c r="AE35" i="26"/>
  <c r="AB35" i="26"/>
  <c r="AB21" i="26"/>
  <c r="AB38" i="26"/>
  <c r="AB20" i="26"/>
  <c r="AB31" i="26"/>
  <c r="AB15" i="26"/>
  <c r="AB8" i="26"/>
  <c r="AB14" i="26"/>
  <c r="AD27" i="26"/>
  <c r="AD11" i="26"/>
  <c r="AD26" i="26"/>
  <c r="AD10" i="26"/>
  <c r="AD29" i="26"/>
  <c r="AD13" i="26"/>
  <c r="AD28" i="26"/>
  <c r="AC34" i="26"/>
  <c r="AC35" i="26"/>
  <c r="AC38" i="26"/>
  <c r="AC31" i="26"/>
  <c r="AB28" i="26"/>
  <c r="AB36" i="26"/>
  <c r="AD37" i="26"/>
  <c r="AD34" i="26"/>
  <c r="AD35" i="26"/>
  <c r="AD38" i="26"/>
  <c r="AC36" i="26"/>
  <c r="AC22" i="26"/>
  <c r="AC8" i="26"/>
  <c r="AC25" i="26"/>
  <c r="AC9" i="26"/>
  <c r="AC24" i="26"/>
  <c r="AC19" i="26"/>
  <c r="AC27" i="26"/>
  <c r="AE32" i="26"/>
  <c r="AE16" i="26"/>
  <c r="AE27" i="26"/>
  <c r="AE11" i="26"/>
  <c r="AE26" i="26"/>
  <c r="AE10" i="26"/>
  <c r="AE25" i="26"/>
  <c r="AE21" i="26"/>
  <c r="AB33" i="26"/>
  <c r="AB17" i="26"/>
  <c r="AB32" i="26"/>
  <c r="AB16" i="26"/>
  <c r="AB27" i="26"/>
  <c r="AB11" i="26"/>
  <c r="AB34" i="26"/>
  <c r="AB26" i="26"/>
  <c r="AD23" i="26"/>
  <c r="AD36" i="26"/>
  <c r="AD22" i="26"/>
  <c r="AD8" i="26"/>
  <c r="AD25" i="26"/>
  <c r="AD9" i="26"/>
  <c r="AD12" i="26"/>
  <c r="AD20" i="26"/>
  <c r="AE12" i="26"/>
  <c r="AE36" i="26"/>
  <c r="AE8" i="26"/>
  <c r="AE17" i="26"/>
  <c r="AB13" i="26"/>
  <c r="AB23" i="26"/>
  <c r="AD32" i="26"/>
  <c r="CG285" i="14"/>
  <c r="CF285" i="14"/>
  <c r="AH286" i="14"/>
  <c r="AL286" i="14"/>
  <c r="BI74" i="14"/>
  <c r="BI76" i="14"/>
  <c r="BI78" i="14"/>
  <c r="BI77" i="14"/>
  <c r="BI73" i="14"/>
  <c r="BI75" i="14"/>
  <c r="BI79" i="14"/>
  <c r="BI80" i="14" s="1"/>
  <c r="S72" i="28"/>
  <c r="K79" i="28"/>
  <c r="U72" i="28" s="1"/>
  <c r="T70" i="28"/>
  <c r="Q150" i="29"/>
  <c r="H281" i="28"/>
  <c r="T71" i="28"/>
  <c r="I281" i="28"/>
  <c r="I283" i="28" s="1"/>
  <c r="Q151" i="29"/>
  <c r="AK248" i="14"/>
  <c r="T248" i="14"/>
  <c r="G147" i="27"/>
  <c r="H147" i="27" s="1"/>
  <c r="I147" i="27" s="1"/>
  <c r="D147" i="27" s="1"/>
  <c r="G146" i="27"/>
  <c r="H146" i="27" s="1"/>
  <c r="I146" i="27" s="1"/>
  <c r="D146" i="27" s="1"/>
  <c r="G148" i="27"/>
  <c r="H148" i="27" s="1"/>
  <c r="I148" i="27" s="1"/>
  <c r="D148" i="27" s="1"/>
  <c r="AK302" i="1"/>
  <c r="K86" i="26"/>
  <c r="I86" i="26"/>
  <c r="G86" i="26"/>
  <c r="H86" i="26"/>
  <c r="E189" i="14"/>
  <c r="B188" i="14"/>
  <c r="AN188" i="14"/>
  <c r="C188" i="14"/>
  <c r="D188" i="14" s="1"/>
  <c r="Q188" i="14"/>
  <c r="H187" i="15"/>
  <c r="J188" i="14"/>
  <c r="L182" i="14"/>
  <c r="AG175" i="14"/>
  <c r="AI175" i="14"/>
  <c r="CI175" i="14" s="1"/>
  <c r="CH175" i="14" s="1"/>
  <c r="L86" i="25"/>
  <c r="M119" i="29" s="1"/>
  <c r="N119" i="29" s="1"/>
  <c r="AO309" i="14" l="1"/>
  <c r="AO186" i="14"/>
  <c r="CI186" i="14" s="1"/>
  <c r="CH186" i="14" s="1"/>
  <c r="AO287" i="14"/>
  <c r="AO462" i="14"/>
  <c r="AO248" i="14"/>
  <c r="AO218" i="14"/>
  <c r="AO431" i="14"/>
  <c r="AO340" i="14"/>
  <c r="AR129" i="14"/>
  <c r="AR249" i="14"/>
  <c r="AE26" i="27"/>
  <c r="AR372" i="14"/>
  <c r="AR159" i="14"/>
  <c r="AR463" i="14"/>
  <c r="AR310" i="14"/>
  <c r="AR432" i="14"/>
  <c r="AR401" i="14"/>
  <c r="BA401" i="14"/>
  <c r="AR187" i="14"/>
  <c r="AR219" i="14"/>
  <c r="BA219" i="14"/>
  <c r="AR288" i="14"/>
  <c r="BA288" i="14"/>
  <c r="AR341" i="14"/>
  <c r="W22" i="18"/>
  <c r="BA159" i="14" s="1"/>
  <c r="AS159" i="14"/>
  <c r="W30" i="22"/>
  <c r="AO288" i="14" s="1"/>
  <c r="AS288" i="14"/>
  <c r="W22" i="24"/>
  <c r="BA341" i="14" s="1"/>
  <c r="AS341" i="14"/>
  <c r="W22" i="25"/>
  <c r="AO372" i="14" s="1"/>
  <c r="AS372" i="14"/>
  <c r="W22" i="23"/>
  <c r="BA310" i="14" s="1"/>
  <c r="AS310" i="14"/>
  <c r="W21" i="27"/>
  <c r="AO432" i="14" s="1"/>
  <c r="AS432" i="14"/>
  <c r="W22" i="21"/>
  <c r="BA249" i="14" s="1"/>
  <c r="AS249" i="14"/>
  <c r="W21" i="26"/>
  <c r="AO401" i="14" s="1"/>
  <c r="AS401" i="14"/>
  <c r="W21" i="19"/>
  <c r="BA187" i="14" s="1"/>
  <c r="AS187" i="14"/>
  <c r="W22" i="20"/>
  <c r="AO219" i="14" s="1"/>
  <c r="CI219" i="14" s="1"/>
  <c r="CH219" i="14" s="1"/>
  <c r="AS219" i="14"/>
  <c r="W22" i="28"/>
  <c r="AO463" i="14" s="1"/>
  <c r="AS463" i="14"/>
  <c r="W23" i="2"/>
  <c r="AO129" i="14" s="1"/>
  <c r="CI129" i="14" s="1"/>
  <c r="CH129" i="14" s="1"/>
  <c r="AS129" i="14"/>
  <c r="D22" i="27"/>
  <c r="C22" i="27" s="1"/>
  <c r="T22" i="27"/>
  <c r="Y22" i="27" s="1"/>
  <c r="U22" i="27"/>
  <c r="Z22" i="27" s="1"/>
  <c r="R22" i="27"/>
  <c r="W22" i="27"/>
  <c r="S22" i="27"/>
  <c r="X22" i="27" s="1"/>
  <c r="V23" i="27"/>
  <c r="AC35" i="27"/>
  <c r="AC9" i="27"/>
  <c r="AD16" i="27"/>
  <c r="AB20" i="27"/>
  <c r="AB10" i="27"/>
  <c r="AC13" i="27"/>
  <c r="AD14" i="27"/>
  <c r="AC34" i="27"/>
  <c r="AD32" i="27"/>
  <c r="AB16" i="27"/>
  <c r="AB12" i="27"/>
  <c r="AE31" i="27"/>
  <c r="AE30" i="27"/>
  <c r="AD35" i="27"/>
  <c r="AB21" i="27"/>
  <c r="AE8" i="27"/>
  <c r="AD8" i="27"/>
  <c r="AC10" i="27"/>
  <c r="AE12" i="27"/>
  <c r="AC33" i="27"/>
  <c r="AB22" i="27"/>
  <c r="AD20" i="27"/>
  <c r="AE35" i="27"/>
  <c r="AB19" i="27"/>
  <c r="AE11" i="27"/>
  <c r="AD34" i="27"/>
  <c r="AE24" i="27"/>
  <c r="AC11" i="27"/>
  <c r="AB14" i="27"/>
  <c r="AC18" i="27"/>
  <c r="AD12" i="27"/>
  <c r="AE13" i="27"/>
  <c r="AC15" i="27"/>
  <c r="AB18" i="27"/>
  <c r="AE16" i="27"/>
  <c r="AD15" i="27"/>
  <c r="AC36" i="27"/>
  <c r="AD29" i="27"/>
  <c r="AE19" i="27"/>
  <c r="AB13" i="27"/>
  <c r="AE17" i="27"/>
  <c r="AD36" i="27"/>
  <c r="AC14" i="27"/>
  <c r="AB17" i="27"/>
  <c r="AD25" i="27"/>
  <c r="AB27" i="27"/>
  <c r="AD21" i="27"/>
  <c r="AE22" i="27"/>
  <c r="AC8" i="27"/>
  <c r="AB9" i="27"/>
  <c r="AC24" i="27"/>
  <c r="AD37" i="27"/>
  <c r="AE25" i="27"/>
  <c r="AB23" i="27"/>
  <c r="AD10" i="27"/>
  <c r="AD33" i="27"/>
  <c r="AE36" i="27"/>
  <c r="AC20" i="27"/>
  <c r="AB11" i="27"/>
  <c r="T127" i="14"/>
  <c r="AH126" i="14"/>
  <c r="AL126" i="14"/>
  <c r="CF125" i="14"/>
  <c r="CG125" i="14"/>
  <c r="Q153" i="29"/>
  <c r="AD26" i="27"/>
  <c r="AE33" i="27"/>
  <c r="AB37" i="27"/>
  <c r="AB35" i="27"/>
  <c r="AD13" i="27"/>
  <c r="AD31" i="27"/>
  <c r="AE15" i="27"/>
  <c r="AE21" i="27"/>
  <c r="AC21" i="27"/>
  <c r="AC23" i="27"/>
  <c r="AB25" i="27"/>
  <c r="AD11" i="27"/>
  <c r="AC17" i="27"/>
  <c r="AD18" i="27"/>
  <c r="AD24" i="27"/>
  <c r="AE37" i="27"/>
  <c r="AC28" i="27"/>
  <c r="AC26" i="27"/>
  <c r="AB15" i="27"/>
  <c r="AB29" i="27"/>
  <c r="AD27" i="27"/>
  <c r="AC32" i="27"/>
  <c r="AD9" i="27"/>
  <c r="AD23" i="27"/>
  <c r="AE18" i="27"/>
  <c r="AE28" i="27"/>
  <c r="AC16" i="27"/>
  <c r="AC30" i="27"/>
  <c r="AB31" i="27"/>
  <c r="AB33" i="27"/>
  <c r="AE27" i="27"/>
  <c r="AC19" i="27"/>
  <c r="AB8" i="27"/>
  <c r="AB36" i="27"/>
  <c r="AD30" i="27"/>
  <c r="AE14" i="27"/>
  <c r="AE20" i="27"/>
  <c r="AC12" i="27"/>
  <c r="AC22" i="27"/>
  <c r="AB24" i="27"/>
  <c r="AB26" i="27"/>
  <c r="AE32" i="27"/>
  <c r="AD17" i="27"/>
  <c r="AD19" i="27"/>
  <c r="AE10" i="27"/>
  <c r="AE9" i="27"/>
  <c r="AC25" i="27"/>
  <c r="AC27" i="27"/>
  <c r="AB28" i="27"/>
  <c r="AB30" i="27"/>
  <c r="AE34" i="27"/>
  <c r="AC37" i="27"/>
  <c r="AD22" i="27"/>
  <c r="AD28" i="27"/>
  <c r="AE23" i="27"/>
  <c r="AE29" i="27"/>
  <c r="AC29" i="27"/>
  <c r="AC31" i="27"/>
  <c r="AB32" i="27"/>
  <c r="CG217" i="14"/>
  <c r="CF217" i="14"/>
  <c r="V24" i="24"/>
  <c r="T23" i="24"/>
  <c r="Y23" i="24" s="1"/>
  <c r="U23" i="24"/>
  <c r="Z23" i="24" s="1"/>
  <c r="S23" i="24"/>
  <c r="X23" i="24" s="1"/>
  <c r="R23" i="24"/>
  <c r="D23" i="24"/>
  <c r="C23" i="24" s="1"/>
  <c r="P161" i="29"/>
  <c r="AH218" i="14"/>
  <c r="AL218" i="14"/>
  <c r="T219" i="14"/>
  <c r="AK219" i="14"/>
  <c r="E23" i="20"/>
  <c r="G220" i="14" s="1"/>
  <c r="T23" i="20"/>
  <c r="Y23" i="20" s="1"/>
  <c r="U23" i="20"/>
  <c r="Z23" i="20" s="1"/>
  <c r="S23" i="20"/>
  <c r="X23" i="20" s="1"/>
  <c r="V24" i="20"/>
  <c r="R23" i="20"/>
  <c r="D23" i="20"/>
  <c r="C23" i="20" s="1"/>
  <c r="AO159" i="14"/>
  <c r="CI159" i="14" s="1"/>
  <c r="CH159" i="14" s="1"/>
  <c r="AI182" i="14"/>
  <c r="CI182" i="14" s="1"/>
  <c r="CH182" i="14" s="1"/>
  <c r="L189" i="14"/>
  <c r="AG182" i="14"/>
  <c r="E190" i="14"/>
  <c r="AN189" i="14"/>
  <c r="C189" i="14"/>
  <c r="D189" i="14" s="1"/>
  <c r="B189" i="14"/>
  <c r="Q189" i="14"/>
  <c r="H188" i="15"/>
  <c r="J189" i="14"/>
  <c r="H283" i="28"/>
  <c r="L283" i="28" s="1"/>
  <c r="L281" i="28"/>
  <c r="CG286" i="14"/>
  <c r="CF286" i="14"/>
  <c r="AY23" i="26"/>
  <c r="CT403" i="14" s="1"/>
  <c r="AZ403" i="14"/>
  <c r="AY11" i="26"/>
  <c r="CT391" i="14" s="1"/>
  <c r="AZ391" i="14"/>
  <c r="AY17" i="26"/>
  <c r="CT397" i="14" s="1"/>
  <c r="AZ397" i="14"/>
  <c r="AY8" i="26"/>
  <c r="CT388" i="14" s="1"/>
  <c r="AZ388" i="14"/>
  <c r="AY38" i="26"/>
  <c r="CT418" i="14" s="1"/>
  <c r="AZ418" i="14"/>
  <c r="AY10" i="26"/>
  <c r="CT390" i="14" s="1"/>
  <c r="AZ390" i="14"/>
  <c r="AY37" i="26"/>
  <c r="CT417" i="14" s="1"/>
  <c r="AZ417" i="14"/>
  <c r="V24" i="21"/>
  <c r="D23" i="21"/>
  <c r="C23" i="21" s="1"/>
  <c r="R23" i="21"/>
  <c r="S23" i="21"/>
  <c r="X23" i="21" s="1"/>
  <c r="T23" i="21"/>
  <c r="Y23" i="21" s="1"/>
  <c r="U23" i="21"/>
  <c r="Z23" i="21" s="1"/>
  <c r="E23" i="21"/>
  <c r="G250" i="14" s="1"/>
  <c r="AI240" i="14"/>
  <c r="CI240" i="14" s="1"/>
  <c r="CH240" i="14" s="1"/>
  <c r="AG240" i="14"/>
  <c r="L247" i="14"/>
  <c r="AH247" i="14"/>
  <c r="AL247" i="14"/>
  <c r="O79" i="27"/>
  <c r="O88" i="27"/>
  <c r="G288" i="14"/>
  <c r="V32" i="22"/>
  <c r="E31" i="22"/>
  <c r="G289" i="14" s="1"/>
  <c r="S31" i="22"/>
  <c r="X31" i="22" s="1"/>
  <c r="U31" i="22"/>
  <c r="Z31" i="22" s="1"/>
  <c r="R31" i="22"/>
  <c r="T31" i="22"/>
  <c r="Y31" i="22" s="1"/>
  <c r="V24" i="25"/>
  <c r="D23" i="25"/>
  <c r="C23" i="25" s="1"/>
  <c r="T23" i="25"/>
  <c r="Y23" i="25" s="1"/>
  <c r="R23" i="25"/>
  <c r="S23" i="25"/>
  <c r="X23" i="25" s="1"/>
  <c r="U23" i="25"/>
  <c r="Z23" i="25" s="1"/>
  <c r="AK287" i="14"/>
  <c r="T287" i="14"/>
  <c r="B129" i="14"/>
  <c r="C129" i="14"/>
  <c r="D129" i="14" s="1"/>
  <c r="E130" i="14"/>
  <c r="AN129" i="14"/>
  <c r="Q129" i="14"/>
  <c r="H128" i="15"/>
  <c r="J129" i="14"/>
  <c r="AI176" i="14"/>
  <c r="CI176" i="14" s="1"/>
  <c r="CH176" i="14" s="1"/>
  <c r="AG176" i="14"/>
  <c r="L183" i="14"/>
  <c r="G146" i="28"/>
  <c r="H146" i="28" s="1"/>
  <c r="I146" i="28" s="1"/>
  <c r="D146" i="28" s="1"/>
  <c r="G147" i="28"/>
  <c r="H147" i="28" s="1"/>
  <c r="I147" i="28" s="1"/>
  <c r="D147" i="28" s="1"/>
  <c r="G148" i="28"/>
  <c r="H148" i="28" s="1"/>
  <c r="I148" i="28" s="1"/>
  <c r="D148" i="28" s="1"/>
  <c r="AY13" i="26"/>
  <c r="CT393" i="14" s="1"/>
  <c r="AZ393" i="14"/>
  <c r="AY27" i="26"/>
  <c r="CT407" i="14" s="1"/>
  <c r="AZ407" i="14"/>
  <c r="AY33" i="26"/>
  <c r="CT413" i="14" s="1"/>
  <c r="AZ413" i="14"/>
  <c r="AY15" i="26"/>
  <c r="CT395" i="14" s="1"/>
  <c r="AZ395" i="14"/>
  <c r="AY21" i="26"/>
  <c r="CT401" i="14" s="1"/>
  <c r="AZ401" i="14"/>
  <c r="AZ398" i="14"/>
  <c r="AY18" i="26"/>
  <c r="CT398" i="14" s="1"/>
  <c r="AZ410" i="14"/>
  <c r="AY30" i="26"/>
  <c r="CT410" i="14" s="1"/>
  <c r="AY24" i="26"/>
  <c r="CT404" i="14" s="1"/>
  <c r="AZ404" i="14"/>
  <c r="AI188" i="14"/>
  <c r="AG188" i="14"/>
  <c r="L195" i="14"/>
  <c r="G86" i="27"/>
  <c r="K86" i="27"/>
  <c r="H86" i="27"/>
  <c r="I86" i="27"/>
  <c r="G249" i="14"/>
  <c r="AI194" i="14"/>
  <c r="L201" i="14"/>
  <c r="AG194" i="14"/>
  <c r="V23" i="26"/>
  <c r="D22" i="26"/>
  <c r="C22" i="26" s="1"/>
  <c r="S22" i="26"/>
  <c r="X22" i="26" s="1"/>
  <c r="U22" i="26"/>
  <c r="Z22" i="26" s="1"/>
  <c r="T22" i="26"/>
  <c r="Y22" i="26" s="1"/>
  <c r="R22" i="26"/>
  <c r="N79" i="28"/>
  <c r="V24" i="18"/>
  <c r="D23" i="18"/>
  <c r="C23" i="18" s="1"/>
  <c r="R23" i="18"/>
  <c r="U23" i="18"/>
  <c r="Z23" i="18" s="1"/>
  <c r="T23" i="18"/>
  <c r="Y23" i="18" s="1"/>
  <c r="S23" i="18"/>
  <c r="X23" i="18" s="1"/>
  <c r="V23" i="19"/>
  <c r="D22" i="19"/>
  <c r="C22" i="19" s="1"/>
  <c r="U22" i="19"/>
  <c r="Z22" i="19" s="1"/>
  <c r="R22" i="19"/>
  <c r="T22" i="19"/>
  <c r="Y22" i="19" s="1"/>
  <c r="S22" i="19"/>
  <c r="X22" i="19" s="1"/>
  <c r="L86" i="26"/>
  <c r="O119" i="29" s="1"/>
  <c r="AH248" i="14"/>
  <c r="AL248" i="14"/>
  <c r="L78" i="28"/>
  <c r="AY26" i="26"/>
  <c r="CT406" i="14" s="1"/>
  <c r="AZ406" i="14"/>
  <c r="AY16" i="26"/>
  <c r="CT396" i="14" s="1"/>
  <c r="AZ396" i="14"/>
  <c r="AY36" i="26"/>
  <c r="CT416" i="14" s="1"/>
  <c r="AZ416" i="14"/>
  <c r="AY31" i="26"/>
  <c r="CT411" i="14" s="1"/>
  <c r="AZ411" i="14"/>
  <c r="AY35" i="26"/>
  <c r="CT415" i="14" s="1"/>
  <c r="AZ415" i="14"/>
  <c r="AY12" i="26"/>
  <c r="CT392" i="14" s="1"/>
  <c r="AZ392" i="14"/>
  <c r="AY22" i="26"/>
  <c r="CT402" i="14" s="1"/>
  <c r="AZ402" i="14"/>
  <c r="AY9" i="26"/>
  <c r="CT389" i="14" s="1"/>
  <c r="AZ389" i="14"/>
  <c r="C25" i="22"/>
  <c r="D26" i="22"/>
  <c r="BK73" i="14"/>
  <c r="BK75" i="14"/>
  <c r="BK79" i="14"/>
  <c r="BK80" i="14" s="1"/>
  <c r="BK74" i="14"/>
  <c r="BK76" i="14"/>
  <c r="BK77" i="14"/>
  <c r="BK78" i="14"/>
  <c r="L77" i="28"/>
  <c r="V25" i="2"/>
  <c r="D24" i="2"/>
  <c r="C24" i="2" s="1"/>
  <c r="T24" i="2"/>
  <c r="Y24" i="2" s="1"/>
  <c r="R24" i="2"/>
  <c r="U24" i="2"/>
  <c r="Z24" i="2" s="1"/>
  <c r="S24" i="2"/>
  <c r="X24" i="2" s="1"/>
  <c r="Q160" i="29"/>
  <c r="Q159" i="29"/>
  <c r="Q158" i="29"/>
  <c r="Q157" i="29"/>
  <c r="AA22" i="2"/>
  <c r="E22" i="2" s="1"/>
  <c r="G128" i="14" s="1"/>
  <c r="V24" i="28"/>
  <c r="D23" i="28"/>
  <c r="C23" i="28" s="1"/>
  <c r="T23" i="28"/>
  <c r="Y23" i="28" s="1"/>
  <c r="S23" i="28"/>
  <c r="X23" i="28" s="1"/>
  <c r="R23" i="28"/>
  <c r="U23" i="28"/>
  <c r="Z23" i="28" s="1"/>
  <c r="V24" i="23"/>
  <c r="D23" i="23"/>
  <c r="C23" i="23" s="1"/>
  <c r="R23" i="23"/>
  <c r="T23" i="23"/>
  <c r="Y23" i="23" s="1"/>
  <c r="S23" i="23"/>
  <c r="X23" i="23" s="1"/>
  <c r="U23" i="23"/>
  <c r="Z23" i="23" s="1"/>
  <c r="AZ414" i="14"/>
  <c r="AY34" i="26"/>
  <c r="CT414" i="14" s="1"/>
  <c r="AY32" i="26"/>
  <c r="CT412" i="14" s="1"/>
  <c r="AZ412" i="14"/>
  <c r="AY28" i="26"/>
  <c r="CT408" i="14" s="1"/>
  <c r="AZ408" i="14"/>
  <c r="AZ394" i="14"/>
  <c r="AY14" i="26"/>
  <c r="CT394" i="14" s="1"/>
  <c r="AY20" i="26"/>
  <c r="CT400" i="14" s="1"/>
  <c r="AZ400" i="14"/>
  <c r="AY29" i="26"/>
  <c r="CT409" i="14" s="1"/>
  <c r="AZ409" i="14"/>
  <c r="AY19" i="26"/>
  <c r="CT399" i="14" s="1"/>
  <c r="AZ399" i="14"/>
  <c r="AY25" i="26"/>
  <c r="CT405" i="14" s="1"/>
  <c r="AZ405" i="14"/>
  <c r="AH127" i="14"/>
  <c r="AL127" i="14"/>
  <c r="BO59" i="14"/>
  <c r="BM72" i="14"/>
  <c r="BN60" i="14"/>
  <c r="AI206" i="14"/>
  <c r="CI206" i="14" s="1"/>
  <c r="CH206" i="14" s="1"/>
  <c r="AG206" i="14"/>
  <c r="L213" i="14"/>
  <c r="CH128" i="14"/>
  <c r="AI200" i="14"/>
  <c r="AG200" i="14"/>
  <c r="L207" i="14"/>
  <c r="AR160" i="14" l="1"/>
  <c r="AR402" i="14"/>
  <c r="AR250" i="14"/>
  <c r="AO249" i="14"/>
  <c r="AO341" i="14"/>
  <c r="AR342" i="14"/>
  <c r="AO310" i="14"/>
  <c r="AS433" i="14"/>
  <c r="AR433" i="14"/>
  <c r="BA433" i="14"/>
  <c r="BA432" i="14"/>
  <c r="BA463" i="14"/>
  <c r="BA372" i="14"/>
  <c r="BA129" i="14"/>
  <c r="AR311" i="14"/>
  <c r="BA311" i="14"/>
  <c r="AR188" i="14"/>
  <c r="AO187" i="14"/>
  <c r="CI187" i="14" s="1"/>
  <c r="CH187" i="14" s="1"/>
  <c r="AR289" i="14"/>
  <c r="BA289" i="14"/>
  <c r="AR464" i="14"/>
  <c r="AR130" i="14"/>
  <c r="BA130" i="14"/>
  <c r="AR373" i="14"/>
  <c r="AR220" i="14"/>
  <c r="BA220" i="14"/>
  <c r="W23" i="21"/>
  <c r="BA250" i="14" s="1"/>
  <c r="AS250" i="14"/>
  <c r="W22" i="19"/>
  <c r="BA188" i="14" s="1"/>
  <c r="AS188" i="14"/>
  <c r="W22" i="26"/>
  <c r="BA402" i="14" s="1"/>
  <c r="AS402" i="14"/>
  <c r="W31" i="22"/>
  <c r="AO289" i="14" s="1"/>
  <c r="AS289" i="14"/>
  <c r="W23" i="24"/>
  <c r="AO342" i="14" s="1"/>
  <c r="AS342" i="14"/>
  <c r="W23" i="23"/>
  <c r="AO311" i="14" s="1"/>
  <c r="AS311" i="14"/>
  <c r="W23" i="28"/>
  <c r="BA464" i="14" s="1"/>
  <c r="AS464" i="14"/>
  <c r="W24" i="2"/>
  <c r="AO130" i="14" s="1"/>
  <c r="CI130" i="14" s="1"/>
  <c r="AS130" i="14"/>
  <c r="W23" i="18"/>
  <c r="BA160" i="14" s="1"/>
  <c r="AS160" i="14"/>
  <c r="W23" i="25"/>
  <c r="BA373" i="14" s="1"/>
  <c r="AS373" i="14"/>
  <c r="W23" i="20"/>
  <c r="AO220" i="14" s="1"/>
  <c r="AS220" i="14"/>
  <c r="AZ420" i="14"/>
  <c r="AZ447" i="14"/>
  <c r="V24" i="27"/>
  <c r="T23" i="27"/>
  <c r="Y23" i="27" s="1"/>
  <c r="D23" i="27"/>
  <c r="C23" i="27" s="1"/>
  <c r="U23" i="27"/>
  <c r="Z23" i="27" s="1"/>
  <c r="S23" i="27"/>
  <c r="X23" i="27" s="1"/>
  <c r="R23" i="27"/>
  <c r="AO433" i="14"/>
  <c r="AZ426" i="14"/>
  <c r="AY34" i="27"/>
  <c r="CT445" i="14" s="1"/>
  <c r="AZ423" i="14"/>
  <c r="AY16" i="27"/>
  <c r="CT427" i="14" s="1"/>
  <c r="AY37" i="27"/>
  <c r="CT448" i="14" s="1"/>
  <c r="AZ438" i="14"/>
  <c r="AZ425" i="14"/>
  <c r="AY17" i="27"/>
  <c r="CT428" i="14" s="1"/>
  <c r="AY21" i="27"/>
  <c r="CT432" i="14" s="1"/>
  <c r="AZ424" i="14"/>
  <c r="AZ433" i="14"/>
  <c r="AZ422" i="14"/>
  <c r="AY35" i="27"/>
  <c r="CT446" i="14" s="1"/>
  <c r="AY15" i="27"/>
  <c r="CT426" i="14" s="1"/>
  <c r="AZ427" i="14"/>
  <c r="AZ446" i="14"/>
  <c r="AZ445" i="14"/>
  <c r="AY12" i="27"/>
  <c r="CT423" i="14" s="1"/>
  <c r="AY10" i="27"/>
  <c r="CT421" i="14" s="1"/>
  <c r="AY20" i="27"/>
  <c r="CT431" i="14" s="1"/>
  <c r="AZ419" i="14"/>
  <c r="AZ444" i="14"/>
  <c r="AY11" i="27"/>
  <c r="CT422" i="14" s="1"/>
  <c r="AY18" i="27"/>
  <c r="CT429" i="14" s="1"/>
  <c r="AY8" i="27"/>
  <c r="CT419" i="14" s="1"/>
  <c r="AY29" i="27"/>
  <c r="CT440" i="14" s="1"/>
  <c r="AY19" i="27"/>
  <c r="CT430" i="14" s="1"/>
  <c r="AZ441" i="14"/>
  <c r="AZ428" i="14"/>
  <c r="AY13" i="27"/>
  <c r="CT424" i="14" s="1"/>
  <c r="AY14" i="27"/>
  <c r="CT425" i="14" s="1"/>
  <c r="AY22" i="27"/>
  <c r="CT433" i="14" s="1"/>
  <c r="AY26" i="27"/>
  <c r="CT437" i="14" s="1"/>
  <c r="AZ432" i="14"/>
  <c r="AK128" i="14"/>
  <c r="T128" i="14"/>
  <c r="AZ421" i="14"/>
  <c r="AZ431" i="14"/>
  <c r="CG126" i="14"/>
  <c r="CF126" i="14"/>
  <c r="AY33" i="27"/>
  <c r="CT444" i="14" s="1"/>
  <c r="AY31" i="27"/>
  <c r="CT442" i="14" s="1"/>
  <c r="AZ439" i="14"/>
  <c r="AY9" i="27"/>
  <c r="CT420" i="14" s="1"/>
  <c r="AY25" i="27"/>
  <c r="CT436" i="14" s="1"/>
  <c r="Q161" i="29"/>
  <c r="AZ442" i="14"/>
  <c r="AZ436" i="14"/>
  <c r="AY30" i="27"/>
  <c r="CT441" i="14" s="1"/>
  <c r="AY28" i="27"/>
  <c r="CT439" i="14" s="1"/>
  <c r="AZ443" i="14"/>
  <c r="AZ437" i="14"/>
  <c r="AZ429" i="14"/>
  <c r="AZ434" i="14"/>
  <c r="AZ448" i="14"/>
  <c r="AY27" i="27"/>
  <c r="CT438" i="14" s="1"/>
  <c r="AZ435" i="14"/>
  <c r="AZ430" i="14"/>
  <c r="AY36" i="27"/>
  <c r="CT447" i="14" s="1"/>
  <c r="AZ440" i="14"/>
  <c r="AY23" i="27"/>
  <c r="CT434" i="14" s="1"/>
  <c r="AY32" i="27"/>
  <c r="CT443" i="14" s="1"/>
  <c r="AY24" i="27"/>
  <c r="CT435" i="14" s="1"/>
  <c r="T24" i="20"/>
  <c r="Y24" i="20" s="1"/>
  <c r="U24" i="20"/>
  <c r="Z24" i="20" s="1"/>
  <c r="E24" i="20"/>
  <c r="G221" i="14" s="1"/>
  <c r="R24" i="20"/>
  <c r="S24" i="20"/>
  <c r="X24" i="20" s="1"/>
  <c r="V25" i="20"/>
  <c r="D24" i="20"/>
  <c r="C24" i="20" s="1"/>
  <c r="T220" i="14"/>
  <c r="AK220" i="14"/>
  <c r="CG218" i="14"/>
  <c r="CF218" i="14"/>
  <c r="V25" i="24"/>
  <c r="T24" i="24"/>
  <c r="Y24" i="24" s="1"/>
  <c r="R24" i="24"/>
  <c r="U24" i="24"/>
  <c r="Z24" i="24" s="1"/>
  <c r="S24" i="24"/>
  <c r="X24" i="24" s="1"/>
  <c r="D24" i="24"/>
  <c r="C24" i="24" s="1"/>
  <c r="AL219" i="14"/>
  <c r="AH219" i="14"/>
  <c r="AO373" i="14"/>
  <c r="H86" i="28"/>
  <c r="G86" i="28"/>
  <c r="I86" i="28"/>
  <c r="K86" i="28"/>
  <c r="C26" i="22"/>
  <c r="D27" i="22"/>
  <c r="AO188" i="14"/>
  <c r="CI188" i="14" s="1"/>
  <c r="CH188" i="14" s="1"/>
  <c r="V24" i="26"/>
  <c r="D23" i="26"/>
  <c r="C23" i="26" s="1"/>
  <c r="U23" i="26"/>
  <c r="Z23" i="26" s="1"/>
  <c r="S23" i="26"/>
  <c r="X23" i="26" s="1"/>
  <c r="R23" i="26"/>
  <c r="T23" i="26"/>
  <c r="Y23" i="26" s="1"/>
  <c r="L202" i="14"/>
  <c r="AG195" i="14"/>
  <c r="AI195" i="14"/>
  <c r="V33" i="22"/>
  <c r="U32" i="22"/>
  <c r="Z32" i="22" s="1"/>
  <c r="R32" i="22"/>
  <c r="T32" i="22"/>
  <c r="Y32" i="22" s="1"/>
  <c r="E32" i="22"/>
  <c r="G290" i="14" s="1"/>
  <c r="S32" i="22"/>
  <c r="X32" i="22" s="1"/>
  <c r="BM73" i="14"/>
  <c r="BM75" i="14"/>
  <c r="BM77" i="14"/>
  <c r="BM79" i="14"/>
  <c r="BM80" i="14" s="1"/>
  <c r="BM76" i="14"/>
  <c r="BM74" i="14"/>
  <c r="BM78" i="14"/>
  <c r="O79" i="28"/>
  <c r="O88" i="28"/>
  <c r="AK249" i="14"/>
  <c r="T249" i="14"/>
  <c r="L190" i="14"/>
  <c r="AG183" i="14"/>
  <c r="AI183" i="14"/>
  <c r="CI183" i="14" s="1"/>
  <c r="CH183" i="14" s="1"/>
  <c r="E131" i="14"/>
  <c r="C130" i="14"/>
  <c r="D130" i="14" s="1"/>
  <c r="B130" i="14"/>
  <c r="AN130" i="14"/>
  <c r="Q130" i="14"/>
  <c r="H129" i="15"/>
  <c r="J130" i="14"/>
  <c r="AH287" i="14"/>
  <c r="AL287" i="14"/>
  <c r="V25" i="25"/>
  <c r="D24" i="25"/>
  <c r="C24" i="25" s="1"/>
  <c r="T24" i="25"/>
  <c r="Y24" i="25" s="1"/>
  <c r="R24" i="25"/>
  <c r="U24" i="25"/>
  <c r="Z24" i="25" s="1"/>
  <c r="S24" i="25"/>
  <c r="X24" i="25" s="1"/>
  <c r="V25" i="21"/>
  <c r="D24" i="21"/>
  <c r="C24" i="21" s="1"/>
  <c r="R24" i="21"/>
  <c r="S24" i="21"/>
  <c r="X24" i="21" s="1"/>
  <c r="U24" i="21"/>
  <c r="Z24" i="21" s="1"/>
  <c r="T24" i="21"/>
  <c r="Y24" i="21" s="1"/>
  <c r="E24" i="21"/>
  <c r="L196" i="14"/>
  <c r="AI189" i="14"/>
  <c r="AG189" i="14"/>
  <c r="BP60" i="14"/>
  <c r="BQ59" i="14"/>
  <c r="BO72" i="14"/>
  <c r="V26" i="2"/>
  <c r="D25" i="2"/>
  <c r="C25" i="2" s="1"/>
  <c r="T25" i="2"/>
  <c r="Y25" i="2" s="1"/>
  <c r="U25" i="2"/>
  <c r="Z25" i="2" s="1"/>
  <c r="R25" i="2"/>
  <c r="S25" i="2"/>
  <c r="X25" i="2" s="1"/>
  <c r="AE38" i="28"/>
  <c r="AE32" i="28"/>
  <c r="AE16" i="28"/>
  <c r="AE27" i="28"/>
  <c r="AE11" i="28"/>
  <c r="AE30" i="28"/>
  <c r="AE14" i="28"/>
  <c r="AE35" i="28"/>
  <c r="AE21" i="28"/>
  <c r="AC34" i="28"/>
  <c r="AC18" i="28"/>
  <c r="AC33" i="28"/>
  <c r="AC17" i="28"/>
  <c r="AC28" i="28"/>
  <c r="AC12" i="28"/>
  <c r="AC23" i="28"/>
  <c r="AD27" i="28"/>
  <c r="AD11" i="28"/>
  <c r="AD30" i="28"/>
  <c r="AD14" i="28"/>
  <c r="AD29" i="28"/>
  <c r="AD13" i="28"/>
  <c r="AD28" i="28"/>
  <c r="AB25" i="28"/>
  <c r="AB9" i="28"/>
  <c r="AB20" i="28"/>
  <c r="AB31" i="28"/>
  <c r="AB15" i="28"/>
  <c r="AB34" i="28"/>
  <c r="AB36" i="28"/>
  <c r="AE20" i="28"/>
  <c r="AE18" i="28"/>
  <c r="AC21" i="28"/>
  <c r="AC11" i="28"/>
  <c r="AB29" i="28"/>
  <c r="AB24" i="28"/>
  <c r="AB22" i="28"/>
  <c r="AE28" i="28"/>
  <c r="AE12" i="28"/>
  <c r="AE23" i="28"/>
  <c r="AE8" i="28"/>
  <c r="AE26" i="28"/>
  <c r="AE10" i="28"/>
  <c r="AE25" i="28"/>
  <c r="AE33" i="28"/>
  <c r="AC30" i="28"/>
  <c r="AC14" i="28"/>
  <c r="AC29" i="28"/>
  <c r="AC13" i="28"/>
  <c r="AC24" i="28"/>
  <c r="AC19" i="28"/>
  <c r="AC37" i="28"/>
  <c r="AC8" i="28"/>
  <c r="AD23" i="28"/>
  <c r="AD8" i="28"/>
  <c r="AD26" i="28"/>
  <c r="AD10" i="28"/>
  <c r="AD25" i="28"/>
  <c r="AD9" i="28"/>
  <c r="AD12" i="28"/>
  <c r="AB38" i="28"/>
  <c r="AB35" i="28"/>
  <c r="AB21" i="28"/>
  <c r="AB32" i="28"/>
  <c r="AB16" i="28"/>
  <c r="AB27" i="28"/>
  <c r="AB11" i="28"/>
  <c r="AB18" i="28"/>
  <c r="AC38" i="28"/>
  <c r="AC35" i="28"/>
  <c r="AC15" i="28"/>
  <c r="AD15" i="28"/>
  <c r="AD17" i="28"/>
  <c r="AB37" i="28"/>
  <c r="AB14" i="28"/>
  <c r="AE24" i="28"/>
  <c r="AE37" i="28"/>
  <c r="AE19" i="28"/>
  <c r="AE36" i="28"/>
  <c r="AE22" i="28"/>
  <c r="AE29" i="28"/>
  <c r="AE9" i="28"/>
  <c r="AE17" i="28"/>
  <c r="AC26" i="28"/>
  <c r="AC10" i="28"/>
  <c r="AC25" i="28"/>
  <c r="AC9" i="28"/>
  <c r="AC20" i="28"/>
  <c r="AC31" i="28"/>
  <c r="AC27" i="28"/>
  <c r="AD37" i="28"/>
  <c r="AD19" i="28"/>
  <c r="AD36" i="28"/>
  <c r="AD22" i="28"/>
  <c r="AD35" i="28"/>
  <c r="AD21" i="28"/>
  <c r="AD32" i="28"/>
  <c r="AD24" i="28"/>
  <c r="AB33" i="28"/>
  <c r="AB17" i="28"/>
  <c r="AB28" i="28"/>
  <c r="AB12" i="28"/>
  <c r="AB23" i="28"/>
  <c r="AB8" i="28"/>
  <c r="AB30" i="28"/>
  <c r="AB26" i="28"/>
  <c r="AE31" i="28"/>
  <c r="AE15" i="28"/>
  <c r="AE34" i="28"/>
  <c r="AE13" i="28"/>
  <c r="AC36" i="28"/>
  <c r="AC22" i="28"/>
  <c r="AC32" i="28"/>
  <c r="AC16" i="28"/>
  <c r="AD38" i="28"/>
  <c r="AD31" i="28"/>
  <c r="AD34" i="28"/>
  <c r="AD18" i="28"/>
  <c r="AD33" i="28"/>
  <c r="AD16" i="28"/>
  <c r="AD20" i="28"/>
  <c r="AB13" i="28"/>
  <c r="AB19" i="28"/>
  <c r="AB10" i="28"/>
  <c r="V24" i="19"/>
  <c r="D23" i="19"/>
  <c r="C23" i="19" s="1"/>
  <c r="R23" i="19"/>
  <c r="U23" i="19"/>
  <c r="Z23" i="19" s="1"/>
  <c r="S23" i="19"/>
  <c r="X23" i="19" s="1"/>
  <c r="T23" i="19"/>
  <c r="Y23" i="19" s="1"/>
  <c r="V25" i="18"/>
  <c r="D24" i="18"/>
  <c r="C24" i="18" s="1"/>
  <c r="S24" i="18"/>
  <c r="X24" i="18" s="1"/>
  <c r="U24" i="18"/>
  <c r="Z24" i="18" s="1"/>
  <c r="R24" i="18"/>
  <c r="T24" i="18"/>
  <c r="Y24" i="18" s="1"/>
  <c r="AK289" i="14"/>
  <c r="T289" i="14"/>
  <c r="AG247" i="14"/>
  <c r="AI247" i="14"/>
  <c r="CI247" i="14" s="1"/>
  <c r="CH247" i="14" s="1"/>
  <c r="L254" i="14"/>
  <c r="AK250" i="14"/>
  <c r="T250" i="14"/>
  <c r="E191" i="14"/>
  <c r="B190" i="14"/>
  <c r="AN190" i="14"/>
  <c r="C190" i="14"/>
  <c r="D190" i="14" s="1"/>
  <c r="H189" i="15"/>
  <c r="J190" i="14"/>
  <c r="Q190" i="14"/>
  <c r="L214" i="14"/>
  <c r="AG207" i="14"/>
  <c r="AI207" i="14"/>
  <c r="CI207" i="14" s="1"/>
  <c r="CH207" i="14" s="1"/>
  <c r="L220" i="14"/>
  <c r="AI213" i="14"/>
  <c r="CI213" i="14" s="1"/>
  <c r="CH213" i="14" s="1"/>
  <c r="AG213" i="14"/>
  <c r="CG127" i="14"/>
  <c r="CF127" i="14"/>
  <c r="V25" i="23"/>
  <c r="D24" i="23"/>
  <c r="C24" i="23" s="1"/>
  <c r="R24" i="23"/>
  <c r="T24" i="23"/>
  <c r="Y24" i="23" s="1"/>
  <c r="U24" i="23"/>
  <c r="Z24" i="23" s="1"/>
  <c r="S24" i="23"/>
  <c r="X24" i="23" s="1"/>
  <c r="V25" i="28"/>
  <c r="D24" i="28"/>
  <c r="C24" i="28" s="1"/>
  <c r="Y24" i="28"/>
  <c r="T24" i="28"/>
  <c r="R24" i="28"/>
  <c r="U24" i="28"/>
  <c r="Z24" i="28" s="1"/>
  <c r="S24" i="28"/>
  <c r="X24" i="28" s="1"/>
  <c r="CG248" i="14"/>
  <c r="CF248" i="14"/>
  <c r="L208" i="14"/>
  <c r="AI201" i="14"/>
  <c r="AG201" i="14"/>
  <c r="L86" i="27"/>
  <c r="P119" i="29" s="1"/>
  <c r="AA23" i="2"/>
  <c r="E23" i="2" s="1"/>
  <c r="G129" i="14" s="1"/>
  <c r="AK288" i="14"/>
  <c r="T288" i="14"/>
  <c r="CG247" i="14"/>
  <c r="CF247" i="14"/>
  <c r="AO464" i="14" l="1"/>
  <c r="AR251" i="14"/>
  <c r="AO160" i="14"/>
  <c r="CI160" i="14" s="1"/>
  <c r="CH160" i="14" s="1"/>
  <c r="AR131" i="14"/>
  <c r="AR374" i="14"/>
  <c r="AO250" i="14"/>
  <c r="AR290" i="14"/>
  <c r="BA342" i="14"/>
  <c r="AR161" i="14"/>
  <c r="AR221" i="14"/>
  <c r="AR403" i="14"/>
  <c r="AR189" i="14"/>
  <c r="BA189" i="14"/>
  <c r="AR465" i="14"/>
  <c r="AR312" i="14"/>
  <c r="BA312" i="14"/>
  <c r="AO402" i="14"/>
  <c r="AR343" i="14"/>
  <c r="AR434" i="14"/>
  <c r="BA434" i="14"/>
  <c r="W24" i="18"/>
  <c r="BA161" i="14" s="1"/>
  <c r="AS161" i="14"/>
  <c r="W24" i="21"/>
  <c r="BA251" i="14" s="1"/>
  <c r="AS251" i="14"/>
  <c r="W23" i="26"/>
  <c r="BA403" i="14" s="1"/>
  <c r="AS403" i="14"/>
  <c r="W24" i="24"/>
  <c r="AO343" i="14" s="1"/>
  <c r="AS343" i="14"/>
  <c r="W25" i="2"/>
  <c r="BA131" i="14" s="1"/>
  <c r="AS131" i="14"/>
  <c r="W24" i="28"/>
  <c r="BA465" i="14" s="1"/>
  <c r="AS465" i="14"/>
  <c r="W24" i="23"/>
  <c r="AO312" i="14" s="1"/>
  <c r="AS312" i="14"/>
  <c r="W23" i="27"/>
  <c r="AO434" i="14" s="1"/>
  <c r="AS434" i="14"/>
  <c r="W23" i="19"/>
  <c r="AS189" i="14"/>
  <c r="W24" i="25"/>
  <c r="BA374" i="14" s="1"/>
  <c r="AS374" i="14"/>
  <c r="W32" i="22"/>
  <c r="BA290" i="14" s="1"/>
  <c r="AS290" i="14"/>
  <c r="W24" i="20"/>
  <c r="AO221" i="14" s="1"/>
  <c r="AS221" i="14"/>
  <c r="V25" i="27"/>
  <c r="U24" i="27"/>
  <c r="Z24" i="27" s="1"/>
  <c r="D24" i="27"/>
  <c r="C24" i="27" s="1"/>
  <c r="R24" i="27"/>
  <c r="T24" i="27"/>
  <c r="Y24" i="27" s="1"/>
  <c r="S24" i="27"/>
  <c r="X24" i="27" s="1"/>
  <c r="T129" i="14"/>
  <c r="AK129" i="14"/>
  <c r="AH128" i="14"/>
  <c r="AL128" i="14"/>
  <c r="AK221" i="14"/>
  <c r="T221" i="14"/>
  <c r="V26" i="24"/>
  <c r="U25" i="24"/>
  <c r="Z25" i="24" s="1"/>
  <c r="T25" i="24"/>
  <c r="Y25" i="24" s="1"/>
  <c r="S25" i="24"/>
  <c r="X25" i="24" s="1"/>
  <c r="R25" i="24"/>
  <c r="D25" i="24"/>
  <c r="C25" i="24" s="1"/>
  <c r="AL220" i="14"/>
  <c r="AH220" i="14"/>
  <c r="AO189" i="14"/>
  <c r="CI189" i="14" s="1"/>
  <c r="CH189" i="14" s="1"/>
  <c r="L86" i="28"/>
  <c r="Q119" i="29" s="1"/>
  <c r="R119" i="29" s="1"/>
  <c r="T119" i="29" s="1"/>
  <c r="CF219" i="14"/>
  <c r="CG219" i="14"/>
  <c r="U25" i="20"/>
  <c r="Z25" i="20" s="1"/>
  <c r="R25" i="20"/>
  <c r="T25" i="20"/>
  <c r="Y25" i="20" s="1"/>
  <c r="E25" i="20"/>
  <c r="G222" i="14" s="1"/>
  <c r="V26" i="20"/>
  <c r="S25" i="20"/>
  <c r="X25" i="20" s="1"/>
  <c r="D25" i="20"/>
  <c r="C25" i="20" s="1"/>
  <c r="AI208" i="14"/>
  <c r="CI208" i="14" s="1"/>
  <c r="CH208" i="14" s="1"/>
  <c r="AG208" i="14"/>
  <c r="L215" i="14"/>
  <c r="AH250" i="14"/>
  <c r="AL250" i="14"/>
  <c r="AY19" i="28"/>
  <c r="CT460" i="14" s="1"/>
  <c r="AZ460" i="14"/>
  <c r="AY23" i="28"/>
  <c r="CT464" i="14" s="1"/>
  <c r="AZ464" i="14"/>
  <c r="AY33" i="28"/>
  <c r="CT474" i="14" s="1"/>
  <c r="AZ474" i="14"/>
  <c r="AZ455" i="14"/>
  <c r="AY14" i="28"/>
  <c r="CT455" i="14" s="1"/>
  <c r="AY11" i="28"/>
  <c r="CT452" i="14" s="1"/>
  <c r="AZ452" i="14"/>
  <c r="AY21" i="28"/>
  <c r="CT462" i="14" s="1"/>
  <c r="AZ462" i="14"/>
  <c r="AY29" i="28"/>
  <c r="CT470" i="14" s="1"/>
  <c r="AZ470" i="14"/>
  <c r="AY31" i="28"/>
  <c r="CT472" i="14" s="1"/>
  <c r="AZ472" i="14"/>
  <c r="G251" i="14"/>
  <c r="AO374" i="14"/>
  <c r="AK290" i="14"/>
  <c r="T290" i="14"/>
  <c r="AI202" i="14"/>
  <c r="L209" i="14"/>
  <c r="AG202" i="14"/>
  <c r="V25" i="26"/>
  <c r="D24" i="26"/>
  <c r="C24" i="26" s="1"/>
  <c r="R24" i="26"/>
  <c r="T24" i="26"/>
  <c r="Y24" i="26" s="1"/>
  <c r="S24" i="26"/>
  <c r="X24" i="26" s="1"/>
  <c r="U24" i="26"/>
  <c r="Z24" i="26" s="1"/>
  <c r="AI214" i="14"/>
  <c r="CI214" i="14" s="1"/>
  <c r="CH214" i="14" s="1"/>
  <c r="L221" i="14"/>
  <c r="AG214" i="14"/>
  <c r="V26" i="18"/>
  <c r="D25" i="18"/>
  <c r="C25" i="18" s="1"/>
  <c r="S25" i="18"/>
  <c r="X25" i="18" s="1"/>
  <c r="R25" i="18"/>
  <c r="T25" i="18"/>
  <c r="Y25" i="18" s="1"/>
  <c r="U25" i="18"/>
  <c r="Z25" i="18" s="1"/>
  <c r="AY13" i="28"/>
  <c r="CT454" i="14" s="1"/>
  <c r="AZ454" i="14"/>
  <c r="AY26" i="28"/>
  <c r="CT467" i="14" s="1"/>
  <c r="AZ467" i="14"/>
  <c r="AY12" i="28"/>
  <c r="CT453" i="14" s="1"/>
  <c r="AZ453" i="14"/>
  <c r="AY37" i="28"/>
  <c r="CT478" i="14" s="1"/>
  <c r="AZ478" i="14"/>
  <c r="AY27" i="28"/>
  <c r="CT468" i="14" s="1"/>
  <c r="AZ468" i="14"/>
  <c r="AY35" i="28"/>
  <c r="CT476" i="14" s="1"/>
  <c r="AZ476" i="14"/>
  <c r="AY36" i="28"/>
  <c r="CT477" i="14" s="1"/>
  <c r="AZ477" i="14"/>
  <c r="AY20" i="28"/>
  <c r="CT461" i="14" s="1"/>
  <c r="AZ461" i="14"/>
  <c r="BO73" i="14"/>
  <c r="BO76" i="14"/>
  <c r="BO78" i="14"/>
  <c r="BO79" i="14"/>
  <c r="BO80" i="14" s="1"/>
  <c r="BO75" i="14"/>
  <c r="BO74" i="14"/>
  <c r="BO77" i="14"/>
  <c r="AI196" i="14"/>
  <c r="AG196" i="14"/>
  <c r="L203" i="14"/>
  <c r="V26" i="21"/>
  <c r="D25" i="21"/>
  <c r="C25" i="21" s="1"/>
  <c r="S25" i="21"/>
  <c r="X25" i="21" s="1"/>
  <c r="U25" i="21"/>
  <c r="Z25" i="21" s="1"/>
  <c r="E25" i="21"/>
  <c r="G252" i="14" s="1"/>
  <c r="T25" i="21"/>
  <c r="Y25" i="21" s="1"/>
  <c r="R25" i="21"/>
  <c r="AA24" i="2"/>
  <c r="E24" i="2" s="1"/>
  <c r="G130" i="14" s="1"/>
  <c r="AK130" i="14" s="1"/>
  <c r="AH288" i="14"/>
  <c r="AL288" i="14"/>
  <c r="E192" i="14"/>
  <c r="B191" i="14"/>
  <c r="C191" i="14"/>
  <c r="D191" i="14" s="1"/>
  <c r="AN191" i="14"/>
  <c r="Q191" i="14"/>
  <c r="J191" i="14"/>
  <c r="H190" i="15"/>
  <c r="L261" i="14"/>
  <c r="AI254" i="14"/>
  <c r="AG254" i="14"/>
  <c r="AH289" i="14"/>
  <c r="AL289" i="14"/>
  <c r="V25" i="19"/>
  <c r="D24" i="19"/>
  <c r="C24" i="19" s="1"/>
  <c r="T24" i="19"/>
  <c r="Y24" i="19" s="1"/>
  <c r="U24" i="19"/>
  <c r="Z24" i="19" s="1"/>
  <c r="S24" i="19"/>
  <c r="X24" i="19" s="1"/>
  <c r="R24" i="19"/>
  <c r="AZ471" i="14"/>
  <c r="AY30" i="28"/>
  <c r="CT471" i="14" s="1"/>
  <c r="AY28" i="28"/>
  <c r="CT469" i="14" s="1"/>
  <c r="AZ469" i="14"/>
  <c r="AY16" i="28"/>
  <c r="CT457" i="14" s="1"/>
  <c r="AZ457" i="14"/>
  <c r="AY38" i="28"/>
  <c r="CT479" i="14" s="1"/>
  <c r="AZ479" i="14"/>
  <c r="AZ463" i="14"/>
  <c r="AY22" i="28"/>
  <c r="CT463" i="14" s="1"/>
  <c r="AZ475" i="14"/>
  <c r="AY34" i="28"/>
  <c r="CT475" i="14" s="1"/>
  <c r="AY9" i="28"/>
  <c r="CT450" i="14" s="1"/>
  <c r="AZ450" i="14"/>
  <c r="V27" i="2"/>
  <c r="D26" i="2"/>
  <c r="C26" i="2" s="1"/>
  <c r="U26" i="2"/>
  <c r="Z26" i="2" s="1"/>
  <c r="T26" i="2"/>
  <c r="Y26" i="2" s="1"/>
  <c r="S26" i="2"/>
  <c r="X26" i="2" s="1"/>
  <c r="R26" i="2"/>
  <c r="BS59" i="14"/>
  <c r="BQ72" i="14"/>
  <c r="BR60" i="14"/>
  <c r="V26" i="25"/>
  <c r="D25" i="25"/>
  <c r="C25" i="25" s="1"/>
  <c r="T25" i="25"/>
  <c r="Y25" i="25" s="1"/>
  <c r="S25" i="25"/>
  <c r="X25" i="25" s="1"/>
  <c r="U25" i="25"/>
  <c r="Z25" i="25" s="1"/>
  <c r="R25" i="25"/>
  <c r="V34" i="22"/>
  <c r="E33" i="22"/>
  <c r="G291" i="14" s="1"/>
  <c r="S33" i="22"/>
  <c r="X33" i="22" s="1"/>
  <c r="U33" i="22"/>
  <c r="Z33" i="22" s="1"/>
  <c r="T33" i="22"/>
  <c r="Y33" i="22" s="1"/>
  <c r="R33" i="22"/>
  <c r="C27" i="22"/>
  <c r="D28" i="22"/>
  <c r="AO465" i="14"/>
  <c r="V26" i="28"/>
  <c r="D25" i="28"/>
  <c r="C25" i="28" s="1"/>
  <c r="T25" i="28"/>
  <c r="Y25" i="28" s="1"/>
  <c r="U25" i="28"/>
  <c r="Z25" i="28" s="1"/>
  <c r="S25" i="28"/>
  <c r="X25" i="28" s="1"/>
  <c r="R25" i="28"/>
  <c r="V26" i="23"/>
  <c r="D25" i="23"/>
  <c r="C25" i="23" s="1"/>
  <c r="U25" i="23"/>
  <c r="Z25" i="23" s="1"/>
  <c r="S25" i="23"/>
  <c r="X25" i="23" s="1"/>
  <c r="R25" i="23"/>
  <c r="T25" i="23"/>
  <c r="Y25" i="23" s="1"/>
  <c r="AI220" i="14"/>
  <c r="CI220" i="14" s="1"/>
  <c r="CH220" i="14" s="1"/>
  <c r="AG220" i="14"/>
  <c r="L227" i="14"/>
  <c r="AY10" i="28"/>
  <c r="CT451" i="14" s="1"/>
  <c r="AZ451" i="14"/>
  <c r="AY8" i="28"/>
  <c r="CT449" i="14" s="1"/>
  <c r="AZ449" i="14"/>
  <c r="AY17" i="28"/>
  <c r="CT458" i="14" s="1"/>
  <c r="AZ458" i="14"/>
  <c r="AZ459" i="14"/>
  <c r="AY18" i="28"/>
  <c r="CT459" i="14" s="1"/>
  <c r="AY32" i="28"/>
  <c r="CT473" i="14" s="1"/>
  <c r="AZ473" i="14"/>
  <c r="AY24" i="28"/>
  <c r="CT465" i="14" s="1"/>
  <c r="AZ465" i="14"/>
  <c r="AY15" i="28"/>
  <c r="CT456" i="14" s="1"/>
  <c r="AZ456" i="14"/>
  <c r="AY25" i="28"/>
  <c r="CT466" i="14" s="1"/>
  <c r="AZ466" i="14"/>
  <c r="AO251" i="14"/>
  <c r="CG287" i="14"/>
  <c r="CF287" i="14"/>
  <c r="B131" i="14"/>
  <c r="E132" i="14"/>
  <c r="C131" i="14"/>
  <c r="D131" i="14" s="1"/>
  <c r="AN131" i="14"/>
  <c r="Q131" i="14"/>
  <c r="H130" i="15"/>
  <c r="J131" i="14"/>
  <c r="AI190" i="14"/>
  <c r="L197" i="14"/>
  <c r="AG190" i="14"/>
  <c r="AH249" i="14"/>
  <c r="AL249" i="14"/>
  <c r="CH130" i="14"/>
  <c r="AO131" i="14" l="1"/>
  <c r="CI131" i="14" s="1"/>
  <c r="CH131" i="14" s="1"/>
  <c r="AO290" i="14"/>
  <c r="AO161" i="14"/>
  <c r="CI161" i="14" s="1"/>
  <c r="CH161" i="14" s="1"/>
  <c r="AO403" i="14"/>
  <c r="AR291" i="14"/>
  <c r="AR132" i="14"/>
  <c r="BA132" i="14"/>
  <c r="AR190" i="14"/>
  <c r="AR404" i="14"/>
  <c r="BA404" i="14"/>
  <c r="BA221" i="14"/>
  <c r="AR162" i="14"/>
  <c r="AR222" i="14"/>
  <c r="AR344" i="14"/>
  <c r="BA343" i="14"/>
  <c r="AR466" i="14"/>
  <c r="AR375" i="14"/>
  <c r="AR313" i="14"/>
  <c r="AR252" i="14"/>
  <c r="AR435" i="14"/>
  <c r="W33" i="22"/>
  <c r="AO291" i="14" s="1"/>
  <c r="AS291" i="14"/>
  <c r="W26" i="2"/>
  <c r="AO132" i="14" s="1"/>
  <c r="CI132" i="14" s="1"/>
  <c r="CH132" i="14" s="1"/>
  <c r="AS132" i="14"/>
  <c r="W24" i="19"/>
  <c r="BA190" i="14" s="1"/>
  <c r="AS190" i="14"/>
  <c r="W24" i="26"/>
  <c r="AO404" i="14" s="1"/>
  <c r="AS404" i="14"/>
  <c r="W25" i="28"/>
  <c r="AO466" i="14" s="1"/>
  <c r="AS466" i="14"/>
  <c r="W25" i="25"/>
  <c r="AO375" i="14" s="1"/>
  <c r="AS375" i="14"/>
  <c r="W25" i="18"/>
  <c r="AO162" i="14" s="1"/>
  <c r="CI162" i="14" s="1"/>
  <c r="CH162" i="14" s="1"/>
  <c r="AS162" i="14"/>
  <c r="W25" i="20"/>
  <c r="BA222" i="14" s="1"/>
  <c r="AS222" i="14"/>
  <c r="W25" i="24"/>
  <c r="BA344" i="14" s="1"/>
  <c r="AS344" i="14"/>
  <c r="W25" i="23"/>
  <c r="AO313" i="14" s="1"/>
  <c r="AS313" i="14"/>
  <c r="W25" i="21"/>
  <c r="BA252" i="14" s="1"/>
  <c r="AS252" i="14"/>
  <c r="W24" i="27"/>
  <c r="AO435" i="14" s="1"/>
  <c r="AS435" i="14"/>
  <c r="T25" i="27"/>
  <c r="Y25" i="27"/>
  <c r="V26" i="27"/>
  <c r="U25" i="27"/>
  <c r="Z25" i="27" s="1"/>
  <c r="S25" i="27"/>
  <c r="X25" i="27" s="1"/>
  <c r="D25" i="27"/>
  <c r="C25" i="27" s="1"/>
  <c r="R25" i="27"/>
  <c r="T130" i="14"/>
  <c r="CG128" i="14"/>
  <c r="CF128" i="14"/>
  <c r="AL129" i="14"/>
  <c r="AH129" i="14"/>
  <c r="AO344" i="14"/>
  <c r="T222" i="14"/>
  <c r="AK222" i="14"/>
  <c r="V27" i="24"/>
  <c r="U26" i="24"/>
  <c r="Z26" i="24" s="1"/>
  <c r="T26" i="24"/>
  <c r="Y26" i="24" s="1"/>
  <c r="R26" i="24"/>
  <c r="S26" i="24"/>
  <c r="X26" i="24" s="1"/>
  <c r="D26" i="24"/>
  <c r="C26" i="24" s="1"/>
  <c r="V27" i="20"/>
  <c r="U26" i="20"/>
  <c r="Z26" i="20" s="1"/>
  <c r="R26" i="20"/>
  <c r="E26" i="20"/>
  <c r="G223" i="14" s="1"/>
  <c r="S26" i="20"/>
  <c r="X26" i="20" s="1"/>
  <c r="T26" i="20"/>
  <c r="Y26" i="20" s="1"/>
  <c r="D26" i="20"/>
  <c r="C26" i="20" s="1"/>
  <c r="CF220" i="14"/>
  <c r="CG220" i="14"/>
  <c r="AH221" i="14"/>
  <c r="AL221" i="14"/>
  <c r="E133" i="14"/>
  <c r="C132" i="14"/>
  <c r="D132" i="14" s="1"/>
  <c r="B132" i="14"/>
  <c r="AN132" i="14"/>
  <c r="Q132" i="14"/>
  <c r="H131" i="15"/>
  <c r="J132" i="14"/>
  <c r="C28" i="22"/>
  <c r="D29" i="22"/>
  <c r="AO190" i="14"/>
  <c r="CI190" i="14" s="1"/>
  <c r="CH190" i="14" s="1"/>
  <c r="AK252" i="14"/>
  <c r="T252" i="14"/>
  <c r="V26" i="26"/>
  <c r="D25" i="26"/>
  <c r="C25" i="26" s="1"/>
  <c r="T25" i="26"/>
  <c r="Y25" i="26" s="1"/>
  <c r="U25" i="26"/>
  <c r="Z25" i="26" s="1"/>
  <c r="S25" i="26"/>
  <c r="X25" i="26" s="1"/>
  <c r="R25" i="26"/>
  <c r="L216" i="14"/>
  <c r="AI209" i="14"/>
  <c r="CI209" i="14" s="1"/>
  <c r="CH209" i="14" s="1"/>
  <c r="AG209" i="14"/>
  <c r="CG250" i="14"/>
  <c r="CF250" i="14"/>
  <c r="L222" i="14"/>
  <c r="AG215" i="14"/>
  <c r="AI215" i="14"/>
  <c r="CI215" i="14" s="1"/>
  <c r="CH215" i="14" s="1"/>
  <c r="CG249" i="14"/>
  <c r="CF249" i="14"/>
  <c r="L204" i="14"/>
  <c r="AI197" i="14"/>
  <c r="AG197" i="14"/>
  <c r="AA25" i="2"/>
  <c r="E25" i="2" s="1"/>
  <c r="G131" i="14" s="1"/>
  <c r="AH130" i="14"/>
  <c r="AL130" i="14"/>
  <c r="V35" i="22"/>
  <c r="E34" i="22"/>
  <c r="G292" i="14" s="1"/>
  <c r="U34" i="22"/>
  <c r="Z34" i="22" s="1"/>
  <c r="S34" i="22"/>
  <c r="X34" i="22" s="1"/>
  <c r="T34" i="22"/>
  <c r="Y34" i="22" s="1"/>
  <c r="R34" i="22"/>
  <c r="BQ74" i="14"/>
  <c r="BQ76" i="14"/>
  <c r="BQ78" i="14"/>
  <c r="BQ77" i="14"/>
  <c r="BQ73" i="14"/>
  <c r="BQ75" i="14"/>
  <c r="BQ79" i="14"/>
  <c r="BQ80" i="14" s="1"/>
  <c r="V26" i="19"/>
  <c r="D25" i="19"/>
  <c r="C25" i="19" s="1"/>
  <c r="T25" i="19"/>
  <c r="Y25" i="19" s="1"/>
  <c r="U25" i="19"/>
  <c r="Z25" i="19" s="1"/>
  <c r="R25" i="19"/>
  <c r="S25" i="19"/>
  <c r="X25" i="19" s="1"/>
  <c r="AK251" i="14"/>
  <c r="T251" i="14"/>
  <c r="AG227" i="14"/>
  <c r="L234" i="14"/>
  <c r="AI227" i="14"/>
  <c r="V27" i="23"/>
  <c r="D26" i="23"/>
  <c r="C26" i="23" s="1"/>
  <c r="U26" i="23"/>
  <c r="Z26" i="23" s="1"/>
  <c r="R26" i="23"/>
  <c r="T26" i="23"/>
  <c r="Y26" i="23" s="1"/>
  <c r="S26" i="23"/>
  <c r="X26" i="23" s="1"/>
  <c r="V27" i="28"/>
  <c r="D26" i="28"/>
  <c r="C26" i="28" s="1"/>
  <c r="R26" i="28"/>
  <c r="T26" i="28"/>
  <c r="Y26" i="28" s="1"/>
  <c r="S26" i="28"/>
  <c r="X26" i="28" s="1"/>
  <c r="U26" i="28"/>
  <c r="Z26" i="28" s="1"/>
  <c r="AK291" i="14"/>
  <c r="T291" i="14"/>
  <c r="CG289" i="14"/>
  <c r="CF289" i="14"/>
  <c r="E193" i="14"/>
  <c r="B192" i="14"/>
  <c r="AN192" i="14"/>
  <c r="C192" i="14"/>
  <c r="D192" i="14" s="1"/>
  <c r="Q192" i="14"/>
  <c r="H191" i="15"/>
  <c r="J192" i="14"/>
  <c r="CG288" i="14"/>
  <c r="CF288" i="14"/>
  <c r="V27" i="21"/>
  <c r="D26" i="21"/>
  <c r="C26" i="21" s="1"/>
  <c r="S26" i="21"/>
  <c r="X26" i="21" s="1"/>
  <c r="R26" i="21"/>
  <c r="U26" i="21"/>
  <c r="Z26" i="21" s="1"/>
  <c r="T26" i="21"/>
  <c r="Y26" i="21" s="1"/>
  <c r="E26" i="21"/>
  <c r="G253" i="14" s="1"/>
  <c r="L228" i="14"/>
  <c r="AI221" i="14"/>
  <c r="CI221" i="14" s="1"/>
  <c r="CH221" i="14" s="1"/>
  <c r="AG221" i="14"/>
  <c r="V27" i="25"/>
  <c r="D26" i="25"/>
  <c r="C26" i="25" s="1"/>
  <c r="S26" i="25"/>
  <c r="X26" i="25" s="1"/>
  <c r="T26" i="25"/>
  <c r="Y26" i="25" s="1"/>
  <c r="R26" i="25"/>
  <c r="U26" i="25"/>
  <c r="Z26" i="25" s="1"/>
  <c r="BT60" i="14"/>
  <c r="BU59" i="14"/>
  <c r="BS72" i="14"/>
  <c r="V28" i="2"/>
  <c r="D27" i="2"/>
  <c r="C27" i="2" s="1"/>
  <c r="T27" i="2"/>
  <c r="Y27" i="2" s="1"/>
  <c r="S27" i="2"/>
  <c r="X27" i="2" s="1"/>
  <c r="R27" i="2"/>
  <c r="U27" i="2"/>
  <c r="Z27" i="2" s="1"/>
  <c r="L268" i="14"/>
  <c r="AI261" i="14"/>
  <c r="AG261" i="14"/>
  <c r="L210" i="14"/>
  <c r="AG203" i="14"/>
  <c r="AI203" i="14"/>
  <c r="V27" i="18"/>
  <c r="D26" i="18"/>
  <c r="C26" i="18" s="1"/>
  <c r="T26" i="18"/>
  <c r="Y26" i="18" s="1"/>
  <c r="S26" i="18"/>
  <c r="X26" i="18" s="1"/>
  <c r="U26" i="18"/>
  <c r="Z26" i="18" s="1"/>
  <c r="R26" i="18"/>
  <c r="AH290" i="14"/>
  <c r="AL290" i="14"/>
  <c r="AO222" i="14" l="1"/>
  <c r="AR163" i="14"/>
  <c r="AR223" i="14"/>
  <c r="BA162" i="14"/>
  <c r="AR133" i="14"/>
  <c r="BA133" i="14"/>
  <c r="AR191" i="14"/>
  <c r="AR292" i="14"/>
  <c r="BA292" i="14"/>
  <c r="BA435" i="14"/>
  <c r="BA313" i="14"/>
  <c r="BA466" i="14"/>
  <c r="AR376" i="14"/>
  <c r="AR253" i="14"/>
  <c r="BA253" i="14"/>
  <c r="AR467" i="14"/>
  <c r="AO252" i="14"/>
  <c r="AR345" i="14"/>
  <c r="AR436" i="14"/>
  <c r="BA436" i="14"/>
  <c r="BA291" i="14"/>
  <c r="AR314" i="14"/>
  <c r="AR405" i="14"/>
  <c r="BA375" i="14"/>
  <c r="W26" i="20"/>
  <c r="BA223" i="14" s="1"/>
  <c r="AS223" i="14"/>
  <c r="W26" i="23"/>
  <c r="BA314" i="14" s="1"/>
  <c r="AS314" i="14"/>
  <c r="W25" i="26"/>
  <c r="BA405" i="14" s="1"/>
  <c r="AS405" i="14"/>
  <c r="W26" i="24"/>
  <c r="BA345" i="14" s="1"/>
  <c r="AS345" i="14"/>
  <c r="W26" i="18"/>
  <c r="BA163" i="14" s="1"/>
  <c r="AS163" i="14"/>
  <c r="W25" i="19"/>
  <c r="BA191" i="14" s="1"/>
  <c r="AS191" i="14"/>
  <c r="W34" i="22"/>
  <c r="AO292" i="14" s="1"/>
  <c r="AS292" i="14"/>
  <c r="W26" i="25"/>
  <c r="BA376" i="14" s="1"/>
  <c r="AS376" i="14"/>
  <c r="W25" i="27"/>
  <c r="AO436" i="14" s="1"/>
  <c r="AS436" i="14"/>
  <c r="W27" i="2"/>
  <c r="AS133" i="14"/>
  <c r="W26" i="21"/>
  <c r="AO253" i="14" s="1"/>
  <c r="AS253" i="14"/>
  <c r="W26" i="28"/>
  <c r="BA467" i="14" s="1"/>
  <c r="AS467" i="14"/>
  <c r="AA26" i="2"/>
  <c r="E26" i="2" s="1"/>
  <c r="G132" i="14" s="1"/>
  <c r="T132" i="14" s="1"/>
  <c r="T26" i="27"/>
  <c r="Y26" i="27" s="1"/>
  <c r="R26" i="27"/>
  <c r="S26" i="27"/>
  <c r="X26" i="27" s="1"/>
  <c r="D26" i="27"/>
  <c r="C26" i="27" s="1"/>
  <c r="U26" i="27"/>
  <c r="Z26" i="27" s="1"/>
  <c r="V27" i="27"/>
  <c r="AK132" i="14"/>
  <c r="AL132" i="14" s="1"/>
  <c r="T131" i="14"/>
  <c r="AK131" i="14"/>
  <c r="CG129" i="14"/>
  <c r="CF129" i="14"/>
  <c r="V28" i="24"/>
  <c r="R27" i="24"/>
  <c r="U27" i="24"/>
  <c r="Z27" i="24" s="1"/>
  <c r="S27" i="24"/>
  <c r="X27" i="24" s="1"/>
  <c r="T27" i="24"/>
  <c r="Y27" i="24" s="1"/>
  <c r="D27" i="24"/>
  <c r="C27" i="24" s="1"/>
  <c r="AO376" i="14"/>
  <c r="AH222" i="14"/>
  <c r="AL222" i="14"/>
  <c r="CG221" i="14"/>
  <c r="CF221" i="14"/>
  <c r="AK223" i="14"/>
  <c r="T223" i="14"/>
  <c r="S27" i="20"/>
  <c r="X27" i="20" s="1"/>
  <c r="U27" i="20"/>
  <c r="Z27" i="20" s="1"/>
  <c r="E27" i="20"/>
  <c r="G224" i="14" s="1"/>
  <c r="T27" i="20"/>
  <c r="Y27" i="20" s="1"/>
  <c r="V28" i="20"/>
  <c r="R27" i="20"/>
  <c r="D27" i="20"/>
  <c r="C27" i="20" s="1"/>
  <c r="AO133" i="14"/>
  <c r="CI133" i="14" s="1"/>
  <c r="CH133" i="14" s="1"/>
  <c r="CG290" i="14"/>
  <c r="CF290" i="14"/>
  <c r="V28" i="25"/>
  <c r="D27" i="25"/>
  <c r="C27" i="25" s="1"/>
  <c r="R27" i="25"/>
  <c r="T27" i="25"/>
  <c r="Y27" i="25" s="1"/>
  <c r="U27" i="25"/>
  <c r="Z27" i="25" s="1"/>
  <c r="S27" i="25"/>
  <c r="X27" i="25" s="1"/>
  <c r="V28" i="23"/>
  <c r="D27" i="23"/>
  <c r="C27" i="23" s="1"/>
  <c r="S27" i="23"/>
  <c r="X27" i="23" s="1"/>
  <c r="U27" i="23"/>
  <c r="Z27" i="23" s="1"/>
  <c r="T27" i="23"/>
  <c r="Y27" i="23" s="1"/>
  <c r="R27" i="23"/>
  <c r="AI234" i="14"/>
  <c r="AG234" i="14"/>
  <c r="L241" i="14"/>
  <c r="AI204" i="14"/>
  <c r="AG204" i="14"/>
  <c r="L211" i="14"/>
  <c r="AI222" i="14"/>
  <c r="CI222" i="14" s="1"/>
  <c r="CH222" i="14" s="1"/>
  <c r="L229" i="14"/>
  <c r="AG222" i="14"/>
  <c r="V27" i="26"/>
  <c r="D26" i="26"/>
  <c r="C26" i="26" s="1"/>
  <c r="Z26" i="26"/>
  <c r="R26" i="26"/>
  <c r="S26" i="26"/>
  <c r="X26" i="26" s="1"/>
  <c r="U26" i="26"/>
  <c r="T26" i="26"/>
  <c r="Y26" i="26" s="1"/>
  <c r="C29" i="22"/>
  <c r="D30" i="22"/>
  <c r="B133" i="14"/>
  <c r="C133" i="14"/>
  <c r="D133" i="14" s="1"/>
  <c r="E134" i="14"/>
  <c r="AN133" i="14"/>
  <c r="Q133" i="14"/>
  <c r="J133" i="14"/>
  <c r="H132" i="15"/>
  <c r="V28" i="18"/>
  <c r="D27" i="18"/>
  <c r="C27" i="18" s="1"/>
  <c r="S27" i="18"/>
  <c r="X27" i="18" s="1"/>
  <c r="T27" i="18"/>
  <c r="Y27" i="18" s="1"/>
  <c r="R27" i="18"/>
  <c r="U27" i="18"/>
  <c r="Z27" i="18" s="1"/>
  <c r="AI210" i="14"/>
  <c r="CI210" i="14" s="1"/>
  <c r="CH210" i="14" s="1"/>
  <c r="L217" i="14"/>
  <c r="AG210" i="14"/>
  <c r="AI268" i="14"/>
  <c r="CI268" i="14" s="1"/>
  <c r="CH268" i="14" s="1"/>
  <c r="AG268" i="14"/>
  <c r="L275" i="14"/>
  <c r="E194" i="14"/>
  <c r="B193" i="14"/>
  <c r="AN193" i="14"/>
  <c r="C193" i="14"/>
  <c r="D193" i="14" s="1"/>
  <c r="Q193" i="14"/>
  <c r="J193" i="14"/>
  <c r="H192" i="15"/>
  <c r="AH291" i="14"/>
  <c r="AL291" i="14"/>
  <c r="AK292" i="14"/>
  <c r="T292" i="14"/>
  <c r="CG130" i="14"/>
  <c r="CF130" i="14"/>
  <c r="V29" i="2"/>
  <c r="D28" i="2"/>
  <c r="C28" i="2" s="1"/>
  <c r="S28" i="2"/>
  <c r="X28" i="2" s="1"/>
  <c r="T28" i="2"/>
  <c r="Y28" i="2" s="1"/>
  <c r="U28" i="2"/>
  <c r="Z28" i="2" s="1"/>
  <c r="R28" i="2"/>
  <c r="BS73" i="14"/>
  <c r="BS79" i="14"/>
  <c r="BS80" i="14" s="1"/>
  <c r="BS74" i="14"/>
  <c r="BS78" i="14"/>
  <c r="BS76" i="14"/>
  <c r="BS75" i="14"/>
  <c r="BS77" i="14"/>
  <c r="AI228" i="14"/>
  <c r="AG228" i="14"/>
  <c r="L235" i="14"/>
  <c r="V28" i="21"/>
  <c r="D27" i="21"/>
  <c r="C27" i="21" s="1"/>
  <c r="E27" i="21"/>
  <c r="G254" i="14" s="1"/>
  <c r="U27" i="21"/>
  <c r="Z27" i="21" s="1"/>
  <c r="S27" i="21"/>
  <c r="X27" i="21" s="1"/>
  <c r="T27" i="21"/>
  <c r="Y27" i="21" s="1"/>
  <c r="R27" i="21"/>
  <c r="V36" i="22"/>
  <c r="U35" i="22"/>
  <c r="Z35" i="22" s="1"/>
  <c r="R35" i="22"/>
  <c r="S35" i="22"/>
  <c r="X35" i="22" s="1"/>
  <c r="E35" i="22"/>
  <c r="G293" i="14" s="1"/>
  <c r="T35" i="22"/>
  <c r="Y35" i="22" s="1"/>
  <c r="AI216" i="14"/>
  <c r="CI216" i="14" s="1"/>
  <c r="CH216" i="14" s="1"/>
  <c r="AG216" i="14"/>
  <c r="L223" i="14"/>
  <c r="BW59" i="14"/>
  <c r="BV60" i="14"/>
  <c r="BU72" i="14"/>
  <c r="AK253" i="14"/>
  <c r="T253" i="14"/>
  <c r="V28" i="28"/>
  <c r="D27" i="28"/>
  <c r="C27" i="28" s="1"/>
  <c r="U27" i="28"/>
  <c r="Z27" i="28" s="1"/>
  <c r="S27" i="28"/>
  <c r="X27" i="28" s="1"/>
  <c r="T27" i="28"/>
  <c r="Y27" i="28" s="1"/>
  <c r="R27" i="28"/>
  <c r="AO314" i="14"/>
  <c r="AH251" i="14"/>
  <c r="AL251" i="14"/>
  <c r="V27" i="19"/>
  <c r="D26" i="19"/>
  <c r="C26" i="19" s="1"/>
  <c r="S26" i="19"/>
  <c r="X26" i="19" s="1"/>
  <c r="T26" i="19"/>
  <c r="Y26" i="19" s="1"/>
  <c r="U26" i="19"/>
  <c r="Z26" i="19" s="1"/>
  <c r="R26" i="19"/>
  <c r="AH252" i="14"/>
  <c r="AL252" i="14"/>
  <c r="AO191" i="14" l="1"/>
  <c r="CI191" i="14" s="1"/>
  <c r="CH191" i="14" s="1"/>
  <c r="AO345" i="14"/>
  <c r="AO163" i="14"/>
  <c r="CI163" i="14" s="1"/>
  <c r="CH163" i="14" s="1"/>
  <c r="AO223" i="14"/>
  <c r="AO405" i="14"/>
  <c r="AR192" i="14"/>
  <c r="AR224" i="14"/>
  <c r="AR468" i="14"/>
  <c r="AR164" i="14"/>
  <c r="AO467" i="14"/>
  <c r="AR377" i="14"/>
  <c r="AR346" i="14"/>
  <c r="AR254" i="14"/>
  <c r="AR406" i="14"/>
  <c r="AR437" i="14"/>
  <c r="AR293" i="14"/>
  <c r="AR134" i="14"/>
  <c r="AR315" i="14"/>
  <c r="BA315" i="14"/>
  <c r="W26" i="27"/>
  <c r="BA437" i="14" s="1"/>
  <c r="AS437" i="14"/>
  <c r="W28" i="2"/>
  <c r="BA134" i="14" s="1"/>
  <c r="AS134" i="14"/>
  <c r="W27" i="23"/>
  <c r="AS315" i="14"/>
  <c r="W27" i="21"/>
  <c r="BA254" i="14" s="1"/>
  <c r="AS254" i="14"/>
  <c r="W26" i="26"/>
  <c r="BA406" i="14" s="1"/>
  <c r="AS406" i="14"/>
  <c r="W35" i="22"/>
  <c r="BA293" i="14" s="1"/>
  <c r="AS293" i="14"/>
  <c r="W26" i="19"/>
  <c r="BA192" i="14" s="1"/>
  <c r="AS192" i="14"/>
  <c r="W27" i="20"/>
  <c r="AO224" i="14" s="1"/>
  <c r="AS224" i="14"/>
  <c r="W27" i="28"/>
  <c r="BA468" i="14" s="1"/>
  <c r="AS468" i="14"/>
  <c r="W27" i="18"/>
  <c r="AO164" i="14" s="1"/>
  <c r="CI164" i="14" s="1"/>
  <c r="CH164" i="14" s="1"/>
  <c r="AS164" i="14"/>
  <c r="W27" i="25"/>
  <c r="BA377" i="14" s="1"/>
  <c r="AS377" i="14"/>
  <c r="W27" i="24"/>
  <c r="BA346" i="14" s="1"/>
  <c r="AS346" i="14"/>
  <c r="R27" i="27"/>
  <c r="D27" i="27"/>
  <c r="C27" i="27" s="1"/>
  <c r="S27" i="27"/>
  <c r="X27" i="27" s="1"/>
  <c r="U27" i="27"/>
  <c r="Z27" i="27" s="1"/>
  <c r="V28" i="27"/>
  <c r="T27" i="27"/>
  <c r="Y27" i="27" s="1"/>
  <c r="AO437" i="14"/>
  <c r="AH132" i="14"/>
  <c r="AH131" i="14"/>
  <c r="AL131" i="14"/>
  <c r="AO315" i="14"/>
  <c r="V29" i="24"/>
  <c r="U28" i="24"/>
  <c r="Z28" i="24" s="1"/>
  <c r="S28" i="24"/>
  <c r="X28" i="24" s="1"/>
  <c r="T28" i="24"/>
  <c r="Y28" i="24" s="1"/>
  <c r="R28" i="24"/>
  <c r="D28" i="24"/>
  <c r="C28" i="24" s="1"/>
  <c r="AH223" i="14"/>
  <c r="AL223" i="14"/>
  <c r="CG222" i="14"/>
  <c r="CF222" i="14"/>
  <c r="AK224" i="14"/>
  <c r="T224" i="14"/>
  <c r="AO377" i="14"/>
  <c r="E28" i="20"/>
  <c r="G225" i="14" s="1"/>
  <c r="T28" i="20"/>
  <c r="Y28" i="20" s="1"/>
  <c r="S28" i="20"/>
  <c r="X28" i="20" s="1"/>
  <c r="U28" i="20"/>
  <c r="Z28" i="20" s="1"/>
  <c r="V29" i="20"/>
  <c r="R28" i="20"/>
  <c r="D28" i="20"/>
  <c r="C28" i="20" s="1"/>
  <c r="CG252" i="14"/>
  <c r="CF252" i="14"/>
  <c r="CG251" i="14"/>
  <c r="CF251" i="14"/>
  <c r="L230" i="14"/>
  <c r="AG223" i="14"/>
  <c r="AI223" i="14"/>
  <c r="CI223" i="14" s="1"/>
  <c r="CH223" i="14" s="1"/>
  <c r="L242" i="14"/>
  <c r="AG235" i="14"/>
  <c r="AI235" i="14"/>
  <c r="CI235" i="14" s="1"/>
  <c r="CH235" i="14" s="1"/>
  <c r="V30" i="2"/>
  <c r="D29" i="2"/>
  <c r="C29" i="2" s="1"/>
  <c r="R29" i="2"/>
  <c r="U29" i="2"/>
  <c r="Z29" i="2" s="1"/>
  <c r="T29" i="2"/>
  <c r="Y29" i="2" s="1"/>
  <c r="S29" i="2"/>
  <c r="X29" i="2" s="1"/>
  <c r="CG291" i="14"/>
  <c r="CF291" i="14"/>
  <c r="V29" i="18"/>
  <c r="D28" i="18"/>
  <c r="C28" i="18" s="1"/>
  <c r="U28" i="18"/>
  <c r="Z28" i="18" s="1"/>
  <c r="T28" i="18"/>
  <c r="Y28" i="18" s="1"/>
  <c r="R28" i="18"/>
  <c r="S28" i="18"/>
  <c r="X28" i="18" s="1"/>
  <c r="L236" i="14"/>
  <c r="AI229" i="14"/>
  <c r="AG229" i="14"/>
  <c r="V29" i="25"/>
  <c r="D28" i="25"/>
  <c r="C28" i="25" s="1"/>
  <c r="U28" i="25"/>
  <c r="Z28" i="25" s="1"/>
  <c r="R28" i="25"/>
  <c r="T28" i="25"/>
  <c r="Y28" i="25" s="1"/>
  <c r="S28" i="25"/>
  <c r="X28" i="25" s="1"/>
  <c r="BX60" i="14"/>
  <c r="BY59" i="14"/>
  <c r="BW72" i="14"/>
  <c r="AG275" i="14"/>
  <c r="AI275" i="14"/>
  <c r="CI275" i="14" s="1"/>
  <c r="CH275" i="14" s="1"/>
  <c r="L282" i="14"/>
  <c r="AA27" i="2"/>
  <c r="E27" i="2" s="1"/>
  <c r="G133" i="14" s="1"/>
  <c r="V29" i="23"/>
  <c r="D28" i="23"/>
  <c r="C28" i="23" s="1"/>
  <c r="T28" i="23"/>
  <c r="Y28" i="23" s="1"/>
  <c r="R28" i="23"/>
  <c r="S28" i="23"/>
  <c r="X28" i="23" s="1"/>
  <c r="U28" i="23"/>
  <c r="Z28" i="23" s="1"/>
  <c r="AO192" i="14"/>
  <c r="CI192" i="14" s="1"/>
  <c r="CH192" i="14" s="1"/>
  <c r="AO468" i="14"/>
  <c r="V29" i="28"/>
  <c r="D28" i="28"/>
  <c r="C28" i="28" s="1"/>
  <c r="U28" i="28"/>
  <c r="Z28" i="28" s="1"/>
  <c r="R28" i="28"/>
  <c r="T28" i="28"/>
  <c r="Y28" i="28" s="1"/>
  <c r="S28" i="28"/>
  <c r="X28" i="28" s="1"/>
  <c r="AK293" i="14"/>
  <c r="T293" i="14"/>
  <c r="AK254" i="14"/>
  <c r="T254" i="14"/>
  <c r="AH292" i="14"/>
  <c r="AL292" i="14"/>
  <c r="E195" i="14"/>
  <c r="B194" i="14"/>
  <c r="C194" i="14"/>
  <c r="D194" i="14" s="1"/>
  <c r="AN194" i="14"/>
  <c r="Q194" i="14"/>
  <c r="H193" i="15"/>
  <c r="J194" i="14"/>
  <c r="C30" i="22"/>
  <c r="D31" i="22"/>
  <c r="V28" i="26"/>
  <c r="D27" i="26"/>
  <c r="C27" i="26" s="1"/>
  <c r="U27" i="26"/>
  <c r="Z27" i="26" s="1"/>
  <c r="T27" i="26"/>
  <c r="Y27" i="26" s="1"/>
  <c r="S27" i="26"/>
  <c r="X27" i="26" s="1"/>
  <c r="R27" i="26"/>
  <c r="L218" i="14"/>
  <c r="AG211" i="14"/>
  <c r="AI211" i="14"/>
  <c r="CI211" i="14" s="1"/>
  <c r="CH211" i="14" s="1"/>
  <c r="L248" i="14"/>
  <c r="AI241" i="14"/>
  <c r="CI241" i="14" s="1"/>
  <c r="CH241" i="14" s="1"/>
  <c r="AG241" i="14"/>
  <c r="V28" i="19"/>
  <c r="D27" i="19"/>
  <c r="C27" i="19" s="1"/>
  <c r="U27" i="19"/>
  <c r="Z27" i="19" s="1"/>
  <c r="T27" i="19"/>
  <c r="Y27" i="19" s="1"/>
  <c r="S27" i="19"/>
  <c r="X27" i="19" s="1"/>
  <c r="R27" i="19"/>
  <c r="AH253" i="14"/>
  <c r="AL253" i="14"/>
  <c r="BU73" i="14"/>
  <c r="BU75" i="14"/>
  <c r="BU77" i="14"/>
  <c r="BU79" i="14"/>
  <c r="BU80" i="14" s="1"/>
  <c r="BU76" i="14"/>
  <c r="BU74" i="14"/>
  <c r="BU78" i="14"/>
  <c r="V37" i="22"/>
  <c r="E36" i="22"/>
  <c r="G294" i="14" s="1"/>
  <c r="T36" i="22"/>
  <c r="Y36" i="22" s="1"/>
  <c r="R36" i="22"/>
  <c r="S36" i="22"/>
  <c r="X36" i="22" s="1"/>
  <c r="U36" i="22"/>
  <c r="Z36" i="22" s="1"/>
  <c r="V29" i="21"/>
  <c r="D28" i="21"/>
  <c r="C28" i="21" s="1"/>
  <c r="S28" i="21"/>
  <c r="X28" i="21" s="1"/>
  <c r="U28" i="21"/>
  <c r="Z28" i="21" s="1"/>
  <c r="T28" i="21"/>
  <c r="Y28" i="21" s="1"/>
  <c r="E28" i="21"/>
  <c r="G255" i="14" s="1"/>
  <c r="R28" i="21"/>
  <c r="CG132" i="14"/>
  <c r="CF132" i="14"/>
  <c r="L224" i="14"/>
  <c r="AI217" i="14"/>
  <c r="CI217" i="14" s="1"/>
  <c r="CH217" i="14" s="1"/>
  <c r="AG217" i="14"/>
  <c r="E135" i="14"/>
  <c r="B134" i="14"/>
  <c r="C134" i="14"/>
  <c r="D134" i="14" s="1"/>
  <c r="AN134" i="14"/>
  <c r="Q134" i="14"/>
  <c r="H133" i="15"/>
  <c r="J134" i="14"/>
  <c r="AO406" i="14"/>
  <c r="AO254" i="14" l="1"/>
  <c r="CI254" i="14" s="1"/>
  <c r="CH254" i="14" s="1"/>
  <c r="AO134" i="14"/>
  <c r="CI134" i="14" s="1"/>
  <c r="CH134" i="14" s="1"/>
  <c r="AR407" i="14"/>
  <c r="AR469" i="14"/>
  <c r="BA164" i="14"/>
  <c r="BA224" i="14"/>
  <c r="AR255" i="14"/>
  <c r="AR378" i="14"/>
  <c r="AR165" i="14"/>
  <c r="AO346" i="14"/>
  <c r="AR347" i="14"/>
  <c r="AR438" i="14"/>
  <c r="BA438" i="14"/>
  <c r="AR193" i="14"/>
  <c r="AR316" i="14"/>
  <c r="BA316" i="14"/>
  <c r="AR294" i="14"/>
  <c r="AO293" i="14"/>
  <c r="AR135" i="14"/>
  <c r="BA135" i="14"/>
  <c r="AR225" i="14"/>
  <c r="BA225" i="14"/>
  <c r="W27" i="19"/>
  <c r="BA193" i="14" s="1"/>
  <c r="AS193" i="14"/>
  <c r="W27" i="26"/>
  <c r="AO407" i="14" s="1"/>
  <c r="AS407" i="14"/>
  <c r="W28" i="28"/>
  <c r="AO469" i="14" s="1"/>
  <c r="AS469" i="14"/>
  <c r="W28" i="23"/>
  <c r="AO316" i="14" s="1"/>
  <c r="AS316" i="14"/>
  <c r="W36" i="22"/>
  <c r="BA294" i="14" s="1"/>
  <c r="AS294" i="14"/>
  <c r="W29" i="2"/>
  <c r="AS135" i="14"/>
  <c r="W28" i="21"/>
  <c r="AO255" i="14" s="1"/>
  <c r="AS255" i="14"/>
  <c r="W28" i="25"/>
  <c r="BA378" i="14" s="1"/>
  <c r="AS378" i="14"/>
  <c r="W28" i="18"/>
  <c r="AO165" i="14" s="1"/>
  <c r="CI165" i="14" s="1"/>
  <c r="CH165" i="14" s="1"/>
  <c r="AS165" i="14"/>
  <c r="W28" i="20"/>
  <c r="AO225" i="14" s="1"/>
  <c r="AS225" i="14"/>
  <c r="W28" i="24"/>
  <c r="BA347" i="14" s="1"/>
  <c r="AS347" i="14"/>
  <c r="W27" i="27"/>
  <c r="AS438" i="14"/>
  <c r="S28" i="27"/>
  <c r="X28" i="27" s="1"/>
  <c r="V29" i="27"/>
  <c r="D28" i="27"/>
  <c r="C28" i="27" s="1"/>
  <c r="U28" i="27"/>
  <c r="Z28" i="27" s="1"/>
  <c r="R28" i="27"/>
  <c r="T28" i="27"/>
  <c r="Y28" i="27" s="1"/>
  <c r="AO438" i="14"/>
  <c r="AK133" i="14"/>
  <c r="T133" i="14"/>
  <c r="CF131" i="14"/>
  <c r="CG131" i="14"/>
  <c r="CG223" i="14"/>
  <c r="CF223" i="14"/>
  <c r="AK225" i="14"/>
  <c r="T225" i="14"/>
  <c r="V30" i="24"/>
  <c r="T29" i="24"/>
  <c r="Y29" i="24" s="1"/>
  <c r="U29" i="24"/>
  <c r="Z29" i="24" s="1"/>
  <c r="S29" i="24"/>
  <c r="X29" i="24" s="1"/>
  <c r="R29" i="24"/>
  <c r="D29" i="24"/>
  <c r="C29" i="24" s="1"/>
  <c r="S29" i="20"/>
  <c r="X29" i="20" s="1"/>
  <c r="E29" i="20"/>
  <c r="G226" i="14" s="1"/>
  <c r="R29" i="20"/>
  <c r="V30" i="20"/>
  <c r="T29" i="20"/>
  <c r="Y29" i="20" s="1"/>
  <c r="U29" i="20"/>
  <c r="Z29" i="20" s="1"/>
  <c r="D29" i="20"/>
  <c r="C29" i="20" s="1"/>
  <c r="AL224" i="14"/>
  <c r="AH224" i="14"/>
  <c r="AA28" i="2"/>
  <c r="E28" i="2" s="1"/>
  <c r="G134" i="14" s="1"/>
  <c r="AK255" i="14"/>
  <c r="T255" i="14"/>
  <c r="V30" i="21"/>
  <c r="D29" i="21"/>
  <c r="C29" i="21" s="1"/>
  <c r="E29" i="21"/>
  <c r="G256" i="14" s="1"/>
  <c r="U29" i="21"/>
  <c r="Z29" i="21" s="1"/>
  <c r="T29" i="21"/>
  <c r="Y29" i="21" s="1"/>
  <c r="R29" i="21"/>
  <c r="S29" i="21"/>
  <c r="X29" i="21" s="1"/>
  <c r="C31" i="22"/>
  <c r="D32" i="22"/>
  <c r="E196" i="14"/>
  <c r="B195" i="14"/>
  <c r="C195" i="14"/>
  <c r="D195" i="14" s="1"/>
  <c r="AN195" i="14"/>
  <c r="J195" i="14"/>
  <c r="Q195" i="14"/>
  <c r="H194" i="15"/>
  <c r="B135" i="14"/>
  <c r="E136" i="14"/>
  <c r="C135" i="14"/>
  <c r="D135" i="14" s="1"/>
  <c r="AN135" i="14"/>
  <c r="Q135" i="14"/>
  <c r="H134" i="15"/>
  <c r="J135" i="14"/>
  <c r="AI224" i="14"/>
  <c r="CI224" i="14" s="1"/>
  <c r="CH224" i="14" s="1"/>
  <c r="AG224" i="14"/>
  <c r="L231" i="14"/>
  <c r="V29" i="19"/>
  <c r="D28" i="19"/>
  <c r="C28" i="19" s="1"/>
  <c r="S28" i="19"/>
  <c r="X28" i="19" s="1"/>
  <c r="U28" i="19"/>
  <c r="Z28" i="19" s="1"/>
  <c r="R28" i="19"/>
  <c r="T28" i="19"/>
  <c r="Y28" i="19" s="1"/>
  <c r="AI248" i="14"/>
  <c r="CI248" i="14" s="1"/>
  <c r="CH248" i="14" s="1"/>
  <c r="AG248" i="14"/>
  <c r="L255" i="14"/>
  <c r="CA59" i="14"/>
  <c r="BZ60" i="14"/>
  <c r="BY72" i="14"/>
  <c r="V31" i="2"/>
  <c r="D30" i="2"/>
  <c r="C30" i="2" s="1"/>
  <c r="T30" i="2"/>
  <c r="Y30" i="2" s="1"/>
  <c r="U30" i="2"/>
  <c r="Z30" i="2" s="1"/>
  <c r="S30" i="2"/>
  <c r="X30" i="2" s="1"/>
  <c r="R30" i="2"/>
  <c r="AK294" i="14"/>
  <c r="T294" i="14"/>
  <c r="CG253" i="14"/>
  <c r="CF253" i="14"/>
  <c r="V29" i="26"/>
  <c r="D28" i="26"/>
  <c r="C28" i="26" s="1"/>
  <c r="S28" i="26"/>
  <c r="X28" i="26" s="1"/>
  <c r="R28" i="26"/>
  <c r="T28" i="26"/>
  <c r="Y28" i="26" s="1"/>
  <c r="U28" i="26"/>
  <c r="Z28" i="26" s="1"/>
  <c r="AH293" i="14"/>
  <c r="AL293" i="14"/>
  <c r="V30" i="23"/>
  <c r="D29" i="23"/>
  <c r="C29" i="23" s="1"/>
  <c r="R29" i="23"/>
  <c r="T29" i="23"/>
  <c r="Y29" i="23" s="1"/>
  <c r="U29" i="23"/>
  <c r="Z29" i="23" s="1"/>
  <c r="S29" i="23"/>
  <c r="X29" i="23" s="1"/>
  <c r="V30" i="25"/>
  <c r="D29" i="25"/>
  <c r="C29" i="25" s="1"/>
  <c r="T29" i="25"/>
  <c r="Y29" i="25" s="1"/>
  <c r="S29" i="25"/>
  <c r="X29" i="25" s="1"/>
  <c r="R29" i="25"/>
  <c r="U29" i="25"/>
  <c r="Z29" i="25" s="1"/>
  <c r="AI236" i="14"/>
  <c r="CI236" i="14" s="1"/>
  <c r="CH236" i="14" s="1"/>
  <c r="AG236" i="14"/>
  <c r="L243" i="14"/>
  <c r="V30" i="18"/>
  <c r="D29" i="18"/>
  <c r="C29" i="18" s="1"/>
  <c r="S29" i="18"/>
  <c r="X29" i="18" s="1"/>
  <c r="U29" i="18"/>
  <c r="Z29" i="18" s="1"/>
  <c r="T29" i="18"/>
  <c r="Y29" i="18" s="1"/>
  <c r="R29" i="18"/>
  <c r="R37" i="22"/>
  <c r="U37" i="22"/>
  <c r="Z37" i="22" s="1"/>
  <c r="E37" i="22"/>
  <c r="T37" i="22"/>
  <c r="Y37" i="22" s="1"/>
  <c r="S37" i="22"/>
  <c r="X37" i="22" s="1"/>
  <c r="AO193" i="14"/>
  <c r="CI193" i="14" s="1"/>
  <c r="CH193" i="14" s="1"/>
  <c r="AI218" i="14"/>
  <c r="CI218" i="14" s="1"/>
  <c r="CH218" i="14" s="1"/>
  <c r="L225" i="14"/>
  <c r="AG218" i="14"/>
  <c r="CG292" i="14"/>
  <c r="CF292" i="14"/>
  <c r="AH254" i="14"/>
  <c r="AL254" i="14"/>
  <c r="V30" i="28"/>
  <c r="D29" i="28"/>
  <c r="C29" i="28" s="1"/>
  <c r="S29" i="28"/>
  <c r="X29" i="28" s="1"/>
  <c r="T29" i="28"/>
  <c r="Y29" i="28" s="1"/>
  <c r="U29" i="28"/>
  <c r="Z29" i="28" s="1"/>
  <c r="R29" i="28"/>
  <c r="AO135" i="14"/>
  <c r="CI135" i="14" s="1"/>
  <c r="CH135" i="14" s="1"/>
  <c r="AI242" i="14"/>
  <c r="CI242" i="14" s="1"/>
  <c r="CH242" i="14" s="1"/>
  <c r="L249" i="14"/>
  <c r="AG242" i="14"/>
  <c r="AI230" i="14"/>
  <c r="L237" i="14"/>
  <c r="AG230" i="14"/>
  <c r="L289" i="14"/>
  <c r="AI282" i="14"/>
  <c r="CI282" i="14" s="1"/>
  <c r="CH282" i="14" s="1"/>
  <c r="AG282" i="14"/>
  <c r="BW73" i="14"/>
  <c r="BW75" i="14"/>
  <c r="BW78" i="14"/>
  <c r="BW74" i="14"/>
  <c r="BW77" i="14"/>
  <c r="BW76" i="14"/>
  <c r="BW79" i="14"/>
  <c r="BW80" i="14" s="1"/>
  <c r="AO378" i="14" l="1"/>
  <c r="AR408" i="14"/>
  <c r="AR256" i="14"/>
  <c r="BA256" i="14"/>
  <c r="AR439" i="14"/>
  <c r="AR470" i="14"/>
  <c r="BA470" i="14"/>
  <c r="AR166" i="14"/>
  <c r="BA165" i="14"/>
  <c r="BA255" i="14"/>
  <c r="BA469" i="14"/>
  <c r="AR226" i="14"/>
  <c r="AR295" i="14"/>
  <c r="AR317" i="14"/>
  <c r="AO294" i="14"/>
  <c r="AO347" i="14"/>
  <c r="BA407" i="14"/>
  <c r="AR136" i="14"/>
  <c r="BA136" i="14"/>
  <c r="AR348" i="14"/>
  <c r="BA348" i="14"/>
  <c r="AR379" i="14"/>
  <c r="BA379" i="14"/>
  <c r="AR194" i="14"/>
  <c r="BA194" i="14"/>
  <c r="W28" i="26"/>
  <c r="BA408" i="14" s="1"/>
  <c r="AS408" i="14"/>
  <c r="W30" i="2"/>
  <c r="AO136" i="14" s="1"/>
  <c r="CI136" i="14" s="1"/>
  <c r="CH136" i="14" s="1"/>
  <c r="AS136" i="14"/>
  <c r="W29" i="25"/>
  <c r="AS379" i="14"/>
  <c r="W29" i="21"/>
  <c r="AO256" i="14" s="1"/>
  <c r="AS256" i="14"/>
  <c r="W29" i="24"/>
  <c r="AS348" i="14"/>
  <c r="W37" i="22"/>
  <c r="BA295" i="14" s="1"/>
  <c r="AS295" i="14"/>
  <c r="W29" i="23"/>
  <c r="BA317" i="14" s="1"/>
  <c r="AS317" i="14"/>
  <c r="W29" i="20"/>
  <c r="AO226" i="14" s="1"/>
  <c r="CI226" i="14" s="1"/>
  <c r="CH226" i="14" s="1"/>
  <c r="AS226" i="14"/>
  <c r="W29" i="28"/>
  <c r="AS470" i="14"/>
  <c r="W29" i="18"/>
  <c r="AO166" i="14" s="1"/>
  <c r="CI166" i="14" s="1"/>
  <c r="CH166" i="14" s="1"/>
  <c r="AS166" i="14"/>
  <c r="W28" i="19"/>
  <c r="AS194" i="14"/>
  <c r="W28" i="27"/>
  <c r="AO439" i="14" s="1"/>
  <c r="AS439" i="14"/>
  <c r="D29" i="27"/>
  <c r="C29" i="27" s="1"/>
  <c r="U29" i="27"/>
  <c r="Z29" i="27" s="1"/>
  <c r="S29" i="27"/>
  <c r="X29" i="27" s="1"/>
  <c r="T29" i="27"/>
  <c r="Y29" i="27" s="1"/>
  <c r="V30" i="27"/>
  <c r="R29" i="27"/>
  <c r="AK134" i="14"/>
  <c r="T134" i="14"/>
  <c r="AH133" i="14"/>
  <c r="AL133" i="14"/>
  <c r="AO348" i="14"/>
  <c r="V31" i="20"/>
  <c r="S30" i="20"/>
  <c r="X30" i="20" s="1"/>
  <c r="R30" i="20"/>
  <c r="T30" i="20"/>
  <c r="Y30" i="20" s="1"/>
  <c r="U30" i="20"/>
  <c r="Z30" i="20" s="1"/>
  <c r="E30" i="20"/>
  <c r="G227" i="14" s="1"/>
  <c r="D30" i="20"/>
  <c r="C30" i="20" s="1"/>
  <c r="AL225" i="14"/>
  <c r="AH225" i="14"/>
  <c r="AO379" i="14"/>
  <c r="CG224" i="14"/>
  <c r="CF224" i="14"/>
  <c r="AA29" i="2"/>
  <c r="E29" i="2" s="1"/>
  <c r="G135" i="14" s="1"/>
  <c r="V31" i="24"/>
  <c r="U30" i="24"/>
  <c r="Z30" i="24" s="1"/>
  <c r="S30" i="24"/>
  <c r="X30" i="24" s="1"/>
  <c r="R30" i="24"/>
  <c r="T30" i="24"/>
  <c r="Y30" i="24" s="1"/>
  <c r="D30" i="24"/>
  <c r="C30" i="24" s="1"/>
  <c r="T226" i="14"/>
  <c r="AK226" i="14"/>
  <c r="V31" i="28"/>
  <c r="D30" i="28"/>
  <c r="C30" i="28" s="1"/>
  <c r="R30" i="28"/>
  <c r="T30" i="28"/>
  <c r="Y30" i="28" s="1"/>
  <c r="U30" i="28"/>
  <c r="Z30" i="28" s="1"/>
  <c r="S30" i="28"/>
  <c r="X30" i="28" s="1"/>
  <c r="AO317" i="14"/>
  <c r="V31" i="23"/>
  <c r="D30" i="23"/>
  <c r="C30" i="23" s="1"/>
  <c r="U30" i="23"/>
  <c r="Z30" i="23" s="1"/>
  <c r="S30" i="23"/>
  <c r="X30" i="23" s="1"/>
  <c r="T30" i="23"/>
  <c r="Y30" i="23" s="1"/>
  <c r="R30" i="23"/>
  <c r="L238" i="14"/>
  <c r="AG231" i="14"/>
  <c r="AI231" i="14"/>
  <c r="L232" i="14"/>
  <c r="AI225" i="14"/>
  <c r="CI225" i="14" s="1"/>
  <c r="CH225" i="14" s="1"/>
  <c r="AG225" i="14"/>
  <c r="CG293" i="14"/>
  <c r="CF293" i="14"/>
  <c r="AO408" i="14"/>
  <c r="V30" i="26"/>
  <c r="D29" i="26"/>
  <c r="C29" i="26" s="1"/>
  <c r="S29" i="26"/>
  <c r="X29" i="26" s="1"/>
  <c r="T29" i="26"/>
  <c r="Y29" i="26" s="1"/>
  <c r="R29" i="26"/>
  <c r="U29" i="26"/>
  <c r="Z29" i="26" s="1"/>
  <c r="CB60" i="14"/>
  <c r="CC59" i="14"/>
  <c r="CA72" i="14"/>
  <c r="V30" i="19"/>
  <c r="D29" i="19"/>
  <c r="C29" i="19" s="1"/>
  <c r="T29" i="19"/>
  <c r="Y29" i="19" s="1"/>
  <c r="U29" i="19"/>
  <c r="Z29" i="19" s="1"/>
  <c r="S29" i="19"/>
  <c r="X29" i="19" s="1"/>
  <c r="R29" i="19"/>
  <c r="C32" i="22"/>
  <c r="D33" i="22"/>
  <c r="V31" i="21"/>
  <c r="D30" i="21"/>
  <c r="C30" i="21" s="1"/>
  <c r="E30" i="21"/>
  <c r="G257" i="14" s="1"/>
  <c r="U30" i="21"/>
  <c r="Z30" i="21" s="1"/>
  <c r="T30" i="21"/>
  <c r="Y30" i="21" s="1"/>
  <c r="S30" i="21"/>
  <c r="X30" i="21" s="1"/>
  <c r="R30" i="21"/>
  <c r="AO470" i="14"/>
  <c r="CG254" i="14"/>
  <c r="CF254" i="14"/>
  <c r="V31" i="25"/>
  <c r="D30" i="25"/>
  <c r="C30" i="25" s="1"/>
  <c r="R30" i="25"/>
  <c r="S30" i="25"/>
  <c r="X30" i="25" s="1"/>
  <c r="U30" i="25"/>
  <c r="Z30" i="25" s="1"/>
  <c r="T30" i="25"/>
  <c r="Y30" i="25" s="1"/>
  <c r="AH294" i="14"/>
  <c r="AL294" i="14"/>
  <c r="AG255" i="14"/>
  <c r="L262" i="14"/>
  <c r="AI255" i="14"/>
  <c r="CI255" i="14" s="1"/>
  <c r="CH255" i="14" s="1"/>
  <c r="AO194" i="14"/>
  <c r="CI194" i="14" s="1"/>
  <c r="CH194" i="14" s="1"/>
  <c r="E137" i="14"/>
  <c r="C136" i="14"/>
  <c r="D136" i="14" s="1"/>
  <c r="B136" i="14"/>
  <c r="AN136" i="14"/>
  <c r="Q136" i="14"/>
  <c r="H135" i="15"/>
  <c r="J136" i="14"/>
  <c r="AK256" i="14"/>
  <c r="T256" i="14"/>
  <c r="G295" i="14"/>
  <c r="K46" i="22"/>
  <c r="H46" i="22"/>
  <c r="G46" i="22"/>
  <c r="N46" i="22"/>
  <c r="V31" i="18"/>
  <c r="D30" i="18"/>
  <c r="C30" i="18" s="1"/>
  <c r="S30" i="18"/>
  <c r="X30" i="18" s="1"/>
  <c r="T30" i="18"/>
  <c r="Y30" i="18" s="1"/>
  <c r="R30" i="18"/>
  <c r="U30" i="18"/>
  <c r="Z30" i="18" s="1"/>
  <c r="BY74" i="14"/>
  <c r="BY76" i="14"/>
  <c r="BY78" i="14"/>
  <c r="BY77" i="14"/>
  <c r="BY73" i="14"/>
  <c r="BY75" i="14"/>
  <c r="BY79" i="14"/>
  <c r="BY80" i="14" s="1"/>
  <c r="L296" i="14"/>
  <c r="AI289" i="14"/>
  <c r="CI289" i="14" s="1"/>
  <c r="CH289" i="14" s="1"/>
  <c r="AG289" i="14"/>
  <c r="L244" i="14"/>
  <c r="AI237" i="14"/>
  <c r="CI237" i="14" s="1"/>
  <c r="CH237" i="14" s="1"/>
  <c r="AG237" i="14"/>
  <c r="L256" i="14"/>
  <c r="AI249" i="14"/>
  <c r="CI249" i="14" s="1"/>
  <c r="CH249" i="14" s="1"/>
  <c r="AG249" i="14"/>
  <c r="L250" i="14"/>
  <c r="AG243" i="14"/>
  <c r="AI243" i="14"/>
  <c r="CI243" i="14" s="1"/>
  <c r="CH243" i="14" s="1"/>
  <c r="V32" i="2"/>
  <c r="D31" i="2"/>
  <c r="C31" i="2" s="1"/>
  <c r="U31" i="2"/>
  <c r="Z31" i="2" s="1"/>
  <c r="S31" i="2"/>
  <c r="X31" i="2" s="1"/>
  <c r="R31" i="2"/>
  <c r="T31" i="2"/>
  <c r="Y31" i="2" s="1"/>
  <c r="E197" i="14"/>
  <c r="B196" i="14"/>
  <c r="AN196" i="14"/>
  <c r="C196" i="14"/>
  <c r="D196" i="14" s="1"/>
  <c r="Q196" i="14"/>
  <c r="H195" i="15"/>
  <c r="J196" i="14"/>
  <c r="AH255" i="14"/>
  <c r="AL255" i="14"/>
  <c r="AO295" i="14" l="1"/>
  <c r="AR440" i="14"/>
  <c r="AR409" i="14"/>
  <c r="BA409" i="14"/>
  <c r="AR471" i="14"/>
  <c r="AR349" i="14"/>
  <c r="BA349" i="14"/>
  <c r="BA226" i="14"/>
  <c r="AR380" i="14"/>
  <c r="AR257" i="14"/>
  <c r="BA166" i="14"/>
  <c r="BA439" i="14"/>
  <c r="AR167" i="14"/>
  <c r="AR137" i="14"/>
  <c r="AR195" i="14"/>
  <c r="AR318" i="14"/>
  <c r="AR227" i="14"/>
  <c r="BA227" i="14"/>
  <c r="W29" i="26"/>
  <c r="AO409" i="14" s="1"/>
  <c r="AS409" i="14"/>
  <c r="W30" i="28"/>
  <c r="BA471" i="14" s="1"/>
  <c r="AS471" i="14"/>
  <c r="W30" i="24"/>
  <c r="AO349" i="14" s="1"/>
  <c r="AS349" i="14"/>
  <c r="W30" i="21"/>
  <c r="BA257" i="14" s="1"/>
  <c r="AS257" i="14"/>
  <c r="W29" i="27"/>
  <c r="BA440" i="14" s="1"/>
  <c r="AS440" i="14"/>
  <c r="W31" i="2"/>
  <c r="AO137" i="14" s="1"/>
  <c r="CI137" i="14" s="1"/>
  <c r="CH137" i="14" s="1"/>
  <c r="AS137" i="14"/>
  <c r="W29" i="19"/>
  <c r="BA195" i="14" s="1"/>
  <c r="AS195" i="14"/>
  <c r="W30" i="23"/>
  <c r="BA318" i="14" s="1"/>
  <c r="AS318" i="14"/>
  <c r="W30" i="20"/>
  <c r="AO227" i="14" s="1"/>
  <c r="CI227" i="14" s="1"/>
  <c r="CH227" i="14" s="1"/>
  <c r="AS227" i="14"/>
  <c r="W30" i="18"/>
  <c r="BA167" i="14" s="1"/>
  <c r="AS167" i="14"/>
  <c r="W30" i="25"/>
  <c r="BA380" i="14" s="1"/>
  <c r="AS380" i="14"/>
  <c r="Y30" i="27"/>
  <c r="S30" i="27"/>
  <c r="X30" i="27" s="1"/>
  <c r="U30" i="27"/>
  <c r="Z30" i="27" s="1"/>
  <c r="D30" i="27"/>
  <c r="C30" i="27" s="1"/>
  <c r="R30" i="27"/>
  <c r="V31" i="27"/>
  <c r="T30" i="27"/>
  <c r="CG133" i="14"/>
  <c r="CF133" i="14"/>
  <c r="T135" i="14"/>
  <c r="AK135" i="14"/>
  <c r="AH134" i="14"/>
  <c r="AL134" i="14"/>
  <c r="CG225" i="14"/>
  <c r="CF225" i="14"/>
  <c r="AH226" i="14"/>
  <c r="AL226" i="14"/>
  <c r="T31" i="20"/>
  <c r="Y31" i="20" s="1"/>
  <c r="U31" i="20"/>
  <c r="Z31" i="20" s="1"/>
  <c r="E31" i="20"/>
  <c r="G228" i="14" s="1"/>
  <c r="S31" i="20"/>
  <c r="X31" i="20" s="1"/>
  <c r="V32" i="20"/>
  <c r="R31" i="20"/>
  <c r="D31" i="20"/>
  <c r="C31" i="20" s="1"/>
  <c r="V32" i="24"/>
  <c r="T31" i="24"/>
  <c r="Y31" i="24" s="1"/>
  <c r="R31" i="24"/>
  <c r="U31" i="24"/>
  <c r="Z31" i="24" s="1"/>
  <c r="S31" i="24"/>
  <c r="X31" i="24" s="1"/>
  <c r="D31" i="24"/>
  <c r="C31" i="24" s="1"/>
  <c r="T227" i="14"/>
  <c r="AK227" i="14"/>
  <c r="E198" i="14"/>
  <c r="B197" i="14"/>
  <c r="AN197" i="14"/>
  <c r="C197" i="14"/>
  <c r="D197" i="14" s="1"/>
  <c r="Q197" i="14"/>
  <c r="H196" i="15"/>
  <c r="J197" i="14"/>
  <c r="V33" i="2"/>
  <c r="D32" i="2"/>
  <c r="C32" i="2" s="1"/>
  <c r="S32" i="2"/>
  <c r="X32" i="2" s="1"/>
  <c r="U32" i="2"/>
  <c r="Z32" i="2" s="1"/>
  <c r="R32" i="2"/>
  <c r="T32" i="2"/>
  <c r="Y32" i="2" s="1"/>
  <c r="AI250" i="14"/>
  <c r="CI250" i="14" s="1"/>
  <c r="CH250" i="14" s="1"/>
  <c r="L257" i="14"/>
  <c r="AG250" i="14"/>
  <c r="H153" i="22"/>
  <c r="H152" i="22"/>
  <c r="H180" i="22"/>
  <c r="CG294" i="14"/>
  <c r="CF294" i="14"/>
  <c r="V32" i="21"/>
  <c r="D31" i="21"/>
  <c r="C31" i="21" s="1"/>
  <c r="T31" i="21"/>
  <c r="Y31" i="21" s="1"/>
  <c r="S31" i="21"/>
  <c r="X31" i="21" s="1"/>
  <c r="U31" i="21"/>
  <c r="Z31" i="21" s="1"/>
  <c r="E31" i="21"/>
  <c r="G258" i="14" s="1"/>
  <c r="R31" i="21"/>
  <c r="CA73" i="14"/>
  <c r="CA78" i="14"/>
  <c r="CA75" i="14"/>
  <c r="CA74" i="14"/>
  <c r="CA77" i="14"/>
  <c r="CA76" i="14"/>
  <c r="CA79" i="14"/>
  <c r="CA80" i="14" s="1"/>
  <c r="I153" i="22"/>
  <c r="I152" i="22"/>
  <c r="I180" i="22"/>
  <c r="V32" i="25"/>
  <c r="D31" i="25"/>
  <c r="C31" i="25" s="1"/>
  <c r="S31" i="25"/>
  <c r="X31" i="25" s="1"/>
  <c r="T31" i="25"/>
  <c r="Y31" i="25" s="1"/>
  <c r="U31" i="25"/>
  <c r="Z31" i="25" s="1"/>
  <c r="R31" i="25"/>
  <c r="B137" i="14"/>
  <c r="C137" i="14"/>
  <c r="D137" i="14" s="1"/>
  <c r="E138" i="14"/>
  <c r="AN137" i="14"/>
  <c r="Q137" i="14"/>
  <c r="H136" i="15"/>
  <c r="J137" i="14"/>
  <c r="V32" i="28"/>
  <c r="D31" i="28"/>
  <c r="C31" i="28" s="1"/>
  <c r="U31" i="28"/>
  <c r="Z31" i="28" s="1"/>
  <c r="S31" i="28"/>
  <c r="X31" i="28" s="1"/>
  <c r="R31" i="28"/>
  <c r="T31" i="28"/>
  <c r="Y31" i="28" s="1"/>
  <c r="AI256" i="14"/>
  <c r="CI256" i="14" s="1"/>
  <c r="CH256" i="14" s="1"/>
  <c r="AG256" i="14"/>
  <c r="L263" i="14"/>
  <c r="AI244" i="14"/>
  <c r="CI244" i="14" s="1"/>
  <c r="CH244" i="14" s="1"/>
  <c r="AG244" i="14"/>
  <c r="L251" i="14"/>
  <c r="AI296" i="14"/>
  <c r="CI296" i="14" s="1"/>
  <c r="CH296" i="14" s="1"/>
  <c r="AG296" i="14"/>
  <c r="L303" i="14"/>
  <c r="J153" i="22"/>
  <c r="J152" i="22"/>
  <c r="K180" i="22"/>
  <c r="AK295" i="14"/>
  <c r="T295" i="14"/>
  <c r="AJ266" i="14" s="1"/>
  <c r="AH256" i="14"/>
  <c r="AL256" i="14"/>
  <c r="V31" i="19"/>
  <c r="D30" i="19"/>
  <c r="C30" i="19" s="1"/>
  <c r="U30" i="19"/>
  <c r="Z30" i="19" s="1"/>
  <c r="R30" i="19"/>
  <c r="T30" i="19"/>
  <c r="Y30" i="19" s="1"/>
  <c r="S30" i="19"/>
  <c r="X30" i="19" s="1"/>
  <c r="CE59" i="14"/>
  <c r="CC72" i="14"/>
  <c r="CD60" i="14"/>
  <c r="AI238" i="14"/>
  <c r="CI238" i="14" s="1"/>
  <c r="CH238" i="14" s="1"/>
  <c r="L245" i="14"/>
  <c r="AG238" i="14"/>
  <c r="V32" i="23"/>
  <c r="D31" i="23"/>
  <c r="C31" i="23" s="1"/>
  <c r="S31" i="23"/>
  <c r="X31" i="23" s="1"/>
  <c r="U31" i="23"/>
  <c r="Z31" i="23" s="1"/>
  <c r="R31" i="23"/>
  <c r="T31" i="23"/>
  <c r="Y31" i="23" s="1"/>
  <c r="AO471" i="14"/>
  <c r="AK257" i="14"/>
  <c r="T257" i="14"/>
  <c r="C33" i="22"/>
  <c r="D34" i="22"/>
  <c r="AI232" i="14"/>
  <c r="AG232" i="14"/>
  <c r="L239" i="14"/>
  <c r="AO318" i="14"/>
  <c r="CG255" i="14"/>
  <c r="CF255" i="14"/>
  <c r="V32" i="18"/>
  <c r="D31" i="18"/>
  <c r="C31" i="18" s="1"/>
  <c r="S31" i="18"/>
  <c r="X31" i="18" s="1"/>
  <c r="R31" i="18"/>
  <c r="T31" i="18"/>
  <c r="Y31" i="18" s="1"/>
  <c r="U31" i="18"/>
  <c r="Z31" i="18" s="1"/>
  <c r="G153" i="22"/>
  <c r="G152" i="22"/>
  <c r="G180" i="22"/>
  <c r="S233" i="1"/>
  <c r="S236" i="1"/>
  <c r="S243" i="1"/>
  <c r="S260" i="1" s="1"/>
  <c r="S240" i="1"/>
  <c r="S259" i="1" s="1"/>
  <c r="S237" i="1"/>
  <c r="S258" i="1" s="1"/>
  <c r="S234" i="1"/>
  <c r="S257" i="1" s="1"/>
  <c r="S239" i="1"/>
  <c r="S242" i="1"/>
  <c r="E46" i="22"/>
  <c r="AA30" i="2"/>
  <c r="E30" i="2" s="1"/>
  <c r="G136" i="14" s="1"/>
  <c r="AI262" i="14"/>
  <c r="AG262" i="14"/>
  <c r="L269" i="14"/>
  <c r="V31" i="26"/>
  <c r="D30" i="26"/>
  <c r="C30" i="26" s="1"/>
  <c r="T30" i="26"/>
  <c r="Y30" i="26" s="1"/>
  <c r="S30" i="26"/>
  <c r="X30" i="26" s="1"/>
  <c r="U30" i="26"/>
  <c r="Z30" i="26" s="1"/>
  <c r="R30" i="26"/>
  <c r="AO440" i="14" l="1"/>
  <c r="AR350" i="14"/>
  <c r="AR472" i="14"/>
  <c r="BA472" i="14"/>
  <c r="AR381" i="14"/>
  <c r="AR258" i="14"/>
  <c r="BA258" i="14"/>
  <c r="AR138" i="14"/>
  <c r="AO195" i="14"/>
  <c r="CI195" i="14" s="1"/>
  <c r="CH195" i="14" s="1"/>
  <c r="AO380" i="14"/>
  <c r="BA137" i="14"/>
  <c r="AR228" i="14"/>
  <c r="AR410" i="14"/>
  <c r="AR168" i="14"/>
  <c r="AR319" i="14"/>
  <c r="AO167" i="14"/>
  <c r="CI167" i="14" s="1"/>
  <c r="CH167" i="14" s="1"/>
  <c r="AO257" i="14"/>
  <c r="AR196" i="14"/>
  <c r="AR441" i="14"/>
  <c r="S347" i="1"/>
  <c r="S355" i="1"/>
  <c r="W30" i="19"/>
  <c r="BA196" i="14" s="1"/>
  <c r="AS196" i="14"/>
  <c r="W30" i="27"/>
  <c r="BA441" i="14" s="1"/>
  <c r="AS441" i="14"/>
  <c r="W31" i="28"/>
  <c r="AS472" i="14"/>
  <c r="W31" i="24"/>
  <c r="BA350" i="14" s="1"/>
  <c r="AS350" i="14"/>
  <c r="W31" i="20"/>
  <c r="AO228" i="14" s="1"/>
  <c r="CI228" i="14" s="1"/>
  <c r="CH228" i="14" s="1"/>
  <c r="AS228" i="14"/>
  <c r="W31" i="25"/>
  <c r="BA381" i="14" s="1"/>
  <c r="AS381" i="14"/>
  <c r="W31" i="21"/>
  <c r="AS258" i="14"/>
  <c r="W32" i="2"/>
  <c r="BA138" i="14" s="1"/>
  <c r="AS138" i="14"/>
  <c r="W30" i="26"/>
  <c r="BA410" i="14" s="1"/>
  <c r="AS410" i="14"/>
  <c r="W31" i="18"/>
  <c r="AO168" i="14" s="1"/>
  <c r="CI168" i="14" s="1"/>
  <c r="CH168" i="14" s="1"/>
  <c r="AS168" i="14"/>
  <c r="W31" i="23"/>
  <c r="BA319" i="14" s="1"/>
  <c r="AS319" i="14"/>
  <c r="AO441" i="14"/>
  <c r="R31" i="27"/>
  <c r="S31" i="27"/>
  <c r="X31" i="27" s="1"/>
  <c r="T31" i="27"/>
  <c r="Y31" i="27" s="1"/>
  <c r="V32" i="27"/>
  <c r="D31" i="27"/>
  <c r="C31" i="27" s="1"/>
  <c r="U31" i="27"/>
  <c r="Z31" i="27" s="1"/>
  <c r="AL135" i="14"/>
  <c r="AH135" i="14"/>
  <c r="CF134" i="14"/>
  <c r="CG134" i="14"/>
  <c r="AK136" i="14"/>
  <c r="T136" i="14"/>
  <c r="AO472" i="14"/>
  <c r="S317" i="1"/>
  <c r="S318" i="1" s="1"/>
  <c r="AO319" i="14"/>
  <c r="AO258" i="14"/>
  <c r="V33" i="24"/>
  <c r="U32" i="24"/>
  <c r="Z32" i="24" s="1"/>
  <c r="T32" i="24"/>
  <c r="Y32" i="24" s="1"/>
  <c r="R32" i="24"/>
  <c r="S32" i="24"/>
  <c r="X32" i="24" s="1"/>
  <c r="D32" i="24"/>
  <c r="C32" i="24" s="1"/>
  <c r="CG226" i="14"/>
  <c r="CF226" i="14"/>
  <c r="AH227" i="14"/>
  <c r="AL227" i="14"/>
  <c r="R32" i="20"/>
  <c r="V33" i="20"/>
  <c r="U32" i="20"/>
  <c r="Z32" i="20" s="1"/>
  <c r="S32" i="20"/>
  <c r="X32" i="20" s="1"/>
  <c r="E32" i="20"/>
  <c r="G229" i="14" s="1"/>
  <c r="T32" i="20"/>
  <c r="Y32" i="20" s="1"/>
  <c r="D32" i="20"/>
  <c r="C32" i="20" s="1"/>
  <c r="AK228" i="14"/>
  <c r="T228" i="14"/>
  <c r="AO196" i="14"/>
  <c r="CI196" i="14" s="1"/>
  <c r="CH196" i="14" s="1"/>
  <c r="C34" i="22"/>
  <c r="D35" i="22"/>
  <c r="CC73" i="14"/>
  <c r="CC75" i="14"/>
  <c r="CC77" i="14"/>
  <c r="CC79" i="14"/>
  <c r="CC80" i="14" s="1"/>
  <c r="CC76" i="14"/>
  <c r="CC74" i="14"/>
  <c r="CC78" i="14"/>
  <c r="N99" i="22"/>
  <c r="N105" i="22"/>
  <c r="N48" i="22"/>
  <c r="H178" i="22"/>
  <c r="H174" i="22"/>
  <c r="H170" i="22"/>
  <c r="H179" i="22"/>
  <c r="H175" i="22"/>
  <c r="H171" i="22"/>
  <c r="H176" i="22"/>
  <c r="H172" i="22"/>
  <c r="H177" i="22"/>
  <c r="H173" i="22"/>
  <c r="AO410" i="14"/>
  <c r="AH257" i="14"/>
  <c r="AL257" i="14"/>
  <c r="V33" i="28"/>
  <c r="D32" i="28"/>
  <c r="C32" i="28" s="1"/>
  <c r="S32" i="28"/>
  <c r="X32" i="28" s="1"/>
  <c r="T32" i="28"/>
  <c r="Y32" i="28" s="1"/>
  <c r="U32" i="28"/>
  <c r="Z32" i="28" s="1"/>
  <c r="R32" i="28"/>
  <c r="AA31" i="2"/>
  <c r="E31" i="2" s="1"/>
  <c r="G137" i="14" s="1"/>
  <c r="AK258" i="14"/>
  <c r="T258" i="14"/>
  <c r="V34" i="2"/>
  <c r="D33" i="2"/>
  <c r="C33" i="2" s="1"/>
  <c r="R33" i="2"/>
  <c r="T33" i="2"/>
  <c r="Y33" i="2" s="1"/>
  <c r="U33" i="2"/>
  <c r="Z33" i="2" s="1"/>
  <c r="S33" i="2"/>
  <c r="X33" i="2" s="1"/>
  <c r="G105" i="22"/>
  <c r="G99" i="22"/>
  <c r="AG6" i="22"/>
  <c r="AY269" i="14"/>
  <c r="AY273" i="14"/>
  <c r="AY277" i="14"/>
  <c r="AY281" i="14"/>
  <c r="AY285" i="14"/>
  <c r="AY289" i="14"/>
  <c r="AY293" i="14"/>
  <c r="AY266" i="14"/>
  <c r="AY270" i="14"/>
  <c r="AY274" i="14"/>
  <c r="AY278" i="14"/>
  <c r="AY282" i="14"/>
  <c r="AY286" i="14"/>
  <c r="AY290" i="14"/>
  <c r="AY267" i="14"/>
  <c r="AY271" i="14"/>
  <c r="AY275" i="14"/>
  <c r="AY279" i="14"/>
  <c r="AY283" i="14"/>
  <c r="AY287" i="14"/>
  <c r="AY291" i="14"/>
  <c r="AY272" i="14"/>
  <c r="AY288" i="14"/>
  <c r="AY276" i="14"/>
  <c r="AY292" i="14"/>
  <c r="AY280" i="14"/>
  <c r="AY295" i="14"/>
  <c r="AY268" i="14"/>
  <c r="AY284" i="14"/>
  <c r="AY294" i="14"/>
  <c r="G48" i="22"/>
  <c r="K105" i="22"/>
  <c r="K99" i="22"/>
  <c r="K48" i="22"/>
  <c r="L276" i="14"/>
  <c r="AI269" i="14"/>
  <c r="CI269" i="14" s="1"/>
  <c r="CH269" i="14" s="1"/>
  <c r="AG269" i="14"/>
  <c r="I5" i="29"/>
  <c r="V33" i="18"/>
  <c r="D32" i="18"/>
  <c r="C32" i="18" s="1"/>
  <c r="S32" i="18"/>
  <c r="X32" i="18" s="1"/>
  <c r="R32" i="18"/>
  <c r="U32" i="18"/>
  <c r="Z32" i="18" s="1"/>
  <c r="T32" i="18"/>
  <c r="Y32" i="18" s="1"/>
  <c r="V33" i="23"/>
  <c r="D32" i="23"/>
  <c r="C32" i="23" s="1"/>
  <c r="T32" i="23"/>
  <c r="Y32" i="23" s="1"/>
  <c r="S32" i="23"/>
  <c r="X32" i="23" s="1"/>
  <c r="R32" i="23"/>
  <c r="U32" i="23"/>
  <c r="Z32" i="23" s="1"/>
  <c r="L252" i="14"/>
  <c r="AI245" i="14"/>
  <c r="CI245" i="14" s="1"/>
  <c r="CH245" i="14" s="1"/>
  <c r="AG245" i="14"/>
  <c r="CF60" i="14"/>
  <c r="CG59" i="14"/>
  <c r="CE72" i="14"/>
  <c r="V32" i="19"/>
  <c r="D31" i="19"/>
  <c r="C31" i="19" s="1"/>
  <c r="T31" i="19"/>
  <c r="Y31" i="19" s="1"/>
  <c r="S31" i="19"/>
  <c r="X31" i="19" s="1"/>
  <c r="U31" i="19"/>
  <c r="Z31" i="19" s="1"/>
  <c r="R31" i="19"/>
  <c r="AH295" i="14"/>
  <c r="AL295" i="14"/>
  <c r="E139" i="14"/>
  <c r="C138" i="14"/>
  <c r="D138" i="14" s="1"/>
  <c r="B138" i="14"/>
  <c r="AN138" i="14"/>
  <c r="Q138" i="14"/>
  <c r="H137" i="15"/>
  <c r="J138" i="14"/>
  <c r="V33" i="25"/>
  <c r="D32" i="25"/>
  <c r="C32" i="25" s="1"/>
  <c r="T32" i="25"/>
  <c r="Y32" i="25" s="1"/>
  <c r="U32" i="25"/>
  <c r="Z32" i="25" s="1"/>
  <c r="R32" i="25"/>
  <c r="S32" i="25"/>
  <c r="X32" i="25" s="1"/>
  <c r="V33" i="21"/>
  <c r="D32" i="21"/>
  <c r="C32" i="21" s="1"/>
  <c r="U32" i="21"/>
  <c r="Z32" i="21" s="1"/>
  <c r="T32" i="21"/>
  <c r="Y32" i="21" s="1"/>
  <c r="R32" i="21"/>
  <c r="E32" i="21"/>
  <c r="G259" i="14" s="1"/>
  <c r="S32" i="21"/>
  <c r="X32" i="21" s="1"/>
  <c r="S264" i="1"/>
  <c r="L246" i="14"/>
  <c r="AG239" i="14"/>
  <c r="AI239" i="14"/>
  <c r="CI239" i="14" s="1"/>
  <c r="CH239" i="14" s="1"/>
  <c r="V32" i="26"/>
  <c r="D31" i="26"/>
  <c r="C31" i="26" s="1"/>
  <c r="T31" i="26"/>
  <c r="Y31" i="26"/>
  <c r="U31" i="26"/>
  <c r="Z31" i="26" s="1"/>
  <c r="S31" i="26"/>
  <c r="X31" i="26" s="1"/>
  <c r="R31" i="26"/>
  <c r="G176" i="22"/>
  <c r="G172" i="22"/>
  <c r="G179" i="22"/>
  <c r="G175" i="22"/>
  <c r="G171" i="22"/>
  <c r="G178" i="22"/>
  <c r="G174" i="22"/>
  <c r="G170" i="22"/>
  <c r="G173" i="22"/>
  <c r="G177" i="22"/>
  <c r="E180" i="22"/>
  <c r="CG256" i="14"/>
  <c r="CF256" i="14"/>
  <c r="K176" i="22"/>
  <c r="K172" i="22"/>
  <c r="K177" i="22"/>
  <c r="K173" i="22"/>
  <c r="K178" i="22"/>
  <c r="K174" i="22"/>
  <c r="K170" i="22"/>
  <c r="K171" i="22"/>
  <c r="K179" i="22"/>
  <c r="K175" i="22"/>
  <c r="AG303" i="14"/>
  <c r="AI303" i="14"/>
  <c r="CI303" i="14" s="1"/>
  <c r="CH303" i="14" s="1"/>
  <c r="L310" i="14"/>
  <c r="L258" i="14"/>
  <c r="AG251" i="14"/>
  <c r="AI251" i="14"/>
  <c r="CI251" i="14" s="1"/>
  <c r="CH251" i="14" s="1"/>
  <c r="L270" i="14"/>
  <c r="AG263" i="14"/>
  <c r="AI263" i="14"/>
  <c r="I179" i="22"/>
  <c r="I175" i="22"/>
  <c r="I171" i="22"/>
  <c r="I176" i="22"/>
  <c r="I172" i="22"/>
  <c r="I177" i="22"/>
  <c r="I173" i="22"/>
  <c r="I174" i="22"/>
  <c r="I170" i="22"/>
  <c r="I178" i="22"/>
  <c r="H99" i="22"/>
  <c r="H105" i="22"/>
  <c r="H48" i="22"/>
  <c r="L264" i="14"/>
  <c r="AI257" i="14"/>
  <c r="CI257" i="14" s="1"/>
  <c r="CH257" i="14" s="1"/>
  <c r="AG257" i="14"/>
  <c r="E199" i="14"/>
  <c r="B198" i="14"/>
  <c r="AN198" i="14"/>
  <c r="C198" i="14"/>
  <c r="D198" i="14" s="1"/>
  <c r="Q198" i="14"/>
  <c r="H197" i="15"/>
  <c r="J198" i="14"/>
  <c r="AO350" i="14" l="1"/>
  <c r="AR411" i="14"/>
  <c r="AR259" i="14"/>
  <c r="BA259" i="14"/>
  <c r="AR197" i="14"/>
  <c r="AR169" i="14"/>
  <c r="BA169" i="14"/>
  <c r="E48" i="22"/>
  <c r="AO138" i="14"/>
  <c r="CI138" i="14" s="1"/>
  <c r="CH138" i="14" s="1"/>
  <c r="AR473" i="14"/>
  <c r="AO381" i="14"/>
  <c r="AR351" i="14"/>
  <c r="BA168" i="14"/>
  <c r="BA228" i="14"/>
  <c r="AR139" i="14"/>
  <c r="AR229" i="14"/>
  <c r="AR320" i="14"/>
  <c r="AR382" i="14"/>
  <c r="AR442" i="14"/>
  <c r="S364" i="1"/>
  <c r="I18" i="29"/>
  <c r="I20" i="29" s="1"/>
  <c r="I19" i="29" s="1"/>
  <c r="W32" i="21"/>
  <c r="AS259" i="14"/>
  <c r="W31" i="19"/>
  <c r="BA197" i="14" s="1"/>
  <c r="AS197" i="14"/>
  <c r="W32" i="18"/>
  <c r="AS169" i="14"/>
  <c r="W32" i="28"/>
  <c r="AO473" i="14" s="1"/>
  <c r="AS473" i="14"/>
  <c r="W32" i="24"/>
  <c r="BA351" i="14" s="1"/>
  <c r="AS351" i="14"/>
  <c r="W32" i="23"/>
  <c r="AO320" i="14" s="1"/>
  <c r="AS320" i="14"/>
  <c r="W33" i="2"/>
  <c r="BA139" i="14" s="1"/>
  <c r="AS139" i="14"/>
  <c r="W32" i="20"/>
  <c r="BA229" i="14" s="1"/>
  <c r="AS229" i="14"/>
  <c r="W32" i="25"/>
  <c r="BA382" i="14" s="1"/>
  <c r="AS382" i="14"/>
  <c r="W31" i="27"/>
  <c r="AO442" i="14" s="1"/>
  <c r="AS442" i="14"/>
  <c r="W31" i="26"/>
  <c r="BA411" i="14" s="1"/>
  <c r="AS411" i="14"/>
  <c r="I107" i="29"/>
  <c r="S348" i="1"/>
  <c r="U32" i="27"/>
  <c r="Z32" i="27" s="1"/>
  <c r="S32" i="27"/>
  <c r="V33" i="27"/>
  <c r="X32" i="27"/>
  <c r="D32" i="27"/>
  <c r="C32" i="27" s="1"/>
  <c r="T32" i="27"/>
  <c r="Y32" i="27" s="1"/>
  <c r="R32" i="27"/>
  <c r="AK137" i="14"/>
  <c r="T137" i="14"/>
  <c r="AH136" i="14"/>
  <c r="AL136" i="14"/>
  <c r="CG135" i="14"/>
  <c r="CF135" i="14"/>
  <c r="I150" i="22"/>
  <c r="G150" i="22"/>
  <c r="V34" i="20"/>
  <c r="T33" i="20"/>
  <c r="Y33" i="20" s="1"/>
  <c r="E33" i="20"/>
  <c r="G230" i="14" s="1"/>
  <c r="U33" i="20"/>
  <c r="Z33" i="20" s="1"/>
  <c r="S33" i="20"/>
  <c r="X33" i="20" s="1"/>
  <c r="R33" i="20"/>
  <c r="D33" i="20"/>
  <c r="C33" i="20" s="1"/>
  <c r="J150" i="22"/>
  <c r="AK229" i="14"/>
  <c r="T229" i="14"/>
  <c r="AO351" i="14"/>
  <c r="V34" i="24"/>
  <c r="U33" i="24"/>
  <c r="Z33" i="24" s="1"/>
  <c r="T33" i="24"/>
  <c r="Y33" i="24" s="1"/>
  <c r="S33" i="24"/>
  <c r="X33" i="24" s="1"/>
  <c r="R33" i="24"/>
  <c r="D33" i="24"/>
  <c r="C33" i="24" s="1"/>
  <c r="H150" i="22"/>
  <c r="AL228" i="14"/>
  <c r="AH228" i="14"/>
  <c r="CG227" i="14"/>
  <c r="CF227" i="14"/>
  <c r="AO259" i="14"/>
  <c r="AO169" i="14"/>
  <c r="CI169" i="14" s="1"/>
  <c r="CH169" i="14" s="1"/>
  <c r="H162" i="22"/>
  <c r="H154" i="22"/>
  <c r="H47" i="22"/>
  <c r="L317" i="14"/>
  <c r="AI310" i="14"/>
  <c r="CI310" i="14" s="1"/>
  <c r="CH310" i="14" s="1"/>
  <c r="AG310" i="14"/>
  <c r="AK259" i="14"/>
  <c r="T259" i="14"/>
  <c r="AO382" i="14"/>
  <c r="V34" i="25"/>
  <c r="D33" i="25"/>
  <c r="C33" i="25" s="1"/>
  <c r="U33" i="25"/>
  <c r="Z33" i="25" s="1"/>
  <c r="S33" i="25"/>
  <c r="X33" i="25" s="1"/>
  <c r="R33" i="25"/>
  <c r="T33" i="25"/>
  <c r="Y33" i="25" s="1"/>
  <c r="AI276" i="14"/>
  <c r="CI276" i="14" s="1"/>
  <c r="CH276" i="14" s="1"/>
  <c r="AG276" i="14"/>
  <c r="L283" i="14"/>
  <c r="AH11" i="22"/>
  <c r="AH15" i="22"/>
  <c r="AH19" i="22"/>
  <c r="AH23" i="22"/>
  <c r="AH27" i="22"/>
  <c r="AH31" i="22"/>
  <c r="AH35" i="22"/>
  <c r="AH12" i="22"/>
  <c r="AH16" i="22"/>
  <c r="AH20" i="22"/>
  <c r="AH24" i="22"/>
  <c r="AH28" i="22"/>
  <c r="AH32" i="22"/>
  <c r="AH10" i="22"/>
  <c r="AH18" i="22"/>
  <c r="AH26" i="22"/>
  <c r="AH34" i="22"/>
  <c r="AH9" i="22"/>
  <c r="AH13" i="22"/>
  <c r="AH14" i="22"/>
  <c r="AH17" i="22"/>
  <c r="AH21" i="22"/>
  <c r="AH8" i="22"/>
  <c r="AH22" i="22"/>
  <c r="AH25" i="22"/>
  <c r="AH29" i="22"/>
  <c r="AI8" i="22"/>
  <c r="AI9" i="22"/>
  <c r="AI13" i="22"/>
  <c r="AI17" i="22"/>
  <c r="AI21" i="22"/>
  <c r="AI25" i="22"/>
  <c r="AI29" i="22"/>
  <c r="AI33" i="22"/>
  <c r="AH30" i="22"/>
  <c r="AI11" i="22"/>
  <c r="AI18" i="22"/>
  <c r="AI20" i="22"/>
  <c r="AI27" i="22"/>
  <c r="AI34" i="22"/>
  <c r="AJ12" i="22"/>
  <c r="AJ16" i="22"/>
  <c r="AJ20" i="22"/>
  <c r="AJ24" i="22"/>
  <c r="AJ28" i="22"/>
  <c r="AJ32" i="22"/>
  <c r="AH33" i="22"/>
  <c r="AI15" i="22"/>
  <c r="AI22" i="22"/>
  <c r="AI24" i="22"/>
  <c r="AI31" i="22"/>
  <c r="AJ11" i="22"/>
  <c r="AJ15" i="22"/>
  <c r="AJ19" i="22"/>
  <c r="AJ23" i="22"/>
  <c r="AJ27" i="22"/>
  <c r="AJ31" i="22"/>
  <c r="AJ35" i="22"/>
  <c r="AI10" i="22"/>
  <c r="AI12" i="22"/>
  <c r="AI19" i="22"/>
  <c r="AI26" i="22"/>
  <c r="AI28" i="22"/>
  <c r="AI35" i="22"/>
  <c r="AJ10" i="22"/>
  <c r="AJ14" i="22"/>
  <c r="AJ18" i="22"/>
  <c r="AJ22" i="22"/>
  <c r="AJ26" i="22"/>
  <c r="AJ30" i="22"/>
  <c r="AJ34" i="22"/>
  <c r="AK12" i="22"/>
  <c r="AK16" i="22"/>
  <c r="AK20" i="22"/>
  <c r="AK24" i="22"/>
  <c r="AK28" i="22"/>
  <c r="AK32" i="22"/>
  <c r="AI32" i="22"/>
  <c r="AJ21" i="22"/>
  <c r="AK14" i="22"/>
  <c r="AK21" i="22"/>
  <c r="AK23" i="22"/>
  <c r="AK30" i="22"/>
  <c r="AJ17" i="22"/>
  <c r="AJ33" i="22"/>
  <c r="AK8" i="22"/>
  <c r="AK9" i="22"/>
  <c r="AK11" i="22"/>
  <c r="AK18" i="22"/>
  <c r="AK25" i="22"/>
  <c r="AK27" i="22"/>
  <c r="AK34" i="22"/>
  <c r="AI14" i="22"/>
  <c r="AJ8" i="22"/>
  <c r="AJ13" i="22"/>
  <c r="AJ29" i="22"/>
  <c r="AK13" i="22"/>
  <c r="AK15" i="22"/>
  <c r="AK22" i="22"/>
  <c r="AK29" i="22"/>
  <c r="AK31" i="22"/>
  <c r="AI23" i="22"/>
  <c r="AK35" i="22"/>
  <c r="AI30" i="22"/>
  <c r="AJ25" i="22"/>
  <c r="AJ9" i="22"/>
  <c r="AK10" i="22"/>
  <c r="AK17" i="22"/>
  <c r="AK26" i="22"/>
  <c r="AK33" i="22"/>
  <c r="AI16" i="22"/>
  <c r="AK37" i="22"/>
  <c r="AK36" i="22"/>
  <c r="AK19" i="22"/>
  <c r="AH37" i="22"/>
  <c r="AH36" i="22"/>
  <c r="AI37" i="22"/>
  <c r="AI36" i="22"/>
  <c r="AJ36" i="22"/>
  <c r="AJ37" i="22"/>
  <c r="V35" i="2"/>
  <c r="D34" i="2"/>
  <c r="C34" i="2" s="1"/>
  <c r="R34" i="2"/>
  <c r="T34" i="2"/>
  <c r="Y34" i="2" s="1"/>
  <c r="S34" i="2"/>
  <c r="X34" i="2" s="1"/>
  <c r="U34" i="2"/>
  <c r="Z34" i="2" s="1"/>
  <c r="CE73" i="14"/>
  <c r="CE78" i="14"/>
  <c r="CE79" i="14"/>
  <c r="CE80" i="14" s="1"/>
  <c r="CE77" i="14"/>
  <c r="CE76" i="14"/>
  <c r="CE75" i="14"/>
  <c r="CE74" i="14"/>
  <c r="AO139" i="14"/>
  <c r="CI139" i="14" s="1"/>
  <c r="CH139" i="14" s="1"/>
  <c r="CG257" i="14"/>
  <c r="CF257" i="14"/>
  <c r="E200" i="14"/>
  <c r="B199" i="14"/>
  <c r="C199" i="14"/>
  <c r="D199" i="14" s="1"/>
  <c r="AN199" i="14"/>
  <c r="Q199" i="14"/>
  <c r="J199" i="14"/>
  <c r="H198" i="15"/>
  <c r="V33" i="26"/>
  <c r="D32" i="26"/>
  <c r="C32" i="26" s="1"/>
  <c r="U32" i="26"/>
  <c r="Z32" i="26" s="1"/>
  <c r="T32" i="26"/>
  <c r="Y32" i="26" s="1"/>
  <c r="S32" i="26"/>
  <c r="X32" i="26" s="1"/>
  <c r="R32" i="26"/>
  <c r="CG295" i="14"/>
  <c r="CF295" i="14"/>
  <c r="CI59" i="14"/>
  <c r="CG72" i="14"/>
  <c r="CH60" i="14"/>
  <c r="V34" i="18"/>
  <c r="D33" i="18"/>
  <c r="C33" i="18" s="1"/>
  <c r="S33" i="18"/>
  <c r="X33" i="18" s="1"/>
  <c r="U33" i="18"/>
  <c r="Z33" i="18" s="1"/>
  <c r="R33" i="18"/>
  <c r="T33" i="18"/>
  <c r="Y33" i="18" s="1"/>
  <c r="I110" i="29"/>
  <c r="O163" i="22"/>
  <c r="I194" i="29" s="1"/>
  <c r="I2" i="29" s="1"/>
  <c r="C35" i="22"/>
  <c r="D36" i="22"/>
  <c r="J154" i="22"/>
  <c r="J162" i="22"/>
  <c r="N47" i="22"/>
  <c r="AA32" i="2"/>
  <c r="E32" i="2" s="1"/>
  <c r="G138" i="14" s="1"/>
  <c r="AI264" i="14"/>
  <c r="AG264" i="14"/>
  <c r="L271" i="14"/>
  <c r="AI270" i="14"/>
  <c r="CI270" i="14" s="1"/>
  <c r="CH270" i="14" s="1"/>
  <c r="L277" i="14"/>
  <c r="AG270" i="14"/>
  <c r="AI258" i="14"/>
  <c r="CI258" i="14" s="1"/>
  <c r="CH258" i="14" s="1"/>
  <c r="L265" i="14"/>
  <c r="AG258" i="14"/>
  <c r="AO411" i="14"/>
  <c r="AI246" i="14"/>
  <c r="CI246" i="14" s="1"/>
  <c r="CH246" i="14" s="1"/>
  <c r="L253" i="14"/>
  <c r="AG246" i="14"/>
  <c r="V34" i="21"/>
  <c r="D33" i="21"/>
  <c r="C33" i="21" s="1"/>
  <c r="T33" i="21"/>
  <c r="Y33" i="21" s="1"/>
  <c r="E33" i="21"/>
  <c r="G260" i="14" s="1"/>
  <c r="S33" i="21"/>
  <c r="X33" i="21" s="1"/>
  <c r="R33" i="21"/>
  <c r="U33" i="21"/>
  <c r="Z33" i="21" s="1"/>
  <c r="B139" i="14"/>
  <c r="E140" i="14"/>
  <c r="C139" i="14"/>
  <c r="D139" i="14" s="1"/>
  <c r="AN139" i="14"/>
  <c r="Q139" i="14"/>
  <c r="H138" i="15"/>
  <c r="J139" i="14"/>
  <c r="V33" i="19"/>
  <c r="D32" i="19"/>
  <c r="C32" i="19" s="1"/>
  <c r="U32" i="19"/>
  <c r="Z32" i="19" s="1"/>
  <c r="S32" i="19"/>
  <c r="X32" i="19" s="1"/>
  <c r="R32" i="19"/>
  <c r="T32" i="19"/>
  <c r="Y32" i="19" s="1"/>
  <c r="AI252" i="14"/>
  <c r="CI252" i="14" s="1"/>
  <c r="CH252" i="14" s="1"/>
  <c r="AG252" i="14"/>
  <c r="L259" i="14"/>
  <c r="V34" i="23"/>
  <c r="D33" i="23"/>
  <c r="C33" i="23" s="1"/>
  <c r="U33" i="23"/>
  <c r="Z33" i="23" s="1"/>
  <c r="R33" i="23"/>
  <c r="T33" i="23"/>
  <c r="Y33" i="23" s="1"/>
  <c r="S33" i="23"/>
  <c r="X33" i="23" s="1"/>
  <c r="I162" i="22"/>
  <c r="I154" i="22"/>
  <c r="K47" i="22"/>
  <c r="G154" i="22"/>
  <c r="S368" i="1" s="1"/>
  <c r="S377" i="1" s="1"/>
  <c r="G162" i="22"/>
  <c r="I10" i="29" s="1"/>
  <c r="I13" i="29" s="1"/>
  <c r="I51" i="29" s="1"/>
  <c r="G47" i="22"/>
  <c r="AA33" i="2"/>
  <c r="E33" i="2" s="1"/>
  <c r="G139" i="14" s="1"/>
  <c r="AK139" i="14" s="1"/>
  <c r="AH258" i="14"/>
  <c r="AL258" i="14"/>
  <c r="V34" i="28"/>
  <c r="D33" i="28"/>
  <c r="C33" i="28" s="1"/>
  <c r="U33" i="28"/>
  <c r="Z33" i="28" s="1"/>
  <c r="T33" i="28"/>
  <c r="Y33" i="28" s="1"/>
  <c r="S33" i="28"/>
  <c r="X33" i="28" s="1"/>
  <c r="R33" i="28"/>
  <c r="AO197" i="14" l="1"/>
  <c r="CI197" i="14" s="1"/>
  <c r="CH197" i="14" s="1"/>
  <c r="AR170" i="14"/>
  <c r="AR443" i="14"/>
  <c r="BA443" i="14"/>
  <c r="BA473" i="14"/>
  <c r="AO229" i="14"/>
  <c r="CI229" i="14" s="1"/>
  <c r="CH229" i="14" s="1"/>
  <c r="BA442" i="14"/>
  <c r="BA320" i="14"/>
  <c r="AR474" i="14"/>
  <c r="AR321" i="14"/>
  <c r="BA321" i="14"/>
  <c r="AR198" i="14"/>
  <c r="I6" i="29"/>
  <c r="AR412" i="14"/>
  <c r="AR230" i="14"/>
  <c r="AR140" i="14"/>
  <c r="AR260" i="14"/>
  <c r="AR383" i="14"/>
  <c r="AR352" i="14"/>
  <c r="G53" i="22"/>
  <c r="I53" i="22" s="1"/>
  <c r="L53" i="22" s="1"/>
  <c r="E47" i="22"/>
  <c r="W33" i="23"/>
  <c r="AO321" i="14" s="1"/>
  <c r="AS321" i="14"/>
  <c r="W33" i="28"/>
  <c r="AO474" i="14" s="1"/>
  <c r="AS474" i="14"/>
  <c r="W33" i="18"/>
  <c r="BA170" i="14" s="1"/>
  <c r="AS170" i="14"/>
  <c r="W34" i="2"/>
  <c r="BA140" i="14" s="1"/>
  <c r="AS140" i="14"/>
  <c r="W32" i="27"/>
  <c r="AS443" i="14"/>
  <c r="W32" i="19"/>
  <c r="AO198" i="14" s="1"/>
  <c r="CI198" i="14" s="1"/>
  <c r="CH198" i="14" s="1"/>
  <c r="AS198" i="14"/>
  <c r="W32" i="26"/>
  <c r="BA412" i="14" s="1"/>
  <c r="AS412" i="14"/>
  <c r="W33" i="20"/>
  <c r="AO230" i="14" s="1"/>
  <c r="CI230" i="14" s="1"/>
  <c r="CH230" i="14" s="1"/>
  <c r="AS230" i="14"/>
  <c r="W33" i="21"/>
  <c r="BA260" i="14" s="1"/>
  <c r="AS260" i="14"/>
  <c r="W33" i="25"/>
  <c r="AO383" i="14" s="1"/>
  <c r="AS383" i="14"/>
  <c r="W33" i="24"/>
  <c r="BA352" i="14" s="1"/>
  <c r="AS352" i="14"/>
  <c r="V34" i="27"/>
  <c r="R33" i="27"/>
  <c r="D33" i="27"/>
  <c r="C33" i="27" s="1"/>
  <c r="U33" i="27"/>
  <c r="Z33" i="27" s="1"/>
  <c r="S33" i="27"/>
  <c r="X33" i="27" s="1"/>
  <c r="T33" i="27"/>
  <c r="Y33" i="27" s="1"/>
  <c r="AO443" i="14"/>
  <c r="CG136" i="14"/>
  <c r="CF136" i="14"/>
  <c r="T139" i="14"/>
  <c r="AK138" i="14"/>
  <c r="T138" i="14"/>
  <c r="AL137" i="14"/>
  <c r="AH137" i="14"/>
  <c r="C91" i="22"/>
  <c r="V35" i="24"/>
  <c r="S34" i="24"/>
  <c r="X34" i="24" s="1"/>
  <c r="U34" i="24"/>
  <c r="Z34" i="24" s="1"/>
  <c r="R34" i="24"/>
  <c r="T34" i="24"/>
  <c r="Y34" i="24" s="1"/>
  <c r="D34" i="24"/>
  <c r="C34" i="24" s="1"/>
  <c r="AL229" i="14"/>
  <c r="AH229" i="14"/>
  <c r="T230" i="14"/>
  <c r="AK230" i="14"/>
  <c r="CG228" i="14"/>
  <c r="CF228" i="14"/>
  <c r="V35" i="20"/>
  <c r="T34" i="20"/>
  <c r="Y34" i="20" s="1"/>
  <c r="S34" i="20"/>
  <c r="X34" i="20" s="1"/>
  <c r="E34" i="20"/>
  <c r="U34" i="20"/>
  <c r="Z34" i="20" s="1"/>
  <c r="R34" i="20"/>
  <c r="D34" i="20"/>
  <c r="C34" i="20" s="1"/>
  <c r="AV36" i="22"/>
  <c r="CR294" i="14" s="1"/>
  <c r="AW294" i="14"/>
  <c r="AW10" i="22"/>
  <c r="CS268" i="14" s="1"/>
  <c r="AX268" i="14"/>
  <c r="AW22" i="22"/>
  <c r="CS280" i="14" s="1"/>
  <c r="AX280" i="14"/>
  <c r="AW27" i="22"/>
  <c r="CS285" i="14" s="1"/>
  <c r="AX285" i="14"/>
  <c r="AW30" i="22"/>
  <c r="CS288" i="14" s="1"/>
  <c r="AX288" i="14"/>
  <c r="AX282" i="14"/>
  <c r="AW24" i="22"/>
  <c r="CS282" i="14" s="1"/>
  <c r="AV18" i="22"/>
  <c r="CR276" i="14" s="1"/>
  <c r="AW276" i="14"/>
  <c r="AU10" i="22"/>
  <c r="CQ268" i="14" s="1"/>
  <c r="AV268" i="14"/>
  <c r="AU31" i="22"/>
  <c r="CQ289" i="14" s="1"/>
  <c r="AV289" i="14"/>
  <c r="AV20" i="22"/>
  <c r="CR278" i="14" s="1"/>
  <c r="AW278" i="14"/>
  <c r="AU21" i="22"/>
  <c r="CQ279" i="14" s="1"/>
  <c r="AV279" i="14"/>
  <c r="AT8" i="22"/>
  <c r="CP266" i="14" s="1"/>
  <c r="AU266" i="14"/>
  <c r="AG8" i="22"/>
  <c r="AT18" i="22"/>
  <c r="CP276" i="14" s="1"/>
  <c r="AU276" i="14"/>
  <c r="AG18" i="22"/>
  <c r="AT35" i="22"/>
  <c r="CP293" i="14" s="1"/>
  <c r="AU293" i="14"/>
  <c r="AG35" i="22"/>
  <c r="AT19" i="22"/>
  <c r="CP277" i="14" s="1"/>
  <c r="AU277" i="14"/>
  <c r="AG19" i="22"/>
  <c r="V35" i="25"/>
  <c r="D34" i="25"/>
  <c r="C34" i="25" s="1"/>
  <c r="S34" i="25"/>
  <c r="X34" i="25" s="1"/>
  <c r="U34" i="25"/>
  <c r="Z34" i="25" s="1"/>
  <c r="R34" i="25"/>
  <c r="T34" i="25"/>
  <c r="Y34" i="25" s="1"/>
  <c r="V35" i="28"/>
  <c r="D34" i="28"/>
  <c r="C34" i="28" s="1"/>
  <c r="S34" i="28"/>
  <c r="X34" i="28" s="1"/>
  <c r="T34" i="28"/>
  <c r="Y34" i="28" s="1"/>
  <c r="U34" i="28"/>
  <c r="Z34" i="28" s="1"/>
  <c r="R34" i="28"/>
  <c r="CG258" i="14"/>
  <c r="CF258" i="14"/>
  <c r="AH139" i="14"/>
  <c r="AL139" i="14"/>
  <c r="V35" i="23"/>
  <c r="D34" i="23"/>
  <c r="C34" i="23" s="1"/>
  <c r="U34" i="23"/>
  <c r="Z34" i="23" s="1"/>
  <c r="S34" i="23"/>
  <c r="X34" i="23" s="1"/>
  <c r="T34" i="23"/>
  <c r="Y34" i="23" s="1"/>
  <c r="R34" i="23"/>
  <c r="L278" i="14"/>
  <c r="AG271" i="14"/>
  <c r="AI271" i="14"/>
  <c r="CI271" i="14" s="1"/>
  <c r="CH271" i="14" s="1"/>
  <c r="V36" i="2"/>
  <c r="D35" i="2"/>
  <c r="C35" i="2" s="1"/>
  <c r="S35" i="2"/>
  <c r="X35" i="2" s="1"/>
  <c r="U35" i="2"/>
  <c r="Z35" i="2" s="1"/>
  <c r="R35" i="2"/>
  <c r="T35" i="2"/>
  <c r="Y35" i="2" s="1"/>
  <c r="AU37" i="22"/>
  <c r="CQ295" i="14" s="1"/>
  <c r="AV295" i="14"/>
  <c r="AW36" i="22"/>
  <c r="CS294" i="14" s="1"/>
  <c r="AX294" i="14"/>
  <c r="AW26" i="22"/>
  <c r="CS284" i="14" s="1"/>
  <c r="AX284" i="14"/>
  <c r="AV25" i="22"/>
  <c r="CR283" i="14" s="1"/>
  <c r="AW283" i="14"/>
  <c r="AW31" i="22"/>
  <c r="CS289" i="14" s="1"/>
  <c r="AX289" i="14"/>
  <c r="AW13" i="22"/>
  <c r="CS271" i="14" s="1"/>
  <c r="AX271" i="14"/>
  <c r="AU14" i="22"/>
  <c r="CQ272" i="14" s="1"/>
  <c r="AV272" i="14"/>
  <c r="AW18" i="22"/>
  <c r="CS276" i="14" s="1"/>
  <c r="AX276" i="14"/>
  <c r="AV33" i="22"/>
  <c r="CR291" i="14" s="1"/>
  <c r="AW291" i="14"/>
  <c r="AW21" i="22"/>
  <c r="CS279" i="14" s="1"/>
  <c r="AX279" i="14"/>
  <c r="AW32" i="22"/>
  <c r="CS290" i="14" s="1"/>
  <c r="AX290" i="14"/>
  <c r="AW16" i="22"/>
  <c r="CS274" i="14" s="1"/>
  <c r="AX274" i="14"/>
  <c r="AV26" i="22"/>
  <c r="CR284" i="14" s="1"/>
  <c r="AW284" i="14"/>
  <c r="AV10" i="22"/>
  <c r="CR268" i="14" s="1"/>
  <c r="AW268" i="14"/>
  <c r="AU19" i="22"/>
  <c r="CQ277" i="14" s="1"/>
  <c r="AV277" i="14"/>
  <c r="AV31" i="22"/>
  <c r="CR289" i="14" s="1"/>
  <c r="AW289" i="14"/>
  <c r="AV15" i="22"/>
  <c r="CR273" i="14" s="1"/>
  <c r="AW273" i="14"/>
  <c r="AU22" i="22"/>
  <c r="CQ280" i="14" s="1"/>
  <c r="AV280" i="14"/>
  <c r="AV28" i="22"/>
  <c r="CR286" i="14" s="1"/>
  <c r="AW286" i="14"/>
  <c r="AV12" i="22"/>
  <c r="CR270" i="14" s="1"/>
  <c r="AW270" i="14"/>
  <c r="AU18" i="22"/>
  <c r="CQ276" i="14" s="1"/>
  <c r="AV276" i="14"/>
  <c r="AU29" i="22"/>
  <c r="CQ287" i="14" s="1"/>
  <c r="AV287" i="14"/>
  <c r="AU13" i="22"/>
  <c r="CQ271" i="14" s="1"/>
  <c r="AV271" i="14"/>
  <c r="AT25" i="22"/>
  <c r="CP283" i="14" s="1"/>
  <c r="AU283" i="14"/>
  <c r="AG25" i="22"/>
  <c r="AT17" i="22"/>
  <c r="CP275" i="14" s="1"/>
  <c r="AU275" i="14"/>
  <c r="AG17" i="22"/>
  <c r="AT34" i="22"/>
  <c r="CP292" i="14" s="1"/>
  <c r="AU292" i="14"/>
  <c r="AG34" i="22"/>
  <c r="AT32" i="22"/>
  <c r="CP290" i="14" s="1"/>
  <c r="AU290" i="14"/>
  <c r="AG32" i="22"/>
  <c r="AT16" i="22"/>
  <c r="CP274" i="14" s="1"/>
  <c r="AU274" i="14"/>
  <c r="AG16" i="22"/>
  <c r="AT27" i="22"/>
  <c r="CP285" i="14" s="1"/>
  <c r="AU285" i="14"/>
  <c r="AG27" i="22"/>
  <c r="AT11" i="22"/>
  <c r="CP269" i="14" s="1"/>
  <c r="AU269" i="14"/>
  <c r="AG11" i="22"/>
  <c r="AG283" i="14"/>
  <c r="L290" i="14"/>
  <c r="AI283" i="14"/>
  <c r="CI283" i="14" s="1"/>
  <c r="CH283" i="14" s="1"/>
  <c r="AK260" i="14"/>
  <c r="T260" i="14"/>
  <c r="V34" i="26"/>
  <c r="D33" i="26"/>
  <c r="C33" i="26" s="1"/>
  <c r="U33" i="26"/>
  <c r="Z33" i="26" s="1"/>
  <c r="S33" i="26"/>
  <c r="X33" i="26" s="1"/>
  <c r="T33" i="26"/>
  <c r="Y33" i="26" s="1"/>
  <c r="R33" i="26"/>
  <c r="L266" i="14"/>
  <c r="AG259" i="14"/>
  <c r="AI259" i="14"/>
  <c r="CI259" i="14" s="1"/>
  <c r="CH259" i="14" s="1"/>
  <c r="V34" i="19"/>
  <c r="D33" i="19"/>
  <c r="C33" i="19" s="1"/>
  <c r="U33" i="19"/>
  <c r="Z33" i="19" s="1"/>
  <c r="S33" i="19"/>
  <c r="X33" i="19" s="1"/>
  <c r="R33" i="19"/>
  <c r="T33" i="19"/>
  <c r="Y33" i="19" s="1"/>
  <c r="AO260" i="14"/>
  <c r="V35" i="21"/>
  <c r="D34" i="21"/>
  <c r="C34" i="21" s="1"/>
  <c r="S34" i="21"/>
  <c r="X34" i="21" s="1"/>
  <c r="T34" i="21"/>
  <c r="Y34" i="21" s="1"/>
  <c r="U34" i="21"/>
  <c r="Z34" i="21" s="1"/>
  <c r="R34" i="21"/>
  <c r="E34" i="21"/>
  <c r="G261" i="14" s="1"/>
  <c r="L260" i="14"/>
  <c r="AI253" i="14"/>
  <c r="CI253" i="14" s="1"/>
  <c r="CH253" i="14" s="1"/>
  <c r="AG253" i="14"/>
  <c r="L272" i="14"/>
  <c r="AI265" i="14"/>
  <c r="AG265" i="14"/>
  <c r="L284" i="14"/>
  <c r="AI277" i="14"/>
  <c r="CI277" i="14" s="1"/>
  <c r="CH277" i="14" s="1"/>
  <c r="AG277" i="14"/>
  <c r="C36" i="22"/>
  <c r="D37" i="22"/>
  <c r="AO170" i="14"/>
  <c r="CI170" i="14" s="1"/>
  <c r="CH170" i="14" s="1"/>
  <c r="CJ60" i="14"/>
  <c r="CK59" i="14"/>
  <c r="CI72" i="14"/>
  <c r="AO412" i="14"/>
  <c r="E201" i="14"/>
  <c r="B200" i="14"/>
  <c r="AN200" i="14"/>
  <c r="C200" i="14"/>
  <c r="D200" i="14" s="1"/>
  <c r="Q200" i="14"/>
  <c r="H199" i="15"/>
  <c r="J200" i="14"/>
  <c r="AV37" i="22"/>
  <c r="CR295" i="14" s="1"/>
  <c r="AW295" i="14"/>
  <c r="AT36" i="22"/>
  <c r="CP294" i="14" s="1"/>
  <c r="AU294" i="14"/>
  <c r="AG36" i="22"/>
  <c r="AW37" i="22"/>
  <c r="CS295" i="14" s="1"/>
  <c r="AX295" i="14"/>
  <c r="AW17" i="22"/>
  <c r="CS275" i="14" s="1"/>
  <c r="AX275" i="14"/>
  <c r="AU30" i="22"/>
  <c r="CQ288" i="14" s="1"/>
  <c r="AV288" i="14"/>
  <c r="AW29" i="22"/>
  <c r="CS287" i="14" s="1"/>
  <c r="AX287" i="14"/>
  <c r="AV29" i="22"/>
  <c r="CR287" i="14" s="1"/>
  <c r="AW287" i="14"/>
  <c r="AW34" i="22"/>
  <c r="CS292" i="14" s="1"/>
  <c r="AX292" i="14"/>
  <c r="AW11" i="22"/>
  <c r="CS269" i="14" s="1"/>
  <c r="AX269" i="14"/>
  <c r="AV17" i="22"/>
  <c r="CR275" i="14" s="1"/>
  <c r="AW275" i="14"/>
  <c r="AW14" i="22"/>
  <c r="CS272" i="14" s="1"/>
  <c r="AX272" i="14"/>
  <c r="AW28" i="22"/>
  <c r="CS286" i="14" s="1"/>
  <c r="AX286" i="14"/>
  <c r="AW12" i="22"/>
  <c r="CS270" i="14" s="1"/>
  <c r="AX270" i="14"/>
  <c r="AV22" i="22"/>
  <c r="CR280" i="14" s="1"/>
  <c r="AW280" i="14"/>
  <c r="AU35" i="22"/>
  <c r="CQ293" i="14" s="1"/>
  <c r="AV293" i="14"/>
  <c r="AU12" i="22"/>
  <c r="CQ270" i="14" s="1"/>
  <c r="AV270" i="14"/>
  <c r="AV27" i="22"/>
  <c r="CR285" i="14" s="1"/>
  <c r="AW285" i="14"/>
  <c r="AV11" i="22"/>
  <c r="CR269" i="14" s="1"/>
  <c r="AW269" i="14"/>
  <c r="AU15" i="22"/>
  <c r="CQ273" i="14" s="1"/>
  <c r="AV273" i="14"/>
  <c r="AV24" i="22"/>
  <c r="CR282" i="14" s="1"/>
  <c r="AW282" i="14"/>
  <c r="AU34" i="22"/>
  <c r="CQ292" i="14" s="1"/>
  <c r="AV292" i="14"/>
  <c r="AU11" i="22"/>
  <c r="CQ269" i="14" s="1"/>
  <c r="AV269" i="14"/>
  <c r="AU25" i="22"/>
  <c r="CQ283" i="14" s="1"/>
  <c r="AV283" i="14"/>
  <c r="AU9" i="22"/>
  <c r="CQ267" i="14" s="1"/>
  <c r="AV267" i="14"/>
  <c r="AT22" i="22"/>
  <c r="CP280" i="14" s="1"/>
  <c r="AU280" i="14"/>
  <c r="AG22" i="22"/>
  <c r="AT14" i="22"/>
  <c r="CP272" i="14" s="1"/>
  <c r="AU272" i="14"/>
  <c r="AG14" i="22"/>
  <c r="AT26" i="22"/>
  <c r="CP284" i="14" s="1"/>
  <c r="AU284" i="14"/>
  <c r="AG26" i="22"/>
  <c r="AT28" i="22"/>
  <c r="CP286" i="14" s="1"/>
  <c r="AU286" i="14"/>
  <c r="AG28" i="22"/>
  <c r="AT12" i="22"/>
  <c r="CP270" i="14" s="1"/>
  <c r="AU270" i="14"/>
  <c r="AG12" i="22"/>
  <c r="AT23" i="22"/>
  <c r="CP281" i="14" s="1"/>
  <c r="AU281" i="14"/>
  <c r="AG23" i="22"/>
  <c r="AH259" i="14"/>
  <c r="AL259" i="14"/>
  <c r="AT37" i="22"/>
  <c r="CP295" i="14" s="1"/>
  <c r="AU295" i="14"/>
  <c r="AG37" i="22"/>
  <c r="AU16" i="22"/>
  <c r="CQ274" i="14" s="1"/>
  <c r="AV274" i="14"/>
  <c r="AW35" i="22"/>
  <c r="CS293" i="14" s="1"/>
  <c r="AX293" i="14"/>
  <c r="AV13" i="22"/>
  <c r="CR271" i="14" s="1"/>
  <c r="AW271" i="14"/>
  <c r="AW9" i="22"/>
  <c r="CS267" i="14" s="1"/>
  <c r="AX267" i="14"/>
  <c r="AV21" i="22"/>
  <c r="CR279" i="14" s="1"/>
  <c r="AW279" i="14"/>
  <c r="AV34" i="22"/>
  <c r="CR292" i="14" s="1"/>
  <c r="AW292" i="14"/>
  <c r="AU28" i="22"/>
  <c r="CQ286" i="14" s="1"/>
  <c r="AV286" i="14"/>
  <c r="AV23" i="22"/>
  <c r="CR281" i="14" s="1"/>
  <c r="AW281" i="14"/>
  <c r="AT33" i="22"/>
  <c r="CP291" i="14" s="1"/>
  <c r="AU291" i="14"/>
  <c r="AG33" i="22"/>
  <c r="AU27" i="22"/>
  <c r="CQ285" i="14" s="1"/>
  <c r="AV285" i="14"/>
  <c r="AT30" i="22"/>
  <c r="CP288" i="14" s="1"/>
  <c r="AU288" i="14"/>
  <c r="AG30" i="22"/>
  <c r="AU8" i="22"/>
  <c r="CQ266" i="14" s="1"/>
  <c r="AV266" i="14"/>
  <c r="AT13" i="22"/>
  <c r="CP271" i="14" s="1"/>
  <c r="AU271" i="14"/>
  <c r="AG13" i="22"/>
  <c r="AT24" i="22"/>
  <c r="CP282" i="14" s="1"/>
  <c r="AU282" i="14"/>
  <c r="AG24" i="22"/>
  <c r="S333" i="1"/>
  <c r="S334" i="1" s="1"/>
  <c r="E141" i="14"/>
  <c r="C140" i="14"/>
  <c r="D140" i="14" s="1"/>
  <c r="B140" i="14"/>
  <c r="AN140" i="14"/>
  <c r="Q140" i="14"/>
  <c r="H139" i="15"/>
  <c r="J140" i="14"/>
  <c r="V35" i="18"/>
  <c r="D34" i="18"/>
  <c r="C34" i="18" s="1"/>
  <c r="S34" i="18"/>
  <c r="X34" i="18" s="1"/>
  <c r="U34" i="18"/>
  <c r="Z34" i="18" s="1"/>
  <c r="R34" i="18"/>
  <c r="T34" i="18"/>
  <c r="Y34" i="18" s="1"/>
  <c r="CG74" i="14"/>
  <c r="CG76" i="14"/>
  <c r="CG78" i="14"/>
  <c r="CG77" i="14"/>
  <c r="CG73" i="14"/>
  <c r="CG75" i="14"/>
  <c r="CG79" i="14"/>
  <c r="CG80" i="14" s="1"/>
  <c r="AV294" i="14"/>
  <c r="AU36" i="22"/>
  <c r="CQ294" i="14" s="1"/>
  <c r="AW19" i="22"/>
  <c r="CS277" i="14" s="1"/>
  <c r="AX277" i="14"/>
  <c r="AW33" i="22"/>
  <c r="CS291" i="14" s="1"/>
  <c r="AX291" i="14"/>
  <c r="AV9" i="22"/>
  <c r="CR267" i="14" s="1"/>
  <c r="AW267" i="14"/>
  <c r="AU23" i="22"/>
  <c r="CQ281" i="14" s="1"/>
  <c r="AV281" i="14"/>
  <c r="AW15" i="22"/>
  <c r="CS273" i="14" s="1"/>
  <c r="AX273" i="14"/>
  <c r="AV8" i="22"/>
  <c r="CR266" i="14" s="1"/>
  <c r="AW266" i="14"/>
  <c r="AW25" i="22"/>
  <c r="CS283" i="14" s="1"/>
  <c r="AX283" i="14"/>
  <c r="AX266" i="14"/>
  <c r="AW8" i="22"/>
  <c r="CS266" i="14" s="1"/>
  <c r="AW23" i="22"/>
  <c r="CS281" i="14" s="1"/>
  <c r="AX281" i="14"/>
  <c r="AU32" i="22"/>
  <c r="CQ290" i="14" s="1"/>
  <c r="AV290" i="14"/>
  <c r="AW20" i="22"/>
  <c r="CS278" i="14" s="1"/>
  <c r="AX278" i="14"/>
  <c r="AV30" i="22"/>
  <c r="CR288" i="14" s="1"/>
  <c r="AW288" i="14"/>
  <c r="AW272" i="14"/>
  <c r="AV14" i="22"/>
  <c r="CR272" i="14" s="1"/>
  <c r="AU26" i="22"/>
  <c r="CQ284" i="14" s="1"/>
  <c r="AV284" i="14"/>
  <c r="AV35" i="22"/>
  <c r="CR293" i="14" s="1"/>
  <c r="AW293" i="14"/>
  <c r="AV19" i="22"/>
  <c r="CR277" i="14" s="1"/>
  <c r="AW277" i="14"/>
  <c r="AU24" i="22"/>
  <c r="CQ282" i="14" s="1"/>
  <c r="AV282" i="14"/>
  <c r="AV32" i="22"/>
  <c r="CR290" i="14" s="1"/>
  <c r="AW290" i="14"/>
  <c r="AV16" i="22"/>
  <c r="CR274" i="14" s="1"/>
  <c r="AW274" i="14"/>
  <c r="AU20" i="22"/>
  <c r="CQ278" i="14" s="1"/>
  <c r="AV278" i="14"/>
  <c r="AU33" i="22"/>
  <c r="CQ291" i="14" s="1"/>
  <c r="AV291" i="14"/>
  <c r="AU17" i="22"/>
  <c r="CQ275" i="14" s="1"/>
  <c r="AV275" i="14"/>
  <c r="AT29" i="22"/>
  <c r="CP287" i="14" s="1"/>
  <c r="AU287" i="14"/>
  <c r="AG29" i="22"/>
  <c r="AT21" i="22"/>
  <c r="CP279" i="14" s="1"/>
  <c r="AU279" i="14"/>
  <c r="AG21" i="22"/>
  <c r="AT9" i="22"/>
  <c r="CP267" i="14" s="1"/>
  <c r="AU267" i="14"/>
  <c r="AG9" i="22"/>
  <c r="AT10" i="22"/>
  <c r="CP268" i="14" s="1"/>
  <c r="AU268" i="14"/>
  <c r="AG10" i="22"/>
  <c r="AT20" i="22"/>
  <c r="CP278" i="14" s="1"/>
  <c r="AU278" i="14"/>
  <c r="AG20" i="22"/>
  <c r="AT31" i="22"/>
  <c r="CP289" i="14" s="1"/>
  <c r="AU289" i="14"/>
  <c r="AG31" i="22"/>
  <c r="AT15" i="22"/>
  <c r="CP273" i="14" s="1"/>
  <c r="AU273" i="14"/>
  <c r="AG15" i="22"/>
  <c r="L324" i="14"/>
  <c r="AI317" i="14"/>
  <c r="CI317" i="14" s="1"/>
  <c r="CH317" i="14" s="1"/>
  <c r="AG317" i="14"/>
  <c r="AR261" i="14" l="1"/>
  <c r="AR199" i="14"/>
  <c r="BA199" i="14"/>
  <c r="AR141" i="14"/>
  <c r="AR322" i="14"/>
  <c r="BA322" i="14"/>
  <c r="AO140" i="14"/>
  <c r="CI140" i="14" s="1"/>
  <c r="CH140" i="14" s="1"/>
  <c r="AR353" i="14"/>
  <c r="AO352" i="14"/>
  <c r="BA230" i="14"/>
  <c r="AR171" i="14"/>
  <c r="AR413" i="14"/>
  <c r="AR384" i="14"/>
  <c r="BA198" i="14"/>
  <c r="BA474" i="14"/>
  <c r="AR475" i="14"/>
  <c r="AR231" i="14"/>
  <c r="AR444" i="14"/>
  <c r="BA383" i="14"/>
  <c r="W35" i="2"/>
  <c r="BA141" i="14" s="1"/>
  <c r="AS141" i="14"/>
  <c r="W33" i="27"/>
  <c r="BA444" i="14" s="1"/>
  <c r="AS444" i="14"/>
  <c r="W33" i="26"/>
  <c r="BA413" i="14" s="1"/>
  <c r="AS413" i="14"/>
  <c r="W34" i="24"/>
  <c r="AO353" i="14" s="1"/>
  <c r="AS353" i="14"/>
  <c r="W34" i="25"/>
  <c r="BA384" i="14" s="1"/>
  <c r="AS384" i="14"/>
  <c r="W34" i="18"/>
  <c r="BA171" i="14" s="1"/>
  <c r="AS171" i="14"/>
  <c r="W34" i="23"/>
  <c r="AO322" i="14" s="1"/>
  <c r="AS322" i="14"/>
  <c r="W34" i="21"/>
  <c r="BA261" i="14" s="1"/>
  <c r="AS261" i="14"/>
  <c r="W33" i="19"/>
  <c r="AO199" i="14" s="1"/>
  <c r="CI199" i="14" s="1"/>
  <c r="CH199" i="14" s="1"/>
  <c r="AS199" i="14"/>
  <c r="W34" i="28"/>
  <c r="BA475" i="14" s="1"/>
  <c r="AS475" i="14"/>
  <c r="W34" i="20"/>
  <c r="BA231" i="14" s="1"/>
  <c r="AS231" i="14"/>
  <c r="AA34" i="2"/>
  <c r="E34" i="2" s="1"/>
  <c r="G140" i="14" s="1"/>
  <c r="AK140" i="14" s="1"/>
  <c r="AH140" i="14" s="1"/>
  <c r="AO444" i="14"/>
  <c r="R34" i="27"/>
  <c r="U34" i="27"/>
  <c r="Z34" i="27" s="1"/>
  <c r="V35" i="27"/>
  <c r="T34" i="27"/>
  <c r="Y34" i="27" s="1"/>
  <c r="D34" i="27"/>
  <c r="C34" i="27" s="1"/>
  <c r="S34" i="27"/>
  <c r="X34" i="27" s="1"/>
  <c r="C37" i="22"/>
  <c r="AL138" i="14"/>
  <c r="AH138" i="14"/>
  <c r="CG137" i="14"/>
  <c r="CF137" i="14"/>
  <c r="G231" i="14"/>
  <c r="V36" i="20"/>
  <c r="T35" i="20"/>
  <c r="Y35" i="20" s="1"/>
  <c r="S35" i="20"/>
  <c r="X35" i="20" s="1"/>
  <c r="U35" i="20"/>
  <c r="Z35" i="20" s="1"/>
  <c r="E35" i="20"/>
  <c r="G232" i="14" s="1"/>
  <c r="R35" i="20"/>
  <c r="D35" i="20"/>
  <c r="C35" i="20" s="1"/>
  <c r="AO261" i="14"/>
  <c r="CI261" i="14" s="1"/>
  <c r="CH261" i="14" s="1"/>
  <c r="CF229" i="14"/>
  <c r="CG229" i="14"/>
  <c r="V36" i="24"/>
  <c r="U35" i="24"/>
  <c r="Z35" i="24" s="1"/>
  <c r="S35" i="24"/>
  <c r="X35" i="24" s="1"/>
  <c r="R35" i="24"/>
  <c r="T35" i="24"/>
  <c r="Y35" i="24" s="1"/>
  <c r="D35" i="24"/>
  <c r="C35" i="24" s="1"/>
  <c r="AL230" i="14"/>
  <c r="AH230" i="14"/>
  <c r="AS9" i="22"/>
  <c r="CO267" i="14" s="1"/>
  <c r="AT267" i="14"/>
  <c r="AS28" i="22"/>
  <c r="CO286" i="14" s="1"/>
  <c r="AT286" i="14"/>
  <c r="AS36" i="22"/>
  <c r="CO294" i="14" s="1"/>
  <c r="AT294" i="14"/>
  <c r="AI324" i="14"/>
  <c r="AG324" i="14"/>
  <c r="L331" i="14"/>
  <c r="AS31" i="22"/>
  <c r="CO289" i="14" s="1"/>
  <c r="AT289" i="14"/>
  <c r="AS21" i="22"/>
  <c r="CO279" i="14" s="1"/>
  <c r="AT279" i="14"/>
  <c r="V36" i="18"/>
  <c r="D35" i="18"/>
  <c r="C35" i="18" s="1"/>
  <c r="T35" i="18"/>
  <c r="Y35" i="18" s="1"/>
  <c r="R35" i="18"/>
  <c r="S35" i="18"/>
  <c r="X35" i="18" s="1"/>
  <c r="U35" i="18"/>
  <c r="Z35" i="18" s="1"/>
  <c r="AS26" i="22"/>
  <c r="CO284" i="14" s="1"/>
  <c r="AT284" i="14"/>
  <c r="V35" i="19"/>
  <c r="D34" i="19"/>
  <c r="C34" i="19" s="1"/>
  <c r="U34" i="19"/>
  <c r="Z34" i="19" s="1"/>
  <c r="T34" i="19"/>
  <c r="Y34" i="19" s="1"/>
  <c r="R34" i="19"/>
  <c r="S34" i="19"/>
  <c r="X34" i="19" s="1"/>
  <c r="AS32" i="22"/>
  <c r="CO290" i="14" s="1"/>
  <c r="AT290" i="14"/>
  <c r="V37" i="2"/>
  <c r="D36" i="2"/>
  <c r="C36" i="2" s="1"/>
  <c r="R36" i="2"/>
  <c r="T36" i="2"/>
  <c r="Y36" i="2" s="1"/>
  <c r="U36" i="2"/>
  <c r="Z36" i="2" s="1"/>
  <c r="S36" i="2"/>
  <c r="X36" i="2" s="1"/>
  <c r="V36" i="28"/>
  <c r="D35" i="28"/>
  <c r="C35" i="28" s="1"/>
  <c r="R35" i="28"/>
  <c r="U35" i="28"/>
  <c r="Z35" i="28" s="1"/>
  <c r="S35" i="28"/>
  <c r="X35" i="28" s="1"/>
  <c r="T35" i="28"/>
  <c r="Y35" i="28" s="1"/>
  <c r="AS8" i="22"/>
  <c r="CO266" i="14" s="1"/>
  <c r="AT266" i="14"/>
  <c r="AS13" i="22"/>
  <c r="CO271" i="14" s="1"/>
  <c r="AT271" i="14"/>
  <c r="CM59" i="14"/>
  <c r="CL60" i="14"/>
  <c r="CK72" i="14"/>
  <c r="AK261" i="14"/>
  <c r="T261" i="14"/>
  <c r="AI290" i="14"/>
  <c r="CI290" i="14" s="1"/>
  <c r="CH290" i="14" s="1"/>
  <c r="AG290" i="14"/>
  <c r="L297" i="14"/>
  <c r="AS16" i="22"/>
  <c r="CO274" i="14" s="1"/>
  <c r="AT274" i="14"/>
  <c r="AS25" i="22"/>
  <c r="CO283" i="14" s="1"/>
  <c r="AT283" i="14"/>
  <c r="CG139" i="14"/>
  <c r="CF139" i="14"/>
  <c r="AS18" i="22"/>
  <c r="CO276" i="14" s="1"/>
  <c r="AT276" i="14"/>
  <c r="AS10" i="22"/>
  <c r="CO268" i="14" s="1"/>
  <c r="AT268" i="14"/>
  <c r="AS24" i="22"/>
  <c r="CO282" i="14" s="1"/>
  <c r="AT282" i="14"/>
  <c r="AS30" i="22"/>
  <c r="CO288" i="14" s="1"/>
  <c r="AT288" i="14"/>
  <c r="AS37" i="22"/>
  <c r="CO295" i="14" s="1"/>
  <c r="AT295" i="14"/>
  <c r="CG259" i="14"/>
  <c r="CF259" i="14"/>
  <c r="AS12" i="22"/>
  <c r="CO270" i="14" s="1"/>
  <c r="AT270" i="14"/>
  <c r="AS22" i="22"/>
  <c r="CO280" i="14" s="1"/>
  <c r="AT280" i="14"/>
  <c r="AI266" i="14"/>
  <c r="CI266" i="14" s="1"/>
  <c r="CH266" i="14" s="1"/>
  <c r="L273" i="14"/>
  <c r="AG266" i="14"/>
  <c r="V35" i="26"/>
  <c r="D34" i="26"/>
  <c r="C34" i="26" s="1"/>
  <c r="R34" i="26"/>
  <c r="U34" i="26"/>
  <c r="Z34" i="26" s="1"/>
  <c r="T34" i="26"/>
  <c r="Y34" i="26" s="1"/>
  <c r="S34" i="26"/>
  <c r="X34" i="26" s="1"/>
  <c r="AH260" i="14"/>
  <c r="AL260" i="14"/>
  <c r="AS27" i="22"/>
  <c r="CO285" i="14" s="1"/>
  <c r="AT285" i="14"/>
  <c r="AS17" i="22"/>
  <c r="CO275" i="14" s="1"/>
  <c r="AT275" i="14"/>
  <c r="AI278" i="14"/>
  <c r="CI278" i="14" s="1"/>
  <c r="CH278" i="14" s="1"/>
  <c r="L285" i="14"/>
  <c r="AG278" i="14"/>
  <c r="V36" i="23"/>
  <c r="D35" i="23"/>
  <c r="C35" i="23" s="1"/>
  <c r="S35" i="23"/>
  <c r="X35" i="23" s="1"/>
  <c r="T35" i="23"/>
  <c r="Y35" i="23" s="1"/>
  <c r="R35" i="23"/>
  <c r="Z35" i="23"/>
  <c r="U35" i="23"/>
  <c r="V36" i="25"/>
  <c r="D35" i="25"/>
  <c r="C35" i="25" s="1"/>
  <c r="T35" i="25"/>
  <c r="Y35" i="25" s="1"/>
  <c r="U35" i="25"/>
  <c r="Z35" i="25" s="1"/>
  <c r="S35" i="25"/>
  <c r="X35" i="25" s="1"/>
  <c r="R35" i="25"/>
  <c r="AT293" i="14"/>
  <c r="AS35" i="22"/>
  <c r="CO293" i="14" s="1"/>
  <c r="AS15" i="22"/>
  <c r="CO273" i="14" s="1"/>
  <c r="AT273" i="14"/>
  <c r="B141" i="14"/>
  <c r="C141" i="14"/>
  <c r="D141" i="14" s="1"/>
  <c r="E142" i="14"/>
  <c r="AN141" i="14"/>
  <c r="Q141" i="14"/>
  <c r="J141" i="14"/>
  <c r="H140" i="15"/>
  <c r="AS20" i="22"/>
  <c r="CO278" i="14" s="1"/>
  <c r="AT278" i="14"/>
  <c r="AS29" i="22"/>
  <c r="CO287" i="14" s="1"/>
  <c r="AT287" i="14"/>
  <c r="AS33" i="22"/>
  <c r="CO291" i="14" s="1"/>
  <c r="AT291" i="14"/>
  <c r="AT281" i="14"/>
  <c r="AS23" i="22"/>
  <c r="CO281" i="14" s="1"/>
  <c r="AS14" i="22"/>
  <c r="CO272" i="14" s="1"/>
  <c r="AT272" i="14"/>
  <c r="E202" i="14"/>
  <c r="B201" i="14"/>
  <c r="AN201" i="14"/>
  <c r="C201" i="14"/>
  <c r="D201" i="14" s="1"/>
  <c r="Q201" i="14"/>
  <c r="J201" i="14"/>
  <c r="H200" i="15"/>
  <c r="CI73" i="14"/>
  <c r="CI74" i="14"/>
  <c r="CI77" i="14"/>
  <c r="CI76" i="14"/>
  <c r="CI78" i="14"/>
  <c r="CI75" i="14"/>
  <c r="CI79" i="14"/>
  <c r="CI80" i="14" s="1"/>
  <c r="AI284" i="14"/>
  <c r="CI284" i="14" s="1"/>
  <c r="CH284" i="14" s="1"/>
  <c r="AG284" i="14"/>
  <c r="L291" i="14"/>
  <c r="AI272" i="14"/>
  <c r="CI272" i="14" s="1"/>
  <c r="CH272" i="14" s="1"/>
  <c r="AG272" i="14"/>
  <c r="L279" i="14"/>
  <c r="AI260" i="14"/>
  <c r="CI260" i="14" s="1"/>
  <c r="CH260" i="14" s="1"/>
  <c r="AG260" i="14"/>
  <c r="L267" i="14"/>
  <c r="V36" i="21"/>
  <c r="D35" i="21"/>
  <c r="C35" i="21" s="1"/>
  <c r="U35" i="21"/>
  <c r="Z35" i="21" s="1"/>
  <c r="E35" i="21"/>
  <c r="G262" i="14" s="1"/>
  <c r="R35" i="21"/>
  <c r="T35" i="21"/>
  <c r="Y35" i="21" s="1"/>
  <c r="S35" i="21"/>
  <c r="X35" i="21" s="1"/>
  <c r="AS11" i="22"/>
  <c r="CO269" i="14" s="1"/>
  <c r="AT269" i="14"/>
  <c r="AS34" i="22"/>
  <c r="CO292" i="14" s="1"/>
  <c r="AT292" i="14"/>
  <c r="AL140" i="14"/>
  <c r="AT277" i="14"/>
  <c r="AS19" i="22"/>
  <c r="CO277" i="14" s="1"/>
  <c r="AO141" i="14" l="1"/>
  <c r="CI141" i="14" s="1"/>
  <c r="CH141" i="14" s="1"/>
  <c r="AO171" i="14"/>
  <c r="CI171" i="14" s="1"/>
  <c r="CH171" i="14" s="1"/>
  <c r="AO413" i="14"/>
  <c r="AO475" i="14"/>
  <c r="AO384" i="14"/>
  <c r="AO231" i="14"/>
  <c r="CI231" i="14" s="1"/>
  <c r="CH231" i="14" s="1"/>
  <c r="AR323" i="14"/>
  <c r="AR172" i="14"/>
  <c r="BA353" i="14"/>
  <c r="AR200" i="14"/>
  <c r="AR142" i="14"/>
  <c r="AR476" i="14"/>
  <c r="AR232" i="14"/>
  <c r="BA232" i="14"/>
  <c r="AR385" i="14"/>
  <c r="AR414" i="14"/>
  <c r="BA414" i="14"/>
  <c r="AR262" i="14"/>
  <c r="AR354" i="14"/>
  <c r="BA354" i="14"/>
  <c r="AR445" i="14"/>
  <c r="W36" i="2"/>
  <c r="BA142" i="14" s="1"/>
  <c r="AS142" i="14"/>
  <c r="W35" i="28"/>
  <c r="BA476" i="14" s="1"/>
  <c r="AS476" i="14"/>
  <c r="W34" i="19"/>
  <c r="AO200" i="14" s="1"/>
  <c r="CI200" i="14" s="1"/>
  <c r="CH200" i="14" s="1"/>
  <c r="AS200" i="14"/>
  <c r="W35" i="20"/>
  <c r="AS232" i="14"/>
  <c r="W35" i="25"/>
  <c r="BA385" i="14" s="1"/>
  <c r="AS385" i="14"/>
  <c r="W35" i="23"/>
  <c r="BA323" i="14" s="1"/>
  <c r="AS323" i="14"/>
  <c r="W35" i="18"/>
  <c r="AO172" i="14" s="1"/>
  <c r="CI172" i="14" s="1"/>
  <c r="CH172" i="14" s="1"/>
  <c r="AS172" i="14"/>
  <c r="W34" i="26"/>
  <c r="AO414" i="14" s="1"/>
  <c r="AS414" i="14"/>
  <c r="W35" i="21"/>
  <c r="AO262" i="14" s="1"/>
  <c r="CI262" i="14" s="1"/>
  <c r="CH262" i="14" s="1"/>
  <c r="AS262" i="14"/>
  <c r="W35" i="24"/>
  <c r="AO354" i="14" s="1"/>
  <c r="AS354" i="14"/>
  <c r="W34" i="27"/>
  <c r="BA445" i="14" s="1"/>
  <c r="AS445" i="14"/>
  <c r="T140" i="14"/>
  <c r="U35" i="27"/>
  <c r="Z35" i="27" s="1"/>
  <c r="D35" i="27"/>
  <c r="C35" i="27" s="1"/>
  <c r="S35" i="27"/>
  <c r="X35" i="27" s="1"/>
  <c r="V36" i="27"/>
  <c r="T35" i="27"/>
  <c r="Y35" i="27" s="1"/>
  <c r="R35" i="27"/>
  <c r="CF138" i="14"/>
  <c r="CG138" i="14"/>
  <c r="CF230" i="14"/>
  <c r="CG230" i="14"/>
  <c r="V37" i="24"/>
  <c r="U36" i="24"/>
  <c r="Z36" i="24" s="1"/>
  <c r="R36" i="24"/>
  <c r="S36" i="24"/>
  <c r="X36" i="24" s="1"/>
  <c r="T36" i="24"/>
  <c r="Y36" i="24" s="1"/>
  <c r="D36" i="24"/>
  <c r="C36" i="24" s="1"/>
  <c r="AK232" i="14"/>
  <c r="T232" i="14"/>
  <c r="U36" i="20"/>
  <c r="Z36" i="20" s="1"/>
  <c r="E36" i="20"/>
  <c r="R36" i="20"/>
  <c r="T36" i="20"/>
  <c r="Y36" i="20" s="1"/>
  <c r="V37" i="20"/>
  <c r="S36" i="20"/>
  <c r="X36" i="20" s="1"/>
  <c r="D36" i="20"/>
  <c r="C36" i="20" s="1"/>
  <c r="AO232" i="14"/>
  <c r="CI232" i="14" s="1"/>
  <c r="CH232" i="14" s="1"/>
  <c r="AK231" i="14"/>
  <c r="T231" i="14"/>
  <c r="L274" i="14"/>
  <c r="AG267" i="14"/>
  <c r="AI267" i="14"/>
  <c r="CI267" i="14" s="1"/>
  <c r="CH267" i="14" s="1"/>
  <c r="L286" i="14"/>
  <c r="AG279" i="14"/>
  <c r="AI279" i="14"/>
  <c r="CI279" i="14" s="1"/>
  <c r="CH279" i="14" s="1"/>
  <c r="L298" i="14"/>
  <c r="AG291" i="14"/>
  <c r="AI291" i="14"/>
  <c r="CI291" i="14" s="1"/>
  <c r="CH291" i="14" s="1"/>
  <c r="V37" i="25"/>
  <c r="D36" i="25"/>
  <c r="C36" i="25" s="1"/>
  <c r="U36" i="25"/>
  <c r="Z36" i="25" s="1"/>
  <c r="T36" i="25"/>
  <c r="Y36" i="25" s="1"/>
  <c r="S36" i="25"/>
  <c r="X36" i="25" s="1"/>
  <c r="R36" i="25"/>
  <c r="V37" i="28"/>
  <c r="D36" i="28"/>
  <c r="C36" i="28" s="1"/>
  <c r="R36" i="28"/>
  <c r="T36" i="28"/>
  <c r="Y36" i="28" s="1"/>
  <c r="S36" i="28"/>
  <c r="X36" i="28" s="1"/>
  <c r="U36" i="28"/>
  <c r="Z36" i="28" s="1"/>
  <c r="AG331" i="14"/>
  <c r="AI331" i="14"/>
  <c r="CI331" i="14" s="1"/>
  <c r="CH331" i="14" s="1"/>
  <c r="L338" i="14"/>
  <c r="AK262" i="14"/>
  <c r="T262" i="14"/>
  <c r="E203" i="14"/>
  <c r="B202" i="14"/>
  <c r="C202" i="14"/>
  <c r="D202" i="14" s="1"/>
  <c r="AN202" i="14"/>
  <c r="Q202" i="14"/>
  <c r="H201" i="15"/>
  <c r="J202" i="14"/>
  <c r="E143" i="14"/>
  <c r="C142" i="14"/>
  <c r="D142" i="14" s="1"/>
  <c r="B142" i="14"/>
  <c r="AN142" i="14"/>
  <c r="Q142" i="14"/>
  <c r="H141" i="15"/>
  <c r="J142" i="14"/>
  <c r="L292" i="14"/>
  <c r="AI285" i="14"/>
  <c r="CI285" i="14" s="1"/>
  <c r="CH285" i="14" s="1"/>
  <c r="AG285" i="14"/>
  <c r="L304" i="14"/>
  <c r="AI297" i="14"/>
  <c r="CI297" i="14" s="1"/>
  <c r="CH297" i="14" s="1"/>
  <c r="AG297" i="14"/>
  <c r="CK73" i="14"/>
  <c r="CK75" i="14"/>
  <c r="CK77" i="14"/>
  <c r="CK79" i="14"/>
  <c r="CK80" i="14" s="1"/>
  <c r="CK76" i="14"/>
  <c r="CK74" i="14"/>
  <c r="CK78" i="14"/>
  <c r="V36" i="19"/>
  <c r="D35" i="19"/>
  <c r="C35" i="19" s="1"/>
  <c r="S35" i="19"/>
  <c r="X35" i="19" s="1"/>
  <c r="R35" i="19"/>
  <c r="T35" i="19"/>
  <c r="Y35" i="19" s="1"/>
  <c r="U35" i="19"/>
  <c r="Z35" i="19" s="1"/>
  <c r="CG140" i="14"/>
  <c r="CF140" i="14"/>
  <c r="V37" i="23"/>
  <c r="D36" i="23"/>
  <c r="C36" i="23" s="1"/>
  <c r="U36" i="23"/>
  <c r="Z36" i="23" s="1"/>
  <c r="R36" i="23"/>
  <c r="S36" i="23"/>
  <c r="X36" i="23" s="1"/>
  <c r="T36" i="23"/>
  <c r="Y36" i="23" s="1"/>
  <c r="V37" i="21"/>
  <c r="D36" i="21"/>
  <c r="C36" i="21" s="1"/>
  <c r="R36" i="21"/>
  <c r="T36" i="21"/>
  <c r="Y36" i="21" s="1"/>
  <c r="U36" i="21"/>
  <c r="Z36" i="21" s="1"/>
  <c r="E36" i="21"/>
  <c r="G263" i="14" s="1"/>
  <c r="S36" i="21"/>
  <c r="X36" i="21" s="1"/>
  <c r="AA35" i="2"/>
  <c r="E35" i="2" s="1"/>
  <c r="G141" i="14" s="1"/>
  <c r="CG260" i="14"/>
  <c r="CF260" i="14"/>
  <c r="V36" i="26"/>
  <c r="D35" i="26"/>
  <c r="C35" i="26" s="1"/>
  <c r="U35" i="26"/>
  <c r="Z35" i="26" s="1"/>
  <c r="T35" i="26"/>
  <c r="Y35" i="26" s="1"/>
  <c r="R35" i="26"/>
  <c r="S35" i="26"/>
  <c r="X35" i="26" s="1"/>
  <c r="L280" i="14"/>
  <c r="AI273" i="14"/>
  <c r="CI273" i="14" s="1"/>
  <c r="CH273" i="14" s="1"/>
  <c r="AG273" i="14"/>
  <c r="AH261" i="14"/>
  <c r="AL261" i="14"/>
  <c r="CN60" i="14"/>
  <c r="CO59" i="14"/>
  <c r="CM72" i="14"/>
  <c r="V38" i="2"/>
  <c r="D37" i="2"/>
  <c r="C37" i="2" s="1"/>
  <c r="T37" i="2"/>
  <c r="Y37" i="2" s="1"/>
  <c r="S37" i="2"/>
  <c r="X37" i="2" s="1"/>
  <c r="R37" i="2"/>
  <c r="U37" i="2"/>
  <c r="Z37" i="2" s="1"/>
  <c r="D36" i="18"/>
  <c r="C36" i="18" s="1"/>
  <c r="U36" i="18"/>
  <c r="Z36" i="18" s="1"/>
  <c r="S36" i="18"/>
  <c r="X36" i="18" s="1"/>
  <c r="R36" i="18"/>
  <c r="T36" i="18"/>
  <c r="Y36" i="18" s="1"/>
  <c r="AO476" i="14" l="1"/>
  <c r="AO323" i="14"/>
  <c r="AO385" i="14"/>
  <c r="AR143" i="14"/>
  <c r="AR201" i="14"/>
  <c r="BA201" i="14"/>
  <c r="BA172" i="14"/>
  <c r="AO142" i="14"/>
  <c r="CI142" i="14" s="1"/>
  <c r="CH142" i="14" s="1"/>
  <c r="AR233" i="14"/>
  <c r="AO445" i="14"/>
  <c r="BA262" i="14"/>
  <c r="BA200" i="14"/>
  <c r="AR324" i="14"/>
  <c r="AR386" i="14"/>
  <c r="AR415" i="14"/>
  <c r="AR263" i="14"/>
  <c r="BA263" i="14"/>
  <c r="AR173" i="14"/>
  <c r="AR477" i="14"/>
  <c r="BA477" i="14"/>
  <c r="AR355" i="14"/>
  <c r="BA355" i="14"/>
  <c r="AR446" i="14"/>
  <c r="W36" i="20"/>
  <c r="BA233" i="14" s="1"/>
  <c r="AS233" i="14"/>
  <c r="W36" i="28"/>
  <c r="AO477" i="14" s="1"/>
  <c r="AS477" i="14"/>
  <c r="W35" i="26"/>
  <c r="BA415" i="14" s="1"/>
  <c r="AS415" i="14"/>
  <c r="W36" i="21"/>
  <c r="AO263" i="14" s="1"/>
  <c r="CI263" i="14" s="1"/>
  <c r="CH263" i="14" s="1"/>
  <c r="AS263" i="14"/>
  <c r="W36" i="18"/>
  <c r="BA173" i="14" s="1"/>
  <c r="AS173" i="14"/>
  <c r="W36" i="24"/>
  <c r="AO355" i="14" s="1"/>
  <c r="AS355" i="14"/>
  <c r="W35" i="27"/>
  <c r="BA446" i="14" s="1"/>
  <c r="AS446" i="14"/>
  <c r="W37" i="2"/>
  <c r="BA143" i="14" s="1"/>
  <c r="AS143" i="14"/>
  <c r="W36" i="23"/>
  <c r="BA324" i="14" s="1"/>
  <c r="AS324" i="14"/>
  <c r="W35" i="19"/>
  <c r="AS201" i="14"/>
  <c r="W36" i="25"/>
  <c r="AO386" i="14" s="1"/>
  <c r="AS386" i="14"/>
  <c r="AA36" i="2"/>
  <c r="E36" i="2" s="1"/>
  <c r="G142" i="14" s="1"/>
  <c r="AK142" i="14" s="1"/>
  <c r="AL142" i="14" s="1"/>
  <c r="U36" i="27"/>
  <c r="R36" i="27"/>
  <c r="V37" i="27"/>
  <c r="D36" i="27"/>
  <c r="C36" i="27" s="1"/>
  <c r="Z36" i="27"/>
  <c r="S36" i="27"/>
  <c r="X36" i="27" s="1"/>
  <c r="T36" i="27"/>
  <c r="Y36" i="27" s="1"/>
  <c r="T141" i="14"/>
  <c r="AK141" i="14"/>
  <c r="AH231" i="14"/>
  <c r="AL231" i="14"/>
  <c r="AL232" i="14"/>
  <c r="AH232" i="14"/>
  <c r="T37" i="20"/>
  <c r="Y37" i="20" s="1"/>
  <c r="U37" i="20"/>
  <c r="Z37" i="20" s="1"/>
  <c r="R37" i="20"/>
  <c r="S37" i="20"/>
  <c r="X37" i="20" s="1"/>
  <c r="E37" i="20"/>
  <c r="K46" i="20" s="1"/>
  <c r="D37" i="20"/>
  <c r="C37" i="20" s="1"/>
  <c r="S37" i="24"/>
  <c r="X37" i="24" s="1"/>
  <c r="U37" i="24"/>
  <c r="Z37" i="24" s="1"/>
  <c r="T37" i="24"/>
  <c r="Y37" i="24" s="1"/>
  <c r="R37" i="24"/>
  <c r="V38" i="24"/>
  <c r="D37" i="24"/>
  <c r="C37" i="24" s="1"/>
  <c r="G233" i="14"/>
  <c r="CM73" i="14"/>
  <c r="CM78" i="14"/>
  <c r="CM77" i="14"/>
  <c r="CM76" i="14"/>
  <c r="CM79" i="14"/>
  <c r="CM80" i="14" s="1"/>
  <c r="CM75" i="14"/>
  <c r="CM74" i="14"/>
  <c r="V38" i="23"/>
  <c r="D37" i="23"/>
  <c r="C37" i="23" s="1"/>
  <c r="S37" i="23"/>
  <c r="X37" i="23" s="1"/>
  <c r="R37" i="23"/>
  <c r="U37" i="23"/>
  <c r="Z37" i="23" s="1"/>
  <c r="T37" i="23"/>
  <c r="Y37" i="23" s="1"/>
  <c r="AO201" i="14"/>
  <c r="CI201" i="14" s="1"/>
  <c r="CH201" i="14" s="1"/>
  <c r="B143" i="14"/>
  <c r="E144" i="14"/>
  <c r="C143" i="14"/>
  <c r="D143" i="14" s="1"/>
  <c r="AN143" i="14"/>
  <c r="Q143" i="14"/>
  <c r="H142" i="15"/>
  <c r="J143" i="14"/>
  <c r="D38" i="2"/>
  <c r="C38" i="2" s="1"/>
  <c r="S38" i="2"/>
  <c r="X38" i="2" s="1"/>
  <c r="R38" i="2"/>
  <c r="T38" i="2"/>
  <c r="Y38" i="2" s="1"/>
  <c r="U38" i="2"/>
  <c r="Z38" i="2" s="1"/>
  <c r="CQ59" i="14"/>
  <c r="CP60" i="14"/>
  <c r="CO72" i="14"/>
  <c r="V37" i="26"/>
  <c r="D36" i="26"/>
  <c r="C36" i="26" s="1"/>
  <c r="T36" i="26"/>
  <c r="Y36" i="26" s="1"/>
  <c r="U36" i="26"/>
  <c r="Z36" i="26" s="1"/>
  <c r="S36" i="26"/>
  <c r="X36" i="26" s="1"/>
  <c r="R36" i="26"/>
  <c r="V38" i="21"/>
  <c r="D37" i="21"/>
  <c r="C37" i="21" s="1"/>
  <c r="E37" i="21"/>
  <c r="G264" i="14" s="1"/>
  <c r="R37" i="21"/>
  <c r="T37" i="21"/>
  <c r="Y37" i="21" s="1"/>
  <c r="U37" i="21"/>
  <c r="Z37" i="21" s="1"/>
  <c r="S37" i="21"/>
  <c r="X37" i="21" s="1"/>
  <c r="V37" i="19"/>
  <c r="D36" i="19"/>
  <c r="C36" i="19" s="1"/>
  <c r="U36" i="19"/>
  <c r="Z36" i="19" s="1"/>
  <c r="S36" i="19"/>
  <c r="X36" i="19" s="1"/>
  <c r="R36" i="19"/>
  <c r="T36" i="19"/>
  <c r="Y36" i="19" s="1"/>
  <c r="AH142" i="14"/>
  <c r="AI304" i="14"/>
  <c r="CI304" i="14" s="1"/>
  <c r="CH304" i="14" s="1"/>
  <c r="AG304" i="14"/>
  <c r="L311" i="14"/>
  <c r="AH262" i="14"/>
  <c r="AL262" i="14"/>
  <c r="L345" i="14"/>
  <c r="AI338" i="14"/>
  <c r="CI338" i="14"/>
  <c r="CH338" i="14" s="1"/>
  <c r="AG338" i="14"/>
  <c r="AI280" i="14"/>
  <c r="CI280" i="14" s="1"/>
  <c r="CH280" i="14" s="1"/>
  <c r="AG280" i="14"/>
  <c r="L287" i="14"/>
  <c r="AK263" i="14"/>
  <c r="T263" i="14"/>
  <c r="V38" i="28"/>
  <c r="D37" i="28"/>
  <c r="C37" i="28" s="1"/>
  <c r="S37" i="28"/>
  <c r="X37" i="28" s="1"/>
  <c r="R37" i="28"/>
  <c r="T37" i="28"/>
  <c r="Y37" i="28" s="1"/>
  <c r="U37" i="28"/>
  <c r="Z37" i="28" s="1"/>
  <c r="CG261" i="14"/>
  <c r="CF261" i="14"/>
  <c r="AI292" i="14"/>
  <c r="CI292" i="14" s="1"/>
  <c r="CH292" i="14" s="1"/>
  <c r="AG292" i="14"/>
  <c r="L299" i="14"/>
  <c r="E204" i="14"/>
  <c r="B203" i="14"/>
  <c r="C203" i="14"/>
  <c r="D203" i="14" s="1"/>
  <c r="AN203" i="14"/>
  <c r="Q203" i="14"/>
  <c r="J203" i="14"/>
  <c r="H202" i="15"/>
  <c r="D37" i="25"/>
  <c r="C37" i="25" s="1"/>
  <c r="R37" i="25"/>
  <c r="U37" i="25"/>
  <c r="Z37" i="25" s="1"/>
  <c r="T37" i="25"/>
  <c r="Y37" i="25" s="1"/>
  <c r="S37" i="25"/>
  <c r="X37" i="25" s="1"/>
  <c r="AI298" i="14"/>
  <c r="CI298" i="14" s="1"/>
  <c r="CH298" i="14" s="1"/>
  <c r="L305" i="14"/>
  <c r="AG298" i="14"/>
  <c r="AI286" i="14"/>
  <c r="CI286" i="14" s="1"/>
  <c r="CH286" i="14" s="1"/>
  <c r="L293" i="14"/>
  <c r="AG286" i="14"/>
  <c r="AI274" i="14"/>
  <c r="CI274" i="14" s="1"/>
  <c r="CH274" i="14" s="1"/>
  <c r="L281" i="14"/>
  <c r="AG274" i="14"/>
  <c r="AO233" i="14" l="1"/>
  <c r="CI233" i="14" s="1"/>
  <c r="CH233" i="14" s="1"/>
  <c r="AO173" i="14"/>
  <c r="CI173" i="14" s="1"/>
  <c r="CH173" i="14" s="1"/>
  <c r="AO143" i="14"/>
  <c r="CI143" i="14" s="1"/>
  <c r="CH143" i="14" s="1"/>
  <c r="AR202" i="14"/>
  <c r="AR144" i="14"/>
  <c r="BA144" i="14"/>
  <c r="AR416" i="14"/>
  <c r="AR325" i="14"/>
  <c r="BA325" i="14"/>
  <c r="AO446" i="14"/>
  <c r="BA386" i="14"/>
  <c r="AR387" i="14"/>
  <c r="BA387" i="14"/>
  <c r="AR478" i="14"/>
  <c r="AR264" i="14"/>
  <c r="BA264" i="14"/>
  <c r="AO415" i="14"/>
  <c r="AR356" i="14"/>
  <c r="BA356" i="14"/>
  <c r="AO324" i="14"/>
  <c r="CI324" i="14" s="1"/>
  <c r="CH324" i="14" s="1"/>
  <c r="AR234" i="14"/>
  <c r="AR447" i="14"/>
  <c r="BA447" i="14"/>
  <c r="W36" i="26"/>
  <c r="BA416" i="14" s="1"/>
  <c r="AS416" i="14"/>
  <c r="W37" i="23"/>
  <c r="AS325" i="14"/>
  <c r="W37" i="25"/>
  <c r="AO387" i="14" s="1"/>
  <c r="AS387" i="14"/>
  <c r="W37" i="28"/>
  <c r="AO478" i="14" s="1"/>
  <c r="AS478" i="14"/>
  <c r="W37" i="24"/>
  <c r="AO356" i="14" s="1"/>
  <c r="AS356" i="14"/>
  <c r="W37" i="20"/>
  <c r="AO234" i="14" s="1"/>
  <c r="CI234" i="14" s="1"/>
  <c r="CH234" i="14" s="1"/>
  <c r="AS234" i="14"/>
  <c r="W36" i="27"/>
  <c r="AO447" i="14" s="1"/>
  <c r="AS447" i="14"/>
  <c r="W36" i="19"/>
  <c r="BA202" i="14" s="1"/>
  <c r="AS202" i="14"/>
  <c r="W37" i="21"/>
  <c r="AO264" i="14" s="1"/>
  <c r="CI264" i="14" s="1"/>
  <c r="CH264" i="14" s="1"/>
  <c r="AS264" i="14"/>
  <c r="W38" i="2"/>
  <c r="AS144" i="14"/>
  <c r="T142" i="14"/>
  <c r="S37" i="27"/>
  <c r="X37" i="27" s="1"/>
  <c r="T37" i="27"/>
  <c r="Y37" i="27" s="1"/>
  <c r="D37" i="27"/>
  <c r="C37" i="27" s="1"/>
  <c r="U37" i="27"/>
  <c r="Z37" i="27" s="1"/>
  <c r="R37" i="27"/>
  <c r="AL141" i="14"/>
  <c r="AH141" i="14"/>
  <c r="I152" i="20"/>
  <c r="I153" i="20"/>
  <c r="I180" i="20"/>
  <c r="CG232" i="14"/>
  <c r="CF232" i="14"/>
  <c r="AO325" i="14"/>
  <c r="CG231" i="14"/>
  <c r="CF231" i="14"/>
  <c r="T233" i="14"/>
  <c r="AK233" i="14"/>
  <c r="U38" i="24"/>
  <c r="Z38" i="24" s="1"/>
  <c r="T38" i="24"/>
  <c r="Y38" i="24" s="1"/>
  <c r="R38" i="24"/>
  <c r="S38" i="24"/>
  <c r="X38" i="24" s="1"/>
  <c r="D38" i="24"/>
  <c r="C38" i="24" s="1"/>
  <c r="G234" i="14"/>
  <c r="G46" i="20"/>
  <c r="N46" i="20"/>
  <c r="H46" i="20"/>
  <c r="AO144" i="14"/>
  <c r="CI144" i="14" s="1"/>
  <c r="CH144" i="14" s="1"/>
  <c r="CG262" i="14"/>
  <c r="CF262" i="14"/>
  <c r="AO202" i="14"/>
  <c r="CI202" i="14" s="1"/>
  <c r="CH202" i="14" s="1"/>
  <c r="D38" i="23"/>
  <c r="C38" i="23" s="1"/>
  <c r="S38" i="23"/>
  <c r="X38" i="23" s="1"/>
  <c r="U38" i="23"/>
  <c r="Z38" i="23" s="1"/>
  <c r="R38" i="23"/>
  <c r="T38" i="23"/>
  <c r="Y38" i="23" s="1"/>
  <c r="L288" i="14"/>
  <c r="AI281" i="14"/>
  <c r="CI281" i="14" s="1"/>
  <c r="CH281" i="14" s="1"/>
  <c r="AG281" i="14"/>
  <c r="L300" i="14"/>
  <c r="AI293" i="14"/>
  <c r="CI293" i="14" s="1"/>
  <c r="CH293" i="14" s="1"/>
  <c r="AG293" i="14"/>
  <c r="L312" i="14"/>
  <c r="AI305" i="14"/>
  <c r="CI305" i="14" s="1"/>
  <c r="CH305" i="14" s="1"/>
  <c r="AG305" i="14"/>
  <c r="D38" i="28"/>
  <c r="C38" i="28" s="1"/>
  <c r="S38" i="28"/>
  <c r="X38" i="28" s="1"/>
  <c r="T38" i="28"/>
  <c r="R38" i="28"/>
  <c r="Y38" i="28"/>
  <c r="U38" i="28"/>
  <c r="Z38" i="28" s="1"/>
  <c r="AH263" i="14"/>
  <c r="AL263" i="14"/>
  <c r="CR60" i="14"/>
  <c r="CS59" i="14"/>
  <c r="CQ72" i="14"/>
  <c r="E205" i="14"/>
  <c r="B204" i="14"/>
  <c r="AN204" i="14"/>
  <c r="C204" i="14"/>
  <c r="D204" i="14" s="1"/>
  <c r="Q204" i="14"/>
  <c r="H203" i="15"/>
  <c r="J204" i="14"/>
  <c r="L294" i="14"/>
  <c r="AG287" i="14"/>
  <c r="AI287" i="14"/>
  <c r="CI287" i="14" s="1"/>
  <c r="CH287" i="14" s="1"/>
  <c r="CG142" i="14"/>
  <c r="CF142" i="14"/>
  <c r="D38" i="21"/>
  <c r="C38" i="21" s="1"/>
  <c r="S38" i="21"/>
  <c r="X38" i="21" s="1"/>
  <c r="T38" i="21"/>
  <c r="Y38" i="21" s="1"/>
  <c r="U38" i="21"/>
  <c r="Z38" i="21" s="1"/>
  <c r="E38" i="21"/>
  <c r="R38" i="21"/>
  <c r="CO74" i="14"/>
  <c r="CO76" i="14"/>
  <c r="CO78" i="14"/>
  <c r="CO77" i="14"/>
  <c r="CO73" i="14"/>
  <c r="CO75" i="14"/>
  <c r="CO79" i="14"/>
  <c r="CO80" i="14" s="1"/>
  <c r="C144" i="14"/>
  <c r="D144" i="14" s="1"/>
  <c r="B144" i="14"/>
  <c r="E145" i="14"/>
  <c r="AN144" i="14"/>
  <c r="Q144" i="14"/>
  <c r="H143" i="15"/>
  <c r="J144" i="14"/>
  <c r="L306" i="14"/>
  <c r="AG299" i="14"/>
  <c r="AI299" i="14"/>
  <c r="CI299" i="14" s="1"/>
  <c r="CH299" i="14" s="1"/>
  <c r="L352" i="14"/>
  <c r="AI345" i="14"/>
  <c r="CI345" i="14" s="1"/>
  <c r="CH345" i="14" s="1"/>
  <c r="AG345" i="14"/>
  <c r="AG311" i="14"/>
  <c r="L318" i="14"/>
  <c r="AI311" i="14"/>
  <c r="CI311" i="14" s="1"/>
  <c r="CH311" i="14" s="1"/>
  <c r="V38" i="19"/>
  <c r="D37" i="19"/>
  <c r="C37" i="19" s="1"/>
  <c r="T37" i="19"/>
  <c r="Y37" i="19" s="1"/>
  <c r="S37" i="19"/>
  <c r="X37" i="19" s="1"/>
  <c r="R37" i="19"/>
  <c r="U37" i="19"/>
  <c r="Z37" i="19" s="1"/>
  <c r="AK264" i="14"/>
  <c r="T264" i="14"/>
  <c r="V38" i="26"/>
  <c r="D37" i="26"/>
  <c r="C37" i="26" s="1"/>
  <c r="R37" i="26"/>
  <c r="T37" i="26"/>
  <c r="Y37" i="26" s="1"/>
  <c r="S37" i="26"/>
  <c r="X37" i="26" s="1"/>
  <c r="U37" i="26"/>
  <c r="Z37" i="26" s="1"/>
  <c r="AA37" i="2"/>
  <c r="E37" i="2" s="1"/>
  <c r="G143" i="14" s="1"/>
  <c r="AO416" i="14" l="1"/>
  <c r="AR265" i="14"/>
  <c r="AR326" i="14"/>
  <c r="BA326" i="14"/>
  <c r="AR357" i="14"/>
  <c r="AR479" i="14"/>
  <c r="BA479" i="14"/>
  <c r="AR448" i="14"/>
  <c r="BA234" i="14"/>
  <c r="BA478" i="14"/>
  <c r="AR417" i="14"/>
  <c r="BA417" i="14"/>
  <c r="AR203" i="14"/>
  <c r="BA203" i="14"/>
  <c r="W38" i="23"/>
  <c r="AO326" i="14" s="1"/>
  <c r="AS326" i="14"/>
  <c r="W38" i="24"/>
  <c r="BA357" i="14" s="1"/>
  <c r="AS357" i="14"/>
  <c r="W38" i="28"/>
  <c r="AS479" i="14"/>
  <c r="W38" i="21"/>
  <c r="BA265" i="14" s="1"/>
  <c r="AS265" i="14"/>
  <c r="W37" i="26"/>
  <c r="AS417" i="14"/>
  <c r="W37" i="27"/>
  <c r="BA448" i="14" s="1"/>
  <c r="AS448" i="14"/>
  <c r="W37" i="19"/>
  <c r="AO203" i="14" s="1"/>
  <c r="CI203" i="14" s="1"/>
  <c r="CH203" i="14" s="1"/>
  <c r="AS203" i="14"/>
  <c r="AO448" i="14"/>
  <c r="CG141" i="14"/>
  <c r="CF141" i="14"/>
  <c r="AK143" i="14"/>
  <c r="T143" i="14"/>
  <c r="H152" i="20"/>
  <c r="H153" i="20"/>
  <c r="H180" i="20"/>
  <c r="I179" i="20"/>
  <c r="I172" i="20"/>
  <c r="I170" i="20"/>
  <c r="I171" i="20"/>
  <c r="I176" i="20"/>
  <c r="I178" i="20"/>
  <c r="I175" i="20"/>
  <c r="I177" i="20"/>
  <c r="I174" i="20"/>
  <c r="I173" i="20"/>
  <c r="AO479" i="14"/>
  <c r="T234" i="14"/>
  <c r="AJ205" i="14" s="1"/>
  <c r="AK234" i="14"/>
  <c r="J152" i="20"/>
  <c r="J153" i="20"/>
  <c r="K180" i="20"/>
  <c r="M242" i="1"/>
  <c r="M234" i="1"/>
  <c r="M257" i="1" s="1"/>
  <c r="G180" i="20"/>
  <c r="M239" i="1"/>
  <c r="M237" i="1"/>
  <c r="M258" i="1" s="1"/>
  <c r="M243" i="1"/>
  <c r="M260" i="1" s="1"/>
  <c r="E46" i="20"/>
  <c r="G153" i="20"/>
  <c r="M233" i="1"/>
  <c r="G152" i="20"/>
  <c r="M240" i="1"/>
  <c r="M259" i="1" s="1"/>
  <c r="M236" i="1"/>
  <c r="AH233" i="14"/>
  <c r="AL233" i="14"/>
  <c r="K99" i="20"/>
  <c r="K48" i="20"/>
  <c r="K105" i="20"/>
  <c r="AO417" i="14"/>
  <c r="AI352" i="14"/>
  <c r="CI352" i="14" s="1"/>
  <c r="CH352" i="14" s="1"/>
  <c r="AG352" i="14"/>
  <c r="L359" i="14"/>
  <c r="AI306" i="14"/>
  <c r="CI306" i="14" s="1"/>
  <c r="CH306" i="14" s="1"/>
  <c r="L313" i="14"/>
  <c r="AG306" i="14"/>
  <c r="B205" i="14"/>
  <c r="AN205" i="14"/>
  <c r="C205" i="14"/>
  <c r="D205" i="14" s="1"/>
  <c r="E206" i="14"/>
  <c r="Q205" i="14"/>
  <c r="H204" i="15"/>
  <c r="J205" i="14"/>
  <c r="CQ73" i="14"/>
  <c r="CQ75" i="14"/>
  <c r="CQ79" i="14"/>
  <c r="CQ80" i="14" s="1"/>
  <c r="CQ74" i="14"/>
  <c r="CQ76" i="14"/>
  <c r="CQ77" i="14"/>
  <c r="CQ78" i="14"/>
  <c r="D38" i="19"/>
  <c r="C38" i="19" s="1"/>
  <c r="R38" i="19"/>
  <c r="T38" i="19"/>
  <c r="Y38" i="19" s="1"/>
  <c r="S38" i="19"/>
  <c r="X38" i="19" s="1"/>
  <c r="U38" i="19"/>
  <c r="Z38" i="19" s="1"/>
  <c r="G265" i="14"/>
  <c r="G46" i="21"/>
  <c r="K46" i="21"/>
  <c r="N46" i="21"/>
  <c r="H46" i="21"/>
  <c r="AI294" i="14"/>
  <c r="CI294" i="14" s="1"/>
  <c r="CH294" i="14" s="1"/>
  <c r="L301" i="14"/>
  <c r="AG294" i="14"/>
  <c r="D38" i="26"/>
  <c r="C38" i="26" s="1"/>
  <c r="R38" i="26"/>
  <c r="T38" i="26"/>
  <c r="Y38" i="26" s="1"/>
  <c r="S38" i="26"/>
  <c r="X38" i="26" s="1"/>
  <c r="U38" i="26"/>
  <c r="Z38" i="26" s="1"/>
  <c r="AH264" i="14"/>
  <c r="AL264" i="14"/>
  <c r="E146" i="14"/>
  <c r="B145" i="14"/>
  <c r="C145" i="14"/>
  <c r="D145" i="14" s="1"/>
  <c r="AN145" i="14"/>
  <c r="Q145" i="14"/>
  <c r="H144" i="15"/>
  <c r="J145" i="14"/>
  <c r="CU59" i="14"/>
  <c r="CS72" i="14"/>
  <c r="CT60" i="14"/>
  <c r="CG263" i="14"/>
  <c r="CF263" i="14"/>
  <c r="AI312" i="14"/>
  <c r="CI312" i="14" s="1"/>
  <c r="CH312" i="14" s="1"/>
  <c r="AG312" i="14"/>
  <c r="L319" i="14"/>
  <c r="AI300" i="14"/>
  <c r="CI300" i="14" s="1"/>
  <c r="CH300" i="14" s="1"/>
  <c r="AG300" i="14"/>
  <c r="L307" i="14"/>
  <c r="AI288" i="14"/>
  <c r="CI288" i="14" s="1"/>
  <c r="CH288" i="14" s="1"/>
  <c r="AG288" i="14"/>
  <c r="L295" i="14"/>
  <c r="AI318" i="14"/>
  <c r="CI318" i="14" s="1"/>
  <c r="CH318" i="14" s="1"/>
  <c r="AG318" i="14"/>
  <c r="L325" i="14"/>
  <c r="AA38" i="2"/>
  <c r="E38" i="2" s="1"/>
  <c r="AO357" i="14" l="1"/>
  <c r="AR418" i="14"/>
  <c r="BA418" i="14"/>
  <c r="AO265" i="14"/>
  <c r="CI265" i="14" s="1"/>
  <c r="CH265" i="14" s="1"/>
  <c r="AR204" i="14"/>
  <c r="W38" i="26"/>
  <c r="AO418" i="14" s="1"/>
  <c r="AS418" i="14"/>
  <c r="M347" i="1"/>
  <c r="M355" i="1"/>
  <c r="W38" i="19"/>
  <c r="BA204" i="14" s="1"/>
  <c r="AS204" i="14"/>
  <c r="I150" i="20"/>
  <c r="G144" i="14"/>
  <c r="H39" i="2"/>
  <c r="N46" i="2"/>
  <c r="AH143" i="14"/>
  <c r="AL143" i="14"/>
  <c r="H46" i="2"/>
  <c r="G39" i="2"/>
  <c r="G46" i="2"/>
  <c r="N39" i="2"/>
  <c r="K46" i="2"/>
  <c r="K39" i="2"/>
  <c r="M317" i="1"/>
  <c r="M318" i="1" s="1"/>
  <c r="N105" i="20"/>
  <c r="N48" i="20"/>
  <c r="N99" i="20"/>
  <c r="H178" i="20"/>
  <c r="H175" i="20"/>
  <c r="H173" i="20"/>
  <c r="H177" i="20"/>
  <c r="H179" i="20"/>
  <c r="H172" i="20"/>
  <c r="H174" i="20"/>
  <c r="H171" i="20"/>
  <c r="H170" i="20"/>
  <c r="H176" i="20"/>
  <c r="I154" i="20"/>
  <c r="I162" i="20"/>
  <c r="K47" i="20"/>
  <c r="AY212" i="14"/>
  <c r="AY228" i="14"/>
  <c r="AY213" i="14"/>
  <c r="AY229" i="14"/>
  <c r="AY218" i="14"/>
  <c r="AY219" i="14"/>
  <c r="AY227" i="14"/>
  <c r="AY234" i="14"/>
  <c r="G99" i="20"/>
  <c r="AY232" i="14"/>
  <c r="AY207" i="14"/>
  <c r="G48" i="20"/>
  <c r="AG6" i="20"/>
  <c r="AY205" i="14"/>
  <c r="AY210" i="14"/>
  <c r="AY233" i="14"/>
  <c r="G105" i="20"/>
  <c r="AY208" i="14"/>
  <c r="AY224" i="14"/>
  <c r="AY209" i="14"/>
  <c r="AY225" i="14"/>
  <c r="AY214" i="14"/>
  <c r="AY230" i="14"/>
  <c r="AY211" i="14"/>
  <c r="AY231" i="14"/>
  <c r="AY216" i="14"/>
  <c r="AY217" i="14"/>
  <c r="AY206" i="14"/>
  <c r="AY222" i="14"/>
  <c r="AY215" i="14"/>
  <c r="AY220" i="14"/>
  <c r="AY221" i="14"/>
  <c r="AY226" i="14"/>
  <c r="AY223" i="14"/>
  <c r="M264" i="1"/>
  <c r="CF233" i="14"/>
  <c r="CG233" i="14"/>
  <c r="G5" i="29"/>
  <c r="G175" i="20"/>
  <c r="G174" i="20"/>
  <c r="G170" i="20"/>
  <c r="G172" i="20"/>
  <c r="G177" i="20"/>
  <c r="G179" i="20"/>
  <c r="G178" i="20"/>
  <c r="G173" i="20"/>
  <c r="G176" i="20"/>
  <c r="G171" i="20"/>
  <c r="E180" i="20"/>
  <c r="K172" i="20"/>
  <c r="K174" i="20"/>
  <c r="K179" i="20"/>
  <c r="K176" i="20"/>
  <c r="K178" i="20"/>
  <c r="K171" i="20"/>
  <c r="K177" i="20"/>
  <c r="K170" i="20"/>
  <c r="K173" i="20"/>
  <c r="K175" i="20"/>
  <c r="AH234" i="14"/>
  <c r="AL234" i="14"/>
  <c r="H48" i="20"/>
  <c r="H99" i="20"/>
  <c r="H105" i="20"/>
  <c r="L332" i="14"/>
  <c r="AI325" i="14"/>
  <c r="CI325" i="14" s="1"/>
  <c r="CH325" i="14" s="1"/>
  <c r="AG325" i="14"/>
  <c r="L302" i="14"/>
  <c r="AG295" i="14"/>
  <c r="AI295" i="14"/>
  <c r="CI295" i="14" s="1"/>
  <c r="CH295" i="14" s="1"/>
  <c r="L314" i="14"/>
  <c r="AG307" i="14"/>
  <c r="AI307" i="14"/>
  <c r="CI307" i="14" s="1"/>
  <c r="CH307" i="14" s="1"/>
  <c r="L326" i="14"/>
  <c r="AG319" i="14"/>
  <c r="AI319" i="14"/>
  <c r="CI319" i="14" s="1"/>
  <c r="CH319" i="14" s="1"/>
  <c r="H153" i="21"/>
  <c r="H152" i="21"/>
  <c r="H180" i="21"/>
  <c r="AK265" i="14"/>
  <c r="T265" i="14"/>
  <c r="AJ235" i="14" s="1"/>
  <c r="L320" i="14"/>
  <c r="AI313" i="14"/>
  <c r="CI313" i="14" s="1"/>
  <c r="CH313" i="14" s="1"/>
  <c r="AG313" i="14"/>
  <c r="E147" i="14"/>
  <c r="B146" i="14"/>
  <c r="C146" i="14"/>
  <c r="D146" i="14" s="1"/>
  <c r="AN146" i="14"/>
  <c r="Q146" i="14"/>
  <c r="H145" i="15"/>
  <c r="J146" i="14"/>
  <c r="L308" i="14"/>
  <c r="AI301" i="14"/>
  <c r="CI301" i="14" s="1"/>
  <c r="CH301" i="14" s="1"/>
  <c r="AG301" i="14"/>
  <c r="J152" i="21"/>
  <c r="J153" i="21"/>
  <c r="K180" i="21"/>
  <c r="CS73" i="14"/>
  <c r="CS75" i="14"/>
  <c r="CS77" i="14"/>
  <c r="CS79" i="14"/>
  <c r="CS80" i="14" s="1"/>
  <c r="CS76" i="14"/>
  <c r="CS74" i="14"/>
  <c r="CS78" i="14"/>
  <c r="I153" i="21"/>
  <c r="I152" i="21"/>
  <c r="I180" i="21"/>
  <c r="E207" i="14"/>
  <c r="B206" i="14"/>
  <c r="AN206" i="14"/>
  <c r="C206" i="14"/>
  <c r="D206" i="14" s="1"/>
  <c r="Q206" i="14"/>
  <c r="H205" i="15"/>
  <c r="J206" i="14"/>
  <c r="AG359" i="14"/>
  <c r="AI359" i="14"/>
  <c r="CI359" i="14" s="1"/>
  <c r="CH359" i="14" s="1"/>
  <c r="L366" i="14"/>
  <c r="CV60" i="14"/>
  <c r="CW59" i="14"/>
  <c r="CU72" i="14"/>
  <c r="CG264" i="14"/>
  <c r="CF264" i="14"/>
  <c r="G153" i="21"/>
  <c r="G152" i="21"/>
  <c r="G180" i="21"/>
  <c r="P240" i="1"/>
  <c r="P259" i="1" s="1"/>
  <c r="P237" i="1"/>
  <c r="P258" i="1" s="1"/>
  <c r="P233" i="1"/>
  <c r="P243" i="1"/>
  <c r="P260" i="1" s="1"/>
  <c r="P242" i="1"/>
  <c r="P236" i="1"/>
  <c r="P239" i="1"/>
  <c r="P234" i="1"/>
  <c r="P257" i="1" s="1"/>
  <c r="E46" i="21"/>
  <c r="AO204" i="14" l="1"/>
  <c r="CI204" i="14" s="1"/>
  <c r="CH204" i="14" s="1"/>
  <c r="M364" i="1"/>
  <c r="G18" i="29"/>
  <c r="E48" i="20"/>
  <c r="G107" i="29"/>
  <c r="M348" i="1"/>
  <c r="P347" i="1"/>
  <c r="P355" i="1"/>
  <c r="J150" i="20"/>
  <c r="E46" i="2"/>
  <c r="I152" i="2"/>
  <c r="I153" i="2"/>
  <c r="I180" i="2"/>
  <c r="K180" i="2"/>
  <c r="J152" i="2"/>
  <c r="J153" i="2"/>
  <c r="H153" i="2"/>
  <c r="H152" i="2"/>
  <c r="H180" i="2"/>
  <c r="G153" i="2"/>
  <c r="D243" i="1"/>
  <c r="G180" i="2"/>
  <c r="D237" i="1"/>
  <c r="D240" i="1"/>
  <c r="G152" i="2"/>
  <c r="D234" i="1"/>
  <c r="D257" i="1" s="1"/>
  <c r="CF143" i="14"/>
  <c r="CG143" i="14"/>
  <c r="AK144" i="14"/>
  <c r="T144" i="14"/>
  <c r="AJ114" i="14" s="1"/>
  <c r="H150" i="20"/>
  <c r="H162" i="20"/>
  <c r="H154" i="20"/>
  <c r="H47" i="20"/>
  <c r="CF234" i="14"/>
  <c r="CG234" i="14"/>
  <c r="O163" i="20"/>
  <c r="G194" i="29" s="1"/>
  <c r="G2" i="29" s="1"/>
  <c r="J154" i="20"/>
  <c r="J162" i="20"/>
  <c r="N47" i="20"/>
  <c r="P317" i="1"/>
  <c r="P318" i="1" s="1"/>
  <c r="G110" i="29"/>
  <c r="AH23" i="20"/>
  <c r="AH12" i="20"/>
  <c r="AH28" i="20"/>
  <c r="AH22" i="20"/>
  <c r="AI19" i="20"/>
  <c r="AH13" i="20"/>
  <c r="AI18" i="20"/>
  <c r="AH25" i="20"/>
  <c r="AI22" i="20"/>
  <c r="AH33" i="20"/>
  <c r="AI26" i="20"/>
  <c r="AI30" i="20"/>
  <c r="AJ22" i="20"/>
  <c r="AK12" i="20"/>
  <c r="AJ8" i="20"/>
  <c r="AJ21" i="20"/>
  <c r="AI12" i="20"/>
  <c r="AJ24" i="20"/>
  <c r="AK14" i="20"/>
  <c r="AK30" i="20"/>
  <c r="AJ19" i="20"/>
  <c r="AK25" i="20"/>
  <c r="AJ31" i="20"/>
  <c r="AK27" i="20"/>
  <c r="AJ27" i="20"/>
  <c r="AK33" i="20"/>
  <c r="AK9" i="20"/>
  <c r="AK37" i="20"/>
  <c r="AK28" i="20"/>
  <c r="AJ37" i="20"/>
  <c r="AH31" i="20"/>
  <c r="AH10" i="20"/>
  <c r="AI27" i="20"/>
  <c r="AH18" i="20"/>
  <c r="AH26" i="20"/>
  <c r="AI35" i="20"/>
  <c r="AJ14" i="20"/>
  <c r="AH8" i="20"/>
  <c r="AJ29" i="20"/>
  <c r="AJ32" i="20"/>
  <c r="AI14" i="20"/>
  <c r="AK13" i="20"/>
  <c r="AK11" i="20"/>
  <c r="AK24" i="20"/>
  <c r="AK35" i="20"/>
  <c r="AI36" i="20"/>
  <c r="AJ34" i="20"/>
  <c r="AK10" i="20"/>
  <c r="AK23" i="20"/>
  <c r="AK20" i="20"/>
  <c r="AJ11" i="20"/>
  <c r="AJ23" i="20"/>
  <c r="AH36" i="20"/>
  <c r="AH11" i="20"/>
  <c r="AH27" i="20"/>
  <c r="AH16" i="20"/>
  <c r="AH32" i="20"/>
  <c r="AH30" i="20"/>
  <c r="AI23" i="20"/>
  <c r="AH17" i="20"/>
  <c r="AI25" i="20"/>
  <c r="AI8" i="20"/>
  <c r="AI29" i="20"/>
  <c r="AI10" i="20"/>
  <c r="AI31" i="20"/>
  <c r="AJ10" i="20"/>
  <c r="AJ26" i="20"/>
  <c r="AK16" i="20"/>
  <c r="AJ9" i="20"/>
  <c r="AJ25" i="20"/>
  <c r="AJ12" i="20"/>
  <c r="AJ28" i="20"/>
  <c r="AK18" i="20"/>
  <c r="AK34" i="20"/>
  <c r="AJ35" i="20"/>
  <c r="AK32" i="20"/>
  <c r="AK8" i="20"/>
  <c r="AK29" i="20"/>
  <c r="AK17" i="20"/>
  <c r="AI32" i="20"/>
  <c r="AK19" i="20"/>
  <c r="AK36" i="20"/>
  <c r="AI37" i="20"/>
  <c r="AH15" i="20"/>
  <c r="AH20" i="20"/>
  <c r="AI11" i="20"/>
  <c r="AI9" i="20"/>
  <c r="AI13" i="20"/>
  <c r="AI17" i="20"/>
  <c r="AJ30" i="20"/>
  <c r="AJ13" i="20"/>
  <c r="AJ16" i="20"/>
  <c r="AK22" i="20"/>
  <c r="AI21" i="20"/>
  <c r="AI28" i="20"/>
  <c r="AK15" i="20"/>
  <c r="AH37" i="20"/>
  <c r="AH19" i="20"/>
  <c r="AH35" i="20"/>
  <c r="AH24" i="20"/>
  <c r="AH14" i="20"/>
  <c r="AI15" i="20"/>
  <c r="AH9" i="20"/>
  <c r="AI16" i="20"/>
  <c r="AH21" i="20"/>
  <c r="AI20" i="20"/>
  <c r="AH29" i="20"/>
  <c r="AI24" i="20"/>
  <c r="AH34" i="20"/>
  <c r="AJ18" i="20"/>
  <c r="AI33" i="20"/>
  <c r="AJ17" i="20"/>
  <c r="AJ33" i="20"/>
  <c r="AJ20" i="20"/>
  <c r="AK26" i="20"/>
  <c r="AI34" i="20"/>
  <c r="AJ15" i="20"/>
  <c r="AK31" i="20"/>
  <c r="AK21" i="20"/>
  <c r="AJ36" i="20"/>
  <c r="G154" i="20"/>
  <c r="M368" i="1" s="1"/>
  <c r="M377" i="1" s="1"/>
  <c r="G162" i="20"/>
  <c r="G10" i="29" s="1"/>
  <c r="G47" i="20"/>
  <c r="G150" i="20"/>
  <c r="AI320" i="14"/>
  <c r="CI320" i="14" s="1"/>
  <c r="CH320" i="14" s="1"/>
  <c r="AG320" i="14"/>
  <c r="L327" i="14"/>
  <c r="G99" i="21"/>
  <c r="AG6" i="21"/>
  <c r="G105" i="21"/>
  <c r="AY238" i="14"/>
  <c r="AY242" i="14"/>
  <c r="AY246" i="14"/>
  <c r="AY250" i="14"/>
  <c r="AY254" i="14"/>
  <c r="AY258" i="14"/>
  <c r="AY262" i="14"/>
  <c r="AY235" i="14"/>
  <c r="AY239" i="14"/>
  <c r="AY243" i="14"/>
  <c r="AY247" i="14"/>
  <c r="AY251" i="14"/>
  <c r="AY255" i="14"/>
  <c r="AY259" i="14"/>
  <c r="AY236" i="14"/>
  <c r="AY240" i="14"/>
  <c r="AY244" i="14"/>
  <c r="AY248" i="14"/>
  <c r="AY252" i="14"/>
  <c r="AY256" i="14"/>
  <c r="AY260" i="14"/>
  <c r="AY237" i="14"/>
  <c r="AY253" i="14"/>
  <c r="AY241" i="14"/>
  <c r="AY257" i="14"/>
  <c r="AY245" i="14"/>
  <c r="AY261" i="14"/>
  <c r="AY249" i="14"/>
  <c r="AY263" i="14"/>
  <c r="AY264" i="14"/>
  <c r="AY265" i="14"/>
  <c r="G48" i="21"/>
  <c r="I177" i="21"/>
  <c r="I173" i="21"/>
  <c r="I178" i="21"/>
  <c r="I174" i="21"/>
  <c r="I170" i="21"/>
  <c r="I179" i="21"/>
  <c r="I175" i="21"/>
  <c r="I171" i="21"/>
  <c r="I172" i="21"/>
  <c r="I176" i="21"/>
  <c r="H105" i="21"/>
  <c r="H99" i="21"/>
  <c r="H48" i="21"/>
  <c r="AI332" i="14"/>
  <c r="CI332" i="14" s="1"/>
  <c r="CH332" i="14" s="1"/>
  <c r="AG332" i="14"/>
  <c r="L339" i="14"/>
  <c r="H5" i="29"/>
  <c r="CU73" i="14"/>
  <c r="CU76" i="14"/>
  <c r="CU74" i="14"/>
  <c r="CU79" i="14"/>
  <c r="CU80" i="14" s="1"/>
  <c r="CU75" i="14"/>
  <c r="CU78" i="14"/>
  <c r="CU77" i="14"/>
  <c r="L373" i="14"/>
  <c r="AI366" i="14"/>
  <c r="CI366" i="14" s="1"/>
  <c r="CH366" i="14" s="1"/>
  <c r="AG366" i="14"/>
  <c r="N105" i="21"/>
  <c r="N99" i="21"/>
  <c r="N48" i="21"/>
  <c r="AI308" i="14"/>
  <c r="CI308" i="14" s="1"/>
  <c r="CH308" i="14" s="1"/>
  <c r="AG308" i="14"/>
  <c r="L315" i="14"/>
  <c r="B147" i="14"/>
  <c r="E148" i="14"/>
  <c r="C147" i="14"/>
  <c r="D147" i="14" s="1"/>
  <c r="AN147" i="14"/>
  <c r="Q147" i="14"/>
  <c r="H146" i="15"/>
  <c r="J147" i="14"/>
  <c r="AH265" i="14"/>
  <c r="AL265" i="14"/>
  <c r="P264" i="1"/>
  <c r="G178" i="21"/>
  <c r="G174" i="21"/>
  <c r="G170" i="21"/>
  <c r="G177" i="21"/>
  <c r="G173" i="21"/>
  <c r="G176" i="21"/>
  <c r="G172" i="21"/>
  <c r="E180" i="21"/>
  <c r="G171" i="21"/>
  <c r="G179" i="21"/>
  <c r="G175" i="21"/>
  <c r="CY59" i="14"/>
  <c r="CW72" i="14"/>
  <c r="CX60" i="14"/>
  <c r="E208" i="14"/>
  <c r="B207" i="14"/>
  <c r="C207" i="14"/>
  <c r="D207" i="14" s="1"/>
  <c r="AN207" i="14"/>
  <c r="Q207" i="14"/>
  <c r="J207" i="14"/>
  <c r="H206" i="15"/>
  <c r="K105" i="21"/>
  <c r="K99" i="21"/>
  <c r="K48" i="21"/>
  <c r="K178" i="21"/>
  <c r="K174" i="21"/>
  <c r="K170" i="21"/>
  <c r="K179" i="21"/>
  <c r="K175" i="21"/>
  <c r="K171" i="21"/>
  <c r="K176" i="21"/>
  <c r="K172" i="21"/>
  <c r="K177" i="21"/>
  <c r="K173" i="21"/>
  <c r="H176" i="21"/>
  <c r="H172" i="21"/>
  <c r="H177" i="21"/>
  <c r="H173" i="21"/>
  <c r="H178" i="21"/>
  <c r="H174" i="21"/>
  <c r="H170" i="21"/>
  <c r="H175" i="21"/>
  <c r="H171" i="21"/>
  <c r="H179" i="21"/>
  <c r="AI326" i="14"/>
  <c r="CI326" i="14" s="1"/>
  <c r="CH326" i="14" s="1"/>
  <c r="L333" i="14"/>
  <c r="AG326" i="14"/>
  <c r="AI314" i="14"/>
  <c r="CI314" i="14" s="1"/>
  <c r="CH314" i="14" s="1"/>
  <c r="L321" i="14"/>
  <c r="AG314" i="14"/>
  <c r="AI302" i="14"/>
  <c r="CI302" i="14" s="1"/>
  <c r="CH302" i="14" s="1"/>
  <c r="L309" i="14"/>
  <c r="AG302" i="14"/>
  <c r="K271" i="1" l="1"/>
  <c r="K7" i="18" s="1"/>
  <c r="K270" i="1"/>
  <c r="H7" i="18" s="1"/>
  <c r="G271" i="1"/>
  <c r="G270" i="1"/>
  <c r="G272" i="1"/>
  <c r="K272" i="1"/>
  <c r="N7" i="18" s="1"/>
  <c r="E48" i="21"/>
  <c r="P364" i="1"/>
  <c r="H18" i="29"/>
  <c r="H20" i="29" s="1"/>
  <c r="H19" i="29" s="1"/>
  <c r="G53" i="20"/>
  <c r="I53" i="20" s="1"/>
  <c r="L53" i="20" s="1"/>
  <c r="E47" i="20"/>
  <c r="G20" i="29"/>
  <c r="G19" i="29" s="1"/>
  <c r="G13" i="29"/>
  <c r="K269" i="1"/>
  <c r="G269" i="1"/>
  <c r="D347" i="1"/>
  <c r="D355" i="1"/>
  <c r="C18" i="29" s="1"/>
  <c r="H107" i="29"/>
  <c r="P348" i="1"/>
  <c r="D298" i="1"/>
  <c r="D264" i="1"/>
  <c r="D265" i="1" s="1"/>
  <c r="J107" i="29"/>
  <c r="C5" i="29"/>
  <c r="G150" i="21"/>
  <c r="D317" i="1"/>
  <c r="D318" i="1" s="1"/>
  <c r="D319" i="1" s="1"/>
  <c r="G179" i="2"/>
  <c r="E180" i="2"/>
  <c r="K170" i="2"/>
  <c r="K172" i="2"/>
  <c r="K179" i="2"/>
  <c r="K175" i="2"/>
  <c r="K177" i="2"/>
  <c r="K174" i="2"/>
  <c r="K176" i="2"/>
  <c r="K178" i="2"/>
  <c r="K171" i="2"/>
  <c r="K173" i="2"/>
  <c r="H48" i="2"/>
  <c r="H105" i="2"/>
  <c r="H99" i="2"/>
  <c r="AH144" i="14"/>
  <c r="AL144" i="14"/>
  <c r="AY138" i="14"/>
  <c r="AY124" i="14"/>
  <c r="AY117" i="14"/>
  <c r="AY129" i="14"/>
  <c r="AY132" i="14"/>
  <c r="AY130" i="14"/>
  <c r="G105" i="2"/>
  <c r="AY119" i="14"/>
  <c r="AY137" i="14"/>
  <c r="AY114" i="14"/>
  <c r="AY125" i="14"/>
  <c r="AY118" i="14"/>
  <c r="AY136" i="14"/>
  <c r="AY144" i="14"/>
  <c r="G48" i="2"/>
  <c r="AY120" i="14"/>
  <c r="AY126" i="14"/>
  <c r="AY115" i="14"/>
  <c r="AY133" i="14"/>
  <c r="AY128" i="14"/>
  <c r="AY121" i="14"/>
  <c r="AY123" i="14"/>
  <c r="AY142" i="14"/>
  <c r="AY135" i="14"/>
  <c r="AY116" i="14"/>
  <c r="AY134" i="14"/>
  <c r="AY143" i="14"/>
  <c r="AY122" i="14"/>
  <c r="G99" i="2"/>
  <c r="AY131" i="14"/>
  <c r="AY141" i="14"/>
  <c r="AY127" i="14"/>
  <c r="AG6" i="2"/>
  <c r="AY140" i="14"/>
  <c r="AY139" i="14"/>
  <c r="I173" i="2"/>
  <c r="I170" i="2"/>
  <c r="I176" i="2"/>
  <c r="I179" i="2"/>
  <c r="I175" i="2"/>
  <c r="I177" i="2"/>
  <c r="I174" i="2"/>
  <c r="I172" i="2"/>
  <c r="I178" i="2"/>
  <c r="I171" i="2"/>
  <c r="H172" i="2"/>
  <c r="H178" i="2"/>
  <c r="H171" i="2"/>
  <c r="H177" i="2"/>
  <c r="H176" i="2"/>
  <c r="H179" i="2"/>
  <c r="H175" i="2"/>
  <c r="H174" i="2"/>
  <c r="H173" i="2"/>
  <c r="H170" i="2"/>
  <c r="N48" i="2"/>
  <c r="N105" i="2"/>
  <c r="N99" i="2"/>
  <c r="K48" i="2"/>
  <c r="K105" i="2"/>
  <c r="K99" i="2"/>
  <c r="M333" i="1"/>
  <c r="M334" i="1" s="1"/>
  <c r="C91" i="20"/>
  <c r="I150" i="21"/>
  <c r="J150" i="21"/>
  <c r="AW230" i="14"/>
  <c r="AV33" i="20"/>
  <c r="CR230" i="14" s="1"/>
  <c r="AT34" i="20"/>
  <c r="CP231" i="14" s="1"/>
  <c r="AU231" i="14"/>
  <c r="AG34" i="20"/>
  <c r="AT14" i="20"/>
  <c r="CP211" i="14" s="1"/>
  <c r="AU211" i="14"/>
  <c r="AG14" i="20"/>
  <c r="AW22" i="20"/>
  <c r="CS219" i="14" s="1"/>
  <c r="AX219" i="14"/>
  <c r="AV214" i="14"/>
  <c r="AU17" i="20"/>
  <c r="CQ214" i="14" s="1"/>
  <c r="AX216" i="14"/>
  <c r="AW19" i="20"/>
  <c r="CS216" i="14" s="1"/>
  <c r="AX215" i="14"/>
  <c r="AW18" i="20"/>
  <c r="CS215" i="14" s="1"/>
  <c r="AW206" i="14"/>
  <c r="AV9" i="20"/>
  <c r="CR206" i="14" s="1"/>
  <c r="AV222" i="14"/>
  <c r="AU25" i="20"/>
  <c r="CQ222" i="14" s="1"/>
  <c r="AU233" i="14"/>
  <c r="AT36" i="20"/>
  <c r="CP233" i="14" s="1"/>
  <c r="AG36" i="20"/>
  <c r="AW23" i="20"/>
  <c r="CS220" i="14" s="1"/>
  <c r="AX220" i="14"/>
  <c r="AU14" i="20"/>
  <c r="CQ211" i="14" s="1"/>
  <c r="AV211" i="14"/>
  <c r="AV224" i="14"/>
  <c r="AU27" i="20"/>
  <c r="CQ224" i="14" s="1"/>
  <c r="AX225" i="14"/>
  <c r="AW28" i="20"/>
  <c r="CS225" i="14" s="1"/>
  <c r="AW216" i="14"/>
  <c r="AV19" i="20"/>
  <c r="CR216" i="14" s="1"/>
  <c r="AW219" i="14"/>
  <c r="AV22" i="20"/>
  <c r="CR219" i="14" s="1"/>
  <c r="AU19" i="20"/>
  <c r="CQ216" i="14" s="1"/>
  <c r="AV216" i="14"/>
  <c r="AV36" i="20"/>
  <c r="CR233" i="14" s="1"/>
  <c r="AW233" i="14"/>
  <c r="AV231" i="14"/>
  <c r="AU34" i="20"/>
  <c r="CQ231" i="14" s="1"/>
  <c r="AV17" i="20"/>
  <c r="CR214" i="14" s="1"/>
  <c r="AW214" i="14"/>
  <c r="AU24" i="20"/>
  <c r="CQ221" i="14" s="1"/>
  <c r="AV221" i="14"/>
  <c r="AV213" i="14"/>
  <c r="AU16" i="20"/>
  <c r="CQ213" i="14" s="1"/>
  <c r="AT24" i="20"/>
  <c r="CP221" i="14" s="1"/>
  <c r="AU221" i="14"/>
  <c r="AG24" i="20"/>
  <c r="AW15" i="20"/>
  <c r="CS212" i="14" s="1"/>
  <c r="AX212" i="14"/>
  <c r="AV16" i="20"/>
  <c r="CR213" i="14" s="1"/>
  <c r="AW213" i="14"/>
  <c r="AU13" i="20"/>
  <c r="CQ210" i="14" s="1"/>
  <c r="AV210" i="14"/>
  <c r="AT15" i="20"/>
  <c r="CP212" i="14" s="1"/>
  <c r="AU212" i="14"/>
  <c r="AG15" i="20"/>
  <c r="AV229" i="14"/>
  <c r="AU32" i="20"/>
  <c r="CQ229" i="14" s="1"/>
  <c r="AX229" i="14"/>
  <c r="AW32" i="20"/>
  <c r="CS229" i="14" s="1"/>
  <c r="AW225" i="14"/>
  <c r="AV28" i="20"/>
  <c r="CR225" i="14" s="1"/>
  <c r="AX213" i="14"/>
  <c r="AW16" i="20"/>
  <c r="CS213" i="14" s="1"/>
  <c r="AV207" i="14"/>
  <c r="AU10" i="20"/>
  <c r="CQ207" i="14" s="1"/>
  <c r="AU214" i="14"/>
  <c r="AT17" i="20"/>
  <c r="CP214" i="14" s="1"/>
  <c r="AG17" i="20"/>
  <c r="AT16" i="20"/>
  <c r="CP213" i="14" s="1"/>
  <c r="AU213" i="14"/>
  <c r="AG16" i="20"/>
  <c r="AW220" i="14"/>
  <c r="AV23" i="20"/>
  <c r="CR220" i="14" s="1"/>
  <c r="AX207" i="14"/>
  <c r="AW10" i="20"/>
  <c r="CS207" i="14" s="1"/>
  <c r="AX221" i="14"/>
  <c r="AW24" i="20"/>
  <c r="CS221" i="14" s="1"/>
  <c r="AV32" i="20"/>
  <c r="CR229" i="14" s="1"/>
  <c r="AW229" i="14"/>
  <c r="AV232" i="14"/>
  <c r="AU35" i="20"/>
  <c r="CQ232" i="14" s="1"/>
  <c r="AU207" i="14"/>
  <c r="AT10" i="20"/>
  <c r="CP207" i="14" s="1"/>
  <c r="AG10" i="20"/>
  <c r="AX234" i="14"/>
  <c r="AW37" i="20"/>
  <c r="CS234" i="14" s="1"/>
  <c r="AW27" i="20"/>
  <c r="CS224" i="14" s="1"/>
  <c r="AX224" i="14"/>
  <c r="AW30" i="20"/>
  <c r="CS227" i="14" s="1"/>
  <c r="AX227" i="14"/>
  <c r="AV21" i="20"/>
  <c r="CR218" i="14" s="1"/>
  <c r="AW218" i="14"/>
  <c r="AU30" i="20"/>
  <c r="CQ227" i="14" s="1"/>
  <c r="AV227" i="14"/>
  <c r="AU222" i="14"/>
  <c r="AT25" i="20"/>
  <c r="CP222" i="14" s="1"/>
  <c r="AG25" i="20"/>
  <c r="AT22" i="20"/>
  <c r="CP219" i="14" s="1"/>
  <c r="AU219" i="14"/>
  <c r="AG22" i="20"/>
  <c r="H150" i="21"/>
  <c r="AW31" i="20"/>
  <c r="CS228" i="14" s="1"/>
  <c r="AX228" i="14"/>
  <c r="AV20" i="20"/>
  <c r="CR217" i="14" s="1"/>
  <c r="AW217" i="14"/>
  <c r="AW215" i="14"/>
  <c r="AV18" i="20"/>
  <c r="CR215" i="14" s="1"/>
  <c r="AU20" i="20"/>
  <c r="CQ217" i="14" s="1"/>
  <c r="AV217" i="14"/>
  <c r="AV212" i="14"/>
  <c r="AU15" i="20"/>
  <c r="CQ212" i="14" s="1"/>
  <c r="AU216" i="14"/>
  <c r="AT19" i="20"/>
  <c r="CP216" i="14" s="1"/>
  <c r="AG19" i="20"/>
  <c r="AU21" i="20"/>
  <c r="CQ218" i="14" s="1"/>
  <c r="AV218" i="14"/>
  <c r="AV30" i="20"/>
  <c r="CR227" i="14" s="1"/>
  <c r="AW227" i="14"/>
  <c r="AU11" i="20"/>
  <c r="CQ208" i="14" s="1"/>
  <c r="AV208" i="14"/>
  <c r="AX233" i="14"/>
  <c r="AW36" i="20"/>
  <c r="CS233" i="14" s="1"/>
  <c r="AX226" i="14"/>
  <c r="AW29" i="20"/>
  <c r="CS226" i="14" s="1"/>
  <c r="AX231" i="14"/>
  <c r="AW34" i="20"/>
  <c r="CS231" i="14" s="1"/>
  <c r="AW222" i="14"/>
  <c r="AV25" i="20"/>
  <c r="CR222" i="14" s="1"/>
  <c r="AW207" i="14"/>
  <c r="AV10" i="20"/>
  <c r="CR207" i="14" s="1"/>
  <c r="AV205" i="14"/>
  <c r="AU8" i="20"/>
  <c r="CQ205" i="14" s="1"/>
  <c r="AT30" i="20"/>
  <c r="CP227" i="14" s="1"/>
  <c r="AU227" i="14"/>
  <c r="AG30" i="20"/>
  <c r="AT11" i="20"/>
  <c r="CP208" i="14" s="1"/>
  <c r="AU208" i="14"/>
  <c r="AG11" i="20"/>
  <c r="AW20" i="20"/>
  <c r="CS217" i="14" s="1"/>
  <c r="AX217" i="14"/>
  <c r="AU36" i="20"/>
  <c r="CQ233" i="14" s="1"/>
  <c r="AV233" i="14"/>
  <c r="AW13" i="20"/>
  <c r="CS210" i="14" s="1"/>
  <c r="AX210" i="14"/>
  <c r="AT8" i="20"/>
  <c r="CP205" i="14" s="1"/>
  <c r="AU205" i="14"/>
  <c r="AG8" i="20"/>
  <c r="AT18" i="20"/>
  <c r="CP215" i="14" s="1"/>
  <c r="AU215" i="14"/>
  <c r="AG18" i="20"/>
  <c r="AV37" i="20"/>
  <c r="CR234" i="14" s="1"/>
  <c r="AW234" i="14"/>
  <c r="AW33" i="20"/>
  <c r="CS230" i="14" s="1"/>
  <c r="AX230" i="14"/>
  <c r="AX222" i="14"/>
  <c r="AW25" i="20"/>
  <c r="CS222" i="14" s="1"/>
  <c r="AW221" i="14"/>
  <c r="AV24" i="20"/>
  <c r="CR221" i="14" s="1"/>
  <c r="AW12" i="20"/>
  <c r="CS209" i="14" s="1"/>
  <c r="AX209" i="14"/>
  <c r="AU230" i="14"/>
  <c r="AT33" i="20"/>
  <c r="CP230" i="14" s="1"/>
  <c r="AG33" i="20"/>
  <c r="AU210" i="14"/>
  <c r="AT13" i="20"/>
  <c r="CP210" i="14" s="1"/>
  <c r="AG13" i="20"/>
  <c r="AU209" i="14"/>
  <c r="AT12" i="20"/>
  <c r="CP209" i="14" s="1"/>
  <c r="AG12" i="20"/>
  <c r="AW212" i="14"/>
  <c r="AV15" i="20"/>
  <c r="CR212" i="14" s="1"/>
  <c r="AU218" i="14"/>
  <c r="AT21" i="20"/>
  <c r="CP218" i="14" s="1"/>
  <c r="AG21" i="20"/>
  <c r="AU234" i="14"/>
  <c r="AT37" i="20"/>
  <c r="CP234" i="14" s="1"/>
  <c r="AG37" i="20"/>
  <c r="AT20" i="20"/>
  <c r="CP217" i="14" s="1"/>
  <c r="AU217" i="14"/>
  <c r="AG20" i="20"/>
  <c r="AX205" i="14"/>
  <c r="AW8" i="20"/>
  <c r="CS205" i="14" s="1"/>
  <c r="AV228" i="14"/>
  <c r="AU31" i="20"/>
  <c r="CQ228" i="14" s="1"/>
  <c r="AT32" i="20"/>
  <c r="CP229" i="14" s="1"/>
  <c r="AU229" i="14"/>
  <c r="AG32" i="20"/>
  <c r="AW35" i="20"/>
  <c r="CS232" i="14" s="1"/>
  <c r="AX232" i="14"/>
  <c r="AW211" i="14"/>
  <c r="AV14" i="20"/>
  <c r="CR211" i="14" s="1"/>
  <c r="AW224" i="14"/>
  <c r="AV27" i="20"/>
  <c r="CR224" i="14" s="1"/>
  <c r="AV209" i="14"/>
  <c r="AU12" i="20"/>
  <c r="CQ209" i="14" s="1"/>
  <c r="AU22" i="20"/>
  <c r="CQ219" i="14" s="1"/>
  <c r="AV219" i="14"/>
  <c r="AT23" i="20"/>
  <c r="CP220" i="14" s="1"/>
  <c r="AU220" i="14"/>
  <c r="AG23" i="20"/>
  <c r="AW21" i="20"/>
  <c r="CS218" i="14" s="1"/>
  <c r="AX218" i="14"/>
  <c r="AW26" i="20"/>
  <c r="CS223" i="14" s="1"/>
  <c r="AX223" i="14"/>
  <c r="AV230" i="14"/>
  <c r="AU33" i="20"/>
  <c r="CQ230" i="14" s="1"/>
  <c r="AT29" i="20"/>
  <c r="CP226" i="14" s="1"/>
  <c r="AU226" i="14"/>
  <c r="AG29" i="20"/>
  <c r="AT9" i="20"/>
  <c r="CP206" i="14" s="1"/>
  <c r="AU206" i="14"/>
  <c r="AG9" i="20"/>
  <c r="AU232" i="14"/>
  <c r="AT35" i="20"/>
  <c r="CP232" i="14" s="1"/>
  <c r="AG35" i="20"/>
  <c r="AU28" i="20"/>
  <c r="CQ225" i="14" s="1"/>
  <c r="AV225" i="14"/>
  <c r="AV13" i="20"/>
  <c r="CR210" i="14" s="1"/>
  <c r="AW210" i="14"/>
  <c r="AV206" i="14"/>
  <c r="AU9" i="20"/>
  <c r="CQ206" i="14" s="1"/>
  <c r="AU37" i="20"/>
  <c r="CQ234" i="14" s="1"/>
  <c r="AV234" i="14"/>
  <c r="AX214" i="14"/>
  <c r="AW17" i="20"/>
  <c r="CS214" i="14" s="1"/>
  <c r="AW232" i="14"/>
  <c r="AV35" i="20"/>
  <c r="CR232" i="14" s="1"/>
  <c r="AV12" i="20"/>
  <c r="CR209" i="14" s="1"/>
  <c r="AW209" i="14"/>
  <c r="AW223" i="14"/>
  <c r="AV26" i="20"/>
  <c r="CR223" i="14" s="1"/>
  <c r="AV226" i="14"/>
  <c r="AU29" i="20"/>
  <c r="CQ226" i="14" s="1"/>
  <c r="AU23" i="20"/>
  <c r="CQ220" i="14" s="1"/>
  <c r="AV220" i="14"/>
  <c r="AU224" i="14"/>
  <c r="AT27" i="20"/>
  <c r="CP224" i="14" s="1"/>
  <c r="AG27" i="20"/>
  <c r="AW208" i="14"/>
  <c r="AV11" i="20"/>
  <c r="CR208" i="14" s="1"/>
  <c r="AV34" i="20"/>
  <c r="CR231" i="14" s="1"/>
  <c r="AW231" i="14"/>
  <c r="AW11" i="20"/>
  <c r="CS208" i="14" s="1"/>
  <c r="AX208" i="14"/>
  <c r="AV29" i="20"/>
  <c r="CR226" i="14" s="1"/>
  <c r="AW226" i="14"/>
  <c r="AT26" i="20"/>
  <c r="CP223" i="14" s="1"/>
  <c r="AU223" i="14"/>
  <c r="AG26" i="20"/>
  <c r="AT31" i="20"/>
  <c r="CP228" i="14" s="1"/>
  <c r="AU228" i="14"/>
  <c r="AG31" i="20"/>
  <c r="AX206" i="14"/>
  <c r="AW9" i="20"/>
  <c r="CS206" i="14" s="1"/>
  <c r="AW228" i="14"/>
  <c r="AV31" i="20"/>
  <c r="CR228" i="14" s="1"/>
  <c r="AX211" i="14"/>
  <c r="AW14" i="20"/>
  <c r="CS211" i="14" s="1"/>
  <c r="AW205" i="14"/>
  <c r="AV8" i="20"/>
  <c r="CR205" i="14" s="1"/>
  <c r="AV223" i="14"/>
  <c r="AU26" i="20"/>
  <c r="CQ223" i="14" s="1"/>
  <c r="AU18" i="20"/>
  <c r="CQ215" i="14" s="1"/>
  <c r="AV215" i="14"/>
  <c r="AU225" i="14"/>
  <c r="AT28" i="20"/>
  <c r="CP225" i="14" s="1"/>
  <c r="AG28" i="20"/>
  <c r="E209" i="14"/>
  <c r="B208" i="14"/>
  <c r="AN208" i="14"/>
  <c r="C208" i="14"/>
  <c r="D208" i="14" s="1"/>
  <c r="Q208" i="14"/>
  <c r="H207" i="15"/>
  <c r="J208" i="14"/>
  <c r="CW74" i="14"/>
  <c r="CW76" i="14"/>
  <c r="CW78" i="14"/>
  <c r="CW77" i="14"/>
  <c r="CW75" i="14"/>
  <c r="CW73" i="14"/>
  <c r="CW79" i="14"/>
  <c r="CW80" i="14" s="1"/>
  <c r="AH8" i="21"/>
  <c r="AH9" i="21"/>
  <c r="AH13" i="21"/>
  <c r="AH17" i="21"/>
  <c r="AH21" i="21"/>
  <c r="AH25" i="21"/>
  <c r="AH29" i="21"/>
  <c r="AH33" i="21"/>
  <c r="AH10" i="21"/>
  <c r="AH14" i="21"/>
  <c r="AH18" i="21"/>
  <c r="AH22" i="21"/>
  <c r="AH26" i="21"/>
  <c r="AH30" i="21"/>
  <c r="AH34" i="21"/>
  <c r="AH12" i="21"/>
  <c r="AH20" i="21"/>
  <c r="AH28" i="21"/>
  <c r="AH24" i="21"/>
  <c r="AH27" i="21"/>
  <c r="AH31" i="21"/>
  <c r="AH32" i="21"/>
  <c r="AH35" i="21"/>
  <c r="AH11" i="21"/>
  <c r="AH15" i="21"/>
  <c r="AI12" i="21"/>
  <c r="AI16" i="21"/>
  <c r="AI20" i="21"/>
  <c r="AI24" i="21"/>
  <c r="AI28" i="21"/>
  <c r="AI32" i="21"/>
  <c r="AH16" i="21"/>
  <c r="AI8" i="21"/>
  <c r="AI9" i="21"/>
  <c r="AI11" i="21"/>
  <c r="AI18" i="21"/>
  <c r="AI25" i="21"/>
  <c r="AI27" i="21"/>
  <c r="AI34" i="21"/>
  <c r="AJ11" i="21"/>
  <c r="AJ15" i="21"/>
  <c r="AJ19" i="21"/>
  <c r="AJ23" i="21"/>
  <c r="AJ27" i="21"/>
  <c r="AJ31" i="21"/>
  <c r="AJ35" i="21"/>
  <c r="AH19" i="21"/>
  <c r="AI13" i="21"/>
  <c r="AI15" i="21"/>
  <c r="AI22" i="21"/>
  <c r="AI29" i="21"/>
  <c r="AI31" i="21"/>
  <c r="AJ10" i="21"/>
  <c r="AJ14" i="21"/>
  <c r="AJ18" i="21"/>
  <c r="AJ22" i="21"/>
  <c r="AJ26" i="21"/>
  <c r="AJ30" i="21"/>
  <c r="AJ34" i="21"/>
  <c r="AH23" i="21"/>
  <c r="AI10" i="21"/>
  <c r="AI17" i="21"/>
  <c r="AI19" i="21"/>
  <c r="AI26" i="21"/>
  <c r="AI33" i="21"/>
  <c r="AI35" i="21"/>
  <c r="AJ8" i="21"/>
  <c r="AJ9" i="21"/>
  <c r="AJ13" i="21"/>
  <c r="AJ17" i="21"/>
  <c r="AJ21" i="21"/>
  <c r="AJ25" i="21"/>
  <c r="AJ29" i="21"/>
  <c r="AJ33" i="21"/>
  <c r="AK11" i="21"/>
  <c r="AK15" i="21"/>
  <c r="AK19" i="21"/>
  <c r="AK23" i="21"/>
  <c r="AK27" i="21"/>
  <c r="AK31" i="21"/>
  <c r="AK35" i="21"/>
  <c r="AJ12" i="21"/>
  <c r="AJ28" i="21"/>
  <c r="AK9" i="21"/>
  <c r="AK16" i="21"/>
  <c r="AK18" i="21"/>
  <c r="AK25" i="21"/>
  <c r="AK32" i="21"/>
  <c r="AK34" i="21"/>
  <c r="AJ24" i="21"/>
  <c r="AK8" i="21"/>
  <c r="AK13" i="21"/>
  <c r="AK20" i="21"/>
  <c r="AK22" i="21"/>
  <c r="AK29" i="21"/>
  <c r="AI14" i="21"/>
  <c r="AI21" i="21"/>
  <c r="AJ20" i="21"/>
  <c r="AK10" i="21"/>
  <c r="AK17" i="21"/>
  <c r="AK24" i="21"/>
  <c r="AK26" i="21"/>
  <c r="AK33" i="21"/>
  <c r="AI23" i="21"/>
  <c r="AK30" i="21"/>
  <c r="AI30" i="21"/>
  <c r="AJ32" i="21"/>
  <c r="AJ16" i="21"/>
  <c r="AK12" i="21"/>
  <c r="AK14" i="21"/>
  <c r="AK21" i="21"/>
  <c r="AK38" i="21"/>
  <c r="AK37" i="21"/>
  <c r="AK36" i="21"/>
  <c r="AH38" i="21"/>
  <c r="AH37" i="21"/>
  <c r="AH36" i="21"/>
  <c r="AI38" i="21"/>
  <c r="AI37" i="21"/>
  <c r="AI36" i="21"/>
  <c r="AJ37" i="21"/>
  <c r="AK28" i="21"/>
  <c r="AJ38" i="21"/>
  <c r="AJ36" i="21"/>
  <c r="E149" i="14"/>
  <c r="B148" i="14"/>
  <c r="C148" i="14"/>
  <c r="D148" i="14" s="1"/>
  <c r="AN148" i="14"/>
  <c r="Q148" i="14"/>
  <c r="H147" i="15"/>
  <c r="J148" i="14"/>
  <c r="L380" i="14"/>
  <c r="AI373" i="14"/>
  <c r="CI373" i="14" s="1"/>
  <c r="CH373" i="14" s="1"/>
  <c r="AG373" i="14"/>
  <c r="AG339" i="14"/>
  <c r="L346" i="14"/>
  <c r="AI339" i="14"/>
  <c r="CI339" i="14" s="1"/>
  <c r="CH339" i="14" s="1"/>
  <c r="O163" i="21"/>
  <c r="H194" i="29" s="1"/>
  <c r="H2" i="29" s="1"/>
  <c r="L334" i="14"/>
  <c r="AG327" i="14"/>
  <c r="AI327" i="14"/>
  <c r="CI327" i="14" s="1"/>
  <c r="CH327" i="14" s="1"/>
  <c r="I154" i="21"/>
  <c r="I162" i="21"/>
  <c r="K47" i="21"/>
  <c r="CZ60" i="14"/>
  <c r="DA59" i="14"/>
  <c r="CY72" i="14"/>
  <c r="CG265" i="14"/>
  <c r="CF265" i="14"/>
  <c r="H162" i="21"/>
  <c r="H154" i="21"/>
  <c r="H47" i="21"/>
  <c r="L316" i="14"/>
  <c r="AI309" i="14"/>
  <c r="CI309" i="14" s="1"/>
  <c r="CH309" i="14" s="1"/>
  <c r="AG309" i="14"/>
  <c r="L328" i="14"/>
  <c r="AI321" i="14"/>
  <c r="CI321" i="14" s="1"/>
  <c r="CH321" i="14" s="1"/>
  <c r="AG321" i="14"/>
  <c r="L340" i="14"/>
  <c r="AI333" i="14"/>
  <c r="CI333" i="14" s="1"/>
  <c r="CH333" i="14" s="1"/>
  <c r="AG333" i="14"/>
  <c r="L322" i="14"/>
  <c r="AG315" i="14"/>
  <c r="AI315" i="14"/>
  <c r="CI315" i="14" s="1"/>
  <c r="CH315" i="14" s="1"/>
  <c r="J154" i="21"/>
  <c r="J162" i="21"/>
  <c r="N47" i="21"/>
  <c r="H110" i="29"/>
  <c r="J5" i="29"/>
  <c r="J110" i="29" s="1"/>
  <c r="G162" i="21"/>
  <c r="H10" i="29" s="1"/>
  <c r="H13" i="29" s="1"/>
  <c r="H51" i="29" s="1"/>
  <c r="G154" i="21"/>
  <c r="P368" i="1" s="1"/>
  <c r="P377" i="1" s="1"/>
  <c r="G47" i="21"/>
  <c r="G273" i="1" l="1"/>
  <c r="H6" i="29"/>
  <c r="G215" i="2"/>
  <c r="G193" i="2" s="1"/>
  <c r="I215" i="2"/>
  <c r="I193" i="2" s="1"/>
  <c r="G141" i="2"/>
  <c r="H141" i="2" s="1"/>
  <c r="I141" i="2" s="1"/>
  <c r="D141" i="2" s="1"/>
  <c r="H215" i="2"/>
  <c r="H193" i="2" s="1"/>
  <c r="G145" i="2"/>
  <c r="H145" i="2" s="1"/>
  <c r="I145" i="2" s="1"/>
  <c r="D145" i="2" s="1"/>
  <c r="J215" i="2"/>
  <c r="K193" i="2" s="1"/>
  <c r="J20" i="29"/>
  <c r="J19" i="29"/>
  <c r="G7" i="18"/>
  <c r="K273" i="1"/>
  <c r="G51" i="29"/>
  <c r="J13" i="29"/>
  <c r="G6" i="29"/>
  <c r="J6" i="29" s="1"/>
  <c r="J18" i="29"/>
  <c r="E48" i="2"/>
  <c r="J10" i="29"/>
  <c r="G53" i="21"/>
  <c r="I53" i="21" s="1"/>
  <c r="L53" i="21" s="1"/>
  <c r="E47" i="21"/>
  <c r="E7" i="18"/>
  <c r="K108" i="18" s="1"/>
  <c r="E39" i="2"/>
  <c r="D364" i="1"/>
  <c r="G140" i="2"/>
  <c r="H140" i="2" s="1"/>
  <c r="I140" i="2" s="1"/>
  <c r="D140" i="2" s="1"/>
  <c r="G139" i="2"/>
  <c r="H139" i="2" s="1"/>
  <c r="I139" i="2" s="1"/>
  <c r="D139" i="2" s="1"/>
  <c r="D305" i="1"/>
  <c r="D348" i="1"/>
  <c r="C107" i="29"/>
  <c r="C91" i="21"/>
  <c r="I150" i="2"/>
  <c r="C110" i="29"/>
  <c r="AH11" i="2"/>
  <c r="AJ32" i="2"/>
  <c r="AI38" i="2"/>
  <c r="AK32" i="2"/>
  <c r="AK26" i="2"/>
  <c r="AH13" i="2"/>
  <c r="AH31" i="2"/>
  <c r="AI22" i="2"/>
  <c r="AJ13" i="2"/>
  <c r="AJ31" i="2"/>
  <c r="AK22" i="2"/>
  <c r="AJ36" i="2"/>
  <c r="AI25" i="2"/>
  <c r="AJ25" i="2"/>
  <c r="AK16" i="2"/>
  <c r="AK35" i="2"/>
  <c r="AH19" i="2"/>
  <c r="AI10" i="2"/>
  <c r="AI29" i="2"/>
  <c r="AJ19" i="2"/>
  <c r="AK10" i="2"/>
  <c r="AK29" i="2"/>
  <c r="AH16" i="2"/>
  <c r="AH35" i="2"/>
  <c r="AK37" i="2"/>
  <c r="AH23" i="2"/>
  <c r="AI14" i="2"/>
  <c r="AI33" i="2"/>
  <c r="AJ23" i="2"/>
  <c r="AK14" i="2"/>
  <c r="AK33" i="2"/>
  <c r="AH32" i="2"/>
  <c r="AJ38" i="2"/>
  <c r="AJ11" i="2"/>
  <c r="AH26" i="2"/>
  <c r="AI11" i="2"/>
  <c r="AH17" i="2"/>
  <c r="AI8" i="2"/>
  <c r="AI27" i="2"/>
  <c r="AJ17" i="2"/>
  <c r="AK8" i="2"/>
  <c r="AK27" i="2"/>
  <c r="AH12" i="2"/>
  <c r="AJ12" i="2"/>
  <c r="AJ30" i="2"/>
  <c r="AK21" i="2"/>
  <c r="AK36" i="2"/>
  <c r="AH24" i="2"/>
  <c r="AI15" i="2"/>
  <c r="AI34" i="2"/>
  <c r="AJ24" i="2"/>
  <c r="AK15" i="2"/>
  <c r="AK34" i="2"/>
  <c r="AH21" i="2"/>
  <c r="AI21" i="2"/>
  <c r="AH9" i="2"/>
  <c r="AH28" i="2"/>
  <c r="AI18" i="2"/>
  <c r="AJ9" i="2"/>
  <c r="AJ28" i="2"/>
  <c r="AK18" i="2"/>
  <c r="AI37" i="2"/>
  <c r="AH38" i="2"/>
  <c r="AK20" i="2"/>
  <c r="AK38" i="2"/>
  <c r="AI26" i="2"/>
  <c r="AK11" i="2"/>
  <c r="AH22" i="2"/>
  <c r="AI13" i="2"/>
  <c r="AI31" i="2"/>
  <c r="AJ22" i="2"/>
  <c r="AK13" i="2"/>
  <c r="AK31" i="2"/>
  <c r="AI12" i="2"/>
  <c r="AJ16" i="2"/>
  <c r="AJ35" i="2"/>
  <c r="AK25" i="2"/>
  <c r="AH10" i="2"/>
  <c r="AH29" i="2"/>
  <c r="AI19" i="2"/>
  <c r="AJ10" i="2"/>
  <c r="AJ29" i="2"/>
  <c r="AK19" i="2"/>
  <c r="AH37" i="2"/>
  <c r="AH25" i="2"/>
  <c r="AI30" i="2"/>
  <c r="AH14" i="2"/>
  <c r="AH33" i="2"/>
  <c r="AI23" i="2"/>
  <c r="AJ14" i="2"/>
  <c r="AJ33" i="2"/>
  <c r="AK23" i="2"/>
  <c r="AI36" i="2"/>
  <c r="AH20" i="2"/>
  <c r="AJ26" i="2"/>
  <c r="AJ8" i="2"/>
  <c r="AI16" i="2"/>
  <c r="AH15" i="2"/>
  <c r="AJ34" i="2"/>
  <c r="AI35" i="2"/>
  <c r="AJ18" i="2"/>
  <c r="AJ20" i="2"/>
  <c r="AH8" i="2"/>
  <c r="AJ27" i="2"/>
  <c r="AJ21" i="2"/>
  <c r="AH34" i="2"/>
  <c r="AK24" i="2"/>
  <c r="AH18" i="2"/>
  <c r="AK9" i="2"/>
  <c r="AI32" i="2"/>
  <c r="AH27" i="2"/>
  <c r="AK17" i="2"/>
  <c r="AK12" i="2"/>
  <c r="AI24" i="2"/>
  <c r="AH36" i="2"/>
  <c r="AI9" i="2"/>
  <c r="AK28" i="2"/>
  <c r="AI20" i="2"/>
  <c r="AI17" i="2"/>
  <c r="AJ37" i="2"/>
  <c r="AK30" i="2"/>
  <c r="AJ15" i="2"/>
  <c r="AH30" i="2"/>
  <c r="AI28" i="2"/>
  <c r="J154" i="2"/>
  <c r="J162" i="2"/>
  <c r="N47" i="2"/>
  <c r="CF144" i="14"/>
  <c r="CG144" i="14"/>
  <c r="H154" i="2"/>
  <c r="H162" i="2"/>
  <c r="H47" i="2"/>
  <c r="O163" i="2"/>
  <c r="C194" i="29" s="1"/>
  <c r="C2" i="29" s="1"/>
  <c r="G150" i="2"/>
  <c r="K47" i="2"/>
  <c r="I162" i="2"/>
  <c r="I154" i="2"/>
  <c r="G47" i="2"/>
  <c r="G154" i="2"/>
  <c r="D368" i="1" s="1"/>
  <c r="C20" i="29" s="1"/>
  <c r="C19" i="29" s="1"/>
  <c r="G162" i="2"/>
  <c r="C10" i="29" s="1"/>
  <c r="J150" i="2"/>
  <c r="H150" i="2"/>
  <c r="P333" i="1"/>
  <c r="P334" i="1" s="1"/>
  <c r="AS31" i="20"/>
  <c r="CO228" i="14" s="1"/>
  <c r="AT228" i="14"/>
  <c r="AS9" i="20"/>
  <c r="CO206" i="14" s="1"/>
  <c r="AT206" i="14"/>
  <c r="AT220" i="14"/>
  <c r="AS23" i="20"/>
  <c r="CO220" i="14" s="1"/>
  <c r="AT225" i="14"/>
  <c r="AS28" i="20"/>
  <c r="CO225" i="14" s="1"/>
  <c r="AS32" i="20"/>
  <c r="CO229" i="14" s="1"/>
  <c r="AT229" i="14"/>
  <c r="AT223" i="14"/>
  <c r="AS26" i="20"/>
  <c r="CO223" i="14" s="1"/>
  <c r="AT226" i="14"/>
  <c r="AS29" i="20"/>
  <c r="CO226" i="14" s="1"/>
  <c r="AT234" i="14"/>
  <c r="AS37" i="20"/>
  <c r="CO234" i="14" s="1"/>
  <c r="AT209" i="14"/>
  <c r="AS12" i="20"/>
  <c r="CO209" i="14" s="1"/>
  <c r="AS24" i="20"/>
  <c r="CO221" i="14" s="1"/>
  <c r="AT221" i="14"/>
  <c r="AT211" i="14"/>
  <c r="AS14" i="20"/>
  <c r="CO211" i="14" s="1"/>
  <c r="AS20" i="20"/>
  <c r="CO217" i="14" s="1"/>
  <c r="AT217" i="14"/>
  <c r="AS25" i="20"/>
  <c r="CO222" i="14" s="1"/>
  <c r="AT222" i="14"/>
  <c r="AS36" i="20"/>
  <c r="CO233" i="14" s="1"/>
  <c r="AT233" i="14"/>
  <c r="AT232" i="14"/>
  <c r="AS35" i="20"/>
  <c r="CO232" i="14" s="1"/>
  <c r="AS33" i="20"/>
  <c r="CO230" i="14" s="1"/>
  <c r="AT230" i="14"/>
  <c r="AS8" i="20"/>
  <c r="CO205" i="14" s="1"/>
  <c r="AT205" i="14"/>
  <c r="AS30" i="20"/>
  <c r="CO227" i="14" s="1"/>
  <c r="AT227" i="14"/>
  <c r="AS22" i="20"/>
  <c r="CO219" i="14" s="1"/>
  <c r="AT219" i="14"/>
  <c r="AT207" i="14"/>
  <c r="AS10" i="20"/>
  <c r="CO207" i="14" s="1"/>
  <c r="AT214" i="14"/>
  <c r="AS17" i="20"/>
  <c r="CO214" i="14" s="1"/>
  <c r="AS27" i="20"/>
  <c r="CO224" i="14" s="1"/>
  <c r="AT224" i="14"/>
  <c r="AS21" i="20"/>
  <c r="CO218" i="14" s="1"/>
  <c r="AT218" i="14"/>
  <c r="AT210" i="14"/>
  <c r="AS13" i="20"/>
  <c r="CO210" i="14" s="1"/>
  <c r="AT215" i="14"/>
  <c r="AS18" i="20"/>
  <c r="CO215" i="14" s="1"/>
  <c r="AS11" i="20"/>
  <c r="CO208" i="14" s="1"/>
  <c r="AT208" i="14"/>
  <c r="AS19" i="20"/>
  <c r="CO216" i="14" s="1"/>
  <c r="AT216" i="14"/>
  <c r="AS16" i="20"/>
  <c r="CO213" i="14" s="1"/>
  <c r="AT213" i="14"/>
  <c r="AS15" i="20"/>
  <c r="CO212" i="14" s="1"/>
  <c r="AT212" i="14"/>
  <c r="AS34" i="20"/>
  <c r="CO231" i="14" s="1"/>
  <c r="AT231" i="14"/>
  <c r="CY73" i="14"/>
  <c r="CY79" i="14"/>
  <c r="CY80" i="14" s="1"/>
  <c r="CY74" i="14"/>
  <c r="CY77" i="14"/>
  <c r="CY78" i="14"/>
  <c r="CY76" i="14"/>
  <c r="CY75" i="14"/>
  <c r="AI346" i="14"/>
  <c r="CI346" i="14" s="1"/>
  <c r="CH346" i="14" s="1"/>
  <c r="AG346" i="14"/>
  <c r="L353" i="14"/>
  <c r="AW28" i="21"/>
  <c r="CS255" i="14" s="1"/>
  <c r="AX255" i="14"/>
  <c r="AV265" i="14"/>
  <c r="AU38" i="21"/>
  <c r="CQ265" i="14" s="1"/>
  <c r="AW36" i="21"/>
  <c r="CS263" i="14" s="1"/>
  <c r="AX263" i="14"/>
  <c r="AW14" i="21"/>
  <c r="CS241" i="14" s="1"/>
  <c r="AX241" i="14"/>
  <c r="AU30" i="21"/>
  <c r="CQ257" i="14" s="1"/>
  <c r="AV257" i="14"/>
  <c r="AW26" i="21"/>
  <c r="CS253" i="14" s="1"/>
  <c r="AX253" i="14"/>
  <c r="AV20" i="21"/>
  <c r="CR247" i="14" s="1"/>
  <c r="AW247" i="14"/>
  <c r="AW22" i="21"/>
  <c r="CS249" i="14" s="1"/>
  <c r="AX249" i="14"/>
  <c r="AV24" i="21"/>
  <c r="CR251" i="14" s="1"/>
  <c r="AW251" i="14"/>
  <c r="AW18" i="21"/>
  <c r="CS245" i="14" s="1"/>
  <c r="AX245" i="14"/>
  <c r="AV12" i="21"/>
  <c r="CR239" i="14" s="1"/>
  <c r="AW239" i="14"/>
  <c r="AW23" i="21"/>
  <c r="CS250" i="14" s="1"/>
  <c r="AX250" i="14"/>
  <c r="AV33" i="21"/>
  <c r="CR260" i="14" s="1"/>
  <c r="AW260" i="14"/>
  <c r="AV17" i="21"/>
  <c r="CR244" i="14" s="1"/>
  <c r="AW244" i="14"/>
  <c r="AU35" i="21"/>
  <c r="CQ262" i="14" s="1"/>
  <c r="AV262" i="14"/>
  <c r="AU17" i="21"/>
  <c r="CQ244" i="14" s="1"/>
  <c r="AV244" i="14"/>
  <c r="AV30" i="21"/>
  <c r="CR257" i="14" s="1"/>
  <c r="AW257" i="14"/>
  <c r="AV14" i="21"/>
  <c r="CR241" i="14" s="1"/>
  <c r="AW241" i="14"/>
  <c r="AU22" i="21"/>
  <c r="CQ249" i="14" s="1"/>
  <c r="AV249" i="14"/>
  <c r="AV35" i="21"/>
  <c r="CR262" i="14" s="1"/>
  <c r="AW262" i="14"/>
  <c r="AV19" i="21"/>
  <c r="CR246" i="14" s="1"/>
  <c r="AW246" i="14"/>
  <c r="AU27" i="21"/>
  <c r="CQ254" i="14" s="1"/>
  <c r="AV254" i="14"/>
  <c r="AU9" i="21"/>
  <c r="CQ236" i="14" s="1"/>
  <c r="AV236" i="14"/>
  <c r="AU28" i="21"/>
  <c r="CQ255" i="14" s="1"/>
  <c r="AV255" i="14"/>
  <c r="AU12" i="21"/>
  <c r="CQ239" i="14" s="1"/>
  <c r="AV239" i="14"/>
  <c r="AT32" i="21"/>
  <c r="CP259" i="14" s="1"/>
  <c r="AU259" i="14"/>
  <c r="AG32" i="21"/>
  <c r="AT28" i="21"/>
  <c r="CP255" i="14" s="1"/>
  <c r="AU255" i="14"/>
  <c r="AG28" i="21"/>
  <c r="AT30" i="21"/>
  <c r="CP257" i="14" s="1"/>
  <c r="AU257" i="14"/>
  <c r="AG30" i="21"/>
  <c r="AT14" i="21"/>
  <c r="CP241" i="14" s="1"/>
  <c r="AU241" i="14"/>
  <c r="AG14" i="21"/>
  <c r="AT25" i="21"/>
  <c r="CP252" i="14" s="1"/>
  <c r="AU252" i="14"/>
  <c r="AG25" i="21"/>
  <c r="AT9" i="21"/>
  <c r="CP236" i="14" s="1"/>
  <c r="AU236" i="14"/>
  <c r="AG9" i="21"/>
  <c r="AV37" i="21"/>
  <c r="CR264" i="14" s="1"/>
  <c r="AW264" i="14"/>
  <c r="AT36" i="21"/>
  <c r="CP263" i="14" s="1"/>
  <c r="AU263" i="14"/>
  <c r="AG36" i="21"/>
  <c r="AW37" i="21"/>
  <c r="CS264" i="14" s="1"/>
  <c r="AX264" i="14"/>
  <c r="AW12" i="21"/>
  <c r="CS239" i="14" s="1"/>
  <c r="AX239" i="14"/>
  <c r="AW30" i="21"/>
  <c r="CS257" i="14" s="1"/>
  <c r="AX257" i="14"/>
  <c r="AW24" i="21"/>
  <c r="CS251" i="14" s="1"/>
  <c r="AX251" i="14"/>
  <c r="AU21" i="21"/>
  <c r="CQ248" i="14" s="1"/>
  <c r="AV248" i="14"/>
  <c r="AW20" i="21"/>
  <c r="CS247" i="14" s="1"/>
  <c r="AX247" i="14"/>
  <c r="AW34" i="21"/>
  <c r="CS261" i="14" s="1"/>
  <c r="AX261" i="14"/>
  <c r="AW16" i="21"/>
  <c r="CS243" i="14" s="1"/>
  <c r="AX243" i="14"/>
  <c r="AW35" i="21"/>
  <c r="CS262" i="14" s="1"/>
  <c r="AX262" i="14"/>
  <c r="AW19" i="21"/>
  <c r="CS246" i="14" s="1"/>
  <c r="AX246" i="14"/>
  <c r="AV29" i="21"/>
  <c r="CR256" i="14" s="1"/>
  <c r="AW256" i="14"/>
  <c r="AV13" i="21"/>
  <c r="CR240" i="14" s="1"/>
  <c r="AW240" i="14"/>
  <c r="AU33" i="21"/>
  <c r="CQ260" i="14" s="1"/>
  <c r="AV260" i="14"/>
  <c r="AU10" i="21"/>
  <c r="CQ237" i="14" s="1"/>
  <c r="AV237" i="14"/>
  <c r="AV26" i="21"/>
  <c r="CR253" i="14" s="1"/>
  <c r="AW253" i="14"/>
  <c r="AV10" i="21"/>
  <c r="CR237" i="14" s="1"/>
  <c r="AW237" i="14"/>
  <c r="AU15" i="21"/>
  <c r="CQ242" i="14" s="1"/>
  <c r="AV242" i="14"/>
  <c r="AV31" i="21"/>
  <c r="CR258" i="14" s="1"/>
  <c r="AW258" i="14"/>
  <c r="AV15" i="21"/>
  <c r="CR242" i="14" s="1"/>
  <c r="AW242" i="14"/>
  <c r="AU25" i="21"/>
  <c r="CQ252" i="14" s="1"/>
  <c r="AV252" i="14"/>
  <c r="AU8" i="21"/>
  <c r="CQ235" i="14" s="1"/>
  <c r="AV235" i="14"/>
  <c r="AU24" i="21"/>
  <c r="CQ251" i="14" s="1"/>
  <c r="AV251" i="14"/>
  <c r="AT15" i="21"/>
  <c r="CP242" i="14" s="1"/>
  <c r="AU242" i="14"/>
  <c r="AG15" i="21"/>
  <c r="AT31" i="21"/>
  <c r="CP258" i="14" s="1"/>
  <c r="AU258" i="14"/>
  <c r="AG31" i="21"/>
  <c r="AT20" i="21"/>
  <c r="CP247" i="14" s="1"/>
  <c r="AU247" i="14"/>
  <c r="AG20" i="21"/>
  <c r="AT26" i="21"/>
  <c r="CP253" i="14" s="1"/>
  <c r="AU253" i="14"/>
  <c r="AG26" i="21"/>
  <c r="AT10" i="21"/>
  <c r="CP237" i="14" s="1"/>
  <c r="AU237" i="14"/>
  <c r="AG10" i="21"/>
  <c r="AT21" i="21"/>
  <c r="CP248" i="14" s="1"/>
  <c r="AU248" i="14"/>
  <c r="AG21" i="21"/>
  <c r="AT8" i="21"/>
  <c r="CP235" i="14" s="1"/>
  <c r="AU235" i="14"/>
  <c r="AG8" i="21"/>
  <c r="E210" i="14"/>
  <c r="B209" i="14"/>
  <c r="C209" i="14"/>
  <c r="D209" i="14" s="1"/>
  <c r="AN209" i="14"/>
  <c r="Q209" i="14"/>
  <c r="J209" i="14"/>
  <c r="H208" i="15"/>
  <c r="DC59" i="14"/>
  <c r="DB60" i="14"/>
  <c r="DA72" i="14"/>
  <c r="AI334" i="14"/>
  <c r="CI334" i="14" s="1"/>
  <c r="CH334" i="14" s="1"/>
  <c r="L341" i="14"/>
  <c r="AG334" i="14"/>
  <c r="AV36" i="21"/>
  <c r="CR263" i="14" s="1"/>
  <c r="AW263" i="14"/>
  <c r="AU36" i="21"/>
  <c r="CQ263" i="14" s="1"/>
  <c r="AV263" i="14"/>
  <c r="AT37" i="21"/>
  <c r="CP264" i="14" s="1"/>
  <c r="AU264" i="14"/>
  <c r="AG37" i="21"/>
  <c r="AW38" i="21"/>
  <c r="CS265" i="14" s="1"/>
  <c r="AX265" i="14"/>
  <c r="AV16" i="21"/>
  <c r="CR243" i="14" s="1"/>
  <c r="AW243" i="14"/>
  <c r="AU23" i="21"/>
  <c r="CQ250" i="14" s="1"/>
  <c r="AV250" i="14"/>
  <c r="AW17" i="21"/>
  <c r="CS244" i="14" s="1"/>
  <c r="AX244" i="14"/>
  <c r="AU14" i="21"/>
  <c r="CQ241" i="14" s="1"/>
  <c r="AV241" i="14"/>
  <c r="AW13" i="21"/>
  <c r="CS240" i="14" s="1"/>
  <c r="AX240" i="14"/>
  <c r="AW32" i="21"/>
  <c r="CS259" i="14" s="1"/>
  <c r="AX259" i="14"/>
  <c r="AW9" i="21"/>
  <c r="CS236" i="14" s="1"/>
  <c r="AX236" i="14"/>
  <c r="AW31" i="21"/>
  <c r="CS258" i="14" s="1"/>
  <c r="AX258" i="14"/>
  <c r="AW15" i="21"/>
  <c r="CS242" i="14" s="1"/>
  <c r="AX242" i="14"/>
  <c r="AV25" i="21"/>
  <c r="CR252" i="14" s="1"/>
  <c r="AW252" i="14"/>
  <c r="AV9" i="21"/>
  <c r="CR236" i="14" s="1"/>
  <c r="AW236" i="14"/>
  <c r="AU26" i="21"/>
  <c r="CQ253" i="14" s="1"/>
  <c r="AV253" i="14"/>
  <c r="AT23" i="21"/>
  <c r="CP250" i="14" s="1"/>
  <c r="AU250" i="14"/>
  <c r="AG23" i="21"/>
  <c r="AV22" i="21"/>
  <c r="CR249" i="14" s="1"/>
  <c r="AW249" i="14"/>
  <c r="AU31" i="21"/>
  <c r="CQ258" i="14" s="1"/>
  <c r="AV258" i="14"/>
  <c r="AU13" i="21"/>
  <c r="CQ240" i="14" s="1"/>
  <c r="AV240" i="14"/>
  <c r="AV27" i="21"/>
  <c r="CR254" i="14" s="1"/>
  <c r="AW254" i="14"/>
  <c r="AV11" i="21"/>
  <c r="CR238" i="14" s="1"/>
  <c r="AW238" i="14"/>
  <c r="AU18" i="21"/>
  <c r="CQ245" i="14" s="1"/>
  <c r="AV245" i="14"/>
  <c r="AT16" i="21"/>
  <c r="CP243" i="14" s="1"/>
  <c r="AU243" i="14"/>
  <c r="AG16" i="21"/>
  <c r="AU20" i="21"/>
  <c r="CQ247" i="14" s="1"/>
  <c r="AV247" i="14"/>
  <c r="AT11" i="21"/>
  <c r="CP238" i="14" s="1"/>
  <c r="AU238" i="14"/>
  <c r="AG11" i="21"/>
  <c r="AT27" i="21"/>
  <c r="CP254" i="14" s="1"/>
  <c r="AU254" i="14"/>
  <c r="AG27" i="21"/>
  <c r="AT12" i="21"/>
  <c r="CP239" i="14" s="1"/>
  <c r="AU239" i="14"/>
  <c r="AG12" i="21"/>
  <c r="AT22" i="21"/>
  <c r="CP249" i="14" s="1"/>
  <c r="AU249" i="14"/>
  <c r="AG22" i="21"/>
  <c r="AT33" i="21"/>
  <c r="CP260" i="14" s="1"/>
  <c r="AU260" i="14"/>
  <c r="AG33" i="21"/>
  <c r="AT17" i="21"/>
  <c r="CP244" i="14" s="1"/>
  <c r="AU244" i="14"/>
  <c r="AG17" i="21"/>
  <c r="AI322" i="14"/>
  <c r="CI322" i="14" s="1"/>
  <c r="CH322" i="14" s="1"/>
  <c r="L329" i="14"/>
  <c r="AG322" i="14"/>
  <c r="AI340" i="14"/>
  <c r="CI340" i="14" s="1"/>
  <c r="CH340" i="14" s="1"/>
  <c r="AG340" i="14"/>
  <c r="L347" i="14"/>
  <c r="AI328" i="14"/>
  <c r="CI328" i="14" s="1"/>
  <c r="CH328" i="14" s="1"/>
  <c r="AG328" i="14"/>
  <c r="L335" i="14"/>
  <c r="AI316" i="14"/>
  <c r="CI316" i="14" s="1"/>
  <c r="CH316" i="14" s="1"/>
  <c r="AG316" i="14"/>
  <c r="L323" i="14"/>
  <c r="AI380" i="14"/>
  <c r="CI380" i="14" s="1"/>
  <c r="CH380" i="14" s="1"/>
  <c r="AG380" i="14"/>
  <c r="L387" i="14"/>
  <c r="E150" i="14"/>
  <c r="B149" i="14"/>
  <c r="C149" i="14"/>
  <c r="D149" i="14" s="1"/>
  <c r="AN149" i="14"/>
  <c r="Q149" i="14"/>
  <c r="J149" i="14"/>
  <c r="H148" i="15"/>
  <c r="AV38" i="21"/>
  <c r="CR265" i="14" s="1"/>
  <c r="AW265" i="14"/>
  <c r="AU37" i="21"/>
  <c r="CQ264" i="14" s="1"/>
  <c r="AV264" i="14"/>
  <c r="AT38" i="21"/>
  <c r="CP265" i="14" s="1"/>
  <c r="AU265" i="14"/>
  <c r="AG38" i="21"/>
  <c r="AW21" i="21"/>
  <c r="CS248" i="14" s="1"/>
  <c r="AX248" i="14"/>
  <c r="AV32" i="21"/>
  <c r="CR259" i="14" s="1"/>
  <c r="AW259" i="14"/>
  <c r="AX260" i="14"/>
  <c r="AW33" i="21"/>
  <c r="CS260" i="14" s="1"/>
  <c r="AW10" i="21"/>
  <c r="CS237" i="14" s="1"/>
  <c r="AX237" i="14"/>
  <c r="AW29" i="21"/>
  <c r="CS256" i="14" s="1"/>
  <c r="AX256" i="14"/>
  <c r="AW8" i="21"/>
  <c r="CS235" i="14" s="1"/>
  <c r="AX235" i="14"/>
  <c r="AW25" i="21"/>
  <c r="CS252" i="14" s="1"/>
  <c r="AX252" i="14"/>
  <c r="AV28" i="21"/>
  <c r="CR255" i="14" s="1"/>
  <c r="AW255" i="14"/>
  <c r="AW27" i="21"/>
  <c r="CS254" i="14" s="1"/>
  <c r="AX254" i="14"/>
  <c r="AW11" i="21"/>
  <c r="CS238" i="14" s="1"/>
  <c r="AX238" i="14"/>
  <c r="AW248" i="14"/>
  <c r="AV21" i="21"/>
  <c r="CR248" i="14" s="1"/>
  <c r="AV8" i="21"/>
  <c r="CR235" i="14" s="1"/>
  <c r="AW235" i="14"/>
  <c r="AU19" i="21"/>
  <c r="CQ246" i="14" s="1"/>
  <c r="AV246" i="14"/>
  <c r="AV34" i="21"/>
  <c r="CR261" i="14" s="1"/>
  <c r="AW261" i="14"/>
  <c r="AV18" i="21"/>
  <c r="CR245" i="14" s="1"/>
  <c r="AW245" i="14"/>
  <c r="AU29" i="21"/>
  <c r="CQ256" i="14" s="1"/>
  <c r="AV256" i="14"/>
  <c r="AT19" i="21"/>
  <c r="CP246" i="14" s="1"/>
  <c r="AU246" i="14"/>
  <c r="AG19" i="21"/>
  <c r="AV23" i="21"/>
  <c r="CR250" i="14" s="1"/>
  <c r="AW250" i="14"/>
  <c r="AU34" i="21"/>
  <c r="CQ261" i="14" s="1"/>
  <c r="AV261" i="14"/>
  <c r="AU11" i="21"/>
  <c r="CQ238" i="14" s="1"/>
  <c r="AV238" i="14"/>
  <c r="AU32" i="21"/>
  <c r="CQ259" i="14" s="1"/>
  <c r="AV259" i="14"/>
  <c r="AU16" i="21"/>
  <c r="CQ243" i="14" s="1"/>
  <c r="AV243" i="14"/>
  <c r="AT35" i="21"/>
  <c r="CP262" i="14" s="1"/>
  <c r="AU262" i="14"/>
  <c r="AG35" i="21"/>
  <c r="AT24" i="21"/>
  <c r="CP251" i="14" s="1"/>
  <c r="AU251" i="14"/>
  <c r="AG24" i="21"/>
  <c r="AT34" i="21"/>
  <c r="CP261" i="14" s="1"/>
  <c r="AU261" i="14"/>
  <c r="AG34" i="21"/>
  <c r="AT18" i="21"/>
  <c r="CP245" i="14" s="1"/>
  <c r="AU245" i="14"/>
  <c r="AG18" i="21"/>
  <c r="AT29" i="21"/>
  <c r="CP256" i="14" s="1"/>
  <c r="AU256" i="14"/>
  <c r="AG29" i="21"/>
  <c r="AT13" i="21"/>
  <c r="CP240" i="14" s="1"/>
  <c r="AU240" i="14"/>
  <c r="AG13" i="21"/>
  <c r="L108" i="18" l="1"/>
  <c r="I185" i="2"/>
  <c r="I191" i="2"/>
  <c r="I188" i="2"/>
  <c r="I190" i="2"/>
  <c r="I187" i="2"/>
  <c r="I189" i="2"/>
  <c r="I184" i="2"/>
  <c r="I186" i="2"/>
  <c r="I183" i="2"/>
  <c r="I192" i="2"/>
  <c r="K186" i="2"/>
  <c r="K183" i="2"/>
  <c r="K185" i="2"/>
  <c r="K189" i="2"/>
  <c r="K192" i="2"/>
  <c r="K188" i="2"/>
  <c r="K190" i="2"/>
  <c r="K191" i="2"/>
  <c r="K184" i="2"/>
  <c r="K187" i="2"/>
  <c r="E215" i="2"/>
  <c r="H188" i="2"/>
  <c r="H190" i="2"/>
  <c r="H191" i="2"/>
  <c r="H184" i="2"/>
  <c r="H183" i="2"/>
  <c r="H185" i="2"/>
  <c r="H186" i="2"/>
  <c r="H189" i="2"/>
  <c r="H192" i="2"/>
  <c r="H187" i="2"/>
  <c r="G192" i="2"/>
  <c r="E193" i="2"/>
  <c r="E221" i="2"/>
  <c r="C13" i="29"/>
  <c r="G53" i="2"/>
  <c r="I53" i="2" s="1"/>
  <c r="L53" i="2" s="1"/>
  <c r="E47" i="2"/>
  <c r="D349" i="1"/>
  <c r="D365" i="1"/>
  <c r="H149" i="2"/>
  <c r="K139" i="2"/>
  <c r="J139" i="2"/>
  <c r="L139" i="2"/>
  <c r="G149" i="2"/>
  <c r="D377" i="1"/>
  <c r="D333" i="1"/>
  <c r="D334" i="1" s="1"/>
  <c r="D335" i="1" s="1"/>
  <c r="AU9" i="2"/>
  <c r="CQ115" i="14" s="1"/>
  <c r="AV115" i="14"/>
  <c r="AV27" i="2"/>
  <c r="CR133" i="14" s="1"/>
  <c r="AW133" i="14"/>
  <c r="AW114" i="14"/>
  <c r="AV8" i="2"/>
  <c r="CR114" i="14" s="1"/>
  <c r="AT33" i="2"/>
  <c r="CP139" i="14" s="1"/>
  <c r="AU139" i="14"/>
  <c r="AG33" i="2"/>
  <c r="AV125" i="14"/>
  <c r="AU19" i="2"/>
  <c r="CQ125" i="14" s="1"/>
  <c r="AW13" i="2"/>
  <c r="CS119" i="14" s="1"/>
  <c r="AX119" i="14"/>
  <c r="AT22" i="2"/>
  <c r="CP128" i="14" s="1"/>
  <c r="AG22" i="2"/>
  <c r="AU128" i="14"/>
  <c r="AW134" i="14"/>
  <c r="AV28" i="2"/>
  <c r="CR134" i="14" s="1"/>
  <c r="AX121" i="14"/>
  <c r="AW15" i="2"/>
  <c r="CS121" i="14" s="1"/>
  <c r="AW118" i="14"/>
  <c r="AV12" i="2"/>
  <c r="CR118" i="14" s="1"/>
  <c r="AU11" i="2"/>
  <c r="CQ117" i="14" s="1"/>
  <c r="AV117" i="14"/>
  <c r="AV139" i="14"/>
  <c r="AU33" i="2"/>
  <c r="CQ139" i="14" s="1"/>
  <c r="AW125" i="14"/>
  <c r="AV19" i="2"/>
  <c r="CR125" i="14" s="1"/>
  <c r="AW32" i="2"/>
  <c r="CS138" i="14" s="1"/>
  <c r="AX138" i="14"/>
  <c r="D391" i="1"/>
  <c r="D394" i="1"/>
  <c r="D393" i="1"/>
  <c r="D392" i="1"/>
  <c r="C91" i="2"/>
  <c r="AU136" i="14"/>
  <c r="AG30" i="2"/>
  <c r="AT30" i="2"/>
  <c r="CP136" i="14" s="1"/>
  <c r="AU17" i="2"/>
  <c r="CQ123" i="14" s="1"/>
  <c r="AV123" i="14"/>
  <c r="AG36" i="2"/>
  <c r="AU142" i="14"/>
  <c r="AT36" i="2"/>
  <c r="CP142" i="14" s="1"/>
  <c r="AU133" i="14"/>
  <c r="AT27" i="2"/>
  <c r="CP133" i="14" s="1"/>
  <c r="AG27" i="2"/>
  <c r="AX130" i="14"/>
  <c r="AW24" i="2"/>
  <c r="CS130" i="14" s="1"/>
  <c r="AU114" i="14"/>
  <c r="AT8" i="2"/>
  <c r="CP114" i="14" s="1"/>
  <c r="AG8" i="2"/>
  <c r="AV34" i="2"/>
  <c r="CR140" i="14" s="1"/>
  <c r="AW140" i="14"/>
  <c r="AW132" i="14"/>
  <c r="AV26" i="2"/>
  <c r="CR132" i="14" s="1"/>
  <c r="AW139" i="14"/>
  <c r="AV33" i="2"/>
  <c r="CR139" i="14" s="1"/>
  <c r="AT14" i="2"/>
  <c r="CP120" i="14" s="1"/>
  <c r="AU120" i="14"/>
  <c r="AG14" i="2"/>
  <c r="AW19" i="2"/>
  <c r="CS125" i="14" s="1"/>
  <c r="AX125" i="14"/>
  <c r="AT29" i="2"/>
  <c r="CP135" i="14" s="1"/>
  <c r="AG29" i="2"/>
  <c r="AU135" i="14"/>
  <c r="AV16" i="2"/>
  <c r="CR122" i="14" s="1"/>
  <c r="AW122" i="14"/>
  <c r="AW128" i="14"/>
  <c r="AV22" i="2"/>
  <c r="CR128" i="14" s="1"/>
  <c r="AW11" i="2"/>
  <c r="CS117" i="14" s="1"/>
  <c r="AX117" i="14"/>
  <c r="AG38" i="2"/>
  <c r="AT38" i="2"/>
  <c r="CP144" i="14" s="1"/>
  <c r="AU144" i="14"/>
  <c r="AV9" i="2"/>
  <c r="CR115" i="14" s="1"/>
  <c r="AW115" i="14"/>
  <c r="AU21" i="2"/>
  <c r="CQ127" i="14" s="1"/>
  <c r="AV127" i="14"/>
  <c r="AV24" i="2"/>
  <c r="CR130" i="14" s="1"/>
  <c r="AW130" i="14"/>
  <c r="AW36" i="2"/>
  <c r="CS142" i="14" s="1"/>
  <c r="AX142" i="14"/>
  <c r="AT12" i="2"/>
  <c r="CP118" i="14" s="1"/>
  <c r="AU118" i="14"/>
  <c r="AG12" i="2"/>
  <c r="AV133" i="14"/>
  <c r="AU27" i="2"/>
  <c r="CQ133" i="14" s="1"/>
  <c r="AG26" i="2"/>
  <c r="AU132" i="14"/>
  <c r="AT26" i="2"/>
  <c r="CP132" i="14" s="1"/>
  <c r="AW33" i="2"/>
  <c r="CS139" i="14" s="1"/>
  <c r="AX139" i="14"/>
  <c r="AU14" i="2"/>
  <c r="CQ120" i="14" s="1"/>
  <c r="AV120" i="14"/>
  <c r="AU122" i="14"/>
  <c r="AT16" i="2"/>
  <c r="CP122" i="14" s="1"/>
  <c r="AG16" i="2"/>
  <c r="AV135" i="14"/>
  <c r="AU29" i="2"/>
  <c r="CQ135" i="14" s="1"/>
  <c r="AW16" i="2"/>
  <c r="CS122" i="14" s="1"/>
  <c r="AX122" i="14"/>
  <c r="AX128" i="14"/>
  <c r="AW22" i="2"/>
  <c r="CS128" i="14" s="1"/>
  <c r="AG31" i="2"/>
  <c r="AU137" i="14"/>
  <c r="AT31" i="2"/>
  <c r="CP137" i="14" s="1"/>
  <c r="AV144" i="14"/>
  <c r="AU38" i="2"/>
  <c r="CQ144" i="14" s="1"/>
  <c r="AW143" i="14"/>
  <c r="AV37" i="2"/>
  <c r="CR143" i="14" s="1"/>
  <c r="AX123" i="14"/>
  <c r="AW17" i="2"/>
  <c r="CS123" i="14" s="1"/>
  <c r="AU35" i="2"/>
  <c r="CQ141" i="14" s="1"/>
  <c r="AV141" i="14"/>
  <c r="AW23" i="2"/>
  <c r="CS129" i="14" s="1"/>
  <c r="AX129" i="14"/>
  <c r="AU143" i="14"/>
  <c r="AT37" i="2"/>
  <c r="CP143" i="14" s="1"/>
  <c r="AG37" i="2"/>
  <c r="AW141" i="14"/>
  <c r="AV35" i="2"/>
  <c r="CR141" i="14" s="1"/>
  <c r="AW20" i="2"/>
  <c r="CS126" i="14" s="1"/>
  <c r="AX126" i="14"/>
  <c r="AU115" i="14"/>
  <c r="AG9" i="2"/>
  <c r="AT9" i="2"/>
  <c r="CP115" i="14" s="1"/>
  <c r="AU130" i="14"/>
  <c r="AG24" i="2"/>
  <c r="AT24" i="2"/>
  <c r="CP130" i="14" s="1"/>
  <c r="AV17" i="2"/>
  <c r="CR123" i="14" s="1"/>
  <c r="AW123" i="14"/>
  <c r="AG32" i="2"/>
  <c r="AU138" i="14"/>
  <c r="AT32" i="2"/>
  <c r="CP138" i="14" s="1"/>
  <c r="AT35" i="2"/>
  <c r="CP141" i="14" s="1"/>
  <c r="AU141" i="14"/>
  <c r="AG35" i="2"/>
  <c r="AX141" i="14"/>
  <c r="AW35" i="2"/>
  <c r="CS141" i="14" s="1"/>
  <c r="AW142" i="14"/>
  <c r="AV36" i="2"/>
  <c r="CR142" i="14" s="1"/>
  <c r="AW121" i="14"/>
  <c r="AV15" i="2"/>
  <c r="CR121" i="14" s="1"/>
  <c r="AU20" i="2"/>
  <c r="CQ126" i="14" s="1"/>
  <c r="AV126" i="14"/>
  <c r="AU24" i="2"/>
  <c r="CQ130" i="14" s="1"/>
  <c r="AV130" i="14"/>
  <c r="AV138" i="14"/>
  <c r="AU32" i="2"/>
  <c r="CQ138" i="14" s="1"/>
  <c r="AU140" i="14"/>
  <c r="AT34" i="2"/>
  <c r="CP140" i="14" s="1"/>
  <c r="AG34" i="2"/>
  <c r="AV20" i="2"/>
  <c r="CR126" i="14" s="1"/>
  <c r="AW126" i="14"/>
  <c r="AU121" i="14"/>
  <c r="AT15" i="2"/>
  <c r="CP121" i="14" s="1"/>
  <c r="AG15" i="2"/>
  <c r="AU126" i="14"/>
  <c r="AG20" i="2"/>
  <c r="AT20" i="2"/>
  <c r="CP126" i="14" s="1"/>
  <c r="AV14" i="2"/>
  <c r="CR120" i="14" s="1"/>
  <c r="AW120" i="14"/>
  <c r="AV136" i="14"/>
  <c r="AU30" i="2"/>
  <c r="CQ136" i="14" s="1"/>
  <c r="AW135" i="14"/>
  <c r="AV29" i="2"/>
  <c r="CR135" i="14" s="1"/>
  <c r="AG10" i="2"/>
  <c r="AU116" i="14"/>
  <c r="AT10" i="2"/>
  <c r="CP116" i="14" s="1"/>
  <c r="AV118" i="14"/>
  <c r="AU12" i="2"/>
  <c r="CQ118" i="14" s="1"/>
  <c r="AU31" i="2"/>
  <c r="CQ137" i="14" s="1"/>
  <c r="AV137" i="14"/>
  <c r="AV132" i="14"/>
  <c r="AU26" i="2"/>
  <c r="CQ132" i="14" s="1"/>
  <c r="AV143" i="14"/>
  <c r="AU37" i="2"/>
  <c r="CQ143" i="14" s="1"/>
  <c r="AU18" i="2"/>
  <c r="CQ124" i="14" s="1"/>
  <c r="AV124" i="14"/>
  <c r="AT21" i="2"/>
  <c r="CP127" i="14" s="1"/>
  <c r="AU127" i="14"/>
  <c r="AG21" i="2"/>
  <c r="AV140" i="14"/>
  <c r="AU34" i="2"/>
  <c r="CQ140" i="14" s="1"/>
  <c r="AW21" i="2"/>
  <c r="CS127" i="14" s="1"/>
  <c r="AX127" i="14"/>
  <c r="AW27" i="2"/>
  <c r="CS133" i="14" s="1"/>
  <c r="AX133" i="14"/>
  <c r="AU8" i="2"/>
  <c r="CQ114" i="14" s="1"/>
  <c r="AV114" i="14"/>
  <c r="AV11" i="2"/>
  <c r="CR117" i="14" s="1"/>
  <c r="AW117" i="14"/>
  <c r="AX120" i="14"/>
  <c r="AW14" i="2"/>
  <c r="CS120" i="14" s="1"/>
  <c r="AU129" i="14"/>
  <c r="AG23" i="2"/>
  <c r="AT23" i="2"/>
  <c r="CP129" i="14" s="1"/>
  <c r="AW29" i="2"/>
  <c r="CS135" i="14" s="1"/>
  <c r="AX135" i="14"/>
  <c r="AU10" i="2"/>
  <c r="CQ116" i="14" s="1"/>
  <c r="AV116" i="14"/>
  <c r="AW131" i="14"/>
  <c r="AV25" i="2"/>
  <c r="CR131" i="14" s="1"/>
  <c r="AV31" i="2"/>
  <c r="CR137" i="14" s="1"/>
  <c r="AW137" i="14"/>
  <c r="AU119" i="14"/>
  <c r="AT13" i="2"/>
  <c r="CP119" i="14" s="1"/>
  <c r="AG13" i="2"/>
  <c r="AV32" i="2"/>
  <c r="CR138" i="14" s="1"/>
  <c r="AW138" i="14"/>
  <c r="AU28" i="2"/>
  <c r="CQ134" i="14" s="1"/>
  <c r="AV134" i="14"/>
  <c r="AG18" i="2"/>
  <c r="AT18" i="2"/>
  <c r="CP124" i="14" s="1"/>
  <c r="AU124" i="14"/>
  <c r="AU22" i="2"/>
  <c r="CQ128" i="14" s="1"/>
  <c r="AV128" i="14"/>
  <c r="AX136" i="14"/>
  <c r="AW30" i="2"/>
  <c r="CS136" i="14" s="1"/>
  <c r="AW28" i="2"/>
  <c r="CS134" i="14" s="1"/>
  <c r="AX134" i="14"/>
  <c r="AW12" i="2"/>
  <c r="CS118" i="14" s="1"/>
  <c r="AX118" i="14"/>
  <c r="AW9" i="2"/>
  <c r="CS115" i="14" s="1"/>
  <c r="AX115" i="14"/>
  <c r="AW127" i="14"/>
  <c r="AV21" i="2"/>
  <c r="CR127" i="14" s="1"/>
  <c r="AV18" i="2"/>
  <c r="CR124" i="14" s="1"/>
  <c r="AW124" i="14"/>
  <c r="AU16" i="2"/>
  <c r="CQ122" i="14" s="1"/>
  <c r="AV122" i="14"/>
  <c r="AV142" i="14"/>
  <c r="AU36" i="2"/>
  <c r="CQ142" i="14" s="1"/>
  <c r="AV129" i="14"/>
  <c r="AU23" i="2"/>
  <c r="CQ129" i="14" s="1"/>
  <c r="AT25" i="2"/>
  <c r="CP131" i="14" s="1"/>
  <c r="AU131" i="14"/>
  <c r="AG25" i="2"/>
  <c r="AV10" i="2"/>
  <c r="CR116" i="14" s="1"/>
  <c r="AW116" i="14"/>
  <c r="AW25" i="2"/>
  <c r="CS131" i="14" s="1"/>
  <c r="AX131" i="14"/>
  <c r="AX137" i="14"/>
  <c r="AW31" i="2"/>
  <c r="CS137" i="14" s="1"/>
  <c r="AV119" i="14"/>
  <c r="AU13" i="2"/>
  <c r="CQ119" i="14" s="1"/>
  <c r="AW38" i="2"/>
  <c r="CS144" i="14" s="1"/>
  <c r="AX144" i="14"/>
  <c r="AW18" i="2"/>
  <c r="CS124" i="14" s="1"/>
  <c r="AX124" i="14"/>
  <c r="AT28" i="2"/>
  <c r="CP134" i="14" s="1"/>
  <c r="AU134" i="14"/>
  <c r="AG28" i="2"/>
  <c r="AW34" i="2"/>
  <c r="CS140" i="14" s="1"/>
  <c r="AX140" i="14"/>
  <c r="AU15" i="2"/>
  <c r="CQ121" i="14" s="1"/>
  <c r="AV121" i="14"/>
  <c r="AV30" i="2"/>
  <c r="CR136" i="14" s="1"/>
  <c r="AW136" i="14"/>
  <c r="AX114" i="14"/>
  <c r="AW8" i="2"/>
  <c r="CS114" i="14" s="1"/>
  <c r="AU123" i="14"/>
  <c r="AT17" i="2"/>
  <c r="CP123" i="14" s="1"/>
  <c r="AG17" i="2"/>
  <c r="AW144" i="14"/>
  <c r="AV38" i="2"/>
  <c r="CR144" i="14" s="1"/>
  <c r="AV23" i="2"/>
  <c r="CR129" i="14" s="1"/>
  <c r="AW129" i="14"/>
  <c r="AX143" i="14"/>
  <c r="AW37" i="2"/>
  <c r="CS143" i="14" s="1"/>
  <c r="AX116" i="14"/>
  <c r="AW10" i="2"/>
  <c r="CS116" i="14" s="1"/>
  <c r="AU125" i="14"/>
  <c r="AT19" i="2"/>
  <c r="CP125" i="14" s="1"/>
  <c r="AG19" i="2"/>
  <c r="AU25" i="2"/>
  <c r="CQ131" i="14" s="1"/>
  <c r="AV131" i="14"/>
  <c r="AW119" i="14"/>
  <c r="AV13" i="2"/>
  <c r="CR119" i="14" s="1"/>
  <c r="AX132" i="14"/>
  <c r="AW26" i="2"/>
  <c r="CS132" i="14" s="1"/>
  <c r="AU117" i="14"/>
  <c r="AT11" i="2"/>
  <c r="CP117" i="14" s="1"/>
  <c r="AG11" i="2"/>
  <c r="AS34" i="21"/>
  <c r="CO261" i="14" s="1"/>
  <c r="AT261" i="14"/>
  <c r="L330" i="14"/>
  <c r="AG323" i="14"/>
  <c r="AI323" i="14"/>
  <c r="CI323" i="14" s="1"/>
  <c r="CH323" i="14" s="1"/>
  <c r="L342" i="14"/>
  <c r="AG335" i="14"/>
  <c r="AI335" i="14"/>
  <c r="CI335" i="14" s="1"/>
  <c r="CH335" i="14" s="1"/>
  <c r="L354" i="14"/>
  <c r="AG347" i="14"/>
  <c r="AI347" i="14"/>
  <c r="CI347" i="14" s="1"/>
  <c r="CH347" i="14" s="1"/>
  <c r="AS17" i="21"/>
  <c r="CO244" i="14" s="1"/>
  <c r="AT244" i="14"/>
  <c r="AT254" i="14"/>
  <c r="AS27" i="21"/>
  <c r="CO254" i="14" s="1"/>
  <c r="AS16" i="21"/>
  <c r="CO243" i="14" s="1"/>
  <c r="AT243" i="14"/>
  <c r="AS37" i="21"/>
  <c r="CO264" i="14" s="1"/>
  <c r="AT264" i="14"/>
  <c r="AS26" i="21"/>
  <c r="CO253" i="14" s="1"/>
  <c r="AT253" i="14"/>
  <c r="AS36" i="21"/>
  <c r="CO263" i="14" s="1"/>
  <c r="AT263" i="14"/>
  <c r="AS9" i="21"/>
  <c r="CO236" i="14" s="1"/>
  <c r="AT236" i="14"/>
  <c r="AS28" i="21"/>
  <c r="CO255" i="14" s="1"/>
  <c r="AT255" i="14"/>
  <c r="AS18" i="21"/>
  <c r="CO245" i="14" s="1"/>
  <c r="AT245" i="14"/>
  <c r="E151" i="14"/>
  <c r="B150" i="14"/>
  <c r="C150" i="14"/>
  <c r="D150" i="14" s="1"/>
  <c r="AN150" i="14"/>
  <c r="Q150" i="14"/>
  <c r="H149" i="15"/>
  <c r="J150" i="14"/>
  <c r="AS12" i="21"/>
  <c r="CO239" i="14" s="1"/>
  <c r="AT239" i="14"/>
  <c r="DA73" i="14"/>
  <c r="DA75" i="14"/>
  <c r="DA77" i="14"/>
  <c r="DA79" i="14"/>
  <c r="DA80" i="14" s="1"/>
  <c r="DA76" i="14"/>
  <c r="DA74" i="14"/>
  <c r="DA78" i="14"/>
  <c r="E211" i="14"/>
  <c r="B210" i="14"/>
  <c r="AN210" i="14"/>
  <c r="C210" i="14"/>
  <c r="D210" i="14" s="1"/>
  <c r="Q210" i="14"/>
  <c r="H209" i="15"/>
  <c r="J210" i="14"/>
  <c r="AS10" i="21"/>
  <c r="CO237" i="14" s="1"/>
  <c r="AT237" i="14"/>
  <c r="AT242" i="14"/>
  <c r="AS15" i="21"/>
  <c r="CO242" i="14" s="1"/>
  <c r="AS30" i="21"/>
  <c r="CO257" i="14" s="1"/>
  <c r="AT257" i="14"/>
  <c r="AS29" i="21"/>
  <c r="CO256" i="14" s="1"/>
  <c r="AT256" i="14"/>
  <c r="AS35" i="21"/>
  <c r="CO262" i="14" s="1"/>
  <c r="AT262" i="14"/>
  <c r="AT265" i="14"/>
  <c r="AS38" i="21"/>
  <c r="CO265" i="14" s="1"/>
  <c r="AG387" i="14"/>
  <c r="AI387" i="14"/>
  <c r="CI387" i="14" s="1"/>
  <c r="CH387" i="14" s="1"/>
  <c r="L394" i="14"/>
  <c r="L336" i="14"/>
  <c r="AI329" i="14"/>
  <c r="CI329" i="14" s="1"/>
  <c r="CH329" i="14" s="1"/>
  <c r="AG329" i="14"/>
  <c r="AS22" i="21"/>
  <c r="CO249" i="14" s="1"/>
  <c r="AT249" i="14"/>
  <c r="AS21" i="21"/>
  <c r="CO248" i="14" s="1"/>
  <c r="AT248" i="14"/>
  <c r="AT258" i="14"/>
  <c r="AS31" i="21"/>
  <c r="CO258" i="14" s="1"/>
  <c r="AS14" i="21"/>
  <c r="CO241" i="14" s="1"/>
  <c r="AT241" i="14"/>
  <c r="L360" i="14"/>
  <c r="AI353" i="14"/>
  <c r="CI353" i="14" s="1"/>
  <c r="CH353" i="14" s="1"/>
  <c r="AG353" i="14"/>
  <c r="AS13" i="21"/>
  <c r="CO240" i="14" s="1"/>
  <c r="AT240" i="14"/>
  <c r="AS24" i="21"/>
  <c r="CO251" i="14" s="1"/>
  <c r="AT251" i="14"/>
  <c r="AS19" i="21"/>
  <c r="CO246" i="14" s="1"/>
  <c r="AT246" i="14"/>
  <c r="AS33" i="21"/>
  <c r="CO260" i="14" s="1"/>
  <c r="AT260" i="14"/>
  <c r="AT238" i="14"/>
  <c r="AS11" i="21"/>
  <c r="CO238" i="14" s="1"/>
  <c r="AT250" i="14"/>
  <c r="AS23" i="21"/>
  <c r="CO250" i="14" s="1"/>
  <c r="L348" i="14"/>
  <c r="AI341" i="14"/>
  <c r="CI341" i="14" s="1"/>
  <c r="CH341" i="14" s="1"/>
  <c r="AG341" i="14"/>
  <c r="DD60" i="14"/>
  <c r="DE59" i="14"/>
  <c r="DC72" i="14"/>
  <c r="AS8" i="21"/>
  <c r="CO235" i="14" s="1"/>
  <c r="AT235" i="14"/>
  <c r="AS20" i="21"/>
  <c r="CO247" i="14" s="1"/>
  <c r="AT247" i="14"/>
  <c r="AS25" i="21"/>
  <c r="CO252" i="14" s="1"/>
  <c r="AT252" i="14"/>
  <c r="AS32" i="21"/>
  <c r="CO259" i="14" s="1"/>
  <c r="AT259" i="14"/>
  <c r="E197" i="2" l="1"/>
  <c r="E184" i="2"/>
  <c r="E171" i="2"/>
  <c r="C51" i="29"/>
  <c r="C6" i="29"/>
  <c r="L140" i="2"/>
  <c r="L141" i="2"/>
  <c r="L142" i="2"/>
  <c r="D378" i="1"/>
  <c r="J141" i="2"/>
  <c r="J140" i="2"/>
  <c r="J142" i="2"/>
  <c r="K140" i="2"/>
  <c r="K142" i="2"/>
  <c r="K141" i="2"/>
  <c r="AS24" i="2"/>
  <c r="CO130" i="14" s="1"/>
  <c r="AT130" i="14"/>
  <c r="AT144" i="14"/>
  <c r="AS38" i="2"/>
  <c r="CO144" i="14" s="1"/>
  <c r="AT120" i="14"/>
  <c r="AS14" i="2"/>
  <c r="CO120" i="14" s="1"/>
  <c r="AS25" i="2"/>
  <c r="CO131" i="14" s="1"/>
  <c r="AT131" i="14"/>
  <c r="AS10" i="2"/>
  <c r="CO116" i="14" s="1"/>
  <c r="AT116" i="14"/>
  <c r="AS20" i="2"/>
  <c r="CO126" i="14" s="1"/>
  <c r="AT126" i="14"/>
  <c r="AS37" i="2"/>
  <c r="CO143" i="14" s="1"/>
  <c r="AT143" i="14"/>
  <c r="AS8" i="2"/>
  <c r="CO114" i="14" s="1"/>
  <c r="AT114" i="14"/>
  <c r="G216" i="2"/>
  <c r="H216" i="2"/>
  <c r="H217" i="2" s="1"/>
  <c r="D398" i="1"/>
  <c r="I216" i="2"/>
  <c r="I217" i="2" s="1"/>
  <c r="J216" i="2"/>
  <c r="J217" i="2" s="1"/>
  <c r="AT128" i="14"/>
  <c r="AS22" i="2"/>
  <c r="CO128" i="14" s="1"/>
  <c r="AT140" i="14"/>
  <c r="AS34" i="2"/>
  <c r="CO140" i="14" s="1"/>
  <c r="AT137" i="14"/>
  <c r="AS31" i="2"/>
  <c r="CO137" i="14" s="1"/>
  <c r="AS28" i="2"/>
  <c r="CO134" i="14" s="1"/>
  <c r="AT134" i="14"/>
  <c r="AT124" i="14"/>
  <c r="AS18" i="2"/>
  <c r="CO124" i="14" s="1"/>
  <c r="AT127" i="14"/>
  <c r="AS21" i="2"/>
  <c r="CO127" i="14" s="1"/>
  <c r="AT133" i="14"/>
  <c r="AS27" i="2"/>
  <c r="CO133" i="14" s="1"/>
  <c r="AS19" i="2"/>
  <c r="CO125" i="14" s="1"/>
  <c r="AT125" i="14"/>
  <c r="AS13" i="2"/>
  <c r="CO119" i="14" s="1"/>
  <c r="AT119" i="14"/>
  <c r="AS23" i="2"/>
  <c r="CO129" i="14" s="1"/>
  <c r="AT129" i="14"/>
  <c r="AS32" i="2"/>
  <c r="CO138" i="14" s="1"/>
  <c r="AT138" i="14"/>
  <c r="AT132" i="14"/>
  <c r="AS26" i="2"/>
  <c r="CO132" i="14" s="1"/>
  <c r="AS29" i="2"/>
  <c r="CO135" i="14" s="1"/>
  <c r="AT135" i="14"/>
  <c r="AS11" i="2"/>
  <c r="CO117" i="14" s="1"/>
  <c r="AT117" i="14"/>
  <c r="AT123" i="14"/>
  <c r="AS17" i="2"/>
  <c r="CO123" i="14" s="1"/>
  <c r="AT121" i="14"/>
  <c r="AS15" i="2"/>
  <c r="CO121" i="14" s="1"/>
  <c r="AT141" i="14"/>
  <c r="AS35" i="2"/>
  <c r="CO141" i="14" s="1"/>
  <c r="AT115" i="14"/>
  <c r="AS9" i="2"/>
  <c r="CO115" i="14" s="1"/>
  <c r="AS16" i="2"/>
  <c r="CO122" i="14" s="1"/>
  <c r="AT122" i="14"/>
  <c r="AS12" i="2"/>
  <c r="CO118" i="14" s="1"/>
  <c r="AT118" i="14"/>
  <c r="AS36" i="2"/>
  <c r="CO142" i="14" s="1"/>
  <c r="AT142" i="14"/>
  <c r="AS30" i="2"/>
  <c r="CO136" i="14" s="1"/>
  <c r="AT136" i="14"/>
  <c r="AT139" i="14"/>
  <c r="AS33" i="2"/>
  <c r="CO139" i="14" s="1"/>
  <c r="AI348" i="14"/>
  <c r="CI348" i="14" s="1"/>
  <c r="CH348" i="14" s="1"/>
  <c r="AG348" i="14"/>
  <c r="L355" i="14"/>
  <c r="AI336" i="14"/>
  <c r="CI336" i="14" s="1"/>
  <c r="CH336" i="14" s="1"/>
  <c r="AG336" i="14"/>
  <c r="L343" i="14"/>
  <c r="E212" i="14"/>
  <c r="B211" i="14"/>
  <c r="C211" i="14"/>
  <c r="D211" i="14" s="1"/>
  <c r="AN211" i="14"/>
  <c r="J211" i="14"/>
  <c r="Q211" i="14"/>
  <c r="H210" i="15"/>
  <c r="DC73" i="14"/>
  <c r="DC75" i="14"/>
  <c r="DC78" i="14"/>
  <c r="DC77" i="14"/>
  <c r="DC76" i="14"/>
  <c r="DC74" i="14"/>
  <c r="DC79" i="14"/>
  <c r="DC80" i="14" s="1"/>
  <c r="DG59" i="14"/>
  <c r="DF60" i="14"/>
  <c r="DE72" i="14"/>
  <c r="AI360" i="14"/>
  <c r="CI360" i="14" s="1"/>
  <c r="CH360" i="14" s="1"/>
  <c r="AG360" i="14"/>
  <c r="L367" i="14"/>
  <c r="L401" i="14"/>
  <c r="AI394" i="14"/>
  <c r="CI394" i="14" s="1"/>
  <c r="CH394" i="14" s="1"/>
  <c r="AG394" i="14"/>
  <c r="B151" i="14"/>
  <c r="E152" i="14"/>
  <c r="C151" i="14"/>
  <c r="D151" i="14" s="1"/>
  <c r="AN151" i="14"/>
  <c r="Q151" i="14"/>
  <c r="H150" i="15"/>
  <c r="J151" i="14"/>
  <c r="AI354" i="14"/>
  <c r="CI354" i="14" s="1"/>
  <c r="CH354" i="14" s="1"/>
  <c r="L361" i="14"/>
  <c r="AG354" i="14"/>
  <c r="AI342" i="14"/>
  <c r="CI342" i="14" s="1"/>
  <c r="CH342" i="14" s="1"/>
  <c r="L349" i="14"/>
  <c r="AG342" i="14"/>
  <c r="AI330" i="14"/>
  <c r="CI330" i="14" s="1"/>
  <c r="CH330" i="14" s="1"/>
  <c r="L337" i="14"/>
  <c r="AG330" i="14"/>
  <c r="G175" i="2" l="1"/>
  <c r="G178" i="2"/>
  <c r="G170" i="2"/>
  <c r="G173" i="2"/>
  <c r="G172" i="2"/>
  <c r="G176" i="2"/>
  <c r="G174" i="2"/>
  <c r="G171" i="2"/>
  <c r="G177" i="2"/>
  <c r="G189" i="2"/>
  <c r="G190" i="2"/>
  <c r="G186" i="2"/>
  <c r="G184" i="2"/>
  <c r="G185" i="2"/>
  <c r="G183" i="2"/>
  <c r="G191" i="2"/>
  <c r="G187" i="2"/>
  <c r="G188" i="2"/>
  <c r="G217" i="2"/>
  <c r="E217" i="2" s="1"/>
  <c r="E216" i="2"/>
  <c r="L408" i="14"/>
  <c r="AI401" i="14"/>
  <c r="CI401" i="14" s="1"/>
  <c r="CH401" i="14" s="1"/>
  <c r="AG401" i="14"/>
  <c r="L344" i="14"/>
  <c r="AI337" i="14"/>
  <c r="CI337" i="14" s="1"/>
  <c r="CH337" i="14" s="1"/>
  <c r="AG337" i="14"/>
  <c r="L356" i="14"/>
  <c r="AI349" i="14"/>
  <c r="CI349" i="14" s="1"/>
  <c r="CH349" i="14" s="1"/>
  <c r="AG349" i="14"/>
  <c r="L368" i="14"/>
  <c r="AI361" i="14"/>
  <c r="CI361" i="14" s="1"/>
  <c r="CH361" i="14" s="1"/>
  <c r="AG361" i="14"/>
  <c r="E213" i="14"/>
  <c r="B212" i="14"/>
  <c r="AN212" i="14"/>
  <c r="C212" i="14"/>
  <c r="D212" i="14" s="1"/>
  <c r="Q212" i="14"/>
  <c r="H211" i="15"/>
  <c r="J212" i="14"/>
  <c r="AG367" i="14"/>
  <c r="L374" i="14"/>
  <c r="AI367" i="14"/>
  <c r="CI367" i="14" s="1"/>
  <c r="CH367" i="14" s="1"/>
  <c r="DH60" i="14"/>
  <c r="DI59" i="14"/>
  <c r="DG72" i="14"/>
  <c r="L350" i="14"/>
  <c r="AG343" i="14"/>
  <c r="AI343" i="14"/>
  <c r="CI343" i="14" s="1"/>
  <c r="CH343" i="14" s="1"/>
  <c r="E153" i="14"/>
  <c r="B152" i="14"/>
  <c r="C152" i="14"/>
  <c r="D152" i="14" s="1"/>
  <c r="AN152" i="14"/>
  <c r="Q152" i="14"/>
  <c r="H151" i="15"/>
  <c r="J152" i="14"/>
  <c r="DE74" i="14"/>
  <c r="DE76" i="14"/>
  <c r="DE78" i="14"/>
  <c r="DE77" i="14"/>
  <c r="DE75" i="14"/>
  <c r="DE73" i="14"/>
  <c r="DE79" i="14"/>
  <c r="DE80" i="14" s="1"/>
  <c r="L362" i="14"/>
  <c r="AG355" i="14"/>
  <c r="AI355" i="14"/>
  <c r="CI355" i="14" s="1"/>
  <c r="CH355" i="14" s="1"/>
  <c r="AI350" i="14" l="1"/>
  <c r="CI350" i="14" s="1"/>
  <c r="CH350" i="14" s="1"/>
  <c r="L357" i="14"/>
  <c r="AG350" i="14"/>
  <c r="E214" i="14"/>
  <c r="B213" i="14"/>
  <c r="C213" i="14"/>
  <c r="D213" i="14" s="1"/>
  <c r="AN213" i="14"/>
  <c r="Q213" i="14"/>
  <c r="J213" i="14"/>
  <c r="H212" i="15"/>
  <c r="DK59" i="14"/>
  <c r="DI72" i="14"/>
  <c r="DJ60" i="14"/>
  <c r="AI374" i="14"/>
  <c r="CI374" i="14" s="1"/>
  <c r="CH374" i="14" s="1"/>
  <c r="AG374" i="14"/>
  <c r="L381" i="14"/>
  <c r="AI408" i="14"/>
  <c r="CI408" i="14" s="1"/>
  <c r="CH408" i="14" s="1"/>
  <c r="AG408" i="14"/>
  <c r="L415" i="14"/>
  <c r="E154" i="14"/>
  <c r="B153" i="14"/>
  <c r="C153" i="14"/>
  <c r="D153" i="14" s="1"/>
  <c r="AN153" i="14"/>
  <c r="Q153" i="14"/>
  <c r="H152" i="15"/>
  <c r="J153" i="14"/>
  <c r="AI362" i="14"/>
  <c r="CI362" i="14" s="1"/>
  <c r="CH362" i="14" s="1"/>
  <c r="L369" i="14"/>
  <c r="AG362" i="14"/>
  <c r="DG73" i="14"/>
  <c r="DG78" i="14"/>
  <c r="DG76" i="14"/>
  <c r="DG75" i="14"/>
  <c r="DG74" i="14"/>
  <c r="DG77" i="14"/>
  <c r="DG79" i="14"/>
  <c r="DG80" i="14" s="1"/>
  <c r="AI368" i="14"/>
  <c r="CI368" i="14" s="1"/>
  <c r="CH368" i="14" s="1"/>
  <c r="AG368" i="14"/>
  <c r="L375" i="14"/>
  <c r="AI356" i="14"/>
  <c r="CI356" i="14" s="1"/>
  <c r="CH356" i="14" s="1"/>
  <c r="AG356" i="14"/>
  <c r="L363" i="14"/>
  <c r="AI344" i="14"/>
  <c r="CI344" i="14" s="1"/>
  <c r="CH344" i="14" s="1"/>
  <c r="AG344" i="14"/>
  <c r="L351" i="14"/>
  <c r="E155" i="14" l="1"/>
  <c r="B154" i="14"/>
  <c r="C154" i="14"/>
  <c r="D154" i="14" s="1"/>
  <c r="AN154" i="14"/>
  <c r="Q154" i="14"/>
  <c r="H153" i="15"/>
  <c r="J154" i="14"/>
  <c r="L358" i="14"/>
  <c r="AG351" i="14"/>
  <c r="AI351" i="14"/>
  <c r="CI351" i="14" s="1"/>
  <c r="CH351" i="14" s="1"/>
  <c r="L370" i="14"/>
  <c r="AG363" i="14"/>
  <c r="AI363" i="14"/>
  <c r="CI363" i="14" s="1"/>
  <c r="CH363" i="14" s="1"/>
  <c r="L382" i="14"/>
  <c r="AG375" i="14"/>
  <c r="AI375" i="14"/>
  <c r="CI375" i="14" s="1"/>
  <c r="CH375" i="14" s="1"/>
  <c r="DI73" i="14"/>
  <c r="DI75" i="14"/>
  <c r="DI77" i="14"/>
  <c r="DI79" i="14"/>
  <c r="DI80" i="14" s="1"/>
  <c r="DI76" i="14"/>
  <c r="DI74" i="14"/>
  <c r="DI78" i="14"/>
  <c r="E215" i="14"/>
  <c r="B214" i="14"/>
  <c r="AN214" i="14"/>
  <c r="C214" i="14"/>
  <c r="D214" i="14" s="1"/>
  <c r="Q214" i="14"/>
  <c r="H213" i="15"/>
  <c r="J214" i="14"/>
  <c r="AG415" i="14"/>
  <c r="AI415" i="14"/>
  <c r="CI415" i="14" s="1"/>
  <c r="CH415" i="14" s="1"/>
  <c r="L422" i="14"/>
  <c r="DL60" i="14"/>
  <c r="DM59" i="14"/>
  <c r="DK72" i="14"/>
  <c r="L364" i="14"/>
  <c r="AI357" i="14"/>
  <c r="CI357" i="14" s="1"/>
  <c r="CH357" i="14" s="1"/>
  <c r="AG357" i="14"/>
  <c r="L376" i="14"/>
  <c r="AI369" i="14"/>
  <c r="CI369" i="14" s="1"/>
  <c r="CH369" i="14" s="1"/>
  <c r="AG369" i="14"/>
  <c r="L388" i="14"/>
  <c r="AI381" i="14"/>
  <c r="CI381" i="14" s="1"/>
  <c r="CH381" i="14" s="1"/>
  <c r="AG381" i="14"/>
  <c r="DO59" i="14" l="1"/>
  <c r="DM72" i="14"/>
  <c r="DN60" i="14"/>
  <c r="L429" i="14"/>
  <c r="AI422" i="14"/>
  <c r="CI422" i="14" s="1"/>
  <c r="CH422" i="14" s="1"/>
  <c r="AG422" i="14"/>
  <c r="E216" i="14"/>
  <c r="B215" i="14"/>
  <c r="C215" i="14"/>
  <c r="D215" i="14" s="1"/>
  <c r="AN215" i="14"/>
  <c r="Q215" i="14"/>
  <c r="J215" i="14"/>
  <c r="H214" i="15"/>
  <c r="AI364" i="14"/>
  <c r="CI364" i="14" s="1"/>
  <c r="CH364" i="14" s="1"/>
  <c r="AG364" i="14"/>
  <c r="L371" i="14"/>
  <c r="AI376" i="14"/>
  <c r="CI376" i="14" s="1"/>
  <c r="CH376" i="14" s="1"/>
  <c r="AG376" i="14"/>
  <c r="L383" i="14"/>
  <c r="DK73" i="14"/>
  <c r="DK76" i="14"/>
  <c r="DK78" i="14"/>
  <c r="DK74" i="14"/>
  <c r="DK77" i="14"/>
  <c r="DK75" i="14"/>
  <c r="DK79" i="14"/>
  <c r="DK80" i="14" s="1"/>
  <c r="B155" i="14"/>
  <c r="C155" i="14"/>
  <c r="D155" i="14" s="1"/>
  <c r="E156" i="14"/>
  <c r="AN155" i="14"/>
  <c r="Q155" i="14"/>
  <c r="H154" i="15"/>
  <c r="J155" i="14"/>
  <c r="AI388" i="14"/>
  <c r="CI388" i="14" s="1"/>
  <c r="CH388" i="14" s="1"/>
  <c r="AG388" i="14"/>
  <c r="L395" i="14"/>
  <c r="AI382" i="14"/>
  <c r="CI382" i="14" s="1"/>
  <c r="CH382" i="14" s="1"/>
  <c r="L389" i="14"/>
  <c r="AG382" i="14"/>
  <c r="AI370" i="14"/>
  <c r="CI370" i="14" s="1"/>
  <c r="CH370" i="14" s="1"/>
  <c r="L377" i="14"/>
  <c r="AG370" i="14"/>
  <c r="AI358" i="14"/>
  <c r="CI358" i="14" s="1"/>
  <c r="CH358" i="14" s="1"/>
  <c r="L365" i="14"/>
  <c r="AG358" i="14"/>
  <c r="E157" i="14" l="1"/>
  <c r="B156" i="14"/>
  <c r="C156" i="14"/>
  <c r="D156" i="14" s="1"/>
  <c r="AN156" i="14"/>
  <c r="Q156" i="14"/>
  <c r="H155" i="15"/>
  <c r="J156" i="14"/>
  <c r="L390" i="14"/>
  <c r="AG383" i="14"/>
  <c r="AI383" i="14"/>
  <c r="CI383" i="14" s="1"/>
  <c r="CH383" i="14" s="1"/>
  <c r="AG395" i="14"/>
  <c r="L402" i="14"/>
  <c r="AI395" i="14"/>
  <c r="CI395" i="14" s="1"/>
  <c r="CH395" i="14" s="1"/>
  <c r="DM74" i="14"/>
  <c r="DM76" i="14"/>
  <c r="DM78" i="14"/>
  <c r="DM77" i="14"/>
  <c r="DM73" i="14"/>
  <c r="DM75" i="14"/>
  <c r="DM79" i="14"/>
  <c r="DM80" i="14" s="1"/>
  <c r="L372" i="14"/>
  <c r="AI365" i="14"/>
  <c r="CI365" i="14" s="1"/>
  <c r="CH365" i="14" s="1"/>
  <c r="AG365" i="14"/>
  <c r="L384" i="14"/>
  <c r="AI377" i="14"/>
  <c r="CI377" i="14" s="1"/>
  <c r="CH377" i="14" s="1"/>
  <c r="AG377" i="14"/>
  <c r="L396" i="14"/>
  <c r="AI389" i="14"/>
  <c r="CI389" i="14" s="1"/>
  <c r="CH389" i="14" s="1"/>
  <c r="AG389" i="14"/>
  <c r="L378" i="14"/>
  <c r="AG371" i="14"/>
  <c r="AI371" i="14"/>
  <c r="CI371" i="14" s="1"/>
  <c r="CH371" i="14" s="1"/>
  <c r="E217" i="14"/>
  <c r="B216" i="14"/>
  <c r="AN216" i="14"/>
  <c r="C216" i="14"/>
  <c r="D216" i="14" s="1"/>
  <c r="Q216" i="14"/>
  <c r="H215" i="15"/>
  <c r="J216" i="14"/>
  <c r="L436" i="14"/>
  <c r="AI429" i="14"/>
  <c r="CI429" i="14" s="1"/>
  <c r="CH429" i="14" s="1"/>
  <c r="AG429" i="14"/>
  <c r="DP60" i="14"/>
  <c r="DQ59" i="14"/>
  <c r="DO72" i="14"/>
  <c r="DO73" i="14" l="1"/>
  <c r="DO74" i="14"/>
  <c r="DO77" i="14"/>
  <c r="DO76" i="14"/>
  <c r="DO79" i="14"/>
  <c r="DO80" i="14" s="1"/>
  <c r="DO78" i="14"/>
  <c r="DO75" i="14"/>
  <c r="AI402" i="14"/>
  <c r="CI402" i="14" s="1"/>
  <c r="CH402" i="14" s="1"/>
  <c r="AG402" i="14"/>
  <c r="L409" i="14"/>
  <c r="E158" i="14"/>
  <c r="C157" i="14"/>
  <c r="D157" i="14" s="1"/>
  <c r="B157" i="14"/>
  <c r="AN157" i="14"/>
  <c r="Q157" i="14"/>
  <c r="J157" i="14"/>
  <c r="H156" i="15"/>
  <c r="AI390" i="14"/>
  <c r="CI390" i="14" s="1"/>
  <c r="CH390" i="14" s="1"/>
  <c r="L397" i="14"/>
  <c r="AG390" i="14"/>
  <c r="DS59" i="14"/>
  <c r="DR60" i="14"/>
  <c r="DQ72" i="14"/>
  <c r="E218" i="14"/>
  <c r="B217" i="14"/>
  <c r="C217" i="14"/>
  <c r="D217" i="14" s="1"/>
  <c r="AN217" i="14"/>
  <c r="Q217" i="14"/>
  <c r="H216" i="15"/>
  <c r="J217" i="14"/>
  <c r="AI378" i="14"/>
  <c r="CI378" i="14" s="1"/>
  <c r="CH378" i="14" s="1"/>
  <c r="L385" i="14"/>
  <c r="AG378" i="14"/>
  <c r="AI396" i="14"/>
  <c r="CI396" i="14" s="1"/>
  <c r="CH396" i="14" s="1"/>
  <c r="AG396" i="14"/>
  <c r="L403" i="14"/>
  <c r="AI384" i="14"/>
  <c r="CI384" i="14" s="1"/>
  <c r="CH384" i="14" s="1"/>
  <c r="AG384" i="14"/>
  <c r="L391" i="14"/>
  <c r="AI372" i="14"/>
  <c r="CI372" i="14" s="1"/>
  <c r="CH372" i="14" s="1"/>
  <c r="AG372" i="14"/>
  <c r="L379" i="14"/>
  <c r="AI436" i="14"/>
  <c r="CI436" i="14" s="1"/>
  <c r="CH436" i="14" s="1"/>
  <c r="AG436" i="14"/>
  <c r="L443" i="14"/>
  <c r="AG443" i="14" l="1"/>
  <c r="AI443" i="14"/>
  <c r="CI443" i="14" s="1"/>
  <c r="CH443" i="14" s="1"/>
  <c r="L450" i="14"/>
  <c r="L416" i="14"/>
  <c r="AI409" i="14"/>
  <c r="CI409" i="14" s="1"/>
  <c r="CH409" i="14" s="1"/>
  <c r="AG409" i="14"/>
  <c r="L386" i="14"/>
  <c r="AG379" i="14"/>
  <c r="AI379" i="14"/>
  <c r="CI379" i="14" s="1"/>
  <c r="CH379" i="14" s="1"/>
  <c r="L398" i="14"/>
  <c r="AG391" i="14"/>
  <c r="AI391" i="14"/>
  <c r="CI391" i="14" s="1"/>
  <c r="CH391" i="14" s="1"/>
  <c r="L410" i="14"/>
  <c r="AG403" i="14"/>
  <c r="AI403" i="14"/>
  <c r="CI403" i="14" s="1"/>
  <c r="CH403" i="14" s="1"/>
  <c r="DQ73" i="14"/>
  <c r="DQ75" i="14"/>
  <c r="DQ77" i="14"/>
  <c r="DQ79" i="14"/>
  <c r="DQ80" i="14" s="1"/>
  <c r="DQ76" i="14"/>
  <c r="DQ74" i="14"/>
  <c r="DQ78" i="14"/>
  <c r="L404" i="14"/>
  <c r="AI397" i="14"/>
  <c r="CI397" i="14" s="1"/>
  <c r="CH397" i="14" s="1"/>
  <c r="AG397" i="14"/>
  <c r="L392" i="14"/>
  <c r="AI385" i="14"/>
  <c r="CI385" i="14" s="1"/>
  <c r="CH385" i="14" s="1"/>
  <c r="AG385" i="14"/>
  <c r="E219" i="14"/>
  <c r="B218" i="14"/>
  <c r="AN218" i="14"/>
  <c r="C218" i="14"/>
  <c r="D218" i="14" s="1"/>
  <c r="Q218" i="14"/>
  <c r="H217" i="15"/>
  <c r="J218" i="14"/>
  <c r="DT60" i="14"/>
  <c r="DU59" i="14"/>
  <c r="DS72" i="14"/>
  <c r="E159" i="14"/>
  <c r="B158" i="14"/>
  <c r="C158" i="14"/>
  <c r="D158" i="14" s="1"/>
  <c r="AN158" i="14"/>
  <c r="H157" i="15"/>
  <c r="J158" i="14"/>
  <c r="Q158" i="14"/>
  <c r="DS73" i="14" l="1"/>
  <c r="DS77" i="14"/>
  <c r="DS75" i="14"/>
  <c r="DS76" i="14"/>
  <c r="DS79" i="14"/>
  <c r="DS80" i="14" s="1"/>
  <c r="DS74" i="14"/>
  <c r="DS78" i="14"/>
  <c r="DW59" i="14"/>
  <c r="DV60" i="14"/>
  <c r="DU72" i="14"/>
  <c r="E220" i="14"/>
  <c r="B219" i="14"/>
  <c r="C219" i="14"/>
  <c r="D219" i="14" s="1"/>
  <c r="AN219" i="14"/>
  <c r="Q219" i="14"/>
  <c r="J219" i="14"/>
  <c r="H218" i="15"/>
  <c r="AI392" i="14"/>
  <c r="CI392" i="14" s="1"/>
  <c r="CH392" i="14" s="1"/>
  <c r="AG392" i="14"/>
  <c r="L399" i="14"/>
  <c r="AI404" i="14"/>
  <c r="CI404" i="14" s="1"/>
  <c r="CH404" i="14" s="1"/>
  <c r="AG404" i="14"/>
  <c r="L411" i="14"/>
  <c r="AI410" i="14"/>
  <c r="CI410" i="14" s="1"/>
  <c r="CH410" i="14" s="1"/>
  <c r="L417" i="14"/>
  <c r="AG410" i="14"/>
  <c r="AI398" i="14"/>
  <c r="CI398" i="14" s="1"/>
  <c r="CH398" i="14" s="1"/>
  <c r="L405" i="14"/>
  <c r="AG398" i="14"/>
  <c r="AI386" i="14"/>
  <c r="CI386" i="14" s="1"/>
  <c r="CH386" i="14" s="1"/>
  <c r="L393" i="14"/>
  <c r="AG386" i="14"/>
  <c r="AI416" i="14"/>
  <c r="CI416" i="14" s="1"/>
  <c r="CH416" i="14" s="1"/>
  <c r="AG416" i="14"/>
  <c r="L423" i="14"/>
  <c r="B159" i="14"/>
  <c r="E160" i="14"/>
  <c r="C159" i="14"/>
  <c r="D159" i="14" s="1"/>
  <c r="AN159" i="14"/>
  <c r="Q159" i="14"/>
  <c r="H158" i="15"/>
  <c r="J159" i="14"/>
  <c r="L457" i="14"/>
  <c r="AI450" i="14"/>
  <c r="CI450" i="14" s="1"/>
  <c r="CH450" i="14" s="1"/>
  <c r="AG450" i="14"/>
  <c r="L418" i="14" l="1"/>
  <c r="AG411" i="14"/>
  <c r="AI411" i="14"/>
  <c r="CI411" i="14" s="1"/>
  <c r="CH411" i="14" s="1"/>
  <c r="L406" i="14"/>
  <c r="AG399" i="14"/>
  <c r="AI399" i="14"/>
  <c r="CI399" i="14" s="1"/>
  <c r="CH399" i="14" s="1"/>
  <c r="DU74" i="14"/>
  <c r="DU76" i="14"/>
  <c r="DU78" i="14"/>
  <c r="DU77" i="14"/>
  <c r="DU75" i="14"/>
  <c r="DU73" i="14"/>
  <c r="DU79" i="14"/>
  <c r="DU80" i="14" s="1"/>
  <c r="AG423" i="14"/>
  <c r="L430" i="14"/>
  <c r="AI423" i="14"/>
  <c r="CI423" i="14" s="1"/>
  <c r="CH423" i="14" s="1"/>
  <c r="E161" i="14"/>
  <c r="B160" i="14"/>
  <c r="C160" i="14"/>
  <c r="D160" i="14" s="1"/>
  <c r="AN160" i="14"/>
  <c r="Q160" i="14"/>
  <c r="H159" i="15"/>
  <c r="J160" i="14"/>
  <c r="L400" i="14"/>
  <c r="AI393" i="14"/>
  <c r="CI393" i="14"/>
  <c r="CH393" i="14" s="1"/>
  <c r="AG393" i="14"/>
  <c r="L412" i="14"/>
  <c r="AI405" i="14"/>
  <c r="AG405" i="14"/>
  <c r="CI405" i="14"/>
  <c r="CH405" i="14" s="1"/>
  <c r="L424" i="14"/>
  <c r="AI417" i="14"/>
  <c r="CI417" i="14"/>
  <c r="CH417" i="14" s="1"/>
  <c r="AG417" i="14"/>
  <c r="E221" i="14"/>
  <c r="B220" i="14"/>
  <c r="AN220" i="14"/>
  <c r="C220" i="14"/>
  <c r="D220" i="14" s="1"/>
  <c r="Q220" i="14"/>
  <c r="H219" i="15"/>
  <c r="J220" i="14"/>
  <c r="DX60" i="14"/>
  <c r="DY59" i="14"/>
  <c r="DW72" i="14"/>
  <c r="L464" i="14"/>
  <c r="AI457" i="14"/>
  <c r="CI457" i="14" s="1"/>
  <c r="CH457" i="14" s="1"/>
  <c r="AG457" i="14"/>
  <c r="AI464" i="14" l="1"/>
  <c r="CI464" i="14" s="1"/>
  <c r="CH464" i="14" s="1"/>
  <c r="AG464" i="14"/>
  <c r="L471" i="14"/>
  <c r="DW73" i="14"/>
  <c r="DW76" i="14"/>
  <c r="DW79" i="14"/>
  <c r="DW80" i="14" s="1"/>
  <c r="DW78" i="14"/>
  <c r="DW74" i="14"/>
  <c r="DW77" i="14"/>
  <c r="DW75" i="14"/>
  <c r="E162" i="14"/>
  <c r="B161" i="14"/>
  <c r="C161" i="14"/>
  <c r="D161" i="14" s="1"/>
  <c r="AN161" i="14"/>
  <c r="Q161" i="14"/>
  <c r="H160" i="15"/>
  <c r="J161" i="14"/>
  <c r="AI430" i="14"/>
  <c r="CI430" i="14" s="1"/>
  <c r="CH430" i="14" s="1"/>
  <c r="AG430" i="14"/>
  <c r="L437" i="14"/>
  <c r="AI406" i="14"/>
  <c r="CI406" i="14" s="1"/>
  <c r="CH406" i="14" s="1"/>
  <c r="L413" i="14"/>
  <c r="AG406" i="14"/>
  <c r="AI418" i="14"/>
  <c r="CI418" i="14" s="1"/>
  <c r="CH418" i="14" s="1"/>
  <c r="L425" i="14"/>
  <c r="AG418" i="14"/>
  <c r="EA59" i="14"/>
  <c r="DY72" i="14"/>
  <c r="DZ60" i="14"/>
  <c r="E222" i="14"/>
  <c r="B221" i="14"/>
  <c r="C221" i="14"/>
  <c r="D221" i="14" s="1"/>
  <c r="AN221" i="14"/>
  <c r="Q221" i="14"/>
  <c r="J221" i="14"/>
  <c r="H220" i="15"/>
  <c r="AI424" i="14"/>
  <c r="CI424" i="14" s="1"/>
  <c r="CH424" i="14" s="1"/>
  <c r="AG424" i="14"/>
  <c r="L431" i="14"/>
  <c r="AI412" i="14"/>
  <c r="CI412" i="14" s="1"/>
  <c r="CH412" i="14" s="1"/>
  <c r="AG412" i="14"/>
  <c r="L419" i="14"/>
  <c r="AI400" i="14"/>
  <c r="CI400" i="14" s="1"/>
  <c r="CH400" i="14" s="1"/>
  <c r="AG400" i="14"/>
  <c r="L407" i="14"/>
  <c r="L444" i="14" l="1"/>
  <c r="AI437" i="14"/>
  <c r="CI437" i="14" s="1"/>
  <c r="CH437" i="14" s="1"/>
  <c r="AG437" i="14"/>
  <c r="AG471" i="14"/>
  <c r="AI471" i="14"/>
  <c r="CI471" i="14" s="1"/>
  <c r="CH471" i="14" s="1"/>
  <c r="L478" i="14"/>
  <c r="L414" i="14"/>
  <c r="AG407" i="14"/>
  <c r="AI407" i="14"/>
  <c r="CI407" i="14" s="1"/>
  <c r="CH407" i="14" s="1"/>
  <c r="L426" i="14"/>
  <c r="AG419" i="14"/>
  <c r="AI419" i="14"/>
  <c r="CI419" i="14" s="1"/>
  <c r="CH419" i="14" s="1"/>
  <c r="L438" i="14"/>
  <c r="AG431" i="14"/>
  <c r="AI431" i="14"/>
  <c r="CI431" i="14" s="1"/>
  <c r="CH431" i="14" s="1"/>
  <c r="DY73" i="14"/>
  <c r="DY75" i="14"/>
  <c r="DY77" i="14"/>
  <c r="DY79" i="14"/>
  <c r="DY80" i="14" s="1"/>
  <c r="DY76" i="14"/>
  <c r="DY74" i="14"/>
  <c r="DY78" i="14"/>
  <c r="L432" i="14"/>
  <c r="AI425" i="14"/>
  <c r="CI425" i="14" s="1"/>
  <c r="CH425" i="14" s="1"/>
  <c r="AG425" i="14"/>
  <c r="L420" i="14"/>
  <c r="AI413" i="14"/>
  <c r="CI413" i="14" s="1"/>
  <c r="CH413" i="14" s="1"/>
  <c r="AG413" i="14"/>
  <c r="E163" i="14"/>
  <c r="B162" i="14"/>
  <c r="C162" i="14"/>
  <c r="D162" i="14" s="1"/>
  <c r="AN162" i="14"/>
  <c r="Q162" i="14"/>
  <c r="H161" i="15"/>
  <c r="J162" i="14"/>
  <c r="E223" i="14"/>
  <c r="B222" i="14"/>
  <c r="AN222" i="14"/>
  <c r="C222" i="14"/>
  <c r="D222" i="14" s="1"/>
  <c r="H221" i="15"/>
  <c r="J222" i="14"/>
  <c r="Q222" i="14"/>
  <c r="EB60" i="14"/>
  <c r="EC59" i="14"/>
  <c r="EA72" i="14"/>
  <c r="EE59" i="14" l="1"/>
  <c r="EC72" i="14"/>
  <c r="ED60" i="14"/>
  <c r="E224" i="14"/>
  <c r="B223" i="14"/>
  <c r="C223" i="14"/>
  <c r="D223" i="14" s="1"/>
  <c r="AN223" i="14"/>
  <c r="Q223" i="14"/>
  <c r="J223" i="14"/>
  <c r="H222" i="15"/>
  <c r="AI478" i="14"/>
  <c r="CI478" i="14" s="1"/>
  <c r="CH478" i="14" s="1"/>
  <c r="AG478" i="14"/>
  <c r="EA73" i="14"/>
  <c r="EA76" i="14"/>
  <c r="EA79" i="14"/>
  <c r="EA80" i="14" s="1"/>
  <c r="EA78" i="14"/>
  <c r="EA74" i="14"/>
  <c r="EA75" i="14"/>
  <c r="EA77" i="14"/>
  <c r="AI438" i="14"/>
  <c r="CI438" i="14" s="1"/>
  <c r="CH438" i="14" s="1"/>
  <c r="L445" i="14"/>
  <c r="AG438" i="14"/>
  <c r="AI426" i="14"/>
  <c r="CI426" i="14" s="1"/>
  <c r="CH426" i="14" s="1"/>
  <c r="L433" i="14"/>
  <c r="AG426" i="14"/>
  <c r="AI414" i="14"/>
  <c r="CI414" i="14" s="1"/>
  <c r="CH414" i="14" s="1"/>
  <c r="L421" i="14"/>
  <c r="AG414" i="14"/>
  <c r="AI444" i="14"/>
  <c r="CI444" i="14" s="1"/>
  <c r="CH444" i="14" s="1"/>
  <c r="AG444" i="14"/>
  <c r="L451" i="14"/>
  <c r="B163" i="14"/>
  <c r="E164" i="14"/>
  <c r="C163" i="14"/>
  <c r="D163" i="14" s="1"/>
  <c r="AN163" i="14"/>
  <c r="Q163" i="14"/>
  <c r="H162" i="15"/>
  <c r="J163" i="14"/>
  <c r="AI420" i="14"/>
  <c r="CI420" i="14" s="1"/>
  <c r="CH420" i="14" s="1"/>
  <c r="AG420" i="14"/>
  <c r="L427" i="14"/>
  <c r="AI432" i="14"/>
  <c r="CI432" i="14" s="1"/>
  <c r="CH432" i="14" s="1"/>
  <c r="AG432" i="14"/>
  <c r="L439" i="14"/>
  <c r="L428" i="14" l="1"/>
  <c r="AI421" i="14"/>
  <c r="CI421" i="14" s="1"/>
  <c r="CH421" i="14" s="1"/>
  <c r="AG421" i="14"/>
  <c r="L440" i="14"/>
  <c r="AI433" i="14"/>
  <c r="CI433" i="14" s="1"/>
  <c r="CH433" i="14" s="1"/>
  <c r="AG433" i="14"/>
  <c r="L452" i="14"/>
  <c r="AI445" i="14"/>
  <c r="CI445" i="14" s="1"/>
  <c r="CH445" i="14" s="1"/>
  <c r="AG445" i="14"/>
  <c r="L446" i="14"/>
  <c r="AG439" i="14"/>
  <c r="AI439" i="14"/>
  <c r="CI439" i="14" s="1"/>
  <c r="CH439" i="14" s="1"/>
  <c r="L434" i="14"/>
  <c r="AG427" i="14"/>
  <c r="AI427" i="14"/>
  <c r="CI427" i="14" s="1"/>
  <c r="CH427" i="14" s="1"/>
  <c r="EC74" i="14"/>
  <c r="EC76" i="14"/>
  <c r="EC78" i="14"/>
  <c r="EC77" i="14"/>
  <c r="EC73" i="14"/>
  <c r="EC75" i="14"/>
  <c r="EC79" i="14"/>
  <c r="EC80" i="14" s="1"/>
  <c r="E165" i="14"/>
  <c r="B164" i="14"/>
  <c r="C164" i="14"/>
  <c r="D164" i="14" s="1"/>
  <c r="AN164" i="14"/>
  <c r="Q164" i="14"/>
  <c r="H163" i="15"/>
  <c r="J164" i="14"/>
  <c r="AG451" i="14"/>
  <c r="L458" i="14"/>
  <c r="AI451" i="14"/>
  <c r="CI451" i="14"/>
  <c r="CH451" i="14" s="1"/>
  <c r="E225" i="14"/>
  <c r="B224" i="14"/>
  <c r="AN224" i="14"/>
  <c r="C224" i="14"/>
  <c r="D224" i="14" s="1"/>
  <c r="Q224" i="14"/>
  <c r="H223" i="15"/>
  <c r="J224" i="14"/>
  <c r="EF60" i="14"/>
  <c r="EE72" i="14"/>
  <c r="E226" i="14" l="1"/>
  <c r="B225" i="14"/>
  <c r="C225" i="14"/>
  <c r="D225" i="14" s="1"/>
  <c r="AN225" i="14"/>
  <c r="Q225" i="14"/>
  <c r="H224" i="15"/>
  <c r="J225" i="14"/>
  <c r="AI434" i="14"/>
  <c r="CI434" i="14" s="1"/>
  <c r="CH434" i="14" s="1"/>
  <c r="L441" i="14"/>
  <c r="AG434" i="14"/>
  <c r="AI446" i="14"/>
  <c r="CI446" i="14" s="1"/>
  <c r="CH446" i="14" s="1"/>
  <c r="L453" i="14"/>
  <c r="AG446" i="14"/>
  <c r="EE73" i="14"/>
  <c r="EE79" i="14"/>
  <c r="EE80" i="14" s="1"/>
  <c r="EE78" i="14"/>
  <c r="EE76" i="14"/>
  <c r="EE75" i="14"/>
  <c r="EE77" i="14"/>
  <c r="EE74" i="14"/>
  <c r="AI458" i="14"/>
  <c r="CI458" i="14" s="1"/>
  <c r="CH458" i="14" s="1"/>
  <c r="AG458" i="14"/>
  <c r="L465" i="14"/>
  <c r="E166" i="14"/>
  <c r="B165" i="14"/>
  <c r="C165" i="14"/>
  <c r="D165" i="14" s="1"/>
  <c r="AN165" i="14"/>
  <c r="Q165" i="14"/>
  <c r="H164" i="15"/>
  <c r="J165" i="14"/>
  <c r="AI452" i="14"/>
  <c r="CI452" i="14" s="1"/>
  <c r="CH452" i="14" s="1"/>
  <c r="AG452" i="14"/>
  <c r="L459" i="14"/>
  <c r="AI440" i="14"/>
  <c r="CI440" i="14" s="1"/>
  <c r="CH440" i="14" s="1"/>
  <c r="AG440" i="14"/>
  <c r="L447" i="14"/>
  <c r="AI428" i="14"/>
  <c r="CI428" i="14" s="1"/>
  <c r="CH428" i="14" s="1"/>
  <c r="AG428" i="14"/>
  <c r="L435" i="14"/>
  <c r="L472" i="14" l="1"/>
  <c r="AI465" i="14"/>
  <c r="CI465" i="14" s="1"/>
  <c r="CH465" i="14" s="1"/>
  <c r="AG465" i="14"/>
  <c r="L442" i="14"/>
  <c r="AG435" i="14"/>
  <c r="AI435" i="14"/>
  <c r="CI435" i="14" s="1"/>
  <c r="CH435" i="14" s="1"/>
  <c r="L454" i="14"/>
  <c r="AG447" i="14"/>
  <c r="AI447" i="14"/>
  <c r="CI447" i="14" s="1"/>
  <c r="CH447" i="14" s="1"/>
  <c r="L466" i="14"/>
  <c r="AG459" i="14"/>
  <c r="AI459" i="14"/>
  <c r="CI459" i="14" s="1"/>
  <c r="CH459" i="14" s="1"/>
  <c r="L460" i="14"/>
  <c r="AI453" i="14"/>
  <c r="CI453" i="14" s="1"/>
  <c r="CH453" i="14" s="1"/>
  <c r="AG453" i="14"/>
  <c r="L448" i="14"/>
  <c r="AI441" i="14"/>
  <c r="CI441" i="14" s="1"/>
  <c r="CH441" i="14" s="1"/>
  <c r="AG441" i="14"/>
  <c r="E167" i="14"/>
  <c r="B166" i="14"/>
  <c r="C166" i="14"/>
  <c r="D166" i="14" s="1"/>
  <c r="AN166" i="14"/>
  <c r="Q166" i="14"/>
  <c r="H165" i="15"/>
  <c r="J166" i="14"/>
  <c r="E227" i="14"/>
  <c r="B226" i="14"/>
  <c r="C226" i="14"/>
  <c r="D226" i="14" s="1"/>
  <c r="AN226" i="14"/>
  <c r="Q226" i="14"/>
  <c r="H225" i="15"/>
  <c r="J226" i="14"/>
  <c r="B167" i="14" l="1"/>
  <c r="E168" i="14"/>
  <c r="C167" i="14"/>
  <c r="D167" i="14" s="1"/>
  <c r="AN167" i="14"/>
  <c r="Q167" i="14"/>
  <c r="H166" i="15"/>
  <c r="J167" i="14"/>
  <c r="AI448" i="14"/>
  <c r="CI448" i="14" s="1"/>
  <c r="CH448" i="14" s="1"/>
  <c r="AG448" i="14"/>
  <c r="L455" i="14"/>
  <c r="AI460" i="14"/>
  <c r="CI460" i="14" s="1"/>
  <c r="CH460" i="14" s="1"/>
  <c r="AG460" i="14"/>
  <c r="L467" i="14"/>
  <c r="E228" i="14"/>
  <c r="B227" i="14"/>
  <c r="C227" i="14"/>
  <c r="D227" i="14" s="1"/>
  <c r="AN227" i="14"/>
  <c r="Q227" i="14"/>
  <c r="J227" i="14"/>
  <c r="H226" i="15"/>
  <c r="AI466" i="14"/>
  <c r="CI466" i="14" s="1"/>
  <c r="CH466" i="14" s="1"/>
  <c r="L473" i="14"/>
  <c r="AG466" i="14"/>
  <c r="AI454" i="14"/>
  <c r="CI454" i="14" s="1"/>
  <c r="CH454" i="14" s="1"/>
  <c r="L461" i="14"/>
  <c r="AG454" i="14"/>
  <c r="AI442" i="14"/>
  <c r="CI442" i="14" s="1"/>
  <c r="CH442" i="14" s="1"/>
  <c r="L449" i="14"/>
  <c r="AG442" i="14"/>
  <c r="AI472" i="14"/>
  <c r="CI472" i="14" s="1"/>
  <c r="CH472" i="14" s="1"/>
  <c r="AG472" i="14"/>
  <c r="L479" i="14"/>
  <c r="L456" i="14" l="1"/>
  <c r="AI449" i="14"/>
  <c r="CI449" i="14"/>
  <c r="CH449" i="14" s="1"/>
  <c r="AG449" i="14"/>
  <c r="L468" i="14"/>
  <c r="AI461" i="14"/>
  <c r="CI461" i="14" s="1"/>
  <c r="CH461" i="14" s="1"/>
  <c r="AG461" i="14"/>
  <c r="AI473" i="14"/>
  <c r="CI473" i="14" s="1"/>
  <c r="CH473" i="14" s="1"/>
  <c r="AG473" i="14"/>
  <c r="E229" i="14"/>
  <c r="B228" i="14"/>
  <c r="AN228" i="14"/>
  <c r="C228" i="14"/>
  <c r="D228" i="14" s="1"/>
  <c r="Q228" i="14"/>
  <c r="H227" i="15"/>
  <c r="J228" i="14"/>
  <c r="L474" i="14"/>
  <c r="AG467" i="14"/>
  <c r="AI467" i="14"/>
  <c r="CI467" i="14"/>
  <c r="CH467" i="14" s="1"/>
  <c r="L462" i="14"/>
  <c r="AG455" i="14"/>
  <c r="AI455" i="14"/>
  <c r="CI455" i="14"/>
  <c r="CH455" i="14" s="1"/>
  <c r="E169" i="14"/>
  <c r="B168" i="14"/>
  <c r="C168" i="14"/>
  <c r="D168" i="14" s="1"/>
  <c r="AN168" i="14"/>
  <c r="H167" i="15"/>
  <c r="J168" i="14"/>
  <c r="Q168" i="14"/>
  <c r="AG479" i="14"/>
  <c r="AI479" i="14"/>
  <c r="CI479" i="14" s="1"/>
  <c r="CH479" i="14" l="1"/>
  <c r="E170" i="14"/>
  <c r="B169" i="14"/>
  <c r="C169" i="14"/>
  <c r="D169" i="14" s="1"/>
  <c r="AN169" i="14"/>
  <c r="Q169" i="14"/>
  <c r="J169" i="14"/>
  <c r="H168" i="15"/>
  <c r="AI462" i="14"/>
  <c r="CI462" i="14" s="1"/>
  <c r="CH462" i="14" s="1"/>
  <c r="L469" i="14"/>
  <c r="AG462" i="14"/>
  <c r="AI474" i="14"/>
  <c r="CI474" i="14" s="1"/>
  <c r="CH474" i="14" s="1"/>
  <c r="AG474" i="14"/>
  <c r="E230" i="14"/>
  <c r="B229" i="14"/>
  <c r="C229" i="14"/>
  <c r="D229" i="14" s="1"/>
  <c r="AN229" i="14"/>
  <c r="Q229" i="14"/>
  <c r="J229" i="14"/>
  <c r="H228" i="15"/>
  <c r="AI468" i="14"/>
  <c r="CI468" i="14" s="1"/>
  <c r="CH468" i="14" s="1"/>
  <c r="AG468" i="14"/>
  <c r="L475" i="14"/>
  <c r="AI456" i="14"/>
  <c r="CI456" i="14" s="1"/>
  <c r="AG456" i="14"/>
  <c r="L463" i="14"/>
  <c r="CH456" i="14" l="1"/>
  <c r="L470" i="14"/>
  <c r="AG463" i="14"/>
  <c r="AI463" i="14"/>
  <c r="CI463" i="14" s="1"/>
  <c r="CH463" i="14" s="1"/>
  <c r="AI475" i="14"/>
  <c r="CI475" i="14" s="1"/>
  <c r="CH475" i="14" s="1"/>
  <c r="AG475" i="14"/>
  <c r="L476" i="14"/>
  <c r="AI469" i="14"/>
  <c r="CI469" i="14" s="1"/>
  <c r="CH469" i="14" s="1"/>
  <c r="AG469" i="14"/>
  <c r="E171" i="14"/>
  <c r="B170" i="14"/>
  <c r="C170" i="14"/>
  <c r="D170" i="14" s="1"/>
  <c r="AN170" i="14"/>
  <c r="Q170" i="14"/>
  <c r="H169" i="15"/>
  <c r="J170" i="14"/>
  <c r="E231" i="14"/>
  <c r="B230" i="14"/>
  <c r="AN230" i="14"/>
  <c r="C230" i="14"/>
  <c r="D230" i="14" s="1"/>
  <c r="Q230" i="14"/>
  <c r="H229" i="15"/>
  <c r="J230" i="14"/>
  <c r="E232" i="14" l="1"/>
  <c r="B231" i="14"/>
  <c r="C231" i="14"/>
  <c r="D231" i="14" s="1"/>
  <c r="AN231" i="14"/>
  <c r="Q231" i="14"/>
  <c r="J231" i="14"/>
  <c r="H230" i="15"/>
  <c r="AI470" i="14"/>
  <c r="CI470" i="14" s="1"/>
  <c r="L477" i="14"/>
  <c r="AG470" i="14"/>
  <c r="B171" i="14"/>
  <c r="E172" i="14"/>
  <c r="E173" i="14" s="1"/>
  <c r="C171" i="14"/>
  <c r="D171" i="14" s="1"/>
  <c r="AN171" i="14"/>
  <c r="Q171" i="14"/>
  <c r="H170" i="15"/>
  <c r="J171" i="14"/>
  <c r="AG476" i="14"/>
  <c r="AI476" i="14"/>
  <c r="CI476" i="14" s="1"/>
  <c r="CH476" i="14" s="1"/>
  <c r="AN173" i="14" l="1"/>
  <c r="AJ158" i="1"/>
  <c r="AJ171" i="1" s="1"/>
  <c r="C173" i="14"/>
  <c r="D173" i="14" s="1"/>
  <c r="H172" i="15"/>
  <c r="Q173" i="14"/>
  <c r="J173" i="14"/>
  <c r="B173" i="14"/>
  <c r="CH470" i="14"/>
  <c r="B172" i="14"/>
  <c r="C172" i="14"/>
  <c r="D172" i="14" s="1"/>
  <c r="AN172" i="14"/>
  <c r="Q172" i="14"/>
  <c r="H171" i="15"/>
  <c r="J172" i="14"/>
  <c r="AI477" i="14"/>
  <c r="CI477" i="14" s="1"/>
  <c r="AG477" i="14"/>
  <c r="N479" i="14"/>
  <c r="F174" i="15" s="1"/>
  <c r="F173" i="15" s="1"/>
  <c r="E233" i="14"/>
  <c r="B232" i="14"/>
  <c r="AN232" i="14"/>
  <c r="C232" i="14"/>
  <c r="D232" i="14" s="1"/>
  <c r="H231" i="15"/>
  <c r="Q232" i="14"/>
  <c r="J232" i="14"/>
  <c r="CH477" i="14" l="1"/>
  <c r="G7" i="15"/>
  <c r="E234" i="14"/>
  <c r="B233" i="14"/>
  <c r="C233" i="14"/>
  <c r="D233" i="14" s="1"/>
  <c r="AN233" i="14"/>
  <c r="Q233" i="14"/>
  <c r="J233" i="14"/>
  <c r="H232" i="15"/>
  <c r="CG487" i="14"/>
  <c r="CF487" i="14" s="1"/>
  <c r="CF486" i="14"/>
  <c r="CF489" i="14" l="1"/>
  <c r="CF488" i="14"/>
  <c r="E235" i="14"/>
  <c r="B234" i="14"/>
  <c r="AN234" i="14"/>
  <c r="C234" i="14"/>
  <c r="D234" i="14" s="1"/>
  <c r="Q234" i="14"/>
  <c r="H233" i="15"/>
  <c r="J234" i="14"/>
  <c r="E236" i="14" l="1"/>
  <c r="B235" i="14"/>
  <c r="AN235" i="14"/>
  <c r="C235" i="14"/>
  <c r="D235" i="14" s="1"/>
  <c r="Q235" i="14"/>
  <c r="J235" i="14"/>
  <c r="H234" i="15"/>
  <c r="E237" i="14" l="1"/>
  <c r="B236" i="14"/>
  <c r="AN236" i="14"/>
  <c r="C236" i="14"/>
  <c r="D236" i="14" s="1"/>
  <c r="Q236" i="14"/>
  <c r="H235" i="15"/>
  <c r="J236" i="14"/>
  <c r="B237" i="14" l="1"/>
  <c r="E238" i="14"/>
  <c r="AN237" i="14"/>
  <c r="C237" i="14"/>
  <c r="D237" i="14" s="1"/>
  <c r="Q237" i="14"/>
  <c r="H236" i="15"/>
  <c r="J237" i="14"/>
  <c r="E239" i="14" l="1"/>
  <c r="B238" i="14"/>
  <c r="C238" i="14"/>
  <c r="D238" i="14" s="1"/>
  <c r="AN238" i="14"/>
  <c r="H237" i="15"/>
  <c r="J238" i="14"/>
  <c r="Q238" i="14"/>
  <c r="E240" i="14" l="1"/>
  <c r="B239" i="14"/>
  <c r="C239" i="14"/>
  <c r="D239" i="14" s="1"/>
  <c r="AN239" i="14"/>
  <c r="Q239" i="14"/>
  <c r="J239" i="14"/>
  <c r="H238" i="15"/>
  <c r="E241" i="14" l="1"/>
  <c r="B240" i="14"/>
  <c r="AN240" i="14"/>
  <c r="C240" i="14"/>
  <c r="D240" i="14" s="1"/>
  <c r="Q240" i="14"/>
  <c r="H239" i="15"/>
  <c r="J240" i="14"/>
  <c r="E242" i="14" l="1"/>
  <c r="B241" i="14"/>
  <c r="AN241" i="14"/>
  <c r="C241" i="14"/>
  <c r="D241" i="14" s="1"/>
  <c r="Q241" i="14"/>
  <c r="J241" i="14"/>
  <c r="H240" i="15"/>
  <c r="E243" i="14" l="1"/>
  <c r="B242" i="14"/>
  <c r="C242" i="14"/>
  <c r="D242" i="14" s="1"/>
  <c r="AN242" i="14"/>
  <c r="Q242" i="14"/>
  <c r="H241" i="15"/>
  <c r="J242" i="14"/>
  <c r="E244" i="14" l="1"/>
  <c r="B243" i="14"/>
  <c r="AN243" i="14"/>
  <c r="C243" i="14"/>
  <c r="D243" i="14" s="1"/>
  <c r="J243" i="14"/>
  <c r="Q243" i="14"/>
  <c r="H242" i="15"/>
  <c r="E245" i="14" l="1"/>
  <c r="B244" i="14"/>
  <c r="AN244" i="14"/>
  <c r="C244" i="14"/>
  <c r="D244" i="14" s="1"/>
  <c r="Q244" i="14"/>
  <c r="H243" i="15"/>
  <c r="J244" i="14"/>
  <c r="E246" i="14" l="1"/>
  <c r="B245" i="14"/>
  <c r="AN245" i="14"/>
  <c r="C245" i="14"/>
  <c r="D245" i="14" s="1"/>
  <c r="Q245" i="14"/>
  <c r="J245" i="14"/>
  <c r="H244" i="15"/>
  <c r="E247" i="14" l="1"/>
  <c r="B246" i="14"/>
  <c r="C246" i="14"/>
  <c r="D246" i="14" s="1"/>
  <c r="AN246" i="14"/>
  <c r="Q246" i="14"/>
  <c r="H245" i="15"/>
  <c r="J246" i="14"/>
  <c r="E248" i="14" l="1"/>
  <c r="B247" i="14"/>
  <c r="C247" i="14"/>
  <c r="D247" i="14" s="1"/>
  <c r="AN247" i="14"/>
  <c r="Q247" i="14"/>
  <c r="J247" i="14"/>
  <c r="H246" i="15"/>
  <c r="E249" i="14" l="1"/>
  <c r="B248" i="14"/>
  <c r="AN248" i="14"/>
  <c r="C248" i="14"/>
  <c r="D248" i="14" s="1"/>
  <c r="Q248" i="14"/>
  <c r="H247" i="15"/>
  <c r="J248" i="14"/>
  <c r="E250" i="14" l="1"/>
  <c r="B249" i="14"/>
  <c r="AN249" i="14"/>
  <c r="C249" i="14"/>
  <c r="D249" i="14" s="1"/>
  <c r="Q249" i="14"/>
  <c r="H248" i="15"/>
  <c r="J249" i="14"/>
  <c r="E251" i="14" l="1"/>
  <c r="B250" i="14"/>
  <c r="C250" i="14"/>
  <c r="D250" i="14" s="1"/>
  <c r="AN250" i="14"/>
  <c r="Q250" i="14"/>
  <c r="H249" i="15"/>
  <c r="J250" i="14"/>
  <c r="E252" i="14" l="1"/>
  <c r="B251" i="14"/>
  <c r="AN251" i="14"/>
  <c r="C251" i="14"/>
  <c r="D251" i="14" s="1"/>
  <c r="Q251" i="14"/>
  <c r="J251" i="14"/>
  <c r="H250" i="15"/>
  <c r="E253" i="14" l="1"/>
  <c r="B252" i="14"/>
  <c r="AN252" i="14"/>
  <c r="C252" i="14"/>
  <c r="D252" i="14" s="1"/>
  <c r="Q252" i="14"/>
  <c r="H251" i="15"/>
  <c r="J252" i="14"/>
  <c r="E254" i="14" l="1"/>
  <c r="B253" i="14"/>
  <c r="AN253" i="14"/>
  <c r="C253" i="14"/>
  <c r="D253" i="14" s="1"/>
  <c r="Q253" i="14"/>
  <c r="J253" i="14"/>
  <c r="H252" i="15"/>
  <c r="E255" i="14" l="1"/>
  <c r="B254" i="14"/>
  <c r="C254" i="14"/>
  <c r="D254" i="14" s="1"/>
  <c r="AN254" i="14"/>
  <c r="H253" i="15"/>
  <c r="J254" i="14"/>
  <c r="Q254" i="14"/>
  <c r="E256" i="14" l="1"/>
  <c r="B255" i="14"/>
  <c r="C255" i="14"/>
  <c r="D255" i="14" s="1"/>
  <c r="AN255" i="14"/>
  <c r="Q255" i="14"/>
  <c r="J255" i="14"/>
  <c r="H254" i="15"/>
  <c r="E257" i="14" l="1"/>
  <c r="B256" i="14"/>
  <c r="AN256" i="14"/>
  <c r="C256" i="14"/>
  <c r="D256" i="14" s="1"/>
  <c r="Q256" i="14"/>
  <c r="H255" i="15"/>
  <c r="J256" i="14"/>
  <c r="E258" i="14" l="1"/>
  <c r="B257" i="14"/>
  <c r="AN257" i="14"/>
  <c r="C257" i="14"/>
  <c r="D257" i="14" s="1"/>
  <c r="Q257" i="14"/>
  <c r="H256" i="15"/>
  <c r="J257" i="14"/>
  <c r="E259" i="14" l="1"/>
  <c r="B258" i="14"/>
  <c r="C258" i="14"/>
  <c r="D258" i="14" s="1"/>
  <c r="AN258" i="14"/>
  <c r="Q258" i="14"/>
  <c r="H257" i="15"/>
  <c r="J258" i="14"/>
  <c r="E260" i="14" l="1"/>
  <c r="B259" i="14"/>
  <c r="AN259" i="14"/>
  <c r="C259" i="14"/>
  <c r="D259" i="14" s="1"/>
  <c r="J259" i="14"/>
  <c r="Q259" i="14"/>
  <c r="H258" i="15"/>
  <c r="E261" i="14" l="1"/>
  <c r="B260" i="14"/>
  <c r="AN260" i="14"/>
  <c r="C260" i="14"/>
  <c r="D260" i="14" s="1"/>
  <c r="Q260" i="14"/>
  <c r="H259" i="15"/>
  <c r="J260" i="14"/>
  <c r="E262" i="14" l="1"/>
  <c r="B261" i="14"/>
  <c r="AN261" i="14"/>
  <c r="C261" i="14"/>
  <c r="D261" i="14" s="1"/>
  <c r="Q261" i="14"/>
  <c r="J261" i="14"/>
  <c r="H260" i="15"/>
  <c r="E263" i="14" l="1"/>
  <c r="B262" i="14"/>
  <c r="C262" i="14"/>
  <c r="D262" i="14" s="1"/>
  <c r="AN262" i="14"/>
  <c r="Q262" i="14"/>
  <c r="H261" i="15"/>
  <c r="J262" i="14"/>
  <c r="E264" i="14" l="1"/>
  <c r="B263" i="14"/>
  <c r="C263" i="14"/>
  <c r="D263" i="14" s="1"/>
  <c r="AN263" i="14"/>
  <c r="Q263" i="14"/>
  <c r="J263" i="14"/>
  <c r="H262" i="15"/>
  <c r="E265" i="14" l="1"/>
  <c r="B264" i="14"/>
  <c r="AN264" i="14"/>
  <c r="C264" i="14"/>
  <c r="D264" i="14" s="1"/>
  <c r="H263" i="15"/>
  <c r="Q264" i="14"/>
  <c r="J264" i="14"/>
  <c r="E266" i="14" l="1"/>
  <c r="B265" i="14"/>
  <c r="AN265" i="14"/>
  <c r="C265" i="14"/>
  <c r="D265" i="14" s="1"/>
  <c r="Q265" i="14"/>
  <c r="H264" i="15"/>
  <c r="J265" i="14"/>
  <c r="E267" i="14" l="1"/>
  <c r="B266" i="14"/>
  <c r="C266" i="14"/>
  <c r="D266" i="14" s="1"/>
  <c r="AN266" i="14"/>
  <c r="Q266" i="14"/>
  <c r="H265" i="15"/>
  <c r="J266" i="14"/>
  <c r="E268" i="14" l="1"/>
  <c r="B267" i="14"/>
  <c r="AN267" i="14"/>
  <c r="C267" i="14"/>
  <c r="D267" i="14" s="1"/>
  <c r="Q267" i="14"/>
  <c r="J267" i="14"/>
  <c r="H266" i="15"/>
  <c r="E269" i="14" l="1"/>
  <c r="B268" i="14"/>
  <c r="AN268" i="14"/>
  <c r="C268" i="14"/>
  <c r="D268" i="14" s="1"/>
  <c r="Q268" i="14"/>
  <c r="H267" i="15"/>
  <c r="J268" i="14"/>
  <c r="B269" i="14" l="1"/>
  <c r="E270" i="14"/>
  <c r="AN269" i="14"/>
  <c r="C269" i="14"/>
  <c r="D269" i="14" s="1"/>
  <c r="Q269" i="14"/>
  <c r="J269" i="14"/>
  <c r="H268" i="15"/>
  <c r="E271" i="14" l="1"/>
  <c r="B270" i="14"/>
  <c r="C270" i="14"/>
  <c r="D270" i="14" s="1"/>
  <c r="AN270" i="14"/>
  <c r="Q270" i="14"/>
  <c r="H269" i="15"/>
  <c r="J270" i="14"/>
  <c r="E272" i="14" l="1"/>
  <c r="B271" i="14"/>
  <c r="C271" i="14"/>
  <c r="D271" i="14" s="1"/>
  <c r="AN271" i="14"/>
  <c r="Q271" i="14"/>
  <c r="J271" i="14"/>
  <c r="H270" i="15"/>
  <c r="E273" i="14" l="1"/>
  <c r="B272" i="14"/>
  <c r="AN272" i="14"/>
  <c r="C272" i="14"/>
  <c r="D272" i="14" s="1"/>
  <c r="Q272" i="14"/>
  <c r="H271" i="15"/>
  <c r="J272" i="14"/>
  <c r="E274" i="14" l="1"/>
  <c r="B273" i="14"/>
  <c r="AN273" i="14"/>
  <c r="C273" i="14"/>
  <c r="D273" i="14" s="1"/>
  <c r="Q273" i="14"/>
  <c r="H272" i="15"/>
  <c r="J273" i="14"/>
  <c r="E275" i="14" l="1"/>
  <c r="B274" i="14"/>
  <c r="C274" i="14"/>
  <c r="D274" i="14" s="1"/>
  <c r="AN274" i="14"/>
  <c r="Q274" i="14"/>
  <c r="H273" i="15"/>
  <c r="J274" i="14"/>
  <c r="E276" i="14" l="1"/>
  <c r="B275" i="14"/>
  <c r="AN275" i="14"/>
  <c r="C275" i="14"/>
  <c r="D275" i="14" s="1"/>
  <c r="J275" i="14"/>
  <c r="Q275" i="14"/>
  <c r="H274" i="15"/>
  <c r="E277" i="14" l="1"/>
  <c r="B276" i="14"/>
  <c r="AN276" i="14"/>
  <c r="C276" i="14"/>
  <c r="D276" i="14" s="1"/>
  <c r="Q276" i="14"/>
  <c r="H275" i="15"/>
  <c r="J276" i="14"/>
  <c r="E278" i="14" l="1"/>
  <c r="B277" i="14"/>
  <c r="AN277" i="14"/>
  <c r="C277" i="14"/>
  <c r="D277" i="14" s="1"/>
  <c r="Q277" i="14"/>
  <c r="J277" i="14"/>
  <c r="H276" i="15"/>
  <c r="E279" i="14" l="1"/>
  <c r="B278" i="14"/>
  <c r="C278" i="14"/>
  <c r="D278" i="14" s="1"/>
  <c r="AN278" i="14"/>
  <c r="Q278" i="14"/>
  <c r="H277" i="15"/>
  <c r="J278" i="14"/>
  <c r="E280" i="14" l="1"/>
  <c r="B279" i="14"/>
  <c r="C279" i="14"/>
  <c r="D279" i="14" s="1"/>
  <c r="AN279" i="14"/>
  <c r="Q279" i="14"/>
  <c r="J279" i="14"/>
  <c r="H278" i="15"/>
  <c r="E281" i="14" l="1"/>
  <c r="B280" i="14"/>
  <c r="AN280" i="14"/>
  <c r="C280" i="14"/>
  <c r="D280" i="14" s="1"/>
  <c r="Q280" i="14"/>
  <c r="H279" i="15"/>
  <c r="J280" i="14"/>
  <c r="E282" i="14" l="1"/>
  <c r="B281" i="14"/>
  <c r="AN281" i="14"/>
  <c r="C281" i="14"/>
  <c r="D281" i="14" s="1"/>
  <c r="Q281" i="14"/>
  <c r="J281" i="14"/>
  <c r="H280" i="15"/>
  <c r="E283" i="14" l="1"/>
  <c r="B282" i="14"/>
  <c r="C282" i="14"/>
  <c r="D282" i="14" s="1"/>
  <c r="AN282" i="14"/>
  <c r="Q282" i="14"/>
  <c r="H281" i="15"/>
  <c r="J282" i="14"/>
  <c r="E284" i="14" l="1"/>
  <c r="B283" i="14"/>
  <c r="AN283" i="14"/>
  <c r="C283" i="14"/>
  <c r="D283" i="14" s="1"/>
  <c r="Q283" i="14"/>
  <c r="J283" i="14"/>
  <c r="H282" i="15"/>
  <c r="E285" i="14" l="1"/>
  <c r="B284" i="14"/>
  <c r="AN284" i="14"/>
  <c r="C284" i="14"/>
  <c r="D284" i="14" s="1"/>
  <c r="Q284" i="14"/>
  <c r="H283" i="15"/>
  <c r="J284" i="14"/>
  <c r="E286" i="14" l="1"/>
  <c r="B285" i="14"/>
  <c r="AN285" i="14"/>
  <c r="C285" i="14"/>
  <c r="D285" i="14" s="1"/>
  <c r="Q285" i="14"/>
  <c r="H284" i="15"/>
  <c r="J285" i="14"/>
  <c r="E287" i="14" l="1"/>
  <c r="B286" i="14"/>
  <c r="C286" i="14"/>
  <c r="D286" i="14" s="1"/>
  <c r="AN286" i="14"/>
  <c r="H285" i="15"/>
  <c r="J286" i="14"/>
  <c r="Q286" i="14"/>
  <c r="E288" i="14" l="1"/>
  <c r="B287" i="14"/>
  <c r="C287" i="14"/>
  <c r="D287" i="14" s="1"/>
  <c r="AN287" i="14"/>
  <c r="Q287" i="14"/>
  <c r="J287" i="14"/>
  <c r="H286" i="15"/>
  <c r="E289" i="14" l="1"/>
  <c r="B288" i="14"/>
  <c r="AN288" i="14"/>
  <c r="C288" i="14"/>
  <c r="D288" i="14" s="1"/>
  <c r="Q288" i="14"/>
  <c r="H287" i="15"/>
  <c r="J288" i="14"/>
  <c r="E290" i="14" l="1"/>
  <c r="B289" i="14"/>
  <c r="AN289" i="14"/>
  <c r="C289" i="14"/>
  <c r="D289" i="14" s="1"/>
  <c r="Q289" i="14"/>
  <c r="J289" i="14"/>
  <c r="H288" i="15"/>
  <c r="E291" i="14" l="1"/>
  <c r="B290" i="14"/>
  <c r="C290" i="14"/>
  <c r="D290" i="14" s="1"/>
  <c r="AN290" i="14"/>
  <c r="Q290" i="14"/>
  <c r="H289" i="15"/>
  <c r="J290" i="14"/>
  <c r="E292" i="14" l="1"/>
  <c r="B291" i="14"/>
  <c r="AN291" i="14"/>
  <c r="C291" i="14"/>
  <c r="D291" i="14" s="1"/>
  <c r="Q291" i="14"/>
  <c r="J291" i="14"/>
  <c r="H290" i="15"/>
  <c r="E293" i="14" l="1"/>
  <c r="B292" i="14"/>
  <c r="AN292" i="14"/>
  <c r="C292" i="14"/>
  <c r="D292" i="14" s="1"/>
  <c r="Q292" i="14"/>
  <c r="H291" i="15"/>
  <c r="J292" i="14"/>
  <c r="E294" i="14" l="1"/>
  <c r="B293" i="14"/>
  <c r="AN293" i="14"/>
  <c r="C293" i="14"/>
  <c r="D293" i="14" s="1"/>
  <c r="Q293" i="14"/>
  <c r="H292" i="15"/>
  <c r="J293" i="14"/>
  <c r="E295" i="14" l="1"/>
  <c r="B294" i="14"/>
  <c r="C294" i="14"/>
  <c r="D294" i="14" s="1"/>
  <c r="AN294" i="14"/>
  <c r="Q294" i="14"/>
  <c r="H293" i="15"/>
  <c r="J294" i="14"/>
  <c r="E296" i="14" l="1"/>
  <c r="B295" i="14"/>
  <c r="C295" i="14"/>
  <c r="D295" i="14" s="1"/>
  <c r="AN295" i="14"/>
  <c r="Q295" i="14"/>
  <c r="J295" i="14"/>
  <c r="H294" i="15"/>
  <c r="E297" i="14" l="1"/>
  <c r="B296" i="14"/>
  <c r="AN296" i="14"/>
  <c r="C296" i="14"/>
  <c r="D296" i="14" s="1"/>
  <c r="H295" i="15"/>
  <c r="Q296" i="14"/>
  <c r="J296" i="14"/>
  <c r="E298" i="14" l="1"/>
  <c r="B297" i="14"/>
  <c r="AN297" i="14"/>
  <c r="C297" i="14"/>
  <c r="D297" i="14" s="1"/>
  <c r="Q297" i="14"/>
  <c r="J297" i="14"/>
  <c r="H296" i="15"/>
  <c r="E299" i="14" l="1"/>
  <c r="B298" i="14"/>
  <c r="C298" i="14"/>
  <c r="D298" i="14" s="1"/>
  <c r="AN298" i="14"/>
  <c r="Q298" i="14"/>
  <c r="H297" i="15"/>
  <c r="J298" i="14"/>
  <c r="E300" i="14" l="1"/>
  <c r="B299" i="14"/>
  <c r="C299" i="14"/>
  <c r="D299" i="14" s="1"/>
  <c r="AN299" i="14"/>
  <c r="Q299" i="14"/>
  <c r="J299" i="14"/>
  <c r="H298" i="15"/>
  <c r="E301" i="14" l="1"/>
  <c r="B300" i="14"/>
  <c r="AN300" i="14"/>
  <c r="C300" i="14"/>
  <c r="D300" i="14" s="1"/>
  <c r="Q300" i="14"/>
  <c r="H299" i="15"/>
  <c r="J300" i="14"/>
  <c r="B301" i="14" l="1"/>
  <c r="E302" i="14"/>
  <c r="AN301" i="14"/>
  <c r="C301" i="14"/>
  <c r="D301" i="14" s="1"/>
  <c r="Q301" i="14"/>
  <c r="H300" i="15"/>
  <c r="J301" i="14"/>
  <c r="E303" i="14" l="1"/>
  <c r="B302" i="14"/>
  <c r="AN302" i="14"/>
  <c r="C302" i="14"/>
  <c r="D302" i="14" s="1"/>
  <c r="H301" i="15"/>
  <c r="J302" i="14"/>
  <c r="Q302" i="14"/>
  <c r="E304" i="14" l="1"/>
  <c r="B303" i="14"/>
  <c r="C303" i="14"/>
  <c r="D303" i="14" s="1"/>
  <c r="AN303" i="14"/>
  <c r="Q303" i="14"/>
  <c r="J303" i="14"/>
  <c r="H302" i="15"/>
  <c r="E305" i="14" l="1"/>
  <c r="B304" i="14"/>
  <c r="AN304" i="14"/>
  <c r="C304" i="14"/>
  <c r="D304" i="14" s="1"/>
  <c r="Q304" i="14"/>
  <c r="H303" i="15"/>
  <c r="J304" i="14"/>
  <c r="E306" i="14" l="1"/>
  <c r="B305" i="14"/>
  <c r="AN305" i="14"/>
  <c r="C305" i="14"/>
  <c r="D305" i="14" s="1"/>
  <c r="Q305" i="14"/>
  <c r="J305" i="14"/>
  <c r="H304" i="15"/>
  <c r="E307" i="14" l="1"/>
  <c r="B306" i="14"/>
  <c r="C306" i="14"/>
  <c r="D306" i="14" s="1"/>
  <c r="AN306" i="14"/>
  <c r="Q306" i="14"/>
  <c r="H305" i="15"/>
  <c r="J306" i="14"/>
  <c r="E308" i="14" l="1"/>
  <c r="B307" i="14"/>
  <c r="C307" i="14"/>
  <c r="D307" i="14" s="1"/>
  <c r="AN307" i="14"/>
  <c r="J307" i="14"/>
  <c r="Q307" i="14"/>
  <c r="H306" i="15"/>
  <c r="E309" i="14" l="1"/>
  <c r="B308" i="14"/>
  <c r="AN308" i="14"/>
  <c r="C308" i="14"/>
  <c r="D308" i="14" s="1"/>
  <c r="Q308" i="14"/>
  <c r="H307" i="15"/>
  <c r="J308" i="14"/>
  <c r="E310" i="14" l="1"/>
  <c r="B309" i="14"/>
  <c r="AN309" i="14"/>
  <c r="C309" i="14"/>
  <c r="D309" i="14" s="1"/>
  <c r="Q309" i="14"/>
  <c r="H308" i="15"/>
  <c r="J309" i="14"/>
  <c r="E311" i="14" l="1"/>
  <c r="B310" i="14"/>
  <c r="AN310" i="14"/>
  <c r="C310" i="14"/>
  <c r="D310" i="14" s="1"/>
  <c r="Q310" i="14"/>
  <c r="H309" i="15"/>
  <c r="J310" i="14"/>
  <c r="E312" i="14" l="1"/>
  <c r="B311" i="14"/>
  <c r="C311" i="14"/>
  <c r="D311" i="14" s="1"/>
  <c r="AN311" i="14"/>
  <c r="Q311" i="14"/>
  <c r="J311" i="14"/>
  <c r="H310" i="15"/>
  <c r="E313" i="14" l="1"/>
  <c r="B312" i="14"/>
  <c r="AN312" i="14"/>
  <c r="C312" i="14"/>
  <c r="D312" i="14" s="1"/>
  <c r="Q312" i="14"/>
  <c r="H311" i="15"/>
  <c r="J312" i="14"/>
  <c r="E314" i="14" l="1"/>
  <c r="B313" i="14"/>
  <c r="AN313" i="14"/>
  <c r="C313" i="14"/>
  <c r="D313" i="14" s="1"/>
  <c r="Q313" i="14"/>
  <c r="J313" i="14"/>
  <c r="H312" i="15"/>
  <c r="E315" i="14" l="1"/>
  <c r="B314" i="14"/>
  <c r="C314" i="14"/>
  <c r="D314" i="14" s="1"/>
  <c r="AN314" i="14"/>
  <c r="Q314" i="14"/>
  <c r="H313" i="15"/>
  <c r="J314" i="14"/>
  <c r="E316" i="14" l="1"/>
  <c r="B315" i="14"/>
  <c r="C315" i="14"/>
  <c r="D315" i="14" s="1"/>
  <c r="AN315" i="14"/>
  <c r="Q315" i="14"/>
  <c r="J315" i="14"/>
  <c r="H314" i="15"/>
  <c r="E317" i="14" l="1"/>
  <c r="B316" i="14"/>
  <c r="AN316" i="14"/>
  <c r="C316" i="14"/>
  <c r="D316" i="14" s="1"/>
  <c r="Q316" i="14"/>
  <c r="H315" i="15"/>
  <c r="J316" i="14"/>
  <c r="E318" i="14" l="1"/>
  <c r="AN317" i="14"/>
  <c r="C317" i="14"/>
  <c r="D317" i="14" s="1"/>
  <c r="B317" i="14"/>
  <c r="Q317" i="14"/>
  <c r="H316" i="15"/>
  <c r="J317" i="14"/>
  <c r="E319" i="14" l="1"/>
  <c r="B318" i="14"/>
  <c r="AN318" i="14"/>
  <c r="C318" i="14"/>
  <c r="D318" i="14" s="1"/>
  <c r="Q318" i="14"/>
  <c r="H317" i="15"/>
  <c r="J318" i="14"/>
  <c r="E320" i="14" l="1"/>
  <c r="B319" i="14"/>
  <c r="C319" i="14"/>
  <c r="D319" i="14" s="1"/>
  <c r="AN319" i="14"/>
  <c r="J319" i="14"/>
  <c r="Q319" i="14"/>
  <c r="H318" i="15"/>
  <c r="E321" i="14" l="1"/>
  <c r="B320" i="14"/>
  <c r="AN320" i="14"/>
  <c r="C320" i="14"/>
  <c r="D320" i="14" s="1"/>
  <c r="Q320" i="14"/>
  <c r="H319" i="15"/>
  <c r="J320" i="14"/>
  <c r="E322" i="14" l="1"/>
  <c r="B321" i="14"/>
  <c r="AN321" i="14"/>
  <c r="C321" i="14"/>
  <c r="D321" i="14" s="1"/>
  <c r="Q321" i="14"/>
  <c r="J321" i="14"/>
  <c r="H320" i="15"/>
  <c r="E323" i="14" l="1"/>
  <c r="B322" i="14"/>
  <c r="C322" i="14"/>
  <c r="D322" i="14" s="1"/>
  <c r="AN322" i="14"/>
  <c r="Q322" i="14"/>
  <c r="H321" i="15"/>
  <c r="J322" i="14"/>
  <c r="E324" i="14" l="1"/>
  <c r="B323" i="14"/>
  <c r="C323" i="14"/>
  <c r="D323" i="14" s="1"/>
  <c r="AN323" i="14"/>
  <c r="Q323" i="14"/>
  <c r="J323" i="14"/>
  <c r="H322" i="15"/>
  <c r="E325" i="14" l="1"/>
  <c r="B324" i="14"/>
  <c r="AN324" i="14"/>
  <c r="C324" i="14"/>
  <c r="D324" i="14" s="1"/>
  <c r="Q324" i="14"/>
  <c r="H323" i="15"/>
  <c r="J324" i="14"/>
  <c r="E326" i="14" l="1"/>
  <c r="B325" i="14"/>
  <c r="AN325" i="14"/>
  <c r="C325" i="14"/>
  <c r="D325" i="14" s="1"/>
  <c r="Q325" i="14"/>
  <c r="H324" i="15"/>
  <c r="J325" i="14"/>
  <c r="E327" i="14" l="1"/>
  <c r="B326" i="14"/>
  <c r="AN326" i="14"/>
  <c r="C326" i="14"/>
  <c r="D326" i="14" s="1"/>
  <c r="Q326" i="14"/>
  <c r="H325" i="15"/>
  <c r="J326" i="14"/>
  <c r="E328" i="14" l="1"/>
  <c r="B327" i="14"/>
  <c r="C327" i="14"/>
  <c r="D327" i="14" s="1"/>
  <c r="AN327" i="14"/>
  <c r="Q327" i="14"/>
  <c r="J327" i="14"/>
  <c r="H326" i="15"/>
  <c r="E329" i="14" l="1"/>
  <c r="B328" i="14"/>
  <c r="AN328" i="14"/>
  <c r="C328" i="14"/>
  <c r="D328" i="14" s="1"/>
  <c r="Q328" i="14"/>
  <c r="H327" i="15"/>
  <c r="J328" i="14"/>
  <c r="E330" i="14" l="1"/>
  <c r="B329" i="14"/>
  <c r="AN329" i="14"/>
  <c r="C329" i="14"/>
  <c r="D329" i="14" s="1"/>
  <c r="J329" i="14"/>
  <c r="Q329" i="14"/>
  <c r="H328" i="15"/>
  <c r="E331" i="14" l="1"/>
  <c r="B330" i="14"/>
  <c r="C330" i="14"/>
  <c r="D330" i="14" s="1"/>
  <c r="AN330" i="14"/>
  <c r="Q330" i="14"/>
  <c r="H329" i="15"/>
  <c r="J330" i="14"/>
  <c r="E332" i="14" l="1"/>
  <c r="B331" i="14"/>
  <c r="AN331" i="14"/>
  <c r="C331" i="14"/>
  <c r="D331" i="14" s="1"/>
  <c r="Q331" i="14"/>
  <c r="J331" i="14"/>
  <c r="H330" i="15"/>
  <c r="E333" i="14" l="1"/>
  <c r="B332" i="14"/>
  <c r="AN332" i="14"/>
  <c r="C332" i="14"/>
  <c r="D332" i="14" s="1"/>
  <c r="Q332" i="14"/>
  <c r="H331" i="15"/>
  <c r="J332" i="14"/>
  <c r="B333" i="14" l="1"/>
  <c r="AN333" i="14"/>
  <c r="C333" i="14"/>
  <c r="D333" i="14" s="1"/>
  <c r="E334" i="14"/>
  <c r="Q333" i="14"/>
  <c r="H332" i="15"/>
  <c r="J333" i="14"/>
  <c r="E335" i="14" l="1"/>
  <c r="B334" i="14"/>
  <c r="C334" i="14"/>
  <c r="D334" i="14" s="1"/>
  <c r="AN334" i="14"/>
  <c r="Q334" i="14"/>
  <c r="H333" i="15"/>
  <c r="J334" i="14"/>
  <c r="E336" i="14" l="1"/>
  <c r="B335" i="14"/>
  <c r="AN335" i="14"/>
  <c r="C335" i="14"/>
  <c r="D335" i="14" s="1"/>
  <c r="Q335" i="14"/>
  <c r="J335" i="14"/>
  <c r="H334" i="15"/>
  <c r="E337" i="14" l="1"/>
  <c r="B336" i="14"/>
  <c r="AN336" i="14"/>
  <c r="C336" i="14"/>
  <c r="D336" i="14" s="1"/>
  <c r="Q336" i="14"/>
  <c r="H335" i="15"/>
  <c r="J336" i="14"/>
  <c r="E338" i="14" l="1"/>
  <c r="B337" i="14"/>
  <c r="AN337" i="14"/>
  <c r="C337" i="14"/>
  <c r="D337" i="14" s="1"/>
  <c r="Q337" i="14"/>
  <c r="J337" i="14"/>
  <c r="H336" i="15"/>
  <c r="E339" i="14" l="1"/>
  <c r="B338" i="14"/>
  <c r="C338" i="14"/>
  <c r="D338" i="14" s="1"/>
  <c r="AN338" i="14"/>
  <c r="Q338" i="14"/>
  <c r="H337" i="15"/>
  <c r="J338" i="14"/>
  <c r="E340" i="14" l="1"/>
  <c r="B339" i="14"/>
  <c r="AN339" i="14"/>
  <c r="C339" i="14"/>
  <c r="D339" i="14" s="1"/>
  <c r="Q339" i="14"/>
  <c r="J339" i="14"/>
  <c r="H338" i="15"/>
  <c r="E341" i="14" l="1"/>
  <c r="B340" i="14"/>
  <c r="AN340" i="14"/>
  <c r="C340" i="14"/>
  <c r="D340" i="14" s="1"/>
  <c r="H339" i="15"/>
  <c r="Q340" i="14"/>
  <c r="J340" i="14"/>
  <c r="E342" i="14" l="1"/>
  <c r="B341" i="14"/>
  <c r="AN341" i="14"/>
  <c r="C341" i="14"/>
  <c r="D341" i="14" s="1"/>
  <c r="Q341" i="14"/>
  <c r="H340" i="15"/>
  <c r="J341" i="14"/>
  <c r="E343" i="14" l="1"/>
  <c r="B342" i="14"/>
  <c r="C342" i="14"/>
  <c r="D342" i="14" s="1"/>
  <c r="AN342" i="14"/>
  <c r="Q342" i="14"/>
  <c r="H341" i="15"/>
  <c r="J342" i="14"/>
  <c r="E344" i="14" l="1"/>
  <c r="B343" i="14"/>
  <c r="AN343" i="14"/>
  <c r="C343" i="14"/>
  <c r="D343" i="14" s="1"/>
  <c r="Q343" i="14"/>
  <c r="J343" i="14"/>
  <c r="H342" i="15"/>
  <c r="E345" i="14" l="1"/>
  <c r="B344" i="14"/>
  <c r="AN344" i="14"/>
  <c r="C344" i="14"/>
  <c r="D344" i="14" s="1"/>
  <c r="Q344" i="14"/>
  <c r="H343" i="15"/>
  <c r="J344" i="14"/>
  <c r="E346" i="14" l="1"/>
  <c r="B345" i="14"/>
  <c r="AN345" i="14"/>
  <c r="C345" i="14"/>
  <c r="D345" i="14" s="1"/>
  <c r="Q345" i="14"/>
  <c r="J345" i="14"/>
  <c r="H344" i="15"/>
  <c r="E347" i="14" l="1"/>
  <c r="B346" i="14"/>
  <c r="C346" i="14"/>
  <c r="D346" i="14" s="1"/>
  <c r="AN346" i="14"/>
  <c r="Q346" i="14"/>
  <c r="H345" i="15"/>
  <c r="J346" i="14"/>
  <c r="E348" i="14" l="1"/>
  <c r="B347" i="14"/>
  <c r="AN347" i="14"/>
  <c r="C347" i="14"/>
  <c r="D347" i="14" s="1"/>
  <c r="Q347" i="14"/>
  <c r="J347" i="14"/>
  <c r="H346" i="15"/>
  <c r="E349" i="14" l="1"/>
  <c r="B348" i="14"/>
  <c r="AN348" i="14"/>
  <c r="C348" i="14"/>
  <c r="D348" i="14" s="1"/>
  <c r="Q348" i="14"/>
  <c r="H347" i="15"/>
  <c r="J348" i="14"/>
  <c r="E350" i="14" l="1"/>
  <c r="B349" i="14"/>
  <c r="AN349" i="14"/>
  <c r="C349" i="14"/>
  <c r="D349" i="14" s="1"/>
  <c r="Q349" i="14"/>
  <c r="H348" i="15"/>
  <c r="J349" i="14"/>
  <c r="E351" i="14" l="1"/>
  <c r="B350" i="14"/>
  <c r="C350" i="14"/>
  <c r="D350" i="14" s="1"/>
  <c r="AN350" i="14"/>
  <c r="Q350" i="14"/>
  <c r="H349" i="15"/>
  <c r="J350" i="14"/>
  <c r="E352" i="14" l="1"/>
  <c r="B351" i="14"/>
  <c r="AN351" i="14"/>
  <c r="C351" i="14"/>
  <c r="D351" i="14" s="1"/>
  <c r="J351" i="14"/>
  <c r="Q351" i="14"/>
  <c r="H350" i="15"/>
  <c r="E353" i="14" l="1"/>
  <c r="B352" i="14"/>
  <c r="AN352" i="14"/>
  <c r="C352" i="14"/>
  <c r="D352" i="14" s="1"/>
  <c r="Q352" i="14"/>
  <c r="H351" i="15"/>
  <c r="J352" i="14"/>
  <c r="E354" i="14" l="1"/>
  <c r="B353" i="14"/>
  <c r="AN353" i="14"/>
  <c r="C353" i="14"/>
  <c r="D353" i="14" s="1"/>
  <c r="Q353" i="14"/>
  <c r="J353" i="14"/>
  <c r="H352" i="15"/>
  <c r="E355" i="14" l="1"/>
  <c r="B354" i="14"/>
  <c r="C354" i="14"/>
  <c r="D354" i="14" s="1"/>
  <c r="AN354" i="14"/>
  <c r="Q354" i="14"/>
  <c r="H353" i="15"/>
  <c r="J354" i="14"/>
  <c r="B355" i="14" l="1"/>
  <c r="E356" i="14"/>
  <c r="AN355" i="14"/>
  <c r="C355" i="14"/>
  <c r="D355" i="14" s="1"/>
  <c r="Q355" i="14"/>
  <c r="J355" i="14"/>
  <c r="H354" i="15"/>
  <c r="E357" i="14" l="1"/>
  <c r="B356" i="14"/>
  <c r="AN356" i="14"/>
  <c r="C356" i="14"/>
  <c r="D356" i="14" s="1"/>
  <c r="Q356" i="14"/>
  <c r="H355" i="15"/>
  <c r="J356" i="14"/>
  <c r="E358" i="14" l="1"/>
  <c r="B357" i="14"/>
  <c r="AN357" i="14"/>
  <c r="C357" i="14"/>
  <c r="D357" i="14" s="1"/>
  <c r="Q357" i="14"/>
  <c r="H356" i="15"/>
  <c r="J357" i="14"/>
  <c r="E359" i="14" l="1"/>
  <c r="B358" i="14"/>
  <c r="AN358" i="14"/>
  <c r="C358" i="14"/>
  <c r="D358" i="14" s="1"/>
  <c r="Q358" i="14"/>
  <c r="H357" i="15"/>
  <c r="J358" i="14"/>
  <c r="E360" i="14" l="1"/>
  <c r="B359" i="14"/>
  <c r="C359" i="14"/>
  <c r="D359" i="14" s="1"/>
  <c r="AN359" i="14"/>
  <c r="Q359" i="14"/>
  <c r="J359" i="14"/>
  <c r="H358" i="15"/>
  <c r="E361" i="14" l="1"/>
  <c r="B360" i="14"/>
  <c r="AN360" i="14"/>
  <c r="C360" i="14"/>
  <c r="D360" i="14" s="1"/>
  <c r="Q360" i="14"/>
  <c r="H359" i="15"/>
  <c r="J360" i="14"/>
  <c r="E362" i="14" l="1"/>
  <c r="B361" i="14"/>
  <c r="AN361" i="14"/>
  <c r="C361" i="14"/>
  <c r="D361" i="14" s="1"/>
  <c r="J361" i="14"/>
  <c r="H360" i="15"/>
  <c r="Q361" i="14"/>
  <c r="E363" i="14" l="1"/>
  <c r="B362" i="14"/>
  <c r="AN362" i="14"/>
  <c r="C362" i="14"/>
  <c r="D362" i="14" s="1"/>
  <c r="Q362" i="14"/>
  <c r="H361" i="15"/>
  <c r="J362" i="14"/>
  <c r="E364" i="14" l="1"/>
  <c r="B363" i="14"/>
  <c r="C363" i="14"/>
  <c r="D363" i="14" s="1"/>
  <c r="AN363" i="14"/>
  <c r="Q363" i="14"/>
  <c r="J363" i="14"/>
  <c r="H362" i="15"/>
  <c r="E365" i="14" l="1"/>
  <c r="B364" i="14"/>
  <c r="AN364" i="14"/>
  <c r="C364" i="14"/>
  <c r="D364" i="14" s="1"/>
  <c r="Q364" i="14"/>
  <c r="H363" i="15"/>
  <c r="J364" i="14"/>
  <c r="E366" i="14" l="1"/>
  <c r="B365" i="14"/>
  <c r="AN365" i="14"/>
  <c r="C365" i="14"/>
  <c r="D365" i="14" s="1"/>
  <c r="Q365" i="14"/>
  <c r="H364" i="15"/>
  <c r="J365" i="14"/>
  <c r="E367" i="14" l="1"/>
  <c r="B366" i="14"/>
  <c r="AN366" i="14"/>
  <c r="C366" i="14"/>
  <c r="D366" i="14" s="1"/>
  <c r="Q366" i="14"/>
  <c r="H365" i="15"/>
  <c r="J366" i="14"/>
  <c r="E368" i="14" l="1"/>
  <c r="B367" i="14"/>
  <c r="C367" i="14"/>
  <c r="D367" i="14" s="1"/>
  <c r="AN367" i="14"/>
  <c r="J367" i="14"/>
  <c r="Q367" i="14"/>
  <c r="H366" i="15"/>
  <c r="E369" i="14" l="1"/>
  <c r="B368" i="14"/>
  <c r="AN368" i="14"/>
  <c r="C368" i="14"/>
  <c r="D368" i="14" s="1"/>
  <c r="Q368" i="14"/>
  <c r="H367" i="15"/>
  <c r="J368" i="14"/>
  <c r="E370" i="14" l="1"/>
  <c r="B369" i="14"/>
  <c r="AN369" i="14"/>
  <c r="C369" i="14"/>
  <c r="D369" i="14" s="1"/>
  <c r="Q369" i="14"/>
  <c r="J369" i="14"/>
  <c r="H368" i="15"/>
  <c r="E371" i="14" l="1"/>
  <c r="B370" i="14"/>
  <c r="AN370" i="14"/>
  <c r="C370" i="14"/>
  <c r="D370" i="14" s="1"/>
  <c r="Q370" i="14"/>
  <c r="H369" i="15"/>
  <c r="J370" i="14"/>
  <c r="B371" i="14" l="1"/>
  <c r="E372" i="14"/>
  <c r="C371" i="14"/>
  <c r="D371" i="14" s="1"/>
  <c r="AN371" i="14"/>
  <c r="Q371" i="14"/>
  <c r="J371" i="14"/>
  <c r="H370" i="15"/>
  <c r="E373" i="14" l="1"/>
  <c r="B372" i="14"/>
  <c r="AN372" i="14"/>
  <c r="C372" i="14"/>
  <c r="D372" i="14" s="1"/>
  <c r="H371" i="15"/>
  <c r="Q372" i="14"/>
  <c r="J372" i="14"/>
  <c r="E374" i="14" l="1"/>
  <c r="B373" i="14"/>
  <c r="AN373" i="14"/>
  <c r="C373" i="14"/>
  <c r="D373" i="14" s="1"/>
  <c r="Q373" i="14"/>
  <c r="H372" i="15"/>
  <c r="J373" i="14"/>
  <c r="E375" i="14" l="1"/>
  <c r="B374" i="14"/>
  <c r="AN374" i="14"/>
  <c r="C374" i="14"/>
  <c r="D374" i="14" s="1"/>
  <c r="Q374" i="14"/>
  <c r="H373" i="15"/>
  <c r="J374" i="14"/>
  <c r="E376" i="14" l="1"/>
  <c r="B375" i="14"/>
  <c r="C375" i="14"/>
  <c r="D375" i="14" s="1"/>
  <c r="AN375" i="14"/>
  <c r="Q375" i="14"/>
  <c r="J375" i="14"/>
  <c r="H374" i="15"/>
  <c r="E377" i="14" l="1"/>
  <c r="B376" i="14"/>
  <c r="AN376" i="14"/>
  <c r="C376" i="14"/>
  <c r="D376" i="14" s="1"/>
  <c r="Q376" i="14"/>
  <c r="H375" i="15"/>
  <c r="J376" i="14"/>
  <c r="E378" i="14" l="1"/>
  <c r="B377" i="14"/>
  <c r="AN377" i="14"/>
  <c r="C377" i="14"/>
  <c r="D377" i="14" s="1"/>
  <c r="Q377" i="14"/>
  <c r="J377" i="14"/>
  <c r="H376" i="15"/>
  <c r="E379" i="14" l="1"/>
  <c r="B378" i="14"/>
  <c r="AN378" i="14"/>
  <c r="C378" i="14"/>
  <c r="D378" i="14" s="1"/>
  <c r="Q378" i="14"/>
  <c r="H377" i="15"/>
  <c r="J378" i="14"/>
  <c r="E380" i="14" l="1"/>
  <c r="B379" i="14"/>
  <c r="C379" i="14"/>
  <c r="D379" i="14" s="1"/>
  <c r="AN379" i="14"/>
  <c r="Q379" i="14"/>
  <c r="J379" i="14"/>
  <c r="H378" i="15"/>
  <c r="E381" i="14" l="1"/>
  <c r="B380" i="14"/>
  <c r="AN380" i="14"/>
  <c r="C380" i="14"/>
  <c r="D380" i="14" s="1"/>
  <c r="Q380" i="14"/>
  <c r="H379" i="15"/>
  <c r="J380" i="14"/>
  <c r="E382" i="14" l="1"/>
  <c r="B381" i="14"/>
  <c r="AN381" i="14"/>
  <c r="C381" i="14"/>
  <c r="D381" i="14" s="1"/>
  <c r="Q381" i="14"/>
  <c r="H380" i="15"/>
  <c r="J381" i="14"/>
  <c r="E383" i="14" l="1"/>
  <c r="B382" i="14"/>
  <c r="AN382" i="14"/>
  <c r="C382" i="14"/>
  <c r="D382" i="14" s="1"/>
  <c r="Q382" i="14"/>
  <c r="H381" i="15"/>
  <c r="J382" i="14"/>
  <c r="E384" i="14" l="1"/>
  <c r="B383" i="14"/>
  <c r="C383" i="14"/>
  <c r="D383" i="14" s="1"/>
  <c r="AN383" i="14"/>
  <c r="J383" i="14"/>
  <c r="Q383" i="14"/>
  <c r="H382" i="15"/>
  <c r="E385" i="14" l="1"/>
  <c r="B384" i="14"/>
  <c r="AN384" i="14"/>
  <c r="C384" i="14"/>
  <c r="D384" i="14" s="1"/>
  <c r="Q384" i="14"/>
  <c r="H383" i="15"/>
  <c r="J384" i="14"/>
  <c r="E386" i="14" l="1"/>
  <c r="B385" i="14"/>
  <c r="AN385" i="14"/>
  <c r="C385" i="14"/>
  <c r="D385" i="14" s="1"/>
  <c r="Q385" i="14"/>
  <c r="J385" i="14"/>
  <c r="H384" i="15"/>
  <c r="E387" i="14" l="1"/>
  <c r="B386" i="14"/>
  <c r="AN386" i="14"/>
  <c r="C386" i="14"/>
  <c r="D386" i="14" s="1"/>
  <c r="Q386" i="14"/>
  <c r="H385" i="15"/>
  <c r="J386" i="14"/>
  <c r="B387" i="14" l="1"/>
  <c r="E388" i="14"/>
  <c r="C387" i="14"/>
  <c r="D387" i="14" s="1"/>
  <c r="AN387" i="14"/>
  <c r="Q387" i="14"/>
  <c r="J387" i="14"/>
  <c r="H386" i="15"/>
  <c r="E389" i="14" l="1"/>
  <c r="B388" i="14"/>
  <c r="AN388" i="14"/>
  <c r="C388" i="14"/>
  <c r="D388" i="14" s="1"/>
  <c r="Q388" i="14"/>
  <c r="H387" i="15"/>
  <c r="J388" i="14"/>
  <c r="E390" i="14" l="1"/>
  <c r="B389" i="14"/>
  <c r="C389" i="14"/>
  <c r="D389" i="14" s="1"/>
  <c r="AN389" i="14"/>
  <c r="Q389" i="14"/>
  <c r="H388" i="15"/>
  <c r="J389" i="14"/>
  <c r="E391" i="14" l="1"/>
  <c r="B390" i="14"/>
  <c r="C390" i="14"/>
  <c r="D390" i="14" s="1"/>
  <c r="AN390" i="14"/>
  <c r="Q390" i="14"/>
  <c r="H389" i="15"/>
  <c r="J390" i="14"/>
  <c r="E392" i="14" l="1"/>
  <c r="B391" i="14"/>
  <c r="C391" i="14"/>
  <c r="D391" i="14" s="1"/>
  <c r="AN391" i="14"/>
  <c r="Q391" i="14"/>
  <c r="J391" i="14"/>
  <c r="H390" i="15"/>
  <c r="E393" i="14" l="1"/>
  <c r="B392" i="14"/>
  <c r="AN392" i="14"/>
  <c r="C392" i="14"/>
  <c r="D392" i="14" s="1"/>
  <c r="Q392" i="14"/>
  <c r="H391" i="15"/>
  <c r="J392" i="14"/>
  <c r="E394" i="14" l="1"/>
  <c r="B393" i="14"/>
  <c r="C393" i="14"/>
  <c r="D393" i="14" s="1"/>
  <c r="AN393" i="14"/>
  <c r="J393" i="14"/>
  <c r="Q393" i="14"/>
  <c r="H392" i="15"/>
  <c r="E395" i="14" l="1"/>
  <c r="B394" i="14"/>
  <c r="C394" i="14"/>
  <c r="D394" i="14" s="1"/>
  <c r="AN394" i="14"/>
  <c r="Q394" i="14"/>
  <c r="H393" i="15"/>
  <c r="J394" i="14"/>
  <c r="C395" i="14" l="1"/>
  <c r="D395" i="14" s="1"/>
  <c r="E396" i="14"/>
  <c r="B395" i="14"/>
  <c r="AN395" i="14"/>
  <c r="Q395" i="14"/>
  <c r="J395" i="14"/>
  <c r="H394" i="15"/>
  <c r="E397" i="14" l="1"/>
  <c r="B396" i="14"/>
  <c r="AN396" i="14"/>
  <c r="C396" i="14"/>
  <c r="D396" i="14" s="1"/>
  <c r="Q396" i="14"/>
  <c r="H395" i="15"/>
  <c r="J396" i="14"/>
  <c r="E398" i="14" l="1"/>
  <c r="B397" i="14"/>
  <c r="C397" i="14"/>
  <c r="D397" i="14" s="1"/>
  <c r="AN397" i="14"/>
  <c r="Q397" i="14"/>
  <c r="J397" i="14"/>
  <c r="H396" i="15"/>
  <c r="E399" i="14" l="1"/>
  <c r="B398" i="14"/>
  <c r="C398" i="14"/>
  <c r="D398" i="14" s="1"/>
  <c r="AN398" i="14"/>
  <c r="Q398" i="14"/>
  <c r="H397" i="15"/>
  <c r="J398" i="14"/>
  <c r="E400" i="14" l="1"/>
  <c r="B399" i="14"/>
  <c r="C399" i="14"/>
  <c r="D399" i="14" s="1"/>
  <c r="AN399" i="14"/>
  <c r="Q399" i="14"/>
  <c r="J399" i="14"/>
  <c r="H398" i="15"/>
  <c r="E401" i="14" l="1"/>
  <c r="B400" i="14"/>
  <c r="AN400" i="14"/>
  <c r="C400" i="14"/>
  <c r="D400" i="14" s="1"/>
  <c r="Q400" i="14"/>
  <c r="H399" i="15"/>
  <c r="J400" i="14"/>
  <c r="E402" i="14" l="1"/>
  <c r="B401" i="14"/>
  <c r="C401" i="14"/>
  <c r="D401" i="14" s="1"/>
  <c r="AN401" i="14"/>
  <c r="Q401" i="14"/>
  <c r="H400" i="15"/>
  <c r="J401" i="14"/>
  <c r="E403" i="14" l="1"/>
  <c r="B402" i="14"/>
  <c r="C402" i="14"/>
  <c r="D402" i="14" s="1"/>
  <c r="AN402" i="14"/>
  <c r="Q402" i="14"/>
  <c r="H401" i="15"/>
  <c r="J402" i="14"/>
  <c r="B403" i="14" l="1"/>
  <c r="C403" i="14"/>
  <c r="D403" i="14" s="1"/>
  <c r="AN403" i="14"/>
  <c r="E404" i="14"/>
  <c r="Q403" i="14"/>
  <c r="J403" i="14"/>
  <c r="H402" i="15"/>
  <c r="E405" i="14" l="1"/>
  <c r="B404" i="14"/>
  <c r="AN404" i="14"/>
  <c r="C404" i="14"/>
  <c r="D404" i="14" s="1"/>
  <c r="H403" i="15"/>
  <c r="Q404" i="14"/>
  <c r="J404" i="14"/>
  <c r="E406" i="14" l="1"/>
  <c r="B405" i="14"/>
  <c r="C405" i="14"/>
  <c r="D405" i="14" s="1"/>
  <c r="AN405" i="14"/>
  <c r="Q405" i="14"/>
  <c r="J405" i="14"/>
  <c r="H404" i="15"/>
  <c r="E407" i="14" l="1"/>
  <c r="B406" i="14"/>
  <c r="C406" i="14"/>
  <c r="D406" i="14" s="1"/>
  <c r="AN406" i="14"/>
  <c r="Q406" i="14"/>
  <c r="H405" i="15"/>
  <c r="J406" i="14"/>
  <c r="E408" i="14" l="1"/>
  <c r="B407" i="14"/>
  <c r="C407" i="14"/>
  <c r="D407" i="14" s="1"/>
  <c r="AN407" i="14"/>
  <c r="Q407" i="14"/>
  <c r="J407" i="14"/>
  <c r="H406" i="15"/>
  <c r="E409" i="14" l="1"/>
  <c r="B408" i="14"/>
  <c r="AN408" i="14"/>
  <c r="C408" i="14"/>
  <c r="D408" i="14" s="1"/>
  <c r="Q408" i="14"/>
  <c r="H407" i="15"/>
  <c r="J408" i="14"/>
  <c r="E410" i="14" l="1"/>
  <c r="B409" i="14"/>
  <c r="C409" i="14"/>
  <c r="D409" i="14" s="1"/>
  <c r="AN409" i="14"/>
  <c r="Q409" i="14"/>
  <c r="J409" i="14"/>
  <c r="H408" i="15"/>
  <c r="E411" i="14" l="1"/>
  <c r="B410" i="14"/>
  <c r="C410" i="14"/>
  <c r="D410" i="14" s="1"/>
  <c r="AN410" i="14"/>
  <c r="Q410" i="14"/>
  <c r="H409" i="15"/>
  <c r="J410" i="14"/>
  <c r="C411" i="14" l="1"/>
  <c r="D411" i="14" s="1"/>
  <c r="E412" i="14"/>
  <c r="B411" i="14"/>
  <c r="AN411" i="14"/>
  <c r="Q411" i="14"/>
  <c r="J411" i="14"/>
  <c r="H410" i="15"/>
  <c r="E413" i="14" l="1"/>
  <c r="B412" i="14"/>
  <c r="AN412" i="14"/>
  <c r="C412" i="14"/>
  <c r="D412" i="14" s="1"/>
  <c r="Q412" i="14"/>
  <c r="H411" i="15"/>
  <c r="J412" i="14"/>
  <c r="E414" i="14" l="1"/>
  <c r="B413" i="14"/>
  <c r="C413" i="14"/>
  <c r="D413" i="14" s="1"/>
  <c r="AN413" i="14"/>
  <c r="Q413" i="14"/>
  <c r="H412" i="15"/>
  <c r="J413" i="14"/>
  <c r="E415" i="14" l="1"/>
  <c r="B414" i="14"/>
  <c r="C414" i="14"/>
  <c r="D414" i="14" s="1"/>
  <c r="AN414" i="14"/>
  <c r="Q414" i="14"/>
  <c r="H413" i="15"/>
  <c r="J414" i="14"/>
  <c r="E416" i="14" l="1"/>
  <c r="B415" i="14"/>
  <c r="C415" i="14"/>
  <c r="D415" i="14" s="1"/>
  <c r="AN415" i="14"/>
  <c r="J415" i="14"/>
  <c r="Q415" i="14"/>
  <c r="H414" i="15"/>
  <c r="E417" i="14" l="1"/>
  <c r="B416" i="14"/>
  <c r="AN416" i="14"/>
  <c r="C416" i="14"/>
  <c r="D416" i="14" s="1"/>
  <c r="Q416" i="14"/>
  <c r="H415" i="15"/>
  <c r="J416" i="14"/>
  <c r="E418" i="14" l="1"/>
  <c r="B417" i="14"/>
  <c r="C417" i="14"/>
  <c r="D417" i="14" s="1"/>
  <c r="AN417" i="14"/>
  <c r="Q417" i="14"/>
  <c r="J417" i="14"/>
  <c r="H416" i="15"/>
  <c r="E419" i="14" l="1"/>
  <c r="B418" i="14"/>
  <c r="C418" i="14"/>
  <c r="D418" i="14" s="1"/>
  <c r="AN418" i="14"/>
  <c r="Q418" i="14"/>
  <c r="H417" i="15"/>
  <c r="J418" i="14"/>
  <c r="C419" i="14" l="1"/>
  <c r="D419" i="14" s="1"/>
  <c r="B419" i="14"/>
  <c r="E420" i="14"/>
  <c r="AN419" i="14"/>
  <c r="Q419" i="14"/>
  <c r="J419" i="14"/>
  <c r="H418" i="15"/>
  <c r="E421" i="14" l="1"/>
  <c r="B420" i="14"/>
  <c r="C420" i="14"/>
  <c r="D420" i="14" s="1"/>
  <c r="AN420" i="14"/>
  <c r="Q420" i="14"/>
  <c r="H419" i="15"/>
  <c r="J420" i="14"/>
  <c r="E422" i="14" l="1"/>
  <c r="C421" i="14"/>
  <c r="D421" i="14" s="1"/>
  <c r="B421" i="14"/>
  <c r="AN421" i="14"/>
  <c r="Q421" i="14"/>
  <c r="H420" i="15"/>
  <c r="J421" i="14"/>
  <c r="E423" i="14" l="1"/>
  <c r="B422" i="14"/>
  <c r="C422" i="14"/>
  <c r="D422" i="14" s="1"/>
  <c r="AN422" i="14"/>
  <c r="Q422" i="14"/>
  <c r="H421" i="15"/>
  <c r="J422" i="14"/>
  <c r="C423" i="14" l="1"/>
  <c r="D423" i="14" s="1"/>
  <c r="E424" i="14"/>
  <c r="B423" i="14"/>
  <c r="AN423" i="14"/>
  <c r="Q423" i="14"/>
  <c r="J423" i="14"/>
  <c r="H422" i="15"/>
  <c r="E425" i="14" l="1"/>
  <c r="B424" i="14"/>
  <c r="C424" i="14"/>
  <c r="D424" i="14" s="1"/>
  <c r="AN424" i="14"/>
  <c r="Q424" i="14"/>
  <c r="H423" i="15"/>
  <c r="J424" i="14"/>
  <c r="E426" i="14" l="1"/>
  <c r="C425" i="14"/>
  <c r="D425" i="14" s="1"/>
  <c r="B425" i="14"/>
  <c r="AN425" i="14"/>
  <c r="Q425" i="14"/>
  <c r="J425" i="14"/>
  <c r="H424" i="15"/>
  <c r="E427" i="14" l="1"/>
  <c r="B426" i="14"/>
  <c r="C426" i="14"/>
  <c r="D426" i="14" s="1"/>
  <c r="AN426" i="14"/>
  <c r="H425" i="15"/>
  <c r="J426" i="14"/>
  <c r="Q426" i="14"/>
  <c r="C427" i="14" l="1"/>
  <c r="D427" i="14" s="1"/>
  <c r="E428" i="14"/>
  <c r="B427" i="14"/>
  <c r="AN427" i="14"/>
  <c r="Q427" i="14"/>
  <c r="J427" i="14"/>
  <c r="H426" i="15"/>
  <c r="E429" i="14" l="1"/>
  <c r="B428" i="14"/>
  <c r="C428" i="14"/>
  <c r="D428" i="14" s="1"/>
  <c r="AN428" i="14"/>
  <c r="Q428" i="14"/>
  <c r="H427" i="15"/>
  <c r="J428" i="14"/>
  <c r="E430" i="14" l="1"/>
  <c r="C429" i="14"/>
  <c r="D429" i="14" s="1"/>
  <c r="B429" i="14"/>
  <c r="AN429" i="14"/>
  <c r="Q429" i="14"/>
  <c r="H428" i="15"/>
  <c r="J429" i="14"/>
  <c r="E431" i="14" l="1"/>
  <c r="B430" i="14"/>
  <c r="C430" i="14"/>
  <c r="D430" i="14" s="1"/>
  <c r="AN430" i="14"/>
  <c r="Q430" i="14"/>
  <c r="H429" i="15"/>
  <c r="J430" i="14"/>
  <c r="C431" i="14" l="1"/>
  <c r="D431" i="14" s="1"/>
  <c r="E432" i="14"/>
  <c r="B431" i="14"/>
  <c r="AN431" i="14"/>
  <c r="Q431" i="14"/>
  <c r="J431" i="14"/>
  <c r="H430" i="15"/>
  <c r="E433" i="14" l="1"/>
  <c r="B432" i="14"/>
  <c r="C432" i="14"/>
  <c r="D432" i="14" s="1"/>
  <c r="AN432" i="14"/>
  <c r="Q432" i="14"/>
  <c r="H431" i="15"/>
  <c r="J432" i="14"/>
  <c r="E434" i="14" l="1"/>
  <c r="C433" i="14"/>
  <c r="D433" i="14" s="1"/>
  <c r="B433" i="14"/>
  <c r="AN433" i="14"/>
  <c r="Q433" i="14"/>
  <c r="J433" i="14"/>
  <c r="H432" i="15"/>
  <c r="E435" i="14" l="1"/>
  <c r="B434" i="14"/>
  <c r="C434" i="14"/>
  <c r="D434" i="14" s="1"/>
  <c r="AN434" i="14"/>
  <c r="Q434" i="14"/>
  <c r="H433" i="15"/>
  <c r="J434" i="14"/>
  <c r="C435" i="14" l="1"/>
  <c r="D435" i="14" s="1"/>
  <c r="B435" i="14"/>
  <c r="E436" i="14"/>
  <c r="AN435" i="14"/>
  <c r="Q435" i="14"/>
  <c r="J435" i="14"/>
  <c r="H434" i="15"/>
  <c r="E437" i="14" l="1"/>
  <c r="B436" i="14"/>
  <c r="C436" i="14"/>
  <c r="D436" i="14" s="1"/>
  <c r="AN436" i="14"/>
  <c r="Q436" i="14"/>
  <c r="H435" i="15"/>
  <c r="J436" i="14"/>
  <c r="E438" i="14" l="1"/>
  <c r="C437" i="14"/>
  <c r="D437" i="14" s="1"/>
  <c r="B437" i="14"/>
  <c r="AN437" i="14"/>
  <c r="H436" i="15"/>
  <c r="J437" i="14"/>
  <c r="Q437" i="14"/>
  <c r="E439" i="14" l="1"/>
  <c r="B438" i="14"/>
  <c r="C438" i="14"/>
  <c r="D438" i="14" s="1"/>
  <c r="AN438" i="14"/>
  <c r="Q438" i="14"/>
  <c r="H437" i="15"/>
  <c r="J438" i="14"/>
  <c r="C439" i="14" l="1"/>
  <c r="D439" i="14" s="1"/>
  <c r="E440" i="14"/>
  <c r="B439" i="14"/>
  <c r="AN439" i="14"/>
  <c r="Q439" i="14"/>
  <c r="J439" i="14"/>
  <c r="H438" i="15"/>
  <c r="E441" i="14" l="1"/>
  <c r="B440" i="14"/>
  <c r="C440" i="14"/>
  <c r="D440" i="14" s="1"/>
  <c r="AN440" i="14"/>
  <c r="Q440" i="14"/>
  <c r="H439" i="15"/>
  <c r="J440" i="14"/>
  <c r="E442" i="14" l="1"/>
  <c r="C441" i="14"/>
  <c r="D441" i="14" s="1"/>
  <c r="B441" i="14"/>
  <c r="AN441" i="14"/>
  <c r="Q441" i="14"/>
  <c r="J441" i="14"/>
  <c r="H440" i="15"/>
  <c r="E443" i="14" l="1"/>
  <c r="B442" i="14"/>
  <c r="C442" i="14"/>
  <c r="D442" i="14" s="1"/>
  <c r="AN442" i="14"/>
  <c r="Q442" i="14"/>
  <c r="H441" i="15"/>
  <c r="J442" i="14"/>
  <c r="C443" i="14" l="1"/>
  <c r="D443" i="14" s="1"/>
  <c r="E444" i="14"/>
  <c r="B443" i="14"/>
  <c r="AN443" i="14"/>
  <c r="Q443" i="14"/>
  <c r="J443" i="14"/>
  <c r="H442" i="15"/>
  <c r="E445" i="14" l="1"/>
  <c r="B444" i="14"/>
  <c r="C444" i="14"/>
  <c r="D444" i="14" s="1"/>
  <c r="AN444" i="14"/>
  <c r="Q444" i="14"/>
  <c r="H443" i="15"/>
  <c r="J444" i="14"/>
  <c r="E446" i="14" l="1"/>
  <c r="C445" i="14"/>
  <c r="D445" i="14" s="1"/>
  <c r="B445" i="14"/>
  <c r="AN445" i="14"/>
  <c r="Q445" i="14"/>
  <c r="J445" i="14"/>
  <c r="H444" i="15"/>
  <c r="E447" i="14" l="1"/>
  <c r="B446" i="14"/>
  <c r="C446" i="14"/>
  <c r="D446" i="14" s="1"/>
  <c r="AN446" i="14"/>
  <c r="Q446" i="14"/>
  <c r="H445" i="15"/>
  <c r="J446" i="14"/>
  <c r="C447" i="14" l="1"/>
  <c r="D447" i="14" s="1"/>
  <c r="E448" i="14"/>
  <c r="B447" i="14"/>
  <c r="AN447" i="14"/>
  <c r="Q447" i="14"/>
  <c r="J447" i="14"/>
  <c r="H446" i="15"/>
  <c r="E449" i="14" l="1"/>
  <c r="B448" i="14"/>
  <c r="C448" i="14"/>
  <c r="D448" i="14" s="1"/>
  <c r="AN448" i="14"/>
  <c r="H447" i="15"/>
  <c r="Q448" i="14"/>
  <c r="J448" i="14"/>
  <c r="E450" i="14" l="1"/>
  <c r="B449" i="14"/>
  <c r="C449" i="14"/>
  <c r="D449" i="14" s="1"/>
  <c r="AN449" i="14"/>
  <c r="Q449" i="14"/>
  <c r="H448" i="15"/>
  <c r="J449" i="14"/>
  <c r="E451" i="14" l="1"/>
  <c r="B450" i="14"/>
  <c r="C450" i="14"/>
  <c r="D450" i="14" s="1"/>
  <c r="AN450" i="14"/>
  <c r="Q450" i="14"/>
  <c r="H449" i="15"/>
  <c r="J450" i="14"/>
  <c r="C451" i="14" l="1"/>
  <c r="D451" i="14" s="1"/>
  <c r="B451" i="14"/>
  <c r="E452" i="14"/>
  <c r="AN451" i="14"/>
  <c r="Q451" i="14"/>
  <c r="J451" i="14"/>
  <c r="H450" i="15"/>
  <c r="E453" i="14" l="1"/>
  <c r="B452" i="14"/>
  <c r="C452" i="14"/>
  <c r="D452" i="14" s="1"/>
  <c r="AN452" i="14"/>
  <c r="Q452" i="14"/>
  <c r="H451" i="15"/>
  <c r="J452" i="14"/>
  <c r="E454" i="14" l="1"/>
  <c r="B453" i="14"/>
  <c r="C453" i="14"/>
  <c r="D453" i="14" s="1"/>
  <c r="AN453" i="14"/>
  <c r="Q453" i="14"/>
  <c r="J453" i="14"/>
  <c r="H452" i="15"/>
  <c r="E455" i="14" l="1"/>
  <c r="B454" i="14"/>
  <c r="C454" i="14"/>
  <c r="D454" i="14" s="1"/>
  <c r="AN454" i="14"/>
  <c r="Q454" i="14"/>
  <c r="H453" i="15"/>
  <c r="J454" i="14"/>
  <c r="C455" i="14" l="1"/>
  <c r="D455" i="14" s="1"/>
  <c r="E456" i="14"/>
  <c r="B455" i="14"/>
  <c r="AN455" i="14"/>
  <c r="Q455" i="14"/>
  <c r="J455" i="14"/>
  <c r="H454" i="15"/>
  <c r="E457" i="14" l="1"/>
  <c r="B456" i="14"/>
  <c r="C456" i="14"/>
  <c r="D456" i="14" s="1"/>
  <c r="AN456" i="14"/>
  <c r="Q456" i="14"/>
  <c r="H455" i="15"/>
  <c r="J456" i="14"/>
  <c r="E458" i="14" l="1"/>
  <c r="B457" i="14"/>
  <c r="C457" i="14"/>
  <c r="D457" i="14" s="1"/>
  <c r="AN457" i="14"/>
  <c r="Q457" i="14"/>
  <c r="J457" i="14"/>
  <c r="H456" i="15"/>
  <c r="E459" i="14" l="1"/>
  <c r="B458" i="14"/>
  <c r="C458" i="14"/>
  <c r="D458" i="14" s="1"/>
  <c r="AN458" i="14"/>
  <c r="H457" i="15"/>
  <c r="J458" i="14"/>
  <c r="Q458" i="14"/>
  <c r="C459" i="14" l="1"/>
  <c r="D459" i="14" s="1"/>
  <c r="E460" i="14"/>
  <c r="AN459" i="14"/>
  <c r="B459" i="14"/>
  <c r="Q459" i="14"/>
  <c r="J459" i="14"/>
  <c r="H458" i="15"/>
  <c r="E461" i="14" l="1"/>
  <c r="B460" i="14"/>
  <c r="C460" i="14"/>
  <c r="D460" i="14" s="1"/>
  <c r="AN460" i="14"/>
  <c r="Q460" i="14"/>
  <c r="H459" i="15"/>
  <c r="J460" i="14"/>
  <c r="E462" i="14" l="1"/>
  <c r="B461" i="14"/>
  <c r="C461" i="14"/>
  <c r="D461" i="14" s="1"/>
  <c r="AN461" i="14"/>
  <c r="Q461" i="14"/>
  <c r="H460" i="15"/>
  <c r="J461" i="14"/>
  <c r="E463" i="14" l="1"/>
  <c r="B462" i="14"/>
  <c r="C462" i="14"/>
  <c r="D462" i="14" s="1"/>
  <c r="AN462" i="14"/>
  <c r="Q462" i="14"/>
  <c r="H461" i="15"/>
  <c r="J462" i="14"/>
  <c r="C463" i="14" l="1"/>
  <c r="D463" i="14" s="1"/>
  <c r="E464" i="14"/>
  <c r="B463" i="14"/>
  <c r="AN463" i="14"/>
  <c r="Q463" i="14"/>
  <c r="J463" i="14"/>
  <c r="H462" i="15"/>
  <c r="E465" i="14" l="1"/>
  <c r="B464" i="14"/>
  <c r="C464" i="14"/>
  <c r="D464" i="14" s="1"/>
  <c r="AN464" i="14"/>
  <c r="Q464" i="14"/>
  <c r="H463" i="15"/>
  <c r="J464" i="14"/>
  <c r="E466" i="14" l="1"/>
  <c r="B465" i="14"/>
  <c r="C465" i="14"/>
  <c r="D465" i="14" s="1"/>
  <c r="AN465" i="14"/>
  <c r="Q465" i="14"/>
  <c r="J465" i="14"/>
  <c r="H464" i="15"/>
  <c r="E467" i="14" l="1"/>
  <c r="B466" i="14"/>
  <c r="C466" i="14"/>
  <c r="D466" i="14" s="1"/>
  <c r="AN466" i="14"/>
  <c r="Q466" i="14"/>
  <c r="H465" i="15"/>
  <c r="J466" i="14"/>
  <c r="C467" i="14" l="1"/>
  <c r="D467" i="14" s="1"/>
  <c r="B467" i="14"/>
  <c r="AN467" i="14"/>
  <c r="E468" i="14"/>
  <c r="Q467" i="14"/>
  <c r="J467" i="14"/>
  <c r="H466" i="15"/>
  <c r="E469" i="14" l="1"/>
  <c r="B468" i="14"/>
  <c r="C468" i="14"/>
  <c r="D468" i="14" s="1"/>
  <c r="AN468" i="14"/>
  <c r="Q468" i="14"/>
  <c r="H467" i="15"/>
  <c r="J468" i="14"/>
  <c r="E470" i="14" l="1"/>
  <c r="B469" i="14"/>
  <c r="C469" i="14"/>
  <c r="D469" i="14" s="1"/>
  <c r="AN469" i="14"/>
  <c r="J469" i="14"/>
  <c r="H468" i="15"/>
  <c r="Q469" i="14"/>
  <c r="E471" i="14" l="1"/>
  <c r="B470" i="14"/>
  <c r="C470" i="14"/>
  <c r="D470" i="14" s="1"/>
  <c r="AN470" i="14"/>
  <c r="Q470" i="14"/>
  <c r="H469" i="15"/>
  <c r="J470" i="14"/>
  <c r="E472" i="14" l="1"/>
  <c r="C471" i="14"/>
  <c r="D471" i="14" s="1"/>
  <c r="B471" i="14"/>
  <c r="AN471" i="14"/>
  <c r="Q471" i="14"/>
  <c r="J471" i="14"/>
  <c r="H470" i="15"/>
  <c r="E473" i="14" l="1"/>
  <c r="B472" i="14"/>
  <c r="C472" i="14"/>
  <c r="D472" i="14" s="1"/>
  <c r="AN472" i="14"/>
  <c r="Q472" i="14"/>
  <c r="H471" i="15"/>
  <c r="J472" i="14"/>
  <c r="E474" i="14" l="1"/>
  <c r="B473" i="14"/>
  <c r="C473" i="14"/>
  <c r="D473" i="14" s="1"/>
  <c r="AN473" i="14"/>
  <c r="Q473" i="14"/>
  <c r="H472" i="15"/>
  <c r="J473" i="14"/>
  <c r="E475" i="14" l="1"/>
  <c r="B474" i="14"/>
  <c r="C474" i="14"/>
  <c r="D474" i="14" s="1"/>
  <c r="AN474" i="14"/>
  <c r="H473" i="15"/>
  <c r="J474" i="14"/>
  <c r="Q474" i="14"/>
  <c r="C475" i="14" l="1"/>
  <c r="D475" i="14" s="1"/>
  <c r="E476" i="14"/>
  <c r="B475" i="14"/>
  <c r="AN475" i="14"/>
  <c r="Q475" i="14"/>
  <c r="J475" i="14"/>
  <c r="H474" i="15"/>
  <c r="E477" i="14" l="1"/>
  <c r="B476" i="14"/>
  <c r="C476" i="14"/>
  <c r="D476" i="14" s="1"/>
  <c r="AN476" i="14"/>
  <c r="Q476" i="14"/>
  <c r="H475" i="15"/>
  <c r="J476" i="14"/>
  <c r="E478" i="14" l="1"/>
  <c r="B477" i="14"/>
  <c r="C477" i="14"/>
  <c r="D477" i="14" s="1"/>
  <c r="AN477" i="14"/>
  <c r="Q477" i="14"/>
  <c r="J477" i="14"/>
  <c r="H476" i="15"/>
  <c r="E479" i="14" l="1"/>
  <c r="B478" i="14"/>
  <c r="C478" i="14"/>
  <c r="D478" i="14" s="1"/>
  <c r="AN478" i="14"/>
  <c r="Q478" i="14"/>
  <c r="H477" i="15"/>
  <c r="J478" i="14"/>
  <c r="C479" i="14" l="1"/>
  <c r="AA36" i="18" s="1"/>
  <c r="E36" i="18" s="1"/>
  <c r="G173" i="14" s="1"/>
  <c r="B479" i="14"/>
  <c r="AN479" i="14"/>
  <c r="Q479" i="14"/>
  <c r="J479" i="14"/>
  <c r="H478" i="15"/>
  <c r="T173" i="14" l="1"/>
  <c r="AK173" i="14"/>
  <c r="G8" i="15"/>
  <c r="I8" i="15"/>
  <c r="D479" i="14"/>
  <c r="AA8" i="25"/>
  <c r="E8" i="25" s="1"/>
  <c r="AA8" i="28"/>
  <c r="E8" i="28" s="1"/>
  <c r="AA13" i="20"/>
  <c r="AA16" i="22"/>
  <c r="AA26" i="24"/>
  <c r="E26" i="24" s="1"/>
  <c r="G345" i="14" s="1"/>
  <c r="AA8" i="21"/>
  <c r="AA21" i="24"/>
  <c r="E21" i="24" s="1"/>
  <c r="G340" i="14" s="1"/>
  <c r="AA15" i="20"/>
  <c r="AA9" i="26"/>
  <c r="E9" i="26" s="1"/>
  <c r="G389" i="14" s="1"/>
  <c r="AA8" i="27"/>
  <c r="E8" i="27" s="1"/>
  <c r="AA20" i="24"/>
  <c r="E20" i="24" s="1"/>
  <c r="G339" i="14" s="1"/>
  <c r="AA13" i="22"/>
  <c r="AA9" i="21"/>
  <c r="AA9" i="27"/>
  <c r="E9" i="27" s="1"/>
  <c r="G420" i="14" s="1"/>
  <c r="AA8" i="18"/>
  <c r="E8" i="18" s="1"/>
  <c r="AA11" i="24"/>
  <c r="E11" i="24" s="1"/>
  <c r="G330" i="14" s="1"/>
  <c r="AA24" i="24"/>
  <c r="E24" i="24" s="1"/>
  <c r="G343" i="14" s="1"/>
  <c r="AA9" i="18"/>
  <c r="E9" i="18" s="1"/>
  <c r="G146" i="14" s="1"/>
  <c r="AA8" i="22"/>
  <c r="AA8" i="23"/>
  <c r="E8" i="23" s="1"/>
  <c r="AA9" i="20"/>
  <c r="AA10" i="18"/>
  <c r="E10" i="18" s="1"/>
  <c r="G147" i="14" s="1"/>
  <c r="AA55" i="1"/>
  <c r="AA15" i="22"/>
  <c r="AA17" i="24"/>
  <c r="E17" i="24" s="1"/>
  <c r="G336" i="14" s="1"/>
  <c r="AA11" i="22"/>
  <c r="AA13" i="24"/>
  <c r="E13" i="24" s="1"/>
  <c r="G332" i="14" s="1"/>
  <c r="AA8" i="26"/>
  <c r="E8" i="26" s="1"/>
  <c r="AA10" i="24"/>
  <c r="E10" i="24" s="1"/>
  <c r="G329" i="14" s="1"/>
  <c r="X55" i="1"/>
  <c r="AA10" i="21"/>
  <c r="AA12" i="20"/>
  <c r="U55" i="1"/>
  <c r="AA16" i="24"/>
  <c r="E16" i="24" s="1"/>
  <c r="G335" i="14" s="1"/>
  <c r="AA10" i="20"/>
  <c r="AA9" i="24"/>
  <c r="E9" i="24" s="1"/>
  <c r="G328" i="14" s="1"/>
  <c r="AA12" i="24"/>
  <c r="E12" i="24" s="1"/>
  <c r="G331" i="14" s="1"/>
  <c r="AA14" i="20"/>
  <c r="AA17" i="22"/>
  <c r="AA11" i="25"/>
  <c r="E11" i="25" s="1"/>
  <c r="G361" i="14" s="1"/>
  <c r="AA11" i="20"/>
  <c r="AA9" i="28"/>
  <c r="E9" i="28" s="1"/>
  <c r="G450" i="14" s="1"/>
  <c r="AA10" i="25"/>
  <c r="E10" i="25" s="1"/>
  <c r="G360" i="14" s="1"/>
  <c r="AA10" i="22"/>
  <c r="AA10" i="23"/>
  <c r="E10" i="23" s="1"/>
  <c r="G298" i="14" s="1"/>
  <c r="AA25" i="24"/>
  <c r="E25" i="24" s="1"/>
  <c r="G344" i="14" s="1"/>
  <c r="AA12" i="22"/>
  <c r="AA9" i="19"/>
  <c r="E9" i="19" s="1"/>
  <c r="G175" i="14" s="1"/>
  <c r="AA8" i="19"/>
  <c r="E8" i="19" s="1"/>
  <c r="AA28" i="24"/>
  <c r="E28" i="24" s="1"/>
  <c r="G347" i="14" s="1"/>
  <c r="AA10" i="28"/>
  <c r="E10" i="28" s="1"/>
  <c r="G451" i="14" s="1"/>
  <c r="AA27" i="24"/>
  <c r="E27" i="24" s="1"/>
  <c r="G346" i="14" s="1"/>
  <c r="AA18" i="22"/>
  <c r="AA15" i="24"/>
  <c r="E15" i="24" s="1"/>
  <c r="G334" i="14" s="1"/>
  <c r="AA9" i="23"/>
  <c r="E9" i="23" s="1"/>
  <c r="G297" i="14" s="1"/>
  <c r="AA14" i="22"/>
  <c r="AA19" i="24"/>
  <c r="E19" i="24" s="1"/>
  <c r="G338" i="14" s="1"/>
  <c r="AA8" i="20"/>
  <c r="AA11" i="21"/>
  <c r="AA10" i="27"/>
  <c r="E10" i="27" s="1"/>
  <c r="G421" i="14" s="1"/>
  <c r="AA23" i="24"/>
  <c r="E23" i="24" s="1"/>
  <c r="G342" i="14" s="1"/>
  <c r="AA9" i="25"/>
  <c r="E9" i="25" s="1"/>
  <c r="G359" i="14" s="1"/>
  <c r="AA18" i="24"/>
  <c r="E18" i="24" s="1"/>
  <c r="G337" i="14" s="1"/>
  <c r="AA22" i="24"/>
  <c r="E22" i="24" s="1"/>
  <c r="G341" i="14" s="1"/>
  <c r="AA8" i="24"/>
  <c r="E8" i="24" s="1"/>
  <c r="AA9" i="22"/>
  <c r="AA14" i="24"/>
  <c r="E14" i="24" s="1"/>
  <c r="G333" i="14" s="1"/>
  <c r="AA11" i="27"/>
  <c r="E11" i="27" s="1"/>
  <c r="G422" i="14" s="1"/>
  <c r="AA10" i="19"/>
  <c r="E10" i="19" s="1"/>
  <c r="G176" i="14" s="1"/>
  <c r="AA12" i="21"/>
  <c r="AA12" i="23"/>
  <c r="E12" i="23" s="1"/>
  <c r="G300" i="14" s="1"/>
  <c r="AA11" i="18"/>
  <c r="E11" i="18" s="1"/>
  <c r="G148" i="14" s="1"/>
  <c r="AA11" i="19"/>
  <c r="E11" i="19" s="1"/>
  <c r="G177" i="14" s="1"/>
  <c r="AA16" i="20"/>
  <c r="AA10" i="26"/>
  <c r="E10" i="26" s="1"/>
  <c r="G390" i="14" s="1"/>
  <c r="AA11" i="28"/>
  <c r="E11" i="28" s="1"/>
  <c r="G452" i="14" s="1"/>
  <c r="AA12" i="28"/>
  <c r="E12" i="28" s="1"/>
  <c r="G453" i="14" s="1"/>
  <c r="AA12" i="27"/>
  <c r="E12" i="27" s="1"/>
  <c r="G423" i="14" s="1"/>
  <c r="AA13" i="25"/>
  <c r="E13" i="25" s="1"/>
  <c r="G363" i="14" s="1"/>
  <c r="AA19" i="22"/>
  <c r="AA30" i="24"/>
  <c r="E30" i="24" s="1"/>
  <c r="G349" i="14" s="1"/>
  <c r="AA20" i="22"/>
  <c r="AA29" i="24"/>
  <c r="E29" i="24" s="1"/>
  <c r="G348" i="14" s="1"/>
  <c r="AA11" i="23"/>
  <c r="E11" i="23" s="1"/>
  <c r="G299" i="14" s="1"/>
  <c r="AA11" i="26"/>
  <c r="E11" i="26" s="1"/>
  <c r="G391" i="14" s="1"/>
  <c r="AA17" i="20"/>
  <c r="AA14" i="27"/>
  <c r="E14" i="27" s="1"/>
  <c r="G425" i="14" s="1"/>
  <c r="AA31" i="24"/>
  <c r="E31" i="24" s="1"/>
  <c r="G350" i="14" s="1"/>
  <c r="AA12" i="26"/>
  <c r="E12" i="26" s="1"/>
  <c r="G392" i="14" s="1"/>
  <c r="AA18" i="20"/>
  <c r="AA14" i="23"/>
  <c r="E14" i="23" s="1"/>
  <c r="G302" i="14" s="1"/>
  <c r="AA15" i="18"/>
  <c r="E15" i="18" s="1"/>
  <c r="G152" i="14" s="1"/>
  <c r="AA12" i="25"/>
  <c r="E12" i="25" s="1"/>
  <c r="G362" i="14" s="1"/>
  <c r="AA21" i="22"/>
  <c r="AA12" i="18"/>
  <c r="E12" i="18" s="1"/>
  <c r="G149" i="14" s="1"/>
  <c r="AA22" i="22"/>
  <c r="AA13" i="23"/>
  <c r="E13" i="23" s="1"/>
  <c r="G301" i="14" s="1"/>
  <c r="AA13" i="27"/>
  <c r="E13" i="27" s="1"/>
  <c r="G424" i="14" s="1"/>
  <c r="AA13" i="21"/>
  <c r="AA16" i="25"/>
  <c r="E16" i="25" s="1"/>
  <c r="G366" i="14" s="1"/>
  <c r="AA16" i="27"/>
  <c r="E16" i="27" s="1"/>
  <c r="G427" i="14" s="1"/>
  <c r="AA13" i="18"/>
  <c r="E13" i="18" s="1"/>
  <c r="G150" i="14" s="1"/>
  <c r="AA14" i="28"/>
  <c r="E14" i="28" s="1"/>
  <c r="G455" i="14" s="1"/>
  <c r="AA14" i="21"/>
  <c r="AA13" i="28"/>
  <c r="E13" i="28" s="1"/>
  <c r="G454" i="14" s="1"/>
  <c r="AA19" i="20"/>
  <c r="AA14" i="18"/>
  <c r="E14" i="18" s="1"/>
  <c r="G151" i="14" s="1"/>
  <c r="AA12" i="19"/>
  <c r="E12" i="19" s="1"/>
  <c r="G178" i="14" s="1"/>
  <c r="AA17" i="21"/>
  <c r="AA14" i="25"/>
  <c r="E14" i="25" s="1"/>
  <c r="G364" i="14" s="1"/>
  <c r="AA14" i="19"/>
  <c r="E14" i="19" s="1"/>
  <c r="G180" i="14" s="1"/>
  <c r="AA33" i="24"/>
  <c r="E33" i="24" s="1"/>
  <c r="G352" i="14" s="1"/>
  <c r="AA15" i="27"/>
  <c r="E15" i="27" s="1"/>
  <c r="G426" i="14" s="1"/>
  <c r="AA23" i="22"/>
  <c r="AA24" i="22"/>
  <c r="AA13" i="26"/>
  <c r="E13" i="26" s="1"/>
  <c r="G393" i="14" s="1"/>
  <c r="AA32" i="24"/>
  <c r="E32" i="24" s="1"/>
  <c r="G351" i="14" s="1"/>
  <c r="AA15" i="23"/>
  <c r="E15" i="23" s="1"/>
  <c r="G303" i="14" s="1"/>
  <c r="AA14" i="26"/>
  <c r="E14" i="26" s="1"/>
  <c r="G394" i="14" s="1"/>
  <c r="AA20" i="20"/>
  <c r="AA15" i="25"/>
  <c r="E15" i="25" s="1"/>
  <c r="G365" i="14" s="1"/>
  <c r="AA21" i="20"/>
  <c r="AA13" i="19"/>
  <c r="E13" i="19" s="1"/>
  <c r="G179" i="14" s="1"/>
  <c r="AA16" i="18"/>
  <c r="E16" i="18" s="1"/>
  <c r="G153" i="14" s="1"/>
  <c r="AA17" i="25"/>
  <c r="E17" i="25" s="1"/>
  <c r="G367" i="14" s="1"/>
  <c r="AA25" i="22"/>
  <c r="AA15" i="28"/>
  <c r="E15" i="28" s="1"/>
  <c r="G456" i="14" s="1"/>
  <c r="AA22" i="20"/>
  <c r="AA15" i="26"/>
  <c r="E15" i="26" s="1"/>
  <c r="G395" i="14" s="1"/>
  <c r="AA15" i="21"/>
  <c r="AA34" i="24"/>
  <c r="E34" i="24" s="1"/>
  <c r="G353" i="14" s="1"/>
  <c r="AA16" i="28"/>
  <c r="E16" i="28" s="1"/>
  <c r="G457" i="14" s="1"/>
  <c r="AA17" i="28"/>
  <c r="E17" i="28" s="1"/>
  <c r="G458" i="14" s="1"/>
  <c r="AA17" i="18"/>
  <c r="E17" i="18" s="1"/>
  <c r="G154" i="14" s="1"/>
  <c r="AA15" i="19"/>
  <c r="E15" i="19" s="1"/>
  <c r="G181" i="14" s="1"/>
  <c r="AA24" i="20"/>
  <c r="AA18" i="27"/>
  <c r="E18" i="27" s="1"/>
  <c r="G429" i="14" s="1"/>
  <c r="AA16" i="21"/>
  <c r="AA23" i="20"/>
  <c r="AA17" i="23"/>
  <c r="E17" i="23" s="1"/>
  <c r="G305" i="14" s="1"/>
  <c r="AA18" i="26"/>
  <c r="E18" i="26" s="1"/>
  <c r="G398" i="14" s="1"/>
  <c r="AA18" i="28"/>
  <c r="E18" i="28" s="1"/>
  <c r="G459" i="14" s="1"/>
  <c r="AA17" i="26"/>
  <c r="E17" i="26" s="1"/>
  <c r="G397" i="14" s="1"/>
  <c r="AA17" i="27"/>
  <c r="E17" i="27" s="1"/>
  <c r="G428" i="14" s="1"/>
  <c r="AA16" i="23"/>
  <c r="E16" i="23" s="1"/>
  <c r="G304" i="14" s="1"/>
  <c r="AA19" i="27"/>
  <c r="E19" i="27" s="1"/>
  <c r="G430" i="14" s="1"/>
  <c r="AA22" i="23"/>
  <c r="E22" i="23" s="1"/>
  <c r="G310" i="14" s="1"/>
  <c r="AA16" i="19"/>
  <c r="E16" i="19" s="1"/>
  <c r="G182" i="14" s="1"/>
  <c r="AA26" i="22"/>
  <c r="AA16" i="26"/>
  <c r="E16" i="26" s="1"/>
  <c r="G396" i="14" s="1"/>
  <c r="AA19" i="25"/>
  <c r="E19" i="25" s="1"/>
  <c r="G369" i="14" s="1"/>
  <c r="AA36" i="24"/>
  <c r="E36" i="24" s="1"/>
  <c r="G355" i="14" s="1"/>
  <c r="AA35" i="24"/>
  <c r="E35" i="24" s="1"/>
  <c r="G354" i="14" s="1"/>
  <c r="AA27" i="22"/>
  <c r="AA19" i="26"/>
  <c r="E19" i="26" s="1"/>
  <c r="G399" i="14" s="1"/>
  <c r="AA20" i="23"/>
  <c r="E20" i="23" s="1"/>
  <c r="G308" i="14" s="1"/>
  <c r="AA19" i="28"/>
  <c r="E19" i="28" s="1"/>
  <c r="G460" i="14" s="1"/>
  <c r="AA19" i="21"/>
  <c r="AA19" i="19"/>
  <c r="E19" i="19" s="1"/>
  <c r="G185" i="14" s="1"/>
  <c r="AA18" i="21"/>
  <c r="AA19" i="23"/>
  <c r="E19" i="23" s="1"/>
  <c r="G307" i="14" s="1"/>
  <c r="AA18" i="25"/>
  <c r="E18" i="25" s="1"/>
  <c r="G368" i="14" s="1"/>
  <c r="AA20" i="27"/>
  <c r="E20" i="27" s="1"/>
  <c r="G431" i="14" s="1"/>
  <c r="AA18" i="18"/>
  <c r="E18" i="18" s="1"/>
  <c r="G155" i="14" s="1"/>
  <c r="AA17" i="19"/>
  <c r="E17" i="19" s="1"/>
  <c r="G183" i="14" s="1"/>
  <c r="AA18" i="23"/>
  <c r="E18" i="23" s="1"/>
  <c r="G306" i="14" s="1"/>
  <c r="AA18" i="19"/>
  <c r="E18" i="19" s="1"/>
  <c r="G184" i="14" s="1"/>
  <c r="AA21" i="27"/>
  <c r="E21" i="27" s="1"/>
  <c r="G432" i="14" s="1"/>
  <c r="AA20" i="28"/>
  <c r="E20" i="28" s="1"/>
  <c r="G461" i="14" s="1"/>
  <c r="AA19" i="18"/>
  <c r="E19" i="18" s="1"/>
  <c r="G156" i="14" s="1"/>
  <c r="AA37" i="24"/>
  <c r="E37" i="24" s="1"/>
  <c r="G356" i="14" s="1"/>
  <c r="AA38" i="24"/>
  <c r="E38" i="24" s="1"/>
  <c r="G357" i="14" s="1"/>
  <c r="AA22" i="28"/>
  <c r="E22" i="28" s="1"/>
  <c r="G463" i="14" s="1"/>
  <c r="AA20" i="26"/>
  <c r="E20" i="26" s="1"/>
  <c r="G400" i="14" s="1"/>
  <c r="AA20" i="18"/>
  <c r="E20" i="18" s="1"/>
  <c r="G157" i="14" s="1"/>
  <c r="AA20" i="21"/>
  <c r="AA21" i="18"/>
  <c r="E21" i="18" s="1"/>
  <c r="G158" i="14" s="1"/>
  <c r="AA23" i="21"/>
  <c r="AA21" i="28"/>
  <c r="E21" i="28" s="1"/>
  <c r="G462" i="14" s="1"/>
  <c r="AA21" i="23"/>
  <c r="E21" i="23" s="1"/>
  <c r="G309" i="14" s="1"/>
  <c r="AA28" i="22"/>
  <c r="AA20" i="19"/>
  <c r="E20" i="19" s="1"/>
  <c r="G186" i="14" s="1"/>
  <c r="AA29" i="22"/>
  <c r="AA20" i="25"/>
  <c r="E20" i="25" s="1"/>
  <c r="G370" i="14" s="1"/>
  <c r="AA21" i="25"/>
  <c r="E21" i="25" s="1"/>
  <c r="G371" i="14" s="1"/>
  <c r="AA26" i="20"/>
  <c r="AA22" i="27"/>
  <c r="E22" i="27" s="1"/>
  <c r="G433" i="14" s="1"/>
  <c r="AA25" i="20"/>
  <c r="AA21" i="21"/>
  <c r="AA28" i="20"/>
  <c r="AA32" i="22"/>
  <c r="AA21" i="19"/>
  <c r="E21" i="19" s="1"/>
  <c r="G187" i="14" s="1"/>
  <c r="AA23" i="27"/>
  <c r="E23" i="27" s="1"/>
  <c r="G434" i="14" s="1"/>
  <c r="AA27" i="20"/>
  <c r="AA22" i="26"/>
  <c r="E22" i="26" s="1"/>
  <c r="G402" i="14" s="1"/>
  <c r="AA22" i="18"/>
  <c r="E22" i="18" s="1"/>
  <c r="G159" i="14" s="1"/>
  <c r="AA31" i="22"/>
  <c r="AA22" i="25"/>
  <c r="E22" i="25" s="1"/>
  <c r="G372" i="14" s="1"/>
  <c r="AA23" i="26"/>
  <c r="E23" i="26" s="1"/>
  <c r="G403" i="14" s="1"/>
  <c r="AA22" i="21"/>
  <c r="AA21" i="26"/>
  <c r="E21" i="26" s="1"/>
  <c r="G401" i="14" s="1"/>
  <c r="AA23" i="25"/>
  <c r="E23" i="25" s="1"/>
  <c r="G373" i="14" s="1"/>
  <c r="AA23" i="28"/>
  <c r="E23" i="28" s="1"/>
  <c r="G464" i="14" s="1"/>
  <c r="AA24" i="27"/>
  <c r="E24" i="27" s="1"/>
  <c r="G435" i="14" s="1"/>
  <c r="AA30" i="22"/>
  <c r="AA22" i="19"/>
  <c r="E22" i="19" s="1"/>
  <c r="G188" i="14" s="1"/>
  <c r="AA23" i="23"/>
  <c r="E23" i="23" s="1"/>
  <c r="G311" i="14" s="1"/>
  <c r="AA23" i="18"/>
  <c r="E23" i="18" s="1"/>
  <c r="G160" i="14" s="1"/>
  <c r="AA23" i="19"/>
  <c r="E23" i="19" s="1"/>
  <c r="G189" i="14" s="1"/>
  <c r="AA25" i="18"/>
  <c r="E25" i="18" s="1"/>
  <c r="G162" i="14" s="1"/>
  <c r="AA25" i="25"/>
  <c r="E25" i="25" s="1"/>
  <c r="G375" i="14" s="1"/>
  <c r="AA24" i="18"/>
  <c r="E24" i="18" s="1"/>
  <c r="G161" i="14" s="1"/>
  <c r="AA25" i="27"/>
  <c r="E25" i="27" s="1"/>
  <c r="G436" i="14" s="1"/>
  <c r="AA26" i="26"/>
  <c r="E26" i="26" s="1"/>
  <c r="G406" i="14" s="1"/>
  <c r="AA24" i="26"/>
  <c r="E24" i="26" s="1"/>
  <c r="G404" i="14" s="1"/>
  <c r="AA24" i="21"/>
  <c r="AA24" i="25"/>
  <c r="E24" i="25" s="1"/>
  <c r="G374" i="14" s="1"/>
  <c r="AA33" i="22"/>
  <c r="AA27" i="18"/>
  <c r="E27" i="18" s="1"/>
  <c r="G164" i="14" s="1"/>
  <c r="AA24" i="19"/>
  <c r="E24" i="19" s="1"/>
  <c r="G190" i="14" s="1"/>
  <c r="AA25" i="28"/>
  <c r="E25" i="28" s="1"/>
  <c r="G466" i="14" s="1"/>
  <c r="AA26" i="27"/>
  <c r="E26" i="27" s="1"/>
  <c r="G437" i="14" s="1"/>
  <c r="AA24" i="28"/>
  <c r="E24" i="28" s="1"/>
  <c r="G465" i="14" s="1"/>
  <c r="AA25" i="23"/>
  <c r="E25" i="23" s="1"/>
  <c r="G313" i="14" s="1"/>
  <c r="AA25" i="21"/>
  <c r="AA27" i="23"/>
  <c r="E27" i="23" s="1"/>
  <c r="G315" i="14" s="1"/>
  <c r="AA29" i="20"/>
  <c r="AA24" i="23"/>
  <c r="E24" i="23" s="1"/>
  <c r="G312" i="14" s="1"/>
  <c r="AA26" i="19"/>
  <c r="E26" i="19" s="1"/>
  <c r="G192" i="14" s="1"/>
  <c r="AA30" i="20"/>
  <c r="AA26" i="21"/>
  <c r="AA26" i="28"/>
  <c r="E26" i="28" s="1"/>
  <c r="G467" i="14" s="1"/>
  <c r="AA27" i="27"/>
  <c r="E27" i="27" s="1"/>
  <c r="G438" i="14" s="1"/>
  <c r="AA28" i="27"/>
  <c r="E28" i="27" s="1"/>
  <c r="G439" i="14" s="1"/>
  <c r="AA28" i="28"/>
  <c r="E28" i="28" s="1"/>
  <c r="G469" i="14" s="1"/>
  <c r="AA25" i="26"/>
  <c r="E25" i="26" s="1"/>
  <c r="G405" i="14" s="1"/>
  <c r="AA34" i="22"/>
  <c r="AA26" i="23"/>
  <c r="E26" i="23" s="1"/>
  <c r="G314" i="14" s="1"/>
  <c r="AA32" i="20"/>
  <c r="AA27" i="25"/>
  <c r="E27" i="25" s="1"/>
  <c r="G377" i="14" s="1"/>
  <c r="AA26" i="25"/>
  <c r="E26" i="25" s="1"/>
  <c r="G376" i="14" s="1"/>
  <c r="AA27" i="21"/>
  <c r="AA25" i="19"/>
  <c r="E25" i="19" s="1"/>
  <c r="G191" i="14" s="1"/>
  <c r="AA26" i="18"/>
  <c r="E26" i="18" s="1"/>
  <c r="G163" i="14" s="1"/>
  <c r="AA31" i="20"/>
  <c r="AA27" i="28"/>
  <c r="E27" i="28" s="1"/>
  <c r="G468" i="14" s="1"/>
  <c r="AA30" i="28"/>
  <c r="E30" i="28" s="1"/>
  <c r="G471" i="14" s="1"/>
  <c r="AA27" i="19"/>
  <c r="E27" i="19" s="1"/>
  <c r="G193" i="14" s="1"/>
  <c r="AA35" i="22"/>
  <c r="AA28" i="25"/>
  <c r="E28" i="25" s="1"/>
  <c r="G378" i="14" s="1"/>
  <c r="AA29" i="26"/>
  <c r="E29" i="26" s="1"/>
  <c r="G409" i="14" s="1"/>
  <c r="AA28" i="18"/>
  <c r="E28" i="18" s="1"/>
  <c r="G165" i="14" s="1"/>
  <c r="AA31" i="27"/>
  <c r="E31" i="27" s="1"/>
  <c r="G442" i="14" s="1"/>
  <c r="AA27" i="26"/>
  <c r="E27" i="26" s="1"/>
  <c r="G407" i="14" s="1"/>
  <c r="AA33" i="20"/>
  <c r="AA36" i="22"/>
  <c r="AA31" i="25"/>
  <c r="E31" i="25" s="1"/>
  <c r="G381" i="14" s="1"/>
  <c r="AA32" i="27"/>
  <c r="E32" i="27" s="1"/>
  <c r="G443" i="14" s="1"/>
  <c r="AA30" i="25"/>
  <c r="E30" i="25" s="1"/>
  <c r="G380" i="14" s="1"/>
  <c r="AA29" i="27"/>
  <c r="E29" i="27" s="1"/>
  <c r="G440" i="14" s="1"/>
  <c r="AA28" i="23"/>
  <c r="E28" i="23" s="1"/>
  <c r="G316" i="14" s="1"/>
  <c r="AA28" i="21"/>
  <c r="AA29" i="18"/>
  <c r="E29" i="18" s="1"/>
  <c r="G166" i="14" s="1"/>
  <c r="AA29" i="25"/>
  <c r="E29" i="25" s="1"/>
  <c r="G379" i="14" s="1"/>
  <c r="AA32" i="28"/>
  <c r="E32" i="28" s="1"/>
  <c r="G473" i="14" s="1"/>
  <c r="AA30" i="23"/>
  <c r="E30" i="23" s="1"/>
  <c r="G318" i="14" s="1"/>
  <c r="AA30" i="21"/>
  <c r="AA29" i="21"/>
  <c r="AA29" i="23"/>
  <c r="E29" i="23" s="1"/>
  <c r="G317" i="14" s="1"/>
  <c r="AA31" i="23"/>
  <c r="E31" i="23" s="1"/>
  <c r="G319" i="14" s="1"/>
  <c r="AA28" i="19"/>
  <c r="E28" i="19" s="1"/>
  <c r="G194" i="14" s="1"/>
  <c r="AA28" i="26"/>
  <c r="E28" i="26" s="1"/>
  <c r="G408" i="14" s="1"/>
  <c r="AA33" i="25"/>
  <c r="E33" i="25" s="1"/>
  <c r="G383" i="14" s="1"/>
  <c r="AA37" i="22"/>
  <c r="AA30" i="18"/>
  <c r="E30" i="18" s="1"/>
  <c r="G167" i="14" s="1"/>
  <c r="AA29" i="28"/>
  <c r="E29" i="28" s="1"/>
  <c r="G470" i="14" s="1"/>
  <c r="AA36" i="20"/>
  <c r="AA35" i="20"/>
  <c r="AA37" i="20"/>
  <c r="AA34" i="20"/>
  <c r="AA30" i="27"/>
  <c r="E30" i="27" s="1"/>
  <c r="G441" i="14" s="1"/>
  <c r="AA29" i="19"/>
  <c r="E29" i="19" s="1"/>
  <c r="G195" i="14" s="1"/>
  <c r="AA34" i="27"/>
  <c r="E34" i="27" s="1"/>
  <c r="G445" i="14" s="1"/>
  <c r="AA34" i="26"/>
  <c r="E34" i="26" s="1"/>
  <c r="G414" i="14" s="1"/>
  <c r="AA31" i="26"/>
  <c r="E31" i="26" s="1"/>
  <c r="G411" i="14" s="1"/>
  <c r="AA31" i="18"/>
  <c r="E31" i="18" s="1"/>
  <c r="G168" i="14" s="1"/>
  <c r="AA31" i="28"/>
  <c r="E31" i="28" s="1"/>
  <c r="G472" i="14" s="1"/>
  <c r="AA32" i="21"/>
  <c r="AA32" i="18"/>
  <c r="E32" i="18" s="1"/>
  <c r="G169" i="14" s="1"/>
  <c r="AA30" i="19"/>
  <c r="E30" i="19" s="1"/>
  <c r="G196" i="14" s="1"/>
  <c r="AA31" i="21"/>
  <c r="AA33" i="27"/>
  <c r="E33" i="27" s="1"/>
  <c r="G444" i="14" s="1"/>
  <c r="AA35" i="18"/>
  <c r="E35" i="18" s="1"/>
  <c r="G172" i="14" s="1"/>
  <c r="AA32" i="25"/>
  <c r="E32" i="25" s="1"/>
  <c r="G382" i="14" s="1"/>
  <c r="AA30" i="26"/>
  <c r="E30" i="26" s="1"/>
  <c r="G410" i="14" s="1"/>
  <c r="AA33" i="21"/>
  <c r="AA31" i="19"/>
  <c r="E31" i="19" s="1"/>
  <c r="G197" i="14" s="1"/>
  <c r="AA32" i="23"/>
  <c r="E32" i="23" s="1"/>
  <c r="G320" i="14" s="1"/>
  <c r="AA34" i="21"/>
  <c r="AA35" i="27"/>
  <c r="E35" i="27" s="1"/>
  <c r="G446" i="14" s="1"/>
  <c r="AA35" i="25"/>
  <c r="E35" i="25" s="1"/>
  <c r="G385" i="14" s="1"/>
  <c r="AA34" i="23"/>
  <c r="E34" i="23" s="1"/>
  <c r="G322" i="14" s="1"/>
  <c r="AA32" i="19"/>
  <c r="E32" i="19" s="1"/>
  <c r="G198" i="14" s="1"/>
  <c r="AA34" i="25"/>
  <c r="E34" i="25" s="1"/>
  <c r="G384" i="14" s="1"/>
  <c r="AA34" i="19"/>
  <c r="E34" i="19" s="1"/>
  <c r="G200" i="14" s="1"/>
  <c r="AA33" i="18"/>
  <c r="E33" i="18" s="1"/>
  <c r="G170" i="14" s="1"/>
  <c r="AA33" i="23"/>
  <c r="E33" i="23" s="1"/>
  <c r="G321" i="14" s="1"/>
  <c r="AA33" i="26"/>
  <c r="E33" i="26" s="1"/>
  <c r="G413" i="14" s="1"/>
  <c r="AA35" i="28"/>
  <c r="E35" i="28" s="1"/>
  <c r="G476" i="14" s="1"/>
  <c r="AA33" i="28"/>
  <c r="E33" i="28" s="1"/>
  <c r="G474" i="14" s="1"/>
  <c r="AA34" i="18"/>
  <c r="E34" i="18" s="1"/>
  <c r="G171" i="14" s="1"/>
  <c r="AA34" i="28"/>
  <c r="E34" i="28" s="1"/>
  <c r="G475" i="14" s="1"/>
  <c r="AA33" i="19"/>
  <c r="E33" i="19" s="1"/>
  <c r="G199" i="14" s="1"/>
  <c r="AA32" i="26"/>
  <c r="E32" i="26" s="1"/>
  <c r="G412" i="14" s="1"/>
  <c r="AA36" i="27"/>
  <c r="E36" i="27" s="1"/>
  <c r="G447" i="14" s="1"/>
  <c r="AA35" i="23"/>
  <c r="E35" i="23" s="1"/>
  <c r="G323" i="14" s="1"/>
  <c r="AA36" i="25"/>
  <c r="E36" i="25" s="1"/>
  <c r="G386" i="14" s="1"/>
  <c r="AA36" i="28"/>
  <c r="E36" i="28" s="1"/>
  <c r="G477" i="14" s="1"/>
  <c r="AA36" i="23"/>
  <c r="E36" i="23" s="1"/>
  <c r="G324" i="14" s="1"/>
  <c r="AA38" i="23"/>
  <c r="E38" i="23" s="1"/>
  <c r="G326" i="14" s="1"/>
  <c r="AA35" i="21"/>
  <c r="AA35" i="26"/>
  <c r="E35" i="26" s="1"/>
  <c r="G415" i="14" s="1"/>
  <c r="AA37" i="27"/>
  <c r="E37" i="27" s="1"/>
  <c r="G448" i="14" s="1"/>
  <c r="AA37" i="26"/>
  <c r="E37" i="26" s="1"/>
  <c r="G417" i="14" s="1"/>
  <c r="AA37" i="23"/>
  <c r="E37" i="23" s="1"/>
  <c r="G325" i="14" s="1"/>
  <c r="AA36" i="21"/>
  <c r="AA35" i="19"/>
  <c r="E35" i="19" s="1"/>
  <c r="G201" i="14" s="1"/>
  <c r="AA37" i="25"/>
  <c r="E37" i="25" s="1"/>
  <c r="G387" i="14" s="1"/>
  <c r="AA38" i="21"/>
  <c r="AA38" i="28"/>
  <c r="E38" i="28" s="1"/>
  <c r="G479" i="14" s="1"/>
  <c r="AA37" i="28"/>
  <c r="E37" i="28" s="1"/>
  <c r="G478" i="14" s="1"/>
  <c r="AA37" i="19"/>
  <c r="E37" i="19" s="1"/>
  <c r="G203" i="14" s="1"/>
  <c r="AA36" i="19"/>
  <c r="E36" i="19" s="1"/>
  <c r="G202" i="14" s="1"/>
  <c r="AA36" i="26"/>
  <c r="E36" i="26" s="1"/>
  <c r="G416" i="14" s="1"/>
  <c r="AA37" i="21"/>
  <c r="AA38" i="26"/>
  <c r="E38" i="26" s="1"/>
  <c r="G418" i="14" s="1"/>
  <c r="AA38" i="19"/>
  <c r="E38" i="19" s="1"/>
  <c r="G204" i="14" s="1"/>
  <c r="AK448" i="14" l="1"/>
  <c r="T448" i="14"/>
  <c r="T469" i="14"/>
  <c r="AK469" i="14"/>
  <c r="AK404" i="14"/>
  <c r="T404" i="14"/>
  <c r="AK402" i="14"/>
  <c r="T402" i="14"/>
  <c r="T399" i="14"/>
  <c r="AK399" i="14"/>
  <c r="AK456" i="14"/>
  <c r="T456" i="14"/>
  <c r="AK425" i="14"/>
  <c r="T425" i="14"/>
  <c r="AK415" i="14"/>
  <c r="T415" i="14"/>
  <c r="AK412" i="14"/>
  <c r="T412" i="14"/>
  <c r="AK468" i="14"/>
  <c r="T468" i="14"/>
  <c r="T406" i="14"/>
  <c r="AK406" i="14"/>
  <c r="AK396" i="14"/>
  <c r="T396" i="14"/>
  <c r="AK430" i="14"/>
  <c r="T430" i="14"/>
  <c r="T459" i="14"/>
  <c r="AK459" i="14"/>
  <c r="T424" i="14"/>
  <c r="AK424" i="14"/>
  <c r="AK423" i="14"/>
  <c r="T423" i="14"/>
  <c r="AK450" i="14"/>
  <c r="T450" i="14"/>
  <c r="AK420" i="14"/>
  <c r="T420" i="14"/>
  <c r="G419" i="14"/>
  <c r="G46" i="27"/>
  <c r="K46" i="27"/>
  <c r="H46" i="27"/>
  <c r="N46" i="27"/>
  <c r="G449" i="14"/>
  <c r="H46" i="28"/>
  <c r="N46" i="28"/>
  <c r="K46" i="28"/>
  <c r="G46" i="28"/>
  <c r="AK478" i="14"/>
  <c r="T478" i="14"/>
  <c r="AK447" i="14"/>
  <c r="T447" i="14"/>
  <c r="AK410" i="14"/>
  <c r="T410" i="14"/>
  <c r="T472" i="14"/>
  <c r="AK472" i="14"/>
  <c r="T445" i="14"/>
  <c r="AK445" i="14"/>
  <c r="T409" i="14"/>
  <c r="AK409" i="14"/>
  <c r="T471" i="14"/>
  <c r="AK471" i="14"/>
  <c r="AK465" i="14"/>
  <c r="T465" i="14"/>
  <c r="T464" i="14"/>
  <c r="AK464" i="14"/>
  <c r="AK403" i="14"/>
  <c r="T403" i="14"/>
  <c r="AK433" i="14"/>
  <c r="T433" i="14"/>
  <c r="AK462" i="14"/>
  <c r="T462" i="14"/>
  <c r="AK431" i="14"/>
  <c r="T431" i="14"/>
  <c r="T397" i="14"/>
  <c r="AK397" i="14"/>
  <c r="AK394" i="14"/>
  <c r="T394" i="14"/>
  <c r="AK455" i="14"/>
  <c r="T455" i="14"/>
  <c r="T390" i="14"/>
  <c r="AK390" i="14"/>
  <c r="T451" i="14"/>
  <c r="AK451" i="14"/>
  <c r="T416" i="14"/>
  <c r="AK416" i="14"/>
  <c r="AK479" i="14"/>
  <c r="T479" i="14"/>
  <c r="AK477" i="14"/>
  <c r="T477" i="14"/>
  <c r="AK474" i="14"/>
  <c r="T474" i="14"/>
  <c r="AK443" i="14"/>
  <c r="T443" i="14"/>
  <c r="T407" i="14"/>
  <c r="AK407" i="14"/>
  <c r="AK439" i="14"/>
  <c r="T439" i="14"/>
  <c r="AK437" i="14"/>
  <c r="T437" i="14"/>
  <c r="T400" i="14"/>
  <c r="AK400" i="14"/>
  <c r="T476" i="14"/>
  <c r="AK476" i="14"/>
  <c r="T411" i="14"/>
  <c r="AK411" i="14"/>
  <c r="AK441" i="14"/>
  <c r="T441" i="14"/>
  <c r="AK473" i="14"/>
  <c r="T473" i="14"/>
  <c r="AK442" i="14"/>
  <c r="T442" i="14"/>
  <c r="AK438" i="14"/>
  <c r="T438" i="14"/>
  <c r="T466" i="14"/>
  <c r="AK466" i="14"/>
  <c r="T436" i="14"/>
  <c r="AK436" i="14"/>
  <c r="AK401" i="14"/>
  <c r="T401" i="14"/>
  <c r="T434" i="14"/>
  <c r="AK434" i="14"/>
  <c r="AK463" i="14"/>
  <c r="T463" i="14"/>
  <c r="T461" i="14"/>
  <c r="AK461" i="14"/>
  <c r="AK460" i="14"/>
  <c r="T460" i="14"/>
  <c r="AK398" i="14"/>
  <c r="T398" i="14"/>
  <c r="AK429" i="14"/>
  <c r="T429" i="14"/>
  <c r="T458" i="14"/>
  <c r="AK458" i="14"/>
  <c r="AK395" i="14"/>
  <c r="T395" i="14"/>
  <c r="T426" i="14"/>
  <c r="AK426" i="14"/>
  <c r="T454" i="14"/>
  <c r="AK454" i="14"/>
  <c r="AK427" i="14"/>
  <c r="T427" i="14"/>
  <c r="AK392" i="14"/>
  <c r="T392" i="14"/>
  <c r="T391" i="14"/>
  <c r="AK391" i="14"/>
  <c r="AK453" i="14"/>
  <c r="T453" i="14"/>
  <c r="T389" i="14"/>
  <c r="AK389" i="14"/>
  <c r="AK418" i="14"/>
  <c r="T418" i="14"/>
  <c r="T417" i="14"/>
  <c r="AK417" i="14"/>
  <c r="AK475" i="14"/>
  <c r="T475" i="14"/>
  <c r="AK413" i="14"/>
  <c r="T413" i="14"/>
  <c r="AK446" i="14"/>
  <c r="T446" i="14"/>
  <c r="T444" i="14"/>
  <c r="AK444" i="14"/>
  <c r="T414" i="14"/>
  <c r="AK414" i="14"/>
  <c r="AK470" i="14"/>
  <c r="T470" i="14"/>
  <c r="AK408" i="14"/>
  <c r="T408" i="14"/>
  <c r="AK440" i="14"/>
  <c r="T440" i="14"/>
  <c r="T405" i="14"/>
  <c r="AK405" i="14"/>
  <c r="T467" i="14"/>
  <c r="AK467" i="14"/>
  <c r="T435" i="14"/>
  <c r="AK435" i="14"/>
  <c r="T432" i="14"/>
  <c r="AK432" i="14"/>
  <c r="AK428" i="14"/>
  <c r="T428" i="14"/>
  <c r="AK457" i="14"/>
  <c r="T457" i="14"/>
  <c r="T393" i="14"/>
  <c r="AK393" i="14"/>
  <c r="AK452" i="14"/>
  <c r="T452" i="14"/>
  <c r="T422" i="14"/>
  <c r="AK422" i="14"/>
  <c r="AK421" i="14"/>
  <c r="T421" i="14"/>
  <c r="G388" i="14"/>
  <c r="H46" i="26"/>
  <c r="G46" i="26"/>
  <c r="K46" i="26"/>
  <c r="N46" i="26"/>
  <c r="AK193" i="14"/>
  <c r="T193" i="14"/>
  <c r="AK190" i="14"/>
  <c r="T190" i="14"/>
  <c r="AK161" i="14"/>
  <c r="T161" i="14"/>
  <c r="T160" i="14"/>
  <c r="AK160" i="14"/>
  <c r="AK159" i="14"/>
  <c r="T159" i="14"/>
  <c r="T187" i="14"/>
  <c r="AK187" i="14"/>
  <c r="T155" i="14"/>
  <c r="AK155" i="14"/>
  <c r="T182" i="14"/>
  <c r="AK182" i="14"/>
  <c r="T153" i="14"/>
  <c r="AK153" i="14"/>
  <c r="AK178" i="14"/>
  <c r="T178" i="14"/>
  <c r="T152" i="14"/>
  <c r="AK152" i="14"/>
  <c r="AK148" i="14"/>
  <c r="T148" i="14"/>
  <c r="AK175" i="14"/>
  <c r="T175" i="14"/>
  <c r="AK203" i="14"/>
  <c r="T203" i="14"/>
  <c r="AK165" i="14"/>
  <c r="T165" i="14"/>
  <c r="AK163" i="14"/>
  <c r="T163" i="14"/>
  <c r="T201" i="14"/>
  <c r="AK201" i="14"/>
  <c r="AK171" i="14"/>
  <c r="T171" i="14"/>
  <c r="AK198" i="14"/>
  <c r="T198" i="14"/>
  <c r="AK167" i="14"/>
  <c r="T167" i="14"/>
  <c r="AK194" i="14"/>
  <c r="T194" i="14"/>
  <c r="AK166" i="14"/>
  <c r="T166" i="14"/>
  <c r="AK191" i="14"/>
  <c r="T191" i="14"/>
  <c r="AK164" i="14"/>
  <c r="T164" i="14"/>
  <c r="AK157" i="14"/>
  <c r="T157" i="14"/>
  <c r="T184" i="14"/>
  <c r="AK184" i="14"/>
  <c r="T185" i="14"/>
  <c r="AK185" i="14"/>
  <c r="T181" i="14"/>
  <c r="AK181" i="14"/>
  <c r="T179" i="14"/>
  <c r="AK179" i="14"/>
  <c r="AK180" i="14"/>
  <c r="T180" i="14"/>
  <c r="T151" i="14"/>
  <c r="AK151" i="14"/>
  <c r="AK149" i="14"/>
  <c r="T149" i="14"/>
  <c r="G145" i="14"/>
  <c r="H39" i="18"/>
  <c r="G46" i="18"/>
  <c r="K39" i="18"/>
  <c r="N46" i="18"/>
  <c r="K46" i="18"/>
  <c r="G39" i="18"/>
  <c r="H46" i="18"/>
  <c r="N39" i="18"/>
  <c r="T170" i="14"/>
  <c r="AK170" i="14"/>
  <c r="AK196" i="14"/>
  <c r="T196" i="14"/>
  <c r="AK168" i="14"/>
  <c r="T168" i="14"/>
  <c r="T195" i="14"/>
  <c r="AK195" i="14"/>
  <c r="AK162" i="14"/>
  <c r="T162" i="14"/>
  <c r="AK188" i="14"/>
  <c r="T188" i="14"/>
  <c r="AK186" i="14"/>
  <c r="T186" i="14"/>
  <c r="AK156" i="14"/>
  <c r="T156" i="14"/>
  <c r="T154" i="14"/>
  <c r="AK154" i="14"/>
  <c r="AK150" i="14"/>
  <c r="T150" i="14"/>
  <c r="AK147" i="14"/>
  <c r="T147" i="14"/>
  <c r="AK146" i="14"/>
  <c r="T146" i="14"/>
  <c r="AH173" i="14"/>
  <c r="AL173" i="14"/>
  <c r="T204" i="14"/>
  <c r="AK204" i="14"/>
  <c r="T202" i="14"/>
  <c r="AK202" i="14"/>
  <c r="T199" i="14"/>
  <c r="AK199" i="14"/>
  <c r="AK200" i="14"/>
  <c r="T200" i="14"/>
  <c r="AK197" i="14"/>
  <c r="T197" i="14"/>
  <c r="AK172" i="14"/>
  <c r="T172" i="14"/>
  <c r="AK169" i="14"/>
  <c r="T169" i="14"/>
  <c r="T192" i="14"/>
  <c r="AK192" i="14"/>
  <c r="T189" i="14"/>
  <c r="AK189" i="14"/>
  <c r="AK158" i="14"/>
  <c r="T158" i="14"/>
  <c r="AK183" i="14"/>
  <c r="T183" i="14"/>
  <c r="T177" i="14"/>
  <c r="AK177" i="14"/>
  <c r="T176" i="14"/>
  <c r="AK176" i="14"/>
  <c r="G174" i="14"/>
  <c r="H46" i="19"/>
  <c r="N46" i="19"/>
  <c r="K46" i="19"/>
  <c r="G46" i="19"/>
  <c r="AK322" i="14"/>
  <c r="T322" i="14"/>
  <c r="AK320" i="14"/>
  <c r="T320" i="14"/>
  <c r="AK382" i="14"/>
  <c r="T382" i="14"/>
  <c r="AK319" i="14"/>
  <c r="T319" i="14"/>
  <c r="AK318" i="14"/>
  <c r="T318" i="14"/>
  <c r="AK378" i="14"/>
  <c r="T378" i="14"/>
  <c r="AK314" i="14"/>
  <c r="T314" i="14"/>
  <c r="AK315" i="14"/>
  <c r="T315" i="14"/>
  <c r="AK373" i="14"/>
  <c r="T373" i="14"/>
  <c r="AK372" i="14"/>
  <c r="T372" i="14"/>
  <c r="AK306" i="14"/>
  <c r="T306" i="14"/>
  <c r="AK368" i="14"/>
  <c r="T368" i="14"/>
  <c r="AK303" i="14"/>
  <c r="T303" i="14"/>
  <c r="AK364" i="14"/>
  <c r="T364" i="14"/>
  <c r="AK359" i="14"/>
  <c r="T359" i="14"/>
  <c r="AK334" i="14"/>
  <c r="T334" i="14"/>
  <c r="AK347" i="14"/>
  <c r="T347" i="14"/>
  <c r="AK344" i="14"/>
  <c r="T344" i="14"/>
  <c r="AK335" i="14"/>
  <c r="T335" i="14"/>
  <c r="AK325" i="14"/>
  <c r="T325" i="14"/>
  <c r="AK386" i="14"/>
  <c r="T386" i="14"/>
  <c r="AK385" i="14"/>
  <c r="T385" i="14"/>
  <c r="AK383" i="14"/>
  <c r="T383" i="14"/>
  <c r="AK317" i="14"/>
  <c r="T317" i="14"/>
  <c r="AK316" i="14"/>
  <c r="T316" i="14"/>
  <c r="AK381" i="14"/>
  <c r="T381" i="14"/>
  <c r="AK376" i="14"/>
  <c r="T376" i="14"/>
  <c r="AK374" i="14"/>
  <c r="T374" i="14"/>
  <c r="AK371" i="14"/>
  <c r="T371" i="14"/>
  <c r="AK307" i="14"/>
  <c r="T307" i="14"/>
  <c r="AK354" i="14"/>
  <c r="T354" i="14"/>
  <c r="AK304" i="14"/>
  <c r="T304" i="14"/>
  <c r="AK367" i="14"/>
  <c r="T367" i="14"/>
  <c r="AK365" i="14"/>
  <c r="T365" i="14"/>
  <c r="AK351" i="14"/>
  <c r="T351" i="14"/>
  <c r="AK301" i="14"/>
  <c r="T301" i="14"/>
  <c r="AK362" i="14"/>
  <c r="T362" i="14"/>
  <c r="AK349" i="14"/>
  <c r="T349" i="14"/>
  <c r="G327" i="14"/>
  <c r="G46" i="24"/>
  <c r="K46" i="24"/>
  <c r="H46" i="24"/>
  <c r="N46" i="24"/>
  <c r="AK342" i="14"/>
  <c r="T342" i="14"/>
  <c r="AK338" i="14"/>
  <c r="T338" i="14"/>
  <c r="AK298" i="14"/>
  <c r="T298" i="14"/>
  <c r="AK331" i="14"/>
  <c r="T331" i="14"/>
  <c r="AK329" i="14"/>
  <c r="T329" i="14"/>
  <c r="AK336" i="14"/>
  <c r="T336" i="14"/>
  <c r="AK343" i="14"/>
  <c r="T343" i="14"/>
  <c r="AK345" i="14"/>
  <c r="T345" i="14"/>
  <c r="G358" i="14"/>
  <c r="G46" i="25"/>
  <c r="K46" i="25"/>
  <c r="H46" i="25"/>
  <c r="N46" i="25"/>
  <c r="AK387" i="14"/>
  <c r="T387" i="14"/>
  <c r="AK326" i="14"/>
  <c r="T326" i="14"/>
  <c r="AK323" i="14"/>
  <c r="T323" i="14"/>
  <c r="AK384" i="14"/>
  <c r="T384" i="14"/>
  <c r="AK379" i="14"/>
  <c r="T379" i="14"/>
  <c r="AK377" i="14"/>
  <c r="T377" i="14"/>
  <c r="AK312" i="14"/>
  <c r="T312" i="14"/>
  <c r="AK313" i="14"/>
  <c r="T313" i="14"/>
  <c r="AK370" i="14"/>
  <c r="T370" i="14"/>
  <c r="AK309" i="14"/>
  <c r="T309" i="14"/>
  <c r="AK357" i="14"/>
  <c r="T357" i="14"/>
  <c r="AK308" i="14"/>
  <c r="T308" i="14"/>
  <c r="AK355" i="14"/>
  <c r="T355" i="14"/>
  <c r="AK305" i="14"/>
  <c r="T305" i="14"/>
  <c r="AK352" i="14"/>
  <c r="T352" i="14"/>
  <c r="AK366" i="14"/>
  <c r="T366" i="14"/>
  <c r="AK350" i="14"/>
  <c r="T350" i="14"/>
  <c r="AK299" i="14"/>
  <c r="T299" i="14"/>
  <c r="AK341" i="14"/>
  <c r="T341" i="14"/>
  <c r="AK346" i="14"/>
  <c r="T346" i="14"/>
  <c r="AK361" i="14"/>
  <c r="T361" i="14"/>
  <c r="AK328" i="14"/>
  <c r="T328" i="14"/>
  <c r="G296" i="14"/>
  <c r="G46" i="23"/>
  <c r="H46" i="23"/>
  <c r="K46" i="23"/>
  <c r="N46" i="23"/>
  <c r="AK330" i="14"/>
  <c r="T330" i="14"/>
  <c r="G60" i="1"/>
  <c r="Y60" i="1"/>
  <c r="Y63" i="1"/>
  <c r="G61" i="1"/>
  <c r="G65" i="1"/>
  <c r="G62" i="1"/>
  <c r="Y64" i="1"/>
  <c r="Y61" i="1"/>
  <c r="Y62" i="1"/>
  <c r="G63" i="1"/>
  <c r="Y65" i="1"/>
  <c r="G64" i="1"/>
  <c r="AK324" i="14"/>
  <c r="T324" i="14"/>
  <c r="AK321" i="14"/>
  <c r="T321" i="14"/>
  <c r="AK380" i="14"/>
  <c r="T380" i="14"/>
  <c r="AK375" i="14"/>
  <c r="T375" i="14"/>
  <c r="AK311" i="14"/>
  <c r="T311" i="14"/>
  <c r="AK356" i="14"/>
  <c r="T356" i="14"/>
  <c r="AK369" i="14"/>
  <c r="T369" i="14"/>
  <c r="AK310" i="14"/>
  <c r="T310" i="14"/>
  <c r="AK353" i="14"/>
  <c r="T353" i="14"/>
  <c r="AK302" i="14"/>
  <c r="T302" i="14"/>
  <c r="AK348" i="14"/>
  <c r="T348" i="14"/>
  <c r="AK363" i="14"/>
  <c r="T363" i="14"/>
  <c r="AK300" i="14"/>
  <c r="T300" i="14"/>
  <c r="AK333" i="14"/>
  <c r="T333" i="14"/>
  <c r="AK337" i="14"/>
  <c r="T337" i="14"/>
  <c r="AK297" i="14"/>
  <c r="T297" i="14"/>
  <c r="AK360" i="14"/>
  <c r="T360" i="14"/>
  <c r="AK332" i="14"/>
  <c r="T332" i="14"/>
  <c r="AK339" i="14"/>
  <c r="T339" i="14"/>
  <c r="AK340" i="14"/>
  <c r="T340" i="14"/>
  <c r="E46" i="26" l="1"/>
  <c r="E46" i="28"/>
  <c r="E46" i="27"/>
  <c r="P5" i="29" s="1"/>
  <c r="O5" i="29"/>
  <c r="H153" i="26"/>
  <c r="H152" i="26"/>
  <c r="H180" i="26"/>
  <c r="AH422" i="14"/>
  <c r="AL422" i="14"/>
  <c r="AH393" i="14"/>
  <c r="AL393" i="14"/>
  <c r="AH435" i="14"/>
  <c r="AL435" i="14"/>
  <c r="AH405" i="14"/>
  <c r="AL405" i="14"/>
  <c r="AH414" i="14"/>
  <c r="AL414" i="14"/>
  <c r="AH454" i="14"/>
  <c r="AL454" i="14"/>
  <c r="AH466" i="14"/>
  <c r="AL466" i="14"/>
  <c r="AH476" i="14"/>
  <c r="AL476" i="14"/>
  <c r="AH407" i="14"/>
  <c r="AL407" i="14"/>
  <c r="AH451" i="14"/>
  <c r="AL451" i="14"/>
  <c r="AH397" i="14"/>
  <c r="AL397" i="14"/>
  <c r="AH409" i="14"/>
  <c r="AL409" i="14"/>
  <c r="AH472" i="14"/>
  <c r="AL472" i="14"/>
  <c r="Q5" i="29"/>
  <c r="H180" i="28"/>
  <c r="H152" i="28"/>
  <c r="H153" i="28"/>
  <c r="H153" i="27"/>
  <c r="H152" i="27"/>
  <c r="H180" i="27"/>
  <c r="AH459" i="14"/>
  <c r="AL459" i="14"/>
  <c r="AH469" i="14"/>
  <c r="AL469" i="14"/>
  <c r="J152" i="26"/>
  <c r="K180" i="26"/>
  <c r="J153" i="26"/>
  <c r="T388" i="14"/>
  <c r="AJ388" i="14" s="1"/>
  <c r="AK388" i="14"/>
  <c r="AH428" i="14"/>
  <c r="AL428" i="14"/>
  <c r="AH408" i="14"/>
  <c r="AL408" i="14"/>
  <c r="AL446" i="14"/>
  <c r="AH446" i="14"/>
  <c r="AH475" i="14"/>
  <c r="AL475" i="14"/>
  <c r="AL418" i="14"/>
  <c r="AH418" i="14"/>
  <c r="AL453" i="14"/>
  <c r="AH453" i="14"/>
  <c r="AL392" i="14"/>
  <c r="AH392" i="14"/>
  <c r="AH395" i="14"/>
  <c r="AL395" i="14"/>
  <c r="AH429" i="14"/>
  <c r="AL429" i="14"/>
  <c r="AH460" i="14"/>
  <c r="AL460" i="14"/>
  <c r="AH463" i="14"/>
  <c r="AL463" i="14"/>
  <c r="AH401" i="14"/>
  <c r="AL401" i="14"/>
  <c r="AH442" i="14"/>
  <c r="AL442" i="14"/>
  <c r="AL441" i="14"/>
  <c r="AH441" i="14"/>
  <c r="AL437" i="14"/>
  <c r="AH437" i="14"/>
  <c r="AH474" i="14"/>
  <c r="AL474" i="14"/>
  <c r="AH479" i="14"/>
  <c r="AL479" i="14"/>
  <c r="AL455" i="14"/>
  <c r="AH455" i="14"/>
  <c r="AH462" i="14"/>
  <c r="AL462" i="14"/>
  <c r="AL403" i="14"/>
  <c r="AH403" i="14"/>
  <c r="AH465" i="14"/>
  <c r="AL465" i="14"/>
  <c r="AH447" i="14"/>
  <c r="AL447" i="14"/>
  <c r="G180" i="28"/>
  <c r="AK240" i="1"/>
  <c r="AK259" i="1" s="1"/>
  <c r="AK236" i="1"/>
  <c r="G152" i="28"/>
  <c r="AK233" i="1"/>
  <c r="AK237" i="1"/>
  <c r="AK258" i="1" s="1"/>
  <c r="AK242" i="1"/>
  <c r="G153" i="28"/>
  <c r="AK243" i="1"/>
  <c r="AK260" i="1" s="1"/>
  <c r="AK234" i="1"/>
  <c r="AK257" i="1" s="1"/>
  <c r="AK239" i="1"/>
  <c r="T449" i="14"/>
  <c r="AJ449" i="14" s="1"/>
  <c r="AK449" i="14"/>
  <c r="I153" i="27"/>
  <c r="I152" i="27"/>
  <c r="I180" i="27"/>
  <c r="AL420" i="14"/>
  <c r="AH420" i="14"/>
  <c r="AL423" i="14"/>
  <c r="AH423" i="14"/>
  <c r="AH396" i="14"/>
  <c r="AL396" i="14"/>
  <c r="AH468" i="14"/>
  <c r="AL468" i="14"/>
  <c r="AH415" i="14"/>
  <c r="AL415" i="14"/>
  <c r="AL456" i="14"/>
  <c r="AH456" i="14"/>
  <c r="AH402" i="14"/>
  <c r="AL402" i="14"/>
  <c r="I152" i="26"/>
  <c r="I153" i="26"/>
  <c r="I180" i="26"/>
  <c r="AL432" i="14"/>
  <c r="AH432" i="14"/>
  <c r="AL467" i="14"/>
  <c r="AH467" i="14"/>
  <c r="AH444" i="14"/>
  <c r="AL444" i="14"/>
  <c r="AH417" i="14"/>
  <c r="AL417" i="14"/>
  <c r="AH389" i="14"/>
  <c r="AL389" i="14"/>
  <c r="AH391" i="14"/>
  <c r="AL391" i="14"/>
  <c r="AH426" i="14"/>
  <c r="AL426" i="14"/>
  <c r="AH458" i="14"/>
  <c r="AL458" i="14"/>
  <c r="AH461" i="14"/>
  <c r="AL461" i="14"/>
  <c r="AL434" i="14"/>
  <c r="AH434" i="14"/>
  <c r="AH436" i="14"/>
  <c r="AL436" i="14"/>
  <c r="AL411" i="14"/>
  <c r="AH411" i="14"/>
  <c r="AH400" i="14"/>
  <c r="AL400" i="14"/>
  <c r="AL416" i="14"/>
  <c r="AH416" i="14"/>
  <c r="AH390" i="14"/>
  <c r="AL390" i="14"/>
  <c r="AH464" i="14"/>
  <c r="AL464" i="14"/>
  <c r="AL471" i="14"/>
  <c r="AH471" i="14"/>
  <c r="AL445" i="14"/>
  <c r="AH445" i="14"/>
  <c r="I152" i="28"/>
  <c r="I180" i="28"/>
  <c r="I153" i="28"/>
  <c r="G180" i="27"/>
  <c r="AH240" i="1"/>
  <c r="AH259" i="1" s="1"/>
  <c r="AH239" i="1"/>
  <c r="AH243" i="1"/>
  <c r="AH260" i="1" s="1"/>
  <c r="AH234" i="1"/>
  <c r="AH257" i="1" s="1"/>
  <c r="AH242" i="1"/>
  <c r="G153" i="27"/>
  <c r="AH237" i="1"/>
  <c r="AH258" i="1" s="1"/>
  <c r="AH233" i="1"/>
  <c r="G152" i="27"/>
  <c r="AH236" i="1"/>
  <c r="AH424" i="14"/>
  <c r="AL424" i="14"/>
  <c r="AH406" i="14"/>
  <c r="AL406" i="14"/>
  <c r="AH399" i="14"/>
  <c r="AL399" i="14"/>
  <c r="AJ419" i="14"/>
  <c r="AE239" i="1"/>
  <c r="AE243" i="1"/>
  <c r="AE260" i="1" s="1"/>
  <c r="G153" i="26"/>
  <c r="AE237" i="1"/>
  <c r="AE258" i="1" s="1"/>
  <c r="AE240" i="1"/>
  <c r="AE259" i="1" s="1"/>
  <c r="G152" i="26"/>
  <c r="AE233" i="1"/>
  <c r="AE236" i="1"/>
  <c r="G180" i="26"/>
  <c r="AE234" i="1"/>
  <c r="AE257" i="1" s="1"/>
  <c r="AE242" i="1"/>
  <c r="AL421" i="14"/>
  <c r="AH421" i="14"/>
  <c r="AL452" i="14"/>
  <c r="AH452" i="14"/>
  <c r="AH457" i="14"/>
  <c r="AL457" i="14"/>
  <c r="AH440" i="14"/>
  <c r="AL440" i="14"/>
  <c r="AL470" i="14"/>
  <c r="AH470" i="14"/>
  <c r="AL413" i="14"/>
  <c r="AH413" i="14"/>
  <c r="AH427" i="14"/>
  <c r="AL427" i="14"/>
  <c r="AH398" i="14"/>
  <c r="AL398" i="14"/>
  <c r="AH438" i="14"/>
  <c r="AL438" i="14"/>
  <c r="AH473" i="14"/>
  <c r="AL473" i="14"/>
  <c r="AH439" i="14"/>
  <c r="AL439" i="14"/>
  <c r="AH443" i="14"/>
  <c r="AL443" i="14"/>
  <c r="AL477" i="14"/>
  <c r="AH477" i="14"/>
  <c r="AL394" i="14"/>
  <c r="AH394" i="14"/>
  <c r="AH431" i="14"/>
  <c r="AL431" i="14"/>
  <c r="AH433" i="14"/>
  <c r="AL433" i="14"/>
  <c r="AL410" i="14"/>
  <c r="AH410" i="14"/>
  <c r="AH478" i="14"/>
  <c r="AL478" i="14"/>
  <c r="J152" i="28"/>
  <c r="J153" i="28"/>
  <c r="K180" i="28"/>
  <c r="J153" i="27"/>
  <c r="J152" i="27"/>
  <c r="K180" i="27"/>
  <c r="AK419" i="14"/>
  <c r="T419" i="14"/>
  <c r="AL450" i="14"/>
  <c r="AH450" i="14"/>
  <c r="AH430" i="14"/>
  <c r="AL430" i="14"/>
  <c r="AH412" i="14"/>
  <c r="AL412" i="14"/>
  <c r="AH425" i="14"/>
  <c r="AL425" i="14"/>
  <c r="AH404" i="14"/>
  <c r="AL404" i="14"/>
  <c r="AL448" i="14"/>
  <c r="AH448" i="14"/>
  <c r="Z12" i="14"/>
  <c r="T10" i="14"/>
  <c r="E46" i="19"/>
  <c r="E5" i="29" s="1"/>
  <c r="E46" i="18"/>
  <c r="D5" i="29" s="1"/>
  <c r="E46" i="24"/>
  <c r="L5" i="29" s="1"/>
  <c r="H153" i="19"/>
  <c r="H152" i="19"/>
  <c r="H180" i="19"/>
  <c r="AL177" i="14"/>
  <c r="AH177" i="14"/>
  <c r="AH192" i="14"/>
  <c r="AL192" i="14"/>
  <c r="AH202" i="14"/>
  <c r="AL202" i="14"/>
  <c r="CF173" i="14"/>
  <c r="CG173" i="14"/>
  <c r="AL154" i="14"/>
  <c r="AH154" i="14"/>
  <c r="AH170" i="14"/>
  <c r="AL170" i="14"/>
  <c r="H152" i="18"/>
  <c r="H180" i="18"/>
  <c r="H153" i="18"/>
  <c r="AL181" i="14"/>
  <c r="AH181" i="14"/>
  <c r="AH184" i="14"/>
  <c r="AL184" i="14"/>
  <c r="AH182" i="14"/>
  <c r="AL182" i="14"/>
  <c r="AH187" i="14"/>
  <c r="AL187" i="14"/>
  <c r="AH160" i="14"/>
  <c r="AL160" i="14"/>
  <c r="J237" i="1"/>
  <c r="J258" i="1" s="1"/>
  <c r="J242" i="1"/>
  <c r="G153" i="19"/>
  <c r="J236" i="1"/>
  <c r="J234" i="1"/>
  <c r="J257" i="1" s="1"/>
  <c r="G152" i="19"/>
  <c r="J239" i="1"/>
  <c r="J240" i="1"/>
  <c r="J259" i="1" s="1"/>
  <c r="J233" i="1"/>
  <c r="G180" i="19"/>
  <c r="J243" i="1"/>
  <c r="J260" i="1" s="1"/>
  <c r="T174" i="14"/>
  <c r="AK174" i="14"/>
  <c r="AH158" i="14"/>
  <c r="AL158" i="14"/>
  <c r="AH172" i="14"/>
  <c r="AL172" i="14"/>
  <c r="AL200" i="14"/>
  <c r="AH200" i="14"/>
  <c r="AH147" i="14"/>
  <c r="AL147" i="14"/>
  <c r="AL186" i="14"/>
  <c r="AH186" i="14"/>
  <c r="AH162" i="14"/>
  <c r="AL162" i="14"/>
  <c r="AH168" i="14"/>
  <c r="AL168" i="14"/>
  <c r="G153" i="18"/>
  <c r="G237" i="1"/>
  <c r="G258" i="1" s="1"/>
  <c r="G299" i="1" s="1"/>
  <c r="G243" i="1"/>
  <c r="G260" i="1" s="1"/>
  <c r="G301" i="1" s="1"/>
  <c r="G152" i="18"/>
  <c r="G233" i="1"/>
  <c r="G239" i="1"/>
  <c r="G234" i="1"/>
  <c r="G257" i="1" s="1"/>
  <c r="G180" i="18"/>
  <c r="G242" i="1"/>
  <c r="G240" i="1"/>
  <c r="G259" i="1" s="1"/>
  <c r="G300" i="1" s="1"/>
  <c r="G236" i="1"/>
  <c r="AH149" i="14"/>
  <c r="AL149" i="14"/>
  <c r="AL180" i="14"/>
  <c r="AH180" i="14"/>
  <c r="AH164" i="14"/>
  <c r="AL164" i="14"/>
  <c r="AH166" i="14"/>
  <c r="AL166" i="14"/>
  <c r="AH167" i="14"/>
  <c r="AL167" i="14"/>
  <c r="AL171" i="14"/>
  <c r="AH171" i="14"/>
  <c r="AH163" i="14"/>
  <c r="AL163" i="14"/>
  <c r="AL203" i="14"/>
  <c r="AH203" i="14"/>
  <c r="AH148" i="14"/>
  <c r="AL148" i="14"/>
  <c r="AH178" i="14"/>
  <c r="AL178" i="14"/>
  <c r="AL190" i="14"/>
  <c r="AH190" i="14"/>
  <c r="I180" i="19"/>
  <c r="I153" i="19"/>
  <c r="I152" i="19"/>
  <c r="AL176" i="14"/>
  <c r="AH176" i="14"/>
  <c r="AL189" i="14"/>
  <c r="AH189" i="14"/>
  <c r="AH199" i="14"/>
  <c r="AL199" i="14"/>
  <c r="AH204" i="14"/>
  <c r="AL204" i="14"/>
  <c r="AL195" i="14"/>
  <c r="AH195" i="14"/>
  <c r="I153" i="18"/>
  <c r="I152" i="18"/>
  <c r="I180" i="18"/>
  <c r="AH151" i="14"/>
  <c r="AL151" i="14"/>
  <c r="AL179" i="14"/>
  <c r="AH179" i="14"/>
  <c r="AL185" i="14"/>
  <c r="AH185" i="14"/>
  <c r="AL201" i="14"/>
  <c r="AH201" i="14"/>
  <c r="AH152" i="14"/>
  <c r="AL152" i="14"/>
  <c r="AH153" i="14"/>
  <c r="AL153" i="14"/>
  <c r="AH155" i="14"/>
  <c r="AL155" i="14"/>
  <c r="J153" i="19"/>
  <c r="J152" i="19"/>
  <c r="K180" i="19"/>
  <c r="AH183" i="14"/>
  <c r="AL183" i="14"/>
  <c r="AL169" i="14"/>
  <c r="AH169" i="14"/>
  <c r="AL197" i="14"/>
  <c r="AH197" i="14"/>
  <c r="AJ174" i="14"/>
  <c r="AL146" i="14"/>
  <c r="AH146" i="14"/>
  <c r="AL150" i="14"/>
  <c r="AH150" i="14"/>
  <c r="AL156" i="14"/>
  <c r="AH156" i="14"/>
  <c r="AH188" i="14"/>
  <c r="AL188" i="14"/>
  <c r="AH196" i="14"/>
  <c r="AL196" i="14"/>
  <c r="J152" i="18"/>
  <c r="K180" i="18"/>
  <c r="J153" i="18"/>
  <c r="AK145" i="14"/>
  <c r="T145" i="14"/>
  <c r="AJ145" i="14" s="1"/>
  <c r="AL157" i="14"/>
  <c r="AH157" i="14"/>
  <c r="AL191" i="14"/>
  <c r="AH191" i="14"/>
  <c r="AL194" i="14"/>
  <c r="AH194" i="14"/>
  <c r="AL198" i="14"/>
  <c r="AH198" i="14"/>
  <c r="AL165" i="14"/>
  <c r="AH165" i="14"/>
  <c r="AH175" i="14"/>
  <c r="AL175" i="14"/>
  <c r="AL159" i="14"/>
  <c r="AH159" i="14"/>
  <c r="AL161" i="14"/>
  <c r="AH161" i="14"/>
  <c r="AH193" i="14"/>
  <c r="AL193" i="14"/>
  <c r="E46" i="25"/>
  <c r="E46" i="23"/>
  <c r="G153" i="23"/>
  <c r="G152" i="23"/>
  <c r="G180" i="23"/>
  <c r="V234" i="1"/>
  <c r="V257" i="1" s="1"/>
  <c r="V239" i="1"/>
  <c r="V240" i="1"/>
  <c r="V259" i="1" s="1"/>
  <c r="V233" i="1"/>
  <c r="V243" i="1"/>
  <c r="V260" i="1" s="1"/>
  <c r="V242" i="1"/>
  <c r="V237" i="1"/>
  <c r="V258" i="1" s="1"/>
  <c r="V236" i="1"/>
  <c r="G153" i="25"/>
  <c r="G152" i="25"/>
  <c r="G180" i="25"/>
  <c r="AB234" i="1"/>
  <c r="AB257" i="1" s="1"/>
  <c r="AB239" i="1"/>
  <c r="AB240" i="1"/>
  <c r="AB259" i="1" s="1"/>
  <c r="AB237" i="1"/>
  <c r="AB258" i="1" s="1"/>
  <c r="AB236" i="1"/>
  <c r="AB243" i="1"/>
  <c r="AB260" i="1" s="1"/>
  <c r="AB242" i="1"/>
  <c r="AB233" i="1"/>
  <c r="H153" i="24"/>
  <c r="H152" i="24"/>
  <c r="H180" i="24"/>
  <c r="AH339" i="14"/>
  <c r="AL339" i="14"/>
  <c r="AH360" i="14"/>
  <c r="AL360" i="14"/>
  <c r="AH337" i="14"/>
  <c r="AL337" i="14"/>
  <c r="AH300" i="14"/>
  <c r="AL300" i="14"/>
  <c r="AH348" i="14"/>
  <c r="AL348" i="14"/>
  <c r="AH353" i="14"/>
  <c r="AL353" i="14"/>
  <c r="AH369" i="14"/>
  <c r="AL369" i="14"/>
  <c r="AH311" i="14"/>
  <c r="AL311" i="14"/>
  <c r="AH380" i="14"/>
  <c r="AL380" i="14"/>
  <c r="AH324" i="14"/>
  <c r="AL324" i="14"/>
  <c r="R55" i="1"/>
  <c r="AF55" i="1" s="1"/>
  <c r="J153" i="23"/>
  <c r="J152" i="23"/>
  <c r="K180" i="23"/>
  <c r="AK296" i="14"/>
  <c r="T296" i="14"/>
  <c r="AJ296" i="14" s="1"/>
  <c r="AH361" i="14"/>
  <c r="AL361" i="14"/>
  <c r="AH341" i="14"/>
  <c r="AL341" i="14"/>
  <c r="AH350" i="14"/>
  <c r="AL350" i="14"/>
  <c r="AH352" i="14"/>
  <c r="AL352" i="14"/>
  <c r="AH355" i="14"/>
  <c r="AL355" i="14"/>
  <c r="AH357" i="14"/>
  <c r="AL357" i="14"/>
  <c r="AH370" i="14"/>
  <c r="AL370" i="14"/>
  <c r="AH312" i="14"/>
  <c r="AL312" i="14"/>
  <c r="AH379" i="14"/>
  <c r="AL379" i="14"/>
  <c r="AH323" i="14"/>
  <c r="AL323" i="14"/>
  <c r="AH387" i="14"/>
  <c r="AL387" i="14"/>
  <c r="J152" i="25"/>
  <c r="J153" i="25"/>
  <c r="K180" i="25"/>
  <c r="AK358" i="14"/>
  <c r="T358" i="14"/>
  <c r="AJ358" i="14" s="1"/>
  <c r="AH343" i="14"/>
  <c r="AL343" i="14"/>
  <c r="AH329" i="14"/>
  <c r="AL329" i="14"/>
  <c r="AH298" i="14"/>
  <c r="AL298" i="14"/>
  <c r="AH342" i="14"/>
  <c r="AL342" i="14"/>
  <c r="I153" i="24"/>
  <c r="I152" i="24"/>
  <c r="I180" i="24"/>
  <c r="AH349" i="14"/>
  <c r="AL349" i="14"/>
  <c r="AH301" i="14"/>
  <c r="AL301" i="14"/>
  <c r="AH365" i="14"/>
  <c r="AL365" i="14"/>
  <c r="AH304" i="14"/>
  <c r="AL304" i="14"/>
  <c r="AH307" i="14"/>
  <c r="AL307" i="14"/>
  <c r="AH374" i="14"/>
  <c r="AL374" i="14"/>
  <c r="AH381" i="14"/>
  <c r="AL381" i="14"/>
  <c r="AH317" i="14"/>
  <c r="AL317" i="14"/>
  <c r="AH385" i="14"/>
  <c r="AL385" i="14"/>
  <c r="AH325" i="14"/>
  <c r="AL325" i="14"/>
  <c r="AH344" i="14"/>
  <c r="AL344" i="14"/>
  <c r="AH334" i="14"/>
  <c r="AL334" i="14"/>
  <c r="AH364" i="14"/>
  <c r="AL364" i="14"/>
  <c r="AH368" i="14"/>
  <c r="AL368" i="14"/>
  <c r="AH372" i="14"/>
  <c r="AL372" i="14"/>
  <c r="AH315" i="14"/>
  <c r="AL315" i="14"/>
  <c r="AH378" i="14"/>
  <c r="AL378" i="14"/>
  <c r="AH319" i="14"/>
  <c r="AL319" i="14"/>
  <c r="AH320" i="14"/>
  <c r="AL320" i="14"/>
  <c r="I153" i="23"/>
  <c r="I152" i="23"/>
  <c r="I180" i="23"/>
  <c r="H153" i="25"/>
  <c r="H152" i="25"/>
  <c r="H180" i="25"/>
  <c r="G153" i="24"/>
  <c r="G152" i="24"/>
  <c r="G180" i="24"/>
  <c r="Y237" i="1"/>
  <c r="Y258" i="1" s="1"/>
  <c r="Y240" i="1"/>
  <c r="Y259" i="1" s="1"/>
  <c r="Y233" i="1"/>
  <c r="Y236" i="1"/>
  <c r="Y243" i="1"/>
  <c r="Y260" i="1" s="1"/>
  <c r="Y242" i="1"/>
  <c r="Y234" i="1"/>
  <c r="Y257" i="1" s="1"/>
  <c r="Y239" i="1"/>
  <c r="AH340" i="14"/>
  <c r="AL340" i="14"/>
  <c r="AH332" i="14"/>
  <c r="AL332" i="14"/>
  <c r="AH297" i="14"/>
  <c r="AL297" i="14"/>
  <c r="AH333" i="14"/>
  <c r="AL333" i="14"/>
  <c r="AH363" i="14"/>
  <c r="AL363" i="14"/>
  <c r="AH302" i="14"/>
  <c r="AL302" i="14"/>
  <c r="AH310" i="14"/>
  <c r="AL310" i="14"/>
  <c r="AH356" i="14"/>
  <c r="AL356" i="14"/>
  <c r="AH375" i="14"/>
  <c r="AL375" i="14"/>
  <c r="AH321" i="14"/>
  <c r="AL321" i="14"/>
  <c r="AH330" i="14"/>
  <c r="AL330" i="14"/>
  <c r="H153" i="23"/>
  <c r="H152" i="23"/>
  <c r="H180" i="23"/>
  <c r="AH328" i="14"/>
  <c r="AL328" i="14"/>
  <c r="AH346" i="14"/>
  <c r="AL346" i="14"/>
  <c r="AH299" i="14"/>
  <c r="AL299" i="14"/>
  <c r="AH366" i="14"/>
  <c r="AL366" i="14"/>
  <c r="AH305" i="14"/>
  <c r="AL305" i="14"/>
  <c r="AH308" i="14"/>
  <c r="AL308" i="14"/>
  <c r="AH309" i="14"/>
  <c r="AL309" i="14"/>
  <c r="AH313" i="14"/>
  <c r="AL313" i="14"/>
  <c r="AH377" i="14"/>
  <c r="AL377" i="14"/>
  <c r="AH384" i="14"/>
  <c r="AL384" i="14"/>
  <c r="AH326" i="14"/>
  <c r="AL326" i="14"/>
  <c r="I153" i="25"/>
  <c r="I152" i="25"/>
  <c r="I180" i="25"/>
  <c r="AH345" i="14"/>
  <c r="AL345" i="14"/>
  <c r="AH336" i="14"/>
  <c r="AL336" i="14"/>
  <c r="AH331" i="14"/>
  <c r="AL331" i="14"/>
  <c r="AH338" i="14"/>
  <c r="AL338" i="14"/>
  <c r="J153" i="24"/>
  <c r="J152" i="24"/>
  <c r="K180" i="24"/>
  <c r="AK327" i="14"/>
  <c r="T327" i="14"/>
  <c r="AJ327" i="14" s="1"/>
  <c r="AH362" i="14"/>
  <c r="AL362" i="14"/>
  <c r="AH351" i="14"/>
  <c r="AL351" i="14"/>
  <c r="AH367" i="14"/>
  <c r="AL367" i="14"/>
  <c r="AH354" i="14"/>
  <c r="AL354" i="14"/>
  <c r="AH371" i="14"/>
  <c r="AL371" i="14"/>
  <c r="AH376" i="14"/>
  <c r="AL376" i="14"/>
  <c r="AH316" i="14"/>
  <c r="AL316" i="14"/>
  <c r="AH383" i="14"/>
  <c r="AL383" i="14"/>
  <c r="AH386" i="14"/>
  <c r="AL386" i="14"/>
  <c r="AH335" i="14"/>
  <c r="AL335" i="14"/>
  <c r="AH347" i="14"/>
  <c r="AL347" i="14"/>
  <c r="AH359" i="14"/>
  <c r="AL359" i="14"/>
  <c r="AH303" i="14"/>
  <c r="AL303" i="14"/>
  <c r="AH306" i="14"/>
  <c r="AL306" i="14"/>
  <c r="AH373" i="14"/>
  <c r="AL373" i="14"/>
  <c r="AH314" i="14"/>
  <c r="AL314" i="14"/>
  <c r="AH318" i="14"/>
  <c r="AL318" i="14"/>
  <c r="AH382" i="14"/>
  <c r="AL382" i="14"/>
  <c r="AH322" i="14"/>
  <c r="AL322" i="14"/>
  <c r="Y347" i="1" l="1"/>
  <c r="Y355" i="1"/>
  <c r="AH347" i="1"/>
  <c r="AH355" i="1"/>
  <c r="V347" i="1"/>
  <c r="V355" i="1"/>
  <c r="G347" i="1"/>
  <c r="G355" i="1"/>
  <c r="D18" i="29" s="1"/>
  <c r="AK347" i="1"/>
  <c r="AK355" i="1"/>
  <c r="AB347" i="1"/>
  <c r="AB355" i="1"/>
  <c r="J347" i="1"/>
  <c r="J355" i="1"/>
  <c r="AE347" i="1"/>
  <c r="AE355" i="1"/>
  <c r="AK264" i="1"/>
  <c r="N99" i="28"/>
  <c r="N48" i="28"/>
  <c r="N105" i="28"/>
  <c r="CF468" i="14"/>
  <c r="CG468" i="14"/>
  <c r="CF448" i="14"/>
  <c r="CG448" i="14"/>
  <c r="AL419" i="14"/>
  <c r="AH419" i="14"/>
  <c r="CG410" i="14"/>
  <c r="CF410" i="14"/>
  <c r="CG477" i="14"/>
  <c r="CF477" i="14"/>
  <c r="CF470" i="14"/>
  <c r="CG470" i="14"/>
  <c r="CG421" i="14"/>
  <c r="CF421" i="14"/>
  <c r="G176" i="26"/>
  <c r="G171" i="26"/>
  <c r="G170" i="26"/>
  <c r="G172" i="26"/>
  <c r="E180" i="26"/>
  <c r="G173" i="26"/>
  <c r="G178" i="26"/>
  <c r="G174" i="26"/>
  <c r="G179" i="26"/>
  <c r="G177" i="26"/>
  <c r="G175" i="26"/>
  <c r="CF406" i="14"/>
  <c r="CG406" i="14"/>
  <c r="I176" i="28"/>
  <c r="I178" i="28"/>
  <c r="I179" i="28"/>
  <c r="I172" i="28"/>
  <c r="I170" i="28"/>
  <c r="I175" i="28"/>
  <c r="I177" i="28"/>
  <c r="I174" i="28"/>
  <c r="I173" i="28"/>
  <c r="I171" i="28"/>
  <c r="CF390" i="14"/>
  <c r="CG390" i="14"/>
  <c r="CF400" i="14"/>
  <c r="CG400" i="14"/>
  <c r="CG436" i="14"/>
  <c r="CF436" i="14"/>
  <c r="CF461" i="14"/>
  <c r="CG461" i="14"/>
  <c r="CF426" i="14"/>
  <c r="CG426" i="14"/>
  <c r="CF389" i="14"/>
  <c r="CG389" i="14"/>
  <c r="CG444" i="14"/>
  <c r="CF444" i="14"/>
  <c r="AH449" i="14"/>
  <c r="AL449" i="14"/>
  <c r="CG465" i="14"/>
  <c r="CF465" i="14"/>
  <c r="CG462" i="14"/>
  <c r="CF462" i="14"/>
  <c r="CG479" i="14"/>
  <c r="CF479" i="14"/>
  <c r="CG442" i="14"/>
  <c r="CF442" i="14"/>
  <c r="CG463" i="14"/>
  <c r="CF463" i="14"/>
  <c r="CG429" i="14"/>
  <c r="CF429" i="14"/>
  <c r="CG428" i="14"/>
  <c r="CF428" i="14"/>
  <c r="CF469" i="14"/>
  <c r="CG469" i="14"/>
  <c r="CG409" i="14"/>
  <c r="CF409" i="14"/>
  <c r="CF451" i="14"/>
  <c r="CG451" i="14"/>
  <c r="CF414" i="14"/>
  <c r="CG414" i="14"/>
  <c r="CG435" i="14"/>
  <c r="CF435" i="14"/>
  <c r="CF422" i="14"/>
  <c r="CG422" i="14"/>
  <c r="H99" i="26"/>
  <c r="H105" i="26"/>
  <c r="H48" i="26"/>
  <c r="CG404" i="14"/>
  <c r="CF404" i="14"/>
  <c r="CG412" i="14"/>
  <c r="CF412" i="14"/>
  <c r="CF478" i="14"/>
  <c r="CG478" i="14"/>
  <c r="CG433" i="14"/>
  <c r="CF433" i="14"/>
  <c r="CF473" i="14"/>
  <c r="CG473" i="14"/>
  <c r="CF398" i="14"/>
  <c r="CG398" i="14"/>
  <c r="CG440" i="14"/>
  <c r="CF440" i="14"/>
  <c r="AH317" i="1"/>
  <c r="AH318" i="1" s="1"/>
  <c r="P110" i="29"/>
  <c r="K48" i="28"/>
  <c r="K99" i="28"/>
  <c r="K105" i="28"/>
  <c r="CG471" i="14"/>
  <c r="CF471" i="14"/>
  <c r="CF432" i="14"/>
  <c r="CG432" i="14"/>
  <c r="K99" i="26"/>
  <c r="K48" i="26"/>
  <c r="K105" i="26"/>
  <c r="CG456" i="14"/>
  <c r="CF456" i="14"/>
  <c r="CG423" i="14"/>
  <c r="CF423" i="14"/>
  <c r="I177" i="27"/>
  <c r="I170" i="27"/>
  <c r="I176" i="27"/>
  <c r="I173" i="27"/>
  <c r="I179" i="27"/>
  <c r="I172" i="27"/>
  <c r="I174" i="27"/>
  <c r="I171" i="27"/>
  <c r="I178" i="27"/>
  <c r="I175" i="27"/>
  <c r="E180" i="28"/>
  <c r="G178" i="28"/>
  <c r="G173" i="28"/>
  <c r="G175" i="28"/>
  <c r="G177" i="28"/>
  <c r="G176" i="28"/>
  <c r="G171" i="28"/>
  <c r="G179" i="28"/>
  <c r="G174" i="28"/>
  <c r="G170" i="28"/>
  <c r="G172" i="28"/>
  <c r="CG437" i="14"/>
  <c r="CF437" i="14"/>
  <c r="CG392" i="14"/>
  <c r="CF392" i="14"/>
  <c r="CG418" i="14"/>
  <c r="CF418" i="14"/>
  <c r="CG446" i="14"/>
  <c r="CF446" i="14"/>
  <c r="H173" i="27"/>
  <c r="H179" i="27"/>
  <c r="H177" i="27"/>
  <c r="H170" i="27"/>
  <c r="H176" i="27"/>
  <c r="H178" i="27"/>
  <c r="H171" i="27"/>
  <c r="H172" i="27"/>
  <c r="H174" i="27"/>
  <c r="H175" i="27"/>
  <c r="Q110" i="29"/>
  <c r="CF476" i="14"/>
  <c r="CG476" i="14"/>
  <c r="CF454" i="14"/>
  <c r="CG454" i="14"/>
  <c r="CF450" i="14"/>
  <c r="CG450" i="14"/>
  <c r="K170" i="27"/>
  <c r="K176" i="27"/>
  <c r="K178" i="27"/>
  <c r="K175" i="27"/>
  <c r="K173" i="27"/>
  <c r="K171" i="27"/>
  <c r="K179" i="27"/>
  <c r="K172" i="27"/>
  <c r="K174" i="27"/>
  <c r="K177" i="27"/>
  <c r="K173" i="28"/>
  <c r="K171" i="28"/>
  <c r="K176" i="28"/>
  <c r="K178" i="28"/>
  <c r="K175" i="28"/>
  <c r="K172" i="28"/>
  <c r="K174" i="28"/>
  <c r="K179" i="28"/>
  <c r="K170" i="28"/>
  <c r="K177" i="28"/>
  <c r="CF394" i="14"/>
  <c r="CG394" i="14"/>
  <c r="CF413" i="14"/>
  <c r="CG413" i="14"/>
  <c r="CG452" i="14"/>
  <c r="CF452" i="14"/>
  <c r="AE317" i="1"/>
  <c r="AE318" i="1" s="1"/>
  <c r="CF399" i="14"/>
  <c r="CG399" i="14"/>
  <c r="CG424" i="14"/>
  <c r="CF424" i="14"/>
  <c r="G99" i="27"/>
  <c r="AY423" i="14"/>
  <c r="AY439" i="14"/>
  <c r="AY432" i="14"/>
  <c r="AY429" i="14"/>
  <c r="AY445" i="14"/>
  <c r="AY440" i="14"/>
  <c r="AY430" i="14"/>
  <c r="AY446" i="14"/>
  <c r="AY431" i="14"/>
  <c r="AY437" i="14"/>
  <c r="AY419" i="14"/>
  <c r="AY425" i="14"/>
  <c r="AY426" i="14"/>
  <c r="G105" i="27"/>
  <c r="AY427" i="14"/>
  <c r="AY443" i="14"/>
  <c r="AY444" i="14"/>
  <c r="AY433" i="14"/>
  <c r="AY424" i="14"/>
  <c r="AY448" i="14"/>
  <c r="AY434" i="14"/>
  <c r="G48" i="27"/>
  <c r="AG6" i="27"/>
  <c r="AY421" i="14"/>
  <c r="AY422" i="14"/>
  <c r="AY447" i="14"/>
  <c r="AY428" i="14"/>
  <c r="AY438" i="14"/>
  <c r="AY435" i="14"/>
  <c r="AY420" i="14"/>
  <c r="AY441" i="14"/>
  <c r="AY436" i="14"/>
  <c r="AY442" i="14"/>
  <c r="CG464" i="14"/>
  <c r="CF464" i="14"/>
  <c r="CG458" i="14"/>
  <c r="CF458" i="14"/>
  <c r="CG391" i="14"/>
  <c r="CF391" i="14"/>
  <c r="CG417" i="14"/>
  <c r="CF417" i="14"/>
  <c r="CF402" i="14"/>
  <c r="CG402" i="14"/>
  <c r="CF415" i="14"/>
  <c r="CG415" i="14"/>
  <c r="CG396" i="14"/>
  <c r="CF396" i="14"/>
  <c r="K48" i="27"/>
  <c r="K99" i="27"/>
  <c r="K105" i="27"/>
  <c r="AK317" i="1"/>
  <c r="AK318" i="1" s="1"/>
  <c r="AY451" i="14"/>
  <c r="AY467" i="14"/>
  <c r="AY452" i="14"/>
  <c r="AY468" i="14"/>
  <c r="AY453" i="14"/>
  <c r="AY469" i="14"/>
  <c r="AY454" i="14"/>
  <c r="AY470" i="14"/>
  <c r="AG6" i="28"/>
  <c r="AY455" i="14"/>
  <c r="AY471" i="14"/>
  <c r="G105" i="28"/>
  <c r="AY459" i="14"/>
  <c r="AY475" i="14"/>
  <c r="AY460" i="14"/>
  <c r="AY476" i="14"/>
  <c r="AY461" i="14"/>
  <c r="AY477" i="14"/>
  <c r="AY462" i="14"/>
  <c r="AY478" i="14"/>
  <c r="AY463" i="14"/>
  <c r="AY479" i="14"/>
  <c r="AY449" i="14"/>
  <c r="AY450" i="14"/>
  <c r="G48" i="28"/>
  <c r="AY456" i="14"/>
  <c r="AY458" i="14"/>
  <c r="AY457" i="14"/>
  <c r="AY464" i="14"/>
  <c r="AY466" i="14"/>
  <c r="AY472" i="14"/>
  <c r="AY474" i="14"/>
  <c r="AY465" i="14"/>
  <c r="G99" i="28"/>
  <c r="AY473" i="14"/>
  <c r="CF447" i="14"/>
  <c r="CG447" i="14"/>
  <c r="CG474" i="14"/>
  <c r="CF474" i="14"/>
  <c r="CF401" i="14"/>
  <c r="CG401" i="14"/>
  <c r="CG460" i="14"/>
  <c r="CF460" i="14"/>
  <c r="CG395" i="14"/>
  <c r="CF395" i="14"/>
  <c r="CF475" i="14"/>
  <c r="CG475" i="14"/>
  <c r="CG408" i="14"/>
  <c r="CF408" i="14"/>
  <c r="AH388" i="14"/>
  <c r="AL388" i="14"/>
  <c r="K177" i="26"/>
  <c r="K170" i="26"/>
  <c r="K173" i="26"/>
  <c r="K179" i="26"/>
  <c r="K178" i="26"/>
  <c r="K174" i="26"/>
  <c r="K176" i="26"/>
  <c r="K175" i="26"/>
  <c r="K171" i="26"/>
  <c r="K172" i="26"/>
  <c r="CG459" i="14"/>
  <c r="CF459" i="14"/>
  <c r="H48" i="27"/>
  <c r="H105" i="27"/>
  <c r="H99" i="27"/>
  <c r="H48" i="28"/>
  <c r="H105" i="28"/>
  <c r="H99" i="28"/>
  <c r="CF472" i="14"/>
  <c r="CG472" i="14"/>
  <c r="CF397" i="14"/>
  <c r="CG397" i="14"/>
  <c r="CF405" i="14"/>
  <c r="CG405" i="14"/>
  <c r="CF393" i="14"/>
  <c r="CG393" i="14"/>
  <c r="CF443" i="14"/>
  <c r="CG443" i="14"/>
  <c r="CF425" i="14"/>
  <c r="CG425" i="14"/>
  <c r="CF430" i="14"/>
  <c r="CG430" i="14"/>
  <c r="N105" i="27"/>
  <c r="N48" i="27"/>
  <c r="N99" i="27"/>
  <c r="CF431" i="14"/>
  <c r="CG431" i="14"/>
  <c r="CG439" i="14"/>
  <c r="CF439" i="14"/>
  <c r="CG438" i="14"/>
  <c r="CF438" i="14"/>
  <c r="CF427" i="14"/>
  <c r="CG427" i="14"/>
  <c r="CF457" i="14"/>
  <c r="CG457" i="14"/>
  <c r="AE264" i="1"/>
  <c r="G105" i="26"/>
  <c r="AY395" i="14"/>
  <c r="AY411" i="14"/>
  <c r="AY401" i="14"/>
  <c r="AY417" i="14"/>
  <c r="AY414" i="14"/>
  <c r="G99" i="26"/>
  <c r="AY399" i="14"/>
  <c r="AY415" i="14"/>
  <c r="AY389" i="14"/>
  <c r="AY405" i="14"/>
  <c r="AY392" i="14"/>
  <c r="AY416" i="14"/>
  <c r="AY402" i="14"/>
  <c r="AY418" i="14"/>
  <c r="AG6" i="26"/>
  <c r="AY403" i="14"/>
  <c r="AY388" i="14"/>
  <c r="AY393" i="14"/>
  <c r="AY409" i="14"/>
  <c r="AY396" i="14"/>
  <c r="AY390" i="14"/>
  <c r="AY406" i="14"/>
  <c r="G48" i="26"/>
  <c r="AY391" i="14"/>
  <c r="AY407" i="14"/>
  <c r="AY400" i="14"/>
  <c r="AY397" i="14"/>
  <c r="AY413" i="14"/>
  <c r="AY404" i="14"/>
  <c r="AY394" i="14"/>
  <c r="AY410" i="14"/>
  <c r="AY408" i="14"/>
  <c r="AY412" i="14"/>
  <c r="AY398" i="14"/>
  <c r="AH264" i="1"/>
  <c r="G177" i="27"/>
  <c r="E180" i="27"/>
  <c r="G178" i="27"/>
  <c r="G173" i="27"/>
  <c r="G175" i="27"/>
  <c r="G170" i="27"/>
  <c r="G171" i="27"/>
  <c r="G174" i="27"/>
  <c r="G176" i="27"/>
  <c r="G179" i="27"/>
  <c r="G172" i="27"/>
  <c r="CG445" i="14"/>
  <c r="CF445" i="14"/>
  <c r="CG416" i="14"/>
  <c r="CF416" i="14"/>
  <c r="CF411" i="14"/>
  <c r="CG411" i="14"/>
  <c r="CG434" i="14"/>
  <c r="CF434" i="14"/>
  <c r="CG467" i="14"/>
  <c r="CF467" i="14"/>
  <c r="I179" i="26"/>
  <c r="I172" i="26"/>
  <c r="I178" i="26"/>
  <c r="I175" i="26"/>
  <c r="I177" i="26"/>
  <c r="I170" i="26"/>
  <c r="I176" i="26"/>
  <c r="I173" i="26"/>
  <c r="I174" i="26"/>
  <c r="I171" i="26"/>
  <c r="CF420" i="14"/>
  <c r="CG420" i="14"/>
  <c r="CG403" i="14"/>
  <c r="CF403" i="14"/>
  <c r="CG455" i="14"/>
  <c r="CF455" i="14"/>
  <c r="CG441" i="14"/>
  <c r="CF441" i="14"/>
  <c r="CF453" i="14"/>
  <c r="CG453" i="14"/>
  <c r="N105" i="26"/>
  <c r="N48" i="26"/>
  <c r="N99" i="26"/>
  <c r="H174" i="28"/>
  <c r="H171" i="28"/>
  <c r="H177" i="28"/>
  <c r="H170" i="28"/>
  <c r="H176" i="28"/>
  <c r="H179" i="28"/>
  <c r="H172" i="28"/>
  <c r="H178" i="28"/>
  <c r="H175" i="28"/>
  <c r="H173" i="28"/>
  <c r="CG407" i="14"/>
  <c r="CF407" i="14"/>
  <c r="CG466" i="14"/>
  <c r="CF466" i="14"/>
  <c r="H170" i="26"/>
  <c r="H176" i="26"/>
  <c r="H179" i="26"/>
  <c r="H172" i="26"/>
  <c r="H171" i="26"/>
  <c r="H178" i="26"/>
  <c r="H177" i="26"/>
  <c r="H173" i="26"/>
  <c r="H174" i="26"/>
  <c r="H175" i="26"/>
  <c r="O110" i="29"/>
  <c r="R5" i="29"/>
  <c r="R110" i="29" s="1"/>
  <c r="H65" i="14"/>
  <c r="H67" i="14"/>
  <c r="T26" i="14"/>
  <c r="Z27" i="14" s="1"/>
  <c r="H61" i="14"/>
  <c r="H63" i="14"/>
  <c r="H66" i="14"/>
  <c r="H64" i="14"/>
  <c r="T30" i="14"/>
  <c r="H62" i="14"/>
  <c r="T33" i="14"/>
  <c r="M5" i="29"/>
  <c r="K5" i="29"/>
  <c r="CF159" i="14"/>
  <c r="CG159" i="14"/>
  <c r="CF165" i="14"/>
  <c r="CG165" i="14"/>
  <c r="CG194" i="14"/>
  <c r="CF194" i="14"/>
  <c r="CG157" i="14"/>
  <c r="CF157" i="14"/>
  <c r="CF156" i="14"/>
  <c r="CG156" i="14"/>
  <c r="CF146" i="14"/>
  <c r="CG146" i="14"/>
  <c r="CG155" i="14"/>
  <c r="CF155" i="14"/>
  <c r="CF152" i="14"/>
  <c r="CG152" i="14"/>
  <c r="CG151" i="14"/>
  <c r="CF151" i="14"/>
  <c r="K105" i="18"/>
  <c r="K99" i="18"/>
  <c r="K48" i="18"/>
  <c r="CG199" i="14"/>
  <c r="CF199" i="14"/>
  <c r="CG178" i="14"/>
  <c r="CF178" i="14"/>
  <c r="CF166" i="14"/>
  <c r="CG166" i="14"/>
  <c r="G172" i="18"/>
  <c r="G178" i="18"/>
  <c r="E180" i="18"/>
  <c r="G179" i="18"/>
  <c r="G174" i="18"/>
  <c r="G177" i="18"/>
  <c r="G175" i="18"/>
  <c r="G170" i="18"/>
  <c r="G176" i="18"/>
  <c r="G171" i="18"/>
  <c r="G173" i="18"/>
  <c r="G99" i="18"/>
  <c r="AY156" i="14"/>
  <c r="AY172" i="14"/>
  <c r="AY157" i="14"/>
  <c r="AY146" i="14"/>
  <c r="AY162" i="14"/>
  <c r="AY167" i="14"/>
  <c r="AY147" i="14"/>
  <c r="AG6" i="18"/>
  <c r="AY160" i="14"/>
  <c r="AY145" i="14"/>
  <c r="AY161" i="14"/>
  <c r="AY150" i="14"/>
  <c r="AY166" i="14"/>
  <c r="AY155" i="14"/>
  <c r="AY173" i="14"/>
  <c r="G105" i="18"/>
  <c r="AY152" i="14"/>
  <c r="AY153" i="14"/>
  <c r="AY169" i="14"/>
  <c r="AY158" i="14"/>
  <c r="AY159" i="14"/>
  <c r="G48" i="18"/>
  <c r="AY148" i="14"/>
  <c r="AY164" i="14"/>
  <c r="AY149" i="14"/>
  <c r="AY165" i="14"/>
  <c r="AY154" i="14"/>
  <c r="AY170" i="14"/>
  <c r="AY171" i="14"/>
  <c r="AY163" i="14"/>
  <c r="AY168" i="14"/>
  <c r="AY151" i="14"/>
  <c r="CG168" i="14"/>
  <c r="CF168" i="14"/>
  <c r="CG158" i="14"/>
  <c r="CF158" i="14"/>
  <c r="J300" i="1"/>
  <c r="M300" i="1" s="1"/>
  <c r="P300" i="1" s="1"/>
  <c r="S300" i="1" s="1"/>
  <c r="V300" i="1" s="1"/>
  <c r="Y300" i="1" s="1"/>
  <c r="AB300" i="1" s="1"/>
  <c r="AE300" i="1" s="1"/>
  <c r="AH300" i="1" s="1"/>
  <c r="AK300" i="1" s="1"/>
  <c r="CG160" i="14"/>
  <c r="CF160" i="14"/>
  <c r="CF182" i="14"/>
  <c r="CG182" i="14"/>
  <c r="H179" i="18"/>
  <c r="H172" i="18"/>
  <c r="H178" i="18"/>
  <c r="H175" i="18"/>
  <c r="H177" i="18"/>
  <c r="H174" i="18"/>
  <c r="H171" i="18"/>
  <c r="H173" i="18"/>
  <c r="H170" i="18"/>
  <c r="H176" i="18"/>
  <c r="CF202" i="14"/>
  <c r="CG202" i="14"/>
  <c r="H99" i="19"/>
  <c r="H48" i="19"/>
  <c r="H105" i="19"/>
  <c r="CG175" i="14"/>
  <c r="CF175" i="14"/>
  <c r="K173" i="18"/>
  <c r="K179" i="18"/>
  <c r="K177" i="18"/>
  <c r="K170" i="18"/>
  <c r="K176" i="18"/>
  <c r="K178" i="18"/>
  <c r="K171" i="18"/>
  <c r="K172" i="18"/>
  <c r="K174" i="18"/>
  <c r="K175" i="18"/>
  <c r="CG188" i="14"/>
  <c r="CF188" i="14"/>
  <c r="CF169" i="14"/>
  <c r="CG169" i="14"/>
  <c r="K170" i="19"/>
  <c r="K176" i="19"/>
  <c r="K171" i="19"/>
  <c r="K179" i="19"/>
  <c r="K172" i="19"/>
  <c r="K174" i="19"/>
  <c r="K177" i="19"/>
  <c r="K178" i="19"/>
  <c r="K175" i="19"/>
  <c r="K173" i="19"/>
  <c r="CF185" i="14"/>
  <c r="CG185" i="14"/>
  <c r="CG195" i="14"/>
  <c r="CF195" i="14"/>
  <c r="CG176" i="14"/>
  <c r="CF176" i="14"/>
  <c r="I174" i="19"/>
  <c r="I171" i="19"/>
  <c r="I177" i="19"/>
  <c r="I170" i="19"/>
  <c r="I176" i="19"/>
  <c r="I173" i="19"/>
  <c r="I179" i="19"/>
  <c r="I172" i="19"/>
  <c r="I178" i="19"/>
  <c r="I175" i="19"/>
  <c r="CF203" i="14"/>
  <c r="CG203" i="14"/>
  <c r="CG171" i="14"/>
  <c r="CF171" i="14"/>
  <c r="CF180" i="14"/>
  <c r="CG180" i="14"/>
  <c r="P269" i="1"/>
  <c r="T272" i="1"/>
  <c r="N7" i="19" s="1"/>
  <c r="N39" i="19" s="1"/>
  <c r="T269" i="1"/>
  <c r="P272" i="1"/>
  <c r="G298" i="1"/>
  <c r="J298" i="1" s="1"/>
  <c r="T271" i="1"/>
  <c r="K7" i="19" s="1"/>
  <c r="K39" i="19" s="1"/>
  <c r="T270" i="1"/>
  <c r="H7" i="19" s="1"/>
  <c r="H39" i="19" s="1"/>
  <c r="G264" i="1"/>
  <c r="G265" i="1" s="1"/>
  <c r="P271" i="1"/>
  <c r="P270" i="1"/>
  <c r="CG186" i="14"/>
  <c r="CF186" i="14"/>
  <c r="CF200" i="14"/>
  <c r="CG200" i="14"/>
  <c r="AU269" i="1"/>
  <c r="J301" i="1"/>
  <c r="M301" i="1" s="1"/>
  <c r="P301" i="1" s="1"/>
  <c r="S301" i="1" s="1"/>
  <c r="V301" i="1" s="1"/>
  <c r="Y301" i="1" s="1"/>
  <c r="AB301" i="1" s="1"/>
  <c r="AE301" i="1" s="1"/>
  <c r="AH301" i="1" s="1"/>
  <c r="AK301" i="1" s="1"/>
  <c r="J317" i="1"/>
  <c r="J318" i="1" s="1"/>
  <c r="CG181" i="14"/>
  <c r="CF181" i="14"/>
  <c r="H105" i="18"/>
  <c r="H48" i="18"/>
  <c r="H99" i="18"/>
  <c r="CF154" i="14"/>
  <c r="CG154" i="14"/>
  <c r="CG177" i="14"/>
  <c r="CF177" i="14"/>
  <c r="CF161" i="14"/>
  <c r="CG161" i="14"/>
  <c r="CF198" i="14"/>
  <c r="CG198" i="14"/>
  <c r="CF191" i="14"/>
  <c r="CG191" i="14"/>
  <c r="AL145" i="14"/>
  <c r="AH145" i="14"/>
  <c r="N99" i="18"/>
  <c r="N48" i="18"/>
  <c r="N105" i="18"/>
  <c r="CF150" i="14"/>
  <c r="CG150" i="14"/>
  <c r="CG183" i="14"/>
  <c r="CF183" i="14"/>
  <c r="N48" i="19"/>
  <c r="N99" i="19"/>
  <c r="N105" i="19"/>
  <c r="CF153" i="14"/>
  <c r="CG153" i="14"/>
  <c r="CG204" i="14"/>
  <c r="CF204" i="14"/>
  <c r="CF148" i="14"/>
  <c r="CG148" i="14"/>
  <c r="CF163" i="14"/>
  <c r="CG163" i="14"/>
  <c r="CG167" i="14"/>
  <c r="CF167" i="14"/>
  <c r="CG164" i="14"/>
  <c r="CF164" i="14"/>
  <c r="CG149" i="14"/>
  <c r="CF149" i="14"/>
  <c r="CG162" i="14"/>
  <c r="CF162" i="14"/>
  <c r="CG147" i="14"/>
  <c r="CF147" i="14"/>
  <c r="CG172" i="14"/>
  <c r="CF172" i="14"/>
  <c r="AL174" i="14"/>
  <c r="AH174" i="14"/>
  <c r="G174" i="19"/>
  <c r="G173" i="19"/>
  <c r="G179" i="19"/>
  <c r="G177" i="19"/>
  <c r="G175" i="19"/>
  <c r="G170" i="19"/>
  <c r="G176" i="19"/>
  <c r="G171" i="19"/>
  <c r="E180" i="19"/>
  <c r="G172" i="19"/>
  <c r="G178" i="19"/>
  <c r="G99" i="19"/>
  <c r="AY185" i="14"/>
  <c r="AY201" i="14"/>
  <c r="AY186" i="14"/>
  <c r="AY175" i="14"/>
  <c r="AY191" i="14"/>
  <c r="AY200" i="14"/>
  <c r="AY180" i="14"/>
  <c r="AY204" i="14"/>
  <c r="G105" i="19"/>
  <c r="AY189" i="14"/>
  <c r="AY174" i="14"/>
  <c r="AY190" i="14"/>
  <c r="AY179" i="14"/>
  <c r="AY195" i="14"/>
  <c r="AY188" i="14"/>
  <c r="AY202" i="14"/>
  <c r="G48" i="19"/>
  <c r="AY177" i="14"/>
  <c r="AY193" i="14"/>
  <c r="AY178" i="14"/>
  <c r="AY194" i="14"/>
  <c r="AY183" i="14"/>
  <c r="AY199" i="14"/>
  <c r="AY176" i="14"/>
  <c r="AY203" i="14"/>
  <c r="AY182" i="14"/>
  <c r="AY192" i="14"/>
  <c r="AG6" i="19"/>
  <c r="AY198" i="14"/>
  <c r="AY196" i="14"/>
  <c r="AY184" i="14"/>
  <c r="AY181" i="14"/>
  <c r="AY187" i="14"/>
  <c r="AY197" i="14"/>
  <c r="CG187" i="14"/>
  <c r="CF187" i="14"/>
  <c r="CG184" i="14"/>
  <c r="CF184" i="14"/>
  <c r="CF170" i="14"/>
  <c r="CG170" i="14"/>
  <c r="CF192" i="14"/>
  <c r="CG192" i="14"/>
  <c r="CF193" i="14"/>
  <c r="CG193" i="14"/>
  <c r="CG196" i="14"/>
  <c r="CF196" i="14"/>
  <c r="CG197" i="14"/>
  <c r="CF197" i="14"/>
  <c r="CG201" i="14"/>
  <c r="CF201" i="14"/>
  <c r="CF179" i="14"/>
  <c r="CG179" i="14"/>
  <c r="I175" i="18"/>
  <c r="I177" i="18"/>
  <c r="I170" i="18"/>
  <c r="I171" i="18"/>
  <c r="I173" i="18"/>
  <c r="I178" i="18"/>
  <c r="I176" i="18"/>
  <c r="I174" i="18"/>
  <c r="I179" i="18"/>
  <c r="I172" i="18"/>
  <c r="D110" i="29"/>
  <c r="F5" i="29"/>
  <c r="F110" i="29" s="1"/>
  <c r="CG189" i="14"/>
  <c r="CF189" i="14"/>
  <c r="K99" i="19"/>
  <c r="K105" i="19"/>
  <c r="K48" i="19"/>
  <c r="CF190" i="14"/>
  <c r="CG190" i="14"/>
  <c r="G317" i="1"/>
  <c r="G318" i="1" s="1"/>
  <c r="G319" i="1" s="1"/>
  <c r="AQ269" i="1"/>
  <c r="AQ270" i="1"/>
  <c r="AU270" i="1"/>
  <c r="H7" i="22" s="1"/>
  <c r="H39" i="22" s="1"/>
  <c r="AZ271" i="1"/>
  <c r="AZ269" i="1"/>
  <c r="Y269" i="1"/>
  <c r="Y272" i="1"/>
  <c r="AH271" i="1"/>
  <c r="AH272" i="1"/>
  <c r="AQ272" i="1"/>
  <c r="AQ271" i="1"/>
  <c r="B279" i="1"/>
  <c r="N7" i="23" s="1"/>
  <c r="N39" i="23" s="1"/>
  <c r="J264" i="1"/>
  <c r="Y271" i="1"/>
  <c r="AC271" i="1"/>
  <c r="K7" i="20" s="1"/>
  <c r="K39" i="20" s="1"/>
  <c r="AH269" i="1"/>
  <c r="AL271" i="1"/>
  <c r="K7" i="21" s="1"/>
  <c r="K39" i="21" s="1"/>
  <c r="AZ272" i="1"/>
  <c r="AZ270" i="1"/>
  <c r="B276" i="1"/>
  <c r="AU272" i="1"/>
  <c r="N7" i="22" s="1"/>
  <c r="N39" i="22" s="1"/>
  <c r="B277" i="1"/>
  <c r="H7" i="23" s="1"/>
  <c r="H39" i="23" s="1"/>
  <c r="Y270" i="1"/>
  <c r="AC272" i="1"/>
  <c r="N7" i="20" s="1"/>
  <c r="N39" i="20" s="1"/>
  <c r="AH270" i="1"/>
  <c r="AL272" i="1"/>
  <c r="N7" i="21" s="1"/>
  <c r="N39" i="21" s="1"/>
  <c r="AU271" i="1"/>
  <c r="K7" i="22" s="1"/>
  <c r="K39" i="22" s="1"/>
  <c r="B278" i="1"/>
  <c r="K7" i="23" s="1"/>
  <c r="K39" i="23" s="1"/>
  <c r="AC270" i="1"/>
  <c r="H7" i="20" s="1"/>
  <c r="H39" i="20" s="1"/>
  <c r="AL269" i="1"/>
  <c r="AC269" i="1"/>
  <c r="AL270" i="1"/>
  <c r="H7" i="21" s="1"/>
  <c r="H39" i="21" s="1"/>
  <c r="J299" i="1"/>
  <c r="M299" i="1" s="1"/>
  <c r="P299" i="1" s="1"/>
  <c r="S299" i="1" s="1"/>
  <c r="V299" i="1" s="1"/>
  <c r="Y299" i="1" s="1"/>
  <c r="AB299" i="1" s="1"/>
  <c r="AE299" i="1" s="1"/>
  <c r="AH299" i="1" s="1"/>
  <c r="AK299" i="1" s="1"/>
  <c r="H176" i="19"/>
  <c r="H178" i="19"/>
  <c r="H171" i="19"/>
  <c r="H172" i="19"/>
  <c r="H174" i="19"/>
  <c r="H175" i="19"/>
  <c r="H173" i="19"/>
  <c r="H177" i="19"/>
  <c r="H170" i="19"/>
  <c r="H179" i="19"/>
  <c r="E110" i="29"/>
  <c r="CG322" i="14"/>
  <c r="CF322" i="14"/>
  <c r="CG318" i="14"/>
  <c r="CF318" i="14"/>
  <c r="CG373" i="14"/>
  <c r="CF373" i="14"/>
  <c r="CG303" i="14"/>
  <c r="CF303" i="14"/>
  <c r="CG347" i="14"/>
  <c r="CF347" i="14"/>
  <c r="CG386" i="14"/>
  <c r="CF386" i="14"/>
  <c r="CG316" i="14"/>
  <c r="CF316" i="14"/>
  <c r="CG371" i="14"/>
  <c r="CF371" i="14"/>
  <c r="CG367" i="14"/>
  <c r="CF367" i="14"/>
  <c r="CG362" i="14"/>
  <c r="CF362" i="14"/>
  <c r="AH327" i="14"/>
  <c r="AL327" i="14"/>
  <c r="Y264" i="1"/>
  <c r="T276" i="1"/>
  <c r="P278" i="1"/>
  <c r="P276" i="1"/>
  <c r="P279" i="1"/>
  <c r="T279" i="1"/>
  <c r="N7" i="25" s="1"/>
  <c r="N39" i="25" s="1"/>
  <c r="T277" i="1"/>
  <c r="H7" i="25" s="1"/>
  <c r="H39" i="25" s="1"/>
  <c r="P277" i="1"/>
  <c r="T278" i="1"/>
  <c r="K7" i="25" s="1"/>
  <c r="K39" i="25" s="1"/>
  <c r="G105" i="24"/>
  <c r="G99" i="24"/>
  <c r="AG6" i="24"/>
  <c r="AY330" i="14"/>
  <c r="AY334" i="14"/>
  <c r="AY338" i="14"/>
  <c r="AY342" i="14"/>
  <c r="AY346" i="14"/>
  <c r="AY350" i="14"/>
  <c r="AY354" i="14"/>
  <c r="AY327" i="14"/>
  <c r="AY331" i="14"/>
  <c r="AY335" i="14"/>
  <c r="AY339" i="14"/>
  <c r="AY343" i="14"/>
  <c r="AY347" i="14"/>
  <c r="AY351" i="14"/>
  <c r="AY328" i="14"/>
  <c r="AY332" i="14"/>
  <c r="AY336" i="14"/>
  <c r="AY340" i="14"/>
  <c r="AY344" i="14"/>
  <c r="AY348" i="14"/>
  <c r="AY352" i="14"/>
  <c r="AY341" i="14"/>
  <c r="AY329" i="14"/>
  <c r="AY345" i="14"/>
  <c r="AY333" i="14"/>
  <c r="AY349" i="14"/>
  <c r="AY355" i="14"/>
  <c r="AY353" i="14"/>
  <c r="AY357" i="14"/>
  <c r="AY337" i="14"/>
  <c r="AY356" i="14"/>
  <c r="G48" i="24"/>
  <c r="L110" i="29"/>
  <c r="CG323" i="14"/>
  <c r="CF323" i="14"/>
  <c r="CG312" i="14"/>
  <c r="CF312" i="14"/>
  <c r="CG357" i="14"/>
  <c r="CF357" i="14"/>
  <c r="CG352" i="14"/>
  <c r="CF352" i="14"/>
  <c r="CG341" i="14"/>
  <c r="CF341" i="14"/>
  <c r="CG324" i="14"/>
  <c r="CF324" i="14"/>
  <c r="CG311" i="14"/>
  <c r="CF311" i="14"/>
  <c r="CG353" i="14"/>
  <c r="CF353" i="14"/>
  <c r="CG300" i="14"/>
  <c r="CF300" i="14"/>
  <c r="CG360" i="14"/>
  <c r="CF360" i="14"/>
  <c r="H178" i="24"/>
  <c r="H174" i="24"/>
  <c r="H170" i="24"/>
  <c r="H179" i="24"/>
  <c r="H175" i="24"/>
  <c r="H171" i="24"/>
  <c r="H176" i="24"/>
  <c r="H172" i="24"/>
  <c r="H173" i="24"/>
  <c r="H177" i="24"/>
  <c r="G178" i="25"/>
  <c r="G174" i="25"/>
  <c r="G170" i="25"/>
  <c r="G177" i="25"/>
  <c r="G173" i="25"/>
  <c r="G176" i="25"/>
  <c r="G172" i="25"/>
  <c r="E180" i="25"/>
  <c r="G179" i="25"/>
  <c r="G175" i="25"/>
  <c r="G171" i="25"/>
  <c r="AG6" i="23"/>
  <c r="G99" i="23"/>
  <c r="G105" i="23"/>
  <c r="AY299" i="14"/>
  <c r="AY303" i="14"/>
  <c r="AY307" i="14"/>
  <c r="AY311" i="14"/>
  <c r="AY315" i="14"/>
  <c r="AY319" i="14"/>
  <c r="AY323" i="14"/>
  <c r="AY296" i="14"/>
  <c r="AY300" i="14"/>
  <c r="AY304" i="14"/>
  <c r="AY308" i="14"/>
  <c r="AY312" i="14"/>
  <c r="AY316" i="14"/>
  <c r="AY320" i="14"/>
  <c r="AY297" i="14"/>
  <c r="AY301" i="14"/>
  <c r="AY305" i="14"/>
  <c r="AY309" i="14"/>
  <c r="AY313" i="14"/>
  <c r="AY317" i="14"/>
  <c r="AY321" i="14"/>
  <c r="AY306" i="14"/>
  <c r="AY322" i="14"/>
  <c r="AY310" i="14"/>
  <c r="AY298" i="14"/>
  <c r="AY314" i="14"/>
  <c r="AY318" i="14"/>
  <c r="AY325" i="14"/>
  <c r="AY324" i="14"/>
  <c r="AY302" i="14"/>
  <c r="AY326" i="14"/>
  <c r="G48" i="23"/>
  <c r="K176" i="24"/>
  <c r="K172" i="24"/>
  <c r="K177" i="24"/>
  <c r="K173" i="24"/>
  <c r="K178" i="24"/>
  <c r="K174" i="24"/>
  <c r="K170" i="24"/>
  <c r="K175" i="24"/>
  <c r="K179" i="24"/>
  <c r="K171" i="24"/>
  <c r="CG338" i="14"/>
  <c r="CF338" i="14"/>
  <c r="CG336" i="14"/>
  <c r="CF336" i="14"/>
  <c r="I177" i="25"/>
  <c r="I173" i="25"/>
  <c r="I178" i="25"/>
  <c r="I174" i="25"/>
  <c r="I170" i="25"/>
  <c r="I179" i="25"/>
  <c r="I175" i="25"/>
  <c r="I171" i="25"/>
  <c r="I172" i="25"/>
  <c r="I176" i="25"/>
  <c r="CG326" i="14"/>
  <c r="CF326" i="14"/>
  <c r="CG377" i="14"/>
  <c r="CF377" i="14"/>
  <c r="CG309" i="14"/>
  <c r="CF309" i="14"/>
  <c r="CG305" i="14"/>
  <c r="CF305" i="14"/>
  <c r="CG299" i="14"/>
  <c r="CF299" i="14"/>
  <c r="CG328" i="14"/>
  <c r="CF328" i="14"/>
  <c r="H105" i="23"/>
  <c r="H99" i="23"/>
  <c r="H48" i="23"/>
  <c r="CG321" i="14"/>
  <c r="CF321" i="14"/>
  <c r="CG356" i="14"/>
  <c r="CF356" i="14"/>
  <c r="CG302" i="14"/>
  <c r="CF302" i="14"/>
  <c r="CG333" i="14"/>
  <c r="CF333" i="14"/>
  <c r="CG332" i="14"/>
  <c r="CF332" i="14"/>
  <c r="H176" i="25"/>
  <c r="H172" i="25"/>
  <c r="H177" i="25"/>
  <c r="H173" i="25"/>
  <c r="H178" i="25"/>
  <c r="H174" i="25"/>
  <c r="H170" i="25"/>
  <c r="H175" i="25"/>
  <c r="H179" i="25"/>
  <c r="H171" i="25"/>
  <c r="I177" i="23"/>
  <c r="I173" i="23"/>
  <c r="I178" i="23"/>
  <c r="I174" i="23"/>
  <c r="I170" i="23"/>
  <c r="I179" i="23"/>
  <c r="I175" i="23"/>
  <c r="I171" i="23"/>
  <c r="I176" i="23"/>
  <c r="I172" i="23"/>
  <c r="CG320" i="14"/>
  <c r="CF320" i="14"/>
  <c r="CG378" i="14"/>
  <c r="CF378" i="14"/>
  <c r="CG372" i="14"/>
  <c r="CF372" i="14"/>
  <c r="CG364" i="14"/>
  <c r="CF364" i="14"/>
  <c r="CG344" i="14"/>
  <c r="CF344" i="14"/>
  <c r="CG385" i="14"/>
  <c r="CF385" i="14"/>
  <c r="CG381" i="14"/>
  <c r="CF381" i="14"/>
  <c r="CG307" i="14"/>
  <c r="CF307" i="14"/>
  <c r="CG365" i="14"/>
  <c r="CF365" i="14"/>
  <c r="CG349" i="14"/>
  <c r="CF349" i="14"/>
  <c r="K99" i="24"/>
  <c r="K105" i="24"/>
  <c r="K48" i="24"/>
  <c r="CG298" i="14"/>
  <c r="CF298" i="14"/>
  <c r="CG343" i="14"/>
  <c r="CF343" i="14"/>
  <c r="AH358" i="14"/>
  <c r="AL358" i="14"/>
  <c r="N105" i="25"/>
  <c r="N99" i="25"/>
  <c r="N48" i="25"/>
  <c r="N99" i="23"/>
  <c r="N105" i="23"/>
  <c r="N48" i="23"/>
  <c r="AN260" i="1"/>
  <c r="V264" i="1"/>
  <c r="K278" i="1"/>
  <c r="K7" i="24" s="1"/>
  <c r="K39" i="24" s="1"/>
  <c r="K276" i="1"/>
  <c r="G276" i="1"/>
  <c r="G278" i="1"/>
  <c r="K279" i="1"/>
  <c r="N7" i="24" s="1"/>
  <c r="N39" i="24" s="1"/>
  <c r="K277" i="1"/>
  <c r="H7" i="24" s="1"/>
  <c r="H39" i="24" s="1"/>
  <c r="G277" i="1"/>
  <c r="G279" i="1"/>
  <c r="AN257" i="1"/>
  <c r="J16" i="30" s="1"/>
  <c r="V317" i="1"/>
  <c r="CG382" i="14"/>
  <c r="CF382" i="14"/>
  <c r="CG314" i="14"/>
  <c r="CF314" i="14"/>
  <c r="CG306" i="14"/>
  <c r="CF306" i="14"/>
  <c r="CG359" i="14"/>
  <c r="CF359" i="14"/>
  <c r="CG335" i="14"/>
  <c r="CF335" i="14"/>
  <c r="CG383" i="14"/>
  <c r="CF383" i="14"/>
  <c r="CG376" i="14"/>
  <c r="CF376" i="14"/>
  <c r="CG354" i="14"/>
  <c r="CF354" i="14"/>
  <c r="CG351" i="14"/>
  <c r="CF351" i="14"/>
  <c r="N99" i="24"/>
  <c r="N105" i="24"/>
  <c r="N48" i="24"/>
  <c r="Y317" i="1"/>
  <c r="Y318" i="1" s="1"/>
  <c r="K178" i="25"/>
  <c r="K174" i="25"/>
  <c r="K170" i="25"/>
  <c r="K179" i="25"/>
  <c r="K175" i="25"/>
  <c r="K171" i="25"/>
  <c r="K176" i="25"/>
  <c r="K172" i="25"/>
  <c r="K177" i="25"/>
  <c r="K173" i="25"/>
  <c r="CG387" i="14"/>
  <c r="CF387" i="14"/>
  <c r="CG379" i="14"/>
  <c r="CF379" i="14"/>
  <c r="CG370" i="14"/>
  <c r="CF370" i="14"/>
  <c r="CG355" i="14"/>
  <c r="CF355" i="14"/>
  <c r="CG350" i="14"/>
  <c r="CF350" i="14"/>
  <c r="CG361" i="14"/>
  <c r="CF361" i="14"/>
  <c r="AH296" i="14"/>
  <c r="AL296" i="14"/>
  <c r="CG380" i="14"/>
  <c r="CF380" i="14"/>
  <c r="CG369" i="14"/>
  <c r="CF369" i="14"/>
  <c r="CG348" i="14"/>
  <c r="CF348" i="14"/>
  <c r="CG337" i="14"/>
  <c r="CF337" i="14"/>
  <c r="CG339" i="14"/>
  <c r="CF339" i="14"/>
  <c r="H105" i="24"/>
  <c r="H99" i="24"/>
  <c r="H48" i="24"/>
  <c r="G99" i="25"/>
  <c r="G105" i="25"/>
  <c r="AG6" i="25"/>
  <c r="AY361" i="14"/>
  <c r="AY365" i="14"/>
  <c r="AY369" i="14"/>
  <c r="AY373" i="14"/>
  <c r="AY377" i="14"/>
  <c r="AY381" i="14"/>
  <c r="AY385" i="14"/>
  <c r="AY358" i="14"/>
  <c r="AY362" i="14"/>
  <c r="AY366" i="14"/>
  <c r="AY370" i="14"/>
  <c r="AY374" i="14"/>
  <c r="AY378" i="14"/>
  <c r="AY382" i="14"/>
  <c r="AY359" i="14"/>
  <c r="AY363" i="14"/>
  <c r="AY367" i="14"/>
  <c r="AY371" i="14"/>
  <c r="AY375" i="14"/>
  <c r="AY379" i="14"/>
  <c r="AY383" i="14"/>
  <c r="AY360" i="14"/>
  <c r="AY376" i="14"/>
  <c r="AY364" i="14"/>
  <c r="AY380" i="14"/>
  <c r="AY368" i="14"/>
  <c r="AY384" i="14"/>
  <c r="AY387" i="14"/>
  <c r="AY372" i="14"/>
  <c r="AY386" i="14"/>
  <c r="G48" i="25"/>
  <c r="G178" i="23"/>
  <c r="G174" i="23"/>
  <c r="G170" i="23"/>
  <c r="E180" i="23"/>
  <c r="G177" i="23"/>
  <c r="G173" i="23"/>
  <c r="G176" i="23"/>
  <c r="G172" i="23"/>
  <c r="G175" i="23"/>
  <c r="G171" i="23"/>
  <c r="G179" i="23"/>
  <c r="CG331" i="14"/>
  <c r="CF331" i="14"/>
  <c r="CG345" i="14"/>
  <c r="CF345" i="14"/>
  <c r="K105" i="25"/>
  <c r="K99" i="25"/>
  <c r="K48" i="25"/>
  <c r="CG384" i="14"/>
  <c r="CF384" i="14"/>
  <c r="CG313" i="14"/>
  <c r="CF313" i="14"/>
  <c r="CG308" i="14"/>
  <c r="CF308" i="14"/>
  <c r="CG366" i="14"/>
  <c r="CF366" i="14"/>
  <c r="CG346" i="14"/>
  <c r="CF346" i="14"/>
  <c r="H176" i="23"/>
  <c r="H172" i="23"/>
  <c r="H177" i="23"/>
  <c r="H173" i="23"/>
  <c r="H178" i="23"/>
  <c r="H174" i="23"/>
  <c r="H170" i="23"/>
  <c r="H171" i="23"/>
  <c r="H179" i="23"/>
  <c r="H175" i="23"/>
  <c r="CG330" i="14"/>
  <c r="CF330" i="14"/>
  <c r="CG375" i="14"/>
  <c r="CF375" i="14"/>
  <c r="CG310" i="14"/>
  <c r="CF310" i="14"/>
  <c r="CG363" i="14"/>
  <c r="CF363" i="14"/>
  <c r="CG297" i="14"/>
  <c r="CF297" i="14"/>
  <c r="CG340" i="14"/>
  <c r="CF340" i="14"/>
  <c r="G176" i="24"/>
  <c r="G172" i="24"/>
  <c r="G179" i="24"/>
  <c r="G175" i="24"/>
  <c r="G171" i="24"/>
  <c r="E180" i="24"/>
  <c r="G178" i="24"/>
  <c r="G174" i="24"/>
  <c r="G170" i="24"/>
  <c r="G177" i="24"/>
  <c r="G173" i="24"/>
  <c r="H105" i="25"/>
  <c r="H99" i="25"/>
  <c r="H48" i="25"/>
  <c r="K99" i="23"/>
  <c r="K105" i="23"/>
  <c r="K48" i="23"/>
  <c r="CG319" i="14"/>
  <c r="CF319" i="14"/>
  <c r="CG315" i="14"/>
  <c r="CF315" i="14"/>
  <c r="CG368" i="14"/>
  <c r="CF368" i="14"/>
  <c r="CG334" i="14"/>
  <c r="CF334" i="14"/>
  <c r="CG325" i="14"/>
  <c r="CF325" i="14"/>
  <c r="CG317" i="14"/>
  <c r="CF317" i="14"/>
  <c r="CG374" i="14"/>
  <c r="CF374" i="14"/>
  <c r="CG304" i="14"/>
  <c r="CF304" i="14"/>
  <c r="CG301" i="14"/>
  <c r="CF301" i="14"/>
  <c r="I179" i="24"/>
  <c r="I175" i="24"/>
  <c r="I171" i="24"/>
  <c r="I176" i="24"/>
  <c r="I172" i="24"/>
  <c r="I177" i="24"/>
  <c r="I173" i="24"/>
  <c r="I170" i="24"/>
  <c r="I178" i="24"/>
  <c r="I174" i="24"/>
  <c r="CG342" i="14"/>
  <c r="CF342" i="14"/>
  <c r="CG329" i="14"/>
  <c r="CF329" i="14"/>
  <c r="K178" i="23"/>
  <c r="K174" i="23"/>
  <c r="K170" i="23"/>
  <c r="K179" i="23"/>
  <c r="K175" i="23"/>
  <c r="K171" i="23"/>
  <c r="K176" i="23"/>
  <c r="K172" i="23"/>
  <c r="K173" i="23"/>
  <c r="K177" i="23"/>
  <c r="AB264" i="1"/>
  <c r="Y276" i="1"/>
  <c r="AC276" i="1"/>
  <c r="Y278" i="1"/>
  <c r="Y279" i="1"/>
  <c r="AC277" i="1"/>
  <c r="H7" i="26" s="1"/>
  <c r="H39" i="26" s="1"/>
  <c r="AC278" i="1"/>
  <c r="K7" i="26" s="1"/>
  <c r="K39" i="26" s="1"/>
  <c r="AC279" i="1"/>
  <c r="N7" i="26" s="1"/>
  <c r="N39" i="26" s="1"/>
  <c r="Y277" i="1"/>
  <c r="AZ279" i="1"/>
  <c r="AZ276" i="1"/>
  <c r="AZ278" i="1"/>
  <c r="AZ277" i="1"/>
  <c r="AH278" i="1"/>
  <c r="AH277" i="1"/>
  <c r="AQ277" i="1"/>
  <c r="AQ279" i="1"/>
  <c r="AL276" i="1"/>
  <c r="AL279" i="1"/>
  <c r="N7" i="27" s="1"/>
  <c r="N39" i="27" s="1"/>
  <c r="AQ278" i="1"/>
  <c r="AU278" i="1"/>
  <c r="K7" i="28" s="1"/>
  <c r="K39" i="28" s="1"/>
  <c r="AH276" i="1"/>
  <c r="AL277" i="1"/>
  <c r="H7" i="27" s="1"/>
  <c r="H39" i="27" s="1"/>
  <c r="AU279" i="1"/>
  <c r="N7" i="28" s="1"/>
  <c r="N39" i="28" s="1"/>
  <c r="AU277" i="1"/>
  <c r="H7" i="28" s="1"/>
  <c r="H39" i="28" s="1"/>
  <c r="AL278" i="1"/>
  <c r="K7" i="27" s="1"/>
  <c r="K39" i="27" s="1"/>
  <c r="AH279" i="1"/>
  <c r="AU276" i="1"/>
  <c r="AQ276" i="1"/>
  <c r="AB317" i="1"/>
  <c r="AB318" i="1" s="1"/>
  <c r="AN258" i="1"/>
  <c r="AN259" i="1"/>
  <c r="J265" i="1" l="1"/>
  <c r="E89" i="15"/>
  <c r="AF89" i="15" s="1"/>
  <c r="H89" i="15"/>
  <c r="AE89" i="15"/>
  <c r="E48" i="24"/>
  <c r="E48" i="18"/>
  <c r="J150" i="27"/>
  <c r="E88" i="15"/>
  <c r="V16" i="30"/>
  <c r="N111" i="30" s="1"/>
  <c r="R16" i="30"/>
  <c r="K111" i="30" s="1"/>
  <c r="N16" i="30"/>
  <c r="H111" i="30" s="1"/>
  <c r="E48" i="25"/>
  <c r="E48" i="27"/>
  <c r="J364" i="1"/>
  <c r="E18" i="29"/>
  <c r="E20" i="29" s="1"/>
  <c r="E19" i="29" s="1"/>
  <c r="AK364" i="1"/>
  <c r="Q18" i="29"/>
  <c r="Q20" i="29" s="1"/>
  <c r="Q19" i="29" s="1"/>
  <c r="V364" i="1"/>
  <c r="K18" i="29"/>
  <c r="Y364" i="1"/>
  <c r="L18" i="29"/>
  <c r="L20" i="29" s="1"/>
  <c r="L19" i="29" s="1"/>
  <c r="E91" i="15"/>
  <c r="E23" i="15"/>
  <c r="E48" i="23"/>
  <c r="E92" i="15"/>
  <c r="E111" i="30"/>
  <c r="E48" i="19"/>
  <c r="E48" i="26"/>
  <c r="E48" i="28"/>
  <c r="AE364" i="1"/>
  <c r="O18" i="29"/>
  <c r="AB364" i="1"/>
  <c r="M18" i="29"/>
  <c r="M20" i="29" s="1"/>
  <c r="M19" i="29" s="1"/>
  <c r="D20" i="29"/>
  <c r="F18" i="29"/>
  <c r="AH364" i="1"/>
  <c r="P18" i="29"/>
  <c r="P20" i="29" s="1"/>
  <c r="P19" i="29" s="1"/>
  <c r="E90" i="15"/>
  <c r="E22" i="15"/>
  <c r="O107" i="29"/>
  <c r="AE348" i="1"/>
  <c r="M107" i="29"/>
  <c r="AB348" i="1"/>
  <c r="D107" i="29"/>
  <c r="G348" i="1"/>
  <c r="AN347" i="1"/>
  <c r="P107" i="29"/>
  <c r="AH348" i="1"/>
  <c r="G364" i="1"/>
  <c r="AN355" i="1"/>
  <c r="E107" i="29"/>
  <c r="J348" i="1"/>
  <c r="Q107" i="29"/>
  <c r="AK348" i="1"/>
  <c r="K107" i="29"/>
  <c r="V348" i="1"/>
  <c r="L107" i="29"/>
  <c r="Y348" i="1"/>
  <c r="H150" i="26"/>
  <c r="I150" i="26"/>
  <c r="J150" i="28"/>
  <c r="H150" i="28"/>
  <c r="J150" i="26"/>
  <c r="I150" i="28"/>
  <c r="K110" i="29"/>
  <c r="G150" i="26"/>
  <c r="H150" i="27"/>
  <c r="G150" i="28"/>
  <c r="I150" i="27"/>
  <c r="AJ38" i="28"/>
  <c r="AI17" i="28"/>
  <c r="AJ22" i="28"/>
  <c r="AK30" i="28"/>
  <c r="AH38" i="28"/>
  <c r="AH36" i="28"/>
  <c r="AI31" i="28"/>
  <c r="AI27" i="28"/>
  <c r="AI23" i="28"/>
  <c r="AI19" i="28"/>
  <c r="AI15" i="28"/>
  <c r="AI11" i="28"/>
  <c r="AI37" i="28"/>
  <c r="AJ32" i="28"/>
  <c r="AJ28" i="28"/>
  <c r="AJ24" i="28"/>
  <c r="AJ20" i="28"/>
  <c r="AJ16" i="28"/>
  <c r="AJ12" i="28"/>
  <c r="AJ8" i="28"/>
  <c r="AI35" i="28"/>
  <c r="AK32" i="28"/>
  <c r="AK28" i="28"/>
  <c r="AK24" i="28"/>
  <c r="AK20" i="28"/>
  <c r="AK16" i="28"/>
  <c r="AK12" i="28"/>
  <c r="AK8" i="28"/>
  <c r="AH26" i="28"/>
  <c r="AH10" i="28"/>
  <c r="AH19" i="28"/>
  <c r="AH32" i="28"/>
  <c r="AH16" i="28"/>
  <c r="AH9" i="28"/>
  <c r="AH33" i="28"/>
  <c r="AI38" i="28"/>
  <c r="AI34" i="28"/>
  <c r="AI30" i="28"/>
  <c r="AI26" i="28"/>
  <c r="AI22" i="28"/>
  <c r="AI18" i="28"/>
  <c r="AI14" i="28"/>
  <c r="AI10" i="28"/>
  <c r="AI36" i="28"/>
  <c r="AJ31" i="28"/>
  <c r="AJ27" i="28"/>
  <c r="AJ23" i="28"/>
  <c r="AJ19" i="28"/>
  <c r="AJ15" i="28"/>
  <c r="AJ11" i="28"/>
  <c r="AJ37" i="28"/>
  <c r="AH35" i="28"/>
  <c r="AK31" i="28"/>
  <c r="AK27" i="28"/>
  <c r="AK23" i="28"/>
  <c r="AK19" i="28"/>
  <c r="AK15" i="28"/>
  <c r="AK11" i="28"/>
  <c r="AK37" i="28"/>
  <c r="AH22" i="28"/>
  <c r="AH31" i="28"/>
  <c r="AH15" i="28"/>
  <c r="AH28" i="28"/>
  <c r="AH12" i="28"/>
  <c r="AK36" i="28"/>
  <c r="AH17" i="28"/>
  <c r="AI33" i="28"/>
  <c r="AI29" i="28"/>
  <c r="AI25" i="28"/>
  <c r="AI21" i="28"/>
  <c r="AI13" i="28"/>
  <c r="AI9" i="28"/>
  <c r="AJ34" i="28"/>
  <c r="AJ30" i="28"/>
  <c r="AJ26" i="28"/>
  <c r="AJ18" i="28"/>
  <c r="AJ14" i="28"/>
  <c r="AJ10" i="28"/>
  <c r="AJ36" i="28"/>
  <c r="AK34" i="28"/>
  <c r="AK26" i="28"/>
  <c r="AK22" i="28"/>
  <c r="AK18" i="28"/>
  <c r="AI28" i="28"/>
  <c r="AI12" i="28"/>
  <c r="AJ25" i="28"/>
  <c r="AJ9" i="28"/>
  <c r="AK25" i="28"/>
  <c r="AK13" i="28"/>
  <c r="AH30" i="28"/>
  <c r="AH23" i="28"/>
  <c r="AH20" i="28"/>
  <c r="AH13" i="28"/>
  <c r="AI16" i="28"/>
  <c r="AJ13" i="28"/>
  <c r="AH34" i="28"/>
  <c r="AH24" i="28"/>
  <c r="AK38" i="28"/>
  <c r="AI24" i="28"/>
  <c r="AI8" i="28"/>
  <c r="AJ21" i="28"/>
  <c r="AJ35" i="28"/>
  <c r="AK21" i="28"/>
  <c r="AK10" i="28"/>
  <c r="AH18" i="28"/>
  <c r="AH11" i="28"/>
  <c r="AH8" i="28"/>
  <c r="AH21" i="28"/>
  <c r="AJ29" i="28"/>
  <c r="AK14" i="28"/>
  <c r="AH29" i="28"/>
  <c r="AH37" i="28"/>
  <c r="AI20" i="28"/>
  <c r="AJ33" i="28"/>
  <c r="AJ17" i="28"/>
  <c r="AK33" i="28"/>
  <c r="AK17" i="28"/>
  <c r="AK9" i="28"/>
  <c r="AH14" i="28"/>
  <c r="AK35" i="28"/>
  <c r="AH25" i="28"/>
  <c r="AI32" i="28"/>
  <c r="AK29" i="28"/>
  <c r="AH27" i="28"/>
  <c r="O163" i="27"/>
  <c r="P194" i="29" s="1"/>
  <c r="P2" i="29" s="1"/>
  <c r="G154" i="26"/>
  <c r="AE368" i="1" s="1"/>
  <c r="AE377" i="1" s="1"/>
  <c r="G162" i="26"/>
  <c r="O10" i="29" s="1"/>
  <c r="G47" i="26"/>
  <c r="AK36" i="26"/>
  <c r="AK32" i="26"/>
  <c r="AK28" i="26"/>
  <c r="AK24" i="26"/>
  <c r="AK20" i="26"/>
  <c r="AK16" i="26"/>
  <c r="AK12" i="26"/>
  <c r="AK8" i="26"/>
  <c r="AH35" i="26"/>
  <c r="AH31" i="26"/>
  <c r="AH27" i="26"/>
  <c r="AH23" i="26"/>
  <c r="AH19" i="26"/>
  <c r="AH15" i="26"/>
  <c r="AH11" i="26"/>
  <c r="AI38" i="26"/>
  <c r="AI34" i="26"/>
  <c r="AI30" i="26"/>
  <c r="AI26" i="26"/>
  <c r="AI22" i="26"/>
  <c r="AI18" i="26"/>
  <c r="AI14" i="26"/>
  <c r="AI10" i="26"/>
  <c r="AJ32" i="26"/>
  <c r="AJ16" i="26"/>
  <c r="AJ33" i="26"/>
  <c r="AJ17" i="26"/>
  <c r="AJ34" i="26"/>
  <c r="AJ18" i="26"/>
  <c r="AJ11" i="26"/>
  <c r="AJ19" i="26"/>
  <c r="AK35" i="26"/>
  <c r="AK31" i="26"/>
  <c r="AK27" i="26"/>
  <c r="AK23" i="26"/>
  <c r="AK19" i="26"/>
  <c r="AK15" i="26"/>
  <c r="AK11" i="26"/>
  <c r="AH38" i="26"/>
  <c r="AH34" i="26"/>
  <c r="AH30" i="26"/>
  <c r="AH26" i="26"/>
  <c r="AH22" i="26"/>
  <c r="AH18" i="26"/>
  <c r="AH14" i="26"/>
  <c r="AH10" i="26"/>
  <c r="AI37" i="26"/>
  <c r="AI33" i="26"/>
  <c r="AI29" i="26"/>
  <c r="AI25" i="26"/>
  <c r="AI21" i="26"/>
  <c r="AI17" i="26"/>
  <c r="AI13" i="26"/>
  <c r="AI9" i="26"/>
  <c r="AJ28" i="26"/>
  <c r="AJ12" i="26"/>
  <c r="AJ29" i="26"/>
  <c r="AJ13" i="26"/>
  <c r="AJ30" i="26"/>
  <c r="AJ14" i="26"/>
  <c r="AJ31" i="26"/>
  <c r="AJ23" i="26"/>
  <c r="AK10" i="26"/>
  <c r="AK37" i="26"/>
  <c r="AK29" i="26"/>
  <c r="AK25" i="26"/>
  <c r="AK21" i="26"/>
  <c r="AK13" i="26"/>
  <c r="AH36" i="26"/>
  <c r="AH32" i="26"/>
  <c r="AH28" i="26"/>
  <c r="AH20" i="26"/>
  <c r="AH16" i="26"/>
  <c r="AH8" i="26"/>
  <c r="AI31" i="26"/>
  <c r="AI23" i="26"/>
  <c r="AI19" i="26"/>
  <c r="AI11" i="26"/>
  <c r="AJ36" i="26"/>
  <c r="AJ37" i="26"/>
  <c r="AJ21" i="26"/>
  <c r="AJ22" i="26"/>
  <c r="AJ35" i="26"/>
  <c r="AK38" i="26"/>
  <c r="AK34" i="26"/>
  <c r="AK30" i="26"/>
  <c r="AK26" i="26"/>
  <c r="AK22" i="26"/>
  <c r="AK18" i="26"/>
  <c r="AK14" i="26"/>
  <c r="AH37" i="26"/>
  <c r="AH33" i="26"/>
  <c r="AH29" i="26"/>
  <c r="AH25" i="26"/>
  <c r="AH21" i="26"/>
  <c r="AH17" i="26"/>
  <c r="AH13" i="26"/>
  <c r="AH9" i="26"/>
  <c r="AI36" i="26"/>
  <c r="AI32" i="26"/>
  <c r="AI28" i="26"/>
  <c r="AI24" i="26"/>
  <c r="AI20" i="26"/>
  <c r="AI16" i="26"/>
  <c r="AI12" i="26"/>
  <c r="AI8" i="26"/>
  <c r="AJ24" i="26"/>
  <c r="AJ8" i="26"/>
  <c r="AJ25" i="26"/>
  <c r="AJ9" i="26"/>
  <c r="AJ26" i="26"/>
  <c r="AJ10" i="26"/>
  <c r="AJ15" i="26"/>
  <c r="AK33" i="26"/>
  <c r="AK17" i="26"/>
  <c r="AK9" i="26"/>
  <c r="AH24" i="26"/>
  <c r="AH12" i="26"/>
  <c r="AI35" i="26"/>
  <c r="AI27" i="26"/>
  <c r="AI15" i="26"/>
  <c r="AJ20" i="26"/>
  <c r="AJ38" i="26"/>
  <c r="AJ27" i="26"/>
  <c r="H154" i="28"/>
  <c r="H162" i="28"/>
  <c r="H47" i="28"/>
  <c r="H154" i="27"/>
  <c r="H162" i="27"/>
  <c r="H47" i="27"/>
  <c r="I162" i="27"/>
  <c r="I154" i="27"/>
  <c r="K47" i="27"/>
  <c r="AH36" i="27"/>
  <c r="AH32" i="27"/>
  <c r="AH28" i="27"/>
  <c r="AH24" i="27"/>
  <c r="AH20" i="27"/>
  <c r="AH16" i="27"/>
  <c r="AH12" i="27"/>
  <c r="AH8" i="27"/>
  <c r="AI34" i="27"/>
  <c r="AI30" i="27"/>
  <c r="AI26" i="27"/>
  <c r="AI22" i="27"/>
  <c r="AI18" i="27"/>
  <c r="AI14" i="27"/>
  <c r="AI10" i="27"/>
  <c r="AJ36" i="27"/>
  <c r="AJ32" i="27"/>
  <c r="AJ28" i="27"/>
  <c r="AJ24" i="27"/>
  <c r="AJ20" i="27"/>
  <c r="AJ16" i="27"/>
  <c r="AJ12" i="27"/>
  <c r="AJ8" i="27"/>
  <c r="AK22" i="27"/>
  <c r="AK35" i="27"/>
  <c r="AK19" i="27"/>
  <c r="AK32" i="27"/>
  <c r="AK16" i="27"/>
  <c r="AK17" i="27"/>
  <c r="AK9" i="27"/>
  <c r="AH35" i="27"/>
  <c r="AH27" i="27"/>
  <c r="AH23" i="27"/>
  <c r="AH19" i="27"/>
  <c r="AH15" i="27"/>
  <c r="AI37" i="27"/>
  <c r="AI33" i="27"/>
  <c r="AI29" i="27"/>
  <c r="AI25" i="27"/>
  <c r="AI17" i="27"/>
  <c r="AI13" i="27"/>
  <c r="AI9" i="27"/>
  <c r="AJ35" i="27"/>
  <c r="AJ27" i="27"/>
  <c r="AJ23" i="27"/>
  <c r="AJ19" i="27"/>
  <c r="AJ11" i="27"/>
  <c r="AK34" i="27"/>
  <c r="AK18" i="27"/>
  <c r="AK15" i="27"/>
  <c r="AK28" i="27"/>
  <c r="AK12" i="27"/>
  <c r="AK29" i="27"/>
  <c r="AH34" i="27"/>
  <c r="AH30" i="27"/>
  <c r="AH26" i="27"/>
  <c r="AH22" i="27"/>
  <c r="AH18" i="27"/>
  <c r="AH14" i="27"/>
  <c r="AH10" i="27"/>
  <c r="AI36" i="27"/>
  <c r="AI32" i="27"/>
  <c r="AI28" i="27"/>
  <c r="AI24" i="27"/>
  <c r="AH31" i="27"/>
  <c r="AH11" i="27"/>
  <c r="AI21" i="27"/>
  <c r="AJ31" i="27"/>
  <c r="AJ15" i="27"/>
  <c r="AK31" i="27"/>
  <c r="AK37" i="27"/>
  <c r="AH29" i="27"/>
  <c r="AI16" i="27"/>
  <c r="AK30" i="27"/>
  <c r="AH25" i="27"/>
  <c r="AH9" i="27"/>
  <c r="AI23" i="27"/>
  <c r="AI15" i="27"/>
  <c r="AJ37" i="27"/>
  <c r="AJ29" i="27"/>
  <c r="AJ21" i="27"/>
  <c r="AJ13" i="27"/>
  <c r="AK26" i="27"/>
  <c r="AK23" i="27"/>
  <c r="AK20" i="27"/>
  <c r="AK25" i="27"/>
  <c r="AH37" i="27"/>
  <c r="AH21" i="27"/>
  <c r="AI35" i="27"/>
  <c r="AI20" i="27"/>
  <c r="AI12" i="27"/>
  <c r="AJ34" i="27"/>
  <c r="AJ26" i="27"/>
  <c r="AJ18" i="27"/>
  <c r="AJ10" i="27"/>
  <c r="AK14" i="27"/>
  <c r="AK11" i="27"/>
  <c r="AK8" i="27"/>
  <c r="AK13" i="27"/>
  <c r="AH33" i="27"/>
  <c r="AH17" i="27"/>
  <c r="AI31" i="27"/>
  <c r="AI19" i="27"/>
  <c r="AI11" i="27"/>
  <c r="AJ33" i="27"/>
  <c r="AJ25" i="27"/>
  <c r="AJ17" i="27"/>
  <c r="AJ9" i="27"/>
  <c r="AK10" i="27"/>
  <c r="AK36" i="27"/>
  <c r="AK33" i="27"/>
  <c r="AH13" i="27"/>
  <c r="AI27" i="27"/>
  <c r="AI8" i="27"/>
  <c r="AJ30" i="27"/>
  <c r="AJ22" i="27"/>
  <c r="AJ14" i="27"/>
  <c r="AK27" i="27"/>
  <c r="AK24" i="27"/>
  <c r="AK21" i="27"/>
  <c r="I154" i="26"/>
  <c r="I162" i="26"/>
  <c r="K47" i="26"/>
  <c r="H162" i="26"/>
  <c r="H154" i="26"/>
  <c r="H47" i="26"/>
  <c r="J154" i="28"/>
  <c r="J162" i="28"/>
  <c r="N47" i="28"/>
  <c r="O163" i="28"/>
  <c r="Q194" i="29" s="1"/>
  <c r="Q2" i="29" s="1"/>
  <c r="G154" i="28"/>
  <c r="AK368" i="1" s="1"/>
  <c r="AK377" i="1" s="1"/>
  <c r="G162" i="28"/>
  <c r="Q10" i="29" s="1"/>
  <c r="Q13" i="29" s="1"/>
  <c r="G47" i="28"/>
  <c r="J154" i="26"/>
  <c r="J162" i="26"/>
  <c r="N47" i="26"/>
  <c r="O163" i="26"/>
  <c r="O194" i="29" s="1"/>
  <c r="O2" i="29" s="1"/>
  <c r="J162" i="27"/>
  <c r="J154" i="27"/>
  <c r="N47" i="27"/>
  <c r="CG388" i="14"/>
  <c r="CF388" i="14"/>
  <c r="G150" i="27"/>
  <c r="G154" i="27"/>
  <c r="AH368" i="1" s="1"/>
  <c r="AH377" i="1" s="1"/>
  <c r="G162" i="27"/>
  <c r="P10" i="29" s="1"/>
  <c r="P13" i="29" s="1"/>
  <c r="G47" i="27"/>
  <c r="I154" i="28"/>
  <c r="I162" i="28"/>
  <c r="K47" i="28"/>
  <c r="CF449" i="14"/>
  <c r="CG449" i="14"/>
  <c r="CF419" i="14"/>
  <c r="CG419" i="14"/>
  <c r="Z33" i="14"/>
  <c r="Z35" i="14" s="1"/>
  <c r="Y35" i="14" s="1"/>
  <c r="K62" i="14"/>
  <c r="AI62" i="14"/>
  <c r="K63" i="14"/>
  <c r="AI63" i="14"/>
  <c r="AI65" i="14"/>
  <c r="K65" i="14"/>
  <c r="T34" i="14"/>
  <c r="AK61" i="14"/>
  <c r="AK84" i="14" s="1"/>
  <c r="BA61" i="14"/>
  <c r="BA84" i="14" s="1"/>
  <c r="BQ61" i="14"/>
  <c r="BQ84" i="14" s="1"/>
  <c r="CG61" i="14"/>
  <c r="CG84" i="14" s="1"/>
  <c r="CW61" i="14"/>
  <c r="CW84" i="14" s="1"/>
  <c r="DM61" i="14"/>
  <c r="DM84" i="14" s="1"/>
  <c r="EC61" i="14"/>
  <c r="EC84" i="14" s="1"/>
  <c r="AY61" i="14"/>
  <c r="AY84" i="14" s="1"/>
  <c r="BO61" i="14"/>
  <c r="BO84" i="14" s="1"/>
  <c r="CE61" i="14"/>
  <c r="CE84" i="14" s="1"/>
  <c r="CU61" i="14"/>
  <c r="CU84" i="14" s="1"/>
  <c r="DK61" i="14"/>
  <c r="DK84" i="14" s="1"/>
  <c r="EA61" i="14"/>
  <c r="EA84" i="14" s="1"/>
  <c r="AO61" i="14"/>
  <c r="AO84" i="14" s="1"/>
  <c r="BE61" i="14"/>
  <c r="BE84" i="14" s="1"/>
  <c r="BU61" i="14"/>
  <c r="BU84" i="14" s="1"/>
  <c r="CK61" i="14"/>
  <c r="CK84" i="14" s="1"/>
  <c r="DA61" i="14"/>
  <c r="DA84" i="14" s="1"/>
  <c r="DQ61" i="14"/>
  <c r="DQ84" i="14" s="1"/>
  <c r="AM61" i="14"/>
  <c r="AM84" i="14" s="1"/>
  <c r="BC61" i="14"/>
  <c r="BC84" i="14" s="1"/>
  <c r="BS61" i="14"/>
  <c r="BS84" i="14" s="1"/>
  <c r="CI61" i="14"/>
  <c r="CI84" i="14" s="1"/>
  <c r="CY61" i="14"/>
  <c r="CY84" i="14" s="1"/>
  <c r="DO61" i="14"/>
  <c r="DO84" i="14" s="1"/>
  <c r="AS61" i="14"/>
  <c r="AS84" i="14" s="1"/>
  <c r="BI61" i="14"/>
  <c r="BI84" i="14" s="1"/>
  <c r="BY61" i="14"/>
  <c r="BY84" i="14" s="1"/>
  <c r="CO61" i="14"/>
  <c r="CO84" i="14" s="1"/>
  <c r="DE61" i="14"/>
  <c r="DE84" i="14" s="1"/>
  <c r="DU61" i="14"/>
  <c r="DU84" i="14" s="1"/>
  <c r="AQ61" i="14"/>
  <c r="AQ84" i="14" s="1"/>
  <c r="BG61" i="14"/>
  <c r="BG84" i="14" s="1"/>
  <c r="BW61" i="14"/>
  <c r="BW84" i="14" s="1"/>
  <c r="CM61" i="14"/>
  <c r="CM84" i="14" s="1"/>
  <c r="DC61" i="14"/>
  <c r="DC84" i="14" s="1"/>
  <c r="DS61" i="14"/>
  <c r="DS84" i="14" s="1"/>
  <c r="K61" i="14"/>
  <c r="AW61" i="14"/>
  <c r="AW84" i="14" s="1"/>
  <c r="BM61" i="14"/>
  <c r="BM84" i="14" s="1"/>
  <c r="CC61" i="14"/>
  <c r="CC84" i="14" s="1"/>
  <c r="CS61" i="14"/>
  <c r="CS84" i="14" s="1"/>
  <c r="DI61" i="14"/>
  <c r="DI84" i="14" s="1"/>
  <c r="DY61" i="14"/>
  <c r="DY84" i="14" s="1"/>
  <c r="AU61" i="14"/>
  <c r="AU84" i="14" s="1"/>
  <c r="BK61" i="14"/>
  <c r="BK84" i="14" s="1"/>
  <c r="CA61" i="14"/>
  <c r="CA84" i="14" s="1"/>
  <c r="CQ61" i="14"/>
  <c r="CQ84" i="14" s="1"/>
  <c r="DG61" i="14"/>
  <c r="DG84" i="14" s="1"/>
  <c r="DW61" i="14"/>
  <c r="DW84" i="14" s="1"/>
  <c r="AI61" i="14"/>
  <c r="EE61" i="14"/>
  <c r="EE84" i="14" s="1"/>
  <c r="K64" i="14"/>
  <c r="AI64" i="14"/>
  <c r="K66" i="14"/>
  <c r="AI66" i="14"/>
  <c r="AI67" i="14"/>
  <c r="K67" i="14"/>
  <c r="M110" i="29"/>
  <c r="H150" i="18"/>
  <c r="N5" i="29"/>
  <c r="N110" i="29" s="1"/>
  <c r="J150" i="18"/>
  <c r="J150" i="19"/>
  <c r="G150" i="25"/>
  <c r="I150" i="24"/>
  <c r="G150" i="19"/>
  <c r="H150" i="19"/>
  <c r="AH273" i="1"/>
  <c r="J150" i="24"/>
  <c r="I150" i="18"/>
  <c r="AQ273" i="1"/>
  <c r="Y273" i="1"/>
  <c r="J154" i="18"/>
  <c r="J162" i="18"/>
  <c r="N47" i="18"/>
  <c r="H154" i="18"/>
  <c r="H162" i="18"/>
  <c r="H47" i="18"/>
  <c r="J319" i="1"/>
  <c r="M319" i="1" s="1"/>
  <c r="P319" i="1" s="1"/>
  <c r="S319" i="1" s="1"/>
  <c r="G215" i="18"/>
  <c r="G141" i="18"/>
  <c r="H141" i="18" s="1"/>
  <c r="I141" i="18" s="1"/>
  <c r="D141" i="18" s="1"/>
  <c r="I215" i="18"/>
  <c r="I193" i="18" s="1"/>
  <c r="H215" i="18"/>
  <c r="H193" i="18" s="1"/>
  <c r="G140" i="18"/>
  <c r="H140" i="18" s="1"/>
  <c r="I140" i="18" s="1"/>
  <c r="D140" i="18" s="1"/>
  <c r="G145" i="18"/>
  <c r="H145" i="18" s="1"/>
  <c r="I145" i="18" s="1"/>
  <c r="D145" i="18" s="1"/>
  <c r="J215" i="18"/>
  <c r="K193" i="18" s="1"/>
  <c r="G305" i="1"/>
  <c r="G139" i="18"/>
  <c r="H139" i="18" s="1"/>
  <c r="I139" i="18" s="1"/>
  <c r="D139" i="18" s="1"/>
  <c r="P273" i="1"/>
  <c r="G162" i="18"/>
  <c r="D10" i="29" s="1"/>
  <c r="G154" i="18"/>
  <c r="G368" i="1" s="1"/>
  <c r="G47" i="18"/>
  <c r="M265" i="1"/>
  <c r="E39" i="19"/>
  <c r="K109" i="19" s="1"/>
  <c r="E7" i="20"/>
  <c r="K108" i="20" s="1"/>
  <c r="AZ273" i="1"/>
  <c r="I162" i="19"/>
  <c r="I154" i="19"/>
  <c r="K47" i="19"/>
  <c r="CF174" i="14"/>
  <c r="CG174" i="14"/>
  <c r="J162" i="19"/>
  <c r="J154" i="19"/>
  <c r="N47" i="19"/>
  <c r="E39" i="18"/>
  <c r="K109" i="18" s="1"/>
  <c r="L109" i="18" s="1"/>
  <c r="E7" i="19"/>
  <c r="K108" i="19" s="1"/>
  <c r="AC273" i="1"/>
  <c r="G7" i="20"/>
  <c r="G39" i="20" s="1"/>
  <c r="B280" i="1"/>
  <c r="G7" i="23"/>
  <c r="G39" i="23" s="1"/>
  <c r="G154" i="19"/>
  <c r="J368" i="1" s="1"/>
  <c r="J377" i="1" s="1"/>
  <c r="G162" i="19"/>
  <c r="E10" i="29" s="1"/>
  <c r="E13" i="29" s="1"/>
  <c r="G47" i="19"/>
  <c r="G7" i="22"/>
  <c r="G39" i="22" s="1"/>
  <c r="AU273" i="1"/>
  <c r="G7" i="19"/>
  <c r="G39" i="19" s="1"/>
  <c r="T273" i="1"/>
  <c r="H162" i="19"/>
  <c r="H154" i="19"/>
  <c r="H47" i="19"/>
  <c r="AH12" i="18"/>
  <c r="AH28" i="18"/>
  <c r="AH13" i="18"/>
  <c r="AH29" i="18"/>
  <c r="AH27" i="18"/>
  <c r="AH31" i="18"/>
  <c r="AI22" i="18"/>
  <c r="AH18" i="18"/>
  <c r="AI21" i="18"/>
  <c r="AH30" i="18"/>
  <c r="AI25" i="18"/>
  <c r="AI8" i="18"/>
  <c r="AI27" i="18"/>
  <c r="AJ19" i="18"/>
  <c r="AJ35" i="18"/>
  <c r="AJ24" i="18"/>
  <c r="AK15" i="18"/>
  <c r="AK31" i="18"/>
  <c r="AI24" i="18"/>
  <c r="AJ21" i="18"/>
  <c r="AK14" i="18"/>
  <c r="AK30" i="18"/>
  <c r="AJ16" i="18"/>
  <c r="AJ34" i="18"/>
  <c r="AK17" i="18"/>
  <c r="AK33" i="18"/>
  <c r="AJ13" i="18"/>
  <c r="AJ29" i="18"/>
  <c r="AK36" i="18"/>
  <c r="AH16" i="18"/>
  <c r="AH32" i="18"/>
  <c r="AH17" i="18"/>
  <c r="AH33" i="18"/>
  <c r="AH35" i="18"/>
  <c r="AI10" i="18"/>
  <c r="AI26" i="18"/>
  <c r="AH34" i="18"/>
  <c r="AI28" i="18"/>
  <c r="AI9" i="18"/>
  <c r="AI32" i="18"/>
  <c r="AI11" i="18"/>
  <c r="AI29" i="18"/>
  <c r="AJ23" i="18"/>
  <c r="AI15" i="18"/>
  <c r="AJ26" i="18"/>
  <c r="AK19" i="18"/>
  <c r="AK35" i="18"/>
  <c r="AI31" i="18"/>
  <c r="AJ28" i="18"/>
  <c r="AK18" i="18"/>
  <c r="AK34" i="18"/>
  <c r="AJ18" i="18"/>
  <c r="AK8" i="18"/>
  <c r="AK21" i="18"/>
  <c r="AK20" i="18"/>
  <c r="AJ20" i="18"/>
  <c r="AJ8" i="18"/>
  <c r="AH36" i="18"/>
  <c r="AH9" i="18"/>
  <c r="AH19" i="18"/>
  <c r="AH23" i="18"/>
  <c r="AI34" i="18"/>
  <c r="AH14" i="18"/>
  <c r="AH26" i="18"/>
  <c r="AJ15" i="18"/>
  <c r="AJ31" i="18"/>
  <c r="AJ17" i="18"/>
  <c r="AK27" i="18"/>
  <c r="AI17" i="18"/>
  <c r="AK10" i="18"/>
  <c r="AK26" i="18"/>
  <c r="AJ32" i="18"/>
  <c r="AK29" i="18"/>
  <c r="AK28" i="18"/>
  <c r="AJ22" i="18"/>
  <c r="AH20" i="18"/>
  <c r="AH8" i="18"/>
  <c r="AH21" i="18"/>
  <c r="AH11" i="18"/>
  <c r="AH15" i="18"/>
  <c r="AI14" i="18"/>
  <c r="AI30" i="18"/>
  <c r="AI12" i="18"/>
  <c r="AI35" i="18"/>
  <c r="AI16" i="18"/>
  <c r="AH10" i="18"/>
  <c r="AI13" i="18"/>
  <c r="AJ11" i="18"/>
  <c r="AJ27" i="18"/>
  <c r="AJ10" i="18"/>
  <c r="AJ33" i="18"/>
  <c r="AK23" i="18"/>
  <c r="AH22" i="18"/>
  <c r="AJ12" i="18"/>
  <c r="AJ30" i="18"/>
  <c r="AK22" i="18"/>
  <c r="AI33" i="18"/>
  <c r="AJ25" i="18"/>
  <c r="AK9" i="18"/>
  <c r="AK25" i="18"/>
  <c r="AK16" i="18"/>
  <c r="AK12" i="18"/>
  <c r="AK24" i="18"/>
  <c r="AI36" i="18"/>
  <c r="AH24" i="18"/>
  <c r="AH25" i="18"/>
  <c r="AI18" i="18"/>
  <c r="AI19" i="18"/>
  <c r="AI23" i="18"/>
  <c r="AI20" i="18"/>
  <c r="AK11" i="18"/>
  <c r="AJ14" i="18"/>
  <c r="AJ9" i="18"/>
  <c r="AK13" i="18"/>
  <c r="AK32" i="18"/>
  <c r="AJ36" i="18"/>
  <c r="G150" i="18"/>
  <c r="O163" i="18"/>
  <c r="D194" i="29" s="1"/>
  <c r="D2" i="29" s="1"/>
  <c r="I154" i="18"/>
  <c r="I162" i="18"/>
  <c r="K47" i="18"/>
  <c r="G7" i="21"/>
  <c r="G39" i="21" s="1"/>
  <c r="AL273" i="1"/>
  <c r="G141" i="19"/>
  <c r="H141" i="19" s="1"/>
  <c r="I141" i="19" s="1"/>
  <c r="D141" i="19" s="1"/>
  <c r="G215" i="19"/>
  <c r="M298" i="1"/>
  <c r="I215" i="19"/>
  <c r="I193" i="19" s="1"/>
  <c r="G145" i="19"/>
  <c r="H145" i="19" s="1"/>
  <c r="I145" i="19" s="1"/>
  <c r="D145" i="19" s="1"/>
  <c r="H215" i="19"/>
  <c r="H193" i="19" s="1"/>
  <c r="G139" i="19"/>
  <c r="H139" i="19" s="1"/>
  <c r="I139" i="19" s="1"/>
  <c r="D139" i="19" s="1"/>
  <c r="G140" i="19"/>
  <c r="H140" i="19" s="1"/>
  <c r="I140" i="19" s="1"/>
  <c r="D140" i="19" s="1"/>
  <c r="J215" i="19"/>
  <c r="K193" i="19" s="1"/>
  <c r="J305" i="1"/>
  <c r="I150" i="19"/>
  <c r="AH21" i="19"/>
  <c r="AH10" i="19"/>
  <c r="AH26" i="19"/>
  <c r="AH20" i="19"/>
  <c r="AH24" i="19"/>
  <c r="AI18" i="19"/>
  <c r="AI34" i="19"/>
  <c r="AI16" i="19"/>
  <c r="AH23" i="19"/>
  <c r="AI27" i="19"/>
  <c r="AI8" i="19"/>
  <c r="AI31" i="19"/>
  <c r="AJ17" i="19"/>
  <c r="AJ33" i="19"/>
  <c r="AK23" i="19"/>
  <c r="AH15" i="19"/>
  <c r="AJ20" i="19"/>
  <c r="AK10" i="19"/>
  <c r="AK26" i="19"/>
  <c r="AI19" i="19"/>
  <c r="AJ23" i="19"/>
  <c r="AK9" i="19"/>
  <c r="AK25" i="19"/>
  <c r="AJ26" i="19"/>
  <c r="AJ22" i="19"/>
  <c r="AJ34" i="19"/>
  <c r="AJ8" i="19"/>
  <c r="AK28" i="19"/>
  <c r="AH38" i="19"/>
  <c r="AI37" i="19"/>
  <c r="AJ37" i="19"/>
  <c r="AH17" i="19"/>
  <c r="AH33" i="19"/>
  <c r="AH22" i="19"/>
  <c r="AH12" i="19"/>
  <c r="AH16" i="19"/>
  <c r="AI14" i="19"/>
  <c r="AI30" i="19"/>
  <c r="AI9" i="19"/>
  <c r="AI32" i="19"/>
  <c r="AI20" i="19"/>
  <c r="AJ13" i="19"/>
  <c r="AJ29" i="19"/>
  <c r="AK19" i="19"/>
  <c r="AK35" i="19"/>
  <c r="AJ32" i="19"/>
  <c r="AI12" i="19"/>
  <c r="AJ19" i="19"/>
  <c r="AJ10" i="19"/>
  <c r="AJ18" i="19"/>
  <c r="AK12" i="19"/>
  <c r="AK36" i="19"/>
  <c r="AH9" i="19"/>
  <c r="AH25" i="19"/>
  <c r="AH14" i="19"/>
  <c r="AH30" i="19"/>
  <c r="AH28" i="19"/>
  <c r="AH32" i="19"/>
  <c r="AI22" i="19"/>
  <c r="AH11" i="19"/>
  <c r="AI23" i="19"/>
  <c r="AI11" i="19"/>
  <c r="AI29" i="19"/>
  <c r="AI15" i="19"/>
  <c r="AI33" i="19"/>
  <c r="AJ21" i="19"/>
  <c r="AK11" i="19"/>
  <c r="AK27" i="19"/>
  <c r="AJ9" i="19"/>
  <c r="AJ24" i="19"/>
  <c r="AK14" i="19"/>
  <c r="AK30" i="19"/>
  <c r="AJ11" i="19"/>
  <c r="AJ27" i="19"/>
  <c r="AK13" i="19"/>
  <c r="AK29" i="19"/>
  <c r="AK8" i="19"/>
  <c r="AK20" i="19"/>
  <c r="AK16" i="19"/>
  <c r="AJ30" i="19"/>
  <c r="AK38" i="19"/>
  <c r="AH37" i="19"/>
  <c r="AI36" i="19"/>
  <c r="AI24" i="19"/>
  <c r="AK22" i="19"/>
  <c r="AJ35" i="19"/>
  <c r="AI21" i="19"/>
  <c r="AI35" i="19"/>
  <c r="AI38" i="19"/>
  <c r="AJ36" i="19"/>
  <c r="AH13" i="19"/>
  <c r="AH29" i="19"/>
  <c r="AH18" i="19"/>
  <c r="AH34" i="19"/>
  <c r="AH8" i="19"/>
  <c r="AI10" i="19"/>
  <c r="AI26" i="19"/>
  <c r="AH27" i="19"/>
  <c r="AI25" i="19"/>
  <c r="AI13" i="19"/>
  <c r="AH19" i="19"/>
  <c r="AI17" i="19"/>
  <c r="AH31" i="19"/>
  <c r="AJ25" i="19"/>
  <c r="AK15" i="19"/>
  <c r="AK31" i="19"/>
  <c r="AJ12" i="19"/>
  <c r="AJ28" i="19"/>
  <c r="AK18" i="19"/>
  <c r="AK34" i="19"/>
  <c r="AJ15" i="19"/>
  <c r="AJ31" i="19"/>
  <c r="AK17" i="19"/>
  <c r="AK33" i="19"/>
  <c r="AK24" i="19"/>
  <c r="AI28" i="19"/>
  <c r="AK32" i="19"/>
  <c r="AJ14" i="19"/>
  <c r="AK37" i="19"/>
  <c r="AH36" i="19"/>
  <c r="AJ38" i="19"/>
  <c r="AH35" i="19"/>
  <c r="AJ16" i="19"/>
  <c r="AK21" i="19"/>
  <c r="O163" i="19"/>
  <c r="E194" i="29" s="1"/>
  <c r="E2" i="29" s="1"/>
  <c r="CG145" i="14"/>
  <c r="CF145" i="14"/>
  <c r="H150" i="25"/>
  <c r="I150" i="23"/>
  <c r="I150" i="25"/>
  <c r="J150" i="25"/>
  <c r="H150" i="23"/>
  <c r="G150" i="24"/>
  <c r="H150" i="24"/>
  <c r="G150" i="23"/>
  <c r="J150" i="23"/>
  <c r="AQ280" i="1"/>
  <c r="I154" i="23"/>
  <c r="I162" i="23"/>
  <c r="K47" i="23"/>
  <c r="H154" i="25"/>
  <c r="H162" i="25"/>
  <c r="H47" i="25"/>
  <c r="I154" i="25"/>
  <c r="I162" i="25"/>
  <c r="K47" i="25"/>
  <c r="H154" i="24"/>
  <c r="H162" i="24"/>
  <c r="H47" i="24"/>
  <c r="J154" i="23"/>
  <c r="J162" i="23"/>
  <c r="N47" i="23"/>
  <c r="J154" i="25"/>
  <c r="J162" i="25"/>
  <c r="N47" i="25"/>
  <c r="CG358" i="14"/>
  <c r="CF358" i="14"/>
  <c r="AH11" i="24"/>
  <c r="AH12" i="24"/>
  <c r="AH14" i="24"/>
  <c r="AH17" i="24"/>
  <c r="AH21" i="24"/>
  <c r="AH25" i="24"/>
  <c r="AH29" i="24"/>
  <c r="AH33" i="24"/>
  <c r="AH8" i="24"/>
  <c r="AH15" i="24"/>
  <c r="AH22" i="24"/>
  <c r="AH24" i="24"/>
  <c r="AH31" i="24"/>
  <c r="AH9" i="24"/>
  <c r="AH19" i="24"/>
  <c r="AH26" i="24"/>
  <c r="AH28" i="24"/>
  <c r="AH35" i="24"/>
  <c r="AH10" i="24"/>
  <c r="AH13" i="24"/>
  <c r="AH16" i="24"/>
  <c r="AH23" i="24"/>
  <c r="AH30" i="24"/>
  <c r="AH32" i="24"/>
  <c r="AI11" i="24"/>
  <c r="AI15" i="24"/>
  <c r="AI19" i="24"/>
  <c r="AI23" i="24"/>
  <c r="AI27" i="24"/>
  <c r="AI31" i="24"/>
  <c r="AI35" i="24"/>
  <c r="AI8" i="24"/>
  <c r="AI13" i="24"/>
  <c r="AI20" i="24"/>
  <c r="AI22" i="24"/>
  <c r="AI29" i="24"/>
  <c r="AJ10" i="24"/>
  <c r="AJ14" i="24"/>
  <c r="AJ18" i="24"/>
  <c r="AJ22" i="24"/>
  <c r="AJ26" i="24"/>
  <c r="AJ30" i="24"/>
  <c r="AJ34" i="24"/>
  <c r="AI10" i="24"/>
  <c r="AI17" i="24"/>
  <c r="AI24" i="24"/>
  <c r="AI26" i="24"/>
  <c r="AI33" i="24"/>
  <c r="AJ8" i="24"/>
  <c r="AJ9" i="24"/>
  <c r="AJ13" i="24"/>
  <c r="AJ17" i="24"/>
  <c r="AJ21" i="24"/>
  <c r="AJ25" i="24"/>
  <c r="AJ29" i="24"/>
  <c r="AJ33" i="24"/>
  <c r="AH18" i="24"/>
  <c r="AI12" i="24"/>
  <c r="AI14" i="24"/>
  <c r="AI21" i="24"/>
  <c r="AI28" i="24"/>
  <c r="AI30" i="24"/>
  <c r="AJ12" i="24"/>
  <c r="AJ16" i="24"/>
  <c r="AJ20" i="24"/>
  <c r="AJ24" i="24"/>
  <c r="AJ28" i="24"/>
  <c r="AJ32" i="24"/>
  <c r="AK10" i="24"/>
  <c r="AK14" i="24"/>
  <c r="AK18" i="24"/>
  <c r="AK22" i="24"/>
  <c r="AK26" i="24"/>
  <c r="AK30" i="24"/>
  <c r="AK34" i="24"/>
  <c r="AH34" i="24"/>
  <c r="AI9" i="24"/>
  <c r="AI16" i="24"/>
  <c r="AJ23" i="24"/>
  <c r="AK9" i="24"/>
  <c r="AK16" i="24"/>
  <c r="AK23" i="24"/>
  <c r="AK25" i="24"/>
  <c r="AK32" i="24"/>
  <c r="AI18" i="24"/>
  <c r="AI25" i="24"/>
  <c r="AI32" i="24"/>
  <c r="AJ19" i="24"/>
  <c r="AJ35" i="24"/>
  <c r="AK8" i="24"/>
  <c r="AK11" i="24"/>
  <c r="AK13" i="24"/>
  <c r="AK20" i="24"/>
  <c r="AK27" i="24"/>
  <c r="AK29" i="24"/>
  <c r="AH20" i="24"/>
  <c r="AI34" i="24"/>
  <c r="AJ15" i="24"/>
  <c r="AJ31" i="24"/>
  <c r="AK15" i="24"/>
  <c r="AK17" i="24"/>
  <c r="AK24" i="24"/>
  <c r="AK31" i="24"/>
  <c r="AK33" i="24"/>
  <c r="AJ27" i="24"/>
  <c r="AK12" i="24"/>
  <c r="AK19" i="24"/>
  <c r="AH27" i="24"/>
  <c r="AJ11" i="24"/>
  <c r="AK21" i="24"/>
  <c r="AK28" i="24"/>
  <c r="AK35" i="24"/>
  <c r="AK38" i="24"/>
  <c r="AK37" i="24"/>
  <c r="AK36" i="24"/>
  <c r="AH38" i="24"/>
  <c r="AH37" i="24"/>
  <c r="AH36" i="24"/>
  <c r="AI38" i="24"/>
  <c r="AI37" i="24"/>
  <c r="AI36" i="24"/>
  <c r="AJ37" i="24"/>
  <c r="AJ38" i="24"/>
  <c r="AJ36" i="24"/>
  <c r="G7" i="28"/>
  <c r="G39" i="28" s="1"/>
  <c r="AU280" i="1"/>
  <c r="G162" i="23"/>
  <c r="K10" i="29" s="1"/>
  <c r="G154" i="23"/>
  <c r="V368" i="1" s="1"/>
  <c r="V377" i="1" s="1"/>
  <c r="G47" i="23"/>
  <c r="G154" i="24"/>
  <c r="Y368" i="1" s="1"/>
  <c r="Y377" i="1" s="1"/>
  <c r="G162" i="24"/>
  <c r="L10" i="29" s="1"/>
  <c r="L13" i="29" s="1"/>
  <c r="G47" i="24"/>
  <c r="O163" i="24"/>
  <c r="L194" i="29" s="1"/>
  <c r="L2" i="29" s="1"/>
  <c r="P280" i="1"/>
  <c r="AZ280" i="1"/>
  <c r="G7" i="26"/>
  <c r="G39" i="26" s="1"/>
  <c r="AC280" i="1"/>
  <c r="G154" i="25"/>
  <c r="AB368" i="1" s="1"/>
  <c r="AB377" i="1" s="1"/>
  <c r="G162" i="25"/>
  <c r="M10" i="29" s="1"/>
  <c r="M13" i="29" s="1"/>
  <c r="M51" i="29" s="1"/>
  <c r="G47" i="25"/>
  <c r="O163" i="25"/>
  <c r="M194" i="29" s="1"/>
  <c r="M2" i="29" s="1"/>
  <c r="CG296" i="14"/>
  <c r="CF296" i="14"/>
  <c r="E49" i="15"/>
  <c r="E35" i="15"/>
  <c r="E50" i="15"/>
  <c r="E51" i="15"/>
  <c r="E46" i="15"/>
  <c r="E47" i="15"/>
  <c r="E39" i="15"/>
  <c r="E33" i="15"/>
  <c r="E37" i="15"/>
  <c r="E61" i="15"/>
  <c r="E48" i="15"/>
  <c r="E52" i="15"/>
  <c r="E63" i="15"/>
  <c r="E34" i="15"/>
  <c r="E85" i="15"/>
  <c r="E38" i="15"/>
  <c r="E64" i="15"/>
  <c r="E65" i="15"/>
  <c r="E62" i="15"/>
  <c r="E36" i="15"/>
  <c r="E59" i="15"/>
  <c r="E60" i="15"/>
  <c r="G280" i="1"/>
  <c r="AN264" i="1"/>
  <c r="I154" i="24"/>
  <c r="I162" i="24"/>
  <c r="K47" i="24"/>
  <c r="O163" i="23"/>
  <c r="K194" i="29" s="1"/>
  <c r="K2" i="29" s="1"/>
  <c r="CG327" i="14"/>
  <c r="CF327" i="14"/>
  <c r="AH280" i="1"/>
  <c r="G7" i="27"/>
  <c r="G39" i="27" s="1"/>
  <c r="AL280" i="1"/>
  <c r="Y280" i="1"/>
  <c r="AH11" i="25"/>
  <c r="AH15" i="25"/>
  <c r="AH19" i="25"/>
  <c r="AH23" i="25"/>
  <c r="AH27" i="25"/>
  <c r="AH31" i="25"/>
  <c r="AH35" i="25"/>
  <c r="AH8" i="25"/>
  <c r="AH13" i="25"/>
  <c r="AH20" i="25"/>
  <c r="AH22" i="25"/>
  <c r="AH29" i="25"/>
  <c r="AH10" i="25"/>
  <c r="AH17" i="25"/>
  <c r="AH24" i="25"/>
  <c r="AH26" i="25"/>
  <c r="AH33" i="25"/>
  <c r="AH12" i="25"/>
  <c r="AH14" i="25"/>
  <c r="AH21" i="25"/>
  <c r="AH28" i="25"/>
  <c r="AH30" i="25"/>
  <c r="AI12" i="25"/>
  <c r="AI16" i="25"/>
  <c r="AI20" i="25"/>
  <c r="AI24" i="25"/>
  <c r="AI28" i="25"/>
  <c r="AI32" i="25"/>
  <c r="AH34" i="25"/>
  <c r="AI8" i="25"/>
  <c r="AI13" i="25"/>
  <c r="AI15" i="25"/>
  <c r="AI22" i="25"/>
  <c r="AI29" i="25"/>
  <c r="AI31" i="25"/>
  <c r="AJ11" i="25"/>
  <c r="AJ15" i="25"/>
  <c r="AJ19" i="25"/>
  <c r="AJ23" i="25"/>
  <c r="AJ27" i="25"/>
  <c r="AJ31" i="25"/>
  <c r="AJ35" i="25"/>
  <c r="AI10" i="25"/>
  <c r="AI17" i="25"/>
  <c r="AI19" i="25"/>
  <c r="AI26" i="25"/>
  <c r="AI33" i="25"/>
  <c r="AI35" i="25"/>
  <c r="AJ10" i="25"/>
  <c r="AJ14" i="25"/>
  <c r="AJ18" i="25"/>
  <c r="AJ22" i="25"/>
  <c r="AJ26" i="25"/>
  <c r="AJ30" i="25"/>
  <c r="AJ34" i="25"/>
  <c r="AH9" i="25"/>
  <c r="AH16" i="25"/>
  <c r="AI14" i="25"/>
  <c r="AI21" i="25"/>
  <c r="AI23" i="25"/>
  <c r="AI30" i="25"/>
  <c r="AJ8" i="25"/>
  <c r="AJ9" i="25"/>
  <c r="AJ13" i="25"/>
  <c r="AJ17" i="25"/>
  <c r="AJ21" i="25"/>
  <c r="AJ25" i="25"/>
  <c r="AJ29" i="25"/>
  <c r="AJ33" i="25"/>
  <c r="AK11" i="25"/>
  <c r="AK15" i="25"/>
  <c r="AK19" i="25"/>
  <c r="AK23" i="25"/>
  <c r="AK27" i="25"/>
  <c r="AK31" i="25"/>
  <c r="AK35" i="25"/>
  <c r="AH25" i="25"/>
  <c r="AI9" i="25"/>
  <c r="AJ16" i="25"/>
  <c r="AJ32" i="25"/>
  <c r="AK9" i="25"/>
  <c r="AK16" i="25"/>
  <c r="AK18" i="25"/>
  <c r="AK25" i="25"/>
  <c r="AK32" i="25"/>
  <c r="AK34" i="25"/>
  <c r="AH32" i="25"/>
  <c r="AI11" i="25"/>
  <c r="AI18" i="25"/>
  <c r="AI25" i="25"/>
  <c r="AJ12" i="25"/>
  <c r="AJ28" i="25"/>
  <c r="AK8" i="25"/>
  <c r="AK13" i="25"/>
  <c r="AK20" i="25"/>
  <c r="AK22" i="25"/>
  <c r="AK29" i="25"/>
  <c r="AI27" i="25"/>
  <c r="AI34" i="25"/>
  <c r="AJ24" i="25"/>
  <c r="AK10" i="25"/>
  <c r="AK17" i="25"/>
  <c r="AK24" i="25"/>
  <c r="AK26" i="25"/>
  <c r="AK33" i="25"/>
  <c r="AK12" i="25"/>
  <c r="AJ20" i="25"/>
  <c r="AK14" i="25"/>
  <c r="AK21" i="25"/>
  <c r="AK28" i="25"/>
  <c r="AK30" i="25"/>
  <c r="AH18" i="25"/>
  <c r="AK37" i="25"/>
  <c r="AK36" i="25"/>
  <c r="AH37" i="25"/>
  <c r="AH36" i="25"/>
  <c r="AI37" i="25"/>
  <c r="AI36" i="25"/>
  <c r="AJ36" i="25"/>
  <c r="AJ37" i="25"/>
  <c r="J154" i="24"/>
  <c r="J162" i="24"/>
  <c r="N47" i="24"/>
  <c r="V318" i="1"/>
  <c r="AN317" i="1"/>
  <c r="B317" i="1" s="1"/>
  <c r="G7" i="24"/>
  <c r="G39" i="24" s="1"/>
  <c r="K280" i="1"/>
  <c r="H154" i="23"/>
  <c r="H162" i="23"/>
  <c r="H47" i="23"/>
  <c r="AH8" i="23"/>
  <c r="AH9" i="23"/>
  <c r="AH13" i="23"/>
  <c r="AH17" i="23"/>
  <c r="AH21" i="23"/>
  <c r="AH25" i="23"/>
  <c r="AH29" i="23"/>
  <c r="AH33" i="23"/>
  <c r="AH10" i="23"/>
  <c r="AH14" i="23"/>
  <c r="AH18" i="23"/>
  <c r="AH22" i="23"/>
  <c r="AH26" i="23"/>
  <c r="AH30" i="23"/>
  <c r="AH34" i="23"/>
  <c r="AH16" i="23"/>
  <c r="AH24" i="23"/>
  <c r="AH32" i="23"/>
  <c r="AH12" i="23"/>
  <c r="AH15" i="23"/>
  <c r="AH19" i="23"/>
  <c r="AH20" i="23"/>
  <c r="AH23" i="23"/>
  <c r="AH27" i="23"/>
  <c r="AH28" i="23"/>
  <c r="AH31" i="23"/>
  <c r="AH35" i="23"/>
  <c r="AI10" i="23"/>
  <c r="AI14" i="23"/>
  <c r="AI18" i="23"/>
  <c r="AI22" i="23"/>
  <c r="AI26" i="23"/>
  <c r="AI30" i="23"/>
  <c r="AI34" i="23"/>
  <c r="AI8" i="23"/>
  <c r="AI11" i="23"/>
  <c r="AI13" i="23"/>
  <c r="AI20" i="23"/>
  <c r="AI27" i="23"/>
  <c r="AI29" i="23"/>
  <c r="AJ8" i="23"/>
  <c r="AJ9" i="23"/>
  <c r="AJ13" i="23"/>
  <c r="AJ17" i="23"/>
  <c r="AJ21" i="23"/>
  <c r="AJ25" i="23"/>
  <c r="AJ29" i="23"/>
  <c r="AJ33" i="23"/>
  <c r="AI15" i="23"/>
  <c r="AI17" i="23"/>
  <c r="AI24" i="23"/>
  <c r="AI31" i="23"/>
  <c r="AI33" i="23"/>
  <c r="AJ12" i="23"/>
  <c r="AJ16" i="23"/>
  <c r="AJ20" i="23"/>
  <c r="AJ24" i="23"/>
  <c r="AJ28" i="23"/>
  <c r="AJ32" i="23"/>
  <c r="AI12" i="23"/>
  <c r="AI19" i="23"/>
  <c r="AI21" i="23"/>
  <c r="AI28" i="23"/>
  <c r="AI35" i="23"/>
  <c r="AJ11" i="23"/>
  <c r="AJ15" i="23"/>
  <c r="AJ19" i="23"/>
  <c r="AJ23" i="23"/>
  <c r="AJ27" i="23"/>
  <c r="AJ31" i="23"/>
  <c r="AJ35" i="23"/>
  <c r="AK8" i="23"/>
  <c r="AK9" i="23"/>
  <c r="AK13" i="23"/>
  <c r="AK17" i="23"/>
  <c r="AK21" i="23"/>
  <c r="AK25" i="23"/>
  <c r="AK29" i="23"/>
  <c r="AK33" i="23"/>
  <c r="AI25" i="23"/>
  <c r="AI32" i="23"/>
  <c r="AJ14" i="23"/>
  <c r="AJ30" i="23"/>
  <c r="AK14" i="23"/>
  <c r="AK16" i="23"/>
  <c r="AK23" i="23"/>
  <c r="AK30" i="23"/>
  <c r="AK32" i="23"/>
  <c r="AJ10" i="23"/>
  <c r="AJ26" i="23"/>
  <c r="AK11" i="23"/>
  <c r="AK18" i="23"/>
  <c r="AK20" i="23"/>
  <c r="AK27" i="23"/>
  <c r="AK34" i="23"/>
  <c r="AJ22" i="23"/>
  <c r="AK15" i="23"/>
  <c r="AK22" i="23"/>
  <c r="AK24" i="23"/>
  <c r="AK31" i="23"/>
  <c r="AH11" i="23"/>
  <c r="AI23" i="23"/>
  <c r="AJ34" i="23"/>
  <c r="AK28" i="23"/>
  <c r="AK35" i="23"/>
  <c r="AJ18" i="23"/>
  <c r="AI9" i="23"/>
  <c r="AK10" i="23"/>
  <c r="AI16" i="23"/>
  <c r="AK26" i="23"/>
  <c r="AK12" i="23"/>
  <c r="AK38" i="23"/>
  <c r="AK37" i="23"/>
  <c r="AK36" i="23"/>
  <c r="AH38" i="23"/>
  <c r="AH37" i="23"/>
  <c r="AH36" i="23"/>
  <c r="AK19" i="23"/>
  <c r="AI38" i="23"/>
  <c r="AI37" i="23"/>
  <c r="AI36" i="23"/>
  <c r="AJ36" i="23"/>
  <c r="AJ37" i="23"/>
  <c r="AJ38" i="23"/>
  <c r="G7" i="25"/>
  <c r="G39" i="25" s="1"/>
  <c r="T280" i="1"/>
  <c r="C91" i="26" l="1"/>
  <c r="AK89" i="15"/>
  <c r="AC89" i="15"/>
  <c r="AJ89" i="15"/>
  <c r="I89" i="15"/>
  <c r="AG89" i="15"/>
  <c r="AB89" i="15"/>
  <c r="AI89" i="15"/>
  <c r="O89" i="15"/>
  <c r="E16" i="30"/>
  <c r="AN16" i="30" s="1"/>
  <c r="AH89" i="15"/>
  <c r="AD89" i="15"/>
  <c r="B333" i="1"/>
  <c r="L84" i="29"/>
  <c r="L86" i="29" s="1"/>
  <c r="L85" i="29" s="1"/>
  <c r="M84" i="29"/>
  <c r="M86" i="29" s="1"/>
  <c r="M85" i="29" s="1"/>
  <c r="I84" i="29"/>
  <c r="I86" i="29" s="1"/>
  <c r="I85" i="29" s="1"/>
  <c r="L68" i="29"/>
  <c r="L70" i="29" s="1"/>
  <c r="L69" i="29" s="1"/>
  <c r="I68" i="29"/>
  <c r="I70" i="29" s="1"/>
  <c r="I69" i="29" s="1"/>
  <c r="M68" i="29"/>
  <c r="M70" i="29" s="1"/>
  <c r="M69" i="29" s="1"/>
  <c r="I76" i="29"/>
  <c r="I78" i="29" s="1"/>
  <c r="I77" i="29" s="1"/>
  <c r="E76" i="29"/>
  <c r="E78" i="29" s="1"/>
  <c r="E77" i="29" s="1"/>
  <c r="C76" i="29"/>
  <c r="O72" i="29"/>
  <c r="E72" i="29"/>
  <c r="E74" i="29" s="1"/>
  <c r="E73" i="29" s="1"/>
  <c r="Q72" i="29"/>
  <c r="Q74" i="29" s="1"/>
  <c r="Q73" i="29" s="1"/>
  <c r="B80" i="29"/>
  <c r="C80" i="29"/>
  <c r="D80" i="29"/>
  <c r="D82" i="29" s="1"/>
  <c r="D81" i="29" s="1"/>
  <c r="M80" i="29"/>
  <c r="M82" i="29" s="1"/>
  <c r="M81" i="29" s="1"/>
  <c r="M88" i="29"/>
  <c r="M90" i="29" s="1"/>
  <c r="M89" i="29" s="1"/>
  <c r="K88" i="29"/>
  <c r="Q88" i="29"/>
  <c r="Q90" i="29" s="1"/>
  <c r="Q89" i="29" s="1"/>
  <c r="Q64" i="29"/>
  <c r="Q66" i="29" s="1"/>
  <c r="Q65" i="29" s="1"/>
  <c r="I64" i="29"/>
  <c r="I66" i="29" s="1"/>
  <c r="I65" i="29" s="1"/>
  <c r="P64" i="29"/>
  <c r="P66" i="29" s="1"/>
  <c r="P65" i="29" s="1"/>
  <c r="C72" i="29"/>
  <c r="L72" i="29"/>
  <c r="L74" i="29" s="1"/>
  <c r="L73" i="29" s="1"/>
  <c r="P80" i="29"/>
  <c r="P82" i="29" s="1"/>
  <c r="P81" i="29" s="1"/>
  <c r="O80" i="29"/>
  <c r="E88" i="29"/>
  <c r="E90" i="29" s="1"/>
  <c r="E89" i="29" s="1"/>
  <c r="C88" i="29"/>
  <c r="O64" i="29"/>
  <c r="G64" i="29"/>
  <c r="P88" i="29"/>
  <c r="P90" i="29" s="1"/>
  <c r="P89" i="29" s="1"/>
  <c r="H64" i="29"/>
  <c r="H66" i="29" s="1"/>
  <c r="H65" i="29" s="1"/>
  <c r="O84" i="29"/>
  <c r="P84" i="29"/>
  <c r="P86" i="29" s="1"/>
  <c r="P85" i="29" s="1"/>
  <c r="Q84" i="29"/>
  <c r="Q86" i="29" s="1"/>
  <c r="Q85" i="29" s="1"/>
  <c r="P68" i="29"/>
  <c r="P70" i="29" s="1"/>
  <c r="P69" i="29" s="1"/>
  <c r="H76" i="29"/>
  <c r="H78" i="29" s="1"/>
  <c r="H77" i="29" s="1"/>
  <c r="G72" i="29"/>
  <c r="H80" i="29"/>
  <c r="H82" i="29" s="1"/>
  <c r="H81" i="29" s="1"/>
  <c r="B88" i="29"/>
  <c r="D88" i="29"/>
  <c r="D90" i="29" s="1"/>
  <c r="D89" i="29" s="1"/>
  <c r="H88" i="29"/>
  <c r="H90" i="29" s="1"/>
  <c r="H89" i="29" s="1"/>
  <c r="B64" i="29"/>
  <c r="D64" i="29"/>
  <c r="D66" i="29" s="1"/>
  <c r="D65" i="29" s="1"/>
  <c r="G84" i="29"/>
  <c r="H84" i="29"/>
  <c r="H86" i="29" s="1"/>
  <c r="H85" i="29" s="1"/>
  <c r="B84" i="29"/>
  <c r="D68" i="29"/>
  <c r="D70" i="29" s="1"/>
  <c r="D69" i="29" s="1"/>
  <c r="K68" i="29"/>
  <c r="H68" i="29"/>
  <c r="H70" i="29" s="1"/>
  <c r="H69" i="29" s="1"/>
  <c r="D76" i="29"/>
  <c r="D78" i="29" s="1"/>
  <c r="D77" i="29" s="1"/>
  <c r="P76" i="29"/>
  <c r="P78" i="29" s="1"/>
  <c r="P77" i="29" s="1"/>
  <c r="O76" i="29"/>
  <c r="M72" i="29"/>
  <c r="M74" i="29" s="1"/>
  <c r="M73" i="29" s="1"/>
  <c r="Q80" i="29"/>
  <c r="Q82" i="29" s="1"/>
  <c r="Q81" i="29" s="1"/>
  <c r="I88" i="29"/>
  <c r="I90" i="29" s="1"/>
  <c r="I89" i="29" s="1"/>
  <c r="L64" i="29"/>
  <c r="L66" i="29" s="1"/>
  <c r="L65" i="29" s="1"/>
  <c r="O88" i="29"/>
  <c r="E64" i="29"/>
  <c r="E66" i="29" s="1"/>
  <c r="E65" i="29" s="1"/>
  <c r="C84" i="29"/>
  <c r="G68" i="29"/>
  <c r="L76" i="29"/>
  <c r="L78" i="29" s="1"/>
  <c r="L77" i="29" s="1"/>
  <c r="H72" i="29"/>
  <c r="H74" i="29" s="1"/>
  <c r="H73" i="29" s="1"/>
  <c r="I80" i="29"/>
  <c r="I82" i="29" s="1"/>
  <c r="I81" i="29" s="1"/>
  <c r="G88" i="29"/>
  <c r="C64" i="29"/>
  <c r="D84" i="29"/>
  <c r="D86" i="29" s="1"/>
  <c r="D85" i="29" s="1"/>
  <c r="E84" i="29"/>
  <c r="E86" i="29" s="1"/>
  <c r="E85" i="29" s="1"/>
  <c r="K84" i="29"/>
  <c r="O68" i="29"/>
  <c r="B68" i="29"/>
  <c r="C68" i="29"/>
  <c r="E68" i="29"/>
  <c r="E70" i="29" s="1"/>
  <c r="E69" i="29" s="1"/>
  <c r="Q76" i="29"/>
  <c r="Q78" i="29" s="1"/>
  <c r="Q77" i="29" s="1"/>
  <c r="B76" i="29"/>
  <c r="K76" i="29"/>
  <c r="G76" i="29"/>
  <c r="K72" i="29"/>
  <c r="P72" i="29"/>
  <c r="P74" i="29" s="1"/>
  <c r="P73" i="29" s="1"/>
  <c r="I72" i="29"/>
  <c r="I74" i="29" s="1"/>
  <c r="I73" i="29" s="1"/>
  <c r="K80" i="29"/>
  <c r="L80" i="29"/>
  <c r="L82" i="29" s="1"/>
  <c r="L81" i="29" s="1"/>
  <c r="G80" i="29"/>
  <c r="L88" i="29"/>
  <c r="L90" i="29" s="1"/>
  <c r="L89" i="29" s="1"/>
  <c r="M64" i="29"/>
  <c r="M66" i="29" s="1"/>
  <c r="M65" i="29" s="1"/>
  <c r="Q68" i="29"/>
  <c r="Q70" i="29" s="1"/>
  <c r="Q69" i="29" s="1"/>
  <c r="M76" i="29"/>
  <c r="M78" i="29" s="1"/>
  <c r="M77" i="29" s="1"/>
  <c r="B72" i="29"/>
  <c r="D72" i="29"/>
  <c r="D74" i="29" s="1"/>
  <c r="D73" i="29" s="1"/>
  <c r="E80" i="29"/>
  <c r="E82" i="29" s="1"/>
  <c r="E81" i="29" s="1"/>
  <c r="K64" i="29"/>
  <c r="Q51" i="29"/>
  <c r="Q6" i="29"/>
  <c r="N107" i="29"/>
  <c r="AD22" i="15"/>
  <c r="AJ22" i="15"/>
  <c r="I22" i="15"/>
  <c r="H22" i="15"/>
  <c r="AK22" i="15"/>
  <c r="AF22" i="15"/>
  <c r="AE22" i="15"/>
  <c r="AC22" i="15"/>
  <c r="AG22" i="15"/>
  <c r="AB22" i="15"/>
  <c r="AH22" i="15"/>
  <c r="AI22" i="15"/>
  <c r="O22" i="15"/>
  <c r="O20" i="29"/>
  <c r="R20" i="29" s="1"/>
  <c r="R18" i="29"/>
  <c r="G53" i="19"/>
  <c r="I53" i="19" s="1"/>
  <c r="L53" i="19" s="1"/>
  <c r="E47" i="19"/>
  <c r="E129" i="30"/>
  <c r="E123" i="30"/>
  <c r="E126" i="30"/>
  <c r="AH23" i="15"/>
  <c r="AC23" i="15"/>
  <c r="AI23" i="15"/>
  <c r="AD23" i="15"/>
  <c r="AJ23" i="15"/>
  <c r="AE23" i="15"/>
  <c r="AK23" i="15"/>
  <c r="AF23" i="15"/>
  <c r="I23" i="15"/>
  <c r="AG23" i="15"/>
  <c r="AB23" i="15"/>
  <c r="H23" i="15"/>
  <c r="O23" i="15"/>
  <c r="BI23" i="15" s="1"/>
  <c r="N18" i="29"/>
  <c r="K20" i="29"/>
  <c r="G53" i="25"/>
  <c r="I53" i="25" s="1"/>
  <c r="L53" i="25" s="1"/>
  <c r="E47" i="25"/>
  <c r="AK88" i="15"/>
  <c r="AF88" i="15"/>
  <c r="AD88" i="15"/>
  <c r="H88" i="15"/>
  <c r="AJ88" i="15"/>
  <c r="AG88" i="15"/>
  <c r="AI88" i="15"/>
  <c r="I88" i="15"/>
  <c r="O88" i="15"/>
  <c r="E93" i="15"/>
  <c r="G93" i="15" s="1"/>
  <c r="AH88" i="15"/>
  <c r="AC88" i="15"/>
  <c r="AE88" i="15"/>
  <c r="AB88" i="15"/>
  <c r="G53" i="18"/>
  <c r="I53" i="18" s="1"/>
  <c r="L53" i="18" s="1"/>
  <c r="E47" i="18"/>
  <c r="BJ89" i="15"/>
  <c r="BI89" i="15"/>
  <c r="AG90" i="15"/>
  <c r="AI90" i="15"/>
  <c r="I90" i="15"/>
  <c r="AF90" i="15"/>
  <c r="AD90" i="15"/>
  <c r="AC90" i="15"/>
  <c r="AE90" i="15"/>
  <c r="AB90" i="15"/>
  <c r="AJ90" i="15"/>
  <c r="AH90" i="15"/>
  <c r="O90" i="15"/>
  <c r="H90" i="15"/>
  <c r="AK90" i="15"/>
  <c r="D19" i="29"/>
  <c r="F19" i="29" s="1"/>
  <c r="F20" i="29"/>
  <c r="AG92" i="15"/>
  <c r="AI92" i="15"/>
  <c r="I92" i="15"/>
  <c r="AC92" i="15"/>
  <c r="AD92" i="15"/>
  <c r="O92" i="15"/>
  <c r="BI92" i="15" s="1"/>
  <c r="H92" i="15"/>
  <c r="AE92" i="15"/>
  <c r="AB92" i="15"/>
  <c r="AF92" i="15"/>
  <c r="AJ92" i="15"/>
  <c r="AH92" i="15"/>
  <c r="AK92" i="15"/>
  <c r="BJ92" i="15"/>
  <c r="H91" i="15"/>
  <c r="AG91" i="15"/>
  <c r="AI91" i="15"/>
  <c r="AB91" i="15"/>
  <c r="AE91" i="15"/>
  <c r="I91" i="15"/>
  <c r="AH91" i="15"/>
  <c r="AK91" i="15"/>
  <c r="AC91" i="15"/>
  <c r="AJ91" i="15"/>
  <c r="AD91" i="15"/>
  <c r="O91" i="15"/>
  <c r="BI91" i="15" s="1"/>
  <c r="AF91" i="15"/>
  <c r="H129" i="30"/>
  <c r="H123" i="30"/>
  <c r="H126" i="30"/>
  <c r="E26" i="15"/>
  <c r="G53" i="24"/>
  <c r="I53" i="24" s="1"/>
  <c r="L53" i="24" s="1"/>
  <c r="E47" i="24"/>
  <c r="G377" i="1"/>
  <c r="AN368" i="1"/>
  <c r="R10" i="29"/>
  <c r="O13" i="29"/>
  <c r="G53" i="28"/>
  <c r="I53" i="28" s="1"/>
  <c r="L53" i="28" s="1"/>
  <c r="E47" i="28"/>
  <c r="M6" i="29"/>
  <c r="G53" i="27"/>
  <c r="I53" i="27" s="1"/>
  <c r="L53" i="27" s="1"/>
  <c r="E47" i="27"/>
  <c r="K129" i="30"/>
  <c r="K126" i="30"/>
  <c r="K123" i="30"/>
  <c r="E25" i="15"/>
  <c r="E24" i="15"/>
  <c r="E51" i="29"/>
  <c r="E6" i="29"/>
  <c r="L51" i="29"/>
  <c r="L6" i="29"/>
  <c r="N10" i="29"/>
  <c r="K13" i="29"/>
  <c r="D13" i="29"/>
  <c r="F10" i="29"/>
  <c r="P51" i="29"/>
  <c r="P6" i="29"/>
  <c r="G53" i="26"/>
  <c r="I53" i="26" s="1"/>
  <c r="L53" i="26" s="1"/>
  <c r="E47" i="26"/>
  <c r="G53" i="23"/>
  <c r="I53" i="23" s="1"/>
  <c r="L53" i="23" s="1"/>
  <c r="E47" i="23"/>
  <c r="N129" i="30"/>
  <c r="N123" i="30"/>
  <c r="N126" i="30"/>
  <c r="AN364" i="1"/>
  <c r="G365" i="1"/>
  <c r="J365" i="1" s="1"/>
  <c r="M365" i="1" s="1"/>
  <c r="P365" i="1" s="1"/>
  <c r="S365" i="1" s="1"/>
  <c r="V365" i="1" s="1"/>
  <c r="Y365" i="1" s="1"/>
  <c r="AB365" i="1" s="1"/>
  <c r="AE365" i="1" s="1"/>
  <c r="AH365" i="1" s="1"/>
  <c r="AK365" i="1" s="1"/>
  <c r="AN348" i="1"/>
  <c r="G349" i="1"/>
  <c r="J349" i="1" s="1"/>
  <c r="M349" i="1" s="1"/>
  <c r="P349" i="1" s="1"/>
  <c r="S349" i="1" s="1"/>
  <c r="V349" i="1" s="1"/>
  <c r="Y349" i="1" s="1"/>
  <c r="AB349" i="1" s="1"/>
  <c r="AE349" i="1" s="1"/>
  <c r="AH349" i="1" s="1"/>
  <c r="AK349" i="1" s="1"/>
  <c r="F107" i="29"/>
  <c r="R107" i="29"/>
  <c r="C91" i="28"/>
  <c r="C91" i="27"/>
  <c r="T5" i="29"/>
  <c r="AP16" i="30" s="1"/>
  <c r="AH333" i="1"/>
  <c r="AH334" i="1" s="1"/>
  <c r="AW425" i="14"/>
  <c r="AV14" i="27"/>
  <c r="CR425" i="14" s="1"/>
  <c r="AX421" i="14"/>
  <c r="AW10" i="27"/>
  <c r="CS421" i="14" s="1"/>
  <c r="AU428" i="14"/>
  <c r="AT17" i="27"/>
  <c r="CP428" i="14" s="1"/>
  <c r="AG17" i="27"/>
  <c r="AW437" i="14"/>
  <c r="AV26" i="27"/>
  <c r="CR437" i="14" s="1"/>
  <c r="AW20" i="27"/>
  <c r="CS431" i="14" s="1"/>
  <c r="AX431" i="14"/>
  <c r="AU16" i="27"/>
  <c r="CQ427" i="14" s="1"/>
  <c r="AV427" i="14"/>
  <c r="AU442" i="14"/>
  <c r="AT31" i="27"/>
  <c r="CP442" i="14" s="1"/>
  <c r="AG31" i="27"/>
  <c r="AU36" i="27"/>
  <c r="CQ447" i="14" s="1"/>
  <c r="AV447" i="14"/>
  <c r="AW29" i="27"/>
  <c r="CS440" i="14" s="1"/>
  <c r="AX440" i="14"/>
  <c r="AW18" i="27"/>
  <c r="CS429" i="14" s="1"/>
  <c r="AX429" i="14"/>
  <c r="AU13" i="27"/>
  <c r="CQ424" i="14" s="1"/>
  <c r="AV424" i="14"/>
  <c r="AT23" i="27"/>
  <c r="CP434" i="14" s="1"/>
  <c r="AU434" i="14"/>
  <c r="AG23" i="27"/>
  <c r="AW35" i="27"/>
  <c r="CS446" i="14" s="1"/>
  <c r="AX446" i="14"/>
  <c r="AW443" i="14"/>
  <c r="AV32" i="27"/>
  <c r="CR443" i="14" s="1"/>
  <c r="AU34" i="27"/>
  <c r="CQ445" i="14" s="1"/>
  <c r="AV445" i="14"/>
  <c r="AT36" i="27"/>
  <c r="CP447" i="14" s="1"/>
  <c r="AU447" i="14"/>
  <c r="AG36" i="27"/>
  <c r="AT12" i="26"/>
  <c r="CP392" i="14" s="1"/>
  <c r="AU392" i="14"/>
  <c r="AG12" i="26"/>
  <c r="AW33" i="26"/>
  <c r="CS413" i="14" s="1"/>
  <c r="AX413" i="14"/>
  <c r="AU8" i="26"/>
  <c r="CQ388" i="14" s="1"/>
  <c r="AV388" i="14"/>
  <c r="AT9" i="26"/>
  <c r="CP389" i="14" s="1"/>
  <c r="AU389" i="14"/>
  <c r="AG9" i="26"/>
  <c r="AT25" i="26"/>
  <c r="CP405" i="14" s="1"/>
  <c r="AU405" i="14"/>
  <c r="AG25" i="26"/>
  <c r="AX410" i="14"/>
  <c r="AW30" i="26"/>
  <c r="CS410" i="14" s="1"/>
  <c r="AW402" i="14"/>
  <c r="AV22" i="26"/>
  <c r="CR402" i="14" s="1"/>
  <c r="AT8" i="26"/>
  <c r="CP388" i="14" s="1"/>
  <c r="AU388" i="14"/>
  <c r="AG8" i="26"/>
  <c r="AU412" i="14"/>
  <c r="AT32" i="26"/>
  <c r="CP412" i="14" s="1"/>
  <c r="AG32" i="26"/>
  <c r="AV23" i="26"/>
  <c r="CR403" i="14" s="1"/>
  <c r="AW403" i="14"/>
  <c r="AV389" i="14"/>
  <c r="AU9" i="26"/>
  <c r="CQ389" i="14" s="1"/>
  <c r="AV405" i="14"/>
  <c r="AU25" i="26"/>
  <c r="CQ405" i="14" s="1"/>
  <c r="AT26" i="26"/>
  <c r="CP406" i="14" s="1"/>
  <c r="AU406" i="14"/>
  <c r="AG26" i="26"/>
  <c r="AW27" i="26"/>
  <c r="CS407" i="14" s="1"/>
  <c r="AX407" i="14"/>
  <c r="AU14" i="26"/>
  <c r="CQ394" i="14" s="1"/>
  <c r="AV394" i="14"/>
  <c r="AE333" i="1"/>
  <c r="AE334" i="1" s="1"/>
  <c r="AW9" i="28"/>
  <c r="CS450" i="14" s="1"/>
  <c r="AX450" i="14"/>
  <c r="AV33" i="28"/>
  <c r="CR474" i="14" s="1"/>
  <c r="AW474" i="14"/>
  <c r="AU452" i="14"/>
  <c r="AT11" i="28"/>
  <c r="CP452" i="14" s="1"/>
  <c r="AG11" i="28"/>
  <c r="AW476" i="14"/>
  <c r="AV35" i="28"/>
  <c r="CR476" i="14" s="1"/>
  <c r="AV457" i="14"/>
  <c r="AU16" i="28"/>
  <c r="CQ457" i="14" s="1"/>
  <c r="AV25" i="28"/>
  <c r="CR466" i="14" s="1"/>
  <c r="AW466" i="14"/>
  <c r="AW22" i="28"/>
  <c r="CS463" i="14" s="1"/>
  <c r="AX463" i="14"/>
  <c r="AV30" i="28"/>
  <c r="CR471" i="14" s="1"/>
  <c r="AW471" i="14"/>
  <c r="AT17" i="28"/>
  <c r="CP458" i="14" s="1"/>
  <c r="AU458" i="14"/>
  <c r="AG17" i="28"/>
  <c r="AX452" i="14"/>
  <c r="AW11" i="28"/>
  <c r="CS452" i="14" s="1"/>
  <c r="AX468" i="14"/>
  <c r="AW27" i="28"/>
  <c r="CS468" i="14" s="1"/>
  <c r="AV27" i="28"/>
  <c r="CR468" i="14" s="1"/>
  <c r="AW468" i="14"/>
  <c r="AU30" i="28"/>
  <c r="CQ471" i="14" s="1"/>
  <c r="AV471" i="14"/>
  <c r="AT10" i="28"/>
  <c r="CP451" i="14" s="1"/>
  <c r="AU451" i="14"/>
  <c r="AG10" i="28"/>
  <c r="AX457" i="14"/>
  <c r="AW16" i="28"/>
  <c r="CS457" i="14" s="1"/>
  <c r="AX473" i="14"/>
  <c r="AW32" i="28"/>
  <c r="CS473" i="14" s="1"/>
  <c r="AW457" i="14"/>
  <c r="AV16" i="28"/>
  <c r="CR457" i="14" s="1"/>
  <c r="AW473" i="14"/>
  <c r="AV32" i="28"/>
  <c r="CR473" i="14" s="1"/>
  <c r="AV460" i="14"/>
  <c r="AU19" i="28"/>
  <c r="CQ460" i="14" s="1"/>
  <c r="AU17" i="28"/>
  <c r="CQ458" i="14" s="1"/>
  <c r="AV458" i="14"/>
  <c r="AW433" i="14"/>
  <c r="AV22" i="27"/>
  <c r="CR433" i="14" s="1"/>
  <c r="AV9" i="27"/>
  <c r="CR420" i="14" s="1"/>
  <c r="AW420" i="14"/>
  <c r="AT33" i="27"/>
  <c r="CP444" i="14" s="1"/>
  <c r="AU444" i="14"/>
  <c r="AG33" i="27"/>
  <c r="AW445" i="14"/>
  <c r="AV34" i="27"/>
  <c r="CR445" i="14" s="1"/>
  <c r="AW23" i="27"/>
  <c r="CS434" i="14" s="1"/>
  <c r="AX434" i="14"/>
  <c r="AT9" i="27"/>
  <c r="CP420" i="14" s="1"/>
  <c r="AU420" i="14"/>
  <c r="AG9" i="27"/>
  <c r="AU440" i="14"/>
  <c r="AT29" i="27"/>
  <c r="CP440" i="14" s="1"/>
  <c r="AG29" i="27"/>
  <c r="AU24" i="27"/>
  <c r="CQ435" i="14" s="1"/>
  <c r="AV435" i="14"/>
  <c r="AT10" i="27"/>
  <c r="CP421" i="14" s="1"/>
  <c r="AU421" i="14"/>
  <c r="AG10" i="27"/>
  <c r="AW12" i="27"/>
  <c r="CS423" i="14" s="1"/>
  <c r="AX423" i="14"/>
  <c r="AW438" i="14"/>
  <c r="AV27" i="27"/>
  <c r="CR438" i="14" s="1"/>
  <c r="AU17" i="27"/>
  <c r="CQ428" i="14" s="1"/>
  <c r="AV428" i="14"/>
  <c r="AT27" i="27"/>
  <c r="CP438" i="14" s="1"/>
  <c r="AU438" i="14"/>
  <c r="AG27" i="27"/>
  <c r="AW22" i="27"/>
  <c r="CS433" i="14" s="1"/>
  <c r="AX433" i="14"/>
  <c r="AW431" i="14"/>
  <c r="AV20" i="27"/>
  <c r="CR431" i="14" s="1"/>
  <c r="AU22" i="27"/>
  <c r="CQ433" i="14" s="1"/>
  <c r="AV433" i="14"/>
  <c r="AT24" i="27"/>
  <c r="CP435" i="14" s="1"/>
  <c r="AU435" i="14"/>
  <c r="AG24" i="27"/>
  <c r="AU15" i="26"/>
  <c r="CQ395" i="14" s="1"/>
  <c r="AV395" i="14"/>
  <c r="AW395" i="14"/>
  <c r="AV15" i="26"/>
  <c r="CR395" i="14" s="1"/>
  <c r="AV392" i="14"/>
  <c r="AU12" i="26"/>
  <c r="CQ392" i="14" s="1"/>
  <c r="AT13" i="26"/>
  <c r="CP393" i="14" s="1"/>
  <c r="AU393" i="14"/>
  <c r="AG13" i="26"/>
  <c r="AW18" i="26"/>
  <c r="CS398" i="14" s="1"/>
  <c r="AX398" i="14"/>
  <c r="AW401" i="14"/>
  <c r="AV21" i="26"/>
  <c r="CR401" i="14" s="1"/>
  <c r="AU396" i="14"/>
  <c r="AT16" i="26"/>
  <c r="CP396" i="14" s="1"/>
  <c r="AG16" i="26"/>
  <c r="AX409" i="14"/>
  <c r="AW29" i="26"/>
  <c r="CS409" i="14" s="1"/>
  <c r="AW409" i="14"/>
  <c r="AV29" i="26"/>
  <c r="CR409" i="14" s="1"/>
  <c r="AU29" i="26"/>
  <c r="CQ409" i="14" s="1"/>
  <c r="AV409" i="14"/>
  <c r="AT14" i="26"/>
  <c r="CP394" i="14" s="1"/>
  <c r="AU394" i="14"/>
  <c r="AG14" i="26"/>
  <c r="AT30" i="26"/>
  <c r="CP410" i="14" s="1"/>
  <c r="AU410" i="14"/>
  <c r="AG30" i="26"/>
  <c r="AX411" i="14"/>
  <c r="AW31" i="26"/>
  <c r="CS411" i="14" s="1"/>
  <c r="AV18" i="26"/>
  <c r="CR398" i="14" s="1"/>
  <c r="AW398" i="14"/>
  <c r="AV16" i="26"/>
  <c r="CR396" i="14" s="1"/>
  <c r="AW396" i="14"/>
  <c r="AV398" i="14"/>
  <c r="AU18" i="26"/>
  <c r="CQ398" i="14" s="1"/>
  <c r="AV414" i="14"/>
  <c r="AU34" i="26"/>
  <c r="CQ414" i="14" s="1"/>
  <c r="AU399" i="14"/>
  <c r="AT19" i="26"/>
  <c r="CP399" i="14" s="1"/>
  <c r="AG19" i="26"/>
  <c r="AU415" i="14"/>
  <c r="AT35" i="26"/>
  <c r="CP415" i="14" s="1"/>
  <c r="AG35" i="26"/>
  <c r="AW20" i="26"/>
  <c r="CS400" i="14" s="1"/>
  <c r="AX400" i="14"/>
  <c r="AW36" i="26"/>
  <c r="CS416" i="14" s="1"/>
  <c r="AX416" i="14"/>
  <c r="AT25" i="28"/>
  <c r="CP466" i="14" s="1"/>
  <c r="AU466" i="14"/>
  <c r="AG25" i="28"/>
  <c r="AU20" i="28"/>
  <c r="CQ461" i="14" s="1"/>
  <c r="AV461" i="14"/>
  <c r="AW470" i="14"/>
  <c r="AV29" i="28"/>
  <c r="CR470" i="14" s="1"/>
  <c r="AT18" i="28"/>
  <c r="CP459" i="14" s="1"/>
  <c r="AU459" i="14"/>
  <c r="AG18" i="28"/>
  <c r="AW462" i="14"/>
  <c r="AV21" i="28"/>
  <c r="CR462" i="14" s="1"/>
  <c r="AU465" i="14"/>
  <c r="AT24" i="28"/>
  <c r="CP465" i="14" s="1"/>
  <c r="AG24" i="28"/>
  <c r="AU454" i="14"/>
  <c r="AT13" i="28"/>
  <c r="CP454" i="14" s="1"/>
  <c r="AG13" i="28"/>
  <c r="AX454" i="14"/>
  <c r="AW13" i="28"/>
  <c r="CS454" i="14" s="1"/>
  <c r="AV453" i="14"/>
  <c r="AU12" i="28"/>
  <c r="CQ453" i="14" s="1"/>
  <c r="AX467" i="14"/>
  <c r="AW26" i="28"/>
  <c r="CS467" i="14" s="1"/>
  <c r="AV14" i="28"/>
  <c r="CR455" i="14" s="1"/>
  <c r="AW455" i="14"/>
  <c r="AW475" i="14"/>
  <c r="AV34" i="28"/>
  <c r="CR475" i="14" s="1"/>
  <c r="AU25" i="28"/>
  <c r="CQ466" i="14" s="1"/>
  <c r="AV466" i="14"/>
  <c r="AW36" i="28"/>
  <c r="CS477" i="14" s="1"/>
  <c r="AX477" i="14"/>
  <c r="AU472" i="14"/>
  <c r="AT31" i="28"/>
  <c r="CP472" i="14" s="1"/>
  <c r="AG31" i="28"/>
  <c r="AW15" i="28"/>
  <c r="CS456" i="14" s="1"/>
  <c r="AX456" i="14"/>
  <c r="AX472" i="14"/>
  <c r="AW31" i="28"/>
  <c r="CS472" i="14" s="1"/>
  <c r="AW456" i="14"/>
  <c r="AV15" i="28"/>
  <c r="CR456" i="14" s="1"/>
  <c r="AW472" i="14"/>
  <c r="AV31" i="28"/>
  <c r="CR472" i="14" s="1"/>
  <c r="AU18" i="28"/>
  <c r="CQ459" i="14" s="1"/>
  <c r="AV459" i="14"/>
  <c r="AU34" i="28"/>
  <c r="CQ475" i="14" s="1"/>
  <c r="AV475" i="14"/>
  <c r="AT16" i="28"/>
  <c r="CP457" i="14" s="1"/>
  <c r="AU457" i="14"/>
  <c r="AG16" i="28"/>
  <c r="AT26" i="28"/>
  <c r="CP467" i="14" s="1"/>
  <c r="AU467" i="14"/>
  <c r="AG26" i="28"/>
  <c r="AW20" i="28"/>
  <c r="CS461" i="14" s="1"/>
  <c r="AX461" i="14"/>
  <c r="AU35" i="28"/>
  <c r="CQ476" i="14" s="1"/>
  <c r="AV476" i="14"/>
  <c r="AV20" i="28"/>
  <c r="CR461" i="14" s="1"/>
  <c r="AW461" i="14"/>
  <c r="AU37" i="28"/>
  <c r="CQ478" i="14" s="1"/>
  <c r="AV478" i="14"/>
  <c r="AU23" i="28"/>
  <c r="CQ464" i="14" s="1"/>
  <c r="AV464" i="14"/>
  <c r="AT38" i="28"/>
  <c r="CP479" i="14" s="1"/>
  <c r="AU479" i="14"/>
  <c r="AG38" i="28"/>
  <c r="AV38" i="28"/>
  <c r="CR479" i="14" s="1"/>
  <c r="AW479" i="14"/>
  <c r="AK333" i="1"/>
  <c r="AK334" i="1" s="1"/>
  <c r="AW24" i="27"/>
  <c r="CS435" i="14" s="1"/>
  <c r="AX435" i="14"/>
  <c r="AW441" i="14"/>
  <c r="AV30" i="27"/>
  <c r="CR441" i="14" s="1"/>
  <c r="AW33" i="27"/>
  <c r="CS444" i="14" s="1"/>
  <c r="AX444" i="14"/>
  <c r="AV17" i="27"/>
  <c r="CR428" i="14" s="1"/>
  <c r="AW428" i="14"/>
  <c r="AU19" i="27"/>
  <c r="CQ430" i="14" s="1"/>
  <c r="AV430" i="14"/>
  <c r="AW13" i="27"/>
  <c r="CS424" i="14" s="1"/>
  <c r="AX424" i="14"/>
  <c r="AW421" i="14"/>
  <c r="AV10" i="27"/>
  <c r="CR421" i="14" s="1"/>
  <c r="AU12" i="27"/>
  <c r="CQ423" i="14" s="1"/>
  <c r="AV423" i="14"/>
  <c r="AU448" i="14"/>
  <c r="AT37" i="27"/>
  <c r="CP448" i="14" s="1"/>
  <c r="AG37" i="27"/>
  <c r="AW26" i="27"/>
  <c r="CS437" i="14" s="1"/>
  <c r="AX437" i="14"/>
  <c r="AV37" i="27"/>
  <c r="CR448" i="14" s="1"/>
  <c r="AW448" i="14"/>
  <c r="AT25" i="27"/>
  <c r="CP436" i="14" s="1"/>
  <c r="AU436" i="14"/>
  <c r="AG25" i="27"/>
  <c r="AW37" i="27"/>
  <c r="CS448" i="14" s="1"/>
  <c r="AX448" i="14"/>
  <c r="AU21" i="27"/>
  <c r="CQ432" i="14" s="1"/>
  <c r="AV432" i="14"/>
  <c r="AU28" i="27"/>
  <c r="CQ439" i="14" s="1"/>
  <c r="AV439" i="14"/>
  <c r="AT14" i="27"/>
  <c r="CP425" i="14" s="1"/>
  <c r="AU425" i="14"/>
  <c r="AG14" i="27"/>
  <c r="AT30" i="27"/>
  <c r="CP441" i="14" s="1"/>
  <c r="AU441" i="14"/>
  <c r="AG30" i="27"/>
  <c r="AW28" i="27"/>
  <c r="CS439" i="14" s="1"/>
  <c r="AX439" i="14"/>
  <c r="AW422" i="14"/>
  <c r="AV11" i="27"/>
  <c r="CR422" i="14" s="1"/>
  <c r="AW446" i="14"/>
  <c r="AV35" i="27"/>
  <c r="CR446" i="14" s="1"/>
  <c r="AU25" i="27"/>
  <c r="CQ436" i="14" s="1"/>
  <c r="AV436" i="14"/>
  <c r="AU426" i="14"/>
  <c r="AT15" i="27"/>
  <c r="CP426" i="14" s="1"/>
  <c r="AG15" i="27"/>
  <c r="AT35" i="27"/>
  <c r="CP446" i="14" s="1"/>
  <c r="AU446" i="14"/>
  <c r="AG35" i="27"/>
  <c r="AW32" i="27"/>
  <c r="CS443" i="14" s="1"/>
  <c r="AX443" i="14"/>
  <c r="AV8" i="27"/>
  <c r="CR419" i="14" s="1"/>
  <c r="AW419" i="14"/>
  <c r="AW435" i="14"/>
  <c r="AV24" i="27"/>
  <c r="CR435" i="14" s="1"/>
  <c r="AV421" i="14"/>
  <c r="AU10" i="27"/>
  <c r="CQ421" i="14" s="1"/>
  <c r="AU26" i="27"/>
  <c r="CQ437" i="14" s="1"/>
  <c r="AV437" i="14"/>
  <c r="AU423" i="14"/>
  <c r="AT12" i="27"/>
  <c r="CP423" i="14" s="1"/>
  <c r="AG12" i="27"/>
  <c r="AU439" i="14"/>
  <c r="AT28" i="27"/>
  <c r="CP439" i="14" s="1"/>
  <c r="AG28" i="27"/>
  <c r="AV27" i="26"/>
  <c r="CR407" i="14" s="1"/>
  <c r="AW407" i="14"/>
  <c r="AV407" i="14"/>
  <c r="AU27" i="26"/>
  <c r="CQ407" i="14" s="1"/>
  <c r="AW9" i="26"/>
  <c r="CS389" i="14" s="1"/>
  <c r="AX389" i="14"/>
  <c r="AV10" i="26"/>
  <c r="CR390" i="14" s="1"/>
  <c r="AW390" i="14"/>
  <c r="AV8" i="26"/>
  <c r="CR388" i="14" s="1"/>
  <c r="AW388" i="14"/>
  <c r="AU16" i="26"/>
  <c r="CQ396" i="14" s="1"/>
  <c r="AV396" i="14"/>
  <c r="AU32" i="26"/>
  <c r="CQ412" i="14" s="1"/>
  <c r="AV412" i="14"/>
  <c r="AU397" i="14"/>
  <c r="AT17" i="26"/>
  <c r="CP397" i="14" s="1"/>
  <c r="AG17" i="26"/>
  <c r="AU413" i="14"/>
  <c r="AT33" i="26"/>
  <c r="CP413" i="14" s="1"/>
  <c r="AG33" i="26"/>
  <c r="AX402" i="14"/>
  <c r="AW22" i="26"/>
  <c r="CS402" i="14" s="1"/>
  <c r="AX418" i="14"/>
  <c r="AW38" i="26"/>
  <c r="CS418" i="14" s="1"/>
  <c r="AV37" i="26"/>
  <c r="CR417" i="14" s="1"/>
  <c r="AW417" i="14"/>
  <c r="AU23" i="26"/>
  <c r="CQ403" i="14" s="1"/>
  <c r="AV403" i="14"/>
  <c r="AU400" i="14"/>
  <c r="AT20" i="26"/>
  <c r="CP400" i="14" s="1"/>
  <c r="AG20" i="26"/>
  <c r="AX393" i="14"/>
  <c r="AW13" i="26"/>
  <c r="CS393" i="14" s="1"/>
  <c r="AX417" i="14"/>
  <c r="AW37" i="26"/>
  <c r="CS417" i="14" s="1"/>
  <c r="AV14" i="26"/>
  <c r="CR394" i="14" s="1"/>
  <c r="AW394" i="14"/>
  <c r="AV12" i="26"/>
  <c r="CR392" i="14" s="1"/>
  <c r="AW392" i="14"/>
  <c r="AV397" i="14"/>
  <c r="AU17" i="26"/>
  <c r="CQ397" i="14" s="1"/>
  <c r="AV413" i="14"/>
  <c r="AU33" i="26"/>
  <c r="CQ413" i="14" s="1"/>
  <c r="AU398" i="14"/>
  <c r="AT18" i="26"/>
  <c r="CP398" i="14" s="1"/>
  <c r="AG18" i="26"/>
  <c r="AU414" i="14"/>
  <c r="AT34" i="26"/>
  <c r="CP414" i="14" s="1"/>
  <c r="AG34" i="26"/>
  <c r="AW19" i="26"/>
  <c r="CS399" i="14" s="1"/>
  <c r="AX399" i="14"/>
  <c r="AW35" i="26"/>
  <c r="CS415" i="14" s="1"/>
  <c r="AX415" i="14"/>
  <c r="AW414" i="14"/>
  <c r="AV34" i="26"/>
  <c r="CR414" i="14" s="1"/>
  <c r="AW412" i="14"/>
  <c r="AV32" i="26"/>
  <c r="CR412" i="14" s="1"/>
  <c r="AU22" i="26"/>
  <c r="CQ402" i="14" s="1"/>
  <c r="AV402" i="14"/>
  <c r="AU38" i="26"/>
  <c r="CQ418" i="14" s="1"/>
  <c r="AV418" i="14"/>
  <c r="AT23" i="26"/>
  <c r="CP403" i="14" s="1"/>
  <c r="AU403" i="14"/>
  <c r="AG23" i="26"/>
  <c r="AW8" i="26"/>
  <c r="CS388" i="14" s="1"/>
  <c r="AX388" i="14"/>
  <c r="AW24" i="26"/>
  <c r="CS404" i="14" s="1"/>
  <c r="AX404" i="14"/>
  <c r="AT27" i="28"/>
  <c r="CP468" i="14" s="1"/>
  <c r="AU468" i="14"/>
  <c r="AG27" i="28"/>
  <c r="AW35" i="28"/>
  <c r="CS476" i="14" s="1"/>
  <c r="AX476" i="14"/>
  <c r="AX474" i="14"/>
  <c r="AW33" i="28"/>
  <c r="CS474" i="14" s="1"/>
  <c r="AT37" i="28"/>
  <c r="CP478" i="14" s="1"/>
  <c r="AU478" i="14"/>
  <c r="AG37" i="28"/>
  <c r="AU462" i="14"/>
  <c r="AT21" i="28"/>
  <c r="CP462" i="14" s="1"/>
  <c r="AG21" i="28"/>
  <c r="AX451" i="14"/>
  <c r="AW10" i="28"/>
  <c r="CS451" i="14" s="1"/>
  <c r="AV449" i="14"/>
  <c r="AU8" i="28"/>
  <c r="CQ449" i="14" s="1"/>
  <c r="AU475" i="14"/>
  <c r="AT34" i="28"/>
  <c r="CP475" i="14" s="1"/>
  <c r="AG34" i="28"/>
  <c r="AU461" i="14"/>
  <c r="AT20" i="28"/>
  <c r="CP461" i="14" s="1"/>
  <c r="AG20" i="28"/>
  <c r="AW25" i="28"/>
  <c r="CS466" i="14" s="1"/>
  <c r="AX466" i="14"/>
  <c r="AV469" i="14"/>
  <c r="AU28" i="28"/>
  <c r="CQ469" i="14" s="1"/>
  <c r="AW34" i="28"/>
  <c r="CS475" i="14" s="1"/>
  <c r="AX475" i="14"/>
  <c r="AW459" i="14"/>
  <c r="AV18" i="28"/>
  <c r="CR459" i="14" s="1"/>
  <c r="AU9" i="28"/>
  <c r="CQ450" i="14" s="1"/>
  <c r="AV450" i="14"/>
  <c r="AV470" i="14"/>
  <c r="AU29" i="28"/>
  <c r="CQ470" i="14" s="1"/>
  <c r="AU453" i="14"/>
  <c r="AT12" i="28"/>
  <c r="CP453" i="14" s="1"/>
  <c r="AG12" i="28"/>
  <c r="AU463" i="14"/>
  <c r="AT22" i="28"/>
  <c r="CP463" i="14" s="1"/>
  <c r="AG22" i="28"/>
  <c r="AX460" i="14"/>
  <c r="AW19" i="28"/>
  <c r="CS460" i="14" s="1"/>
  <c r="AU476" i="14"/>
  <c r="AT35" i="28"/>
  <c r="CP476" i="14" s="1"/>
  <c r="AG35" i="28"/>
  <c r="AV19" i="28"/>
  <c r="CR460" i="14" s="1"/>
  <c r="AW460" i="14"/>
  <c r="AU36" i="28"/>
  <c r="CQ477" i="14" s="1"/>
  <c r="AV477" i="14"/>
  <c r="AU22" i="28"/>
  <c r="CQ463" i="14" s="1"/>
  <c r="AV463" i="14"/>
  <c r="AU38" i="28"/>
  <c r="CQ479" i="14" s="1"/>
  <c r="AV479" i="14"/>
  <c r="AU473" i="14"/>
  <c r="AT32" i="28"/>
  <c r="CP473" i="14" s="1"/>
  <c r="AG32" i="28"/>
  <c r="AX449" i="14"/>
  <c r="AW8" i="28"/>
  <c r="CS449" i="14" s="1"/>
  <c r="AX465" i="14"/>
  <c r="AW24" i="28"/>
  <c r="CS465" i="14" s="1"/>
  <c r="AW449" i="14"/>
  <c r="AV8" i="28"/>
  <c r="CR449" i="14" s="1"/>
  <c r="AW465" i="14"/>
  <c r="AV24" i="28"/>
  <c r="CR465" i="14" s="1"/>
  <c r="AV452" i="14"/>
  <c r="AU11" i="28"/>
  <c r="CQ452" i="14" s="1"/>
  <c r="AV468" i="14"/>
  <c r="AU27" i="28"/>
  <c r="CQ468" i="14" s="1"/>
  <c r="AW30" i="28"/>
  <c r="CS471" i="14" s="1"/>
  <c r="AX471" i="14"/>
  <c r="AU27" i="27"/>
  <c r="CQ438" i="14" s="1"/>
  <c r="AV438" i="14"/>
  <c r="AW444" i="14"/>
  <c r="AV33" i="27"/>
  <c r="CR444" i="14" s="1"/>
  <c r="AW11" i="27"/>
  <c r="CS422" i="14" s="1"/>
  <c r="AX422" i="14"/>
  <c r="AU35" i="27"/>
  <c r="CQ446" i="14" s="1"/>
  <c r="AV446" i="14"/>
  <c r="AV21" i="27"/>
  <c r="CR432" i="14" s="1"/>
  <c r="AW432" i="14"/>
  <c r="AU23" i="27"/>
  <c r="CQ434" i="14" s="1"/>
  <c r="AV434" i="14"/>
  <c r="AW426" i="14"/>
  <c r="AV15" i="27"/>
  <c r="CR426" i="14" s="1"/>
  <c r="AU433" i="14"/>
  <c r="AT22" i="27"/>
  <c r="CP433" i="14" s="1"/>
  <c r="AG22" i="27"/>
  <c r="AW434" i="14"/>
  <c r="AV23" i="27"/>
  <c r="CR434" i="14" s="1"/>
  <c r="AU33" i="27"/>
  <c r="CQ444" i="14" s="1"/>
  <c r="AV444" i="14"/>
  <c r="AW17" i="27"/>
  <c r="CS428" i="14" s="1"/>
  <c r="AX428" i="14"/>
  <c r="AW427" i="14"/>
  <c r="AV16" i="27"/>
  <c r="CR427" i="14" s="1"/>
  <c r="AU18" i="27"/>
  <c r="CQ429" i="14" s="1"/>
  <c r="AV429" i="14"/>
  <c r="AT20" i="27"/>
  <c r="CP431" i="14" s="1"/>
  <c r="AU431" i="14"/>
  <c r="AG20" i="27"/>
  <c r="AW400" i="14"/>
  <c r="AV20" i="26"/>
  <c r="CR400" i="14" s="1"/>
  <c r="AV9" i="26"/>
  <c r="CR389" i="14" s="1"/>
  <c r="AW389" i="14"/>
  <c r="AU24" i="26"/>
  <c r="CQ404" i="14" s="1"/>
  <c r="AV404" i="14"/>
  <c r="AX394" i="14"/>
  <c r="AW14" i="26"/>
  <c r="CS394" i="14" s="1"/>
  <c r="AV391" i="14"/>
  <c r="AU11" i="26"/>
  <c r="CQ391" i="14" s="1"/>
  <c r="AW25" i="26"/>
  <c r="CS405" i="14" s="1"/>
  <c r="AX405" i="14"/>
  <c r="AV13" i="26"/>
  <c r="CR393" i="14" s="1"/>
  <c r="AW393" i="14"/>
  <c r="AT10" i="26"/>
  <c r="CP390" i="14" s="1"/>
  <c r="AU390" i="14"/>
  <c r="AG10" i="26"/>
  <c r="AW11" i="26"/>
  <c r="CS391" i="14" s="1"/>
  <c r="AX391" i="14"/>
  <c r="AW391" i="14"/>
  <c r="AV11" i="26"/>
  <c r="CR391" i="14" s="1"/>
  <c r="AW413" i="14"/>
  <c r="AV33" i="26"/>
  <c r="CR413" i="14" s="1"/>
  <c r="AU30" i="26"/>
  <c r="CQ410" i="14" s="1"/>
  <c r="AV410" i="14"/>
  <c r="AT15" i="26"/>
  <c r="CP395" i="14" s="1"/>
  <c r="AU395" i="14"/>
  <c r="AG15" i="26"/>
  <c r="AT31" i="26"/>
  <c r="CP411" i="14" s="1"/>
  <c r="AU411" i="14"/>
  <c r="AG31" i="26"/>
  <c r="AX396" i="14"/>
  <c r="AW16" i="26"/>
  <c r="CS396" i="14" s="1"/>
  <c r="AW32" i="26"/>
  <c r="CS412" i="14" s="1"/>
  <c r="AX412" i="14"/>
  <c r="AV473" i="14"/>
  <c r="AU32" i="28"/>
  <c r="CQ473" i="14" s="1"/>
  <c r="AW14" i="28"/>
  <c r="CS455" i="14" s="1"/>
  <c r="AX455" i="14"/>
  <c r="AW38" i="28"/>
  <c r="CS479" i="14" s="1"/>
  <c r="AX479" i="14"/>
  <c r="AT30" i="28"/>
  <c r="CP471" i="14" s="1"/>
  <c r="AU471" i="14"/>
  <c r="AG30" i="28"/>
  <c r="AW451" i="14"/>
  <c r="AV10" i="28"/>
  <c r="CR451" i="14" s="1"/>
  <c r="AU21" i="28"/>
  <c r="CQ462" i="14" s="1"/>
  <c r="AV462" i="14"/>
  <c r="AT15" i="28"/>
  <c r="CP456" i="14" s="1"/>
  <c r="AU456" i="14"/>
  <c r="AG15" i="28"/>
  <c r="AV11" i="28"/>
  <c r="CR452" i="14" s="1"/>
  <c r="AW452" i="14"/>
  <c r="AU14" i="28"/>
  <c r="CQ455" i="14" s="1"/>
  <c r="AV455" i="14"/>
  <c r="AT9" i="28"/>
  <c r="CP450" i="14" s="1"/>
  <c r="AU450" i="14"/>
  <c r="AG9" i="28"/>
  <c r="AU477" i="14"/>
  <c r="AT36" i="28"/>
  <c r="CP477" i="14" s="1"/>
  <c r="AG36" i="28"/>
  <c r="AW21" i="27"/>
  <c r="CS432" i="14" s="1"/>
  <c r="AX432" i="14"/>
  <c r="AU424" i="14"/>
  <c r="AT13" i="27"/>
  <c r="CP424" i="14" s="1"/>
  <c r="AG13" i="27"/>
  <c r="AU11" i="27"/>
  <c r="CQ422" i="14" s="1"/>
  <c r="AV422" i="14"/>
  <c r="AW14" i="27"/>
  <c r="CS425" i="14" s="1"/>
  <c r="AX425" i="14"/>
  <c r="AT21" i="27"/>
  <c r="CP432" i="14" s="1"/>
  <c r="AU432" i="14"/>
  <c r="AG21" i="27"/>
  <c r="AV29" i="27"/>
  <c r="CR440" i="14" s="1"/>
  <c r="AW440" i="14"/>
  <c r="AW442" i="14"/>
  <c r="AV31" i="27"/>
  <c r="CR442" i="14" s="1"/>
  <c r="AT26" i="27"/>
  <c r="CP437" i="14" s="1"/>
  <c r="AU437" i="14"/>
  <c r="AG26" i="27"/>
  <c r="AW34" i="27"/>
  <c r="CS445" i="14" s="1"/>
  <c r="AX445" i="14"/>
  <c r="AU37" i="27"/>
  <c r="CQ448" i="14" s="1"/>
  <c r="AV448" i="14"/>
  <c r="AW16" i="27"/>
  <c r="CS427" i="14" s="1"/>
  <c r="AX427" i="14"/>
  <c r="AW447" i="14"/>
  <c r="AV36" i="27"/>
  <c r="CR447" i="14" s="1"/>
  <c r="AT8" i="27"/>
  <c r="CP419" i="14" s="1"/>
  <c r="AU419" i="14"/>
  <c r="AG8" i="27"/>
  <c r="AT24" i="26"/>
  <c r="CP404" i="14" s="1"/>
  <c r="AU404" i="14"/>
  <c r="AG24" i="26"/>
  <c r="AW405" i="14"/>
  <c r="AV25" i="26"/>
  <c r="CR405" i="14" s="1"/>
  <c r="AV408" i="14"/>
  <c r="AU28" i="26"/>
  <c r="CQ408" i="14" s="1"/>
  <c r="AT29" i="26"/>
  <c r="CP409" i="14" s="1"/>
  <c r="AU409" i="14"/>
  <c r="AG29" i="26"/>
  <c r="AW34" i="26"/>
  <c r="CS414" i="14" s="1"/>
  <c r="AX414" i="14"/>
  <c r="AV399" i="14"/>
  <c r="AU19" i="26"/>
  <c r="CQ399" i="14" s="1"/>
  <c r="AU416" i="14"/>
  <c r="AT36" i="26"/>
  <c r="CP416" i="14" s="1"/>
  <c r="AG36" i="26"/>
  <c r="AW411" i="14"/>
  <c r="AV31" i="26"/>
  <c r="CR411" i="14" s="1"/>
  <c r="AU13" i="26"/>
  <c r="CQ393" i="14" s="1"/>
  <c r="AV393" i="14"/>
  <c r="AX395" i="14"/>
  <c r="AW15" i="26"/>
  <c r="CS395" i="14" s="1"/>
  <c r="AX458" i="14"/>
  <c r="AW17" i="28"/>
  <c r="CS458" i="14" s="1"/>
  <c r="AW27" i="27"/>
  <c r="CS438" i="14" s="1"/>
  <c r="AX438" i="14"/>
  <c r="AU8" i="27"/>
  <c r="CQ419" i="14" s="1"/>
  <c r="AV419" i="14"/>
  <c r="AW36" i="27"/>
  <c r="CS447" i="14" s="1"/>
  <c r="AX447" i="14"/>
  <c r="AV25" i="27"/>
  <c r="CR436" i="14" s="1"/>
  <c r="AW436" i="14"/>
  <c r="AU31" i="27"/>
  <c r="CQ442" i="14" s="1"/>
  <c r="AV442" i="14"/>
  <c r="AW8" i="27"/>
  <c r="CS419" i="14" s="1"/>
  <c r="AX419" i="14"/>
  <c r="AW429" i="14"/>
  <c r="AV18" i="27"/>
  <c r="CR429" i="14" s="1"/>
  <c r="AU20" i="27"/>
  <c r="CQ431" i="14" s="1"/>
  <c r="AV431" i="14"/>
  <c r="AW25" i="27"/>
  <c r="CS436" i="14" s="1"/>
  <c r="AX436" i="14"/>
  <c r="AV13" i="27"/>
  <c r="CR424" i="14" s="1"/>
  <c r="AW424" i="14"/>
  <c r="AU15" i="27"/>
  <c r="CQ426" i="14" s="1"/>
  <c r="AV426" i="14"/>
  <c r="AW30" i="27"/>
  <c r="CS441" i="14" s="1"/>
  <c r="AX441" i="14"/>
  <c r="AW31" i="27"/>
  <c r="CS442" i="14" s="1"/>
  <c r="AX442" i="14"/>
  <c r="AT11" i="27"/>
  <c r="CP422" i="14" s="1"/>
  <c r="AU422" i="14"/>
  <c r="AG11" i="27"/>
  <c r="AU32" i="27"/>
  <c r="CQ443" i="14" s="1"/>
  <c r="AV443" i="14"/>
  <c r="AT18" i="27"/>
  <c r="CP429" i="14" s="1"/>
  <c r="AU429" i="14"/>
  <c r="AG18" i="27"/>
  <c r="AT34" i="27"/>
  <c r="CP445" i="14" s="1"/>
  <c r="AU445" i="14"/>
  <c r="AG34" i="27"/>
  <c r="AW15" i="27"/>
  <c r="CS426" i="14" s="1"/>
  <c r="AX426" i="14"/>
  <c r="AW430" i="14"/>
  <c r="AV19" i="27"/>
  <c r="CR430" i="14" s="1"/>
  <c r="AU9" i="27"/>
  <c r="CQ420" i="14" s="1"/>
  <c r="AV420" i="14"/>
  <c r="AU29" i="27"/>
  <c r="CQ440" i="14" s="1"/>
  <c r="AV440" i="14"/>
  <c r="AT19" i="27"/>
  <c r="CP430" i="14" s="1"/>
  <c r="AU430" i="14"/>
  <c r="AG19" i="27"/>
  <c r="AW9" i="27"/>
  <c r="CS420" i="14" s="1"/>
  <c r="AX420" i="14"/>
  <c r="AW19" i="27"/>
  <c r="CS430" i="14" s="1"/>
  <c r="AX430" i="14"/>
  <c r="AW423" i="14"/>
  <c r="AV12" i="27"/>
  <c r="CR423" i="14" s="1"/>
  <c r="AW439" i="14"/>
  <c r="AV28" i="27"/>
  <c r="CR439" i="14" s="1"/>
  <c r="AU14" i="27"/>
  <c r="CQ425" i="14" s="1"/>
  <c r="AV425" i="14"/>
  <c r="AU30" i="27"/>
  <c r="CQ441" i="14" s="1"/>
  <c r="AV441" i="14"/>
  <c r="AT16" i="27"/>
  <c r="CP427" i="14" s="1"/>
  <c r="AU427" i="14"/>
  <c r="AG16" i="27"/>
  <c r="AU443" i="14"/>
  <c r="AT32" i="27"/>
  <c r="CP443" i="14" s="1"/>
  <c r="AG32" i="27"/>
  <c r="AV38" i="26"/>
  <c r="CR418" i="14" s="1"/>
  <c r="AW418" i="14"/>
  <c r="AV415" i="14"/>
  <c r="AU35" i="26"/>
  <c r="CQ415" i="14" s="1"/>
  <c r="AW17" i="26"/>
  <c r="CS397" i="14" s="1"/>
  <c r="AX397" i="14"/>
  <c r="AW406" i="14"/>
  <c r="AV26" i="26"/>
  <c r="CR406" i="14" s="1"/>
  <c r="AW404" i="14"/>
  <c r="AV24" i="26"/>
  <c r="CR404" i="14" s="1"/>
  <c r="AV400" i="14"/>
  <c r="AU20" i="26"/>
  <c r="CQ400" i="14" s="1"/>
  <c r="AV416" i="14"/>
  <c r="AU36" i="26"/>
  <c r="CQ416" i="14" s="1"/>
  <c r="AU401" i="14"/>
  <c r="AT21" i="26"/>
  <c r="CP401" i="14" s="1"/>
  <c r="AG21" i="26"/>
  <c r="AU417" i="14"/>
  <c r="AT37" i="26"/>
  <c r="CP417" i="14" s="1"/>
  <c r="AG37" i="26"/>
  <c r="AW26" i="26"/>
  <c r="CS406" i="14" s="1"/>
  <c r="AX406" i="14"/>
  <c r="AW415" i="14"/>
  <c r="AV35" i="26"/>
  <c r="CR415" i="14" s="1"/>
  <c r="AV36" i="26"/>
  <c r="CR416" i="14" s="1"/>
  <c r="AW416" i="14"/>
  <c r="AU31" i="26"/>
  <c r="CQ411" i="14" s="1"/>
  <c r="AV411" i="14"/>
  <c r="AT28" i="26"/>
  <c r="CP408" i="14" s="1"/>
  <c r="AU408" i="14"/>
  <c r="AG28" i="26"/>
  <c r="AX401" i="14"/>
  <c r="AW21" i="26"/>
  <c r="CS401" i="14" s="1"/>
  <c r="AW10" i="26"/>
  <c r="CS390" i="14" s="1"/>
  <c r="AX390" i="14"/>
  <c r="AW410" i="14"/>
  <c r="AV30" i="26"/>
  <c r="CR410" i="14" s="1"/>
  <c r="AW408" i="14"/>
  <c r="AV28" i="26"/>
  <c r="CR408" i="14" s="1"/>
  <c r="AU21" i="26"/>
  <c r="CQ401" i="14" s="1"/>
  <c r="AV401" i="14"/>
  <c r="AU37" i="26"/>
  <c r="CQ417" i="14" s="1"/>
  <c r="AV417" i="14"/>
  <c r="AU402" i="14"/>
  <c r="AT22" i="26"/>
  <c r="CP402" i="14" s="1"/>
  <c r="AG22" i="26"/>
  <c r="AU418" i="14"/>
  <c r="AT38" i="26"/>
  <c r="CP418" i="14" s="1"/>
  <c r="AG38" i="26"/>
  <c r="AX403" i="14"/>
  <c r="AW23" i="26"/>
  <c r="CS403" i="14" s="1"/>
  <c r="AV19" i="26"/>
  <c r="CR399" i="14" s="1"/>
  <c r="AW399" i="14"/>
  <c r="AV17" i="26"/>
  <c r="CR397" i="14" s="1"/>
  <c r="AW397" i="14"/>
  <c r="AV390" i="14"/>
  <c r="AU10" i="26"/>
  <c r="CQ390" i="14" s="1"/>
  <c r="AV406" i="14"/>
  <c r="AU26" i="26"/>
  <c r="CQ406" i="14" s="1"/>
  <c r="AT11" i="26"/>
  <c r="CP391" i="14" s="1"/>
  <c r="AU391" i="14"/>
  <c r="AG11" i="26"/>
  <c r="AT27" i="26"/>
  <c r="CP407" i="14" s="1"/>
  <c r="AU407" i="14"/>
  <c r="AG27" i="26"/>
  <c r="AW12" i="26"/>
  <c r="CS392" i="14" s="1"/>
  <c r="AX392" i="14"/>
  <c r="AW28" i="26"/>
  <c r="CS408" i="14" s="1"/>
  <c r="AX408" i="14"/>
  <c r="AX470" i="14"/>
  <c r="AW29" i="28"/>
  <c r="CS470" i="14" s="1"/>
  <c r="AU455" i="14"/>
  <c r="AT14" i="28"/>
  <c r="CP455" i="14" s="1"/>
  <c r="AG14" i="28"/>
  <c r="AW458" i="14"/>
  <c r="AV17" i="28"/>
  <c r="CR458" i="14" s="1"/>
  <c r="AT29" i="28"/>
  <c r="CP470" i="14" s="1"/>
  <c r="AU470" i="14"/>
  <c r="AG29" i="28"/>
  <c r="AT8" i="28"/>
  <c r="CP449" i="14" s="1"/>
  <c r="AU449" i="14"/>
  <c r="AG8" i="28"/>
  <c r="AX462" i="14"/>
  <c r="AW21" i="28"/>
  <c r="CS462" i="14" s="1"/>
  <c r="AV465" i="14"/>
  <c r="AU24" i="28"/>
  <c r="CQ465" i="14" s="1"/>
  <c r="AW454" i="14"/>
  <c r="AV13" i="28"/>
  <c r="CR454" i="14" s="1"/>
  <c r="AT23" i="28"/>
  <c r="CP464" i="14" s="1"/>
  <c r="AU464" i="14"/>
  <c r="AG23" i="28"/>
  <c r="AV9" i="28"/>
  <c r="CR450" i="14" s="1"/>
  <c r="AW450" i="14"/>
  <c r="AW18" i="28"/>
  <c r="CS459" i="14" s="1"/>
  <c r="AX459" i="14"/>
  <c r="AV36" i="28"/>
  <c r="CR477" i="14" s="1"/>
  <c r="AW477" i="14"/>
  <c r="AV26" i="28"/>
  <c r="CR467" i="14" s="1"/>
  <c r="AW467" i="14"/>
  <c r="AV454" i="14"/>
  <c r="AU13" i="28"/>
  <c r="CQ454" i="14" s="1"/>
  <c r="AU33" i="28"/>
  <c r="CQ474" i="14" s="1"/>
  <c r="AV474" i="14"/>
  <c r="AT28" i="28"/>
  <c r="CP469" i="14" s="1"/>
  <c r="AU469" i="14"/>
  <c r="AG28" i="28"/>
  <c r="AW37" i="28"/>
  <c r="CS478" i="14" s="1"/>
  <c r="AX478" i="14"/>
  <c r="AW23" i="28"/>
  <c r="CS464" i="14" s="1"/>
  <c r="AX464" i="14"/>
  <c r="AV37" i="28"/>
  <c r="CR478" i="14" s="1"/>
  <c r="AW478" i="14"/>
  <c r="AV23" i="28"/>
  <c r="CR464" i="14" s="1"/>
  <c r="AW464" i="14"/>
  <c r="AV451" i="14"/>
  <c r="AU10" i="28"/>
  <c r="CQ451" i="14" s="1"/>
  <c r="AV467" i="14"/>
  <c r="AU26" i="28"/>
  <c r="CQ467" i="14" s="1"/>
  <c r="AT33" i="28"/>
  <c r="CP474" i="14" s="1"/>
  <c r="AU474" i="14"/>
  <c r="AG33" i="28"/>
  <c r="AU460" i="14"/>
  <c r="AT19" i="28"/>
  <c r="CP460" i="14" s="1"/>
  <c r="AG19" i="28"/>
  <c r="AW12" i="28"/>
  <c r="CS453" i="14" s="1"/>
  <c r="AX453" i="14"/>
  <c r="AW28" i="28"/>
  <c r="CS469" i="14" s="1"/>
  <c r="AX469" i="14"/>
  <c r="AV12" i="28"/>
  <c r="CR453" i="14" s="1"/>
  <c r="AW453" i="14"/>
  <c r="AV28" i="28"/>
  <c r="CR469" i="14" s="1"/>
  <c r="AW469" i="14"/>
  <c r="AU15" i="28"/>
  <c r="CQ456" i="14" s="1"/>
  <c r="AV456" i="14"/>
  <c r="AU31" i="28"/>
  <c r="CQ472" i="14" s="1"/>
  <c r="AV472" i="14"/>
  <c r="AV22" i="28"/>
  <c r="CR463" i="14" s="1"/>
  <c r="AW463" i="14"/>
  <c r="AP61" i="14"/>
  <c r="AX61" i="14"/>
  <c r="BF61" i="14"/>
  <c r="BN61" i="14"/>
  <c r="BV61" i="14"/>
  <c r="CD61" i="14"/>
  <c r="CL61" i="14"/>
  <c r="CT61" i="14"/>
  <c r="DB61" i="14"/>
  <c r="DJ61" i="14"/>
  <c r="DR61" i="14"/>
  <c r="DZ61" i="14"/>
  <c r="AR61" i="14"/>
  <c r="AZ61" i="14"/>
  <c r="BH61" i="14"/>
  <c r="BP61" i="14"/>
  <c r="BX61" i="14"/>
  <c r="CF61" i="14"/>
  <c r="CN61" i="14"/>
  <c r="CV61" i="14"/>
  <c r="DD61" i="14"/>
  <c r="DL61" i="14"/>
  <c r="DT61" i="14"/>
  <c r="EB61" i="14"/>
  <c r="AL61" i="14"/>
  <c r="AT61" i="14"/>
  <c r="BB61" i="14"/>
  <c r="BJ61" i="14"/>
  <c r="BR61" i="14"/>
  <c r="BZ61" i="14"/>
  <c r="CH61" i="14"/>
  <c r="CP61" i="14"/>
  <c r="CX61" i="14"/>
  <c r="DF61" i="14"/>
  <c r="DN61" i="14"/>
  <c r="DV61" i="14"/>
  <c r="ED61" i="14"/>
  <c r="AN61" i="14"/>
  <c r="AV61" i="14"/>
  <c r="BD61" i="14"/>
  <c r="BL61" i="14"/>
  <c r="BT61" i="14"/>
  <c r="CB61" i="14"/>
  <c r="CJ61" i="14"/>
  <c r="CR61" i="14"/>
  <c r="CZ61" i="14"/>
  <c r="DH61" i="14"/>
  <c r="DP61" i="14"/>
  <c r="DX61" i="14"/>
  <c r="EF61" i="14"/>
  <c r="C91" i="18"/>
  <c r="C91" i="24"/>
  <c r="L108" i="20"/>
  <c r="C91" i="19"/>
  <c r="C91" i="25"/>
  <c r="AV16" i="19"/>
  <c r="CR182" i="14" s="1"/>
  <c r="AW182" i="14"/>
  <c r="AX203" i="14"/>
  <c r="AW37" i="19"/>
  <c r="CS203" i="14" s="1"/>
  <c r="AX190" i="14"/>
  <c r="AW24" i="19"/>
  <c r="CS190" i="14" s="1"/>
  <c r="AW181" i="14"/>
  <c r="AV15" i="19"/>
  <c r="CR181" i="14" s="1"/>
  <c r="AV12" i="19"/>
  <c r="CR178" i="14" s="1"/>
  <c r="AW178" i="14"/>
  <c r="AU197" i="14"/>
  <c r="AT31" i="19"/>
  <c r="CP197" i="14" s="1"/>
  <c r="AG31" i="19"/>
  <c r="AU25" i="19"/>
  <c r="CQ191" i="14" s="1"/>
  <c r="AV191" i="14"/>
  <c r="AT8" i="19"/>
  <c r="CP174" i="14" s="1"/>
  <c r="AU174" i="14"/>
  <c r="AG8" i="19"/>
  <c r="AT13" i="19"/>
  <c r="CP179" i="14" s="1"/>
  <c r="AU179" i="14"/>
  <c r="AG13" i="19"/>
  <c r="AV187" i="14"/>
  <c r="AU21" i="19"/>
  <c r="CQ187" i="14" s="1"/>
  <c r="AV202" i="14"/>
  <c r="AU36" i="19"/>
  <c r="CQ202" i="14" s="1"/>
  <c r="AX182" i="14"/>
  <c r="AW16" i="19"/>
  <c r="CS182" i="14" s="1"/>
  <c r="AX179" i="14"/>
  <c r="AW13" i="19"/>
  <c r="CS179" i="14" s="1"/>
  <c r="AW14" i="19"/>
  <c r="CS180" i="14" s="1"/>
  <c r="AX180" i="14"/>
  <c r="AW11" i="19"/>
  <c r="CS177" i="14" s="1"/>
  <c r="AX177" i="14"/>
  <c r="AV195" i="14"/>
  <c r="AU29" i="19"/>
  <c r="CQ195" i="14" s="1"/>
  <c r="AV188" i="14"/>
  <c r="AU22" i="19"/>
  <c r="CQ188" i="14" s="1"/>
  <c r="AU180" i="14"/>
  <c r="AT14" i="19"/>
  <c r="CP180" i="14" s="1"/>
  <c r="AG14" i="19"/>
  <c r="AW12" i="19"/>
  <c r="CS178" i="14" s="1"/>
  <c r="AX178" i="14"/>
  <c r="AU12" i="19"/>
  <c r="CQ178" i="14" s="1"/>
  <c r="AV178" i="14"/>
  <c r="AV29" i="19"/>
  <c r="CR195" i="14" s="1"/>
  <c r="AW195" i="14"/>
  <c r="AU9" i="19"/>
  <c r="CQ175" i="14" s="1"/>
  <c r="AV175" i="14"/>
  <c r="AT12" i="19"/>
  <c r="CP178" i="14" s="1"/>
  <c r="AU178" i="14"/>
  <c r="AG12" i="19"/>
  <c r="AV37" i="19"/>
  <c r="CR203" i="14" s="1"/>
  <c r="AW203" i="14"/>
  <c r="AW174" i="14"/>
  <c r="AV8" i="19"/>
  <c r="CR174" i="14" s="1"/>
  <c r="AX191" i="14"/>
  <c r="AW25" i="19"/>
  <c r="CS191" i="14" s="1"/>
  <c r="AX192" i="14"/>
  <c r="AW26" i="19"/>
  <c r="CS192" i="14" s="1"/>
  <c r="AX189" i="14"/>
  <c r="AW23" i="19"/>
  <c r="CS189" i="14" s="1"/>
  <c r="AV174" i="14"/>
  <c r="AU8" i="19"/>
  <c r="CQ174" i="14" s="1"/>
  <c r="AU34" i="19"/>
  <c r="CQ200" i="14" s="1"/>
  <c r="AV200" i="14"/>
  <c r="AT26" i="19"/>
  <c r="CP192" i="14" s="1"/>
  <c r="AU192" i="14"/>
  <c r="AG26" i="19"/>
  <c r="H188" i="19"/>
  <c r="H184" i="19"/>
  <c r="H191" i="19"/>
  <c r="H187" i="19"/>
  <c r="H183" i="19"/>
  <c r="H190" i="19"/>
  <c r="H186" i="19"/>
  <c r="H192" i="19"/>
  <c r="H189" i="19"/>
  <c r="H185" i="19"/>
  <c r="E215" i="19"/>
  <c r="G193" i="19"/>
  <c r="AW146" i="14"/>
  <c r="AV9" i="18"/>
  <c r="CR146" i="14" s="1"/>
  <c r="AU23" i="18"/>
  <c r="CQ160" i="14" s="1"/>
  <c r="AV160" i="14"/>
  <c r="AU161" i="14"/>
  <c r="AT24" i="18"/>
  <c r="CP161" i="14" s="1"/>
  <c r="AG24" i="18"/>
  <c r="AX153" i="14"/>
  <c r="AW16" i="18"/>
  <c r="CS153" i="14" s="1"/>
  <c r="AV170" i="14"/>
  <c r="AU33" i="18"/>
  <c r="CQ170" i="14" s="1"/>
  <c r="AU159" i="14"/>
  <c r="AT22" i="18"/>
  <c r="CP159" i="14" s="1"/>
  <c r="AG22" i="18"/>
  <c r="AV27" i="18"/>
  <c r="CR164" i="14" s="1"/>
  <c r="AW164" i="14"/>
  <c r="AU16" i="18"/>
  <c r="CQ153" i="14" s="1"/>
  <c r="AV153" i="14"/>
  <c r="AU14" i="18"/>
  <c r="CQ151" i="14" s="1"/>
  <c r="AV151" i="14"/>
  <c r="AT8" i="18"/>
  <c r="CP145" i="14" s="1"/>
  <c r="AU145" i="14"/>
  <c r="AG8" i="18"/>
  <c r="AX166" i="14"/>
  <c r="AW29" i="18"/>
  <c r="CS166" i="14" s="1"/>
  <c r="AV154" i="14"/>
  <c r="AU17" i="18"/>
  <c r="CQ154" i="14" s="1"/>
  <c r="AV15" i="18"/>
  <c r="CR152" i="14" s="1"/>
  <c r="AW152" i="14"/>
  <c r="AU160" i="14"/>
  <c r="AT23" i="18"/>
  <c r="CP160" i="14" s="1"/>
  <c r="AG23" i="18"/>
  <c r="AV8" i="18"/>
  <c r="CR145" i="14" s="1"/>
  <c r="AW145" i="14"/>
  <c r="AW8" i="18"/>
  <c r="CS145" i="14" s="1"/>
  <c r="AX145" i="14"/>
  <c r="AV28" i="18"/>
  <c r="CR165" i="14" s="1"/>
  <c r="AW165" i="14"/>
  <c r="AV26" i="18"/>
  <c r="CR163" i="14" s="1"/>
  <c r="AW163" i="14"/>
  <c r="AU11" i="18"/>
  <c r="CQ148" i="14" s="1"/>
  <c r="AV148" i="14"/>
  <c r="AT34" i="18"/>
  <c r="CP171" i="14" s="1"/>
  <c r="AU171" i="14"/>
  <c r="AG34" i="18"/>
  <c r="AU170" i="14"/>
  <c r="AT33" i="18"/>
  <c r="CP170" i="14" s="1"/>
  <c r="AG33" i="18"/>
  <c r="AX173" i="14"/>
  <c r="AW36" i="18"/>
  <c r="CS173" i="14" s="1"/>
  <c r="AX154" i="14"/>
  <c r="AW17" i="18"/>
  <c r="CS154" i="14" s="1"/>
  <c r="AX151" i="14"/>
  <c r="AW14" i="18"/>
  <c r="CS151" i="14" s="1"/>
  <c r="AX152" i="14"/>
  <c r="AW15" i="18"/>
  <c r="CS152" i="14" s="1"/>
  <c r="AV164" i="14"/>
  <c r="AU27" i="18"/>
  <c r="CQ164" i="14" s="1"/>
  <c r="AU21" i="18"/>
  <c r="CQ158" i="14" s="1"/>
  <c r="AV158" i="14"/>
  <c r="AT27" i="18"/>
  <c r="CP164" i="14" s="1"/>
  <c r="AU164" i="14"/>
  <c r="AG27" i="18"/>
  <c r="AT12" i="18"/>
  <c r="CP149" i="14" s="1"/>
  <c r="AU149" i="14"/>
  <c r="AG12" i="18"/>
  <c r="P265" i="1"/>
  <c r="E39" i="20"/>
  <c r="K109" i="20" s="1"/>
  <c r="L109" i="20" s="1"/>
  <c r="E7" i="21"/>
  <c r="K108" i="21" s="1"/>
  <c r="L108" i="21" s="1"/>
  <c r="AU201" i="14"/>
  <c r="AT35" i="19"/>
  <c r="CP201" i="14" s="1"/>
  <c r="AG35" i="19"/>
  <c r="AV14" i="19"/>
  <c r="CR180" i="14" s="1"/>
  <c r="AW180" i="14"/>
  <c r="AW33" i="19"/>
  <c r="CS199" i="14" s="1"/>
  <c r="AX199" i="14"/>
  <c r="AW34" i="19"/>
  <c r="CS200" i="14" s="1"/>
  <c r="AX200" i="14"/>
  <c r="AW31" i="19"/>
  <c r="CS197" i="14" s="1"/>
  <c r="AX197" i="14"/>
  <c r="AU17" i="19"/>
  <c r="CQ183" i="14" s="1"/>
  <c r="AV183" i="14"/>
  <c r="AU193" i="14"/>
  <c r="AT27" i="19"/>
  <c r="CP193" i="14" s="1"/>
  <c r="AG27" i="19"/>
  <c r="AT34" i="19"/>
  <c r="CP200" i="14" s="1"/>
  <c r="AU200" i="14"/>
  <c r="AG34" i="19"/>
  <c r="AW202" i="14"/>
  <c r="AV36" i="19"/>
  <c r="CR202" i="14" s="1"/>
  <c r="AV35" i="19"/>
  <c r="CR201" i="14" s="1"/>
  <c r="AW201" i="14"/>
  <c r="AU203" i="14"/>
  <c r="AT37" i="19"/>
  <c r="CP203" i="14" s="1"/>
  <c r="AG37" i="19"/>
  <c r="AW20" i="19"/>
  <c r="CS186" i="14" s="1"/>
  <c r="AX186" i="14"/>
  <c r="AV27" i="19"/>
  <c r="CR193" i="14" s="1"/>
  <c r="AW193" i="14"/>
  <c r="AV24" i="19"/>
  <c r="CR190" i="14" s="1"/>
  <c r="AW190" i="14"/>
  <c r="AV21" i="19"/>
  <c r="CR187" i="14" s="1"/>
  <c r="AW187" i="14"/>
  <c r="AU11" i="19"/>
  <c r="CQ177" i="14" s="1"/>
  <c r="AV177" i="14"/>
  <c r="AT32" i="19"/>
  <c r="CP198" i="14" s="1"/>
  <c r="AU198" i="14"/>
  <c r="AG32" i="19"/>
  <c r="AT25" i="19"/>
  <c r="CP191" i="14" s="1"/>
  <c r="AU191" i="14"/>
  <c r="AG25" i="19"/>
  <c r="AV18" i="19"/>
  <c r="CR184" i="14" s="1"/>
  <c r="AW184" i="14"/>
  <c r="AV32" i="19"/>
  <c r="CR198" i="14" s="1"/>
  <c r="AW198" i="14"/>
  <c r="AV13" i="19"/>
  <c r="CR179" i="14" s="1"/>
  <c r="AW179" i="14"/>
  <c r="AV196" i="14"/>
  <c r="AU30" i="19"/>
  <c r="CQ196" i="14" s="1"/>
  <c r="AT22" i="19"/>
  <c r="CP188" i="14" s="1"/>
  <c r="AU188" i="14"/>
  <c r="AG22" i="19"/>
  <c r="AV203" i="14"/>
  <c r="AU37" i="19"/>
  <c r="CQ203" i="14" s="1"/>
  <c r="AV34" i="19"/>
  <c r="CR200" i="14" s="1"/>
  <c r="AW200" i="14"/>
  <c r="AW9" i="19"/>
  <c r="CS175" i="14" s="1"/>
  <c r="AX175" i="14"/>
  <c r="AW10" i="19"/>
  <c r="CS176" i="14" s="1"/>
  <c r="AX176" i="14"/>
  <c r="AV33" i="19"/>
  <c r="CR199" i="14" s="1"/>
  <c r="AW199" i="14"/>
  <c r="AU27" i="19"/>
  <c r="CQ193" i="14" s="1"/>
  <c r="AV193" i="14"/>
  <c r="AV184" i="14"/>
  <c r="AU18" i="19"/>
  <c r="CQ184" i="14" s="1"/>
  <c r="AT10" i="19"/>
  <c r="CP176" i="14" s="1"/>
  <c r="AU176" i="14"/>
  <c r="AG10" i="19"/>
  <c r="K184" i="19"/>
  <c r="K191" i="19"/>
  <c r="K185" i="19"/>
  <c r="K189" i="19"/>
  <c r="K187" i="19"/>
  <c r="K183" i="19"/>
  <c r="K190" i="19"/>
  <c r="K192" i="19"/>
  <c r="K188" i="19"/>
  <c r="K186" i="19"/>
  <c r="AV36" i="18"/>
  <c r="CR173" i="14" s="1"/>
  <c r="AW173" i="14"/>
  <c r="AV14" i="18"/>
  <c r="CR151" i="14" s="1"/>
  <c r="AW151" i="14"/>
  <c r="AU19" i="18"/>
  <c r="CQ156" i="14" s="1"/>
  <c r="AV156" i="14"/>
  <c r="AV173" i="14"/>
  <c r="AU36" i="18"/>
  <c r="CQ173" i="14" s="1"/>
  <c r="AW25" i="18"/>
  <c r="CS162" i="14" s="1"/>
  <c r="AX162" i="14"/>
  <c r="AW22" i="18"/>
  <c r="CS159" i="14" s="1"/>
  <c r="AX159" i="14"/>
  <c r="AW23" i="18"/>
  <c r="CS160" i="14" s="1"/>
  <c r="AX160" i="14"/>
  <c r="AV11" i="18"/>
  <c r="CR148" i="14" s="1"/>
  <c r="AW148" i="14"/>
  <c r="AV172" i="14"/>
  <c r="AU35" i="18"/>
  <c r="CQ172" i="14" s="1"/>
  <c r="AU152" i="14"/>
  <c r="AT15" i="18"/>
  <c r="CP152" i="14" s="1"/>
  <c r="AG15" i="18"/>
  <c r="AU157" i="14"/>
  <c r="AT20" i="18"/>
  <c r="CP157" i="14" s="1"/>
  <c r="AG20" i="18"/>
  <c r="AV32" i="18"/>
  <c r="CR169" i="14" s="1"/>
  <c r="AW169" i="14"/>
  <c r="AW27" i="18"/>
  <c r="CS164" i="14" s="1"/>
  <c r="AX164" i="14"/>
  <c r="AT26" i="18"/>
  <c r="CP163" i="14" s="1"/>
  <c r="AU163" i="14"/>
  <c r="AG26" i="18"/>
  <c r="AT19" i="18"/>
  <c r="CP156" i="14" s="1"/>
  <c r="AU156" i="14"/>
  <c r="AG19" i="18"/>
  <c r="AW157" i="14"/>
  <c r="AV20" i="18"/>
  <c r="CR157" i="14" s="1"/>
  <c r="AW155" i="14"/>
  <c r="AV18" i="18"/>
  <c r="CR155" i="14" s="1"/>
  <c r="AV168" i="14"/>
  <c r="AU31" i="18"/>
  <c r="CQ168" i="14" s="1"/>
  <c r="AV152" i="14"/>
  <c r="AU15" i="18"/>
  <c r="CQ152" i="14" s="1"/>
  <c r="AV169" i="14"/>
  <c r="AU32" i="18"/>
  <c r="CQ169" i="14" s="1"/>
  <c r="AU26" i="18"/>
  <c r="CQ163" i="14" s="1"/>
  <c r="AV163" i="14"/>
  <c r="AU154" i="14"/>
  <c r="AT17" i="18"/>
  <c r="CP154" i="14" s="1"/>
  <c r="AG17" i="18"/>
  <c r="AV29" i="18"/>
  <c r="CR166" i="14" s="1"/>
  <c r="AW166" i="14"/>
  <c r="AV34" i="18"/>
  <c r="CR171" i="14" s="1"/>
  <c r="AW171" i="14"/>
  <c r="AV21" i="18"/>
  <c r="CR158" i="14" s="1"/>
  <c r="AW158" i="14"/>
  <c r="AV24" i="18"/>
  <c r="CR161" i="14" s="1"/>
  <c r="AW161" i="14"/>
  <c r="AU8" i="18"/>
  <c r="CQ145" i="14" s="1"/>
  <c r="AV145" i="14"/>
  <c r="AT18" i="18"/>
  <c r="CP155" i="14" s="1"/>
  <c r="AU155" i="14"/>
  <c r="AG18" i="18"/>
  <c r="AT29" i="18"/>
  <c r="CP166" i="14" s="1"/>
  <c r="AU166" i="14"/>
  <c r="AG29" i="18"/>
  <c r="G391" i="1"/>
  <c r="J391" i="1" s="1"/>
  <c r="G392" i="1"/>
  <c r="J392" i="1" s="1"/>
  <c r="M392" i="1" s="1"/>
  <c r="P392" i="1" s="1"/>
  <c r="S392" i="1" s="1"/>
  <c r="V392" i="1" s="1"/>
  <c r="Y392" i="1" s="1"/>
  <c r="AB392" i="1" s="1"/>
  <c r="AE392" i="1" s="1"/>
  <c r="AH392" i="1" s="1"/>
  <c r="AK392" i="1" s="1"/>
  <c r="G393" i="1"/>
  <c r="J393" i="1" s="1"/>
  <c r="M393" i="1" s="1"/>
  <c r="P393" i="1" s="1"/>
  <c r="S393" i="1" s="1"/>
  <c r="V393" i="1" s="1"/>
  <c r="Y393" i="1" s="1"/>
  <c r="AB393" i="1" s="1"/>
  <c r="AE393" i="1" s="1"/>
  <c r="AH393" i="1" s="1"/>
  <c r="AK393" i="1" s="1"/>
  <c r="G394" i="1"/>
  <c r="J394" i="1" s="1"/>
  <c r="M394" i="1" s="1"/>
  <c r="P394" i="1" s="1"/>
  <c r="S394" i="1" s="1"/>
  <c r="V394" i="1" s="1"/>
  <c r="Y394" i="1" s="1"/>
  <c r="AB394" i="1" s="1"/>
  <c r="AE394" i="1" s="1"/>
  <c r="AH394" i="1" s="1"/>
  <c r="AK394" i="1" s="1"/>
  <c r="G149" i="18"/>
  <c r="K139" i="18"/>
  <c r="J139" i="18"/>
  <c r="L139" i="18"/>
  <c r="H149" i="18"/>
  <c r="E215" i="18"/>
  <c r="G193" i="18"/>
  <c r="AV38" i="19"/>
  <c r="CR204" i="14" s="1"/>
  <c r="AW204" i="14"/>
  <c r="AW32" i="19"/>
  <c r="CS198" i="14" s="1"/>
  <c r="AX198" i="14"/>
  <c r="AW17" i="19"/>
  <c r="CS183" i="14" s="1"/>
  <c r="AX183" i="14"/>
  <c r="AW18" i="19"/>
  <c r="CS184" i="14" s="1"/>
  <c r="AX184" i="14"/>
  <c r="AX181" i="14"/>
  <c r="AW15" i="19"/>
  <c r="CS181" i="14" s="1"/>
  <c r="AU185" i="14"/>
  <c r="AT19" i="19"/>
  <c r="CP185" i="14" s="1"/>
  <c r="AG19" i="19"/>
  <c r="AU26" i="19"/>
  <c r="CQ192" i="14" s="1"/>
  <c r="AV192" i="14"/>
  <c r="AU184" i="14"/>
  <c r="AT18" i="19"/>
  <c r="CP184" i="14" s="1"/>
  <c r="AG18" i="19"/>
  <c r="AU38" i="19"/>
  <c r="CQ204" i="14" s="1"/>
  <c r="AV204" i="14"/>
  <c r="AX188" i="14"/>
  <c r="AW22" i="19"/>
  <c r="CS188" i="14" s="1"/>
  <c r="AW38" i="19"/>
  <c r="CS204" i="14" s="1"/>
  <c r="AX204" i="14"/>
  <c r="AX174" i="14"/>
  <c r="AW8" i="19"/>
  <c r="CS174" i="14" s="1"/>
  <c r="AW177" i="14"/>
  <c r="AV11" i="19"/>
  <c r="CR177" i="14" s="1"/>
  <c r="AW175" i="14"/>
  <c r="AV9" i="19"/>
  <c r="CR175" i="14" s="1"/>
  <c r="AV199" i="14"/>
  <c r="AU33" i="19"/>
  <c r="CQ199" i="14" s="1"/>
  <c r="AV189" i="14"/>
  <c r="AU23" i="19"/>
  <c r="CQ189" i="14" s="1"/>
  <c r="AT28" i="19"/>
  <c r="CP194" i="14" s="1"/>
  <c r="AU194" i="14"/>
  <c r="AG28" i="19"/>
  <c r="AT9" i="19"/>
  <c r="CP175" i="14" s="1"/>
  <c r="AU175" i="14"/>
  <c r="AG9" i="19"/>
  <c r="AV10" i="19"/>
  <c r="CR176" i="14" s="1"/>
  <c r="AW176" i="14"/>
  <c r="AW35" i="19"/>
  <c r="CS201" i="14" s="1"/>
  <c r="AX201" i="14"/>
  <c r="AU20" i="19"/>
  <c r="CQ186" i="14" s="1"/>
  <c r="AV186" i="14"/>
  <c r="AU14" i="19"/>
  <c r="CQ180" i="14" s="1"/>
  <c r="AV180" i="14"/>
  <c r="AT33" i="19"/>
  <c r="CP199" i="14" s="1"/>
  <c r="AU199" i="14"/>
  <c r="AG33" i="19"/>
  <c r="AT38" i="19"/>
  <c r="CP204" i="14" s="1"/>
  <c r="AU204" i="14"/>
  <c r="AG38" i="19"/>
  <c r="AW188" i="14"/>
  <c r="AV22" i="19"/>
  <c r="CR188" i="14" s="1"/>
  <c r="AV23" i="19"/>
  <c r="CR189" i="14" s="1"/>
  <c r="AW189" i="14"/>
  <c r="AW186" i="14"/>
  <c r="AV20" i="19"/>
  <c r="CR186" i="14" s="1"/>
  <c r="AW183" i="14"/>
  <c r="AV17" i="19"/>
  <c r="CR183" i="14" s="1"/>
  <c r="AU189" i="14"/>
  <c r="AT23" i="19"/>
  <c r="CP189" i="14" s="1"/>
  <c r="AG23" i="19"/>
  <c r="AT24" i="19"/>
  <c r="CP190" i="14" s="1"/>
  <c r="AU190" i="14"/>
  <c r="AG24" i="19"/>
  <c r="AT21" i="19"/>
  <c r="CP187" i="14" s="1"/>
  <c r="AU187" i="14"/>
  <c r="AG21" i="19"/>
  <c r="I189" i="19"/>
  <c r="I185" i="19"/>
  <c r="I186" i="19"/>
  <c r="I188" i="19"/>
  <c r="I184" i="19"/>
  <c r="I190" i="19"/>
  <c r="I191" i="19"/>
  <c r="I187" i="19"/>
  <c r="I183" i="19"/>
  <c r="I192" i="19"/>
  <c r="AX169" i="14"/>
  <c r="AW32" i="18"/>
  <c r="CS169" i="14" s="1"/>
  <c r="AX148" i="14"/>
  <c r="AW11" i="18"/>
  <c r="CS148" i="14" s="1"/>
  <c r="AU18" i="18"/>
  <c r="CQ155" i="14" s="1"/>
  <c r="AV155" i="14"/>
  <c r="AX161" i="14"/>
  <c r="AW24" i="18"/>
  <c r="CS161" i="14" s="1"/>
  <c r="AX146" i="14"/>
  <c r="AW9" i="18"/>
  <c r="CS146" i="14" s="1"/>
  <c r="AW167" i="14"/>
  <c r="AV30" i="18"/>
  <c r="CR167" i="14" s="1"/>
  <c r="AV33" i="18"/>
  <c r="CR170" i="14" s="1"/>
  <c r="AW170" i="14"/>
  <c r="AU13" i="18"/>
  <c r="CQ150" i="14" s="1"/>
  <c r="AV150" i="14"/>
  <c r="AU12" i="18"/>
  <c r="CQ149" i="14" s="1"/>
  <c r="AV149" i="14"/>
  <c r="AT11" i="18"/>
  <c r="CP148" i="14" s="1"/>
  <c r="AU148" i="14"/>
  <c r="AG11" i="18"/>
  <c r="AW159" i="14"/>
  <c r="AV22" i="18"/>
  <c r="CR159" i="14" s="1"/>
  <c r="AW26" i="18"/>
  <c r="CS163" i="14" s="1"/>
  <c r="AX163" i="14"/>
  <c r="AV17" i="18"/>
  <c r="CR154" i="14" s="1"/>
  <c r="AW154" i="14"/>
  <c r="AT14" i="18"/>
  <c r="CP151" i="14" s="1"/>
  <c r="AU151" i="14"/>
  <c r="AG14" i="18"/>
  <c r="AT9" i="18"/>
  <c r="CP146" i="14" s="1"/>
  <c r="AU146" i="14"/>
  <c r="AG9" i="18"/>
  <c r="AW20" i="18"/>
  <c r="CS157" i="14" s="1"/>
  <c r="AX157" i="14"/>
  <c r="AW34" i="18"/>
  <c r="CS171" i="14" s="1"/>
  <c r="AX171" i="14"/>
  <c r="AW35" i="18"/>
  <c r="CS172" i="14" s="1"/>
  <c r="AX172" i="14"/>
  <c r="AV23" i="18"/>
  <c r="CR160" i="14" s="1"/>
  <c r="AW160" i="14"/>
  <c r="AU9" i="18"/>
  <c r="CQ146" i="14" s="1"/>
  <c r="AV146" i="14"/>
  <c r="AV147" i="14"/>
  <c r="AU10" i="18"/>
  <c r="CQ147" i="14" s="1"/>
  <c r="AT32" i="18"/>
  <c r="CP169" i="14" s="1"/>
  <c r="AU169" i="14"/>
  <c r="AG32" i="18"/>
  <c r="AW150" i="14"/>
  <c r="AV13" i="18"/>
  <c r="CR150" i="14" s="1"/>
  <c r="AW153" i="14"/>
  <c r="AV16" i="18"/>
  <c r="CR153" i="14" s="1"/>
  <c r="AV161" i="14"/>
  <c r="AU24" i="18"/>
  <c r="CQ161" i="14" s="1"/>
  <c r="AW172" i="14"/>
  <c r="AV35" i="18"/>
  <c r="CR172" i="14" s="1"/>
  <c r="AV162" i="14"/>
  <c r="AU25" i="18"/>
  <c r="CQ162" i="14" s="1"/>
  <c r="AU22" i="18"/>
  <c r="CQ159" i="14" s="1"/>
  <c r="AV159" i="14"/>
  <c r="AT13" i="18"/>
  <c r="CP150" i="14" s="1"/>
  <c r="AU150" i="14"/>
  <c r="AG13" i="18"/>
  <c r="J333" i="1"/>
  <c r="J334" i="1" s="1"/>
  <c r="G333" i="1"/>
  <c r="G334" i="1" s="1"/>
  <c r="G335" i="1" s="1"/>
  <c r="H191" i="18"/>
  <c r="H187" i="18"/>
  <c r="H183" i="18"/>
  <c r="H188" i="18"/>
  <c r="H184" i="18"/>
  <c r="H190" i="18"/>
  <c r="H186" i="18"/>
  <c r="H192" i="18"/>
  <c r="H189" i="18"/>
  <c r="H185" i="18"/>
  <c r="AX187" i="14"/>
  <c r="AW21" i="19"/>
  <c r="CS187" i="14" s="1"/>
  <c r="AU202" i="14"/>
  <c r="AT36" i="19"/>
  <c r="CP202" i="14" s="1"/>
  <c r="AG36" i="19"/>
  <c r="AU28" i="19"/>
  <c r="CQ194" i="14" s="1"/>
  <c r="AV194" i="14"/>
  <c r="AV31" i="19"/>
  <c r="CR197" i="14" s="1"/>
  <c r="AW197" i="14"/>
  <c r="AV28" i="19"/>
  <c r="CR194" i="14" s="1"/>
  <c r="AW194" i="14"/>
  <c r="AV25" i="19"/>
  <c r="CR191" i="14" s="1"/>
  <c r="AW191" i="14"/>
  <c r="AU13" i="19"/>
  <c r="CQ179" i="14" s="1"/>
  <c r="AV179" i="14"/>
  <c r="AV176" i="14"/>
  <c r="AU10" i="19"/>
  <c r="CQ176" i="14" s="1"/>
  <c r="AT29" i="19"/>
  <c r="CP195" i="14" s="1"/>
  <c r="AU195" i="14"/>
  <c r="AG29" i="19"/>
  <c r="AU35" i="19"/>
  <c r="CQ201" i="14" s="1"/>
  <c r="AV201" i="14"/>
  <c r="AU24" i="19"/>
  <c r="CQ190" i="14" s="1"/>
  <c r="AV190" i="14"/>
  <c r="AV30" i="19"/>
  <c r="CR196" i="14" s="1"/>
  <c r="AW196" i="14"/>
  <c r="AW29" i="19"/>
  <c r="CS195" i="14" s="1"/>
  <c r="AX195" i="14"/>
  <c r="AW30" i="19"/>
  <c r="CS196" i="14" s="1"/>
  <c r="AX196" i="14"/>
  <c r="AW27" i="19"/>
  <c r="CS193" i="14" s="1"/>
  <c r="AX193" i="14"/>
  <c r="AU15" i="19"/>
  <c r="CQ181" i="14" s="1"/>
  <c r="AV181" i="14"/>
  <c r="AT11" i="19"/>
  <c r="CP177" i="14" s="1"/>
  <c r="AU177" i="14"/>
  <c r="AG11" i="19"/>
  <c r="AU196" i="14"/>
  <c r="AT30" i="19"/>
  <c r="CP196" i="14" s="1"/>
  <c r="AG30" i="19"/>
  <c r="AX202" i="14"/>
  <c r="AW36" i="19"/>
  <c r="CS202" i="14" s="1"/>
  <c r="AV19" i="19"/>
  <c r="CR185" i="14" s="1"/>
  <c r="AW185" i="14"/>
  <c r="AX185" i="14"/>
  <c r="AW19" i="19"/>
  <c r="CS185" i="14" s="1"/>
  <c r="AV198" i="14"/>
  <c r="AU32" i="19"/>
  <c r="CQ198" i="14" s="1"/>
  <c r="AU182" i="14"/>
  <c r="AT16" i="19"/>
  <c r="CP182" i="14" s="1"/>
  <c r="AG16" i="19"/>
  <c r="AU183" i="14"/>
  <c r="AT17" i="19"/>
  <c r="CP183" i="14" s="1"/>
  <c r="AG17" i="19"/>
  <c r="AW28" i="19"/>
  <c r="CS194" i="14" s="1"/>
  <c r="AX194" i="14"/>
  <c r="AV26" i="19"/>
  <c r="CR192" i="14" s="1"/>
  <c r="AW192" i="14"/>
  <c r="AU19" i="19"/>
  <c r="CQ185" i="14" s="1"/>
  <c r="AV185" i="14"/>
  <c r="AT15" i="19"/>
  <c r="CP181" i="14" s="1"/>
  <c r="AU181" i="14"/>
  <c r="AG15" i="19"/>
  <c r="AU31" i="19"/>
  <c r="CQ197" i="14" s="1"/>
  <c r="AV197" i="14"/>
  <c r="AV182" i="14"/>
  <c r="AU16" i="19"/>
  <c r="CQ182" i="14" s="1"/>
  <c r="AU186" i="14"/>
  <c r="AT20" i="19"/>
  <c r="CP186" i="14" s="1"/>
  <c r="AG20" i="19"/>
  <c r="G149" i="19"/>
  <c r="K139" i="19"/>
  <c r="L139" i="19"/>
  <c r="H149" i="19"/>
  <c r="J139" i="19"/>
  <c r="G145" i="20"/>
  <c r="H145" i="20" s="1"/>
  <c r="I145" i="20" s="1"/>
  <c r="D145" i="20" s="1"/>
  <c r="H215" i="20"/>
  <c r="H193" i="20" s="1"/>
  <c r="G140" i="20"/>
  <c r="H140" i="20" s="1"/>
  <c r="I140" i="20" s="1"/>
  <c r="D140" i="20" s="1"/>
  <c r="M305" i="1"/>
  <c r="G141" i="20"/>
  <c r="H141" i="20" s="1"/>
  <c r="I141" i="20" s="1"/>
  <c r="D141" i="20" s="1"/>
  <c r="J215" i="20"/>
  <c r="K193" i="20" s="1"/>
  <c r="I215" i="20"/>
  <c r="I193" i="20" s="1"/>
  <c r="G215" i="20"/>
  <c r="G139" i="20"/>
  <c r="H139" i="20" s="1"/>
  <c r="I139" i="20" s="1"/>
  <c r="D139" i="20" s="1"/>
  <c r="P298" i="1"/>
  <c r="AW13" i="18"/>
  <c r="CS150" i="14" s="1"/>
  <c r="AX150" i="14"/>
  <c r="AV157" i="14"/>
  <c r="AU20" i="18"/>
  <c r="CQ157" i="14" s="1"/>
  <c r="AT25" i="18"/>
  <c r="CP162" i="14" s="1"/>
  <c r="AU162" i="14"/>
  <c r="AG25" i="18"/>
  <c r="AW12" i="18"/>
  <c r="CS149" i="14" s="1"/>
  <c r="AX149" i="14"/>
  <c r="AV25" i="18"/>
  <c r="CR162" i="14" s="1"/>
  <c r="AW162" i="14"/>
  <c r="AV12" i="18"/>
  <c r="CR149" i="14" s="1"/>
  <c r="AW149" i="14"/>
  <c r="AV10" i="18"/>
  <c r="CR147" i="14" s="1"/>
  <c r="AW147" i="14"/>
  <c r="AT10" i="18"/>
  <c r="CP147" i="14" s="1"/>
  <c r="AU147" i="14"/>
  <c r="AG10" i="18"/>
  <c r="AV167" i="14"/>
  <c r="AU30" i="18"/>
  <c r="CQ167" i="14" s="1"/>
  <c r="AT21" i="18"/>
  <c r="CP158" i="14" s="1"/>
  <c r="AU158" i="14"/>
  <c r="AG21" i="18"/>
  <c r="AW28" i="18"/>
  <c r="CS165" i="14" s="1"/>
  <c r="AX165" i="14"/>
  <c r="AX147" i="14"/>
  <c r="AW10" i="18"/>
  <c r="CS147" i="14" s="1"/>
  <c r="AW168" i="14"/>
  <c r="AV31" i="18"/>
  <c r="CR168" i="14" s="1"/>
  <c r="AV171" i="14"/>
  <c r="AU34" i="18"/>
  <c r="CQ171" i="14" s="1"/>
  <c r="AU173" i="14"/>
  <c r="AT36" i="18"/>
  <c r="CP173" i="14" s="1"/>
  <c r="AG36" i="18"/>
  <c r="AX158" i="14"/>
  <c r="AW21" i="18"/>
  <c r="CS158" i="14" s="1"/>
  <c r="AX155" i="14"/>
  <c r="AW18" i="18"/>
  <c r="CS155" i="14" s="1"/>
  <c r="AX156" i="14"/>
  <c r="AW19" i="18"/>
  <c r="CS156" i="14" s="1"/>
  <c r="AV166" i="14"/>
  <c r="AU29" i="18"/>
  <c r="CQ166" i="14" s="1"/>
  <c r="AV165" i="14"/>
  <c r="AU28" i="18"/>
  <c r="CQ165" i="14" s="1"/>
  <c r="AT35" i="18"/>
  <c r="CP172" i="14" s="1"/>
  <c r="AU172" i="14"/>
  <c r="AG35" i="18"/>
  <c r="AT16" i="18"/>
  <c r="CP153" i="14" s="1"/>
  <c r="AU153" i="14"/>
  <c r="AG16" i="18"/>
  <c r="AW33" i="18"/>
  <c r="CS170" i="14" s="1"/>
  <c r="AX170" i="14"/>
  <c r="AW30" i="18"/>
  <c r="CS167" i="14" s="1"/>
  <c r="AX167" i="14"/>
  <c r="AW31" i="18"/>
  <c r="CS168" i="14" s="1"/>
  <c r="AX168" i="14"/>
  <c r="AV19" i="18"/>
  <c r="CR156" i="14" s="1"/>
  <c r="AW156" i="14"/>
  <c r="AT30" i="18"/>
  <c r="CP167" i="14" s="1"/>
  <c r="AU167" i="14"/>
  <c r="AG30" i="18"/>
  <c r="AU168" i="14"/>
  <c r="AT31" i="18"/>
  <c r="CP168" i="14" s="1"/>
  <c r="AG31" i="18"/>
  <c r="AU165" i="14"/>
  <c r="AT28" i="18"/>
  <c r="CP165" i="14" s="1"/>
  <c r="AG28" i="18"/>
  <c r="L108" i="19"/>
  <c r="L109" i="19"/>
  <c r="K183" i="18"/>
  <c r="K185" i="18"/>
  <c r="K184" i="18"/>
  <c r="K192" i="18"/>
  <c r="K190" i="18"/>
  <c r="K191" i="18"/>
  <c r="K186" i="18"/>
  <c r="K188" i="18"/>
  <c r="K187" i="18"/>
  <c r="K189" i="18"/>
  <c r="I189" i="18"/>
  <c r="I185" i="18"/>
  <c r="I188" i="18"/>
  <c r="I184" i="18"/>
  <c r="I191" i="18"/>
  <c r="I187" i="18"/>
  <c r="I183" i="18"/>
  <c r="I192" i="18"/>
  <c r="I186" i="18"/>
  <c r="I190" i="18"/>
  <c r="C91" i="23"/>
  <c r="AB333" i="1"/>
  <c r="AB334" i="1" s="1"/>
  <c r="AT37" i="24"/>
  <c r="CP356" i="14" s="1"/>
  <c r="AU356" i="14"/>
  <c r="AG37" i="24"/>
  <c r="AV38" i="23"/>
  <c r="CR326" i="14" s="1"/>
  <c r="AW326" i="14"/>
  <c r="AV325" i="14"/>
  <c r="AU37" i="23"/>
  <c r="CQ325" i="14" s="1"/>
  <c r="AT37" i="23"/>
  <c r="CP325" i="14" s="1"/>
  <c r="AU325" i="14"/>
  <c r="AG37" i="23"/>
  <c r="AW38" i="23"/>
  <c r="CS326" i="14" s="1"/>
  <c r="AX326" i="14"/>
  <c r="AW10" i="23"/>
  <c r="CS298" i="14" s="1"/>
  <c r="AX298" i="14"/>
  <c r="AW28" i="23"/>
  <c r="CS316" i="14" s="1"/>
  <c r="AX316" i="14"/>
  <c r="AW31" i="23"/>
  <c r="CS319" i="14" s="1"/>
  <c r="AX319" i="14"/>
  <c r="AV22" i="23"/>
  <c r="CR310" i="14" s="1"/>
  <c r="AW310" i="14"/>
  <c r="AW18" i="23"/>
  <c r="CS306" i="14" s="1"/>
  <c r="AX306" i="14"/>
  <c r="AW32" i="23"/>
  <c r="CS320" i="14" s="1"/>
  <c r="AX320" i="14"/>
  <c r="AW14" i="23"/>
  <c r="CS302" i="14" s="1"/>
  <c r="AX302" i="14"/>
  <c r="AU25" i="23"/>
  <c r="CQ313" i="14" s="1"/>
  <c r="AV313" i="14"/>
  <c r="AW21" i="23"/>
  <c r="CS309" i="14" s="1"/>
  <c r="AX309" i="14"/>
  <c r="AX296" i="14"/>
  <c r="AW8" i="23"/>
  <c r="CS296" i="14" s="1"/>
  <c r="AV23" i="23"/>
  <c r="CR311" i="14" s="1"/>
  <c r="AW311" i="14"/>
  <c r="AU35" i="23"/>
  <c r="CQ323" i="14" s="1"/>
  <c r="AV323" i="14"/>
  <c r="AU12" i="23"/>
  <c r="CQ300" i="14" s="1"/>
  <c r="AV300" i="14"/>
  <c r="AV20" i="23"/>
  <c r="CR308" i="14" s="1"/>
  <c r="AW308" i="14"/>
  <c r="AU31" i="23"/>
  <c r="CQ319" i="14" s="1"/>
  <c r="AV319" i="14"/>
  <c r="AV33" i="23"/>
  <c r="CR321" i="14" s="1"/>
  <c r="AW321" i="14"/>
  <c r="AV17" i="23"/>
  <c r="CR305" i="14" s="1"/>
  <c r="AW305" i="14"/>
  <c r="AU29" i="23"/>
  <c r="CQ317" i="14" s="1"/>
  <c r="AV317" i="14"/>
  <c r="AU11" i="23"/>
  <c r="CQ299" i="14" s="1"/>
  <c r="AV299" i="14"/>
  <c r="AU26" i="23"/>
  <c r="CQ314" i="14" s="1"/>
  <c r="AV314" i="14"/>
  <c r="AU10" i="23"/>
  <c r="CQ298" i="14" s="1"/>
  <c r="AV298" i="14"/>
  <c r="AT27" i="23"/>
  <c r="CP315" i="14" s="1"/>
  <c r="AU315" i="14"/>
  <c r="AG27" i="23"/>
  <c r="AT15" i="23"/>
  <c r="CP303" i="14" s="1"/>
  <c r="AU303" i="14"/>
  <c r="AG15" i="23"/>
  <c r="AT16" i="23"/>
  <c r="CP304" i="14" s="1"/>
  <c r="AU304" i="14"/>
  <c r="AG16" i="23"/>
  <c r="AT22" i="23"/>
  <c r="CP310" i="14" s="1"/>
  <c r="AU310" i="14"/>
  <c r="AG22" i="23"/>
  <c r="AT33" i="23"/>
  <c r="CP321" i="14" s="1"/>
  <c r="AU321" i="14"/>
  <c r="AG33" i="23"/>
  <c r="AT17" i="23"/>
  <c r="CP305" i="14" s="1"/>
  <c r="AU305" i="14"/>
  <c r="AG17" i="23"/>
  <c r="AV386" i="14"/>
  <c r="AU36" i="25"/>
  <c r="CQ386" i="14" s="1"/>
  <c r="AW36" i="25"/>
  <c r="CS386" i="14" s="1"/>
  <c r="AX386" i="14"/>
  <c r="AW28" i="25"/>
  <c r="CS378" i="14" s="1"/>
  <c r="AX378" i="14"/>
  <c r="AW12" i="25"/>
  <c r="CS362" i="14" s="1"/>
  <c r="AX362" i="14"/>
  <c r="AX367" i="14"/>
  <c r="AW17" i="25"/>
  <c r="CS367" i="14" s="1"/>
  <c r="AU27" i="25"/>
  <c r="CQ377" i="14" s="1"/>
  <c r="AV377" i="14"/>
  <c r="AW13" i="25"/>
  <c r="CS363" i="14" s="1"/>
  <c r="AX363" i="14"/>
  <c r="AU25" i="25"/>
  <c r="CQ375" i="14" s="1"/>
  <c r="AV375" i="14"/>
  <c r="AW34" i="25"/>
  <c r="CS384" i="14" s="1"/>
  <c r="AX384" i="14"/>
  <c r="AW16" i="25"/>
  <c r="CS366" i="14" s="1"/>
  <c r="AX366" i="14"/>
  <c r="AU9" i="25"/>
  <c r="CQ359" i="14" s="1"/>
  <c r="AV359" i="14"/>
  <c r="AW27" i="25"/>
  <c r="CS377" i="14" s="1"/>
  <c r="AX377" i="14"/>
  <c r="AW11" i="25"/>
  <c r="CS361" i="14" s="1"/>
  <c r="AX361" i="14"/>
  <c r="AV21" i="25"/>
  <c r="CR371" i="14" s="1"/>
  <c r="AW371" i="14"/>
  <c r="AV8" i="25"/>
  <c r="CR358" i="14" s="1"/>
  <c r="AW358" i="14"/>
  <c r="AV364" i="14"/>
  <c r="AU14" i="25"/>
  <c r="CQ364" i="14" s="1"/>
  <c r="AV30" i="25"/>
  <c r="CR380" i="14" s="1"/>
  <c r="AW380" i="14"/>
  <c r="AV14" i="25"/>
  <c r="CR364" i="14" s="1"/>
  <c r="AW364" i="14"/>
  <c r="AU26" i="25"/>
  <c r="CQ376" i="14" s="1"/>
  <c r="AV376" i="14"/>
  <c r="AV35" i="25"/>
  <c r="CR385" i="14" s="1"/>
  <c r="AW385" i="14"/>
  <c r="AV19" i="25"/>
  <c r="CR369" i="14" s="1"/>
  <c r="AW369" i="14"/>
  <c r="AU29" i="25"/>
  <c r="CQ379" i="14" s="1"/>
  <c r="AV379" i="14"/>
  <c r="AU8" i="25"/>
  <c r="CQ358" i="14" s="1"/>
  <c r="AV358" i="14"/>
  <c r="AU24" i="25"/>
  <c r="CQ374" i="14" s="1"/>
  <c r="AV374" i="14"/>
  <c r="AT30" i="25"/>
  <c r="CP380" i="14" s="1"/>
  <c r="AU380" i="14"/>
  <c r="AG30" i="25"/>
  <c r="AT12" i="25"/>
  <c r="CP362" i="14" s="1"/>
  <c r="AU362" i="14"/>
  <c r="AG12" i="25"/>
  <c r="AT17" i="25"/>
  <c r="CP367" i="14" s="1"/>
  <c r="AU367" i="14"/>
  <c r="AG17" i="25"/>
  <c r="AT20" i="25"/>
  <c r="CP370" i="14" s="1"/>
  <c r="AU370" i="14"/>
  <c r="AG20" i="25"/>
  <c r="AT31" i="25"/>
  <c r="CP381" i="14" s="1"/>
  <c r="AU381" i="14"/>
  <c r="AG31" i="25"/>
  <c r="AT15" i="25"/>
  <c r="CP365" i="14" s="1"/>
  <c r="AU365" i="14"/>
  <c r="AG15" i="25"/>
  <c r="AC60" i="15"/>
  <c r="AG60" i="15"/>
  <c r="AK60" i="15"/>
  <c r="AD60" i="15"/>
  <c r="AH60" i="15"/>
  <c r="AE60" i="15"/>
  <c r="AI60" i="15"/>
  <c r="AB60" i="15"/>
  <c r="I60" i="15"/>
  <c r="AF60" i="15"/>
  <c r="AJ60" i="15"/>
  <c r="O60" i="15"/>
  <c r="BI60" i="15" s="1"/>
  <c r="H60" i="15"/>
  <c r="AC65" i="15"/>
  <c r="AG65" i="15"/>
  <c r="AK65" i="15"/>
  <c r="AD65" i="15"/>
  <c r="AH65" i="15"/>
  <c r="AE65" i="15"/>
  <c r="AI65" i="15"/>
  <c r="AF65" i="15"/>
  <c r="AJ65" i="15"/>
  <c r="I65" i="15"/>
  <c r="AB65" i="15"/>
  <c r="O65" i="15"/>
  <c r="BI65" i="15" s="1"/>
  <c r="H65" i="15"/>
  <c r="AJ34" i="15"/>
  <c r="AF34" i="15"/>
  <c r="AB34" i="15"/>
  <c r="AI34" i="15"/>
  <c r="AE34" i="15"/>
  <c r="AH34" i="15"/>
  <c r="AD34" i="15"/>
  <c r="AK34" i="15"/>
  <c r="AG34" i="15"/>
  <c r="AC34" i="15"/>
  <c r="I34" i="15"/>
  <c r="H34" i="15"/>
  <c r="O34" i="15"/>
  <c r="BI34" i="15" s="1"/>
  <c r="AC61" i="15"/>
  <c r="AG61" i="15"/>
  <c r="AK61" i="15"/>
  <c r="AD61" i="15"/>
  <c r="AH61" i="15"/>
  <c r="AE61" i="15"/>
  <c r="AI61" i="15"/>
  <c r="AF61" i="15"/>
  <c r="AJ61" i="15"/>
  <c r="I61" i="15"/>
  <c r="AB61" i="15"/>
  <c r="O61" i="15"/>
  <c r="BI61" i="15" s="1"/>
  <c r="H61" i="15"/>
  <c r="AC47" i="15"/>
  <c r="AG47" i="15"/>
  <c r="AK47" i="15"/>
  <c r="AD47" i="15"/>
  <c r="AH47" i="15"/>
  <c r="AE47" i="15"/>
  <c r="AI47" i="15"/>
  <c r="AF47" i="15"/>
  <c r="I47" i="15"/>
  <c r="AJ47" i="15"/>
  <c r="AB47" i="15"/>
  <c r="O47" i="15"/>
  <c r="BI47" i="15" s="1"/>
  <c r="H47" i="15"/>
  <c r="AJ35" i="15"/>
  <c r="AF35" i="15"/>
  <c r="AB35" i="15"/>
  <c r="AI35" i="15"/>
  <c r="AE35" i="15"/>
  <c r="AH35" i="15"/>
  <c r="AD35" i="15"/>
  <c r="AC35" i="15"/>
  <c r="I35" i="15"/>
  <c r="AK35" i="15"/>
  <c r="AG35" i="15"/>
  <c r="O35" i="15"/>
  <c r="BI35" i="15" s="1"/>
  <c r="H35" i="15"/>
  <c r="T110" i="29"/>
  <c r="N109" i="29" s="1"/>
  <c r="V333" i="1"/>
  <c r="AV37" i="24"/>
  <c r="CR356" i="14" s="1"/>
  <c r="AW356" i="14"/>
  <c r="AT36" i="24"/>
  <c r="CP355" i="14" s="1"/>
  <c r="AU355" i="14"/>
  <c r="AG36" i="24"/>
  <c r="AW37" i="24"/>
  <c r="CS356" i="14" s="1"/>
  <c r="AX356" i="14"/>
  <c r="AW21" i="24"/>
  <c r="CS340" i="14" s="1"/>
  <c r="AX340" i="14"/>
  <c r="AW12" i="24"/>
  <c r="CS331" i="14" s="1"/>
  <c r="AX331" i="14"/>
  <c r="AX343" i="14"/>
  <c r="AW24" i="24"/>
  <c r="CS343" i="14" s="1"/>
  <c r="AV15" i="24"/>
  <c r="CR334" i="14" s="1"/>
  <c r="AW334" i="14"/>
  <c r="AW27" i="24"/>
  <c r="CS346" i="14" s="1"/>
  <c r="AX346" i="14"/>
  <c r="AX327" i="14"/>
  <c r="AW8" i="24"/>
  <c r="CS327" i="14" s="1"/>
  <c r="AU25" i="24"/>
  <c r="CQ344" i="14" s="1"/>
  <c r="AV344" i="14"/>
  <c r="AW23" i="24"/>
  <c r="CS342" i="14" s="1"/>
  <c r="AX342" i="14"/>
  <c r="AU16" i="24"/>
  <c r="CQ335" i="14" s="1"/>
  <c r="AV335" i="14"/>
  <c r="AW30" i="24"/>
  <c r="CS349" i="14" s="1"/>
  <c r="AX349" i="14"/>
  <c r="AW14" i="24"/>
  <c r="CS333" i="14" s="1"/>
  <c r="AX333" i="14"/>
  <c r="AV24" i="24"/>
  <c r="CR343" i="14" s="1"/>
  <c r="AW343" i="14"/>
  <c r="AU30" i="24"/>
  <c r="CQ349" i="14" s="1"/>
  <c r="AV349" i="14"/>
  <c r="AU12" i="24"/>
  <c r="CQ331" i="14" s="1"/>
  <c r="AV331" i="14"/>
  <c r="AV25" i="24"/>
  <c r="CR344" i="14" s="1"/>
  <c r="AW344" i="14"/>
  <c r="AV9" i="24"/>
  <c r="CR328" i="14" s="1"/>
  <c r="AW328" i="14"/>
  <c r="AU24" i="24"/>
  <c r="CQ343" i="14" s="1"/>
  <c r="AV343" i="14"/>
  <c r="AV30" i="24"/>
  <c r="CR349" i="14" s="1"/>
  <c r="AW349" i="14"/>
  <c r="AV14" i="24"/>
  <c r="CR333" i="14" s="1"/>
  <c r="AW333" i="14"/>
  <c r="AU20" i="24"/>
  <c r="CQ339" i="14" s="1"/>
  <c r="AV339" i="14"/>
  <c r="AU31" i="24"/>
  <c r="CQ350" i="14" s="1"/>
  <c r="AV350" i="14"/>
  <c r="AU15" i="24"/>
  <c r="CQ334" i="14" s="1"/>
  <c r="AV334" i="14"/>
  <c r="AT23" i="24"/>
  <c r="CP342" i="14" s="1"/>
  <c r="AU342" i="14"/>
  <c r="AG23" i="24"/>
  <c r="AT35" i="24"/>
  <c r="CP354" i="14" s="1"/>
  <c r="AU354" i="14"/>
  <c r="AG35" i="24"/>
  <c r="AT9" i="24"/>
  <c r="CP328" i="14" s="1"/>
  <c r="AU328" i="14"/>
  <c r="AG9" i="24"/>
  <c r="AT15" i="24"/>
  <c r="CP334" i="14" s="1"/>
  <c r="AU334" i="14"/>
  <c r="AG15" i="24"/>
  <c r="AT25" i="24"/>
  <c r="CP344" i="14" s="1"/>
  <c r="AU344" i="14"/>
  <c r="AG25" i="24"/>
  <c r="AT12" i="24"/>
  <c r="CP331" i="14" s="1"/>
  <c r="AU331" i="14"/>
  <c r="AG12" i="24"/>
  <c r="AV326" i="14"/>
  <c r="AU38" i="23"/>
  <c r="CQ326" i="14" s="1"/>
  <c r="AU9" i="23"/>
  <c r="CQ297" i="14" s="1"/>
  <c r="AV297" i="14"/>
  <c r="AX312" i="14"/>
  <c r="AW24" i="23"/>
  <c r="CS312" i="14" s="1"/>
  <c r="AW11" i="23"/>
  <c r="CS299" i="14" s="1"/>
  <c r="AX299" i="14"/>
  <c r="AV30" i="23"/>
  <c r="CR318" i="14" s="1"/>
  <c r="AW318" i="14"/>
  <c r="AV35" i="23"/>
  <c r="CR323" i="14" s="1"/>
  <c r="AW323" i="14"/>
  <c r="AV32" i="23"/>
  <c r="CR320" i="14" s="1"/>
  <c r="AW320" i="14"/>
  <c r="AV13" i="23"/>
  <c r="CR301" i="14" s="1"/>
  <c r="AW301" i="14"/>
  <c r="AU22" i="23"/>
  <c r="CQ310" i="14" s="1"/>
  <c r="AV310" i="14"/>
  <c r="AT12" i="23"/>
  <c r="CP300" i="14" s="1"/>
  <c r="AU300" i="14"/>
  <c r="AG12" i="23"/>
  <c r="AT18" i="23"/>
  <c r="CP306" i="14" s="1"/>
  <c r="AU306" i="14"/>
  <c r="AG18" i="23"/>
  <c r="AU37" i="25"/>
  <c r="CQ387" i="14" s="1"/>
  <c r="AV387" i="14"/>
  <c r="AW21" i="25"/>
  <c r="CS371" i="14" s="1"/>
  <c r="AX371" i="14"/>
  <c r="AX360" i="14"/>
  <c r="AW10" i="25"/>
  <c r="CS360" i="14" s="1"/>
  <c r="AW8" i="25"/>
  <c r="CS358" i="14" s="1"/>
  <c r="AX358" i="14"/>
  <c r="AW32" i="25"/>
  <c r="CS382" i="14" s="1"/>
  <c r="AX382" i="14"/>
  <c r="AT25" i="25"/>
  <c r="CP375" i="14" s="1"/>
  <c r="AU375" i="14"/>
  <c r="AG25" i="25"/>
  <c r="AV17" i="25"/>
  <c r="CR367" i="14" s="1"/>
  <c r="AW367" i="14"/>
  <c r="AT16" i="25"/>
  <c r="CP366" i="14" s="1"/>
  <c r="AU366" i="14"/>
  <c r="AG16" i="25"/>
  <c r="AV10" i="25"/>
  <c r="CR360" i="14" s="1"/>
  <c r="AW360" i="14"/>
  <c r="AV31" i="25"/>
  <c r="CR381" i="14" s="1"/>
  <c r="AW381" i="14"/>
  <c r="AU22" i="25"/>
  <c r="CQ372" i="14" s="1"/>
  <c r="AV372" i="14"/>
  <c r="AU20" i="25"/>
  <c r="CQ370" i="14" s="1"/>
  <c r="AV370" i="14"/>
  <c r="AT33" i="25"/>
  <c r="CP383" i="14" s="1"/>
  <c r="AU383" i="14"/>
  <c r="AG33" i="25"/>
  <c r="AT13" i="25"/>
  <c r="CP363" i="14" s="1"/>
  <c r="AU363" i="14"/>
  <c r="AG13" i="25"/>
  <c r="AT11" i="25"/>
  <c r="CP361" i="14" s="1"/>
  <c r="AU361" i="14"/>
  <c r="AG11" i="25"/>
  <c r="AC63" i="15"/>
  <c r="AG63" i="15"/>
  <c r="AK63" i="15"/>
  <c r="AD63" i="15"/>
  <c r="AH63" i="15"/>
  <c r="AE63" i="15"/>
  <c r="AI63" i="15"/>
  <c r="AF63" i="15"/>
  <c r="AJ63" i="15"/>
  <c r="I63" i="15"/>
  <c r="AB63" i="15"/>
  <c r="H63" i="15"/>
  <c r="O63" i="15"/>
  <c r="BI63" i="15" s="1"/>
  <c r="AV37" i="23"/>
  <c r="CR325" i="14" s="1"/>
  <c r="AW325" i="14"/>
  <c r="AT38" i="23"/>
  <c r="CP326" i="14" s="1"/>
  <c r="AU326" i="14"/>
  <c r="AG38" i="23"/>
  <c r="AV34" i="23"/>
  <c r="CR322" i="14" s="1"/>
  <c r="AW322" i="14"/>
  <c r="AW34" i="23"/>
  <c r="CS322" i="14" s="1"/>
  <c r="AX322" i="14"/>
  <c r="AX321" i="14"/>
  <c r="AW33" i="23"/>
  <c r="CS321" i="14" s="1"/>
  <c r="AV19" i="23"/>
  <c r="CR307" i="14" s="1"/>
  <c r="AW307" i="14"/>
  <c r="AU24" i="23"/>
  <c r="CQ312" i="14" s="1"/>
  <c r="AV312" i="14"/>
  <c r="AU8" i="23"/>
  <c r="CQ296" i="14" s="1"/>
  <c r="AV296" i="14"/>
  <c r="AT23" i="23"/>
  <c r="CP311" i="14" s="1"/>
  <c r="AU311" i="14"/>
  <c r="AG23" i="23"/>
  <c r="AT29" i="23"/>
  <c r="CP317" i="14" s="1"/>
  <c r="AU317" i="14"/>
  <c r="AG29" i="23"/>
  <c r="AW37" i="25"/>
  <c r="CS387" i="14" s="1"/>
  <c r="AX387" i="14"/>
  <c r="AW33" i="25"/>
  <c r="CS383" i="14" s="1"/>
  <c r="AX383" i="14"/>
  <c r="AW29" i="25"/>
  <c r="CS379" i="14" s="1"/>
  <c r="AX379" i="14"/>
  <c r="AU18" i="25"/>
  <c r="CQ368" i="14" s="1"/>
  <c r="AV368" i="14"/>
  <c r="AW9" i="25"/>
  <c r="CS359" i="14" s="1"/>
  <c r="AX359" i="14"/>
  <c r="AW23" i="25"/>
  <c r="CS373" i="14" s="1"/>
  <c r="AX373" i="14"/>
  <c r="AV33" i="25"/>
  <c r="CR383" i="14" s="1"/>
  <c r="AW383" i="14"/>
  <c r="AU30" i="25"/>
  <c r="CQ380" i="14" s="1"/>
  <c r="AV380" i="14"/>
  <c r="AV26" i="25"/>
  <c r="CR376" i="14" s="1"/>
  <c r="AW376" i="14"/>
  <c r="AU19" i="25"/>
  <c r="CQ369" i="14" s="1"/>
  <c r="AV369" i="14"/>
  <c r="AV15" i="25"/>
  <c r="CR365" i="14" s="1"/>
  <c r="AW365" i="14"/>
  <c r="AT34" i="25"/>
  <c r="CP384" i="14" s="1"/>
  <c r="AU384" i="14"/>
  <c r="AG34" i="25"/>
  <c r="AT28" i="25"/>
  <c r="CP378" i="14" s="1"/>
  <c r="AU378" i="14"/>
  <c r="AG28" i="25"/>
  <c r="AT10" i="25"/>
  <c r="CP360" i="14" s="1"/>
  <c r="AU360" i="14"/>
  <c r="AG10" i="25"/>
  <c r="AT27" i="25"/>
  <c r="CP377" i="14" s="1"/>
  <c r="AU377" i="14"/>
  <c r="AG27" i="25"/>
  <c r="AH59" i="15"/>
  <c r="AD59" i="15"/>
  <c r="AK59" i="15"/>
  <c r="AG59" i="15"/>
  <c r="AC59" i="15"/>
  <c r="AJ59" i="15"/>
  <c r="AF59" i="15"/>
  <c r="AE59" i="15"/>
  <c r="AB59" i="15"/>
  <c r="AI59" i="15"/>
  <c r="E67" i="15"/>
  <c r="G64" i="15" s="1"/>
  <c r="I59" i="15"/>
  <c r="O59" i="15"/>
  <c r="BI59" i="15" s="1"/>
  <c r="H59" i="15"/>
  <c r="O57" i="15"/>
  <c r="AC37" i="15"/>
  <c r="AG37" i="15"/>
  <c r="AK37" i="15"/>
  <c r="AD37" i="15"/>
  <c r="AH37" i="15"/>
  <c r="AE37" i="15"/>
  <c r="AI37" i="15"/>
  <c r="I37" i="15"/>
  <c r="AB37" i="15"/>
  <c r="AF37" i="15"/>
  <c r="AJ37" i="15"/>
  <c r="H37" i="15"/>
  <c r="O37" i="15"/>
  <c r="BI37" i="15" s="1"/>
  <c r="AC49" i="15"/>
  <c r="AG49" i="15"/>
  <c r="AK49" i="15"/>
  <c r="AD49" i="15"/>
  <c r="AH49" i="15"/>
  <c r="AE49" i="15"/>
  <c r="AI49" i="15"/>
  <c r="AF49" i="15"/>
  <c r="I49" i="15"/>
  <c r="AJ49" i="15"/>
  <c r="AB49" i="15"/>
  <c r="O49" i="15"/>
  <c r="BI49" i="15" s="1"/>
  <c r="H49" i="15"/>
  <c r="AU36" i="24"/>
  <c r="CQ355" i="14" s="1"/>
  <c r="AV355" i="14"/>
  <c r="AV11" i="24"/>
  <c r="CR330" i="14" s="1"/>
  <c r="AW330" i="14"/>
  <c r="AX336" i="14"/>
  <c r="AW17" i="24"/>
  <c r="CS336" i="14" s="1"/>
  <c r="AU34" i="24"/>
  <c r="CQ353" i="14" s="1"/>
  <c r="AV353" i="14"/>
  <c r="AV35" i="24"/>
  <c r="CR354" i="14" s="1"/>
  <c r="AW354" i="14"/>
  <c r="AW16" i="24"/>
  <c r="CS335" i="14" s="1"/>
  <c r="AX335" i="14"/>
  <c r="AW26" i="24"/>
  <c r="CS345" i="14" s="1"/>
  <c r="AX345" i="14"/>
  <c r="AV20" i="24"/>
  <c r="CR339" i="14" s="1"/>
  <c r="AW339" i="14"/>
  <c r="AT18" i="24"/>
  <c r="CP337" i="14" s="1"/>
  <c r="AU337" i="14"/>
  <c r="AG18" i="24"/>
  <c r="AV8" i="24"/>
  <c r="CR327" i="14" s="1"/>
  <c r="AW327" i="14"/>
  <c r="AV26" i="24"/>
  <c r="CR345" i="14" s="1"/>
  <c r="AW345" i="14"/>
  <c r="AU13" i="24"/>
  <c r="CQ332" i="14" s="1"/>
  <c r="AV332" i="14"/>
  <c r="AU11" i="24"/>
  <c r="CQ330" i="14" s="1"/>
  <c r="AV330" i="14"/>
  <c r="AT21" i="24"/>
  <c r="CP340" i="14" s="1"/>
  <c r="AU340" i="14"/>
  <c r="AG21" i="24"/>
  <c r="AV36" i="23"/>
  <c r="CR324" i="14" s="1"/>
  <c r="AW324" i="14"/>
  <c r="AW19" i="23"/>
  <c r="CS307" i="14" s="1"/>
  <c r="AX307" i="14"/>
  <c r="AW36" i="23"/>
  <c r="CS324" i="14" s="1"/>
  <c r="AX324" i="14"/>
  <c r="AW26" i="23"/>
  <c r="CS314" i="14" s="1"/>
  <c r="AX314" i="14"/>
  <c r="AV18" i="23"/>
  <c r="CR306" i="14" s="1"/>
  <c r="AW306" i="14"/>
  <c r="AU23" i="23"/>
  <c r="CQ311" i="14" s="1"/>
  <c r="AV311" i="14"/>
  <c r="AW22" i="23"/>
  <c r="CS310" i="14" s="1"/>
  <c r="AX310" i="14"/>
  <c r="AW27" i="23"/>
  <c r="CS315" i="14" s="1"/>
  <c r="AX315" i="14"/>
  <c r="AV26" i="23"/>
  <c r="CR314" i="14" s="1"/>
  <c r="AW314" i="14"/>
  <c r="AW23" i="23"/>
  <c r="CS311" i="14" s="1"/>
  <c r="AX311" i="14"/>
  <c r="AV14" i="23"/>
  <c r="CR302" i="14" s="1"/>
  <c r="AW302" i="14"/>
  <c r="AW29" i="23"/>
  <c r="CS317" i="14" s="1"/>
  <c r="AX317" i="14"/>
  <c r="AW13" i="23"/>
  <c r="CS301" i="14" s="1"/>
  <c r="AX301" i="14"/>
  <c r="AV31" i="23"/>
  <c r="CR319" i="14" s="1"/>
  <c r="AW319" i="14"/>
  <c r="AV15" i="23"/>
  <c r="CR303" i="14" s="1"/>
  <c r="AW303" i="14"/>
  <c r="AU21" i="23"/>
  <c r="CQ309" i="14" s="1"/>
  <c r="AV309" i="14"/>
  <c r="AV28" i="23"/>
  <c r="CR316" i="14" s="1"/>
  <c r="AW316" i="14"/>
  <c r="AV12" i="23"/>
  <c r="CR300" i="14" s="1"/>
  <c r="AW300" i="14"/>
  <c r="AU17" i="23"/>
  <c r="CQ305" i="14" s="1"/>
  <c r="AV305" i="14"/>
  <c r="AV25" i="23"/>
  <c r="CR313" i="14" s="1"/>
  <c r="AW313" i="14"/>
  <c r="AV9" i="23"/>
  <c r="CR297" i="14" s="1"/>
  <c r="AW297" i="14"/>
  <c r="AU20" i="23"/>
  <c r="CQ308" i="14" s="1"/>
  <c r="AV308" i="14"/>
  <c r="AU34" i="23"/>
  <c r="CQ322" i="14" s="1"/>
  <c r="AV322" i="14"/>
  <c r="AU18" i="23"/>
  <c r="CQ306" i="14" s="1"/>
  <c r="AV306" i="14"/>
  <c r="AT31" i="23"/>
  <c r="CP319" i="14" s="1"/>
  <c r="AU319" i="14"/>
  <c r="AG31" i="23"/>
  <c r="AT20" i="23"/>
  <c r="CP308" i="14" s="1"/>
  <c r="AU308" i="14"/>
  <c r="AG20" i="23"/>
  <c r="AT32" i="23"/>
  <c r="CP320" i="14" s="1"/>
  <c r="AU320" i="14"/>
  <c r="AG32" i="23"/>
  <c r="AT30" i="23"/>
  <c r="CP318" i="14" s="1"/>
  <c r="AU318" i="14"/>
  <c r="AG30" i="23"/>
  <c r="AT14" i="23"/>
  <c r="CP302" i="14" s="1"/>
  <c r="AU302" i="14"/>
  <c r="AG14" i="23"/>
  <c r="AT25" i="23"/>
  <c r="CP313" i="14" s="1"/>
  <c r="AU313" i="14"/>
  <c r="AG25" i="23"/>
  <c r="AT9" i="23"/>
  <c r="CP297" i="14" s="1"/>
  <c r="AU297" i="14"/>
  <c r="AG9" i="23"/>
  <c r="V319" i="1"/>
  <c r="Y319" i="1" s="1"/>
  <c r="AB319" i="1" s="1"/>
  <c r="AE319" i="1" s="1"/>
  <c r="AH319" i="1" s="1"/>
  <c r="AK319" i="1" s="1"/>
  <c r="AN318" i="1"/>
  <c r="AV37" i="25"/>
  <c r="CR387" i="14" s="1"/>
  <c r="AW387" i="14"/>
  <c r="AT36" i="25"/>
  <c r="CP386" i="14" s="1"/>
  <c r="AU386" i="14"/>
  <c r="AG36" i="25"/>
  <c r="AT18" i="25"/>
  <c r="CP368" i="14" s="1"/>
  <c r="AU368" i="14"/>
  <c r="AG18" i="25"/>
  <c r="AW14" i="25"/>
  <c r="CS364" i="14" s="1"/>
  <c r="AX364" i="14"/>
  <c r="AW26" i="25"/>
  <c r="CS376" i="14" s="1"/>
  <c r="AX376" i="14"/>
  <c r="AV24" i="25"/>
  <c r="CR374" i="14" s="1"/>
  <c r="AW374" i="14"/>
  <c r="AW22" i="25"/>
  <c r="CS372" i="14" s="1"/>
  <c r="AX372" i="14"/>
  <c r="AV28" i="25"/>
  <c r="CR378" i="14" s="1"/>
  <c r="AW378" i="14"/>
  <c r="AU11" i="25"/>
  <c r="CQ361" i="14" s="1"/>
  <c r="AV361" i="14"/>
  <c r="AW25" i="25"/>
  <c r="CS375" i="14" s="1"/>
  <c r="AX375" i="14"/>
  <c r="AV32" i="25"/>
  <c r="CR382" i="14" s="1"/>
  <c r="AW382" i="14"/>
  <c r="AW35" i="25"/>
  <c r="CS385" i="14" s="1"/>
  <c r="AX385" i="14"/>
  <c r="AW19" i="25"/>
  <c r="CS369" i="14" s="1"/>
  <c r="AX369" i="14"/>
  <c r="AV29" i="25"/>
  <c r="CR379" i="14" s="1"/>
  <c r="AW379" i="14"/>
  <c r="AV13" i="25"/>
  <c r="CR363" i="14" s="1"/>
  <c r="AW363" i="14"/>
  <c r="AU23" i="25"/>
  <c r="CQ373" i="14" s="1"/>
  <c r="AV373" i="14"/>
  <c r="AT9" i="25"/>
  <c r="CP359" i="14" s="1"/>
  <c r="AU359" i="14"/>
  <c r="AG9" i="25"/>
  <c r="AV22" i="25"/>
  <c r="CR372" i="14" s="1"/>
  <c r="AW372" i="14"/>
  <c r="AU35" i="25"/>
  <c r="CQ385" i="14" s="1"/>
  <c r="AV385" i="14"/>
  <c r="AU17" i="25"/>
  <c r="CQ367" i="14" s="1"/>
  <c r="AV367" i="14"/>
  <c r="AV27" i="25"/>
  <c r="CR377" i="14" s="1"/>
  <c r="AW377" i="14"/>
  <c r="AV11" i="25"/>
  <c r="CR361" i="14" s="1"/>
  <c r="AW361" i="14"/>
  <c r="AU15" i="25"/>
  <c r="CQ365" i="14" s="1"/>
  <c r="AV365" i="14"/>
  <c r="AU32" i="25"/>
  <c r="CQ382" i="14" s="1"/>
  <c r="AV382" i="14"/>
  <c r="AU16" i="25"/>
  <c r="CQ366" i="14" s="1"/>
  <c r="AV366" i="14"/>
  <c r="AT21" i="25"/>
  <c r="CP371" i="14" s="1"/>
  <c r="AU371" i="14"/>
  <c r="AG21" i="25"/>
  <c r="AT26" i="25"/>
  <c r="CP376" i="14" s="1"/>
  <c r="AU376" i="14"/>
  <c r="AG26" i="25"/>
  <c r="AT29" i="25"/>
  <c r="CP379" i="14" s="1"/>
  <c r="AU379" i="14"/>
  <c r="AG29" i="25"/>
  <c r="AT8" i="25"/>
  <c r="CP358" i="14" s="1"/>
  <c r="AU358" i="14"/>
  <c r="AG8" i="25"/>
  <c r="AT23" i="25"/>
  <c r="CP373" i="14" s="1"/>
  <c r="AU373" i="14"/>
  <c r="AG23" i="25"/>
  <c r="AJ36" i="15"/>
  <c r="AF36" i="15"/>
  <c r="AB36" i="15"/>
  <c r="AI36" i="15"/>
  <c r="AE36" i="15"/>
  <c r="AH36" i="15"/>
  <c r="AD36" i="15"/>
  <c r="AK36" i="15"/>
  <c r="AG36" i="15"/>
  <c r="AC36" i="15"/>
  <c r="I36" i="15"/>
  <c r="H36" i="15"/>
  <c r="O36" i="15"/>
  <c r="BI36" i="15" s="1"/>
  <c r="AC38" i="15"/>
  <c r="AG38" i="15"/>
  <c r="AK38" i="15"/>
  <c r="AD38" i="15"/>
  <c r="AH38" i="15"/>
  <c r="AE38" i="15"/>
  <c r="AI38" i="15"/>
  <c r="AF38" i="15"/>
  <c r="AJ38" i="15"/>
  <c r="I38" i="15"/>
  <c r="AB38" i="15"/>
  <c r="O38" i="15"/>
  <c r="BI38" i="15" s="1"/>
  <c r="H38" i="15"/>
  <c r="AC52" i="15"/>
  <c r="AG52" i="15"/>
  <c r="AK52" i="15"/>
  <c r="AD52" i="15"/>
  <c r="AH52" i="15"/>
  <c r="AE52" i="15"/>
  <c r="AI52" i="15"/>
  <c r="AB52" i="15"/>
  <c r="AF52" i="15"/>
  <c r="I52" i="15"/>
  <c r="AJ52" i="15"/>
  <c r="H52" i="15"/>
  <c r="O52" i="15"/>
  <c r="BI52" i="15" s="1"/>
  <c r="AJ33" i="15"/>
  <c r="AF33" i="15"/>
  <c r="AB33" i="15"/>
  <c r="AI33" i="15"/>
  <c r="AE33" i="15"/>
  <c r="AH33" i="15"/>
  <c r="AD33" i="15"/>
  <c r="AC33" i="15"/>
  <c r="E41" i="15"/>
  <c r="G39" i="15" s="1"/>
  <c r="I33" i="15"/>
  <c r="AK33" i="15"/>
  <c r="AG33" i="15"/>
  <c r="H33" i="15"/>
  <c r="O33" i="15"/>
  <c r="BI33" i="15" s="1"/>
  <c r="O31" i="15"/>
  <c r="AC51" i="15"/>
  <c r="AG51" i="15"/>
  <c r="AK51" i="15"/>
  <c r="AD51" i="15"/>
  <c r="AH51" i="15"/>
  <c r="AE51" i="15"/>
  <c r="AI51" i="15"/>
  <c r="AF51" i="15"/>
  <c r="I51" i="15"/>
  <c r="AJ51" i="15"/>
  <c r="AB51" i="15"/>
  <c r="O51" i="15"/>
  <c r="BI51" i="15" s="1"/>
  <c r="H51" i="15"/>
  <c r="CG482" i="14"/>
  <c r="Y333" i="1"/>
  <c r="Y334" i="1" s="1"/>
  <c r="AV36" i="24"/>
  <c r="CR355" i="14" s="1"/>
  <c r="AW355" i="14"/>
  <c r="AU37" i="24"/>
  <c r="CQ356" i="14" s="1"/>
  <c r="AV356" i="14"/>
  <c r="AT38" i="24"/>
  <c r="CP357" i="14" s="1"/>
  <c r="AU357" i="14"/>
  <c r="AG38" i="24"/>
  <c r="AW35" i="24"/>
  <c r="CS354" i="14" s="1"/>
  <c r="AX354" i="14"/>
  <c r="AT27" i="24"/>
  <c r="CP346" i="14" s="1"/>
  <c r="AU346" i="14"/>
  <c r="AG27" i="24"/>
  <c r="AW33" i="24"/>
  <c r="CS352" i="14" s="1"/>
  <c r="AX352" i="14"/>
  <c r="AW15" i="24"/>
  <c r="CS334" i="14" s="1"/>
  <c r="AX334" i="14"/>
  <c r="AT20" i="24"/>
  <c r="CP339" i="14" s="1"/>
  <c r="AU339" i="14"/>
  <c r="AG20" i="24"/>
  <c r="AW13" i="24"/>
  <c r="CS332" i="14" s="1"/>
  <c r="AX332" i="14"/>
  <c r="AV19" i="24"/>
  <c r="CR338" i="14" s="1"/>
  <c r="AW338" i="14"/>
  <c r="AW32" i="24"/>
  <c r="CS351" i="14" s="1"/>
  <c r="AX351" i="14"/>
  <c r="AW9" i="24"/>
  <c r="CS328" i="14" s="1"/>
  <c r="AX328" i="14"/>
  <c r="AT34" i="24"/>
  <c r="CP353" i="14" s="1"/>
  <c r="AU353" i="14"/>
  <c r="AG34" i="24"/>
  <c r="AW22" i="24"/>
  <c r="CS341" i="14" s="1"/>
  <c r="AX341" i="14"/>
  <c r="AW351" i="14"/>
  <c r="AV32" i="24"/>
  <c r="CR351" i="14" s="1"/>
  <c r="AW335" i="14"/>
  <c r="AV16" i="24"/>
  <c r="CR335" i="14" s="1"/>
  <c r="AU21" i="24"/>
  <c r="CQ340" i="14" s="1"/>
  <c r="AV340" i="14"/>
  <c r="AV33" i="24"/>
  <c r="CR352" i="14" s="1"/>
  <c r="AW352" i="14"/>
  <c r="AV17" i="24"/>
  <c r="CR336" i="14" s="1"/>
  <c r="AW336" i="14"/>
  <c r="AU33" i="24"/>
  <c r="CQ352" i="14" s="1"/>
  <c r="AV352" i="14"/>
  <c r="AU10" i="24"/>
  <c r="CQ329" i="14" s="1"/>
  <c r="AV329" i="14"/>
  <c r="AV22" i="24"/>
  <c r="CR341" i="14" s="1"/>
  <c r="AW341" i="14"/>
  <c r="AU29" i="24"/>
  <c r="CQ348" i="14" s="1"/>
  <c r="AV348" i="14"/>
  <c r="AU8" i="24"/>
  <c r="CQ327" i="14" s="1"/>
  <c r="AV327" i="14"/>
  <c r="AU23" i="24"/>
  <c r="CQ342" i="14" s="1"/>
  <c r="AV342" i="14"/>
  <c r="AT32" i="24"/>
  <c r="CP351" i="14" s="1"/>
  <c r="AU351" i="14"/>
  <c r="AG32" i="24"/>
  <c r="AT13" i="24"/>
  <c r="CP332" i="14" s="1"/>
  <c r="AU332" i="14"/>
  <c r="AG13" i="24"/>
  <c r="AT26" i="24"/>
  <c r="CP345" i="14" s="1"/>
  <c r="AU345" i="14"/>
  <c r="AG26" i="24"/>
  <c r="AT24" i="24"/>
  <c r="CP343" i="14" s="1"/>
  <c r="AU343" i="14"/>
  <c r="AG24" i="24"/>
  <c r="AT33" i="24"/>
  <c r="CP352" i="14" s="1"/>
  <c r="AU352" i="14"/>
  <c r="AG33" i="24"/>
  <c r="AT17" i="24"/>
  <c r="CP336" i="14" s="1"/>
  <c r="AU336" i="14"/>
  <c r="AG17" i="24"/>
  <c r="AW12" i="23"/>
  <c r="CS300" i="14" s="1"/>
  <c r="AX300" i="14"/>
  <c r="AW30" i="23"/>
  <c r="CS318" i="14" s="1"/>
  <c r="AX318" i="14"/>
  <c r="AX305" i="14"/>
  <c r="AW17" i="23"/>
  <c r="CS305" i="14" s="1"/>
  <c r="AU28" i="23"/>
  <c r="CQ316" i="14" s="1"/>
  <c r="AV316" i="14"/>
  <c r="AV16" i="23"/>
  <c r="CR304" i="14" s="1"/>
  <c r="AW304" i="14"/>
  <c r="AV29" i="23"/>
  <c r="CR317" i="14" s="1"/>
  <c r="AW317" i="14"/>
  <c r="AU27" i="23"/>
  <c r="CQ315" i="14" s="1"/>
  <c r="AV315" i="14"/>
  <c r="AT35" i="23"/>
  <c r="CP323" i="14" s="1"/>
  <c r="AU323" i="14"/>
  <c r="AG35" i="23"/>
  <c r="AT34" i="23"/>
  <c r="CP322" i="14" s="1"/>
  <c r="AU322" i="14"/>
  <c r="AG34" i="23"/>
  <c r="AT13" i="23"/>
  <c r="CP301" i="14" s="1"/>
  <c r="AU301" i="14"/>
  <c r="AG13" i="23"/>
  <c r="AC64" i="15"/>
  <c r="AG64" i="15"/>
  <c r="AK64" i="15"/>
  <c r="AD64" i="15"/>
  <c r="AH64" i="15"/>
  <c r="AE64" i="15"/>
  <c r="AI64" i="15"/>
  <c r="AB64" i="15"/>
  <c r="I64" i="15"/>
  <c r="AF64" i="15"/>
  <c r="AJ64" i="15"/>
  <c r="O64" i="15"/>
  <c r="BI64" i="15" s="1"/>
  <c r="H64" i="15"/>
  <c r="AJ46" i="15"/>
  <c r="AF46" i="15"/>
  <c r="AI46" i="15"/>
  <c r="AE46" i="15"/>
  <c r="AH46" i="15"/>
  <c r="AD46" i="15"/>
  <c r="E54" i="15"/>
  <c r="G48" i="15" s="1"/>
  <c r="AK46" i="15"/>
  <c r="AG46" i="15"/>
  <c r="AB46" i="15"/>
  <c r="I46" i="15"/>
  <c r="AC46" i="15"/>
  <c r="O44" i="15"/>
  <c r="H46" i="15"/>
  <c r="O46" i="15"/>
  <c r="BI46" i="15" s="1"/>
  <c r="AW38" i="24"/>
  <c r="CS357" i="14" s="1"/>
  <c r="AX357" i="14"/>
  <c r="AV27" i="24"/>
  <c r="CR346" i="14" s="1"/>
  <c r="AW346" i="14"/>
  <c r="AW20" i="24"/>
  <c r="CS339" i="14" s="1"/>
  <c r="AX339" i="14"/>
  <c r="AU18" i="24"/>
  <c r="CQ337" i="14" s="1"/>
  <c r="AV337" i="14"/>
  <c r="AU9" i="24"/>
  <c r="CQ328" i="14" s="1"/>
  <c r="AV328" i="14"/>
  <c r="AX329" i="14"/>
  <c r="AW10" i="24"/>
  <c r="CS329" i="14" s="1"/>
  <c r="AU28" i="24"/>
  <c r="CQ347" i="14" s="1"/>
  <c r="AV347" i="14"/>
  <c r="AV21" i="24"/>
  <c r="CR340" i="14" s="1"/>
  <c r="AW340" i="14"/>
  <c r="AU17" i="24"/>
  <c r="CQ336" i="14" s="1"/>
  <c r="AV336" i="14"/>
  <c r="AV10" i="24"/>
  <c r="CR329" i="14" s="1"/>
  <c r="AW329" i="14"/>
  <c r="AU27" i="24"/>
  <c r="CQ346" i="14" s="1"/>
  <c r="AV346" i="14"/>
  <c r="AT16" i="24"/>
  <c r="CP335" i="14" s="1"/>
  <c r="AU335" i="14"/>
  <c r="AG16" i="24"/>
  <c r="AT28" i="24"/>
  <c r="CP347" i="14" s="1"/>
  <c r="AU347" i="14"/>
  <c r="AG28" i="24"/>
  <c r="AT31" i="24"/>
  <c r="CP350" i="14" s="1"/>
  <c r="AU350" i="14"/>
  <c r="AG31" i="24"/>
  <c r="AT8" i="24"/>
  <c r="CP327" i="14" s="1"/>
  <c r="AU327" i="14"/>
  <c r="AG8" i="24"/>
  <c r="AT11" i="24"/>
  <c r="CP330" i="14" s="1"/>
  <c r="AU330" i="14"/>
  <c r="AG11" i="24"/>
  <c r="AU36" i="23"/>
  <c r="CQ324" i="14" s="1"/>
  <c r="AV324" i="14"/>
  <c r="AT36" i="23"/>
  <c r="CP324" i="14" s="1"/>
  <c r="AU324" i="14"/>
  <c r="AG36" i="23"/>
  <c r="AW37" i="23"/>
  <c r="CS325" i="14" s="1"/>
  <c r="AX325" i="14"/>
  <c r="AU16" i="23"/>
  <c r="CQ304" i="14" s="1"/>
  <c r="AV304" i="14"/>
  <c r="AW35" i="23"/>
  <c r="CS323" i="14" s="1"/>
  <c r="AX323" i="14"/>
  <c r="AT11" i="23"/>
  <c r="CP299" i="14" s="1"/>
  <c r="AU299" i="14"/>
  <c r="AG11" i="23"/>
  <c r="AW15" i="23"/>
  <c r="CS303" i="14" s="1"/>
  <c r="AX303" i="14"/>
  <c r="AW20" i="23"/>
  <c r="CS308" i="14" s="1"/>
  <c r="AX308" i="14"/>
  <c r="AV10" i="23"/>
  <c r="CR298" i="14" s="1"/>
  <c r="AW298" i="14"/>
  <c r="AW16" i="23"/>
  <c r="CS304" i="14" s="1"/>
  <c r="AX304" i="14"/>
  <c r="AU32" i="23"/>
  <c r="CQ320" i="14" s="1"/>
  <c r="AV320" i="14"/>
  <c r="AW25" i="23"/>
  <c r="CS313" i="14" s="1"/>
  <c r="AX313" i="14"/>
  <c r="AW9" i="23"/>
  <c r="CS297" i="14" s="1"/>
  <c r="AX297" i="14"/>
  <c r="AV27" i="23"/>
  <c r="CR315" i="14" s="1"/>
  <c r="AW315" i="14"/>
  <c r="AV11" i="23"/>
  <c r="CR299" i="14" s="1"/>
  <c r="AW299" i="14"/>
  <c r="AU19" i="23"/>
  <c r="CQ307" i="14" s="1"/>
  <c r="AV307" i="14"/>
  <c r="AV24" i="23"/>
  <c r="CR312" i="14" s="1"/>
  <c r="AW312" i="14"/>
  <c r="AU33" i="23"/>
  <c r="CQ321" i="14" s="1"/>
  <c r="AV321" i="14"/>
  <c r="AU15" i="23"/>
  <c r="CQ303" i="14" s="1"/>
  <c r="AV303" i="14"/>
  <c r="AV21" i="23"/>
  <c r="CR309" i="14" s="1"/>
  <c r="AW309" i="14"/>
  <c r="AV8" i="23"/>
  <c r="CR296" i="14" s="1"/>
  <c r="AW296" i="14"/>
  <c r="AU13" i="23"/>
  <c r="CQ301" i="14" s="1"/>
  <c r="AV301" i="14"/>
  <c r="AU30" i="23"/>
  <c r="CQ318" i="14" s="1"/>
  <c r="AV318" i="14"/>
  <c r="AU14" i="23"/>
  <c r="CQ302" i="14" s="1"/>
  <c r="AV302" i="14"/>
  <c r="AT28" i="23"/>
  <c r="CP316" i="14" s="1"/>
  <c r="AU316" i="14"/>
  <c r="AG28" i="23"/>
  <c r="AT19" i="23"/>
  <c r="CP307" i="14" s="1"/>
  <c r="AU307" i="14"/>
  <c r="AG19" i="23"/>
  <c r="AT24" i="23"/>
  <c r="CP312" i="14" s="1"/>
  <c r="AU312" i="14"/>
  <c r="AG24" i="23"/>
  <c r="AT26" i="23"/>
  <c r="CP314" i="14" s="1"/>
  <c r="AU314" i="14"/>
  <c r="AG26" i="23"/>
  <c r="AT10" i="23"/>
  <c r="CP298" i="14" s="1"/>
  <c r="AU298" i="14"/>
  <c r="AG10" i="23"/>
  <c r="AT21" i="23"/>
  <c r="CP309" i="14" s="1"/>
  <c r="AU309" i="14"/>
  <c r="AG21" i="23"/>
  <c r="AT8" i="23"/>
  <c r="CP296" i="14" s="1"/>
  <c r="AU296" i="14"/>
  <c r="AG8" i="23"/>
  <c r="AV36" i="25"/>
  <c r="CR386" i="14" s="1"/>
  <c r="AW386" i="14"/>
  <c r="AT37" i="25"/>
  <c r="CP387" i="14" s="1"/>
  <c r="AU387" i="14"/>
  <c r="AG37" i="25"/>
  <c r="AW30" i="25"/>
  <c r="CS380" i="14" s="1"/>
  <c r="AX380" i="14"/>
  <c r="AV20" i="25"/>
  <c r="CR370" i="14" s="1"/>
  <c r="AW370" i="14"/>
  <c r="AW24" i="25"/>
  <c r="CS374" i="14" s="1"/>
  <c r="AX374" i="14"/>
  <c r="AU34" i="25"/>
  <c r="CQ384" i="14" s="1"/>
  <c r="AV384" i="14"/>
  <c r="AW20" i="25"/>
  <c r="CS370" i="14" s="1"/>
  <c r="AX370" i="14"/>
  <c r="AV12" i="25"/>
  <c r="CR362" i="14" s="1"/>
  <c r="AW362" i="14"/>
  <c r="AT32" i="25"/>
  <c r="CP382" i="14" s="1"/>
  <c r="AU382" i="14"/>
  <c r="AG32" i="25"/>
  <c r="AW18" i="25"/>
  <c r="CS368" i="14" s="1"/>
  <c r="AX368" i="14"/>
  <c r="AV16" i="25"/>
  <c r="CR366" i="14" s="1"/>
  <c r="AW366" i="14"/>
  <c r="AW31" i="25"/>
  <c r="CS381" i="14" s="1"/>
  <c r="AX381" i="14"/>
  <c r="AW15" i="25"/>
  <c r="CS365" i="14" s="1"/>
  <c r="AX365" i="14"/>
  <c r="AW375" i="14"/>
  <c r="AV25" i="25"/>
  <c r="CR375" i="14" s="1"/>
  <c r="AW359" i="14"/>
  <c r="AV9" i="25"/>
  <c r="CR359" i="14" s="1"/>
  <c r="AU21" i="25"/>
  <c r="CQ371" i="14" s="1"/>
  <c r="AV371" i="14"/>
  <c r="AV34" i="25"/>
  <c r="CR384" i="14" s="1"/>
  <c r="AW384" i="14"/>
  <c r="AV18" i="25"/>
  <c r="CR368" i="14" s="1"/>
  <c r="AW368" i="14"/>
  <c r="AU33" i="25"/>
  <c r="CQ383" i="14" s="1"/>
  <c r="AV383" i="14"/>
  <c r="AU10" i="25"/>
  <c r="CQ360" i="14" s="1"/>
  <c r="AV360" i="14"/>
  <c r="AV23" i="25"/>
  <c r="CR373" i="14" s="1"/>
  <c r="AW373" i="14"/>
  <c r="AU31" i="25"/>
  <c r="CQ381" i="14" s="1"/>
  <c r="AV381" i="14"/>
  <c r="AU13" i="25"/>
  <c r="CQ363" i="14" s="1"/>
  <c r="AV363" i="14"/>
  <c r="AU28" i="25"/>
  <c r="CQ378" i="14" s="1"/>
  <c r="AV378" i="14"/>
  <c r="AU12" i="25"/>
  <c r="CQ362" i="14" s="1"/>
  <c r="AV362" i="14"/>
  <c r="AT14" i="25"/>
  <c r="CP364" i="14" s="1"/>
  <c r="AU364" i="14"/>
  <c r="AG14" i="25"/>
  <c r="AT24" i="25"/>
  <c r="CP374" i="14" s="1"/>
  <c r="AU374" i="14"/>
  <c r="AG24" i="25"/>
  <c r="AT22" i="25"/>
  <c r="CP372" i="14" s="1"/>
  <c r="AU372" i="14"/>
  <c r="AG22" i="25"/>
  <c r="AT35" i="25"/>
  <c r="CP385" i="14" s="1"/>
  <c r="AU385" i="14"/>
  <c r="AG35" i="25"/>
  <c r="AT19" i="25"/>
  <c r="CP369" i="14" s="1"/>
  <c r="AU369" i="14"/>
  <c r="AG19" i="25"/>
  <c r="AC62" i="15"/>
  <c r="AG62" i="15"/>
  <c r="AK62" i="15"/>
  <c r="AD62" i="15"/>
  <c r="AH62" i="15"/>
  <c r="AE62" i="15"/>
  <c r="AI62" i="15"/>
  <c r="AB62" i="15"/>
  <c r="I62" i="15"/>
  <c r="AF62" i="15"/>
  <c r="AJ62" i="15"/>
  <c r="O62" i="15"/>
  <c r="BI62" i="15" s="1"/>
  <c r="H62" i="15"/>
  <c r="E86" i="15"/>
  <c r="E19" i="15"/>
  <c r="E94" i="15"/>
  <c r="AK85" i="15"/>
  <c r="AG85" i="15"/>
  <c r="AC85" i="15"/>
  <c r="AJ85" i="15"/>
  <c r="AF85" i="15"/>
  <c r="AI85" i="15"/>
  <c r="AE85" i="15"/>
  <c r="G85" i="15"/>
  <c r="AH85" i="15"/>
  <c r="AD85" i="15"/>
  <c r="I85" i="15"/>
  <c r="AB85" i="15"/>
  <c r="D94" i="15"/>
  <c r="H85" i="15"/>
  <c r="O85" i="15"/>
  <c r="BI85" i="15" s="1"/>
  <c r="G91" i="15"/>
  <c r="G90" i="15"/>
  <c r="G92" i="15"/>
  <c r="G88" i="15"/>
  <c r="G89" i="15"/>
  <c r="AC48" i="15"/>
  <c r="AG48" i="15"/>
  <c r="AK48" i="15"/>
  <c r="AD48" i="15"/>
  <c r="AH48" i="15"/>
  <c r="AE48" i="15"/>
  <c r="AI48" i="15"/>
  <c r="AB48" i="15"/>
  <c r="AF48" i="15"/>
  <c r="I48" i="15"/>
  <c r="AJ48" i="15"/>
  <c r="H48" i="15"/>
  <c r="O48" i="15"/>
  <c r="BI48" i="15" s="1"/>
  <c r="AC39" i="15"/>
  <c r="AG39" i="15"/>
  <c r="AK39" i="15"/>
  <c r="AD39" i="15"/>
  <c r="AH39" i="15"/>
  <c r="AE39" i="15"/>
  <c r="AI39" i="15"/>
  <c r="I39" i="15"/>
  <c r="AB39" i="15"/>
  <c r="AF39" i="15"/>
  <c r="AJ39" i="15"/>
  <c r="O39" i="15"/>
  <c r="BI39" i="15" s="1"/>
  <c r="H39" i="15"/>
  <c r="AC50" i="15"/>
  <c r="AG50" i="15"/>
  <c r="AK50" i="15"/>
  <c r="AD50" i="15"/>
  <c r="AH50" i="15"/>
  <c r="AE50" i="15"/>
  <c r="AI50" i="15"/>
  <c r="AB50" i="15"/>
  <c r="AF50" i="15"/>
  <c r="I50" i="15"/>
  <c r="AJ50" i="15"/>
  <c r="O50" i="15"/>
  <c r="BI50" i="15" s="1"/>
  <c r="H50" i="15"/>
  <c r="CH482" i="14"/>
  <c r="G10" i="15" s="1"/>
  <c r="CH481" i="14"/>
  <c r="I10" i="15" s="1"/>
  <c r="AV38" i="24"/>
  <c r="CR357" i="14" s="1"/>
  <c r="AW357" i="14"/>
  <c r="AV357" i="14"/>
  <c r="AU38" i="24"/>
  <c r="CQ357" i="14" s="1"/>
  <c r="AW36" i="24"/>
  <c r="CS355" i="14" s="1"/>
  <c r="AX355" i="14"/>
  <c r="AW28" i="24"/>
  <c r="CS347" i="14" s="1"/>
  <c r="AX347" i="14"/>
  <c r="AW19" i="24"/>
  <c r="CS338" i="14" s="1"/>
  <c r="AX338" i="14"/>
  <c r="AW31" i="24"/>
  <c r="CS350" i="14" s="1"/>
  <c r="AX350" i="14"/>
  <c r="AV31" i="24"/>
  <c r="CR350" i="14" s="1"/>
  <c r="AW350" i="14"/>
  <c r="AW29" i="24"/>
  <c r="CS348" i="14" s="1"/>
  <c r="AX348" i="14"/>
  <c r="AW11" i="24"/>
  <c r="CS330" i="14" s="1"/>
  <c r="AX330" i="14"/>
  <c r="AU32" i="24"/>
  <c r="CQ351" i="14" s="1"/>
  <c r="AV351" i="14"/>
  <c r="AW25" i="24"/>
  <c r="CS344" i="14" s="1"/>
  <c r="AX344" i="14"/>
  <c r="AV23" i="24"/>
  <c r="CR342" i="14" s="1"/>
  <c r="AW342" i="14"/>
  <c r="AW34" i="24"/>
  <c r="CS353" i="14" s="1"/>
  <c r="AX353" i="14"/>
  <c r="AW18" i="24"/>
  <c r="CS337" i="14" s="1"/>
  <c r="AX337" i="14"/>
  <c r="AV28" i="24"/>
  <c r="CR347" i="14" s="1"/>
  <c r="AW347" i="14"/>
  <c r="AV12" i="24"/>
  <c r="CR331" i="14" s="1"/>
  <c r="AW331" i="14"/>
  <c r="AV333" i="14"/>
  <c r="AU14" i="24"/>
  <c r="CQ333" i="14" s="1"/>
  <c r="AV29" i="24"/>
  <c r="CR348" i="14" s="1"/>
  <c r="AW348" i="14"/>
  <c r="AV13" i="24"/>
  <c r="CR332" i="14" s="1"/>
  <c r="AW332" i="14"/>
  <c r="AU26" i="24"/>
  <c r="CQ345" i="14" s="1"/>
  <c r="AV345" i="14"/>
  <c r="AV34" i="24"/>
  <c r="CR353" i="14" s="1"/>
  <c r="AW353" i="14"/>
  <c r="AV18" i="24"/>
  <c r="CR337" i="14" s="1"/>
  <c r="AW337" i="14"/>
  <c r="AU22" i="24"/>
  <c r="CQ341" i="14" s="1"/>
  <c r="AV341" i="14"/>
  <c r="AU35" i="24"/>
  <c r="CQ354" i="14" s="1"/>
  <c r="AV354" i="14"/>
  <c r="AU19" i="24"/>
  <c r="CQ338" i="14" s="1"/>
  <c r="AV338" i="14"/>
  <c r="AT30" i="24"/>
  <c r="CP349" i="14" s="1"/>
  <c r="AU349" i="14"/>
  <c r="AG30" i="24"/>
  <c r="AT10" i="24"/>
  <c r="CP329" i="14" s="1"/>
  <c r="AU329" i="14"/>
  <c r="AG10" i="24"/>
  <c r="AT19" i="24"/>
  <c r="CP338" i="14" s="1"/>
  <c r="AU338" i="14"/>
  <c r="AG19" i="24"/>
  <c r="AT22" i="24"/>
  <c r="CP341" i="14" s="1"/>
  <c r="AU341" i="14"/>
  <c r="AG22" i="24"/>
  <c r="AT29" i="24"/>
  <c r="CP348" i="14" s="1"/>
  <c r="AU348" i="14"/>
  <c r="AG29" i="24"/>
  <c r="AT14" i="24"/>
  <c r="CP333" i="14" s="1"/>
  <c r="AU333" i="14"/>
  <c r="AG14" i="24"/>
  <c r="E27" i="15" l="1"/>
  <c r="O83" i="15"/>
  <c r="T18" i="29"/>
  <c r="BJ23" i="15"/>
  <c r="BF23" i="15" s="1"/>
  <c r="AJ27" i="15"/>
  <c r="AE27" i="15"/>
  <c r="AG27" i="15"/>
  <c r="AF27" i="15"/>
  <c r="AH27" i="15"/>
  <c r="AC27" i="15"/>
  <c r="AD27" i="15"/>
  <c r="O27" i="15"/>
  <c r="BI27" i="15" s="1"/>
  <c r="H27" i="15"/>
  <c r="AB27" i="15"/>
  <c r="I27" i="15"/>
  <c r="AK27" i="15"/>
  <c r="AI27" i="15"/>
  <c r="BL112" i="14"/>
  <c r="BL111" i="14" s="1"/>
  <c r="B47" i="15"/>
  <c r="BP112" i="14"/>
  <c r="BP111" i="14" s="1"/>
  <c r="B51" i="15"/>
  <c r="F72" i="29"/>
  <c r="C74" i="29"/>
  <c r="T10" i="29"/>
  <c r="AG24" i="15"/>
  <c r="AB24" i="15"/>
  <c r="H24" i="15"/>
  <c r="AF24" i="15"/>
  <c r="AE24" i="15"/>
  <c r="AH24" i="15"/>
  <c r="AC24" i="15"/>
  <c r="AI24" i="15"/>
  <c r="AK24" i="15"/>
  <c r="O24" i="15"/>
  <c r="AD24" i="15"/>
  <c r="AJ24" i="15"/>
  <c r="I24" i="15"/>
  <c r="O51" i="29"/>
  <c r="R13" i="29"/>
  <c r="O6" i="29"/>
  <c r="R6" i="29" s="1"/>
  <c r="AP91" i="15"/>
  <c r="AN91" i="15"/>
  <c r="AQ91" i="15"/>
  <c r="AS91" i="15"/>
  <c r="AM91" i="15"/>
  <c r="AV91" i="15"/>
  <c r="AT91" i="15"/>
  <c r="AR91" i="15"/>
  <c r="AO91" i="15"/>
  <c r="AU91" i="15"/>
  <c r="AZ92" i="15"/>
  <c r="BD92" i="15"/>
  <c r="BC92" i="15"/>
  <c r="BG92" i="15"/>
  <c r="AY92" i="15"/>
  <c r="BA92" i="15"/>
  <c r="BE92" i="15"/>
  <c r="BB92" i="15"/>
  <c r="BF92" i="15"/>
  <c r="AX92" i="15"/>
  <c r="AP92" i="15"/>
  <c r="AN92" i="15"/>
  <c r="AM92" i="15"/>
  <c r="AS92" i="15"/>
  <c r="AU92" i="15"/>
  <c r="AO92" i="15"/>
  <c r="AQ92" i="15"/>
  <c r="AT92" i="15"/>
  <c r="AR92" i="15"/>
  <c r="AV92" i="15"/>
  <c r="AT23" i="15"/>
  <c r="AV23" i="15"/>
  <c r="AU23" i="15"/>
  <c r="AR23" i="15"/>
  <c r="AO23" i="15"/>
  <c r="AP23" i="15"/>
  <c r="AM23" i="15"/>
  <c r="AQ23" i="15"/>
  <c r="AS23" i="15"/>
  <c r="AN23" i="15"/>
  <c r="K74" i="29"/>
  <c r="N72" i="29"/>
  <c r="R68" i="29"/>
  <c r="O70" i="29"/>
  <c r="F64" i="29"/>
  <c r="C66" i="29"/>
  <c r="O90" i="29"/>
  <c r="R90" i="29" s="1"/>
  <c r="R88" i="29"/>
  <c r="J72" i="29"/>
  <c r="G74" i="29"/>
  <c r="J64" i="29"/>
  <c r="G66" i="29"/>
  <c r="R80" i="29"/>
  <c r="O82" i="29"/>
  <c r="R82" i="29" s="1"/>
  <c r="K90" i="29"/>
  <c r="N90" i="29" s="1"/>
  <c r="N88" i="29"/>
  <c r="F80" i="29"/>
  <c r="C82" i="29"/>
  <c r="F82" i="29" s="1"/>
  <c r="O74" i="29"/>
  <c r="R74" i="29" s="1"/>
  <c r="R72" i="29"/>
  <c r="N64" i="29"/>
  <c r="K66" i="29"/>
  <c r="G82" i="29"/>
  <c r="J80" i="29"/>
  <c r="BN112" i="14"/>
  <c r="BN111" i="14" s="1"/>
  <c r="B49" i="15"/>
  <c r="BK112" i="14"/>
  <c r="BK111" i="14" s="1"/>
  <c r="B46" i="15"/>
  <c r="T109" i="29"/>
  <c r="D51" i="29"/>
  <c r="F13" i="29"/>
  <c r="D6" i="29"/>
  <c r="F6" i="29" s="1"/>
  <c r="AH25" i="15"/>
  <c r="AC25" i="15"/>
  <c r="AI25" i="15"/>
  <c r="O25" i="15"/>
  <c r="AD25" i="15"/>
  <c r="AJ25" i="15"/>
  <c r="AE25" i="15"/>
  <c r="H25" i="15"/>
  <c r="AG25" i="15"/>
  <c r="AB25" i="15"/>
  <c r="AK25" i="15"/>
  <c r="AF25" i="15"/>
  <c r="I25" i="15"/>
  <c r="AP89" i="15"/>
  <c r="AR89" i="15"/>
  <c r="AS89" i="15"/>
  <c r="AU89" i="15"/>
  <c r="AV89" i="15"/>
  <c r="AQ89" i="15"/>
  <c r="AT89" i="15"/>
  <c r="AN89" i="15"/>
  <c r="AO89" i="15"/>
  <c r="AM89" i="15"/>
  <c r="AC93" i="15"/>
  <c r="AE93" i="15"/>
  <c r="AB93" i="15"/>
  <c r="AJ93" i="15"/>
  <c r="AD93" i="15"/>
  <c r="H93" i="15"/>
  <c r="AF93" i="15"/>
  <c r="AK93" i="15"/>
  <c r="AH93" i="15"/>
  <c r="O93" i="15"/>
  <c r="BI93" i="15" s="1"/>
  <c r="AG93" i="15"/>
  <c r="AI93" i="15"/>
  <c r="I93" i="15"/>
  <c r="K19" i="29"/>
  <c r="N19" i="29" s="1"/>
  <c r="N20" i="29"/>
  <c r="T20" i="29" s="1"/>
  <c r="K82" i="29"/>
  <c r="N82" i="29" s="1"/>
  <c r="N80" i="29"/>
  <c r="G78" i="29"/>
  <c r="J76" i="29"/>
  <c r="K86" i="29"/>
  <c r="N84" i="29"/>
  <c r="G90" i="29"/>
  <c r="J90" i="29" s="1"/>
  <c r="J88" i="29"/>
  <c r="J68" i="29"/>
  <c r="G70" i="29"/>
  <c r="J70" i="29" s="1"/>
  <c r="O78" i="29"/>
  <c r="R76" i="29"/>
  <c r="N68" i="29"/>
  <c r="K70" i="29"/>
  <c r="G86" i="29"/>
  <c r="J86" i="29" s="1"/>
  <c r="J84" i="29"/>
  <c r="O86" i="29"/>
  <c r="R84" i="29"/>
  <c r="R64" i="29"/>
  <c r="O66" i="29"/>
  <c r="BO112" i="14"/>
  <c r="BO111" i="14" s="1"/>
  <c r="B50" i="15"/>
  <c r="F76" i="29"/>
  <c r="C78" i="29"/>
  <c r="G378" i="1"/>
  <c r="J378" i="1" s="1"/>
  <c r="M378" i="1" s="1"/>
  <c r="P378" i="1" s="1"/>
  <c r="S378" i="1" s="1"/>
  <c r="V378" i="1" s="1"/>
  <c r="Y378" i="1" s="1"/>
  <c r="AB378" i="1" s="1"/>
  <c r="AE378" i="1" s="1"/>
  <c r="AH378" i="1" s="1"/>
  <c r="AK378" i="1" s="1"/>
  <c r="AN377" i="1"/>
  <c r="G46" i="15"/>
  <c r="K51" i="29"/>
  <c r="N13" i="29"/>
  <c r="K6" i="29"/>
  <c r="N6" i="29" s="1"/>
  <c r="AF26" i="15"/>
  <c r="AH26" i="15"/>
  <c r="AB26" i="15"/>
  <c r="I26" i="15"/>
  <c r="AD26" i="15"/>
  <c r="AG26" i="15"/>
  <c r="O26" i="15"/>
  <c r="H26" i="15"/>
  <c r="AJ26" i="15"/>
  <c r="AE26" i="15"/>
  <c r="AK26" i="15"/>
  <c r="AI26" i="15"/>
  <c r="AC26" i="15"/>
  <c r="BJ91" i="15"/>
  <c r="BJ90" i="15"/>
  <c r="BI90" i="15"/>
  <c r="BD89" i="15"/>
  <c r="AY89" i="15"/>
  <c r="BA89" i="15"/>
  <c r="BC89" i="15"/>
  <c r="AZ89" i="15"/>
  <c r="BF89" i="15"/>
  <c r="BE89" i="15"/>
  <c r="BG89" i="15"/>
  <c r="BB89" i="15"/>
  <c r="AX89" i="15"/>
  <c r="BJ88" i="15"/>
  <c r="BI88" i="15"/>
  <c r="O19" i="29"/>
  <c r="R19" i="29" s="1"/>
  <c r="T19" i="29" s="1"/>
  <c r="BJ22" i="15"/>
  <c r="BI22" i="15"/>
  <c r="BM112" i="14"/>
  <c r="BM111" i="14" s="1"/>
  <c r="B48" i="15"/>
  <c r="K78" i="29"/>
  <c r="N76" i="29"/>
  <c r="C70" i="29"/>
  <c r="F70" i="29" s="1"/>
  <c r="F68" i="29"/>
  <c r="F84" i="29"/>
  <c r="C86" i="29"/>
  <c r="F86" i="29" s="1"/>
  <c r="BQ112" i="14"/>
  <c r="BQ111" i="14" s="1"/>
  <c r="B52" i="15"/>
  <c r="C90" i="29"/>
  <c r="F88" i="29"/>
  <c r="T107" i="29"/>
  <c r="T108" i="29" s="1"/>
  <c r="AT460" i="14"/>
  <c r="AS19" i="28"/>
  <c r="CO460" i="14" s="1"/>
  <c r="AT417" i="14"/>
  <c r="AS37" i="26"/>
  <c r="CO417" i="14" s="1"/>
  <c r="AS32" i="27"/>
  <c r="CO443" i="14" s="1"/>
  <c r="AT443" i="14"/>
  <c r="AT404" i="14"/>
  <c r="AS24" i="26"/>
  <c r="CO404" i="14" s="1"/>
  <c r="AS13" i="27"/>
  <c r="CO424" i="14" s="1"/>
  <c r="AT424" i="14"/>
  <c r="AT450" i="14"/>
  <c r="AS9" i="28"/>
  <c r="CO450" i="14" s="1"/>
  <c r="AS27" i="28"/>
  <c r="CO468" i="14" s="1"/>
  <c r="AT468" i="14"/>
  <c r="AT400" i="14"/>
  <c r="AS20" i="26"/>
  <c r="CO400" i="14" s="1"/>
  <c r="AS14" i="27"/>
  <c r="CO425" i="14" s="1"/>
  <c r="AT425" i="14"/>
  <c r="AT415" i="14"/>
  <c r="AS35" i="26"/>
  <c r="CO415" i="14" s="1"/>
  <c r="AT410" i="14"/>
  <c r="AS30" i="26"/>
  <c r="CO410" i="14" s="1"/>
  <c r="AT435" i="14"/>
  <c r="AS24" i="27"/>
  <c r="CO435" i="14" s="1"/>
  <c r="AT452" i="14"/>
  <c r="AS11" i="28"/>
  <c r="CO452" i="14" s="1"/>
  <c r="AT406" i="14"/>
  <c r="AS26" i="26"/>
  <c r="CO406" i="14" s="1"/>
  <c r="AS8" i="26"/>
  <c r="CO388" i="14" s="1"/>
  <c r="AT388" i="14"/>
  <c r="AT447" i="14"/>
  <c r="AS36" i="27"/>
  <c r="CO447" i="14" s="1"/>
  <c r="AS31" i="27"/>
  <c r="CO442" i="14" s="1"/>
  <c r="AT442" i="14"/>
  <c r="AT464" i="14"/>
  <c r="AS23" i="28"/>
  <c r="CO464" i="14" s="1"/>
  <c r="AT470" i="14"/>
  <c r="AS29" i="28"/>
  <c r="CO470" i="14" s="1"/>
  <c r="AT408" i="14"/>
  <c r="AS28" i="26"/>
  <c r="CO408" i="14" s="1"/>
  <c r="AS34" i="27"/>
  <c r="CO445" i="14" s="1"/>
  <c r="AT445" i="14"/>
  <c r="AS29" i="26"/>
  <c r="CO409" i="14" s="1"/>
  <c r="AT409" i="14"/>
  <c r="AS10" i="26"/>
  <c r="CO390" i="14" s="1"/>
  <c r="AT390" i="14"/>
  <c r="AT476" i="14"/>
  <c r="AS35" i="28"/>
  <c r="CO476" i="14" s="1"/>
  <c r="AS12" i="28"/>
  <c r="CO453" i="14" s="1"/>
  <c r="AT453" i="14"/>
  <c r="AS37" i="28"/>
  <c r="CO478" i="14" s="1"/>
  <c r="AT478" i="14"/>
  <c r="AS18" i="26"/>
  <c r="CO398" i="14" s="1"/>
  <c r="AT398" i="14"/>
  <c r="AT441" i="14"/>
  <c r="AS30" i="27"/>
  <c r="CO441" i="14" s="1"/>
  <c r="AS25" i="27"/>
  <c r="CO436" i="14" s="1"/>
  <c r="AT436" i="14"/>
  <c r="AS31" i="28"/>
  <c r="CO472" i="14" s="1"/>
  <c r="AT472" i="14"/>
  <c r="AS24" i="28"/>
  <c r="CO465" i="14" s="1"/>
  <c r="AT465" i="14"/>
  <c r="AS25" i="28"/>
  <c r="CO466" i="14" s="1"/>
  <c r="AT466" i="14"/>
  <c r="AS27" i="27"/>
  <c r="CO438" i="14" s="1"/>
  <c r="AT438" i="14"/>
  <c r="AS33" i="27"/>
  <c r="CO444" i="14" s="1"/>
  <c r="AT444" i="14"/>
  <c r="AT412" i="14"/>
  <c r="AS32" i="26"/>
  <c r="CO412" i="14" s="1"/>
  <c r="AT392" i="14"/>
  <c r="AS12" i="26"/>
  <c r="CO392" i="14" s="1"/>
  <c r="AS23" i="27"/>
  <c r="CO434" i="14" s="1"/>
  <c r="AT434" i="14"/>
  <c r="AS28" i="28"/>
  <c r="CO469" i="14" s="1"/>
  <c r="AT469" i="14"/>
  <c r="AS8" i="28"/>
  <c r="CO449" i="14" s="1"/>
  <c r="AT449" i="14"/>
  <c r="AS14" i="28"/>
  <c r="CO455" i="14" s="1"/>
  <c r="AT455" i="14"/>
  <c r="AS11" i="26"/>
  <c r="CO391" i="14" s="1"/>
  <c r="AT391" i="14"/>
  <c r="AS22" i="26"/>
  <c r="CO402" i="14" s="1"/>
  <c r="AT402" i="14"/>
  <c r="AS19" i="27"/>
  <c r="CO430" i="14" s="1"/>
  <c r="AT430" i="14"/>
  <c r="AS36" i="26"/>
  <c r="CO416" i="14" s="1"/>
  <c r="AT416" i="14"/>
  <c r="AT437" i="14"/>
  <c r="AS26" i="27"/>
  <c r="CO437" i="14" s="1"/>
  <c r="AT471" i="14"/>
  <c r="AS30" i="28"/>
  <c r="CO471" i="14" s="1"/>
  <c r="AS15" i="26"/>
  <c r="CO395" i="14" s="1"/>
  <c r="AT395" i="14"/>
  <c r="AS20" i="27"/>
  <c r="CO431" i="14" s="1"/>
  <c r="AT431" i="14"/>
  <c r="AT473" i="14"/>
  <c r="AS32" i="28"/>
  <c r="CO473" i="14" s="1"/>
  <c r="AT463" i="14"/>
  <c r="AS22" i="28"/>
  <c r="CO463" i="14" s="1"/>
  <c r="AS21" i="28"/>
  <c r="CO462" i="14" s="1"/>
  <c r="AT462" i="14"/>
  <c r="AS34" i="26"/>
  <c r="CO414" i="14" s="1"/>
  <c r="AT414" i="14"/>
  <c r="AT397" i="14"/>
  <c r="AS17" i="26"/>
  <c r="CO397" i="14" s="1"/>
  <c r="AS12" i="27"/>
  <c r="CO423" i="14" s="1"/>
  <c r="AT423" i="14"/>
  <c r="AS15" i="27"/>
  <c r="CO426" i="14" s="1"/>
  <c r="AT426" i="14"/>
  <c r="AS38" i="28"/>
  <c r="CO479" i="14" s="1"/>
  <c r="AT479" i="14"/>
  <c r="AT457" i="14"/>
  <c r="AS16" i="28"/>
  <c r="CO457" i="14" s="1"/>
  <c r="AS13" i="28"/>
  <c r="CO454" i="14" s="1"/>
  <c r="AT454" i="14"/>
  <c r="AT459" i="14"/>
  <c r="AS18" i="28"/>
  <c r="CO459" i="14" s="1"/>
  <c r="AS10" i="27"/>
  <c r="CO421" i="14" s="1"/>
  <c r="AT421" i="14"/>
  <c r="AS9" i="27"/>
  <c r="CO420" i="14" s="1"/>
  <c r="AT420" i="14"/>
  <c r="AT389" i="14"/>
  <c r="AS9" i="26"/>
  <c r="CO389" i="14" s="1"/>
  <c r="AS18" i="27"/>
  <c r="CO429" i="14" s="1"/>
  <c r="AT429" i="14"/>
  <c r="AT461" i="14"/>
  <c r="AS20" i="28"/>
  <c r="CO461" i="14" s="1"/>
  <c r="AS37" i="27"/>
  <c r="CO448" i="14" s="1"/>
  <c r="AT448" i="14"/>
  <c r="AT396" i="14"/>
  <c r="AS16" i="26"/>
  <c r="CO396" i="14" s="1"/>
  <c r="AS10" i="28"/>
  <c r="CO451" i="14" s="1"/>
  <c r="AT451" i="14"/>
  <c r="AT422" i="14"/>
  <c r="AS11" i="27"/>
  <c r="CO422" i="14" s="1"/>
  <c r="AS21" i="27"/>
  <c r="CO432" i="14" s="1"/>
  <c r="AT432" i="14"/>
  <c r="AT477" i="14"/>
  <c r="AS36" i="28"/>
  <c r="CO477" i="14" s="1"/>
  <c r="AT428" i="14"/>
  <c r="AS17" i="27"/>
  <c r="CO428" i="14" s="1"/>
  <c r="AS33" i="28"/>
  <c r="CO474" i="14" s="1"/>
  <c r="AT474" i="14"/>
  <c r="AT407" i="14"/>
  <c r="AS27" i="26"/>
  <c r="CO407" i="14" s="1"/>
  <c r="AT418" i="14"/>
  <c r="AS38" i="26"/>
  <c r="CO418" i="14" s="1"/>
  <c r="AS21" i="26"/>
  <c r="CO401" i="14" s="1"/>
  <c r="AT401" i="14"/>
  <c r="AS16" i="27"/>
  <c r="CO427" i="14" s="1"/>
  <c r="AT427" i="14"/>
  <c r="AS8" i="27"/>
  <c r="CO419" i="14" s="1"/>
  <c r="AT419" i="14"/>
  <c r="AS15" i="28"/>
  <c r="CO456" i="14" s="1"/>
  <c r="AT456" i="14"/>
  <c r="AS31" i="26"/>
  <c r="CO411" i="14" s="1"/>
  <c r="AT411" i="14"/>
  <c r="AS22" i="27"/>
  <c r="CO433" i="14" s="1"/>
  <c r="AT433" i="14"/>
  <c r="AS34" i="28"/>
  <c r="CO475" i="14" s="1"/>
  <c r="AT475" i="14"/>
  <c r="AT403" i="14"/>
  <c r="AS23" i="26"/>
  <c r="CO403" i="14" s="1"/>
  <c r="AS33" i="26"/>
  <c r="CO413" i="14" s="1"/>
  <c r="AT413" i="14"/>
  <c r="AS28" i="27"/>
  <c r="CO439" i="14" s="1"/>
  <c r="AT439" i="14"/>
  <c r="AS35" i="27"/>
  <c r="CO446" i="14" s="1"/>
  <c r="AT446" i="14"/>
  <c r="AS26" i="28"/>
  <c r="CO467" i="14" s="1"/>
  <c r="AT467" i="14"/>
  <c r="AS19" i="26"/>
  <c r="CO399" i="14" s="1"/>
  <c r="AT399" i="14"/>
  <c r="AS14" i="26"/>
  <c r="CO394" i="14" s="1"/>
  <c r="AT394" i="14"/>
  <c r="AT393" i="14"/>
  <c r="AS13" i="26"/>
  <c r="CO393" i="14" s="1"/>
  <c r="AT440" i="14"/>
  <c r="AS29" i="27"/>
  <c r="CO440" i="14" s="1"/>
  <c r="AT458" i="14"/>
  <c r="AS17" i="28"/>
  <c r="CO458" i="14" s="1"/>
  <c r="AT405" i="14"/>
  <c r="AS25" i="26"/>
  <c r="CO405" i="14" s="1"/>
  <c r="DX62" i="14"/>
  <c r="DW62" i="14"/>
  <c r="DW85" i="14" s="1"/>
  <c r="CR62" i="14"/>
  <c r="CQ62" i="14"/>
  <c r="CQ85" i="14" s="1"/>
  <c r="BL62" i="14"/>
  <c r="BK62" i="14"/>
  <c r="BK85" i="14" s="1"/>
  <c r="ED62" i="14"/>
  <c r="EC62" i="14"/>
  <c r="EC85" i="14" s="1"/>
  <c r="CX62" i="14"/>
  <c r="CW62" i="14"/>
  <c r="CW85" i="14" s="1"/>
  <c r="BR62" i="14"/>
  <c r="BQ62" i="14"/>
  <c r="BQ85" i="14" s="1"/>
  <c r="AL62" i="14"/>
  <c r="AK62" i="14"/>
  <c r="AK85" i="14" s="1"/>
  <c r="DD62" i="14"/>
  <c r="DC62" i="14"/>
  <c r="DC85" i="14" s="1"/>
  <c r="BX62" i="14"/>
  <c r="BW62" i="14"/>
  <c r="BW85" i="14" s="1"/>
  <c r="AR62" i="14"/>
  <c r="AQ62" i="14"/>
  <c r="AQ85" i="14" s="1"/>
  <c r="DB62" i="14"/>
  <c r="DA62" i="14"/>
  <c r="DA85" i="14" s="1"/>
  <c r="BV62" i="14"/>
  <c r="BU62" i="14"/>
  <c r="BU85" i="14" s="1"/>
  <c r="AP62" i="14"/>
  <c r="AO62" i="14"/>
  <c r="AO85" i="14" s="1"/>
  <c r="DP62" i="14"/>
  <c r="DO62" i="14"/>
  <c r="DO85" i="14" s="1"/>
  <c r="CJ62" i="14"/>
  <c r="CI62" i="14"/>
  <c r="CI85" i="14" s="1"/>
  <c r="BD62" i="14"/>
  <c r="BC62" i="14"/>
  <c r="BC85" i="14" s="1"/>
  <c r="DV62" i="14"/>
  <c r="DU62" i="14"/>
  <c r="DU85" i="14" s="1"/>
  <c r="CP62" i="14"/>
  <c r="CO62" i="14"/>
  <c r="CO85" i="14" s="1"/>
  <c r="BJ62" i="14"/>
  <c r="BI62" i="14"/>
  <c r="BI85" i="14" s="1"/>
  <c r="EB62" i="14"/>
  <c r="EA62" i="14"/>
  <c r="EA85" i="14" s="1"/>
  <c r="CV62" i="14"/>
  <c r="CU62" i="14"/>
  <c r="CU85" i="14" s="1"/>
  <c r="BP62" i="14"/>
  <c r="BO62" i="14"/>
  <c r="BO85" i="14" s="1"/>
  <c r="DZ62" i="14"/>
  <c r="DY62" i="14"/>
  <c r="DY85" i="14" s="1"/>
  <c r="CT62" i="14"/>
  <c r="CS62" i="14"/>
  <c r="CS85" i="14" s="1"/>
  <c r="BN62" i="14"/>
  <c r="BM62" i="14"/>
  <c r="BM85" i="14" s="1"/>
  <c r="DH62" i="14"/>
  <c r="DG62" i="14"/>
  <c r="DG85" i="14" s="1"/>
  <c r="CB62" i="14"/>
  <c r="CA62" i="14"/>
  <c r="CA85" i="14" s="1"/>
  <c r="AV62" i="14"/>
  <c r="AU62" i="14"/>
  <c r="AU85" i="14" s="1"/>
  <c r="DN62" i="14"/>
  <c r="DM62" i="14"/>
  <c r="DM85" i="14" s="1"/>
  <c r="CH62" i="14"/>
  <c r="CG62" i="14"/>
  <c r="CG85" i="14" s="1"/>
  <c r="BB62" i="14"/>
  <c r="BA62" i="14"/>
  <c r="BA85" i="14" s="1"/>
  <c r="DT62" i="14"/>
  <c r="DS62" i="14"/>
  <c r="DS85" i="14" s="1"/>
  <c r="CN62" i="14"/>
  <c r="CM62" i="14"/>
  <c r="CM85" i="14" s="1"/>
  <c r="BH62" i="14"/>
  <c r="BG62" i="14"/>
  <c r="BG85" i="14" s="1"/>
  <c r="DR62" i="14"/>
  <c r="DQ62" i="14"/>
  <c r="DQ85" i="14" s="1"/>
  <c r="CL62" i="14"/>
  <c r="CK62" i="14"/>
  <c r="CK85" i="14" s="1"/>
  <c r="BF62" i="14"/>
  <c r="BE62" i="14"/>
  <c r="BE85" i="14" s="1"/>
  <c r="EF62" i="14"/>
  <c r="EE62" i="14"/>
  <c r="EE85" i="14" s="1"/>
  <c r="CZ62" i="14"/>
  <c r="CY62" i="14"/>
  <c r="CY85" i="14" s="1"/>
  <c r="BT62" i="14"/>
  <c r="BS62" i="14"/>
  <c r="BS85" i="14" s="1"/>
  <c r="AN62" i="14"/>
  <c r="AM62" i="14"/>
  <c r="AM85" i="14" s="1"/>
  <c r="DF62" i="14"/>
  <c r="DE62" i="14"/>
  <c r="DE85" i="14" s="1"/>
  <c r="BZ62" i="14"/>
  <c r="BY62" i="14"/>
  <c r="BY85" i="14" s="1"/>
  <c r="AT62" i="14"/>
  <c r="AS62" i="14"/>
  <c r="AS85" i="14" s="1"/>
  <c r="DL62" i="14"/>
  <c r="DK62" i="14"/>
  <c r="DK85" i="14" s="1"/>
  <c r="CF62" i="14"/>
  <c r="CE62" i="14"/>
  <c r="CE85" i="14" s="1"/>
  <c r="AZ62" i="14"/>
  <c r="AY62" i="14"/>
  <c r="AY85" i="14" s="1"/>
  <c r="DJ62" i="14"/>
  <c r="DI62" i="14"/>
  <c r="DI85" i="14" s="1"/>
  <c r="CD62" i="14"/>
  <c r="CC62" i="14"/>
  <c r="CC85" i="14" s="1"/>
  <c r="AX62" i="14"/>
  <c r="AW62" i="14"/>
  <c r="AW85" i="14" s="1"/>
  <c r="J398" i="1"/>
  <c r="H216" i="19"/>
  <c r="H217" i="19" s="1"/>
  <c r="J216" i="19"/>
  <c r="J217" i="19" s="1"/>
  <c r="M391" i="1"/>
  <c r="G216" i="19"/>
  <c r="I216" i="19"/>
  <c r="I217" i="19" s="1"/>
  <c r="AT165" i="14"/>
  <c r="AS28" i="18"/>
  <c r="CO165" i="14" s="1"/>
  <c r="AS35" i="18"/>
  <c r="CO172" i="14" s="1"/>
  <c r="AT172" i="14"/>
  <c r="AS21" i="18"/>
  <c r="CO158" i="14" s="1"/>
  <c r="AT158" i="14"/>
  <c r="AS25" i="18"/>
  <c r="CO162" i="14" s="1"/>
  <c r="AT162" i="14"/>
  <c r="J139" i="20"/>
  <c r="G149" i="20"/>
  <c r="L139" i="20"/>
  <c r="H149" i="20"/>
  <c r="K139" i="20"/>
  <c r="K142" i="19"/>
  <c r="H118" i="19" s="1"/>
  <c r="K140" i="19"/>
  <c r="H116" i="19" s="1"/>
  <c r="H119" i="19"/>
  <c r="W286" i="1" s="1"/>
  <c r="K141" i="19"/>
  <c r="H117" i="19" s="1"/>
  <c r="AS30" i="19"/>
  <c r="CO196" i="14" s="1"/>
  <c r="AT196" i="14"/>
  <c r="AS29" i="19"/>
  <c r="CO195" i="14" s="1"/>
  <c r="AT195" i="14"/>
  <c r="AS13" i="18"/>
  <c r="CO150" i="14" s="1"/>
  <c r="AT150" i="14"/>
  <c r="AT190" i="14"/>
  <c r="AS24" i="19"/>
  <c r="CO190" i="14" s="1"/>
  <c r="AS9" i="19"/>
  <c r="CO175" i="14" s="1"/>
  <c r="AT175" i="14"/>
  <c r="L140" i="18"/>
  <c r="G116" i="18" s="1"/>
  <c r="L141" i="18"/>
  <c r="G117" i="18" s="1"/>
  <c r="G119" i="18"/>
  <c r="N285" i="1" s="1"/>
  <c r="L142" i="18"/>
  <c r="G118" i="18" s="1"/>
  <c r="AT166" i="14"/>
  <c r="AS29" i="18"/>
  <c r="CO166" i="14" s="1"/>
  <c r="AT154" i="14"/>
  <c r="AS17" i="18"/>
  <c r="CO154" i="14" s="1"/>
  <c r="AS15" i="18"/>
  <c r="CO152" i="14" s="1"/>
  <c r="AT152" i="14"/>
  <c r="AS22" i="19"/>
  <c r="CO188" i="14" s="1"/>
  <c r="AT188" i="14"/>
  <c r="AS12" i="18"/>
  <c r="CO149" i="14" s="1"/>
  <c r="AT149" i="14"/>
  <c r="AS22" i="18"/>
  <c r="CO159" i="14" s="1"/>
  <c r="AT159" i="14"/>
  <c r="AS12" i="19"/>
  <c r="CO178" i="14" s="1"/>
  <c r="AT178" i="14"/>
  <c r="AS16" i="18"/>
  <c r="CO153" i="14" s="1"/>
  <c r="AT153" i="14"/>
  <c r="AS36" i="18"/>
  <c r="CO173" i="14" s="1"/>
  <c r="AT173" i="14"/>
  <c r="AS10" i="18"/>
  <c r="CO147" i="14" s="1"/>
  <c r="AT147" i="14"/>
  <c r="E215" i="20"/>
  <c r="G193" i="20"/>
  <c r="I119" i="19"/>
  <c r="W287" i="1" s="1"/>
  <c r="J141" i="19"/>
  <c r="I117" i="19" s="1"/>
  <c r="J140" i="19"/>
  <c r="I116" i="19" s="1"/>
  <c r="J142" i="19"/>
  <c r="I118" i="19" s="1"/>
  <c r="AS15" i="19"/>
  <c r="CO181" i="14" s="1"/>
  <c r="AT181" i="14"/>
  <c r="AS16" i="19"/>
  <c r="CO182" i="14" s="1"/>
  <c r="AT182" i="14"/>
  <c r="AS14" i="18"/>
  <c r="CO151" i="14" s="1"/>
  <c r="AT151" i="14"/>
  <c r="AS21" i="19"/>
  <c r="CO187" i="14" s="1"/>
  <c r="AT187" i="14"/>
  <c r="AS33" i="19"/>
  <c r="CO199" i="14" s="1"/>
  <c r="AT199" i="14"/>
  <c r="E193" i="18"/>
  <c r="G192" i="18"/>
  <c r="E221" i="18"/>
  <c r="J141" i="18"/>
  <c r="I117" i="18" s="1"/>
  <c r="J142" i="18"/>
  <c r="I118" i="18" s="1"/>
  <c r="J140" i="18"/>
  <c r="I116" i="18" s="1"/>
  <c r="I119" i="18"/>
  <c r="N287" i="1" s="1"/>
  <c r="AT157" i="14"/>
  <c r="AS20" i="18"/>
  <c r="CO157" i="14" s="1"/>
  <c r="AS27" i="19"/>
  <c r="CO193" i="14" s="1"/>
  <c r="AT193" i="14"/>
  <c r="AT171" i="14"/>
  <c r="AS34" i="18"/>
  <c r="CO171" i="14" s="1"/>
  <c r="AS8" i="19"/>
  <c r="CO174" i="14" s="1"/>
  <c r="AT174" i="14"/>
  <c r="AS30" i="18"/>
  <c r="CO167" i="14" s="1"/>
  <c r="AT167" i="14"/>
  <c r="I189" i="20"/>
  <c r="I185" i="20"/>
  <c r="I188" i="20"/>
  <c r="I184" i="20"/>
  <c r="I190" i="20"/>
  <c r="I191" i="20"/>
  <c r="I187" i="20"/>
  <c r="I183" i="20"/>
  <c r="I186" i="20"/>
  <c r="I192" i="20"/>
  <c r="AS20" i="19"/>
  <c r="CO186" i="14" s="1"/>
  <c r="AT186" i="14"/>
  <c r="AS17" i="19"/>
  <c r="CO183" i="14" s="1"/>
  <c r="AT183" i="14"/>
  <c r="AS9" i="18"/>
  <c r="CO146" i="14" s="1"/>
  <c r="AT146" i="14"/>
  <c r="AT148" i="14"/>
  <c r="AS11" i="18"/>
  <c r="CO148" i="14" s="1"/>
  <c r="AS38" i="19"/>
  <c r="CO204" i="14" s="1"/>
  <c r="AT204" i="14"/>
  <c r="AS18" i="19"/>
  <c r="CO184" i="14" s="1"/>
  <c r="AT184" i="14"/>
  <c r="K140" i="18"/>
  <c r="H116" i="18" s="1"/>
  <c r="K142" i="18"/>
  <c r="H118" i="18" s="1"/>
  <c r="H119" i="18"/>
  <c r="N286" i="1" s="1"/>
  <c r="K141" i="18"/>
  <c r="H117" i="18" s="1"/>
  <c r="AS26" i="18"/>
  <c r="CO163" i="14" s="1"/>
  <c r="AT163" i="14"/>
  <c r="AT198" i="14"/>
  <c r="AS32" i="19"/>
  <c r="CO198" i="14" s="1"/>
  <c r="AS34" i="19"/>
  <c r="CO200" i="14" s="1"/>
  <c r="AT200" i="14"/>
  <c r="AT201" i="14"/>
  <c r="AS35" i="19"/>
  <c r="CO201" i="14" s="1"/>
  <c r="AT170" i="14"/>
  <c r="AS33" i="18"/>
  <c r="CO170" i="14" s="1"/>
  <c r="AS23" i="18"/>
  <c r="CO160" i="14" s="1"/>
  <c r="AT160" i="14"/>
  <c r="AS13" i="19"/>
  <c r="CO179" i="14" s="1"/>
  <c r="AT179" i="14"/>
  <c r="AT197" i="14"/>
  <c r="AS31" i="19"/>
  <c r="CO197" i="14" s="1"/>
  <c r="BJ39" i="15"/>
  <c r="BG39" i="15" s="1"/>
  <c r="AS31" i="18"/>
  <c r="CO168" i="14" s="1"/>
  <c r="AT168" i="14"/>
  <c r="P305" i="1"/>
  <c r="G141" i="21"/>
  <c r="H141" i="21" s="1"/>
  <c r="I141" i="21" s="1"/>
  <c r="D141" i="21" s="1"/>
  <c r="J215" i="21"/>
  <c r="K193" i="21" s="1"/>
  <c r="H215" i="21"/>
  <c r="H193" i="21" s="1"/>
  <c r="G215" i="21"/>
  <c r="I215" i="21"/>
  <c r="I193" i="21" s="1"/>
  <c r="S298" i="1"/>
  <c r="G145" i="21"/>
  <c r="H145" i="21" s="1"/>
  <c r="I145" i="21" s="1"/>
  <c r="D145" i="21" s="1"/>
  <c r="G139" i="21"/>
  <c r="H139" i="21" s="1"/>
  <c r="I139" i="21" s="1"/>
  <c r="D139" i="21" s="1"/>
  <c r="G140" i="21"/>
  <c r="H140" i="21" s="1"/>
  <c r="I140" i="21" s="1"/>
  <c r="D140" i="21" s="1"/>
  <c r="K185" i="20"/>
  <c r="K183" i="20"/>
  <c r="K186" i="20"/>
  <c r="K189" i="20"/>
  <c r="K188" i="20"/>
  <c r="K192" i="20"/>
  <c r="K190" i="20"/>
  <c r="K191" i="20"/>
  <c r="K184" i="20"/>
  <c r="K187" i="20"/>
  <c r="H190" i="20"/>
  <c r="H186" i="20"/>
  <c r="H192" i="20"/>
  <c r="H187" i="20"/>
  <c r="H189" i="20"/>
  <c r="H185" i="20"/>
  <c r="H191" i="20"/>
  <c r="H188" i="20"/>
  <c r="H184" i="20"/>
  <c r="H183" i="20"/>
  <c r="L142" i="19"/>
  <c r="G118" i="19" s="1"/>
  <c r="G119" i="19"/>
  <c r="W285" i="1" s="1"/>
  <c r="L141" i="19"/>
  <c r="G117" i="19" s="1"/>
  <c r="L140" i="19"/>
  <c r="G116" i="19" s="1"/>
  <c r="AS11" i="19"/>
  <c r="CO177" i="14" s="1"/>
  <c r="AT177" i="14"/>
  <c r="AS36" i="19"/>
  <c r="CO202" i="14" s="1"/>
  <c r="AT202" i="14"/>
  <c r="J335" i="1"/>
  <c r="M335" i="1" s="1"/>
  <c r="P335" i="1" s="1"/>
  <c r="S335" i="1" s="1"/>
  <c r="AS32" i="18"/>
  <c r="CO169" i="14" s="1"/>
  <c r="AT169" i="14"/>
  <c r="AT189" i="14"/>
  <c r="AS23" i="19"/>
  <c r="CO189" i="14" s="1"/>
  <c r="AT194" i="14"/>
  <c r="AS28" i="19"/>
  <c r="CO194" i="14" s="1"/>
  <c r="AS19" i="19"/>
  <c r="CO185" i="14" s="1"/>
  <c r="AT185" i="14"/>
  <c r="I216" i="18"/>
  <c r="I217" i="18" s="1"/>
  <c r="G398" i="1"/>
  <c r="H216" i="18"/>
  <c r="H217" i="18" s="1"/>
  <c r="G216" i="18"/>
  <c r="J216" i="18"/>
  <c r="J217" i="18" s="1"/>
  <c r="AS18" i="18"/>
  <c r="CO155" i="14" s="1"/>
  <c r="AT155" i="14"/>
  <c r="AT156" i="14"/>
  <c r="AS19" i="18"/>
  <c r="CO156" i="14" s="1"/>
  <c r="AT176" i="14"/>
  <c r="AS10" i="19"/>
  <c r="CO176" i="14" s="1"/>
  <c r="AS25" i="19"/>
  <c r="CO191" i="14" s="1"/>
  <c r="AT191" i="14"/>
  <c r="AT203" i="14"/>
  <c r="AS37" i="19"/>
  <c r="CO203" i="14" s="1"/>
  <c r="E7" i="22"/>
  <c r="K108" i="22" s="1"/>
  <c r="L108" i="22" s="1"/>
  <c r="S265" i="1"/>
  <c r="E39" i="21"/>
  <c r="K109" i="21" s="1"/>
  <c r="L109" i="21" s="1"/>
  <c r="AS27" i="18"/>
  <c r="CO164" i="14" s="1"/>
  <c r="AT164" i="14"/>
  <c r="AS8" i="18"/>
  <c r="CO145" i="14" s="1"/>
  <c r="AT145" i="14"/>
  <c r="AT161" i="14"/>
  <c r="AS24" i="18"/>
  <c r="CO161" i="14" s="1"/>
  <c r="E193" i="19"/>
  <c r="G192" i="19"/>
  <c r="E221" i="19"/>
  <c r="AT192" i="14"/>
  <c r="AS26" i="19"/>
  <c r="CO192" i="14" s="1"/>
  <c r="AT180" i="14"/>
  <c r="AS14" i="19"/>
  <c r="CO180" i="14" s="1"/>
  <c r="G62" i="15"/>
  <c r="BJ52" i="15"/>
  <c r="BG52" i="15" s="1"/>
  <c r="BJ59" i="15"/>
  <c r="BA59" i="15" s="1"/>
  <c r="BJ51" i="15"/>
  <c r="AZ51" i="15" s="1"/>
  <c r="BJ49" i="15"/>
  <c r="AZ49" i="15" s="1"/>
  <c r="BJ60" i="15"/>
  <c r="AY60" i="15" s="1"/>
  <c r="BJ62" i="15"/>
  <c r="AY62" i="15" s="1"/>
  <c r="BJ46" i="15"/>
  <c r="AZ46" i="15" s="1"/>
  <c r="BJ34" i="15"/>
  <c r="AX34" i="15" s="1"/>
  <c r="BJ38" i="15"/>
  <c r="AZ38" i="15" s="1"/>
  <c r="E20" i="15"/>
  <c r="E28" i="15"/>
  <c r="AH19" i="15"/>
  <c r="AD19" i="15"/>
  <c r="AK19" i="15"/>
  <c r="AG19" i="15"/>
  <c r="AC19" i="15"/>
  <c r="AJ19" i="15"/>
  <c r="AF19" i="15"/>
  <c r="AB19" i="15"/>
  <c r="G19" i="15"/>
  <c r="AI19" i="15"/>
  <c r="I19" i="15"/>
  <c r="AE19" i="15"/>
  <c r="D28" i="15"/>
  <c r="O19" i="15"/>
  <c r="BI19" i="15" s="1"/>
  <c r="O17" i="15"/>
  <c r="H19" i="15"/>
  <c r="G24" i="15"/>
  <c r="G23" i="15"/>
  <c r="G26" i="15"/>
  <c r="G22" i="15"/>
  <c r="G25" i="15"/>
  <c r="G27" i="15"/>
  <c r="AT374" i="14"/>
  <c r="AS24" i="25"/>
  <c r="CO374" i="14" s="1"/>
  <c r="AS8" i="23"/>
  <c r="CO296" i="14" s="1"/>
  <c r="AT296" i="14"/>
  <c r="AS24" i="23"/>
  <c r="CO312" i="14" s="1"/>
  <c r="AT312" i="14"/>
  <c r="AS8" i="24"/>
  <c r="CO327" i="14" s="1"/>
  <c r="AT327" i="14"/>
  <c r="AS46" i="15"/>
  <c r="AO46" i="15"/>
  <c r="AR46" i="15"/>
  <c r="AN46" i="15"/>
  <c r="AU46" i="15"/>
  <c r="AQ46" i="15"/>
  <c r="AM46" i="15"/>
  <c r="AV46" i="15"/>
  <c r="AP46" i="15"/>
  <c r="AT46" i="15"/>
  <c r="AS13" i="23"/>
  <c r="CO301" i="14" s="1"/>
  <c r="AT301" i="14"/>
  <c r="AS26" i="24"/>
  <c r="CO345" i="14" s="1"/>
  <c r="AT345" i="14"/>
  <c r="AS20" i="24"/>
  <c r="CO339" i="14" s="1"/>
  <c r="AT339" i="14"/>
  <c r="AS38" i="24"/>
  <c r="CO357" i="14" s="1"/>
  <c r="AT357" i="14"/>
  <c r="G41" i="15"/>
  <c r="I41" i="15"/>
  <c r="E40" i="15"/>
  <c r="H41" i="15"/>
  <c r="D40" i="15"/>
  <c r="BC52" i="15"/>
  <c r="AS36" i="15"/>
  <c r="AO36" i="15"/>
  <c r="AV36" i="15"/>
  <c r="AR36" i="15"/>
  <c r="AN36" i="15"/>
  <c r="AU36" i="15"/>
  <c r="AQ36" i="15"/>
  <c r="AM36" i="15"/>
  <c r="AT36" i="15"/>
  <c r="AP36" i="15"/>
  <c r="G36" i="15"/>
  <c r="AS26" i="25"/>
  <c r="CO376" i="14" s="1"/>
  <c r="AT376" i="14"/>
  <c r="AS30" i="23"/>
  <c r="CO318" i="14" s="1"/>
  <c r="AT318" i="14"/>
  <c r="AS21" i="24"/>
  <c r="CO340" i="14" s="1"/>
  <c r="AT340" i="14"/>
  <c r="G37" i="15"/>
  <c r="N57" i="15"/>
  <c r="AB57" i="15"/>
  <c r="I67" i="15"/>
  <c r="G67" i="15"/>
  <c r="E66" i="15"/>
  <c r="H67" i="15"/>
  <c r="D66" i="15"/>
  <c r="AS10" i="25"/>
  <c r="CO360" i="14" s="1"/>
  <c r="AT360" i="14"/>
  <c r="AS23" i="23"/>
  <c r="CO311" i="14" s="1"/>
  <c r="AT311" i="14"/>
  <c r="AP63" i="15"/>
  <c r="AT63" i="15"/>
  <c r="AM63" i="15"/>
  <c r="AQ63" i="15"/>
  <c r="AU63" i="15"/>
  <c r="AN63" i="15"/>
  <c r="AR63" i="15"/>
  <c r="AV63" i="15"/>
  <c r="AO63" i="15"/>
  <c r="AS63" i="15"/>
  <c r="AS13" i="25"/>
  <c r="CO363" i="14" s="1"/>
  <c r="AT363" i="14"/>
  <c r="AS18" i="23"/>
  <c r="CO306" i="14" s="1"/>
  <c r="AT306" i="14"/>
  <c r="AS12" i="24"/>
  <c r="CO331" i="14" s="1"/>
  <c r="AT331" i="14"/>
  <c r="AS35" i="24"/>
  <c r="CO354" i="14" s="1"/>
  <c r="AT354" i="14"/>
  <c r="AS36" i="24"/>
  <c r="CO355" i="14" s="1"/>
  <c r="AT355" i="14"/>
  <c r="AP61" i="15"/>
  <c r="AT61" i="15"/>
  <c r="AM61" i="15"/>
  <c r="AQ61" i="15"/>
  <c r="AU61" i="15"/>
  <c r="AN61" i="15"/>
  <c r="AR61" i="15"/>
  <c r="AV61" i="15"/>
  <c r="AO61" i="15"/>
  <c r="AS61" i="15"/>
  <c r="G34" i="15"/>
  <c r="AS31" i="25"/>
  <c r="CO381" i="14" s="1"/>
  <c r="AT381" i="14"/>
  <c r="AS30" i="25"/>
  <c r="CO380" i="14" s="1"/>
  <c r="AT380" i="14"/>
  <c r="AS33" i="23"/>
  <c r="CO321" i="14" s="1"/>
  <c r="AT321" i="14"/>
  <c r="AS27" i="23"/>
  <c r="CO315" i="14" s="1"/>
  <c r="AT315" i="14"/>
  <c r="AS22" i="24"/>
  <c r="CO341" i="14" s="1"/>
  <c r="AT341" i="14"/>
  <c r="AS29" i="24"/>
  <c r="CO348" i="14" s="1"/>
  <c r="AT348" i="14"/>
  <c r="AS30" i="24"/>
  <c r="CO349" i="14" s="1"/>
  <c r="AT349" i="14"/>
  <c r="M131" i="15"/>
  <c r="M130" i="15"/>
  <c r="M127" i="15"/>
  <c r="BJ50" i="15"/>
  <c r="AP48" i="15"/>
  <c r="AT48" i="15"/>
  <c r="AM48" i="15"/>
  <c r="AQ48" i="15"/>
  <c r="AU48" i="15"/>
  <c r="AN48" i="15"/>
  <c r="AR48" i="15"/>
  <c r="AV48" i="15"/>
  <c r="AO48" i="15"/>
  <c r="AS48" i="15"/>
  <c r="N83" i="15"/>
  <c r="AB83" i="15"/>
  <c r="AK86" i="15"/>
  <c r="AG86" i="15"/>
  <c r="AC86" i="15"/>
  <c r="AJ86" i="15"/>
  <c r="AF86" i="15"/>
  <c r="AI86" i="15"/>
  <c r="AE86" i="15"/>
  <c r="AH86" i="15"/>
  <c r="AD86" i="15"/>
  <c r="G86" i="15"/>
  <c r="AB86" i="15"/>
  <c r="I86" i="15"/>
  <c r="H86" i="15"/>
  <c r="O86" i="15"/>
  <c r="BI86" i="15" s="1"/>
  <c r="AS22" i="25"/>
  <c r="CO372" i="14" s="1"/>
  <c r="AT372" i="14"/>
  <c r="AS37" i="25"/>
  <c r="CO387" i="14" s="1"/>
  <c r="AT387" i="14"/>
  <c r="AS26" i="23"/>
  <c r="CO314" i="14" s="1"/>
  <c r="AT314" i="14"/>
  <c r="AS11" i="23"/>
  <c r="CO299" i="14" s="1"/>
  <c r="AT299" i="14"/>
  <c r="AS11" i="24"/>
  <c r="CO330" i="14" s="1"/>
  <c r="AT330" i="14"/>
  <c r="AS16" i="24"/>
  <c r="CO335" i="14" s="1"/>
  <c r="AT335" i="14"/>
  <c r="E53" i="15"/>
  <c r="G54" i="15"/>
  <c r="I54" i="15"/>
  <c r="D53" i="15"/>
  <c r="H54" i="15"/>
  <c r="AS24" i="24"/>
  <c r="CO343" i="14" s="1"/>
  <c r="AT343" i="14"/>
  <c r="AS34" i="24"/>
  <c r="CO353" i="14" s="1"/>
  <c r="AT353" i="14"/>
  <c r="N31" i="15"/>
  <c r="AB31" i="15"/>
  <c r="BJ33" i="15"/>
  <c r="AS29" i="25"/>
  <c r="CO379" i="14" s="1"/>
  <c r="AT379" i="14"/>
  <c r="AS14" i="23"/>
  <c r="CO302" i="14" s="1"/>
  <c r="AT302" i="14"/>
  <c r="AS31" i="23"/>
  <c r="CO319" i="14" s="1"/>
  <c r="AT319" i="14"/>
  <c r="AP37" i="15"/>
  <c r="AT37" i="15"/>
  <c r="AM37" i="15"/>
  <c r="AQ37" i="15"/>
  <c r="AU37" i="15"/>
  <c r="AN37" i="15"/>
  <c r="AR37" i="15"/>
  <c r="AV37" i="15"/>
  <c r="AO37" i="15"/>
  <c r="AS37" i="15"/>
  <c r="AS27" i="25"/>
  <c r="CO377" i="14" s="1"/>
  <c r="AT377" i="14"/>
  <c r="AS29" i="23"/>
  <c r="CO317" i="14" s="1"/>
  <c r="AT317" i="14"/>
  <c r="AS11" i="25"/>
  <c r="CO361" i="14" s="1"/>
  <c r="AT361" i="14"/>
  <c r="AS9" i="24"/>
  <c r="CO328" i="14" s="1"/>
  <c r="AT328" i="14"/>
  <c r="AP47" i="15"/>
  <c r="AT47" i="15"/>
  <c r="AM47" i="15"/>
  <c r="AQ47" i="15"/>
  <c r="AU47" i="15"/>
  <c r="AN47" i="15"/>
  <c r="AR47" i="15"/>
  <c r="AV47" i="15"/>
  <c r="AO47" i="15"/>
  <c r="AS47" i="15"/>
  <c r="G47" i="15"/>
  <c r="BJ61" i="15"/>
  <c r="AP60" i="15"/>
  <c r="AT60" i="15"/>
  <c r="AM60" i="15"/>
  <c r="AQ60" i="15"/>
  <c r="AU60" i="15"/>
  <c r="AN60" i="15"/>
  <c r="AR60" i="15"/>
  <c r="AV60" i="15"/>
  <c r="AO60" i="15"/>
  <c r="AS60" i="15"/>
  <c r="AS15" i="25"/>
  <c r="CO365" i="14" s="1"/>
  <c r="AT365" i="14"/>
  <c r="AS12" i="25"/>
  <c r="CO362" i="14" s="1"/>
  <c r="AT362" i="14"/>
  <c r="AS17" i="23"/>
  <c r="CO305" i="14" s="1"/>
  <c r="AT305" i="14"/>
  <c r="AS15" i="23"/>
  <c r="CO303" i="14" s="1"/>
  <c r="AT303" i="14"/>
  <c r="AS14" i="24"/>
  <c r="CO333" i="14" s="1"/>
  <c r="AT333" i="14"/>
  <c r="AS10" i="24"/>
  <c r="CO329" i="14" s="1"/>
  <c r="AT329" i="14"/>
  <c r="AT85" i="15"/>
  <c r="AP85" i="15"/>
  <c r="AS85" i="15"/>
  <c r="AO85" i="15"/>
  <c r="AR85" i="15"/>
  <c r="AN85" i="15"/>
  <c r="AQ85" i="15"/>
  <c r="AM85" i="15"/>
  <c r="AU85" i="15"/>
  <c r="AV85" i="15"/>
  <c r="BJ85" i="15"/>
  <c r="AS35" i="25"/>
  <c r="CO385" i="14" s="1"/>
  <c r="AT385" i="14"/>
  <c r="AT382" i="14"/>
  <c r="AS32" i="25"/>
  <c r="CO382" i="14" s="1"/>
  <c r="AS10" i="23"/>
  <c r="CO298" i="14" s="1"/>
  <c r="AT298" i="14"/>
  <c r="AS28" i="23"/>
  <c r="CO316" i="14" s="1"/>
  <c r="AT316" i="14"/>
  <c r="AS36" i="23"/>
  <c r="CO324" i="14" s="1"/>
  <c r="AT324" i="14"/>
  <c r="AS28" i="24"/>
  <c r="CO347" i="14" s="1"/>
  <c r="AT347" i="14"/>
  <c r="N44" i="15"/>
  <c r="AB44" i="15"/>
  <c r="AP64" i="15"/>
  <c r="AT64" i="15"/>
  <c r="AM64" i="15"/>
  <c r="AQ64" i="15"/>
  <c r="AU64" i="15"/>
  <c r="AN64" i="15"/>
  <c r="AR64" i="15"/>
  <c r="AV64" i="15"/>
  <c r="AO64" i="15"/>
  <c r="AS64" i="15"/>
  <c r="AS35" i="23"/>
  <c r="CO323" i="14" s="1"/>
  <c r="AT323" i="14"/>
  <c r="AS33" i="24"/>
  <c r="CO352" i="14" s="1"/>
  <c r="AT352" i="14"/>
  <c r="AS32" i="24"/>
  <c r="CO351" i="14" s="1"/>
  <c r="AT351" i="14"/>
  <c r="AS33" i="15"/>
  <c r="AO33" i="15"/>
  <c r="AV33" i="15"/>
  <c r="AR33" i="15"/>
  <c r="AN33" i="15"/>
  <c r="AU33" i="15"/>
  <c r="AQ33" i="15"/>
  <c r="AM33" i="15"/>
  <c r="AT33" i="15"/>
  <c r="AP33" i="15"/>
  <c r="AP52" i="15"/>
  <c r="AT52" i="15"/>
  <c r="AM52" i="15"/>
  <c r="AQ52" i="15"/>
  <c r="AU52" i="15"/>
  <c r="AN52" i="15"/>
  <c r="AR52" i="15"/>
  <c r="AV52" i="15"/>
  <c r="AO52" i="15"/>
  <c r="AS52" i="15"/>
  <c r="G52" i="15"/>
  <c r="AP38" i="15"/>
  <c r="AT38" i="15"/>
  <c r="AM38" i="15"/>
  <c r="AQ38" i="15"/>
  <c r="AU38" i="15"/>
  <c r="AN38" i="15"/>
  <c r="AR38" i="15"/>
  <c r="AV38" i="15"/>
  <c r="AO38" i="15"/>
  <c r="AS38" i="15"/>
  <c r="BJ36" i="15"/>
  <c r="AT358" i="14"/>
  <c r="AS8" i="25"/>
  <c r="CO358" i="14" s="1"/>
  <c r="AS9" i="25"/>
  <c r="CO359" i="14" s="1"/>
  <c r="AT359" i="14"/>
  <c r="AS36" i="25"/>
  <c r="CO386" i="14" s="1"/>
  <c r="AT386" i="14"/>
  <c r="AS25" i="23"/>
  <c r="CO313" i="14" s="1"/>
  <c r="AT313" i="14"/>
  <c r="AS20" i="23"/>
  <c r="CO308" i="14" s="1"/>
  <c r="AT308" i="14"/>
  <c r="AT59" i="15"/>
  <c r="AP59" i="15"/>
  <c r="AS59" i="15"/>
  <c r="AO59" i="15"/>
  <c r="AR59" i="15"/>
  <c r="AN59" i="15"/>
  <c r="AV59" i="15"/>
  <c r="AU59" i="15"/>
  <c r="AQ59" i="15"/>
  <c r="AM59" i="15"/>
  <c r="G59" i="15"/>
  <c r="AS34" i="25"/>
  <c r="CO384" i="14" s="1"/>
  <c r="AT384" i="14"/>
  <c r="BJ63" i="15"/>
  <c r="AT366" i="14"/>
  <c r="AS16" i="25"/>
  <c r="CO366" i="14" s="1"/>
  <c r="AS15" i="24"/>
  <c r="CO334" i="14" s="1"/>
  <c r="AT334" i="14"/>
  <c r="V334" i="1"/>
  <c r="AN333" i="1"/>
  <c r="AS35" i="15"/>
  <c r="AO35" i="15"/>
  <c r="AV35" i="15"/>
  <c r="AR35" i="15"/>
  <c r="AN35" i="15"/>
  <c r="AU35" i="15"/>
  <c r="AQ35" i="15"/>
  <c r="AM35" i="15"/>
  <c r="AT35" i="15"/>
  <c r="AP35" i="15"/>
  <c r="G35" i="15"/>
  <c r="BJ47" i="15"/>
  <c r="G61" i="15"/>
  <c r="AS34" i="15"/>
  <c r="AO34" i="15"/>
  <c r="AV34" i="15"/>
  <c r="AR34" i="15"/>
  <c r="AN34" i="15"/>
  <c r="AU34" i="15"/>
  <c r="AQ34" i="15"/>
  <c r="AM34" i="15"/>
  <c r="AT34" i="15"/>
  <c r="AP34" i="15"/>
  <c r="AP65" i="15"/>
  <c r="AT65" i="15"/>
  <c r="AM65" i="15"/>
  <c r="AQ65" i="15"/>
  <c r="AU65" i="15"/>
  <c r="AN65" i="15"/>
  <c r="AR65" i="15"/>
  <c r="AV65" i="15"/>
  <c r="AO65" i="15"/>
  <c r="AS65" i="15"/>
  <c r="G60" i="15"/>
  <c r="BF60" i="15"/>
  <c r="AS17" i="25"/>
  <c r="CO367" i="14" s="1"/>
  <c r="AT367" i="14"/>
  <c r="AT304" i="14"/>
  <c r="AS16" i="23"/>
  <c r="CO304" i="14" s="1"/>
  <c r="AS37" i="24"/>
  <c r="CO356" i="14" s="1"/>
  <c r="AT356" i="14"/>
  <c r="AP50" i="15"/>
  <c r="AT50" i="15"/>
  <c r="AM50" i="15"/>
  <c r="AQ50" i="15"/>
  <c r="AU50" i="15"/>
  <c r="AN50" i="15"/>
  <c r="AR50" i="15"/>
  <c r="AV50" i="15"/>
  <c r="AO50" i="15"/>
  <c r="AS50" i="15"/>
  <c r="AS19" i="24"/>
  <c r="CO338" i="14" s="1"/>
  <c r="AT338" i="14"/>
  <c r="G50" i="15"/>
  <c r="AP39" i="15"/>
  <c r="AT39" i="15"/>
  <c r="AM39" i="15"/>
  <c r="AQ39" i="15"/>
  <c r="AU39" i="15"/>
  <c r="AN39" i="15"/>
  <c r="AR39" i="15"/>
  <c r="AV39" i="15"/>
  <c r="AO39" i="15"/>
  <c r="AS39" i="15"/>
  <c r="BJ48" i="15"/>
  <c r="AP62" i="15"/>
  <c r="AT62" i="15"/>
  <c r="AM62" i="15"/>
  <c r="AQ62" i="15"/>
  <c r="AU62" i="15"/>
  <c r="AN62" i="15"/>
  <c r="AR62" i="15"/>
  <c r="AV62" i="15"/>
  <c r="AO62" i="15"/>
  <c r="AS62" i="15"/>
  <c r="AS19" i="25"/>
  <c r="CO369" i="14" s="1"/>
  <c r="AT369" i="14"/>
  <c r="AS14" i="25"/>
  <c r="CO364" i="14" s="1"/>
  <c r="AT364" i="14"/>
  <c r="AS21" i="23"/>
  <c r="CO309" i="14" s="1"/>
  <c r="AT309" i="14"/>
  <c r="AS19" i="23"/>
  <c r="CO307" i="14" s="1"/>
  <c r="AT307" i="14"/>
  <c r="AS31" i="24"/>
  <c r="CO350" i="14" s="1"/>
  <c r="AT350" i="14"/>
  <c r="BJ64" i="15"/>
  <c r="AS34" i="23"/>
  <c r="CO322" i="14" s="1"/>
  <c r="AT322" i="14"/>
  <c r="AS17" i="24"/>
  <c r="CO336" i="14" s="1"/>
  <c r="AT336" i="14"/>
  <c r="AS13" i="24"/>
  <c r="CO332" i="14" s="1"/>
  <c r="AT332" i="14"/>
  <c r="AS27" i="24"/>
  <c r="CO346" i="14" s="1"/>
  <c r="AT346" i="14"/>
  <c r="AP51" i="15"/>
  <c r="AT51" i="15"/>
  <c r="AM51" i="15"/>
  <c r="AQ51" i="15"/>
  <c r="AU51" i="15"/>
  <c r="AN51" i="15"/>
  <c r="AR51" i="15"/>
  <c r="AV51" i="15"/>
  <c r="AO51" i="15"/>
  <c r="AS51" i="15"/>
  <c r="G51" i="15"/>
  <c r="G33" i="15"/>
  <c r="G38" i="15"/>
  <c r="AS23" i="25"/>
  <c r="CO373" i="14" s="1"/>
  <c r="AT373" i="14"/>
  <c r="AS21" i="25"/>
  <c r="CO371" i="14" s="1"/>
  <c r="AT371" i="14"/>
  <c r="AS18" i="25"/>
  <c r="CO368" i="14" s="1"/>
  <c r="AT368" i="14"/>
  <c r="AS9" i="23"/>
  <c r="CO297" i="14" s="1"/>
  <c r="AT297" i="14"/>
  <c r="AT320" i="14"/>
  <c r="AS32" i="23"/>
  <c r="CO320" i="14" s="1"/>
  <c r="AS18" i="24"/>
  <c r="CO337" i="14" s="1"/>
  <c r="AT337" i="14"/>
  <c r="AP49" i="15"/>
  <c r="AT49" i="15"/>
  <c r="AM49" i="15"/>
  <c r="AQ49" i="15"/>
  <c r="AU49" i="15"/>
  <c r="AN49" i="15"/>
  <c r="AR49" i="15"/>
  <c r="AV49" i="15"/>
  <c r="AO49" i="15"/>
  <c r="AS49" i="15"/>
  <c r="G49" i="15"/>
  <c r="BJ37" i="15"/>
  <c r="AS28" i="25"/>
  <c r="CO378" i="14" s="1"/>
  <c r="AT378" i="14"/>
  <c r="AS38" i="23"/>
  <c r="CO326" i="14" s="1"/>
  <c r="AT326" i="14"/>
  <c r="G63" i="15"/>
  <c r="AS33" i="25"/>
  <c r="CO383" i="14" s="1"/>
  <c r="AT383" i="14"/>
  <c r="AS25" i="25"/>
  <c r="CO375" i="14" s="1"/>
  <c r="AT375" i="14"/>
  <c r="AS12" i="23"/>
  <c r="CO300" i="14" s="1"/>
  <c r="AT300" i="14"/>
  <c r="AS25" i="24"/>
  <c r="CO344" i="14" s="1"/>
  <c r="AT344" i="14"/>
  <c r="AS23" i="24"/>
  <c r="CO342" i="14" s="1"/>
  <c r="AT342" i="14"/>
  <c r="I109" i="29"/>
  <c r="G109" i="29"/>
  <c r="P109" i="29"/>
  <c r="D109" i="29"/>
  <c r="C109" i="29"/>
  <c r="H109" i="29"/>
  <c r="Q109" i="29"/>
  <c r="J109" i="29"/>
  <c r="O109" i="29"/>
  <c r="E109" i="29"/>
  <c r="R109" i="29"/>
  <c r="F109" i="29"/>
  <c r="L109" i="29"/>
  <c r="K109" i="29"/>
  <c r="M109" i="29"/>
  <c r="BJ35" i="15"/>
  <c r="G65" i="15"/>
  <c r="BJ65" i="15"/>
  <c r="AT370" i="14"/>
  <c r="AS20" i="25"/>
  <c r="CO370" i="14" s="1"/>
  <c r="AS22" i="23"/>
  <c r="CO310" i="14" s="1"/>
  <c r="AT310" i="14"/>
  <c r="AS37" i="23"/>
  <c r="CO325" i="14" s="1"/>
  <c r="AT325" i="14"/>
  <c r="BG23" i="15" l="1"/>
  <c r="T84" i="29"/>
  <c r="O73" i="29"/>
  <c r="R73" i="29" s="1"/>
  <c r="BJ93" i="15"/>
  <c r="BE93" i="15" s="1"/>
  <c r="BC23" i="15"/>
  <c r="BE23" i="15"/>
  <c r="K81" i="29"/>
  <c r="N81" i="29" s="1"/>
  <c r="O89" i="29"/>
  <c r="R89" i="29" s="1"/>
  <c r="BJ27" i="15"/>
  <c r="BG27" i="15" s="1"/>
  <c r="AY23" i="15"/>
  <c r="C85" i="29"/>
  <c r="F85" i="29" s="1"/>
  <c r="G89" i="29"/>
  <c r="J89" i="29" s="1"/>
  <c r="O81" i="29"/>
  <c r="R81" i="29" s="1"/>
  <c r="BB23" i="15"/>
  <c r="C69" i="29"/>
  <c r="F69" i="29" s="1"/>
  <c r="G69" i="29"/>
  <c r="J69" i="29" s="1"/>
  <c r="AZ23" i="15"/>
  <c r="AX23" i="15"/>
  <c r="BA23" i="15"/>
  <c r="C81" i="29"/>
  <c r="F81" i="29" s="1"/>
  <c r="BD23" i="15"/>
  <c r="T76" i="29"/>
  <c r="BN132" i="14"/>
  <c r="BN144" i="14"/>
  <c r="BN153" i="14"/>
  <c r="BN169" i="14"/>
  <c r="BN186" i="14"/>
  <c r="BN205" i="14"/>
  <c r="BN221" i="14"/>
  <c r="BN239" i="14"/>
  <c r="BN255" i="14"/>
  <c r="BN274" i="14"/>
  <c r="BN290" i="14"/>
  <c r="BN308" i="14"/>
  <c r="BN327" i="14"/>
  <c r="BN343" i="14"/>
  <c r="BN362" i="14"/>
  <c r="BN378" i="14"/>
  <c r="BN154" i="14"/>
  <c r="BN170" i="14"/>
  <c r="BN187" i="14"/>
  <c r="BN206" i="14"/>
  <c r="BN222" i="14"/>
  <c r="BN240" i="14"/>
  <c r="BN256" i="14"/>
  <c r="BN275" i="14"/>
  <c r="BN291" i="14"/>
  <c r="BN309" i="14"/>
  <c r="BN328" i="14"/>
  <c r="BN344" i="14"/>
  <c r="BN363" i="14"/>
  <c r="BN379" i="14"/>
  <c r="BN155" i="14"/>
  <c r="BN171" i="14"/>
  <c r="BN188" i="14"/>
  <c r="BN207" i="14"/>
  <c r="BN223" i="14"/>
  <c r="BN241" i="14"/>
  <c r="BN257" i="14"/>
  <c r="BN276" i="14"/>
  <c r="BN292" i="14"/>
  <c r="BN310" i="14"/>
  <c r="BN329" i="14"/>
  <c r="BN345" i="14"/>
  <c r="BN364" i="14"/>
  <c r="BN380" i="14"/>
  <c r="BN181" i="14"/>
  <c r="BN250" i="14"/>
  <c r="BN319" i="14"/>
  <c r="BN152" i="14"/>
  <c r="BN220" i="14"/>
  <c r="BN289" i="14"/>
  <c r="BN361" i="14"/>
  <c r="BN189" i="14"/>
  <c r="BN258" i="14"/>
  <c r="BN330" i="14"/>
  <c r="BN177" i="14"/>
  <c r="BN193" i="14"/>
  <c r="BN281" i="14"/>
  <c r="BN233" i="14"/>
  <c r="BN389" i="14"/>
  <c r="BN405" i="14"/>
  <c r="BN421" i="14"/>
  <c r="BN437" i="14"/>
  <c r="BN453" i="14"/>
  <c r="BN469" i="14"/>
  <c r="BN203" i="14"/>
  <c r="BN386" i="14"/>
  <c r="BN402" i="14"/>
  <c r="BN418" i="14"/>
  <c r="BN434" i="14"/>
  <c r="BN450" i="14"/>
  <c r="BN466" i="14"/>
  <c r="BN299" i="14"/>
  <c r="BN355" i="14"/>
  <c r="BN399" i="14"/>
  <c r="BN415" i="14"/>
  <c r="BN431" i="14"/>
  <c r="BN447" i="14"/>
  <c r="BN463" i="14"/>
  <c r="BN264" i="14"/>
  <c r="BN440" i="14"/>
  <c r="BN119" i="14"/>
  <c r="BN137" i="14"/>
  <c r="BN460" i="14"/>
  <c r="BN356" i="14"/>
  <c r="BN448" i="14"/>
  <c r="BN125" i="14"/>
  <c r="BN369" i="14"/>
  <c r="BN476" i="14"/>
  <c r="BN143" i="14"/>
  <c r="BN420" i="14"/>
  <c r="BN118" i="14"/>
  <c r="BN136" i="14"/>
  <c r="BN138" i="14"/>
  <c r="BN126" i="14"/>
  <c r="BN157" i="14"/>
  <c r="BN174" i="14"/>
  <c r="BN190" i="14"/>
  <c r="BN209" i="14"/>
  <c r="BN225" i="14"/>
  <c r="BN243" i="14"/>
  <c r="BN259" i="14"/>
  <c r="BN278" i="14"/>
  <c r="BN296" i="14"/>
  <c r="BN312" i="14"/>
  <c r="BN331" i="14"/>
  <c r="BN347" i="14"/>
  <c r="BN366" i="14"/>
  <c r="BN382" i="14"/>
  <c r="BN158" i="14"/>
  <c r="BN175" i="14"/>
  <c r="BN191" i="14"/>
  <c r="BN210" i="14"/>
  <c r="BN226" i="14"/>
  <c r="BN244" i="14"/>
  <c r="BN260" i="14"/>
  <c r="BN279" i="14"/>
  <c r="BN297" i="14"/>
  <c r="BN313" i="14"/>
  <c r="BN332" i="14"/>
  <c r="BN348" i="14"/>
  <c r="BN367" i="14"/>
  <c r="BN383" i="14"/>
  <c r="BN159" i="14"/>
  <c r="BN176" i="14"/>
  <c r="BN192" i="14"/>
  <c r="BN211" i="14"/>
  <c r="BN227" i="14"/>
  <c r="BN245" i="14"/>
  <c r="BN261" i="14"/>
  <c r="BN280" i="14"/>
  <c r="BN298" i="14"/>
  <c r="BN314" i="14"/>
  <c r="BN333" i="14"/>
  <c r="BN349" i="14"/>
  <c r="BN368" i="14"/>
  <c r="BN384" i="14"/>
  <c r="BN197" i="14"/>
  <c r="BN269" i="14"/>
  <c r="BN338" i="14"/>
  <c r="BN168" i="14"/>
  <c r="BN238" i="14"/>
  <c r="BN307" i="14"/>
  <c r="BN377" i="14"/>
  <c r="BN208" i="14"/>
  <c r="BN277" i="14"/>
  <c r="BN346" i="14"/>
  <c r="BN246" i="14"/>
  <c r="BN262" i="14"/>
  <c r="BN350" i="14"/>
  <c r="BN265" i="14"/>
  <c r="BN393" i="14"/>
  <c r="BN409" i="14"/>
  <c r="BN425" i="14"/>
  <c r="BN441" i="14"/>
  <c r="BN457" i="14"/>
  <c r="BN473" i="14"/>
  <c r="BN234" i="14"/>
  <c r="BN390" i="14"/>
  <c r="BN406" i="14"/>
  <c r="BN422" i="14"/>
  <c r="BN438" i="14"/>
  <c r="BN454" i="14"/>
  <c r="BN470" i="14"/>
  <c r="BN204" i="14"/>
  <c r="BN387" i="14"/>
  <c r="BN403" i="14"/>
  <c r="BN419" i="14"/>
  <c r="BN435" i="14"/>
  <c r="BN451" i="14"/>
  <c r="BN467" i="14"/>
  <c r="BN392" i="14"/>
  <c r="BN456" i="14"/>
  <c r="BN123" i="14"/>
  <c r="BN142" i="14"/>
  <c r="BN115" i="14"/>
  <c r="BN400" i="14"/>
  <c r="BN464" i="14"/>
  <c r="BN130" i="14"/>
  <c r="BN396" i="14"/>
  <c r="BN120" i="14"/>
  <c r="BN173" i="14"/>
  <c r="BN436" i="14"/>
  <c r="BN122" i="14"/>
  <c r="BN141" i="14"/>
  <c r="BN117" i="14"/>
  <c r="BN145" i="14"/>
  <c r="BN161" i="14"/>
  <c r="BN178" i="14"/>
  <c r="BN194" i="14"/>
  <c r="BN213" i="14"/>
  <c r="BN229" i="14"/>
  <c r="BN247" i="14"/>
  <c r="BN266" i="14"/>
  <c r="BN282" i="14"/>
  <c r="BN300" i="14"/>
  <c r="BN316" i="14"/>
  <c r="BN335" i="14"/>
  <c r="BN351" i="14"/>
  <c r="BN370" i="14"/>
  <c r="BN146" i="14"/>
  <c r="BN162" i="14"/>
  <c r="BN179" i="14"/>
  <c r="BN195" i="14"/>
  <c r="BN214" i="14"/>
  <c r="BN230" i="14"/>
  <c r="BN248" i="14"/>
  <c r="BN267" i="14"/>
  <c r="BN283" i="14"/>
  <c r="BN301" i="14"/>
  <c r="BN317" i="14"/>
  <c r="BN336" i="14"/>
  <c r="BN352" i="14"/>
  <c r="BN371" i="14"/>
  <c r="BN147" i="14"/>
  <c r="BN163" i="14"/>
  <c r="BN180" i="14"/>
  <c r="BN196" i="14"/>
  <c r="BN215" i="14"/>
  <c r="BN231" i="14"/>
  <c r="BN249" i="14"/>
  <c r="BN268" i="14"/>
  <c r="BN284" i="14"/>
  <c r="BN302" i="14"/>
  <c r="BN318" i="14"/>
  <c r="BN337" i="14"/>
  <c r="BN353" i="14"/>
  <c r="BN372" i="14"/>
  <c r="BN148" i="14"/>
  <c r="BN216" i="14"/>
  <c r="BN285" i="14"/>
  <c r="BN354" i="14"/>
  <c r="BN185" i="14"/>
  <c r="BN254" i="14"/>
  <c r="BN323" i="14"/>
  <c r="BN156" i="14"/>
  <c r="BN224" i="14"/>
  <c r="BN293" i="14"/>
  <c r="BN365" i="14"/>
  <c r="BN315" i="14"/>
  <c r="BN334" i="14"/>
  <c r="BN160" i="14"/>
  <c r="BN325" i="14"/>
  <c r="BN397" i="14"/>
  <c r="BN413" i="14"/>
  <c r="BN429" i="14"/>
  <c r="BN445" i="14"/>
  <c r="BN461" i="14"/>
  <c r="BN477" i="14"/>
  <c r="BN294" i="14"/>
  <c r="BN394" i="14"/>
  <c r="BN410" i="14"/>
  <c r="BN426" i="14"/>
  <c r="BN442" i="14"/>
  <c r="BN458" i="14"/>
  <c r="BN474" i="14"/>
  <c r="BN263" i="14"/>
  <c r="BN391" i="14"/>
  <c r="BN407" i="14"/>
  <c r="BN423" i="14"/>
  <c r="BN439" i="14"/>
  <c r="BN455" i="14"/>
  <c r="BN471" i="14"/>
  <c r="BN408" i="14"/>
  <c r="BN472" i="14"/>
  <c r="BN128" i="14"/>
  <c r="BN324" i="14"/>
  <c r="BN124" i="14"/>
  <c r="BN416" i="14"/>
  <c r="BN116" i="14"/>
  <c r="BN135" i="14"/>
  <c r="BN412" i="14"/>
  <c r="BN129" i="14"/>
  <c r="BN388" i="14"/>
  <c r="BN452" i="14"/>
  <c r="BN127" i="14"/>
  <c r="BN479" i="14"/>
  <c r="BN198" i="14"/>
  <c r="BN270" i="14"/>
  <c r="BN339" i="14"/>
  <c r="BN166" i="14"/>
  <c r="BN236" i="14"/>
  <c r="BN305" i="14"/>
  <c r="BN375" i="14"/>
  <c r="BN200" i="14"/>
  <c r="BN272" i="14"/>
  <c r="BN341" i="14"/>
  <c r="BN232" i="14"/>
  <c r="BN273" i="14"/>
  <c r="BN311" i="14"/>
  <c r="BN202" i="14"/>
  <c r="BN433" i="14"/>
  <c r="BN326" i="14"/>
  <c r="BN446" i="14"/>
  <c r="BN395" i="14"/>
  <c r="BN459" i="14"/>
  <c r="BN133" i="14"/>
  <c r="BN121" i="14"/>
  <c r="BN404" i="14"/>
  <c r="BN149" i="14"/>
  <c r="BN217" i="14"/>
  <c r="BN286" i="14"/>
  <c r="BN358" i="14"/>
  <c r="BN183" i="14"/>
  <c r="BN252" i="14"/>
  <c r="BN321" i="14"/>
  <c r="BN151" i="14"/>
  <c r="BN219" i="14"/>
  <c r="BN288" i="14"/>
  <c r="BN360" i="14"/>
  <c r="BN303" i="14"/>
  <c r="BN342" i="14"/>
  <c r="BN381" i="14"/>
  <c r="BN357" i="14"/>
  <c r="BN449" i="14"/>
  <c r="BN398" i="14"/>
  <c r="BN462" i="14"/>
  <c r="BN411" i="14"/>
  <c r="BN475" i="14"/>
  <c r="BN428" i="14"/>
  <c r="BN140" i="14"/>
  <c r="BN468" i="14"/>
  <c r="BN165" i="14"/>
  <c r="BN235" i="14"/>
  <c r="BN304" i="14"/>
  <c r="BN374" i="14"/>
  <c r="BN199" i="14"/>
  <c r="BN271" i="14"/>
  <c r="BN340" i="14"/>
  <c r="BN167" i="14"/>
  <c r="BN237" i="14"/>
  <c r="BN306" i="14"/>
  <c r="BN376" i="14"/>
  <c r="BN373" i="14"/>
  <c r="BN172" i="14"/>
  <c r="BN385" i="14"/>
  <c r="BN401" i="14"/>
  <c r="BN465" i="14"/>
  <c r="BN414" i="14"/>
  <c r="BN478" i="14"/>
  <c r="BN427" i="14"/>
  <c r="BN424" i="14"/>
  <c r="BN134" i="14"/>
  <c r="BN444" i="14"/>
  <c r="BN131" i="14"/>
  <c r="BN150" i="14"/>
  <c r="BN184" i="14"/>
  <c r="BN201" i="14"/>
  <c r="BN228" i="14"/>
  <c r="BN114" i="14"/>
  <c r="BN182" i="14"/>
  <c r="BN218" i="14"/>
  <c r="BN253" i="14"/>
  <c r="BN242" i="14"/>
  <c r="BN430" i="14"/>
  <c r="BN432" i="14"/>
  <c r="BN251" i="14"/>
  <c r="BN287" i="14"/>
  <c r="BN322" i="14"/>
  <c r="BN212" i="14"/>
  <c r="BN295" i="14"/>
  <c r="BN139" i="14"/>
  <c r="BN164" i="14"/>
  <c r="BN417" i="14"/>
  <c r="BN320" i="14"/>
  <c r="BN443" i="14"/>
  <c r="BN359" i="14"/>
  <c r="C65" i="29"/>
  <c r="F65" i="29" s="1"/>
  <c r="F66" i="29"/>
  <c r="BJ24" i="15"/>
  <c r="BI24" i="15"/>
  <c r="BL144" i="14"/>
  <c r="BL148" i="14"/>
  <c r="BL164" i="14"/>
  <c r="BL181" i="14"/>
  <c r="BL197" i="14"/>
  <c r="BL216" i="14"/>
  <c r="BL232" i="14"/>
  <c r="BL250" i="14"/>
  <c r="BL269" i="14"/>
  <c r="BL285" i="14"/>
  <c r="BL303" i="14"/>
  <c r="BL319" i="14"/>
  <c r="BL126" i="14"/>
  <c r="BL152" i="14"/>
  <c r="BL168" i="14"/>
  <c r="BL185" i="14"/>
  <c r="BL201" i="14"/>
  <c r="BL220" i="14"/>
  <c r="BL238" i="14"/>
  <c r="BL254" i="14"/>
  <c r="BL273" i="14"/>
  <c r="BL289" i="14"/>
  <c r="BL307" i="14"/>
  <c r="BL323" i="14"/>
  <c r="BL342" i="14"/>
  <c r="BL361" i="14"/>
  <c r="BL377" i="14"/>
  <c r="BL149" i="14"/>
  <c r="BL165" i="14"/>
  <c r="BL182" i="14"/>
  <c r="BL198" i="14"/>
  <c r="BL217" i="14"/>
  <c r="BL235" i="14"/>
  <c r="BL251" i="14"/>
  <c r="BL270" i="14"/>
  <c r="BL286" i="14"/>
  <c r="BL304" i="14"/>
  <c r="BL320" i="14"/>
  <c r="BL339" i="14"/>
  <c r="BL358" i="14"/>
  <c r="BL374" i="14"/>
  <c r="BL150" i="14"/>
  <c r="BL166" i="14"/>
  <c r="BL183" i="14"/>
  <c r="BL199" i="14"/>
  <c r="BL218" i="14"/>
  <c r="BL236" i="14"/>
  <c r="BL252" i="14"/>
  <c r="BL271" i="14"/>
  <c r="BL287" i="14"/>
  <c r="BL305" i="14"/>
  <c r="BL321" i="14"/>
  <c r="BL340" i="14"/>
  <c r="BL359" i="14"/>
  <c r="BL375" i="14"/>
  <c r="BL132" i="14"/>
  <c r="BL117" i="14"/>
  <c r="BL156" i="14"/>
  <c r="BL172" i="14"/>
  <c r="BL189" i="14"/>
  <c r="BL208" i="14"/>
  <c r="BL224" i="14"/>
  <c r="BL242" i="14"/>
  <c r="BL258" i="14"/>
  <c r="BL277" i="14"/>
  <c r="BL293" i="14"/>
  <c r="BL311" i="14"/>
  <c r="BL138" i="14"/>
  <c r="BL193" i="14"/>
  <c r="BL262" i="14"/>
  <c r="BL330" i="14"/>
  <c r="BL350" i="14"/>
  <c r="BL373" i="14"/>
  <c r="BL153" i="14"/>
  <c r="BL174" i="14"/>
  <c r="BL194" i="14"/>
  <c r="BL221" i="14"/>
  <c r="BL243" i="14"/>
  <c r="BL266" i="14"/>
  <c r="BL290" i="14"/>
  <c r="BL312" i="14"/>
  <c r="BL335" i="14"/>
  <c r="BL362" i="14"/>
  <c r="BL382" i="14"/>
  <c r="BL162" i="14"/>
  <c r="BL187" i="14"/>
  <c r="BL210" i="14"/>
  <c r="BL230" i="14"/>
  <c r="BL256" i="14"/>
  <c r="BL279" i="14"/>
  <c r="BL301" i="14"/>
  <c r="BL328" i="14"/>
  <c r="BL348" i="14"/>
  <c r="BL371" i="14"/>
  <c r="BL176" i="14"/>
  <c r="BL245" i="14"/>
  <c r="BL314" i="14"/>
  <c r="BL384" i="14"/>
  <c r="BL196" i="14"/>
  <c r="BL268" i="14"/>
  <c r="BL337" i="14"/>
  <c r="BL167" i="14"/>
  <c r="BL237" i="14"/>
  <c r="BL306" i="14"/>
  <c r="BL376" i="14"/>
  <c r="BL364" i="14"/>
  <c r="BL380" i="14"/>
  <c r="BL345" i="14"/>
  <c r="BL325" i="14"/>
  <c r="BL397" i="14"/>
  <c r="BL413" i="14"/>
  <c r="BL429" i="14"/>
  <c r="BL445" i="14"/>
  <c r="BL461" i="14"/>
  <c r="BL477" i="14"/>
  <c r="BL326" i="14"/>
  <c r="BL398" i="14"/>
  <c r="BL414" i="14"/>
  <c r="BL430" i="14"/>
  <c r="BL446" i="14"/>
  <c r="BL462" i="14"/>
  <c r="BL478" i="14"/>
  <c r="BL295" i="14"/>
  <c r="BL395" i="14"/>
  <c r="BL411" i="14"/>
  <c r="BL427" i="14"/>
  <c r="BL443" i="14"/>
  <c r="BL459" i="14"/>
  <c r="BL475" i="14"/>
  <c r="BL404" i="14"/>
  <c r="BL468" i="14"/>
  <c r="BL128" i="14"/>
  <c r="BL392" i="14"/>
  <c r="BL124" i="14"/>
  <c r="BL412" i="14"/>
  <c r="BL476" i="14"/>
  <c r="BL130" i="14"/>
  <c r="BL408" i="14"/>
  <c r="BL129" i="14"/>
  <c r="BL400" i="14"/>
  <c r="BL464" i="14"/>
  <c r="BL131" i="14"/>
  <c r="BL479" i="14"/>
  <c r="BL212" i="14"/>
  <c r="BL281" i="14"/>
  <c r="BL334" i="14"/>
  <c r="BL354" i="14"/>
  <c r="BL381" i="14"/>
  <c r="BL157" i="14"/>
  <c r="BL178" i="14"/>
  <c r="BL205" i="14"/>
  <c r="BL225" i="14"/>
  <c r="BL247" i="14"/>
  <c r="BL274" i="14"/>
  <c r="BL296" i="14"/>
  <c r="BL316" i="14"/>
  <c r="BL343" i="14"/>
  <c r="BL366" i="14"/>
  <c r="BL146" i="14"/>
  <c r="BL170" i="14"/>
  <c r="BL191" i="14"/>
  <c r="BL214" i="14"/>
  <c r="BL240" i="14"/>
  <c r="BL260" i="14"/>
  <c r="BL283" i="14"/>
  <c r="BL309" i="14"/>
  <c r="BL332" i="14"/>
  <c r="BL352" i="14"/>
  <c r="BL379" i="14"/>
  <c r="BL192" i="14"/>
  <c r="BL261" i="14"/>
  <c r="BL333" i="14"/>
  <c r="BL147" i="14"/>
  <c r="BL215" i="14"/>
  <c r="BL284" i="14"/>
  <c r="BL353" i="14"/>
  <c r="BL184" i="14"/>
  <c r="BL253" i="14"/>
  <c r="BL322" i="14"/>
  <c r="BL155" i="14"/>
  <c r="BL171" i="14"/>
  <c r="BL188" i="14"/>
  <c r="BL202" i="14"/>
  <c r="BL357" i="14"/>
  <c r="BL401" i="14"/>
  <c r="BL417" i="14"/>
  <c r="BL433" i="14"/>
  <c r="BL449" i="14"/>
  <c r="BL465" i="14"/>
  <c r="BL203" i="14"/>
  <c r="BL386" i="14"/>
  <c r="BL402" i="14"/>
  <c r="BL418" i="14"/>
  <c r="BL434" i="14"/>
  <c r="BL450" i="14"/>
  <c r="BL466" i="14"/>
  <c r="BL207" i="14"/>
  <c r="BL355" i="14"/>
  <c r="BL399" i="14"/>
  <c r="BL415" i="14"/>
  <c r="BL431" i="14"/>
  <c r="BL447" i="14"/>
  <c r="BL463" i="14"/>
  <c r="BL276" i="14"/>
  <c r="BL420" i="14"/>
  <c r="BL114" i="14"/>
  <c r="BL133" i="14"/>
  <c r="BL424" i="14"/>
  <c r="BL134" i="14"/>
  <c r="BL428" i="14"/>
  <c r="BL116" i="14"/>
  <c r="BL135" i="14"/>
  <c r="BL440" i="14"/>
  <c r="BL139" i="14"/>
  <c r="BL416" i="14"/>
  <c r="BL118" i="14"/>
  <c r="BL136" i="14"/>
  <c r="BL160" i="14"/>
  <c r="BL228" i="14"/>
  <c r="BL299" i="14"/>
  <c r="BL338" i="14"/>
  <c r="BL365" i="14"/>
  <c r="BL385" i="14"/>
  <c r="BL161" i="14"/>
  <c r="BL186" i="14"/>
  <c r="BL209" i="14"/>
  <c r="BL229" i="14"/>
  <c r="BL255" i="14"/>
  <c r="BL278" i="14"/>
  <c r="BL300" i="14"/>
  <c r="BL327" i="14"/>
  <c r="BL347" i="14"/>
  <c r="BL370" i="14"/>
  <c r="BL154" i="14"/>
  <c r="BL175" i="14"/>
  <c r="BL195" i="14"/>
  <c r="BL222" i="14"/>
  <c r="BL244" i="14"/>
  <c r="BL267" i="14"/>
  <c r="BL291" i="14"/>
  <c r="BL313" i="14"/>
  <c r="BL336" i="14"/>
  <c r="BL363" i="14"/>
  <c r="BL383" i="14"/>
  <c r="BL211" i="14"/>
  <c r="BL280" i="14"/>
  <c r="BL349" i="14"/>
  <c r="BL163" i="14"/>
  <c r="BL231" i="14"/>
  <c r="BL302" i="14"/>
  <c r="BL372" i="14"/>
  <c r="BL200" i="14"/>
  <c r="BL272" i="14"/>
  <c r="BL341" i="14"/>
  <c r="BL223" i="14"/>
  <c r="BL241" i="14"/>
  <c r="BL257" i="14"/>
  <c r="BL233" i="14"/>
  <c r="BL389" i="14"/>
  <c r="BL405" i="14"/>
  <c r="BL421" i="14"/>
  <c r="BL437" i="14"/>
  <c r="BL453" i="14"/>
  <c r="BL469" i="14"/>
  <c r="BL234" i="14"/>
  <c r="BL390" i="14"/>
  <c r="BL406" i="14"/>
  <c r="BL422" i="14"/>
  <c r="BL438" i="14"/>
  <c r="BL454" i="14"/>
  <c r="BL470" i="14"/>
  <c r="BL204" i="14"/>
  <c r="BL387" i="14"/>
  <c r="BL403" i="14"/>
  <c r="BL419" i="14"/>
  <c r="BL435" i="14"/>
  <c r="BL451" i="14"/>
  <c r="BL467" i="14"/>
  <c r="BL173" i="14"/>
  <c r="BL436" i="14"/>
  <c r="BL119" i="14"/>
  <c r="BL137" i="14"/>
  <c r="BL456" i="14"/>
  <c r="BL324" i="14"/>
  <c r="BL444" i="14"/>
  <c r="BL121" i="14"/>
  <c r="BL140" i="14"/>
  <c r="BL472" i="14"/>
  <c r="BL143" i="14"/>
  <c r="BL432" i="14"/>
  <c r="BL122" i="14"/>
  <c r="BL141" i="14"/>
  <c r="BL177" i="14"/>
  <c r="BL369" i="14"/>
  <c r="BL213" i="14"/>
  <c r="BL308" i="14"/>
  <c r="BL158" i="14"/>
  <c r="BL248" i="14"/>
  <c r="BL344" i="14"/>
  <c r="BL298" i="14"/>
  <c r="BL318" i="14"/>
  <c r="BL360" i="14"/>
  <c r="BL265" i="14"/>
  <c r="BL441" i="14"/>
  <c r="BL394" i="14"/>
  <c r="BL458" i="14"/>
  <c r="BL407" i="14"/>
  <c r="BL471" i="14"/>
  <c r="BL142" i="14"/>
  <c r="BL125" i="14"/>
  <c r="BL448" i="14"/>
  <c r="BL246" i="14"/>
  <c r="BL145" i="14"/>
  <c r="BL239" i="14"/>
  <c r="BL331" i="14"/>
  <c r="BL179" i="14"/>
  <c r="BL275" i="14"/>
  <c r="BL367" i="14"/>
  <c r="BL368" i="14"/>
  <c r="BL151" i="14"/>
  <c r="BL292" i="14"/>
  <c r="BL393" i="14"/>
  <c r="BL457" i="14"/>
  <c r="BL410" i="14"/>
  <c r="BL474" i="14"/>
  <c r="BL423" i="14"/>
  <c r="BL388" i="14"/>
  <c r="BL115" i="14"/>
  <c r="BL264" i="14"/>
  <c r="BL127" i="14"/>
  <c r="BL315" i="14"/>
  <c r="BL169" i="14"/>
  <c r="BL259" i="14"/>
  <c r="BL351" i="14"/>
  <c r="BL206" i="14"/>
  <c r="BL297" i="14"/>
  <c r="BL159" i="14"/>
  <c r="BL180" i="14"/>
  <c r="BL219" i="14"/>
  <c r="BL310" i="14"/>
  <c r="BL409" i="14"/>
  <c r="BL473" i="14"/>
  <c r="BL426" i="14"/>
  <c r="BL263" i="14"/>
  <c r="BL439" i="14"/>
  <c r="BL452" i="14"/>
  <c r="BL396" i="14"/>
  <c r="BL120" i="14"/>
  <c r="BL346" i="14"/>
  <c r="BL226" i="14"/>
  <c r="BL288" i="14"/>
  <c r="BL442" i="14"/>
  <c r="BL460" i="14"/>
  <c r="BL190" i="14"/>
  <c r="BL317" i="14"/>
  <c r="BL329" i="14"/>
  <c r="BL391" i="14"/>
  <c r="BL356" i="14"/>
  <c r="BL282" i="14"/>
  <c r="BL227" i="14"/>
  <c r="BL425" i="14"/>
  <c r="BL455" i="14"/>
  <c r="BL378" i="14"/>
  <c r="BL249" i="14"/>
  <c r="BL294" i="14"/>
  <c r="BL123" i="14"/>
  <c r="BG60" i="15"/>
  <c r="BB52" i="15"/>
  <c r="BQ479" i="14"/>
  <c r="BQ132" i="14"/>
  <c r="BQ157" i="14"/>
  <c r="BQ174" i="14"/>
  <c r="BQ190" i="14"/>
  <c r="BQ209" i="14"/>
  <c r="BQ225" i="14"/>
  <c r="BQ243" i="14"/>
  <c r="BQ259" i="14"/>
  <c r="BQ278" i="14"/>
  <c r="BQ296" i="14"/>
  <c r="BQ312" i="14"/>
  <c r="BQ331" i="14"/>
  <c r="BQ347" i="14"/>
  <c r="BQ366" i="14"/>
  <c r="BQ382" i="14"/>
  <c r="BQ158" i="14"/>
  <c r="BQ175" i="14"/>
  <c r="BQ191" i="14"/>
  <c r="BQ210" i="14"/>
  <c r="BQ226" i="14"/>
  <c r="BQ244" i="14"/>
  <c r="BQ260" i="14"/>
  <c r="BQ279" i="14"/>
  <c r="BQ297" i="14"/>
  <c r="BQ313" i="14"/>
  <c r="BQ332" i="14"/>
  <c r="BQ348" i="14"/>
  <c r="BQ367" i="14"/>
  <c r="BQ383" i="14"/>
  <c r="BQ159" i="14"/>
  <c r="BQ176" i="14"/>
  <c r="BQ192" i="14"/>
  <c r="BQ211" i="14"/>
  <c r="BQ227" i="14"/>
  <c r="BQ245" i="14"/>
  <c r="BQ261" i="14"/>
  <c r="BQ280" i="14"/>
  <c r="BQ298" i="14"/>
  <c r="BQ314" i="14"/>
  <c r="BQ333" i="14"/>
  <c r="BQ349" i="14"/>
  <c r="BQ368" i="14"/>
  <c r="BQ384" i="14"/>
  <c r="BQ197" i="14"/>
  <c r="BQ269" i="14"/>
  <c r="BQ338" i="14"/>
  <c r="BQ168" i="14"/>
  <c r="BQ238" i="14"/>
  <c r="BQ307" i="14"/>
  <c r="BQ377" i="14"/>
  <c r="BQ208" i="14"/>
  <c r="BQ277" i="14"/>
  <c r="BQ346" i="14"/>
  <c r="BQ281" i="14"/>
  <c r="BQ299" i="14"/>
  <c r="BQ315" i="14"/>
  <c r="BQ263" i="14"/>
  <c r="BQ391" i="14"/>
  <c r="BQ407" i="14"/>
  <c r="BQ423" i="14"/>
  <c r="BQ439" i="14"/>
  <c r="BQ455" i="14"/>
  <c r="BQ471" i="14"/>
  <c r="BQ264" i="14"/>
  <c r="BQ392" i="14"/>
  <c r="BQ408" i="14"/>
  <c r="BQ424" i="14"/>
  <c r="BQ440" i="14"/>
  <c r="BQ456" i="14"/>
  <c r="BQ472" i="14"/>
  <c r="BQ265" i="14"/>
  <c r="BQ393" i="14"/>
  <c r="BQ409" i="14"/>
  <c r="BQ425" i="14"/>
  <c r="BQ441" i="14"/>
  <c r="BQ457" i="14"/>
  <c r="BQ473" i="14"/>
  <c r="BQ414" i="14"/>
  <c r="BQ478" i="14"/>
  <c r="BQ128" i="14"/>
  <c r="BQ418" i="14"/>
  <c r="BQ234" i="14"/>
  <c r="BQ438" i="14"/>
  <c r="BQ117" i="14"/>
  <c r="BQ145" i="14"/>
  <c r="BQ161" i="14"/>
  <c r="BQ178" i="14"/>
  <c r="BQ194" i="14"/>
  <c r="BQ213" i="14"/>
  <c r="BQ229" i="14"/>
  <c r="BQ247" i="14"/>
  <c r="BQ266" i="14"/>
  <c r="BQ282" i="14"/>
  <c r="BQ300" i="14"/>
  <c r="BQ316" i="14"/>
  <c r="BQ335" i="14"/>
  <c r="BQ351" i="14"/>
  <c r="BQ370" i="14"/>
  <c r="BQ146" i="14"/>
  <c r="BQ162" i="14"/>
  <c r="BQ179" i="14"/>
  <c r="BQ195" i="14"/>
  <c r="BQ214" i="14"/>
  <c r="BQ230" i="14"/>
  <c r="BQ248" i="14"/>
  <c r="BQ267" i="14"/>
  <c r="BQ283" i="14"/>
  <c r="BQ301" i="14"/>
  <c r="BQ317" i="14"/>
  <c r="BQ336" i="14"/>
  <c r="BQ352" i="14"/>
  <c r="BQ371" i="14"/>
  <c r="BQ147" i="14"/>
  <c r="BQ163" i="14"/>
  <c r="BQ180" i="14"/>
  <c r="BQ196" i="14"/>
  <c r="BQ215" i="14"/>
  <c r="BQ231" i="14"/>
  <c r="BQ249" i="14"/>
  <c r="BQ268" i="14"/>
  <c r="BQ284" i="14"/>
  <c r="BQ302" i="14"/>
  <c r="BQ318" i="14"/>
  <c r="BQ337" i="14"/>
  <c r="BQ353" i="14"/>
  <c r="BQ372" i="14"/>
  <c r="BQ148" i="14"/>
  <c r="BQ216" i="14"/>
  <c r="BQ285" i="14"/>
  <c r="BQ354" i="14"/>
  <c r="BQ185" i="14"/>
  <c r="BQ254" i="14"/>
  <c r="BQ323" i="14"/>
  <c r="BQ156" i="14"/>
  <c r="BQ224" i="14"/>
  <c r="BQ293" i="14"/>
  <c r="BQ365" i="14"/>
  <c r="BQ350" i="14"/>
  <c r="BQ369" i="14"/>
  <c r="BQ385" i="14"/>
  <c r="BQ295" i="14"/>
  <c r="BQ395" i="14"/>
  <c r="BQ411" i="14"/>
  <c r="BQ427" i="14"/>
  <c r="BQ443" i="14"/>
  <c r="BQ459" i="14"/>
  <c r="BQ475" i="14"/>
  <c r="BQ324" i="14"/>
  <c r="BQ396" i="14"/>
  <c r="BQ412" i="14"/>
  <c r="BQ428" i="14"/>
  <c r="BQ444" i="14"/>
  <c r="BQ460" i="14"/>
  <c r="BQ476" i="14"/>
  <c r="BQ325" i="14"/>
  <c r="BQ397" i="14"/>
  <c r="BQ413" i="14"/>
  <c r="BQ429" i="14"/>
  <c r="BQ445" i="14"/>
  <c r="BQ461" i="14"/>
  <c r="BQ477" i="14"/>
  <c r="BQ430" i="14"/>
  <c r="BQ114" i="14"/>
  <c r="BQ133" i="14"/>
  <c r="BQ450" i="14"/>
  <c r="BQ390" i="14"/>
  <c r="BQ454" i="14"/>
  <c r="BQ144" i="14"/>
  <c r="BQ149" i="14"/>
  <c r="BQ165" i="14"/>
  <c r="BQ182" i="14"/>
  <c r="BQ198" i="14"/>
  <c r="BQ217" i="14"/>
  <c r="BQ235" i="14"/>
  <c r="BQ251" i="14"/>
  <c r="BQ270" i="14"/>
  <c r="BQ286" i="14"/>
  <c r="BQ304" i="14"/>
  <c r="BQ320" i="14"/>
  <c r="BQ339" i="14"/>
  <c r="BQ358" i="14"/>
  <c r="BQ374" i="14"/>
  <c r="BQ150" i="14"/>
  <c r="BQ166" i="14"/>
  <c r="BQ183" i="14"/>
  <c r="BQ199" i="14"/>
  <c r="BQ218" i="14"/>
  <c r="BQ236" i="14"/>
  <c r="BQ252" i="14"/>
  <c r="BQ271" i="14"/>
  <c r="BQ287" i="14"/>
  <c r="BQ305" i="14"/>
  <c r="BQ321" i="14"/>
  <c r="BQ340" i="14"/>
  <c r="BQ359" i="14"/>
  <c r="BQ375" i="14"/>
  <c r="BQ151" i="14"/>
  <c r="BQ167" i="14"/>
  <c r="BQ184" i="14"/>
  <c r="BQ200" i="14"/>
  <c r="BQ219" i="14"/>
  <c r="BQ237" i="14"/>
  <c r="BQ253" i="14"/>
  <c r="BQ272" i="14"/>
  <c r="BQ288" i="14"/>
  <c r="BQ306" i="14"/>
  <c r="BQ322" i="14"/>
  <c r="BQ341" i="14"/>
  <c r="BQ360" i="14"/>
  <c r="BQ376" i="14"/>
  <c r="BQ164" i="14"/>
  <c r="BQ232" i="14"/>
  <c r="BQ303" i="14"/>
  <c r="BQ373" i="14"/>
  <c r="BQ201" i="14"/>
  <c r="BQ273" i="14"/>
  <c r="BQ342" i="14"/>
  <c r="BQ172" i="14"/>
  <c r="BQ242" i="14"/>
  <c r="BQ311" i="14"/>
  <c r="BQ381" i="14"/>
  <c r="BQ160" i="14"/>
  <c r="BQ177" i="14"/>
  <c r="BQ262" i="14"/>
  <c r="BQ355" i="14"/>
  <c r="BQ399" i="14"/>
  <c r="BQ415" i="14"/>
  <c r="BQ431" i="14"/>
  <c r="BQ447" i="14"/>
  <c r="BQ463" i="14"/>
  <c r="BQ334" i="14"/>
  <c r="BQ356" i="14"/>
  <c r="BQ400" i="14"/>
  <c r="BQ416" i="14"/>
  <c r="BQ432" i="14"/>
  <c r="BQ448" i="14"/>
  <c r="BQ464" i="14"/>
  <c r="BQ202" i="14"/>
  <c r="BQ357" i="14"/>
  <c r="BQ401" i="14"/>
  <c r="BQ417" i="14"/>
  <c r="BQ433" i="14"/>
  <c r="BQ449" i="14"/>
  <c r="BQ465" i="14"/>
  <c r="BQ326" i="14"/>
  <c r="BQ446" i="14"/>
  <c r="BQ119" i="14"/>
  <c r="BQ137" i="14"/>
  <c r="BQ124" i="14"/>
  <c r="BQ406" i="14"/>
  <c r="BQ470" i="14"/>
  <c r="BQ126" i="14"/>
  <c r="BQ186" i="14"/>
  <c r="BQ255" i="14"/>
  <c r="BQ327" i="14"/>
  <c r="BQ154" i="14"/>
  <c r="BQ222" i="14"/>
  <c r="BQ291" i="14"/>
  <c r="BQ363" i="14"/>
  <c r="BQ188" i="14"/>
  <c r="BQ257" i="14"/>
  <c r="BQ329" i="14"/>
  <c r="BQ181" i="14"/>
  <c r="BQ220" i="14"/>
  <c r="BQ258" i="14"/>
  <c r="BQ246" i="14"/>
  <c r="BQ419" i="14"/>
  <c r="BQ173" i="14"/>
  <c r="BQ436" i="14"/>
  <c r="BQ389" i="14"/>
  <c r="BQ453" i="14"/>
  <c r="BQ123" i="14"/>
  <c r="BQ116" i="14"/>
  <c r="BQ135" i="14"/>
  <c r="BQ402" i="14"/>
  <c r="BQ120" i="14"/>
  <c r="BQ294" i="14"/>
  <c r="BQ442" i="14"/>
  <c r="BQ122" i="14"/>
  <c r="BQ141" i="14"/>
  <c r="BQ380" i="14"/>
  <c r="BQ426" i="14"/>
  <c r="BQ138" i="14"/>
  <c r="BQ205" i="14"/>
  <c r="BQ274" i="14"/>
  <c r="BQ343" i="14"/>
  <c r="BQ170" i="14"/>
  <c r="BQ240" i="14"/>
  <c r="BQ309" i="14"/>
  <c r="BQ379" i="14"/>
  <c r="BQ207" i="14"/>
  <c r="BQ276" i="14"/>
  <c r="BQ345" i="14"/>
  <c r="BQ250" i="14"/>
  <c r="BQ289" i="14"/>
  <c r="BQ330" i="14"/>
  <c r="BQ204" i="14"/>
  <c r="BQ435" i="14"/>
  <c r="BQ388" i="14"/>
  <c r="BQ452" i="14"/>
  <c r="BQ405" i="14"/>
  <c r="BQ469" i="14"/>
  <c r="BQ386" i="14"/>
  <c r="BQ121" i="14"/>
  <c r="BQ140" i="14"/>
  <c r="BQ434" i="14"/>
  <c r="BQ129" i="14"/>
  <c r="BQ394" i="14"/>
  <c r="BQ458" i="14"/>
  <c r="BQ127" i="14"/>
  <c r="BQ143" i="14"/>
  <c r="BQ228" i="14"/>
  <c r="BQ118" i="14"/>
  <c r="BQ153" i="14"/>
  <c r="BQ221" i="14"/>
  <c r="BQ290" i="14"/>
  <c r="BQ362" i="14"/>
  <c r="BQ187" i="14"/>
  <c r="BQ256" i="14"/>
  <c r="BQ328" i="14"/>
  <c r="BQ155" i="14"/>
  <c r="BQ223" i="14"/>
  <c r="BQ292" i="14"/>
  <c r="BQ364" i="14"/>
  <c r="BQ319" i="14"/>
  <c r="BQ361" i="14"/>
  <c r="BQ212" i="14"/>
  <c r="BQ387" i="14"/>
  <c r="BQ451" i="14"/>
  <c r="BQ404" i="14"/>
  <c r="BQ468" i="14"/>
  <c r="BQ421" i="14"/>
  <c r="BQ398" i="14"/>
  <c r="BQ139" i="14"/>
  <c r="BQ125" i="14"/>
  <c r="BQ142" i="14"/>
  <c r="BQ466" i="14"/>
  <c r="BQ134" i="14"/>
  <c r="BQ410" i="14"/>
  <c r="BQ474" i="14"/>
  <c r="BQ131" i="14"/>
  <c r="BQ169" i="14"/>
  <c r="BQ239" i="14"/>
  <c r="BQ308" i="14"/>
  <c r="BQ378" i="14"/>
  <c r="BQ206" i="14"/>
  <c r="BQ275" i="14"/>
  <c r="BQ344" i="14"/>
  <c r="BQ171" i="14"/>
  <c r="BQ241" i="14"/>
  <c r="BQ310" i="14"/>
  <c r="BQ152" i="14"/>
  <c r="BQ189" i="14"/>
  <c r="BQ403" i="14"/>
  <c r="BQ467" i="14"/>
  <c r="BQ420" i="14"/>
  <c r="BQ233" i="14"/>
  <c r="BQ437" i="14"/>
  <c r="BQ462" i="14"/>
  <c r="BQ422" i="14"/>
  <c r="BQ130" i="14"/>
  <c r="BQ203" i="14"/>
  <c r="BQ115" i="14"/>
  <c r="BQ193" i="14"/>
  <c r="BQ136" i="14"/>
  <c r="K77" i="29"/>
  <c r="N77" i="29" s="1"/>
  <c r="N78" i="29"/>
  <c r="BC22" i="15"/>
  <c r="AX22" i="15"/>
  <c r="BD22" i="15"/>
  <c r="AY22" i="15"/>
  <c r="BE22" i="15"/>
  <c r="BG22" i="15"/>
  <c r="BB22" i="15"/>
  <c r="AZ22" i="15"/>
  <c r="BF22" i="15"/>
  <c r="BA22" i="15"/>
  <c r="BJ26" i="15"/>
  <c r="BI26" i="15"/>
  <c r="O77" i="29"/>
  <c r="R77" i="29" s="1"/>
  <c r="R78" i="29"/>
  <c r="K85" i="29"/>
  <c r="N85" i="29" s="1"/>
  <c r="N86" i="29"/>
  <c r="BG93" i="15"/>
  <c r="AT93" i="15"/>
  <c r="AR93" i="15"/>
  <c r="AU93" i="15"/>
  <c r="AO93" i="15"/>
  <c r="AP93" i="15"/>
  <c r="AQ93" i="15"/>
  <c r="AS93" i="15"/>
  <c r="AV93" i="15"/>
  <c r="AM93" i="15"/>
  <c r="AN93" i="15"/>
  <c r="BJ25" i="15"/>
  <c r="BI25" i="15"/>
  <c r="T6" i="29"/>
  <c r="G65" i="29"/>
  <c r="J65" i="29" s="1"/>
  <c r="J66" i="29"/>
  <c r="T64" i="29"/>
  <c r="K73" i="29"/>
  <c r="N73" i="29" s="1"/>
  <c r="N74" i="29"/>
  <c r="BE27" i="15"/>
  <c r="BA88" i="15"/>
  <c r="BC88" i="15"/>
  <c r="BF88" i="15"/>
  <c r="BD88" i="15"/>
  <c r="AY88" i="15"/>
  <c r="BE88" i="15"/>
  <c r="BG88" i="15"/>
  <c r="AX88" i="15"/>
  <c r="AZ88" i="15"/>
  <c r="BB88" i="15"/>
  <c r="BA90" i="15"/>
  <c r="BC90" i="15"/>
  <c r="AX90" i="15"/>
  <c r="BD90" i="15"/>
  <c r="BE90" i="15"/>
  <c r="BB90" i="15"/>
  <c r="AY90" i="15"/>
  <c r="BG90" i="15"/>
  <c r="AZ90" i="15"/>
  <c r="BF90" i="15"/>
  <c r="T72" i="29"/>
  <c r="BA52" i="15"/>
  <c r="T88" i="29"/>
  <c r="T68" i="29"/>
  <c r="BE91" i="15"/>
  <c r="BG91" i="15"/>
  <c r="BB91" i="15"/>
  <c r="AZ91" i="15"/>
  <c r="BA91" i="15"/>
  <c r="BC91" i="15"/>
  <c r="AX91" i="15"/>
  <c r="BD91" i="15"/>
  <c r="AY91" i="15"/>
  <c r="BF91" i="15"/>
  <c r="BO126" i="14"/>
  <c r="BO132" i="14"/>
  <c r="BO153" i="14"/>
  <c r="BO169" i="14"/>
  <c r="BO186" i="14"/>
  <c r="BO205" i="14"/>
  <c r="BO221" i="14"/>
  <c r="BO239" i="14"/>
  <c r="BO255" i="14"/>
  <c r="BO274" i="14"/>
  <c r="BO290" i="14"/>
  <c r="BO308" i="14"/>
  <c r="BO327" i="14"/>
  <c r="BO343" i="14"/>
  <c r="BO362" i="14"/>
  <c r="BO378" i="14"/>
  <c r="BO154" i="14"/>
  <c r="BO170" i="14"/>
  <c r="BO187" i="14"/>
  <c r="BO206" i="14"/>
  <c r="BO222" i="14"/>
  <c r="BO240" i="14"/>
  <c r="BO256" i="14"/>
  <c r="BO275" i="14"/>
  <c r="BO291" i="14"/>
  <c r="BO309" i="14"/>
  <c r="BO328" i="14"/>
  <c r="BO344" i="14"/>
  <c r="BO363" i="14"/>
  <c r="BO379" i="14"/>
  <c r="BO155" i="14"/>
  <c r="BO171" i="14"/>
  <c r="BO188" i="14"/>
  <c r="BO207" i="14"/>
  <c r="BO223" i="14"/>
  <c r="BO241" i="14"/>
  <c r="BO257" i="14"/>
  <c r="BO276" i="14"/>
  <c r="BO292" i="14"/>
  <c r="BO310" i="14"/>
  <c r="BO329" i="14"/>
  <c r="BO345" i="14"/>
  <c r="BO364" i="14"/>
  <c r="BO380" i="14"/>
  <c r="BO181" i="14"/>
  <c r="BO250" i="14"/>
  <c r="BO319" i="14"/>
  <c r="BO152" i="14"/>
  <c r="BO220" i="14"/>
  <c r="BO289" i="14"/>
  <c r="BO361" i="14"/>
  <c r="BO189" i="14"/>
  <c r="BO258" i="14"/>
  <c r="BO330" i="14"/>
  <c r="BO212" i="14"/>
  <c r="BO228" i="14"/>
  <c r="BO246" i="14"/>
  <c r="BO204" i="14"/>
  <c r="BO387" i="14"/>
  <c r="BO403" i="14"/>
  <c r="BO419" i="14"/>
  <c r="BO435" i="14"/>
  <c r="BO451" i="14"/>
  <c r="BO467" i="14"/>
  <c r="BO173" i="14"/>
  <c r="BO388" i="14"/>
  <c r="BO404" i="14"/>
  <c r="BO420" i="14"/>
  <c r="BO436" i="14"/>
  <c r="BO452" i="14"/>
  <c r="BO468" i="14"/>
  <c r="BO202" i="14"/>
  <c r="BO357" i="14"/>
  <c r="BO401" i="14"/>
  <c r="BO417" i="14"/>
  <c r="BO433" i="14"/>
  <c r="BO449" i="14"/>
  <c r="BO465" i="14"/>
  <c r="BO294" i="14"/>
  <c r="BO442" i="14"/>
  <c r="BO119" i="14"/>
  <c r="BO137" i="14"/>
  <c r="BO115" i="14"/>
  <c r="BO386" i="14"/>
  <c r="BO450" i="14"/>
  <c r="BO125" i="14"/>
  <c r="BO142" i="14"/>
  <c r="BO478" i="14"/>
  <c r="BO234" i="14"/>
  <c r="BO438" i="14"/>
  <c r="BO122" i="14"/>
  <c r="BO141" i="14"/>
  <c r="BO182" i="14"/>
  <c r="BO251" i="14"/>
  <c r="BO286" i="14"/>
  <c r="BO358" i="14"/>
  <c r="BO166" i="14"/>
  <c r="BO479" i="14"/>
  <c r="BO138" i="14"/>
  <c r="BO157" i="14"/>
  <c r="BO174" i="14"/>
  <c r="BO190" i="14"/>
  <c r="BO209" i="14"/>
  <c r="BO225" i="14"/>
  <c r="BO243" i="14"/>
  <c r="BO259" i="14"/>
  <c r="BO278" i="14"/>
  <c r="BO296" i="14"/>
  <c r="BO312" i="14"/>
  <c r="BO331" i="14"/>
  <c r="BO347" i="14"/>
  <c r="BO366" i="14"/>
  <c r="BO382" i="14"/>
  <c r="BO158" i="14"/>
  <c r="BO175" i="14"/>
  <c r="BO191" i="14"/>
  <c r="BO210" i="14"/>
  <c r="BO226" i="14"/>
  <c r="BO244" i="14"/>
  <c r="BO260" i="14"/>
  <c r="BO279" i="14"/>
  <c r="BO297" i="14"/>
  <c r="BO313" i="14"/>
  <c r="BO332" i="14"/>
  <c r="BO348" i="14"/>
  <c r="BO367" i="14"/>
  <c r="BO383" i="14"/>
  <c r="BO159" i="14"/>
  <c r="BO176" i="14"/>
  <c r="BO192" i="14"/>
  <c r="BO211" i="14"/>
  <c r="BO227" i="14"/>
  <c r="BO245" i="14"/>
  <c r="BO261" i="14"/>
  <c r="BO280" i="14"/>
  <c r="BO298" i="14"/>
  <c r="BO314" i="14"/>
  <c r="BO333" i="14"/>
  <c r="BO349" i="14"/>
  <c r="BO368" i="14"/>
  <c r="BO384" i="14"/>
  <c r="BO197" i="14"/>
  <c r="BO269" i="14"/>
  <c r="BO338" i="14"/>
  <c r="BO168" i="14"/>
  <c r="BO238" i="14"/>
  <c r="BO307" i="14"/>
  <c r="BO377" i="14"/>
  <c r="BO208" i="14"/>
  <c r="BO277" i="14"/>
  <c r="BO346" i="14"/>
  <c r="BO281" i="14"/>
  <c r="BO299" i="14"/>
  <c r="BO315" i="14"/>
  <c r="BO263" i="14"/>
  <c r="BO391" i="14"/>
  <c r="BO407" i="14"/>
  <c r="BO423" i="14"/>
  <c r="BO439" i="14"/>
  <c r="BO455" i="14"/>
  <c r="BO471" i="14"/>
  <c r="BO264" i="14"/>
  <c r="BO392" i="14"/>
  <c r="BO408" i="14"/>
  <c r="BO424" i="14"/>
  <c r="BO440" i="14"/>
  <c r="BO456" i="14"/>
  <c r="BO472" i="14"/>
  <c r="BO233" i="14"/>
  <c r="BO389" i="14"/>
  <c r="BO405" i="14"/>
  <c r="BO421" i="14"/>
  <c r="BO437" i="14"/>
  <c r="BO453" i="14"/>
  <c r="BO469" i="14"/>
  <c r="BO394" i="14"/>
  <c r="BO458" i="14"/>
  <c r="BO123" i="14"/>
  <c r="BO326" i="14"/>
  <c r="BO124" i="14"/>
  <c r="BO402" i="14"/>
  <c r="BO466" i="14"/>
  <c r="BO130" i="14"/>
  <c r="BO398" i="14"/>
  <c r="BO120" i="14"/>
  <c r="BO390" i="14"/>
  <c r="BO454" i="14"/>
  <c r="BO127" i="14"/>
  <c r="BO143" i="14"/>
  <c r="BO165" i="14"/>
  <c r="BO235" i="14"/>
  <c r="BO320" i="14"/>
  <c r="BO374" i="14"/>
  <c r="BO199" i="14"/>
  <c r="BO117" i="14"/>
  <c r="BO145" i="14"/>
  <c r="BO161" i="14"/>
  <c r="BO178" i="14"/>
  <c r="BO194" i="14"/>
  <c r="BO213" i="14"/>
  <c r="BO229" i="14"/>
  <c r="BO247" i="14"/>
  <c r="BO266" i="14"/>
  <c r="BO282" i="14"/>
  <c r="BO300" i="14"/>
  <c r="BO316" i="14"/>
  <c r="BO335" i="14"/>
  <c r="BO351" i="14"/>
  <c r="BO370" i="14"/>
  <c r="BO146" i="14"/>
  <c r="BO162" i="14"/>
  <c r="BO179" i="14"/>
  <c r="BO195" i="14"/>
  <c r="BO214" i="14"/>
  <c r="BO230" i="14"/>
  <c r="BO248" i="14"/>
  <c r="BO267" i="14"/>
  <c r="BO283" i="14"/>
  <c r="BO301" i="14"/>
  <c r="BO317" i="14"/>
  <c r="BO336" i="14"/>
  <c r="BO352" i="14"/>
  <c r="BO371" i="14"/>
  <c r="BO147" i="14"/>
  <c r="BO163" i="14"/>
  <c r="BO180" i="14"/>
  <c r="BO196" i="14"/>
  <c r="BO215" i="14"/>
  <c r="BO231" i="14"/>
  <c r="BO249" i="14"/>
  <c r="BO268" i="14"/>
  <c r="BO284" i="14"/>
  <c r="BO302" i="14"/>
  <c r="BO318" i="14"/>
  <c r="BO337" i="14"/>
  <c r="BO353" i="14"/>
  <c r="BO372" i="14"/>
  <c r="BO148" i="14"/>
  <c r="BO216" i="14"/>
  <c r="BO285" i="14"/>
  <c r="BO354" i="14"/>
  <c r="BO185" i="14"/>
  <c r="BO254" i="14"/>
  <c r="BO323" i="14"/>
  <c r="BO156" i="14"/>
  <c r="BO224" i="14"/>
  <c r="BO293" i="14"/>
  <c r="BO365" i="14"/>
  <c r="BO350" i="14"/>
  <c r="BO369" i="14"/>
  <c r="BO385" i="14"/>
  <c r="BO295" i="14"/>
  <c r="BO395" i="14"/>
  <c r="BO411" i="14"/>
  <c r="BO427" i="14"/>
  <c r="BO443" i="14"/>
  <c r="BO459" i="14"/>
  <c r="BO475" i="14"/>
  <c r="BO324" i="14"/>
  <c r="BO396" i="14"/>
  <c r="BO412" i="14"/>
  <c r="BO428" i="14"/>
  <c r="BO444" i="14"/>
  <c r="BO460" i="14"/>
  <c r="BO476" i="14"/>
  <c r="BO265" i="14"/>
  <c r="BO393" i="14"/>
  <c r="BO409" i="14"/>
  <c r="BO425" i="14"/>
  <c r="BO441" i="14"/>
  <c r="BO457" i="14"/>
  <c r="BO473" i="14"/>
  <c r="BO410" i="14"/>
  <c r="BO474" i="14"/>
  <c r="BO128" i="14"/>
  <c r="BO414" i="14"/>
  <c r="BO139" i="14"/>
  <c r="BO418" i="14"/>
  <c r="BO116" i="14"/>
  <c r="BO135" i="14"/>
  <c r="BO430" i="14"/>
  <c r="BO129" i="14"/>
  <c r="BO406" i="14"/>
  <c r="BO470" i="14"/>
  <c r="BO131" i="14"/>
  <c r="BO144" i="14"/>
  <c r="BO149" i="14"/>
  <c r="BO198" i="14"/>
  <c r="BO217" i="14"/>
  <c r="BO270" i="14"/>
  <c r="BO304" i="14"/>
  <c r="BO339" i="14"/>
  <c r="BO150" i="14"/>
  <c r="BO183" i="14"/>
  <c r="BO218" i="14"/>
  <c r="BO287" i="14"/>
  <c r="BO359" i="14"/>
  <c r="BO184" i="14"/>
  <c r="BO253" i="14"/>
  <c r="BO322" i="14"/>
  <c r="BO164" i="14"/>
  <c r="BO201" i="14"/>
  <c r="BO242" i="14"/>
  <c r="BO177" i="14"/>
  <c r="BO415" i="14"/>
  <c r="BO262" i="14"/>
  <c r="BO432" i="14"/>
  <c r="BO325" i="14"/>
  <c r="BO445" i="14"/>
  <c r="BO114" i="14"/>
  <c r="BO434" i="14"/>
  <c r="BO134" i="14"/>
  <c r="BO356" i="14"/>
  <c r="BO397" i="14"/>
  <c r="BO133" i="14"/>
  <c r="BO422" i="14"/>
  <c r="BO271" i="14"/>
  <c r="BO237" i="14"/>
  <c r="BO376" i="14"/>
  <c r="BO172" i="14"/>
  <c r="BO463" i="14"/>
  <c r="BO416" i="14"/>
  <c r="BO426" i="14"/>
  <c r="BO136" i="14"/>
  <c r="BO236" i="14"/>
  <c r="BO305" i="14"/>
  <c r="BO375" i="14"/>
  <c r="BO200" i="14"/>
  <c r="BO272" i="14"/>
  <c r="BO341" i="14"/>
  <c r="BO232" i="14"/>
  <c r="BO273" i="14"/>
  <c r="BO311" i="14"/>
  <c r="BO193" i="14"/>
  <c r="BO431" i="14"/>
  <c r="BO448" i="14"/>
  <c r="BO461" i="14"/>
  <c r="BO121" i="14"/>
  <c r="BO167" i="14"/>
  <c r="BO373" i="14"/>
  <c r="BO399" i="14"/>
  <c r="BO429" i="14"/>
  <c r="BO446" i="14"/>
  <c r="BO252" i="14"/>
  <c r="BO321" i="14"/>
  <c r="BO151" i="14"/>
  <c r="BO219" i="14"/>
  <c r="BO288" i="14"/>
  <c r="BO360" i="14"/>
  <c r="BO303" i="14"/>
  <c r="BO342" i="14"/>
  <c r="BO381" i="14"/>
  <c r="BO355" i="14"/>
  <c r="BO447" i="14"/>
  <c r="BO400" i="14"/>
  <c r="BO464" i="14"/>
  <c r="BO413" i="14"/>
  <c r="BO477" i="14"/>
  <c r="BO462" i="14"/>
  <c r="BO140" i="14"/>
  <c r="BO118" i="14"/>
  <c r="BO340" i="14"/>
  <c r="BO306" i="14"/>
  <c r="BO160" i="14"/>
  <c r="BO334" i="14"/>
  <c r="BO203" i="14"/>
  <c r="O85" i="29"/>
  <c r="R85" i="29" s="1"/>
  <c r="R86" i="29"/>
  <c r="K69" i="29"/>
  <c r="N69" i="29" s="1"/>
  <c r="N70" i="29"/>
  <c r="T13" i="29"/>
  <c r="BK479" i="14"/>
  <c r="BK138" i="14"/>
  <c r="BK157" i="14"/>
  <c r="BK174" i="14"/>
  <c r="BK190" i="14"/>
  <c r="BK209" i="14"/>
  <c r="BK225" i="14"/>
  <c r="BK243" i="14"/>
  <c r="BK259" i="14"/>
  <c r="BK278" i="14"/>
  <c r="BK296" i="14"/>
  <c r="BK312" i="14"/>
  <c r="BK331" i="14"/>
  <c r="BK347" i="14"/>
  <c r="BK366" i="14"/>
  <c r="BK382" i="14"/>
  <c r="BK158" i="14"/>
  <c r="BK175" i="14"/>
  <c r="BK191" i="14"/>
  <c r="BK210" i="14"/>
  <c r="BK226" i="14"/>
  <c r="BK244" i="14"/>
  <c r="BK260" i="14"/>
  <c r="BK279" i="14"/>
  <c r="BK297" i="14"/>
  <c r="BK313" i="14"/>
  <c r="BK332" i="14"/>
  <c r="BK348" i="14"/>
  <c r="BK367" i="14"/>
  <c r="BK383" i="14"/>
  <c r="BK159" i="14"/>
  <c r="BK176" i="14"/>
  <c r="BK192" i="14"/>
  <c r="BK211" i="14"/>
  <c r="BK227" i="14"/>
  <c r="BK245" i="14"/>
  <c r="BK261" i="14"/>
  <c r="BK280" i="14"/>
  <c r="BK298" i="14"/>
  <c r="BK314" i="14"/>
  <c r="BK333" i="14"/>
  <c r="BK349" i="14"/>
  <c r="BK368" i="14"/>
  <c r="BK384" i="14"/>
  <c r="BK197" i="14"/>
  <c r="BK269" i="14"/>
  <c r="BK338" i="14"/>
  <c r="BK168" i="14"/>
  <c r="BK238" i="14"/>
  <c r="BK307" i="14"/>
  <c r="BK117" i="14"/>
  <c r="BK145" i="14"/>
  <c r="BK161" i="14"/>
  <c r="BK178" i="14"/>
  <c r="BK194" i="14"/>
  <c r="BK213" i="14"/>
  <c r="BK229" i="14"/>
  <c r="BK247" i="14"/>
  <c r="BK266" i="14"/>
  <c r="BK282" i="14"/>
  <c r="BK300" i="14"/>
  <c r="BK316" i="14"/>
  <c r="BK335" i="14"/>
  <c r="BK351" i="14"/>
  <c r="BK370" i="14"/>
  <c r="BK146" i="14"/>
  <c r="BK162" i="14"/>
  <c r="BK179" i="14"/>
  <c r="BK195" i="14"/>
  <c r="BK214" i="14"/>
  <c r="BK230" i="14"/>
  <c r="BK248" i="14"/>
  <c r="BK267" i="14"/>
  <c r="BK283" i="14"/>
  <c r="BK301" i="14"/>
  <c r="BK317" i="14"/>
  <c r="BK336" i="14"/>
  <c r="BK352" i="14"/>
  <c r="BK371" i="14"/>
  <c r="BK147" i="14"/>
  <c r="BK163" i="14"/>
  <c r="BK180" i="14"/>
  <c r="BK196" i="14"/>
  <c r="BK215" i="14"/>
  <c r="BK231" i="14"/>
  <c r="BK249" i="14"/>
  <c r="BK268" i="14"/>
  <c r="BK284" i="14"/>
  <c r="BK302" i="14"/>
  <c r="BK318" i="14"/>
  <c r="BK337" i="14"/>
  <c r="BK353" i="14"/>
  <c r="BK372" i="14"/>
  <c r="BK148" i="14"/>
  <c r="BK216" i="14"/>
  <c r="BK285" i="14"/>
  <c r="BK354" i="14"/>
  <c r="BK185" i="14"/>
  <c r="BK254" i="14"/>
  <c r="BK144" i="14"/>
  <c r="BK149" i="14"/>
  <c r="BK165" i="14"/>
  <c r="BK182" i="14"/>
  <c r="BK198" i="14"/>
  <c r="BK217" i="14"/>
  <c r="BK235" i="14"/>
  <c r="BK251" i="14"/>
  <c r="BK270" i="14"/>
  <c r="BK286" i="14"/>
  <c r="BK304" i="14"/>
  <c r="BK320" i="14"/>
  <c r="BK339" i="14"/>
  <c r="BK358" i="14"/>
  <c r="BK374" i="14"/>
  <c r="BK150" i="14"/>
  <c r="BK166" i="14"/>
  <c r="BK183" i="14"/>
  <c r="BK199" i="14"/>
  <c r="BK218" i="14"/>
  <c r="BK236" i="14"/>
  <c r="BK252" i="14"/>
  <c r="BK271" i="14"/>
  <c r="BK287" i="14"/>
  <c r="BK305" i="14"/>
  <c r="BK321" i="14"/>
  <c r="BK340" i="14"/>
  <c r="BK359" i="14"/>
  <c r="BK375" i="14"/>
  <c r="BK151" i="14"/>
  <c r="BK167" i="14"/>
  <c r="BK184" i="14"/>
  <c r="BK200" i="14"/>
  <c r="BK219" i="14"/>
  <c r="BK237" i="14"/>
  <c r="BK253" i="14"/>
  <c r="BK272" i="14"/>
  <c r="BK288" i="14"/>
  <c r="BK306" i="14"/>
  <c r="BK322" i="14"/>
  <c r="BK341" i="14"/>
  <c r="BK360" i="14"/>
  <c r="BK376" i="14"/>
  <c r="BK164" i="14"/>
  <c r="BK232" i="14"/>
  <c r="BK303" i="14"/>
  <c r="BK373" i="14"/>
  <c r="BK201" i="14"/>
  <c r="BK273" i="14"/>
  <c r="BK342" i="14"/>
  <c r="BK172" i="14"/>
  <c r="BK242" i="14"/>
  <c r="BK311" i="14"/>
  <c r="BK381" i="14"/>
  <c r="BK126" i="14"/>
  <c r="BK186" i="14"/>
  <c r="BK255" i="14"/>
  <c r="BK327" i="14"/>
  <c r="BK154" i="14"/>
  <c r="BK222" i="14"/>
  <c r="BK291" i="14"/>
  <c r="BK363" i="14"/>
  <c r="BK188" i="14"/>
  <c r="BK257" i="14"/>
  <c r="BK329" i="14"/>
  <c r="BK181" i="14"/>
  <c r="BK220" i="14"/>
  <c r="BK377" i="14"/>
  <c r="BK224" i="14"/>
  <c r="BK330" i="14"/>
  <c r="BK281" i="14"/>
  <c r="BK299" i="14"/>
  <c r="BK315" i="14"/>
  <c r="BK263" i="14"/>
  <c r="BK391" i="14"/>
  <c r="BK407" i="14"/>
  <c r="BK423" i="14"/>
  <c r="BK439" i="14"/>
  <c r="BK455" i="14"/>
  <c r="BK471" i="14"/>
  <c r="BK324" i="14"/>
  <c r="BK396" i="14"/>
  <c r="BK412" i="14"/>
  <c r="BK428" i="14"/>
  <c r="BK444" i="14"/>
  <c r="BK460" i="14"/>
  <c r="BK476" i="14"/>
  <c r="BK265" i="14"/>
  <c r="BK393" i="14"/>
  <c r="BK409" i="14"/>
  <c r="BK425" i="14"/>
  <c r="BK441" i="14"/>
  <c r="BK457" i="14"/>
  <c r="BK473" i="14"/>
  <c r="BK402" i="14"/>
  <c r="BK466" i="14"/>
  <c r="BK128" i="14"/>
  <c r="BK470" i="14"/>
  <c r="BK294" i="14"/>
  <c r="BK442" i="14"/>
  <c r="BK121" i="14"/>
  <c r="BK140" i="14"/>
  <c r="BK406" i="14"/>
  <c r="BK124" i="14"/>
  <c r="BK398" i="14"/>
  <c r="BK462" i="14"/>
  <c r="BK127" i="14"/>
  <c r="BK143" i="14"/>
  <c r="BK132" i="14"/>
  <c r="BK205" i="14"/>
  <c r="BK274" i="14"/>
  <c r="BK343" i="14"/>
  <c r="BK170" i="14"/>
  <c r="BK240" i="14"/>
  <c r="BK309" i="14"/>
  <c r="BK379" i="14"/>
  <c r="BK207" i="14"/>
  <c r="BK276" i="14"/>
  <c r="BK345" i="14"/>
  <c r="BK250" i="14"/>
  <c r="BK289" i="14"/>
  <c r="BK156" i="14"/>
  <c r="BK258" i="14"/>
  <c r="BK346" i="14"/>
  <c r="BK350" i="14"/>
  <c r="BK369" i="14"/>
  <c r="BK385" i="14"/>
  <c r="BK295" i="14"/>
  <c r="BK395" i="14"/>
  <c r="BK411" i="14"/>
  <c r="BK427" i="14"/>
  <c r="BK443" i="14"/>
  <c r="BK459" i="14"/>
  <c r="BK475" i="14"/>
  <c r="BK356" i="14"/>
  <c r="BK400" i="14"/>
  <c r="BK416" i="14"/>
  <c r="BK432" i="14"/>
  <c r="BK448" i="14"/>
  <c r="BK464" i="14"/>
  <c r="BK193" i="14"/>
  <c r="BK325" i="14"/>
  <c r="BK397" i="14"/>
  <c r="BK413" i="14"/>
  <c r="BK429" i="14"/>
  <c r="BK445" i="14"/>
  <c r="BK461" i="14"/>
  <c r="BK477" i="14"/>
  <c r="BK418" i="14"/>
  <c r="BK114" i="14"/>
  <c r="BK133" i="14"/>
  <c r="BK120" i="14"/>
  <c r="BK394" i="14"/>
  <c r="BK458" i="14"/>
  <c r="BK125" i="14"/>
  <c r="BK142" i="14"/>
  <c r="BK438" i="14"/>
  <c r="BK134" i="14"/>
  <c r="BK414" i="14"/>
  <c r="BK478" i="14"/>
  <c r="BK131" i="14"/>
  <c r="BK153" i="14"/>
  <c r="BK221" i="14"/>
  <c r="BK290" i="14"/>
  <c r="BK362" i="14"/>
  <c r="BK187" i="14"/>
  <c r="BK256" i="14"/>
  <c r="BK328" i="14"/>
  <c r="BK155" i="14"/>
  <c r="BK223" i="14"/>
  <c r="BK292" i="14"/>
  <c r="BK364" i="14"/>
  <c r="BK319" i="14"/>
  <c r="BK323" i="14"/>
  <c r="BK189" i="14"/>
  <c r="BK277" i="14"/>
  <c r="BK365" i="14"/>
  <c r="BK160" i="14"/>
  <c r="BK177" i="14"/>
  <c r="BK334" i="14"/>
  <c r="BK355" i="14"/>
  <c r="BK399" i="14"/>
  <c r="BK415" i="14"/>
  <c r="BK431" i="14"/>
  <c r="BK447" i="14"/>
  <c r="BK463" i="14"/>
  <c r="BK173" i="14"/>
  <c r="BK388" i="14"/>
  <c r="BK404" i="14"/>
  <c r="BK420" i="14"/>
  <c r="BK436" i="14"/>
  <c r="BK452" i="14"/>
  <c r="BK468" i="14"/>
  <c r="BK202" i="14"/>
  <c r="BK357" i="14"/>
  <c r="BK401" i="14"/>
  <c r="BK417" i="14"/>
  <c r="BK433" i="14"/>
  <c r="BK449" i="14"/>
  <c r="BK465" i="14"/>
  <c r="BK203" i="14"/>
  <c r="BK434" i="14"/>
  <c r="BK119" i="14"/>
  <c r="BK137" i="14"/>
  <c r="BK129" i="14"/>
  <c r="BK410" i="14"/>
  <c r="BK474" i="14"/>
  <c r="BK130" i="14"/>
  <c r="BK234" i="14"/>
  <c r="BK454" i="14"/>
  <c r="BK139" i="14"/>
  <c r="BK430" i="14"/>
  <c r="BK118" i="14"/>
  <c r="BK136" i="14"/>
  <c r="BK169" i="14"/>
  <c r="BK206" i="14"/>
  <c r="BK241" i="14"/>
  <c r="BK361" i="14"/>
  <c r="BK228" i="14"/>
  <c r="BK403" i="14"/>
  <c r="BK467" i="14"/>
  <c r="BK424" i="14"/>
  <c r="BK233" i="14"/>
  <c r="BK437" i="14"/>
  <c r="BK450" i="14"/>
  <c r="BK426" i="14"/>
  <c r="BK115" i="14"/>
  <c r="BK141" i="14"/>
  <c r="BK239" i="14"/>
  <c r="BK275" i="14"/>
  <c r="BK310" i="14"/>
  <c r="BK208" i="14"/>
  <c r="BK246" i="14"/>
  <c r="BK419" i="14"/>
  <c r="BK264" i="14"/>
  <c r="BK440" i="14"/>
  <c r="BK389" i="14"/>
  <c r="BK453" i="14"/>
  <c r="BK123" i="14"/>
  <c r="BK116" i="14"/>
  <c r="BK326" i="14"/>
  <c r="BK308" i="14"/>
  <c r="BK344" i="14"/>
  <c r="BK380" i="14"/>
  <c r="BK293" i="14"/>
  <c r="BK204" i="14"/>
  <c r="BK435" i="14"/>
  <c r="BK392" i="14"/>
  <c r="BK456" i="14"/>
  <c r="BK405" i="14"/>
  <c r="BK469" i="14"/>
  <c r="BK422" i="14"/>
  <c r="BK135" i="14"/>
  <c r="BK446" i="14"/>
  <c r="BK378" i="14"/>
  <c r="BK171" i="14"/>
  <c r="BK152" i="14"/>
  <c r="BK212" i="14"/>
  <c r="BK387" i="14"/>
  <c r="BK451" i="14"/>
  <c r="BK408" i="14"/>
  <c r="BK472" i="14"/>
  <c r="BK421" i="14"/>
  <c r="BK386" i="14"/>
  <c r="BK262" i="14"/>
  <c r="BK390" i="14"/>
  <c r="BK122" i="14"/>
  <c r="G81" i="29"/>
  <c r="J81" i="29" s="1"/>
  <c r="J82" i="29"/>
  <c r="T82" i="29" s="1"/>
  <c r="T80" i="29"/>
  <c r="O69" i="29"/>
  <c r="R69" i="29" s="1"/>
  <c r="R70" i="29"/>
  <c r="BP138" i="14"/>
  <c r="BP117" i="14"/>
  <c r="BP157" i="14"/>
  <c r="BP174" i="14"/>
  <c r="BP190" i="14"/>
  <c r="BP209" i="14"/>
  <c r="BP225" i="14"/>
  <c r="BP243" i="14"/>
  <c r="BP259" i="14"/>
  <c r="BP278" i="14"/>
  <c r="BP296" i="14"/>
  <c r="BP312" i="14"/>
  <c r="BP331" i="14"/>
  <c r="BP347" i="14"/>
  <c r="BP366" i="14"/>
  <c r="BP382" i="14"/>
  <c r="BP158" i="14"/>
  <c r="BP175" i="14"/>
  <c r="BP191" i="14"/>
  <c r="BP210" i="14"/>
  <c r="BP226" i="14"/>
  <c r="BP244" i="14"/>
  <c r="BP260" i="14"/>
  <c r="BP279" i="14"/>
  <c r="BP297" i="14"/>
  <c r="BP313" i="14"/>
  <c r="BP332" i="14"/>
  <c r="BP348" i="14"/>
  <c r="BP367" i="14"/>
  <c r="BP383" i="14"/>
  <c r="BP159" i="14"/>
  <c r="BP176" i="14"/>
  <c r="BP192" i="14"/>
  <c r="BP211" i="14"/>
  <c r="BP227" i="14"/>
  <c r="BP245" i="14"/>
  <c r="BP261" i="14"/>
  <c r="BP280" i="14"/>
  <c r="BP298" i="14"/>
  <c r="BP314" i="14"/>
  <c r="BP333" i="14"/>
  <c r="BP349" i="14"/>
  <c r="BP368" i="14"/>
  <c r="BP384" i="14"/>
  <c r="BP197" i="14"/>
  <c r="BP269" i="14"/>
  <c r="BP338" i="14"/>
  <c r="BP168" i="14"/>
  <c r="BP238" i="14"/>
  <c r="BP307" i="14"/>
  <c r="BP377" i="14"/>
  <c r="BP208" i="14"/>
  <c r="BP277" i="14"/>
  <c r="BP346" i="14"/>
  <c r="BP246" i="14"/>
  <c r="BP262" i="14"/>
  <c r="BP350" i="14"/>
  <c r="BP265" i="14"/>
  <c r="BP393" i="14"/>
  <c r="BP409" i="14"/>
  <c r="BP425" i="14"/>
  <c r="BP441" i="14"/>
  <c r="BP457" i="14"/>
  <c r="BP473" i="14"/>
  <c r="BP234" i="14"/>
  <c r="BP390" i="14"/>
  <c r="BP406" i="14"/>
  <c r="BP422" i="14"/>
  <c r="BP438" i="14"/>
  <c r="BP454" i="14"/>
  <c r="BP470" i="14"/>
  <c r="BP204" i="14"/>
  <c r="BP387" i="14"/>
  <c r="BP403" i="14"/>
  <c r="BP419" i="14"/>
  <c r="BP435" i="14"/>
  <c r="BP451" i="14"/>
  <c r="BP467" i="14"/>
  <c r="BP396" i="14"/>
  <c r="BP460" i="14"/>
  <c r="BP123" i="14"/>
  <c r="BP142" i="14"/>
  <c r="BP120" i="14"/>
  <c r="BP173" i="14"/>
  <c r="BP436" i="14"/>
  <c r="BP121" i="14"/>
  <c r="BP140" i="14"/>
  <c r="BP115" i="14"/>
  <c r="BP264" i="14"/>
  <c r="BP440" i="14"/>
  <c r="BP122" i="14"/>
  <c r="BP141" i="14"/>
  <c r="BP132" i="14"/>
  <c r="BP169" i="14"/>
  <c r="BP205" i="14"/>
  <c r="BP255" i="14"/>
  <c r="BP308" i="14"/>
  <c r="BP378" i="14"/>
  <c r="BP187" i="14"/>
  <c r="BP256" i="14"/>
  <c r="BP328" i="14"/>
  <c r="BP379" i="14"/>
  <c r="BP171" i="14"/>
  <c r="BP241" i="14"/>
  <c r="BP292" i="14"/>
  <c r="BP364" i="14"/>
  <c r="BP250" i="14"/>
  <c r="BP289" i="14"/>
  <c r="BP258" i="14"/>
  <c r="BP281" i="14"/>
  <c r="BP405" i="14"/>
  <c r="BP437" i="14"/>
  <c r="BP386" i="14"/>
  <c r="BP434" i="14"/>
  <c r="BP355" i="14"/>
  <c r="BP431" i="14"/>
  <c r="BP444" i="14"/>
  <c r="BP137" i="14"/>
  <c r="BP420" i="14"/>
  <c r="BP143" i="14"/>
  <c r="BP118" i="14"/>
  <c r="BP144" i="14"/>
  <c r="BP145" i="14"/>
  <c r="BP161" i="14"/>
  <c r="BP178" i="14"/>
  <c r="BP194" i="14"/>
  <c r="BP213" i="14"/>
  <c r="BP229" i="14"/>
  <c r="BP247" i="14"/>
  <c r="BP266" i="14"/>
  <c r="BP282" i="14"/>
  <c r="BP300" i="14"/>
  <c r="BP316" i="14"/>
  <c r="BP335" i="14"/>
  <c r="BP351" i="14"/>
  <c r="BP370" i="14"/>
  <c r="BP146" i="14"/>
  <c r="BP162" i="14"/>
  <c r="BP179" i="14"/>
  <c r="BP195" i="14"/>
  <c r="BP214" i="14"/>
  <c r="BP230" i="14"/>
  <c r="BP248" i="14"/>
  <c r="BP267" i="14"/>
  <c r="BP283" i="14"/>
  <c r="BP301" i="14"/>
  <c r="BP317" i="14"/>
  <c r="BP336" i="14"/>
  <c r="BP352" i="14"/>
  <c r="BP371" i="14"/>
  <c r="BP147" i="14"/>
  <c r="BP163" i="14"/>
  <c r="BP180" i="14"/>
  <c r="BP196" i="14"/>
  <c r="BP215" i="14"/>
  <c r="BP231" i="14"/>
  <c r="BP249" i="14"/>
  <c r="BP268" i="14"/>
  <c r="BP284" i="14"/>
  <c r="BP302" i="14"/>
  <c r="BP318" i="14"/>
  <c r="BP337" i="14"/>
  <c r="BP353" i="14"/>
  <c r="BP372" i="14"/>
  <c r="BP148" i="14"/>
  <c r="BP216" i="14"/>
  <c r="BP285" i="14"/>
  <c r="BP354" i="14"/>
  <c r="BP185" i="14"/>
  <c r="BP254" i="14"/>
  <c r="BP323" i="14"/>
  <c r="BP156" i="14"/>
  <c r="BP224" i="14"/>
  <c r="BP293" i="14"/>
  <c r="BP365" i="14"/>
  <c r="BP315" i="14"/>
  <c r="BP334" i="14"/>
  <c r="BP228" i="14"/>
  <c r="BP325" i="14"/>
  <c r="BP397" i="14"/>
  <c r="BP413" i="14"/>
  <c r="BP429" i="14"/>
  <c r="BP445" i="14"/>
  <c r="BP461" i="14"/>
  <c r="BP477" i="14"/>
  <c r="BP294" i="14"/>
  <c r="BP394" i="14"/>
  <c r="BP410" i="14"/>
  <c r="BP426" i="14"/>
  <c r="BP442" i="14"/>
  <c r="BP458" i="14"/>
  <c r="BP474" i="14"/>
  <c r="BP263" i="14"/>
  <c r="BP391" i="14"/>
  <c r="BP407" i="14"/>
  <c r="BP423" i="14"/>
  <c r="BP439" i="14"/>
  <c r="BP455" i="14"/>
  <c r="BP471" i="14"/>
  <c r="BP412" i="14"/>
  <c r="BP476" i="14"/>
  <c r="BP128" i="14"/>
  <c r="BP400" i="14"/>
  <c r="BP129" i="14"/>
  <c r="BP388" i="14"/>
  <c r="BP452" i="14"/>
  <c r="BP125" i="14"/>
  <c r="BP356" i="14"/>
  <c r="BP124" i="14"/>
  <c r="BP392" i="14"/>
  <c r="BP456" i="14"/>
  <c r="BP127" i="14"/>
  <c r="BP479" i="14"/>
  <c r="BP186" i="14"/>
  <c r="BP239" i="14"/>
  <c r="BP290" i="14"/>
  <c r="BP343" i="14"/>
  <c r="BP170" i="14"/>
  <c r="BP240" i="14"/>
  <c r="BP291" i="14"/>
  <c r="BP363" i="14"/>
  <c r="BP188" i="14"/>
  <c r="BP257" i="14"/>
  <c r="BP310" i="14"/>
  <c r="BP380" i="14"/>
  <c r="BP152" i="14"/>
  <c r="BP361" i="14"/>
  <c r="BP177" i="14"/>
  <c r="BP389" i="14"/>
  <c r="BP469" i="14"/>
  <c r="BP402" i="14"/>
  <c r="BP466" i="14"/>
  <c r="BP415" i="14"/>
  <c r="BP463" i="14"/>
  <c r="BP464" i="14"/>
  <c r="BP135" i="14"/>
  <c r="BP136" i="14"/>
  <c r="BP126" i="14"/>
  <c r="BP149" i="14"/>
  <c r="BP165" i="14"/>
  <c r="BP182" i="14"/>
  <c r="BP198" i="14"/>
  <c r="BP217" i="14"/>
  <c r="BP235" i="14"/>
  <c r="BP251" i="14"/>
  <c r="BP270" i="14"/>
  <c r="BP286" i="14"/>
  <c r="BP304" i="14"/>
  <c r="BP320" i="14"/>
  <c r="BP339" i="14"/>
  <c r="BP358" i="14"/>
  <c r="BP374" i="14"/>
  <c r="BP150" i="14"/>
  <c r="BP166" i="14"/>
  <c r="BP183" i="14"/>
  <c r="BP199" i="14"/>
  <c r="BP218" i="14"/>
  <c r="BP236" i="14"/>
  <c r="BP252" i="14"/>
  <c r="BP271" i="14"/>
  <c r="BP287" i="14"/>
  <c r="BP305" i="14"/>
  <c r="BP321" i="14"/>
  <c r="BP340" i="14"/>
  <c r="BP359" i="14"/>
  <c r="BP375" i="14"/>
  <c r="BP151" i="14"/>
  <c r="BP167" i="14"/>
  <c r="BP184" i="14"/>
  <c r="BP200" i="14"/>
  <c r="BP219" i="14"/>
  <c r="BP237" i="14"/>
  <c r="BP253" i="14"/>
  <c r="BP272" i="14"/>
  <c r="BP288" i="14"/>
  <c r="BP306" i="14"/>
  <c r="BP322" i="14"/>
  <c r="BP341" i="14"/>
  <c r="BP360" i="14"/>
  <c r="BP376" i="14"/>
  <c r="BP164" i="14"/>
  <c r="BP232" i="14"/>
  <c r="BP303" i="14"/>
  <c r="BP373" i="14"/>
  <c r="BP201" i="14"/>
  <c r="BP273" i="14"/>
  <c r="BP342" i="14"/>
  <c r="BP172" i="14"/>
  <c r="BP242" i="14"/>
  <c r="BP311" i="14"/>
  <c r="BP381" i="14"/>
  <c r="BP385" i="14"/>
  <c r="BP212" i="14"/>
  <c r="BP202" i="14"/>
  <c r="BP357" i="14"/>
  <c r="BP401" i="14"/>
  <c r="BP417" i="14"/>
  <c r="BP433" i="14"/>
  <c r="BP449" i="14"/>
  <c r="BP465" i="14"/>
  <c r="BP299" i="14"/>
  <c r="BP326" i="14"/>
  <c r="BP398" i="14"/>
  <c r="BP414" i="14"/>
  <c r="BP430" i="14"/>
  <c r="BP446" i="14"/>
  <c r="BP462" i="14"/>
  <c r="BP478" i="14"/>
  <c r="BP295" i="14"/>
  <c r="BP395" i="14"/>
  <c r="BP411" i="14"/>
  <c r="BP427" i="14"/>
  <c r="BP443" i="14"/>
  <c r="BP459" i="14"/>
  <c r="BP475" i="14"/>
  <c r="BP428" i="14"/>
  <c r="BP114" i="14"/>
  <c r="BP133" i="14"/>
  <c r="BP432" i="14"/>
  <c r="BP139" i="14"/>
  <c r="BP404" i="14"/>
  <c r="BP468" i="14"/>
  <c r="BP130" i="14"/>
  <c r="BP416" i="14"/>
  <c r="BP134" i="14"/>
  <c r="BP408" i="14"/>
  <c r="BP472" i="14"/>
  <c r="BP131" i="14"/>
  <c r="BP153" i="14"/>
  <c r="BP221" i="14"/>
  <c r="BP274" i="14"/>
  <c r="BP327" i="14"/>
  <c r="BP362" i="14"/>
  <c r="BP154" i="14"/>
  <c r="BP206" i="14"/>
  <c r="BP222" i="14"/>
  <c r="BP275" i="14"/>
  <c r="BP309" i="14"/>
  <c r="BP344" i="14"/>
  <c r="BP155" i="14"/>
  <c r="BP207" i="14"/>
  <c r="BP223" i="14"/>
  <c r="BP276" i="14"/>
  <c r="BP329" i="14"/>
  <c r="BP345" i="14"/>
  <c r="BP181" i="14"/>
  <c r="BP319" i="14"/>
  <c r="BP220" i="14"/>
  <c r="BP189" i="14"/>
  <c r="BP330" i="14"/>
  <c r="BP193" i="14"/>
  <c r="BP233" i="14"/>
  <c r="BP421" i="14"/>
  <c r="BP453" i="14"/>
  <c r="BP203" i="14"/>
  <c r="BP418" i="14"/>
  <c r="BP450" i="14"/>
  <c r="BP369" i="14"/>
  <c r="BP399" i="14"/>
  <c r="BP447" i="14"/>
  <c r="BP324" i="14"/>
  <c r="BP119" i="14"/>
  <c r="BP160" i="14"/>
  <c r="BP116" i="14"/>
  <c r="BP448" i="14"/>
  <c r="BP424" i="14"/>
  <c r="AT22" i="15"/>
  <c r="AR22" i="15"/>
  <c r="AU22" i="15"/>
  <c r="AP22" i="15"/>
  <c r="AN22" i="15"/>
  <c r="AM22" i="15"/>
  <c r="AQ22" i="15"/>
  <c r="AS22" i="15"/>
  <c r="AV22" i="15"/>
  <c r="AO22" i="15"/>
  <c r="AZ52" i="15"/>
  <c r="C89" i="29"/>
  <c r="F89" i="29" s="1"/>
  <c r="F90" i="29"/>
  <c r="T90" i="29" s="1"/>
  <c r="T70" i="29"/>
  <c r="BM479" i="14"/>
  <c r="BM132" i="14"/>
  <c r="BM159" i="14"/>
  <c r="BM176" i="14"/>
  <c r="BM192" i="14"/>
  <c r="BM211" i="14"/>
  <c r="BM227" i="14"/>
  <c r="BM245" i="14"/>
  <c r="BM261" i="14"/>
  <c r="BM280" i="14"/>
  <c r="BM298" i="14"/>
  <c r="BM314" i="14"/>
  <c r="BM333" i="14"/>
  <c r="BM349" i="14"/>
  <c r="BM368" i="14"/>
  <c r="BM384" i="14"/>
  <c r="BM160" i="14"/>
  <c r="BM177" i="14"/>
  <c r="BM193" i="14"/>
  <c r="BM212" i="14"/>
  <c r="BM228" i="14"/>
  <c r="BM246" i="14"/>
  <c r="BM262" i="14"/>
  <c r="BM281" i="14"/>
  <c r="BM299" i="14"/>
  <c r="BM315" i="14"/>
  <c r="BM334" i="14"/>
  <c r="BM350" i="14"/>
  <c r="BM369" i="14"/>
  <c r="BM385" i="14"/>
  <c r="BM157" i="14"/>
  <c r="BM174" i="14"/>
  <c r="BM190" i="14"/>
  <c r="BM209" i="14"/>
  <c r="BM225" i="14"/>
  <c r="BM243" i="14"/>
  <c r="BM259" i="14"/>
  <c r="BM278" i="14"/>
  <c r="BM296" i="14"/>
  <c r="BM312" i="14"/>
  <c r="BM331" i="14"/>
  <c r="BM347" i="14"/>
  <c r="BM366" i="14"/>
  <c r="BM382" i="14"/>
  <c r="BM206" i="14"/>
  <c r="BM275" i="14"/>
  <c r="BM344" i="14"/>
  <c r="BM175" i="14"/>
  <c r="BM244" i="14"/>
  <c r="BM313" i="14"/>
  <c r="BM383" i="14"/>
  <c r="BM195" i="14"/>
  <c r="BM267" i="14"/>
  <c r="BM336" i="14"/>
  <c r="BM236" i="14"/>
  <c r="BM252" i="14"/>
  <c r="BM340" i="14"/>
  <c r="BM295" i="14"/>
  <c r="BM395" i="14"/>
  <c r="BM411" i="14"/>
  <c r="BM427" i="14"/>
  <c r="BM443" i="14"/>
  <c r="BM459" i="14"/>
  <c r="BM475" i="14"/>
  <c r="BM324" i="14"/>
  <c r="BM396" i="14"/>
  <c r="BM412" i="14"/>
  <c r="BM428" i="14"/>
  <c r="BM444" i="14"/>
  <c r="BM460" i="14"/>
  <c r="BM476" i="14"/>
  <c r="BM265" i="14"/>
  <c r="BM393" i="14"/>
  <c r="BM409" i="14"/>
  <c r="BM425" i="14"/>
  <c r="BM441" i="14"/>
  <c r="BM457" i="14"/>
  <c r="BM473" i="14"/>
  <c r="BM406" i="14"/>
  <c r="BM470" i="14"/>
  <c r="BM128" i="14"/>
  <c r="BM426" i="14"/>
  <c r="BM117" i="14"/>
  <c r="BM147" i="14"/>
  <c r="BM163" i="14"/>
  <c r="BM180" i="14"/>
  <c r="BM196" i="14"/>
  <c r="BM215" i="14"/>
  <c r="BM231" i="14"/>
  <c r="BM249" i="14"/>
  <c r="BM268" i="14"/>
  <c r="BM284" i="14"/>
  <c r="BM302" i="14"/>
  <c r="BM318" i="14"/>
  <c r="BM337" i="14"/>
  <c r="BM353" i="14"/>
  <c r="BM372" i="14"/>
  <c r="BM148" i="14"/>
  <c r="BM164" i="14"/>
  <c r="BM181" i="14"/>
  <c r="BM197" i="14"/>
  <c r="BM216" i="14"/>
  <c r="BM232" i="14"/>
  <c r="BM250" i="14"/>
  <c r="BM269" i="14"/>
  <c r="BM285" i="14"/>
  <c r="BM303" i="14"/>
  <c r="BM319" i="14"/>
  <c r="BM338" i="14"/>
  <c r="BM354" i="14"/>
  <c r="BM373" i="14"/>
  <c r="BM145" i="14"/>
  <c r="BM161" i="14"/>
  <c r="BM178" i="14"/>
  <c r="BM194" i="14"/>
  <c r="BM213" i="14"/>
  <c r="BM229" i="14"/>
  <c r="BM247" i="14"/>
  <c r="BM266" i="14"/>
  <c r="BM282" i="14"/>
  <c r="BM300" i="14"/>
  <c r="BM316" i="14"/>
  <c r="BM335" i="14"/>
  <c r="BM351" i="14"/>
  <c r="BM370" i="14"/>
  <c r="BM154" i="14"/>
  <c r="BM222" i="14"/>
  <c r="BM291" i="14"/>
  <c r="BM363" i="14"/>
  <c r="BM191" i="14"/>
  <c r="BM260" i="14"/>
  <c r="BM332" i="14"/>
  <c r="BM146" i="14"/>
  <c r="BM214" i="14"/>
  <c r="BM283" i="14"/>
  <c r="BM352" i="14"/>
  <c r="BM305" i="14"/>
  <c r="BM321" i="14"/>
  <c r="BM287" i="14"/>
  <c r="BM355" i="14"/>
  <c r="BM399" i="14"/>
  <c r="BM415" i="14"/>
  <c r="BM431" i="14"/>
  <c r="BM447" i="14"/>
  <c r="BM463" i="14"/>
  <c r="BM359" i="14"/>
  <c r="BM356" i="14"/>
  <c r="BM400" i="14"/>
  <c r="BM416" i="14"/>
  <c r="BM432" i="14"/>
  <c r="BM448" i="14"/>
  <c r="BM464" i="14"/>
  <c r="BM150" i="14"/>
  <c r="BM325" i="14"/>
  <c r="BM397" i="14"/>
  <c r="BM413" i="14"/>
  <c r="BM429" i="14"/>
  <c r="BM445" i="14"/>
  <c r="BM461" i="14"/>
  <c r="BM477" i="14"/>
  <c r="BM422" i="14"/>
  <c r="BM114" i="14"/>
  <c r="BM133" i="14"/>
  <c r="BM144" i="14"/>
  <c r="BM151" i="14"/>
  <c r="BM167" i="14"/>
  <c r="BM184" i="14"/>
  <c r="BM200" i="14"/>
  <c r="BM219" i="14"/>
  <c r="BM237" i="14"/>
  <c r="BM253" i="14"/>
  <c r="BM272" i="14"/>
  <c r="BM288" i="14"/>
  <c r="BM306" i="14"/>
  <c r="BM322" i="14"/>
  <c r="BM341" i="14"/>
  <c r="BM360" i="14"/>
  <c r="BM376" i="14"/>
  <c r="BM152" i="14"/>
  <c r="BM168" i="14"/>
  <c r="BM185" i="14"/>
  <c r="BM201" i="14"/>
  <c r="BM220" i="14"/>
  <c r="BM238" i="14"/>
  <c r="BM254" i="14"/>
  <c r="BM273" i="14"/>
  <c r="BM289" i="14"/>
  <c r="BM307" i="14"/>
  <c r="BM323" i="14"/>
  <c r="BM342" i="14"/>
  <c r="BM361" i="14"/>
  <c r="BM377" i="14"/>
  <c r="BM149" i="14"/>
  <c r="BM165" i="14"/>
  <c r="BM182" i="14"/>
  <c r="BM198" i="14"/>
  <c r="BM217" i="14"/>
  <c r="BM235" i="14"/>
  <c r="BM251" i="14"/>
  <c r="BM270" i="14"/>
  <c r="BM286" i="14"/>
  <c r="BM304" i="14"/>
  <c r="BM320" i="14"/>
  <c r="BM339" i="14"/>
  <c r="BM358" i="14"/>
  <c r="BM374" i="14"/>
  <c r="BM170" i="14"/>
  <c r="BM240" i="14"/>
  <c r="BM309" i="14"/>
  <c r="BM379" i="14"/>
  <c r="BM210" i="14"/>
  <c r="BM279" i="14"/>
  <c r="BM348" i="14"/>
  <c r="BM162" i="14"/>
  <c r="BM230" i="14"/>
  <c r="BM301" i="14"/>
  <c r="BM371" i="14"/>
  <c r="BM375" i="14"/>
  <c r="BM199" i="14"/>
  <c r="BM204" i="14"/>
  <c r="BM387" i="14"/>
  <c r="BM403" i="14"/>
  <c r="BM419" i="14"/>
  <c r="BM435" i="14"/>
  <c r="BM451" i="14"/>
  <c r="BM467" i="14"/>
  <c r="BM173" i="14"/>
  <c r="BM388" i="14"/>
  <c r="BM404" i="14"/>
  <c r="BM420" i="14"/>
  <c r="BM436" i="14"/>
  <c r="BM452" i="14"/>
  <c r="BM468" i="14"/>
  <c r="BM202" i="14"/>
  <c r="BM357" i="14"/>
  <c r="BM401" i="14"/>
  <c r="BM417" i="14"/>
  <c r="BM433" i="14"/>
  <c r="BM449" i="14"/>
  <c r="BM465" i="14"/>
  <c r="BM234" i="14"/>
  <c r="BM438" i="14"/>
  <c r="BM119" i="14"/>
  <c r="BM137" i="14"/>
  <c r="BM171" i="14"/>
  <c r="BM241" i="14"/>
  <c r="BM310" i="14"/>
  <c r="BM380" i="14"/>
  <c r="BM208" i="14"/>
  <c r="BM277" i="14"/>
  <c r="BM346" i="14"/>
  <c r="BM169" i="14"/>
  <c r="BM239" i="14"/>
  <c r="BM308" i="14"/>
  <c r="BM378" i="14"/>
  <c r="BM158" i="14"/>
  <c r="BM179" i="14"/>
  <c r="BM183" i="14"/>
  <c r="BM407" i="14"/>
  <c r="BM471" i="14"/>
  <c r="BM424" i="14"/>
  <c r="BM233" i="14"/>
  <c r="BM437" i="14"/>
  <c r="BM454" i="14"/>
  <c r="BM115" i="14"/>
  <c r="BM326" i="14"/>
  <c r="BM446" i="14"/>
  <c r="BM121" i="14"/>
  <c r="BM140" i="14"/>
  <c r="BM442" i="14"/>
  <c r="BM139" i="14"/>
  <c r="BM418" i="14"/>
  <c r="BM118" i="14"/>
  <c r="BM136" i="14"/>
  <c r="BM126" i="14"/>
  <c r="BM188" i="14"/>
  <c r="BM257" i="14"/>
  <c r="BM329" i="14"/>
  <c r="BM156" i="14"/>
  <c r="BM224" i="14"/>
  <c r="BM293" i="14"/>
  <c r="BM365" i="14"/>
  <c r="BM186" i="14"/>
  <c r="BM255" i="14"/>
  <c r="BM327" i="14"/>
  <c r="BM187" i="14"/>
  <c r="BM226" i="14"/>
  <c r="BM248" i="14"/>
  <c r="BM271" i="14"/>
  <c r="BM423" i="14"/>
  <c r="BM264" i="14"/>
  <c r="BM440" i="14"/>
  <c r="BM389" i="14"/>
  <c r="BM453" i="14"/>
  <c r="BM123" i="14"/>
  <c r="BM124" i="14"/>
  <c r="BM398" i="14"/>
  <c r="BM462" i="14"/>
  <c r="BM125" i="14"/>
  <c r="BM142" i="14"/>
  <c r="BM474" i="14"/>
  <c r="BM203" i="14"/>
  <c r="BM434" i="14"/>
  <c r="BM122" i="14"/>
  <c r="BM141" i="14"/>
  <c r="BM138" i="14"/>
  <c r="BM207" i="14"/>
  <c r="BM276" i="14"/>
  <c r="BM345" i="14"/>
  <c r="BM172" i="14"/>
  <c r="BM242" i="14"/>
  <c r="BM311" i="14"/>
  <c r="BM381" i="14"/>
  <c r="BM205" i="14"/>
  <c r="BM274" i="14"/>
  <c r="BM343" i="14"/>
  <c r="BM256" i="14"/>
  <c r="BM297" i="14"/>
  <c r="BM317" i="14"/>
  <c r="BM263" i="14"/>
  <c r="BM439" i="14"/>
  <c r="BM392" i="14"/>
  <c r="BM456" i="14"/>
  <c r="BM405" i="14"/>
  <c r="BM469" i="14"/>
  <c r="BM394" i="14"/>
  <c r="BM134" i="14"/>
  <c r="BM414" i="14"/>
  <c r="BM478" i="14"/>
  <c r="BM130" i="14"/>
  <c r="BM294" i="14"/>
  <c r="BM120" i="14"/>
  <c r="BM386" i="14"/>
  <c r="BM450" i="14"/>
  <c r="BM127" i="14"/>
  <c r="BM143" i="14"/>
  <c r="BM155" i="14"/>
  <c r="BM189" i="14"/>
  <c r="BM221" i="14"/>
  <c r="BM367" i="14"/>
  <c r="BM408" i="14"/>
  <c r="BM458" i="14"/>
  <c r="BM135" i="14"/>
  <c r="BM466" i="14"/>
  <c r="BM223" i="14"/>
  <c r="BM258" i="14"/>
  <c r="BM290" i="14"/>
  <c r="BM166" i="14"/>
  <c r="BM472" i="14"/>
  <c r="BM218" i="14"/>
  <c r="BM410" i="14"/>
  <c r="BM131" i="14"/>
  <c r="BM292" i="14"/>
  <c r="BM330" i="14"/>
  <c r="BM362" i="14"/>
  <c r="BM391" i="14"/>
  <c r="BM421" i="14"/>
  <c r="BM430" i="14"/>
  <c r="BM129" i="14"/>
  <c r="BM364" i="14"/>
  <c r="BM390" i="14"/>
  <c r="BM153" i="14"/>
  <c r="BM116" i="14"/>
  <c r="BM328" i="14"/>
  <c r="BM402" i="14"/>
  <c r="BM455" i="14"/>
  <c r="AT88" i="15"/>
  <c r="AS88" i="15"/>
  <c r="AP88" i="15"/>
  <c r="AU88" i="15"/>
  <c r="AQ88" i="15"/>
  <c r="AO88" i="15"/>
  <c r="AV88" i="15"/>
  <c r="AM88" i="15"/>
  <c r="AN88" i="15"/>
  <c r="AR88" i="15"/>
  <c r="AT90" i="15"/>
  <c r="AR90" i="15"/>
  <c r="AV90" i="15"/>
  <c r="AM90" i="15"/>
  <c r="AP90" i="15"/>
  <c r="AN90" i="15"/>
  <c r="AU90" i="15"/>
  <c r="AS90" i="15"/>
  <c r="AQ90" i="15"/>
  <c r="AO90" i="15"/>
  <c r="C77" i="29"/>
  <c r="F77" i="29" s="1"/>
  <c r="F78" i="29"/>
  <c r="O65" i="29"/>
  <c r="R65" i="29" s="1"/>
  <c r="R66" i="29"/>
  <c r="G85" i="29"/>
  <c r="J85" i="29" s="1"/>
  <c r="G77" i="29"/>
  <c r="J77" i="29" s="1"/>
  <c r="J78" i="29"/>
  <c r="T51" i="29"/>
  <c r="K65" i="29"/>
  <c r="N65" i="29" s="1"/>
  <c r="N66" i="29"/>
  <c r="K89" i="29"/>
  <c r="N89" i="29" s="1"/>
  <c r="G73" i="29"/>
  <c r="J73" i="29" s="1"/>
  <c r="J74" i="29"/>
  <c r="C73" i="29"/>
  <c r="F73" i="29" s="1"/>
  <c r="F74" i="29"/>
  <c r="AS27" i="15"/>
  <c r="AN27" i="15"/>
  <c r="AT27" i="15"/>
  <c r="AO27" i="15"/>
  <c r="AU27" i="15"/>
  <c r="AP27" i="15"/>
  <c r="AR27" i="15"/>
  <c r="AM27" i="15"/>
  <c r="AV27" i="15"/>
  <c r="AQ27" i="15"/>
  <c r="BF52" i="15"/>
  <c r="CD63" i="14"/>
  <c r="CC63" i="14"/>
  <c r="CC86" i="14" s="1"/>
  <c r="AZ63" i="14"/>
  <c r="AY63" i="14"/>
  <c r="AY86" i="14" s="1"/>
  <c r="DL63" i="14"/>
  <c r="DK63" i="14"/>
  <c r="DK86" i="14" s="1"/>
  <c r="BY63" i="14"/>
  <c r="BY86" i="14" s="1"/>
  <c r="BZ63" i="14"/>
  <c r="AM63" i="14"/>
  <c r="AM86" i="14" s="1"/>
  <c r="AN63" i="14"/>
  <c r="CY63" i="14"/>
  <c r="CY86" i="14" s="1"/>
  <c r="CZ63" i="14"/>
  <c r="BE63" i="14"/>
  <c r="BE86" i="14" s="1"/>
  <c r="BF63" i="14"/>
  <c r="DQ63" i="14"/>
  <c r="DQ86" i="14" s="1"/>
  <c r="DR63" i="14"/>
  <c r="CN63" i="14"/>
  <c r="CM63" i="14"/>
  <c r="CM86" i="14" s="1"/>
  <c r="BB63" i="14"/>
  <c r="BA63" i="14"/>
  <c r="BA86" i="14" s="1"/>
  <c r="DN63" i="14"/>
  <c r="DM63" i="14"/>
  <c r="DM86" i="14" s="1"/>
  <c r="CA63" i="14"/>
  <c r="CA86" i="14" s="1"/>
  <c r="CB63" i="14"/>
  <c r="BM63" i="14"/>
  <c r="BM86" i="14" s="1"/>
  <c r="BN63" i="14"/>
  <c r="DY63" i="14"/>
  <c r="DY86" i="14" s="1"/>
  <c r="DZ63" i="14"/>
  <c r="CU63" i="14"/>
  <c r="CU86" i="14" s="1"/>
  <c r="CV63" i="14"/>
  <c r="BJ63" i="14"/>
  <c r="BI63" i="14"/>
  <c r="BI86" i="14" s="1"/>
  <c r="DV63" i="14"/>
  <c r="DU63" i="14"/>
  <c r="DU86" i="14" s="1"/>
  <c r="CJ63" i="14"/>
  <c r="CI63" i="14"/>
  <c r="CI86" i="14" s="1"/>
  <c r="AO63" i="14"/>
  <c r="AO86" i="14" s="1"/>
  <c r="AP63" i="14"/>
  <c r="DA63" i="14"/>
  <c r="DA86" i="14" s="1"/>
  <c r="DB63" i="14"/>
  <c r="BX63" i="14"/>
  <c r="BW63" i="14"/>
  <c r="BW86" i="14" s="1"/>
  <c r="AK63" i="14"/>
  <c r="AK86" i="14" s="1"/>
  <c r="AL63" i="14"/>
  <c r="CW63" i="14"/>
  <c r="CW86" i="14" s="1"/>
  <c r="CX63" i="14"/>
  <c r="BK63" i="14"/>
  <c r="BK86" i="14" s="1"/>
  <c r="BL63" i="14"/>
  <c r="DW63" i="14"/>
  <c r="DW86" i="14" s="1"/>
  <c r="DX63" i="14"/>
  <c r="BA60" i="15"/>
  <c r="AX52" i="15"/>
  <c r="BD52" i="15"/>
  <c r="AY52" i="15"/>
  <c r="AX63" i="14"/>
  <c r="AW63" i="14"/>
  <c r="AW86" i="14" s="1"/>
  <c r="DJ63" i="14"/>
  <c r="DI63" i="14"/>
  <c r="DI86" i="14" s="1"/>
  <c r="CF63" i="14"/>
  <c r="CE63" i="14"/>
  <c r="CE86" i="14" s="1"/>
  <c r="AS63" i="14"/>
  <c r="AS86" i="14" s="1"/>
  <c r="AT63" i="14"/>
  <c r="DE63" i="14"/>
  <c r="DE86" i="14" s="1"/>
  <c r="DF63" i="14"/>
  <c r="BS63" i="14"/>
  <c r="BS86" i="14" s="1"/>
  <c r="BT63" i="14"/>
  <c r="EE63" i="14"/>
  <c r="EE86" i="14" s="1"/>
  <c r="EF63" i="14"/>
  <c r="CK63" i="14"/>
  <c r="CK86" i="14" s="1"/>
  <c r="CL63" i="14"/>
  <c r="BH63" i="14"/>
  <c r="BG63" i="14"/>
  <c r="BG86" i="14" s="1"/>
  <c r="DT63" i="14"/>
  <c r="DS63" i="14"/>
  <c r="DS86" i="14" s="1"/>
  <c r="CH63" i="14"/>
  <c r="CG63" i="14"/>
  <c r="CG86" i="14" s="1"/>
  <c r="AV63" i="14"/>
  <c r="AU63" i="14"/>
  <c r="AU86" i="14" s="1"/>
  <c r="DG63" i="14"/>
  <c r="DG86" i="14" s="1"/>
  <c r="DH63" i="14"/>
  <c r="CS63" i="14"/>
  <c r="CS86" i="14" s="1"/>
  <c r="CT63" i="14"/>
  <c r="BO63" i="14"/>
  <c r="BO86" i="14" s="1"/>
  <c r="BP63" i="14"/>
  <c r="EA63" i="14"/>
  <c r="EA86" i="14" s="1"/>
  <c r="EB63" i="14"/>
  <c r="CP63" i="14"/>
  <c r="CO63" i="14"/>
  <c r="CO86" i="14" s="1"/>
  <c r="BD63" i="14"/>
  <c r="BC63" i="14"/>
  <c r="BC86" i="14" s="1"/>
  <c r="DP63" i="14"/>
  <c r="DO63" i="14"/>
  <c r="DO86" i="14" s="1"/>
  <c r="BU63" i="14"/>
  <c r="BU86" i="14" s="1"/>
  <c r="BV63" i="14"/>
  <c r="AR63" i="14"/>
  <c r="AQ63" i="14"/>
  <c r="AQ86" i="14" s="1"/>
  <c r="DD63" i="14"/>
  <c r="DC63" i="14"/>
  <c r="DC86" i="14" s="1"/>
  <c r="BQ63" i="14"/>
  <c r="BQ86" i="14" s="1"/>
  <c r="BR63" i="14"/>
  <c r="EC63" i="14"/>
  <c r="EC86" i="14" s="1"/>
  <c r="ED63" i="14"/>
  <c r="CQ63" i="14"/>
  <c r="CQ86" i="14" s="1"/>
  <c r="CR63" i="14"/>
  <c r="BE52" i="15"/>
  <c r="BD51" i="15"/>
  <c r="BE49" i="15"/>
  <c r="BF39" i="15"/>
  <c r="BC59" i="15"/>
  <c r="BG34" i="15"/>
  <c r="BG46" i="15"/>
  <c r="AZ39" i="15"/>
  <c r="BE38" i="15"/>
  <c r="BD59" i="15"/>
  <c r="BB39" i="15"/>
  <c r="BC39" i="15"/>
  <c r="BB34" i="15"/>
  <c r="AX59" i="15"/>
  <c r="BA39" i="15"/>
  <c r="BB59" i="15"/>
  <c r="BE59" i="15"/>
  <c r="BC34" i="15"/>
  <c r="BD49" i="15"/>
  <c r="BF62" i="15"/>
  <c r="BD34" i="15"/>
  <c r="BG49" i="15"/>
  <c r="BE34" i="15"/>
  <c r="BB49" i="15"/>
  <c r="AY49" i="15"/>
  <c r="AX39" i="15"/>
  <c r="BD39" i="15"/>
  <c r="AY39" i="15"/>
  <c r="AY34" i="15"/>
  <c r="BA34" i="15"/>
  <c r="BF34" i="15"/>
  <c r="AY59" i="15"/>
  <c r="AZ59" i="15"/>
  <c r="BF49" i="15"/>
  <c r="BA49" i="15"/>
  <c r="BC49" i="15"/>
  <c r="AZ62" i="15"/>
  <c r="BG38" i="15"/>
  <c r="BE39" i="15"/>
  <c r="AZ34" i="15"/>
  <c r="BF59" i="15"/>
  <c r="BG59" i="15"/>
  <c r="AX49" i="15"/>
  <c r="E184" i="19"/>
  <c r="E197" i="19"/>
  <c r="E171" i="19"/>
  <c r="E216" i="18"/>
  <c r="G217" i="18"/>
  <c r="E217" i="18" s="1"/>
  <c r="G215" i="22"/>
  <c r="I215" i="22"/>
  <c r="I193" i="22" s="1"/>
  <c r="J215" i="22"/>
  <c r="K193" i="22" s="1"/>
  <c r="G140" i="22"/>
  <c r="H140" i="22" s="1"/>
  <c r="I140" i="22" s="1"/>
  <c r="D140" i="22" s="1"/>
  <c r="H215" i="22"/>
  <c r="H193" i="22" s="1"/>
  <c r="S305" i="1"/>
  <c r="G145" i="22"/>
  <c r="H145" i="22" s="1"/>
  <c r="I145" i="22" s="1"/>
  <c r="D145" i="22" s="1"/>
  <c r="G139" i="22"/>
  <c r="H139" i="22" s="1"/>
  <c r="I139" i="22" s="1"/>
  <c r="D139" i="22" s="1"/>
  <c r="G141" i="22"/>
  <c r="H141" i="22" s="1"/>
  <c r="I141" i="22" s="1"/>
  <c r="D141" i="22" s="1"/>
  <c r="V298" i="1"/>
  <c r="K186" i="21"/>
  <c r="K185" i="21"/>
  <c r="K192" i="21"/>
  <c r="K189" i="21"/>
  <c r="K191" i="21"/>
  <c r="K184" i="21"/>
  <c r="K188" i="21"/>
  <c r="K187" i="21"/>
  <c r="K190" i="21"/>
  <c r="K183" i="21"/>
  <c r="K285" i="1"/>
  <c r="P285" i="1"/>
  <c r="G216" i="20"/>
  <c r="P391" i="1"/>
  <c r="M398" i="1"/>
  <c r="I216" i="20"/>
  <c r="I217" i="20" s="1"/>
  <c r="J216" i="20"/>
  <c r="J217" i="20" s="1"/>
  <c r="H216" i="20"/>
  <c r="H217" i="20" s="1"/>
  <c r="I189" i="21"/>
  <c r="I185" i="21"/>
  <c r="I186" i="21"/>
  <c r="I188" i="21"/>
  <c r="I184" i="21"/>
  <c r="I190" i="21"/>
  <c r="I191" i="21"/>
  <c r="I187" i="21"/>
  <c r="I183" i="21"/>
  <c r="I192" i="21"/>
  <c r="E221" i="20"/>
  <c r="E193" i="20"/>
  <c r="G192" i="20"/>
  <c r="H119" i="20"/>
  <c r="AF286" i="1" s="1"/>
  <c r="K140" i="20"/>
  <c r="H116" i="20" s="1"/>
  <c r="K141" i="20"/>
  <c r="H117" i="20" s="1"/>
  <c r="K142" i="20"/>
  <c r="H118" i="20" s="1"/>
  <c r="J141" i="20"/>
  <c r="I117" i="20" s="1"/>
  <c r="J142" i="20"/>
  <c r="I118" i="20" s="1"/>
  <c r="J140" i="20"/>
  <c r="I116" i="20" s="1"/>
  <c r="I119" i="20"/>
  <c r="AF287" i="1" s="1"/>
  <c r="K139" i="21"/>
  <c r="L139" i="21"/>
  <c r="G149" i="21"/>
  <c r="J139" i="21"/>
  <c r="H149" i="21"/>
  <c r="E215" i="21"/>
  <c r="G193" i="21"/>
  <c r="P287" i="1"/>
  <c r="I122" i="18" s="1"/>
  <c r="K287" i="1"/>
  <c r="I121" i="18" s="1"/>
  <c r="E184" i="18"/>
  <c r="E197" i="18"/>
  <c r="E171" i="18"/>
  <c r="Y286" i="1"/>
  <c r="H122" i="19" s="1"/>
  <c r="T286" i="1"/>
  <c r="H121" i="19" s="1"/>
  <c r="BJ86" i="15"/>
  <c r="BE86" i="15" s="1"/>
  <c r="E7" i="23"/>
  <c r="K108" i="23" s="1"/>
  <c r="L108" i="23" s="1"/>
  <c r="E39" i="22"/>
  <c r="K109" i="22" s="1"/>
  <c r="L109" i="22" s="1"/>
  <c r="V265" i="1"/>
  <c r="Y285" i="1"/>
  <c r="T285" i="1"/>
  <c r="H191" i="21"/>
  <c r="H187" i="21"/>
  <c r="H183" i="21"/>
  <c r="H190" i="21"/>
  <c r="H186" i="21"/>
  <c r="H192" i="21"/>
  <c r="H188" i="21"/>
  <c r="H189" i="21"/>
  <c r="H185" i="21"/>
  <c r="H184" i="21"/>
  <c r="K286" i="1"/>
  <c r="H121" i="18" s="1"/>
  <c r="P286" i="1"/>
  <c r="H122" i="18" s="1"/>
  <c r="T287" i="1"/>
  <c r="I121" i="19" s="1"/>
  <c r="Y287" i="1"/>
  <c r="I122" i="19" s="1"/>
  <c r="L140" i="20"/>
  <c r="G116" i="20" s="1"/>
  <c r="G119" i="20"/>
  <c r="AF285" i="1" s="1"/>
  <c r="L141" i="20"/>
  <c r="G117" i="20" s="1"/>
  <c r="L142" i="20"/>
  <c r="G118" i="20" s="1"/>
  <c r="E216" i="19"/>
  <c r="G217" i="19"/>
  <c r="E217" i="19" s="1"/>
  <c r="BE46" i="15"/>
  <c r="BD46" i="15"/>
  <c r="BG51" i="15"/>
  <c r="BF46" i="15"/>
  <c r="BB51" i="15"/>
  <c r="AY51" i="15"/>
  <c r="AY46" i="15"/>
  <c r="BE51" i="15"/>
  <c r="BB46" i="15"/>
  <c r="BC46" i="15"/>
  <c r="BB60" i="15"/>
  <c r="AZ60" i="15"/>
  <c r="BF51" i="15"/>
  <c r="BA51" i="15"/>
  <c r="BC51" i="15"/>
  <c r="BA46" i="15"/>
  <c r="AX46" i="15"/>
  <c r="BE60" i="15"/>
  <c r="BC60" i="15"/>
  <c r="AX51" i="15"/>
  <c r="BF38" i="15"/>
  <c r="BC38" i="15"/>
  <c r="BE62" i="15"/>
  <c r="BG62" i="15"/>
  <c r="BB38" i="15"/>
  <c r="BD38" i="15"/>
  <c r="AY38" i="15"/>
  <c r="AX60" i="15"/>
  <c r="BD60" i="15"/>
  <c r="BB62" i="15"/>
  <c r="BA62" i="15"/>
  <c r="BC62" i="15"/>
  <c r="BA38" i="15"/>
  <c r="AX38" i="15"/>
  <c r="AX62" i="15"/>
  <c r="BD62" i="15"/>
  <c r="AY61" i="15"/>
  <c r="BC61" i="15"/>
  <c r="BG61" i="15"/>
  <c r="AZ61" i="15"/>
  <c r="BD61" i="15"/>
  <c r="BA61" i="15"/>
  <c r="BE61" i="15"/>
  <c r="AX61" i="15"/>
  <c r="BB61" i="15"/>
  <c r="BF61" i="15"/>
  <c r="AY65" i="15"/>
  <c r="BC65" i="15"/>
  <c r="BG65" i="15"/>
  <c r="AZ65" i="15"/>
  <c r="BD65" i="15"/>
  <c r="BA65" i="15"/>
  <c r="BE65" i="15"/>
  <c r="AX65" i="15"/>
  <c r="BB65" i="15"/>
  <c r="BF65" i="15"/>
  <c r="AY48" i="15"/>
  <c r="BC48" i="15"/>
  <c r="BG48" i="15"/>
  <c r="AZ48" i="15"/>
  <c r="BD48" i="15"/>
  <c r="BA48" i="15"/>
  <c r="BE48" i="15"/>
  <c r="BF48" i="15"/>
  <c r="AX48" i="15"/>
  <c r="BB48" i="15"/>
  <c r="AY47" i="15"/>
  <c r="BC47" i="15"/>
  <c r="BG47" i="15"/>
  <c r="AZ47" i="15"/>
  <c r="BD47" i="15"/>
  <c r="BA47" i="15"/>
  <c r="BE47" i="15"/>
  <c r="AX47" i="15"/>
  <c r="BB47" i="15"/>
  <c r="BF47" i="15"/>
  <c r="BF36" i="15"/>
  <c r="BB36" i="15"/>
  <c r="AX36" i="15"/>
  <c r="BE36" i="15"/>
  <c r="BA36" i="15"/>
  <c r="BD36" i="15"/>
  <c r="AZ36" i="15"/>
  <c r="BC36" i="15"/>
  <c r="AY36" i="15"/>
  <c r="BG36" i="15"/>
  <c r="BE85" i="15"/>
  <c r="BA85" i="15"/>
  <c r="BD85" i="15"/>
  <c r="AZ85" i="15"/>
  <c r="BG85" i="15"/>
  <c r="BC85" i="15"/>
  <c r="AY85" i="15"/>
  <c r="BF85" i="15"/>
  <c r="BB85" i="15"/>
  <c r="AX85" i="15"/>
  <c r="BF35" i="15"/>
  <c r="BB35" i="15"/>
  <c r="AX35" i="15"/>
  <c r="BE35" i="15"/>
  <c r="BA35" i="15"/>
  <c r="BD35" i="15"/>
  <c r="AZ35" i="15"/>
  <c r="BG35" i="15"/>
  <c r="BC35" i="15"/>
  <c r="AY35" i="15"/>
  <c r="AY37" i="15"/>
  <c r="BC37" i="15"/>
  <c r="BG37" i="15"/>
  <c r="AZ37" i="15"/>
  <c r="BD37" i="15"/>
  <c r="BA37" i="15"/>
  <c r="BE37" i="15"/>
  <c r="BF37" i="15"/>
  <c r="AX37" i="15"/>
  <c r="BB37" i="15"/>
  <c r="AY50" i="15"/>
  <c r="BC50" i="15"/>
  <c r="BG50" i="15"/>
  <c r="AZ50" i="15"/>
  <c r="BD50" i="15"/>
  <c r="BA50" i="15"/>
  <c r="BE50" i="15"/>
  <c r="BF50" i="15"/>
  <c r="AX50" i="15"/>
  <c r="BB50" i="15"/>
  <c r="N17" i="15"/>
  <c r="AB17" i="15"/>
  <c r="BJ19" i="15"/>
  <c r="V335" i="1"/>
  <c r="Y335" i="1" s="1"/>
  <c r="AB335" i="1" s="1"/>
  <c r="AE335" i="1" s="1"/>
  <c r="AH335" i="1" s="1"/>
  <c r="AK335" i="1" s="1"/>
  <c r="AN334" i="1"/>
  <c r="AY64" i="15"/>
  <c r="BC64" i="15"/>
  <c r="BG64" i="15"/>
  <c r="AZ64" i="15"/>
  <c r="BD64" i="15"/>
  <c r="BA64" i="15"/>
  <c r="BE64" i="15"/>
  <c r="BF64" i="15"/>
  <c r="AX64" i="15"/>
  <c r="BB64" i="15"/>
  <c r="AY63" i="15"/>
  <c r="BC63" i="15"/>
  <c r="BG63" i="15"/>
  <c r="AZ63" i="15"/>
  <c r="BD63" i="15"/>
  <c r="BA63" i="15"/>
  <c r="BE63" i="15"/>
  <c r="AX63" i="15"/>
  <c r="BB63" i="15"/>
  <c r="BF63" i="15"/>
  <c r="BF33" i="15"/>
  <c r="BB33" i="15"/>
  <c r="AX33" i="15"/>
  <c r="BE33" i="15"/>
  <c r="BA33" i="15"/>
  <c r="BD33" i="15"/>
  <c r="AZ33" i="15"/>
  <c r="BG33" i="15"/>
  <c r="BC33" i="15"/>
  <c r="AY33" i="15"/>
  <c r="AT86" i="15"/>
  <c r="AP86" i="15"/>
  <c r="AS86" i="15"/>
  <c r="AO86" i="15"/>
  <c r="AR86" i="15"/>
  <c r="AN86" i="15"/>
  <c r="AM86" i="15"/>
  <c r="AU86" i="15"/>
  <c r="AV86" i="15"/>
  <c r="AQ86" i="15"/>
  <c r="AU19" i="15"/>
  <c r="AQ19" i="15"/>
  <c r="AM19" i="15"/>
  <c r="AT19" i="15"/>
  <c r="AP19" i="15"/>
  <c r="AS19" i="15"/>
  <c r="AO19" i="15"/>
  <c r="AR19" i="15"/>
  <c r="AN19" i="15"/>
  <c r="AV19" i="15"/>
  <c r="AH20" i="15"/>
  <c r="AD20" i="15"/>
  <c r="AK20" i="15"/>
  <c r="AG20" i="15"/>
  <c r="AC20" i="15"/>
  <c r="AJ20" i="15"/>
  <c r="AF20" i="15"/>
  <c r="AB20" i="15"/>
  <c r="AI20" i="15"/>
  <c r="AE20" i="15"/>
  <c r="G20" i="15"/>
  <c r="I20" i="15"/>
  <c r="H20" i="15"/>
  <c r="O20" i="15"/>
  <c r="BI20" i="15" s="1"/>
  <c r="BF93" i="15" l="1"/>
  <c r="BA93" i="15"/>
  <c r="BD93" i="15"/>
  <c r="BB93" i="15"/>
  <c r="BB27" i="15"/>
  <c r="AZ93" i="15"/>
  <c r="AX93" i="15"/>
  <c r="T85" i="29"/>
  <c r="AY27" i="15"/>
  <c r="AY93" i="15"/>
  <c r="BC93" i="15"/>
  <c r="T81" i="29"/>
  <c r="BF27" i="15"/>
  <c r="AX27" i="15"/>
  <c r="BD27" i="15"/>
  <c r="BC27" i="15"/>
  <c r="AZ27" i="15"/>
  <c r="BA27" i="15"/>
  <c r="G187" i="18"/>
  <c r="G188" i="18"/>
  <c r="G183" i="18"/>
  <c r="G189" i="18"/>
  <c r="G191" i="18"/>
  <c r="G186" i="18"/>
  <c r="G184" i="18"/>
  <c r="G190" i="18"/>
  <c r="G185" i="18"/>
  <c r="G184" i="19"/>
  <c r="G185" i="19"/>
  <c r="G189" i="19"/>
  <c r="G183" i="19"/>
  <c r="G191" i="19"/>
  <c r="G190" i="19"/>
  <c r="G188" i="19"/>
  <c r="G187" i="19"/>
  <c r="G186" i="19"/>
  <c r="T78" i="29"/>
  <c r="T86" i="29"/>
  <c r="T69" i="29"/>
  <c r="AR26" i="15"/>
  <c r="AN26" i="15"/>
  <c r="AM26" i="15"/>
  <c r="AP26" i="15"/>
  <c r="AS26" i="15"/>
  <c r="AV26" i="15"/>
  <c r="AU26" i="15"/>
  <c r="AQ26" i="15"/>
  <c r="AO26" i="15"/>
  <c r="AT26" i="15"/>
  <c r="T65" i="29"/>
  <c r="T74" i="29"/>
  <c r="T89" i="29"/>
  <c r="BE26" i="15"/>
  <c r="BG26" i="15"/>
  <c r="BF26" i="15"/>
  <c r="BC26" i="15"/>
  <c r="BB26" i="15"/>
  <c r="BD26" i="15"/>
  <c r="AY26" i="15"/>
  <c r="BA26" i="15"/>
  <c r="AZ26" i="15"/>
  <c r="AX26" i="15"/>
  <c r="AM24" i="15"/>
  <c r="AV24" i="15"/>
  <c r="AR24" i="15"/>
  <c r="AS24" i="15"/>
  <c r="AQ24" i="15"/>
  <c r="AT24" i="15"/>
  <c r="AO24" i="15"/>
  <c r="AP24" i="15"/>
  <c r="AN24" i="15"/>
  <c r="AU24" i="15"/>
  <c r="T73" i="29"/>
  <c r="AU25" i="15"/>
  <c r="AO25" i="15"/>
  <c r="AQ25" i="15"/>
  <c r="AM25" i="15"/>
  <c r="AN25" i="15"/>
  <c r="AT25" i="15"/>
  <c r="AV25" i="15"/>
  <c r="AR25" i="15"/>
  <c r="AS25" i="15"/>
  <c r="AP25" i="15"/>
  <c r="BG24" i="15"/>
  <c r="BB24" i="15"/>
  <c r="BD24" i="15"/>
  <c r="BE24" i="15"/>
  <c r="BC24" i="15"/>
  <c r="AX24" i="15"/>
  <c r="AY24" i="15"/>
  <c r="BF24" i="15"/>
  <c r="BA24" i="15"/>
  <c r="AZ24" i="15"/>
  <c r="T77" i="29"/>
  <c r="AZ25" i="15"/>
  <c r="BF25" i="15"/>
  <c r="BE25" i="15"/>
  <c r="BG25" i="15"/>
  <c r="BB25" i="15"/>
  <c r="AY25" i="15"/>
  <c r="BD25" i="15"/>
  <c r="BA25" i="15"/>
  <c r="BC25" i="15"/>
  <c r="AX25" i="15"/>
  <c r="T66" i="29"/>
  <c r="DD64" i="14"/>
  <c r="DC64" i="14"/>
  <c r="DC87" i="14" s="1"/>
  <c r="BD64" i="14"/>
  <c r="BC64" i="14"/>
  <c r="BC87" i="14" s="1"/>
  <c r="AV64" i="14"/>
  <c r="AU64" i="14"/>
  <c r="AU87" i="14" s="1"/>
  <c r="DT64" i="14"/>
  <c r="DS64" i="14"/>
  <c r="DS87" i="14" s="1"/>
  <c r="DI64" i="14"/>
  <c r="DI87" i="14" s="1"/>
  <c r="DJ64" i="14"/>
  <c r="BX64" i="14"/>
  <c r="BW64" i="14"/>
  <c r="BW87" i="14" s="1"/>
  <c r="DV64" i="14"/>
  <c r="DU64" i="14"/>
  <c r="DU87" i="14" s="1"/>
  <c r="DN64" i="14"/>
  <c r="DM64" i="14"/>
  <c r="DM87" i="14" s="1"/>
  <c r="CN64" i="14"/>
  <c r="CM64" i="14"/>
  <c r="CM87" i="14" s="1"/>
  <c r="DK64" i="14"/>
  <c r="DK87" i="14" s="1"/>
  <c r="DL64" i="14"/>
  <c r="CD64" i="14"/>
  <c r="CC64" i="14"/>
  <c r="CC87" i="14" s="1"/>
  <c r="CR64" i="14"/>
  <c r="CQ64" i="14"/>
  <c r="CQ87" i="14" s="1"/>
  <c r="BR64" i="14"/>
  <c r="BQ64" i="14"/>
  <c r="BQ87" i="14" s="1"/>
  <c r="BP64" i="14"/>
  <c r="BO64" i="14"/>
  <c r="BO87" i="14" s="1"/>
  <c r="DH64" i="14"/>
  <c r="DG64" i="14"/>
  <c r="DG87" i="14" s="1"/>
  <c r="EE64" i="14"/>
  <c r="EE87" i="14" s="1"/>
  <c r="EF64" i="14"/>
  <c r="DF64" i="14"/>
  <c r="DE64" i="14"/>
  <c r="DE87" i="14" s="1"/>
  <c r="BL64" i="14"/>
  <c r="BK64" i="14"/>
  <c r="BK87" i="14" s="1"/>
  <c r="AL64" i="14"/>
  <c r="AK64" i="14"/>
  <c r="AK87" i="14" s="1"/>
  <c r="DA64" i="14"/>
  <c r="DA87" i="14" s="1"/>
  <c r="DB64" i="14"/>
  <c r="DZ64" i="14"/>
  <c r="DY64" i="14"/>
  <c r="DY87" i="14" s="1"/>
  <c r="CB64" i="14"/>
  <c r="CA64" i="14"/>
  <c r="CA87" i="14" s="1"/>
  <c r="DR64" i="14"/>
  <c r="DQ64" i="14"/>
  <c r="DQ87" i="14" s="1"/>
  <c r="CZ64" i="14"/>
  <c r="CY64" i="14"/>
  <c r="CY87" i="14" s="1"/>
  <c r="BZ64" i="14"/>
  <c r="BY64" i="14"/>
  <c r="BY87" i="14" s="1"/>
  <c r="AR64" i="14"/>
  <c r="AQ64" i="14"/>
  <c r="AQ87" i="14" s="1"/>
  <c r="DP64" i="14"/>
  <c r="DO64" i="14"/>
  <c r="DO87" i="14" s="1"/>
  <c r="CP64" i="14"/>
  <c r="CO64" i="14"/>
  <c r="CO87" i="14" s="1"/>
  <c r="CH64" i="14"/>
  <c r="CG64" i="14"/>
  <c r="CG87" i="14" s="1"/>
  <c r="BH64" i="14"/>
  <c r="BG64" i="14"/>
  <c r="BG87" i="14" s="1"/>
  <c r="CF64" i="14"/>
  <c r="CE64" i="14"/>
  <c r="CE87" i="14" s="1"/>
  <c r="AX64" i="14"/>
  <c r="AW64" i="14"/>
  <c r="AW87" i="14" s="1"/>
  <c r="CI64" i="14"/>
  <c r="CI87" i="14" s="1"/>
  <c r="CJ64" i="14"/>
  <c r="BJ64" i="14"/>
  <c r="BI64" i="14"/>
  <c r="BI87" i="14" s="1"/>
  <c r="BB64" i="14"/>
  <c r="BA64" i="14"/>
  <c r="BA87" i="14" s="1"/>
  <c r="AY64" i="14"/>
  <c r="AY87" i="14" s="1"/>
  <c r="AZ64" i="14"/>
  <c r="EC64" i="14"/>
  <c r="EC87" i="14" s="1"/>
  <c r="ED64" i="14"/>
  <c r="BV64" i="14"/>
  <c r="BU64" i="14"/>
  <c r="BU87" i="14" s="1"/>
  <c r="EB64" i="14"/>
  <c r="EA64" i="14"/>
  <c r="EA87" i="14" s="1"/>
  <c r="CS64" i="14"/>
  <c r="CS87" i="14" s="1"/>
  <c r="CT64" i="14"/>
  <c r="CK64" i="14"/>
  <c r="CK87" i="14" s="1"/>
  <c r="CL64" i="14"/>
  <c r="BS64" i="14"/>
  <c r="BS87" i="14" s="1"/>
  <c r="BT64" i="14"/>
  <c r="AT64" i="14"/>
  <c r="AS64" i="14"/>
  <c r="AS87" i="14" s="1"/>
  <c r="DX64" i="14"/>
  <c r="DW64" i="14"/>
  <c r="DW87" i="14" s="1"/>
  <c r="CX64" i="14"/>
  <c r="CW64" i="14"/>
  <c r="CW87" i="14" s="1"/>
  <c r="AP64" i="14"/>
  <c r="AO64" i="14"/>
  <c r="AO87" i="14" s="1"/>
  <c r="CU64" i="14"/>
  <c r="CU87" i="14" s="1"/>
  <c r="CV64" i="14"/>
  <c r="BN64" i="14"/>
  <c r="BM64" i="14"/>
  <c r="BM87" i="14" s="1"/>
  <c r="BF64" i="14"/>
  <c r="BE64" i="14"/>
  <c r="BE87" i="14" s="1"/>
  <c r="AN64" i="14"/>
  <c r="AM64" i="14"/>
  <c r="AM87" i="14" s="1"/>
  <c r="AZ86" i="15"/>
  <c r="BF86" i="15"/>
  <c r="AX86" i="15"/>
  <c r="BA86" i="15"/>
  <c r="BC86" i="15"/>
  <c r="AY86" i="15"/>
  <c r="BD86" i="15"/>
  <c r="BB86" i="15"/>
  <c r="BG86" i="15"/>
  <c r="AC285" i="1"/>
  <c r="AH285" i="1"/>
  <c r="T288" i="1"/>
  <c r="G121" i="19"/>
  <c r="K121" i="19" s="1"/>
  <c r="H119" i="21"/>
  <c r="AO286" i="1" s="1"/>
  <c r="K140" i="21"/>
  <c r="H116" i="21" s="1"/>
  <c r="K142" i="21"/>
  <c r="H118" i="21" s="1"/>
  <c r="K141" i="21"/>
  <c r="H117" i="21" s="1"/>
  <c r="AH286" i="1"/>
  <c r="H122" i="20" s="1"/>
  <c r="AC286" i="1"/>
  <c r="H121" i="20" s="1"/>
  <c r="E216" i="20"/>
  <c r="G217" i="20"/>
  <c r="E217" i="20" s="1"/>
  <c r="K191" i="22"/>
  <c r="K186" i="22"/>
  <c r="K188" i="22"/>
  <c r="K187" i="22"/>
  <c r="K189" i="22"/>
  <c r="K184" i="22"/>
  <c r="K183" i="22"/>
  <c r="K185" i="22"/>
  <c r="K192" i="22"/>
  <c r="K190" i="22"/>
  <c r="G122" i="19"/>
  <c r="K122" i="19" s="1"/>
  <c r="Y288" i="1"/>
  <c r="J142" i="21"/>
  <c r="I118" i="21" s="1"/>
  <c r="J140" i="21"/>
  <c r="I116" i="21" s="1"/>
  <c r="I119" i="21"/>
  <c r="AO287" i="1" s="1"/>
  <c r="J141" i="21"/>
  <c r="I117" i="21" s="1"/>
  <c r="AH287" i="1"/>
  <c r="I122" i="20" s="1"/>
  <c r="AC287" i="1"/>
  <c r="I121" i="20" s="1"/>
  <c r="P288" i="1"/>
  <c r="G122" i="18"/>
  <c r="K122" i="18" s="1"/>
  <c r="V305" i="1"/>
  <c r="G145" i="23"/>
  <c r="H145" i="23" s="1"/>
  <c r="I145" i="23" s="1"/>
  <c r="D145" i="23" s="1"/>
  <c r="J215" i="23"/>
  <c r="K193" i="23" s="1"/>
  <c r="Y298" i="1"/>
  <c r="G140" i="23"/>
  <c r="H140" i="23" s="1"/>
  <c r="I140" i="23" s="1"/>
  <c r="D140" i="23" s="1"/>
  <c r="I215" i="23"/>
  <c r="I193" i="23" s="1"/>
  <c r="G141" i="23"/>
  <c r="H141" i="23" s="1"/>
  <c r="I141" i="23" s="1"/>
  <c r="D141" i="23" s="1"/>
  <c r="G215" i="23"/>
  <c r="H215" i="23"/>
  <c r="H193" i="23" s="1"/>
  <c r="G139" i="23"/>
  <c r="H139" i="23" s="1"/>
  <c r="I139" i="23" s="1"/>
  <c r="D139" i="23" s="1"/>
  <c r="I190" i="22"/>
  <c r="I186" i="22"/>
  <c r="I192" i="22"/>
  <c r="I191" i="22"/>
  <c r="I189" i="22"/>
  <c r="I185" i="22"/>
  <c r="I183" i="22"/>
  <c r="I188" i="22"/>
  <c r="I184" i="22"/>
  <c r="I187" i="22"/>
  <c r="Y265" i="1"/>
  <c r="E7" i="24"/>
  <c r="K108" i="24" s="1"/>
  <c r="L108" i="24" s="1"/>
  <c r="E39" i="23"/>
  <c r="K109" i="23" s="1"/>
  <c r="L109" i="23" s="1"/>
  <c r="G192" i="21"/>
  <c r="E221" i="21"/>
  <c r="E193" i="21"/>
  <c r="E171" i="20"/>
  <c r="E184" i="20"/>
  <c r="E197" i="20"/>
  <c r="K288" i="1"/>
  <c r="G121" i="18"/>
  <c r="K121" i="18" s="1"/>
  <c r="H188" i="22"/>
  <c r="H184" i="22"/>
  <c r="H191" i="22"/>
  <c r="H187" i="22"/>
  <c r="H183" i="22"/>
  <c r="H190" i="22"/>
  <c r="H186" i="22"/>
  <c r="H192" i="22"/>
  <c r="H189" i="22"/>
  <c r="H185" i="22"/>
  <c r="E215" i="22"/>
  <c r="G193" i="22"/>
  <c r="L141" i="21"/>
  <c r="G117" i="21" s="1"/>
  <c r="L140" i="21"/>
  <c r="G116" i="21" s="1"/>
  <c r="G119" i="21"/>
  <c r="AO285" i="1" s="1"/>
  <c r="L142" i="21"/>
  <c r="G118" i="21" s="1"/>
  <c r="P398" i="1"/>
  <c r="J216" i="21"/>
  <c r="J217" i="21" s="1"/>
  <c r="G216" i="21"/>
  <c r="S391" i="1"/>
  <c r="I216" i="21"/>
  <c r="I217" i="21" s="1"/>
  <c r="H216" i="21"/>
  <c r="H217" i="21" s="1"/>
  <c r="L139" i="22"/>
  <c r="G149" i="22"/>
  <c r="K139" i="22"/>
  <c r="J139" i="22"/>
  <c r="H149" i="22"/>
  <c r="BJ20" i="15"/>
  <c r="BD20" i="15" s="1"/>
  <c r="AU20" i="15"/>
  <c r="AQ20" i="15"/>
  <c r="AM20" i="15"/>
  <c r="AT20" i="15"/>
  <c r="AP20" i="15"/>
  <c r="AS20" i="15"/>
  <c r="AO20" i="15"/>
  <c r="AV20" i="15"/>
  <c r="AR20" i="15"/>
  <c r="AN20" i="15"/>
  <c r="BD19" i="15"/>
  <c r="AZ19" i="15"/>
  <c r="BG19" i="15"/>
  <c r="BC19" i="15"/>
  <c r="AY19" i="15"/>
  <c r="BF19" i="15"/>
  <c r="BB19" i="15"/>
  <c r="AX19" i="15"/>
  <c r="BE19" i="15"/>
  <c r="BA19" i="15"/>
  <c r="G188" i="20" l="1"/>
  <c r="G191" i="20"/>
  <c r="G190" i="20"/>
  <c r="G184" i="20"/>
  <c r="G187" i="20"/>
  <c r="G186" i="20"/>
  <c r="G185" i="20"/>
  <c r="G183" i="20"/>
  <c r="G189" i="20"/>
  <c r="BF65" i="14"/>
  <c r="BE65" i="14"/>
  <c r="BE88" i="14" s="1"/>
  <c r="CX65" i="14"/>
  <c r="CW65" i="14"/>
  <c r="CW88" i="14" s="1"/>
  <c r="AT65" i="14"/>
  <c r="AS65" i="14"/>
  <c r="AS88" i="14" s="1"/>
  <c r="EB65" i="14"/>
  <c r="EA65" i="14"/>
  <c r="EA88" i="14" s="1"/>
  <c r="BB65" i="14"/>
  <c r="BA65" i="14"/>
  <c r="BA88" i="14" s="1"/>
  <c r="CF65" i="14"/>
  <c r="CE65" i="14"/>
  <c r="CE88" i="14" s="1"/>
  <c r="CH65" i="14"/>
  <c r="CG65" i="14"/>
  <c r="CG88" i="14" s="1"/>
  <c r="DP65" i="14"/>
  <c r="DO65" i="14"/>
  <c r="DO88" i="14" s="1"/>
  <c r="BZ65" i="14"/>
  <c r="BY65" i="14"/>
  <c r="BY88" i="14" s="1"/>
  <c r="DR65" i="14"/>
  <c r="DQ65" i="14"/>
  <c r="DQ88" i="14" s="1"/>
  <c r="DZ65" i="14"/>
  <c r="DY65" i="14"/>
  <c r="DY88" i="14" s="1"/>
  <c r="AL65" i="14"/>
  <c r="AK65" i="14"/>
  <c r="AK88" i="14" s="1"/>
  <c r="DF65" i="14"/>
  <c r="DE65" i="14"/>
  <c r="DE88" i="14" s="1"/>
  <c r="DG65" i="14"/>
  <c r="DG88" i="14" s="1"/>
  <c r="DH65" i="14"/>
  <c r="BR65" i="14"/>
  <c r="BQ65" i="14"/>
  <c r="BQ88" i="14" s="1"/>
  <c r="CD65" i="14"/>
  <c r="CC65" i="14"/>
  <c r="CC88" i="14" s="1"/>
  <c r="CN65" i="14"/>
  <c r="CM65" i="14"/>
  <c r="CM88" i="14" s="1"/>
  <c r="DV65" i="14"/>
  <c r="DU65" i="14"/>
  <c r="DU88" i="14" s="1"/>
  <c r="AV65" i="14"/>
  <c r="AU65" i="14"/>
  <c r="AU88" i="14" s="1"/>
  <c r="DC65" i="14"/>
  <c r="DC88" i="14" s="1"/>
  <c r="DD65" i="14"/>
  <c r="BT65" i="14"/>
  <c r="BS65" i="14"/>
  <c r="BS88" i="14" s="1"/>
  <c r="CT65" i="14"/>
  <c r="CS65" i="14"/>
  <c r="CS88" i="14" s="1"/>
  <c r="AZ65" i="14"/>
  <c r="AY65" i="14"/>
  <c r="AY88" i="14" s="1"/>
  <c r="DB65" i="14"/>
  <c r="DA65" i="14"/>
  <c r="DA88" i="14" s="1"/>
  <c r="EF65" i="14"/>
  <c r="EE65" i="14"/>
  <c r="EE88" i="14" s="1"/>
  <c r="DL65" i="14"/>
  <c r="DK65" i="14"/>
  <c r="DK88" i="14" s="1"/>
  <c r="AN65" i="14"/>
  <c r="AM65" i="14"/>
  <c r="AM88" i="14" s="1"/>
  <c r="BN65" i="14"/>
  <c r="BM65" i="14"/>
  <c r="BM88" i="14" s="1"/>
  <c r="AO65" i="14"/>
  <c r="AO88" i="14" s="1"/>
  <c r="AP65" i="14"/>
  <c r="DX65" i="14"/>
  <c r="DW65" i="14"/>
  <c r="DW88" i="14" s="1"/>
  <c r="BU65" i="14"/>
  <c r="BU88" i="14" s="1"/>
  <c r="BV65" i="14"/>
  <c r="BI65" i="14"/>
  <c r="BI88" i="14" s="1"/>
  <c r="BJ65" i="14"/>
  <c r="AX65" i="14"/>
  <c r="AW65" i="14"/>
  <c r="AW88" i="14" s="1"/>
  <c r="BH65" i="14"/>
  <c r="BG65" i="14"/>
  <c r="BG88" i="14" s="1"/>
  <c r="CO65" i="14"/>
  <c r="CO88" i="14" s="1"/>
  <c r="CP65" i="14"/>
  <c r="AR65" i="14"/>
  <c r="AQ65" i="14"/>
  <c r="AQ88" i="14" s="1"/>
  <c r="CZ65" i="14"/>
  <c r="CY65" i="14"/>
  <c r="CY88" i="14" s="1"/>
  <c r="CA65" i="14"/>
  <c r="CA88" i="14" s="1"/>
  <c r="CB65" i="14"/>
  <c r="BK65" i="14"/>
  <c r="BK88" i="14" s="1"/>
  <c r="BL65" i="14"/>
  <c r="BP65" i="14"/>
  <c r="BO65" i="14"/>
  <c r="BO88" i="14" s="1"/>
  <c r="CR65" i="14"/>
  <c r="CQ65" i="14"/>
  <c r="CQ88" i="14" s="1"/>
  <c r="DN65" i="14"/>
  <c r="DM65" i="14"/>
  <c r="DM88" i="14" s="1"/>
  <c r="BW65" i="14"/>
  <c r="BW88" i="14" s="1"/>
  <c r="BX65" i="14"/>
  <c r="DT65" i="14"/>
  <c r="DS65" i="14"/>
  <c r="DS88" i="14" s="1"/>
  <c r="BD65" i="14"/>
  <c r="BC65" i="14"/>
  <c r="BC88" i="14" s="1"/>
  <c r="CV65" i="14"/>
  <c r="CU65" i="14"/>
  <c r="CU88" i="14" s="1"/>
  <c r="CL65" i="14"/>
  <c r="CK65" i="14"/>
  <c r="CK88" i="14" s="1"/>
  <c r="ED65" i="14"/>
  <c r="EC65" i="14"/>
  <c r="EC88" i="14" s="1"/>
  <c r="CJ65" i="14"/>
  <c r="CI65" i="14"/>
  <c r="CI88" i="14" s="1"/>
  <c r="DJ65" i="14"/>
  <c r="DI65" i="14"/>
  <c r="DI88" i="14" s="1"/>
  <c r="AX20" i="15"/>
  <c r="BC20" i="15"/>
  <c r="BF20" i="15"/>
  <c r="BE20" i="15"/>
  <c r="AZ20" i="15"/>
  <c r="L141" i="22"/>
  <c r="G117" i="22" s="1"/>
  <c r="L142" i="22"/>
  <c r="G118" i="22" s="1"/>
  <c r="L140" i="22"/>
  <c r="G116" i="22" s="1"/>
  <c r="G119" i="22"/>
  <c r="AX285" i="1" s="1"/>
  <c r="E216" i="21"/>
  <c r="G217" i="21"/>
  <c r="E217" i="21" s="1"/>
  <c r="AQ285" i="1"/>
  <c r="AL285" i="1"/>
  <c r="G192" i="22"/>
  <c r="E221" i="22"/>
  <c r="E193" i="22"/>
  <c r="G193" i="23"/>
  <c r="E215" i="23"/>
  <c r="G145" i="24"/>
  <c r="H145" i="24" s="1"/>
  <c r="I145" i="24" s="1"/>
  <c r="D145" i="24" s="1"/>
  <c r="J215" i="24"/>
  <c r="K193" i="24" s="1"/>
  <c r="G141" i="24"/>
  <c r="H141" i="24" s="1"/>
  <c r="I141" i="24" s="1"/>
  <c r="D141" i="24" s="1"/>
  <c r="G139" i="24"/>
  <c r="H139" i="24" s="1"/>
  <c r="I139" i="24" s="1"/>
  <c r="D139" i="24" s="1"/>
  <c r="Y305" i="1"/>
  <c r="G140" i="24"/>
  <c r="H140" i="24" s="1"/>
  <c r="I140" i="24" s="1"/>
  <c r="D140" i="24" s="1"/>
  <c r="H215" i="24"/>
  <c r="H193" i="24" s="1"/>
  <c r="I215" i="24"/>
  <c r="I193" i="24" s="1"/>
  <c r="G215" i="24"/>
  <c r="AB298" i="1"/>
  <c r="J141" i="22"/>
  <c r="I117" i="22" s="1"/>
  <c r="J142" i="22"/>
  <c r="I118" i="22" s="1"/>
  <c r="J140" i="22"/>
  <c r="I116" i="22" s="1"/>
  <c r="I119" i="22"/>
  <c r="AX287" i="1" s="1"/>
  <c r="K184" i="23"/>
  <c r="K190" i="23"/>
  <c r="K185" i="23"/>
  <c r="K187" i="23"/>
  <c r="K186" i="23"/>
  <c r="K183" i="23"/>
  <c r="K191" i="23"/>
  <c r="K188" i="23"/>
  <c r="K192" i="23"/>
  <c r="K189" i="23"/>
  <c r="AL287" i="1"/>
  <c r="I121" i="21" s="1"/>
  <c r="AQ287" i="1"/>
  <c r="I122" i="21" s="1"/>
  <c r="H119" i="22"/>
  <c r="AX286" i="1" s="1"/>
  <c r="K142" i="22"/>
  <c r="H118" i="22" s="1"/>
  <c r="K140" i="22"/>
  <c r="H116" i="22" s="1"/>
  <c r="K141" i="22"/>
  <c r="H117" i="22" s="1"/>
  <c r="E197" i="21"/>
  <c r="E171" i="21"/>
  <c r="E184" i="21"/>
  <c r="L139" i="23"/>
  <c r="J139" i="23"/>
  <c r="H149" i="23"/>
  <c r="G149" i="23"/>
  <c r="K139" i="23"/>
  <c r="I189" i="23"/>
  <c r="I185" i="23"/>
  <c r="I188" i="23"/>
  <c r="I184" i="23"/>
  <c r="I191" i="23"/>
  <c r="I187" i="23"/>
  <c r="I183" i="23"/>
  <c r="I190" i="23"/>
  <c r="I186" i="23"/>
  <c r="I192" i="23"/>
  <c r="G122" i="20"/>
  <c r="K122" i="20" s="1"/>
  <c r="AH288" i="1"/>
  <c r="S398" i="1"/>
  <c r="G216" i="22"/>
  <c r="I216" i="22"/>
  <c r="I217" i="22" s="1"/>
  <c r="J216" i="22"/>
  <c r="J217" i="22" s="1"/>
  <c r="H216" i="22"/>
  <c r="H217" i="22" s="1"/>
  <c r="V391" i="1"/>
  <c r="AB265" i="1"/>
  <c r="E39" i="24"/>
  <c r="K109" i="24" s="1"/>
  <c r="L109" i="24" s="1"/>
  <c r="E7" i="25"/>
  <c r="K108" i="25" s="1"/>
  <c r="L108" i="25" s="1"/>
  <c r="H189" i="23"/>
  <c r="H185" i="23"/>
  <c r="H188" i="23"/>
  <c r="H184" i="23"/>
  <c r="H191" i="23"/>
  <c r="H187" i="23"/>
  <c r="H183" i="23"/>
  <c r="H190" i="23"/>
  <c r="H186" i="23"/>
  <c r="H192" i="23"/>
  <c r="AQ286" i="1"/>
  <c r="H122" i="21" s="1"/>
  <c r="AL286" i="1"/>
  <c r="H121" i="21" s="1"/>
  <c r="G121" i="20"/>
  <c r="K121" i="20" s="1"/>
  <c r="AC288" i="1"/>
  <c r="BB20" i="15"/>
  <c r="BG20" i="15"/>
  <c r="BA20" i="15"/>
  <c r="AY20" i="15"/>
  <c r="G187" i="21" l="1"/>
  <c r="G186" i="21"/>
  <c r="G183" i="21"/>
  <c r="G188" i="21"/>
  <c r="G190" i="21"/>
  <c r="G189" i="21"/>
  <c r="G184" i="21"/>
  <c r="G191" i="21"/>
  <c r="G185" i="21"/>
  <c r="CJ66" i="14"/>
  <c r="CI66" i="14"/>
  <c r="CL66" i="14"/>
  <c r="CK66" i="14"/>
  <c r="BD66" i="14"/>
  <c r="BC66" i="14"/>
  <c r="CQ66" i="14"/>
  <c r="CR66" i="14"/>
  <c r="CZ66" i="14"/>
  <c r="CY66" i="14"/>
  <c r="AX66" i="14"/>
  <c r="AW66" i="14"/>
  <c r="AN66" i="14"/>
  <c r="AM66" i="14"/>
  <c r="EE66" i="14"/>
  <c r="EF66" i="14"/>
  <c r="AZ66" i="14"/>
  <c r="AY66" i="14"/>
  <c r="BT66" i="14"/>
  <c r="BS66" i="14"/>
  <c r="AU66" i="14"/>
  <c r="AV66" i="14"/>
  <c r="CN66" i="14"/>
  <c r="CM66" i="14"/>
  <c r="BR66" i="14"/>
  <c r="BQ66" i="14"/>
  <c r="DF66" i="14"/>
  <c r="DE66" i="14"/>
  <c r="DZ66" i="14"/>
  <c r="DY66" i="14"/>
  <c r="BZ66" i="14"/>
  <c r="BY66" i="14"/>
  <c r="CH66" i="14"/>
  <c r="CG66" i="14"/>
  <c r="BB66" i="14"/>
  <c r="BA66" i="14"/>
  <c r="AS66" i="14"/>
  <c r="AT66" i="14"/>
  <c r="BF66" i="14"/>
  <c r="BE66" i="14"/>
  <c r="CB66" i="14"/>
  <c r="CA66" i="14"/>
  <c r="CA89" i="14" s="1"/>
  <c r="BJ66" i="14"/>
  <c r="BI66" i="14"/>
  <c r="DD66" i="14"/>
  <c r="DC66" i="14"/>
  <c r="DH66" i="14"/>
  <c r="DG66" i="14"/>
  <c r="DG89" i="14" s="1"/>
  <c r="DJ66" i="14"/>
  <c r="DI66" i="14"/>
  <c r="ED66" i="14"/>
  <c r="EC66" i="14"/>
  <c r="CU66" i="14"/>
  <c r="CV66" i="14"/>
  <c r="DT66" i="14"/>
  <c r="DS66" i="14"/>
  <c r="DN66" i="14"/>
  <c r="DM66" i="14"/>
  <c r="BO66" i="14"/>
  <c r="BP66" i="14"/>
  <c r="AR66" i="14"/>
  <c r="AQ66" i="14"/>
  <c r="BG66" i="14"/>
  <c r="BH66" i="14"/>
  <c r="DX66" i="14"/>
  <c r="DW66" i="14"/>
  <c r="BN66" i="14"/>
  <c r="BM66" i="14"/>
  <c r="DL66" i="14"/>
  <c r="DK66" i="14"/>
  <c r="DA66" i="14"/>
  <c r="DB66" i="14"/>
  <c r="CS66" i="14"/>
  <c r="CT66" i="14"/>
  <c r="DU66" i="14"/>
  <c r="DV66" i="14"/>
  <c r="CD66" i="14"/>
  <c r="CC66" i="14"/>
  <c r="AL66" i="14"/>
  <c r="AK66" i="14"/>
  <c r="DR66" i="14"/>
  <c r="DQ66" i="14"/>
  <c r="DO66" i="14"/>
  <c r="DP66" i="14"/>
  <c r="CF66" i="14"/>
  <c r="CE66" i="14"/>
  <c r="EB66" i="14"/>
  <c r="EA66" i="14"/>
  <c r="CX66" i="14"/>
  <c r="CW66" i="14"/>
  <c r="BX66" i="14"/>
  <c r="BW66" i="14"/>
  <c r="BW89" i="14" s="1"/>
  <c r="BL66" i="14"/>
  <c r="BK66" i="14"/>
  <c r="CP66" i="14"/>
  <c r="CO66" i="14"/>
  <c r="CO89" i="14" s="1"/>
  <c r="BV66" i="14"/>
  <c r="BU66" i="14"/>
  <c r="AO66" i="14"/>
  <c r="AP66" i="14"/>
  <c r="E7" i="26"/>
  <c r="K108" i="26" s="1"/>
  <c r="L108" i="26" s="1"/>
  <c r="E39" i="25"/>
  <c r="K109" i="25" s="1"/>
  <c r="L109" i="25" s="1"/>
  <c r="AE265" i="1"/>
  <c r="G193" i="24"/>
  <c r="E215" i="24"/>
  <c r="AL288" i="1"/>
  <c r="G121" i="21"/>
  <c r="K121" i="21" s="1"/>
  <c r="AU285" i="1"/>
  <c r="AZ285" i="1"/>
  <c r="H216" i="23"/>
  <c r="H217" i="23" s="1"/>
  <c r="V398" i="1"/>
  <c r="J216" i="23"/>
  <c r="J217" i="23" s="1"/>
  <c r="Y391" i="1"/>
  <c r="G216" i="23"/>
  <c r="I216" i="23"/>
  <c r="I217" i="23" s="1"/>
  <c r="E216" i="22"/>
  <c r="G217" i="22"/>
  <c r="E217" i="22" s="1"/>
  <c r="I191" i="24"/>
  <c r="I187" i="24"/>
  <c r="I183" i="24"/>
  <c r="I190" i="24"/>
  <c r="I186" i="24"/>
  <c r="I192" i="24"/>
  <c r="I189" i="24"/>
  <c r="I185" i="24"/>
  <c r="I188" i="24"/>
  <c r="I184" i="24"/>
  <c r="L139" i="24"/>
  <c r="J139" i="24"/>
  <c r="G149" i="24"/>
  <c r="K139" i="24"/>
  <c r="H149" i="24"/>
  <c r="E171" i="22"/>
  <c r="E184" i="22"/>
  <c r="E197" i="22"/>
  <c r="AQ288" i="1"/>
  <c r="G122" i="21"/>
  <c r="K122" i="21" s="1"/>
  <c r="J142" i="23"/>
  <c r="I118" i="23" s="1"/>
  <c r="I119" i="23"/>
  <c r="E293" i="1" s="1"/>
  <c r="J141" i="23"/>
  <c r="I117" i="23" s="1"/>
  <c r="J140" i="23"/>
  <c r="I116" i="23" s="1"/>
  <c r="AZ286" i="1"/>
  <c r="H122" i="22" s="1"/>
  <c r="AU286" i="1"/>
  <c r="H121" i="22" s="1"/>
  <c r="H189" i="24"/>
  <c r="H185" i="24"/>
  <c r="H188" i="24"/>
  <c r="H184" i="24"/>
  <c r="H191" i="24"/>
  <c r="H187" i="24"/>
  <c r="H183" i="24"/>
  <c r="H190" i="24"/>
  <c r="H186" i="24"/>
  <c r="H192" i="24"/>
  <c r="K142" i="23"/>
  <c r="H118" i="23" s="1"/>
  <c r="K140" i="23"/>
  <c r="H116" i="23" s="1"/>
  <c r="K141" i="23"/>
  <c r="H117" i="23" s="1"/>
  <c r="H119" i="23"/>
  <c r="E292" i="1" s="1"/>
  <c r="G119" i="23"/>
  <c r="E291" i="1" s="1"/>
  <c r="L142" i="23"/>
  <c r="G118" i="23" s="1"/>
  <c r="L140" i="23"/>
  <c r="G116" i="23" s="1"/>
  <c r="L141" i="23"/>
  <c r="G117" i="23" s="1"/>
  <c r="AU287" i="1"/>
  <c r="I121" i="22" s="1"/>
  <c r="AZ287" i="1"/>
  <c r="I122" i="22" s="1"/>
  <c r="AB305" i="1"/>
  <c r="G141" i="25"/>
  <c r="H141" i="25" s="1"/>
  <c r="I141" i="25" s="1"/>
  <c r="D141" i="25" s="1"/>
  <c r="H215" i="25"/>
  <c r="H193" i="25" s="1"/>
  <c r="G215" i="25"/>
  <c r="J215" i="25"/>
  <c r="K193" i="25" s="1"/>
  <c r="AE298" i="1"/>
  <c r="G145" i="25"/>
  <c r="H145" i="25" s="1"/>
  <c r="I145" i="25" s="1"/>
  <c r="D145" i="25" s="1"/>
  <c r="I215" i="25"/>
  <c r="I193" i="25" s="1"/>
  <c r="G140" i="25"/>
  <c r="H140" i="25" s="1"/>
  <c r="I140" i="25" s="1"/>
  <c r="D140" i="25" s="1"/>
  <c r="G139" i="25"/>
  <c r="H139" i="25" s="1"/>
  <c r="I139" i="25" s="1"/>
  <c r="D139" i="25" s="1"/>
  <c r="K184" i="24"/>
  <c r="K192" i="24"/>
  <c r="K191" i="24"/>
  <c r="K188" i="24"/>
  <c r="K189" i="24"/>
  <c r="K187" i="24"/>
  <c r="K190" i="24"/>
  <c r="K185" i="24"/>
  <c r="K183" i="24"/>
  <c r="K186" i="24"/>
  <c r="E221" i="23"/>
  <c r="E193" i="23"/>
  <c r="G192" i="23"/>
  <c r="G191" i="22" l="1"/>
  <c r="G184" i="22"/>
  <c r="G187" i="22"/>
  <c r="G183" i="22"/>
  <c r="G186" i="22"/>
  <c r="G185" i="22"/>
  <c r="G190" i="22"/>
  <c r="G189" i="22"/>
  <c r="G188" i="22"/>
  <c r="BU67" i="14"/>
  <c r="BU90" i="14" s="1"/>
  <c r="BV67" i="14"/>
  <c r="BL67" i="14"/>
  <c r="BK67" i="14"/>
  <c r="BK90" i="14" s="1"/>
  <c r="EA89" i="14"/>
  <c r="DP67" i="14"/>
  <c r="DO67" i="14"/>
  <c r="DO90" i="14" s="1"/>
  <c r="AK89" i="14"/>
  <c r="DV67" i="14"/>
  <c r="DU67" i="14"/>
  <c r="DU90" i="14" s="1"/>
  <c r="DB67" i="14"/>
  <c r="DA67" i="14"/>
  <c r="DA90" i="14" s="1"/>
  <c r="BM89" i="14"/>
  <c r="BG67" i="14"/>
  <c r="BG90" i="14" s="1"/>
  <c r="BH67" i="14"/>
  <c r="BP67" i="14"/>
  <c r="BO67" i="14"/>
  <c r="BO90" i="14" s="1"/>
  <c r="DS89" i="14"/>
  <c r="EC89" i="14"/>
  <c r="BI89" i="14"/>
  <c r="AS89" i="14"/>
  <c r="CG67" i="14"/>
  <c r="CG90" i="14" s="1"/>
  <c r="CH67" i="14"/>
  <c r="DZ67" i="14"/>
  <c r="DY67" i="14"/>
  <c r="DY90" i="14" s="1"/>
  <c r="BR67" i="14"/>
  <c r="BQ67" i="14"/>
  <c r="BQ90" i="14" s="1"/>
  <c r="AU89" i="14"/>
  <c r="AZ67" i="14"/>
  <c r="AY67" i="14"/>
  <c r="AY90" i="14" s="1"/>
  <c r="AN67" i="14"/>
  <c r="AM67" i="14"/>
  <c r="AM90" i="14" s="1"/>
  <c r="CZ67" i="14"/>
  <c r="CY67" i="14"/>
  <c r="CY90" i="14" s="1"/>
  <c r="BD67" i="14"/>
  <c r="BC67" i="14"/>
  <c r="BC90" i="14" s="1"/>
  <c r="CJ67" i="14"/>
  <c r="CI67" i="14"/>
  <c r="CI90" i="14" s="1"/>
  <c r="AO67" i="14"/>
  <c r="AO90" i="14" s="1"/>
  <c r="AP67" i="14"/>
  <c r="EB67" i="14"/>
  <c r="EA67" i="14"/>
  <c r="EA90" i="14" s="1"/>
  <c r="DO89" i="14"/>
  <c r="AK67" i="14"/>
  <c r="AK90" i="14" s="1"/>
  <c r="AL67" i="14"/>
  <c r="DU89" i="14"/>
  <c r="DA89" i="14"/>
  <c r="BN67" i="14"/>
  <c r="BM67" i="14"/>
  <c r="BM90" i="14" s="1"/>
  <c r="BM92" i="14" s="1"/>
  <c r="BG89" i="14"/>
  <c r="BO89" i="14"/>
  <c r="BO69" i="14"/>
  <c r="BO70" i="14" s="1"/>
  <c r="DT67" i="14"/>
  <c r="DS67" i="14"/>
  <c r="DS90" i="14" s="1"/>
  <c r="ED67" i="14"/>
  <c r="EC67" i="14"/>
  <c r="EC90" i="14" s="1"/>
  <c r="DG67" i="14"/>
  <c r="DH67" i="14"/>
  <c r="BJ67" i="14"/>
  <c r="BI67" i="14"/>
  <c r="BI90" i="14" s="1"/>
  <c r="BE89" i="14"/>
  <c r="BA89" i="14"/>
  <c r="BY89" i="14"/>
  <c r="DE89" i="14"/>
  <c r="CM89" i="14"/>
  <c r="BS89" i="14"/>
  <c r="EF67" i="14"/>
  <c r="EE67" i="14"/>
  <c r="EE90" i="14" s="1"/>
  <c r="AW89" i="14"/>
  <c r="CR67" i="14"/>
  <c r="CQ67" i="14"/>
  <c r="CQ90" i="14" s="1"/>
  <c r="CK89" i="14"/>
  <c r="AO89" i="14"/>
  <c r="CO67" i="14"/>
  <c r="CP67" i="14"/>
  <c r="BX67" i="14"/>
  <c r="BW67" i="14"/>
  <c r="BW90" i="14" s="1"/>
  <c r="BW92" i="14" s="1"/>
  <c r="CW89" i="14"/>
  <c r="CE89" i="14"/>
  <c r="DQ89" i="14"/>
  <c r="CC89" i="14"/>
  <c r="CT67" i="14"/>
  <c r="CS67" i="14"/>
  <c r="CS90" i="14" s="1"/>
  <c r="DK89" i="14"/>
  <c r="DW89" i="14"/>
  <c r="AQ89" i="14"/>
  <c r="DM89" i="14"/>
  <c r="CV67" i="14"/>
  <c r="CU67" i="14"/>
  <c r="CU90" i="14" s="1"/>
  <c r="DI89" i="14"/>
  <c r="DC89" i="14"/>
  <c r="BF67" i="14"/>
  <c r="BE67" i="14"/>
  <c r="BE90" i="14" s="1"/>
  <c r="BB67" i="14"/>
  <c r="BA67" i="14"/>
  <c r="BA90" i="14" s="1"/>
  <c r="BZ67" i="14"/>
  <c r="BY67" i="14"/>
  <c r="BY90" i="14" s="1"/>
  <c r="DF67" i="14"/>
  <c r="DE67" i="14"/>
  <c r="DE90" i="14" s="1"/>
  <c r="CN67" i="14"/>
  <c r="CM67" i="14"/>
  <c r="CM90" i="14" s="1"/>
  <c r="BS67" i="14"/>
  <c r="BS90" i="14" s="1"/>
  <c r="BT67" i="14"/>
  <c r="EE89" i="14"/>
  <c r="AX67" i="14"/>
  <c r="AW67" i="14"/>
  <c r="AW90" i="14" s="1"/>
  <c r="CQ89" i="14"/>
  <c r="CL67" i="14"/>
  <c r="CK67" i="14"/>
  <c r="CK90" i="14" s="1"/>
  <c r="BU89" i="14"/>
  <c r="BU69" i="14"/>
  <c r="BU70" i="14" s="1"/>
  <c r="BK89" i="14"/>
  <c r="CW67" i="14"/>
  <c r="CW90" i="14" s="1"/>
  <c r="CX67" i="14"/>
  <c r="CF67" i="14"/>
  <c r="CE67" i="14"/>
  <c r="CE90" i="14" s="1"/>
  <c r="DQ67" i="14"/>
  <c r="DQ90" i="14" s="1"/>
  <c r="DR67" i="14"/>
  <c r="CD67" i="14"/>
  <c r="CC67" i="14"/>
  <c r="CC90" i="14" s="1"/>
  <c r="CS89" i="14"/>
  <c r="DL67" i="14"/>
  <c r="DK67" i="14"/>
  <c r="DK90" i="14" s="1"/>
  <c r="DX67" i="14"/>
  <c r="DW67" i="14"/>
  <c r="DW90" i="14" s="1"/>
  <c r="AQ67" i="14"/>
  <c r="AQ90" i="14" s="1"/>
  <c r="AR67" i="14"/>
  <c r="DN67" i="14"/>
  <c r="DM67" i="14"/>
  <c r="DM90" i="14" s="1"/>
  <c r="CU89" i="14"/>
  <c r="DI67" i="14"/>
  <c r="DI90" i="14" s="1"/>
  <c r="DJ67" i="14"/>
  <c r="DD67" i="14"/>
  <c r="DC67" i="14"/>
  <c r="DC90" i="14" s="1"/>
  <c r="CA67" i="14"/>
  <c r="CA90" i="14" s="1"/>
  <c r="CA92" i="14" s="1"/>
  <c r="CB67" i="14"/>
  <c r="AT67" i="14"/>
  <c r="AS67" i="14"/>
  <c r="AS90" i="14" s="1"/>
  <c r="CG89" i="14"/>
  <c r="DY89" i="14"/>
  <c r="DY69" i="14"/>
  <c r="DY70" i="14" s="1"/>
  <c r="BQ89" i="14"/>
  <c r="AU67" i="14"/>
  <c r="AU90" i="14" s="1"/>
  <c r="AV67" i="14"/>
  <c r="AY89" i="14"/>
  <c r="AM89" i="14"/>
  <c r="CY89" i="14"/>
  <c r="BC89" i="14"/>
  <c r="CI89" i="14"/>
  <c r="I189" i="25"/>
  <c r="I185" i="25"/>
  <c r="I188" i="25"/>
  <c r="I184" i="25"/>
  <c r="I191" i="25"/>
  <c r="I187" i="25"/>
  <c r="I183" i="25"/>
  <c r="I190" i="25"/>
  <c r="I186" i="25"/>
  <c r="I192" i="25"/>
  <c r="E215" i="25"/>
  <c r="G193" i="25"/>
  <c r="G293" i="1"/>
  <c r="I122" i="23" s="1"/>
  <c r="B293" i="1"/>
  <c r="I121" i="23" s="1"/>
  <c r="K142" i="24"/>
  <c r="H118" i="24" s="1"/>
  <c r="H119" i="24"/>
  <c r="N292" i="1" s="1"/>
  <c r="K141" i="24"/>
  <c r="H117" i="24" s="1"/>
  <c r="K140" i="24"/>
  <c r="H116" i="24" s="1"/>
  <c r="E193" i="24"/>
  <c r="E221" i="24"/>
  <c r="G192" i="24"/>
  <c r="E197" i="23"/>
  <c r="E171" i="23"/>
  <c r="E184" i="23"/>
  <c r="H189" i="25"/>
  <c r="H185" i="25"/>
  <c r="H188" i="25"/>
  <c r="H184" i="25"/>
  <c r="H191" i="25"/>
  <c r="H187" i="25"/>
  <c r="H183" i="25"/>
  <c r="H190" i="25"/>
  <c r="H186" i="25"/>
  <c r="H192" i="25"/>
  <c r="B291" i="1"/>
  <c r="G291" i="1"/>
  <c r="E216" i="23"/>
  <c r="G217" i="23"/>
  <c r="E217" i="23" s="1"/>
  <c r="AH265" i="1"/>
  <c r="E7" i="27"/>
  <c r="K108" i="27" s="1"/>
  <c r="L108" i="27" s="1"/>
  <c r="E39" i="26"/>
  <c r="K109" i="26" s="1"/>
  <c r="L109" i="26" s="1"/>
  <c r="G149" i="25"/>
  <c r="L139" i="25"/>
  <c r="K139" i="25"/>
  <c r="J139" i="25"/>
  <c r="H149" i="25"/>
  <c r="G215" i="26"/>
  <c r="J215" i="26"/>
  <c r="K193" i="26" s="1"/>
  <c r="G140" i="26"/>
  <c r="H140" i="26" s="1"/>
  <c r="I140" i="26" s="1"/>
  <c r="D140" i="26" s="1"/>
  <c r="H215" i="26"/>
  <c r="H193" i="26" s="1"/>
  <c r="AE305" i="1"/>
  <c r="G141" i="26"/>
  <c r="H141" i="26" s="1"/>
  <c r="I141" i="26" s="1"/>
  <c r="D141" i="26" s="1"/>
  <c r="I215" i="26"/>
  <c r="I193" i="26" s="1"/>
  <c r="G145" i="26"/>
  <c r="H145" i="26" s="1"/>
  <c r="I145" i="26" s="1"/>
  <c r="D145" i="26" s="1"/>
  <c r="G139" i="26"/>
  <c r="H139" i="26" s="1"/>
  <c r="I139" i="26" s="1"/>
  <c r="D139" i="26" s="1"/>
  <c r="AH298" i="1"/>
  <c r="B292" i="1"/>
  <c r="H121" i="23" s="1"/>
  <c r="G292" i="1"/>
  <c r="H122" i="23" s="1"/>
  <c r="J142" i="24"/>
  <c r="I118" i="24" s="1"/>
  <c r="J141" i="24"/>
  <c r="I117" i="24" s="1"/>
  <c r="J140" i="24"/>
  <c r="I116" i="24" s="1"/>
  <c r="I119" i="24"/>
  <c r="N293" i="1" s="1"/>
  <c r="H216" i="24"/>
  <c r="H217" i="24" s="1"/>
  <c r="J216" i="24"/>
  <c r="J217" i="24" s="1"/>
  <c r="Y398" i="1"/>
  <c r="G216" i="24"/>
  <c r="I216" i="24"/>
  <c r="I217" i="24" s="1"/>
  <c r="AB391" i="1"/>
  <c r="G122" i="22"/>
  <c r="K122" i="22" s="1"/>
  <c r="AZ288" i="1"/>
  <c r="K190" i="25"/>
  <c r="K184" i="25"/>
  <c r="K183" i="25"/>
  <c r="K186" i="25"/>
  <c r="K189" i="25"/>
  <c r="K192" i="25"/>
  <c r="K185" i="25"/>
  <c r="K191" i="25"/>
  <c r="K188" i="25"/>
  <c r="K187" i="25"/>
  <c r="L140" i="24"/>
  <c r="G116" i="24" s="1"/>
  <c r="G119" i="24"/>
  <c r="N291" i="1" s="1"/>
  <c r="L141" i="24"/>
  <c r="G117" i="24" s="1"/>
  <c r="L142" i="24"/>
  <c r="G118" i="24" s="1"/>
  <c r="AU288" i="1"/>
  <c r="G121" i="22"/>
  <c r="K121" i="22" s="1"/>
  <c r="DM92" i="14" l="1"/>
  <c r="AO69" i="14"/>
  <c r="AO70" i="14" s="1"/>
  <c r="G189" i="23"/>
  <c r="G188" i="23"/>
  <c r="G183" i="23"/>
  <c r="G184" i="23"/>
  <c r="G190" i="23"/>
  <c r="G186" i="23"/>
  <c r="G185" i="23"/>
  <c r="G191" i="23"/>
  <c r="G187" i="23"/>
  <c r="BQ69" i="14"/>
  <c r="BQ70" i="14" s="1"/>
  <c r="BQ82" i="14" s="1"/>
  <c r="EC92" i="14"/>
  <c r="DO69" i="14"/>
  <c r="DO70" i="14" s="1"/>
  <c r="DO57" i="14" s="1"/>
  <c r="DQ92" i="14"/>
  <c r="CW92" i="14"/>
  <c r="CM92" i="14"/>
  <c r="BE92" i="14"/>
  <c r="AM69" i="14"/>
  <c r="AM70" i="14" s="1"/>
  <c r="AM57" i="14" s="1"/>
  <c r="BC69" i="14"/>
  <c r="BC70" i="14" s="1"/>
  <c r="BC82" i="14" s="1"/>
  <c r="DI92" i="14"/>
  <c r="CQ69" i="14"/>
  <c r="CQ70" i="14" s="1"/>
  <c r="CQ82" i="14" s="1"/>
  <c r="CY69" i="14"/>
  <c r="CY70" i="14" s="1"/>
  <c r="CY57" i="14" s="1"/>
  <c r="EE69" i="14"/>
  <c r="EE70" i="14" s="1"/>
  <c r="EE57" i="14" s="1"/>
  <c r="DU69" i="14"/>
  <c r="DU70" i="14" s="1"/>
  <c r="DU57" i="14" s="1"/>
  <c r="CI69" i="14"/>
  <c r="CI70" i="14" s="1"/>
  <c r="CI82" i="14" s="1"/>
  <c r="AY69" i="14"/>
  <c r="AY70" i="14" s="1"/>
  <c r="AY82" i="14" s="1"/>
  <c r="DC92" i="14"/>
  <c r="DW92" i="14"/>
  <c r="BA92" i="14"/>
  <c r="BI92" i="14"/>
  <c r="CE92" i="14"/>
  <c r="AM92" i="14"/>
  <c r="AU92" i="14"/>
  <c r="BK69" i="14"/>
  <c r="BK70" i="14" s="1"/>
  <c r="BK57" i="14" s="1"/>
  <c r="CK92" i="14"/>
  <c r="AW92" i="14"/>
  <c r="DC69" i="14"/>
  <c r="DC70" i="14" s="1"/>
  <c r="DC57" i="14" s="1"/>
  <c r="DW69" i="14"/>
  <c r="DW70" i="14" s="1"/>
  <c r="DW82" i="14" s="1"/>
  <c r="CQ92" i="14"/>
  <c r="EE92" i="14"/>
  <c r="BA69" i="14"/>
  <c r="BA70" i="14" s="1"/>
  <c r="BA82" i="14" s="1"/>
  <c r="DA69" i="14"/>
  <c r="DA70" i="14" s="1"/>
  <c r="DA82" i="14" s="1"/>
  <c r="AO92" i="14"/>
  <c r="DK92" i="14"/>
  <c r="BK92" i="14"/>
  <c r="BS92" i="14"/>
  <c r="DM69" i="14"/>
  <c r="DM70" i="14" s="1"/>
  <c r="DM82" i="14" s="1"/>
  <c r="CE69" i="14"/>
  <c r="CE70" i="14" s="1"/>
  <c r="CE57" i="14" s="1"/>
  <c r="DE69" i="14"/>
  <c r="DE70" i="14" s="1"/>
  <c r="DE82" i="14" s="1"/>
  <c r="DS92" i="14"/>
  <c r="BG92" i="14"/>
  <c r="AQ92" i="14"/>
  <c r="BY92" i="14"/>
  <c r="DK69" i="14"/>
  <c r="DK70" i="14" s="1"/>
  <c r="DK57" i="14" s="1"/>
  <c r="CC69" i="14"/>
  <c r="CC70" i="14" s="1"/>
  <c r="CC57" i="14" s="1"/>
  <c r="CK69" i="14"/>
  <c r="CK70" i="14" s="1"/>
  <c r="CK57" i="14" s="1"/>
  <c r="AW69" i="14"/>
  <c r="AW70" i="14" s="1"/>
  <c r="AW82" i="14" s="1"/>
  <c r="BS69" i="14"/>
  <c r="BS70" i="14" s="1"/>
  <c r="BS82" i="14" s="1"/>
  <c r="BW69" i="14"/>
  <c r="BW70" i="14" s="1"/>
  <c r="BW57" i="14" s="1"/>
  <c r="BU92" i="14"/>
  <c r="BU57" i="14"/>
  <c r="BU82" i="14"/>
  <c r="DI69" i="14"/>
  <c r="DI70" i="14" s="1"/>
  <c r="CS92" i="14"/>
  <c r="DQ69" i="14"/>
  <c r="DQ70" i="14" s="1"/>
  <c r="CW69" i="14"/>
  <c r="CW70" i="14" s="1"/>
  <c r="BS57" i="14"/>
  <c r="BO57" i="14"/>
  <c r="BO82" i="14"/>
  <c r="CG92" i="14"/>
  <c r="BC57" i="14"/>
  <c r="DY57" i="14"/>
  <c r="DY82" i="14"/>
  <c r="AS92" i="14"/>
  <c r="CU69" i="14"/>
  <c r="CU70" i="14" s="1"/>
  <c r="CA69" i="14"/>
  <c r="CA70" i="14" s="1"/>
  <c r="CO90" i="14"/>
  <c r="CO92" i="14" s="1"/>
  <c r="CO69" i="14"/>
  <c r="CO70" i="14" s="1"/>
  <c r="DE92" i="14"/>
  <c r="BC92" i="14"/>
  <c r="AU69" i="14"/>
  <c r="AU70" i="14" s="1"/>
  <c r="DY92" i="14"/>
  <c r="AS69" i="14"/>
  <c r="AS70" i="14" s="1"/>
  <c r="EC69" i="14"/>
  <c r="EC70" i="14" s="1"/>
  <c r="BO92" i="14"/>
  <c r="BM69" i="14"/>
  <c r="BM70" i="14" s="1"/>
  <c r="DU92" i="14"/>
  <c r="DO92" i="14"/>
  <c r="CU92" i="14"/>
  <c r="AQ69" i="14"/>
  <c r="AQ70" i="14" s="1"/>
  <c r="AO82" i="14"/>
  <c r="AO57" i="14"/>
  <c r="CM69" i="14"/>
  <c r="CM70" i="14" s="1"/>
  <c r="BY69" i="14"/>
  <c r="BY70" i="14" s="1"/>
  <c r="BE69" i="14"/>
  <c r="BE70" i="14" s="1"/>
  <c r="BG69" i="14"/>
  <c r="BG70" i="14" s="1"/>
  <c r="EA92" i="14"/>
  <c r="AY57" i="14"/>
  <c r="BQ57" i="14"/>
  <c r="CG69" i="14"/>
  <c r="CG70" i="14" s="1"/>
  <c r="CS69" i="14"/>
  <c r="CS70" i="14" s="1"/>
  <c r="CC92" i="14"/>
  <c r="DG90" i="14"/>
  <c r="DG92" i="14" s="1"/>
  <c r="DG69" i="14"/>
  <c r="DG70" i="14" s="1"/>
  <c r="AK92" i="14"/>
  <c r="CI92" i="14"/>
  <c r="CY92" i="14"/>
  <c r="AY92" i="14"/>
  <c r="BQ92" i="14"/>
  <c r="BI69" i="14"/>
  <c r="BI70" i="14" s="1"/>
  <c r="DS69" i="14"/>
  <c r="DS70" i="14" s="1"/>
  <c r="DA92" i="14"/>
  <c r="AK69" i="14"/>
  <c r="AK70" i="14" s="1"/>
  <c r="EA69" i="14"/>
  <c r="EA70" i="14" s="1"/>
  <c r="P291" i="1"/>
  <c r="K291" i="1"/>
  <c r="E216" i="24"/>
  <c r="G217" i="24"/>
  <c r="E217" i="24" s="1"/>
  <c r="K293" i="1"/>
  <c r="I121" i="24" s="1"/>
  <c r="P293" i="1"/>
  <c r="I122" i="24" s="1"/>
  <c r="H188" i="26"/>
  <c r="H184" i="26"/>
  <c r="H191" i="26"/>
  <c r="H187" i="26"/>
  <c r="H183" i="26"/>
  <c r="H190" i="26"/>
  <c r="H186" i="26"/>
  <c r="H192" i="26"/>
  <c r="H189" i="26"/>
  <c r="H185" i="26"/>
  <c r="E193" i="25"/>
  <c r="E221" i="25"/>
  <c r="G192" i="25"/>
  <c r="I188" i="26"/>
  <c r="I184" i="26"/>
  <c r="I191" i="26"/>
  <c r="I187" i="26"/>
  <c r="I183" i="26"/>
  <c r="I190" i="26"/>
  <c r="I186" i="26"/>
  <c r="I192" i="26"/>
  <c r="I189" i="26"/>
  <c r="I185" i="26"/>
  <c r="J141" i="25"/>
  <c r="I117" i="25" s="1"/>
  <c r="J142" i="25"/>
  <c r="I118" i="25" s="1"/>
  <c r="J140" i="25"/>
  <c r="I116" i="25" s="1"/>
  <c r="I119" i="25"/>
  <c r="W293" i="1" s="1"/>
  <c r="AB398" i="1"/>
  <c r="G216" i="25"/>
  <c r="H216" i="25"/>
  <c r="H217" i="25" s="1"/>
  <c r="AE391" i="1"/>
  <c r="I216" i="25"/>
  <c r="I217" i="25" s="1"/>
  <c r="J216" i="25"/>
  <c r="J217" i="25" s="1"/>
  <c r="G145" i="27"/>
  <c r="H145" i="27" s="1"/>
  <c r="I145" i="27" s="1"/>
  <c r="D145" i="27" s="1"/>
  <c r="J215" i="27"/>
  <c r="K193" i="27" s="1"/>
  <c r="AH305" i="1"/>
  <c r="G141" i="27"/>
  <c r="H141" i="27" s="1"/>
  <c r="I141" i="27" s="1"/>
  <c r="D141" i="27" s="1"/>
  <c r="G139" i="27"/>
  <c r="H139" i="27" s="1"/>
  <c r="I139" i="27" s="1"/>
  <c r="D139" i="27" s="1"/>
  <c r="G215" i="27"/>
  <c r="G140" i="27"/>
  <c r="H140" i="27" s="1"/>
  <c r="I140" i="27" s="1"/>
  <c r="D140" i="27" s="1"/>
  <c r="AK298" i="1"/>
  <c r="I215" i="27"/>
  <c r="I193" i="27" s="1"/>
  <c r="H215" i="27"/>
  <c r="H193" i="27" s="1"/>
  <c r="K191" i="26"/>
  <c r="K186" i="26"/>
  <c r="K188" i="26"/>
  <c r="K187" i="26"/>
  <c r="K189" i="26"/>
  <c r="K184" i="26"/>
  <c r="K183" i="26"/>
  <c r="K185" i="26"/>
  <c r="K192" i="26"/>
  <c r="K190" i="26"/>
  <c r="H119" i="25"/>
  <c r="W292" i="1" s="1"/>
  <c r="K140" i="25"/>
  <c r="H116" i="25" s="1"/>
  <c r="K142" i="25"/>
  <c r="H118" i="25" s="1"/>
  <c r="K141" i="25"/>
  <c r="H117" i="25" s="1"/>
  <c r="G294" i="1"/>
  <c r="G122" i="23"/>
  <c r="K122" i="23" s="1"/>
  <c r="L139" i="26"/>
  <c r="G149" i="26"/>
  <c r="J139" i="26"/>
  <c r="K139" i="26"/>
  <c r="H149" i="26"/>
  <c r="G193" i="26"/>
  <c r="E215" i="26"/>
  <c r="L140" i="25"/>
  <c r="G116" i="25" s="1"/>
  <c r="G119" i="25"/>
  <c r="W291" i="1" s="1"/>
  <c r="L142" i="25"/>
  <c r="G118" i="25" s="1"/>
  <c r="L141" i="25"/>
  <c r="G117" i="25" s="1"/>
  <c r="AK265" i="1"/>
  <c r="E39" i="28" s="1"/>
  <c r="K109" i="28" s="1"/>
  <c r="L109" i="28" s="1"/>
  <c r="E7" i="28"/>
  <c r="K108" i="28" s="1"/>
  <c r="L108" i="28" s="1"/>
  <c r="E39" i="27"/>
  <c r="K109" i="27" s="1"/>
  <c r="L109" i="27" s="1"/>
  <c r="B294" i="1"/>
  <c r="G121" i="23"/>
  <c r="K121" i="23" s="1"/>
  <c r="E184" i="24"/>
  <c r="E197" i="24"/>
  <c r="E171" i="24"/>
  <c r="P292" i="1"/>
  <c r="H122" i="24" s="1"/>
  <c r="K292" i="1"/>
  <c r="H121" i="24" s="1"/>
  <c r="CY82" i="14" l="1"/>
  <c r="DK82" i="14"/>
  <c r="AM82" i="14"/>
  <c r="DA57" i="14"/>
  <c r="DO82" i="14"/>
  <c r="G185" i="24"/>
  <c r="G190" i="24"/>
  <c r="G184" i="24"/>
  <c r="G191" i="24"/>
  <c r="G186" i="24"/>
  <c r="G183" i="24"/>
  <c r="G188" i="24"/>
  <c r="G187" i="24"/>
  <c r="G189" i="24"/>
  <c r="DU82" i="14"/>
  <c r="CK82" i="14"/>
  <c r="CE82" i="14"/>
  <c r="DE57" i="14"/>
  <c r="CQ57" i="14"/>
  <c r="CI57" i="14"/>
  <c r="DC82" i="14"/>
  <c r="AW57" i="14"/>
  <c r="BA57" i="14"/>
  <c r="EE82" i="14"/>
  <c r="CC82" i="14"/>
  <c r="BW82" i="14"/>
  <c r="BK82" i="14"/>
  <c r="DW57" i="14"/>
  <c r="DM57" i="14"/>
  <c r="AK57" i="14"/>
  <c r="AK82" i="14"/>
  <c r="CS82" i="14"/>
  <c r="CS57" i="14"/>
  <c r="CM82" i="14"/>
  <c r="CM57" i="14"/>
  <c r="AS82" i="14"/>
  <c r="AS57" i="14"/>
  <c r="CU57" i="14"/>
  <c r="CU82" i="14"/>
  <c r="DQ82" i="14"/>
  <c r="DQ57" i="14"/>
  <c r="DG82" i="14"/>
  <c r="DG57" i="14"/>
  <c r="CG57" i="14"/>
  <c r="CG82" i="14"/>
  <c r="BG57" i="14"/>
  <c r="BG82" i="14"/>
  <c r="AQ57" i="14"/>
  <c r="AQ82" i="14"/>
  <c r="BM57" i="14"/>
  <c r="BM82" i="14"/>
  <c r="CO57" i="14"/>
  <c r="CO82" i="14"/>
  <c r="DS57" i="14"/>
  <c r="DS82" i="14"/>
  <c r="BE82" i="14"/>
  <c r="BE57" i="14"/>
  <c r="AU57" i="14"/>
  <c r="AU82" i="14"/>
  <c r="DI57" i="14"/>
  <c r="DI82" i="14"/>
  <c r="EA57" i="14"/>
  <c r="EA82" i="14"/>
  <c r="BI82" i="14"/>
  <c r="BI57" i="14"/>
  <c r="BY82" i="14"/>
  <c r="BY57" i="14"/>
  <c r="EC57" i="14"/>
  <c r="EC82" i="14"/>
  <c r="CA82" i="14"/>
  <c r="CA57" i="14"/>
  <c r="CW82" i="14"/>
  <c r="CW57" i="14"/>
  <c r="Y291" i="1"/>
  <c r="T291" i="1"/>
  <c r="G192" i="26"/>
  <c r="E193" i="26"/>
  <c r="E221" i="26"/>
  <c r="AK305" i="1"/>
  <c r="G141" i="28"/>
  <c r="H141" i="28" s="1"/>
  <c r="I141" i="28" s="1"/>
  <c r="D141" i="28" s="1"/>
  <c r="J215" i="28"/>
  <c r="K193" i="28" s="1"/>
  <c r="G215" i="28"/>
  <c r="G140" i="28"/>
  <c r="H140" i="28" s="1"/>
  <c r="I140" i="28" s="1"/>
  <c r="D140" i="28" s="1"/>
  <c r="I215" i="28"/>
  <c r="I193" i="28" s="1"/>
  <c r="H215" i="28"/>
  <c r="H193" i="28" s="1"/>
  <c r="G145" i="28"/>
  <c r="H145" i="28" s="1"/>
  <c r="I145" i="28" s="1"/>
  <c r="D145" i="28" s="1"/>
  <c r="G139" i="28"/>
  <c r="H139" i="28" s="1"/>
  <c r="I139" i="28" s="1"/>
  <c r="D139" i="28" s="1"/>
  <c r="E216" i="25"/>
  <c r="G217" i="25"/>
  <c r="E217" i="25" s="1"/>
  <c r="L142" i="26"/>
  <c r="G118" i="26" s="1"/>
  <c r="L140" i="26"/>
  <c r="G116" i="26" s="1"/>
  <c r="G119" i="26"/>
  <c r="AF291" i="1" s="1"/>
  <c r="L141" i="26"/>
  <c r="G117" i="26" s="1"/>
  <c r="K141" i="26"/>
  <c r="H117" i="26" s="1"/>
  <c r="H119" i="26"/>
  <c r="AF292" i="1" s="1"/>
  <c r="K142" i="26"/>
  <c r="H118" i="26" s="1"/>
  <c r="K140" i="26"/>
  <c r="H116" i="26" s="1"/>
  <c r="H190" i="27"/>
  <c r="H186" i="27"/>
  <c r="H192" i="27"/>
  <c r="H189" i="27"/>
  <c r="H185" i="27"/>
  <c r="H188" i="27"/>
  <c r="H184" i="27"/>
  <c r="H191" i="27"/>
  <c r="H187" i="27"/>
  <c r="H183" i="27"/>
  <c r="G193" i="27"/>
  <c r="E215" i="27"/>
  <c r="K191" i="27"/>
  <c r="K184" i="27"/>
  <c r="K189" i="27"/>
  <c r="K187" i="27"/>
  <c r="K190" i="27"/>
  <c r="K185" i="27"/>
  <c r="K183" i="27"/>
  <c r="K188" i="27"/>
  <c r="K192" i="27"/>
  <c r="K186" i="27"/>
  <c r="I216" i="26"/>
  <c r="I217" i="26" s="1"/>
  <c r="AH391" i="1"/>
  <c r="J216" i="26"/>
  <c r="J217" i="26" s="1"/>
  <c r="H216" i="26"/>
  <c r="H217" i="26" s="1"/>
  <c r="AE398" i="1"/>
  <c r="G216" i="26"/>
  <c r="T293" i="1"/>
  <c r="I121" i="25" s="1"/>
  <c r="Y293" i="1"/>
  <c r="I122" i="25" s="1"/>
  <c r="E171" i="25"/>
  <c r="E184" i="25"/>
  <c r="E197" i="25"/>
  <c r="G121" i="24"/>
  <c r="K121" i="24" s="1"/>
  <c r="K294" i="1"/>
  <c r="J142" i="26"/>
  <c r="I118" i="26" s="1"/>
  <c r="J141" i="26"/>
  <c r="I117" i="26" s="1"/>
  <c r="J140" i="26"/>
  <c r="I116" i="26" s="1"/>
  <c r="I119" i="26"/>
  <c r="AF293" i="1" s="1"/>
  <c r="Y292" i="1"/>
  <c r="H122" i="25" s="1"/>
  <c r="T292" i="1"/>
  <c r="H121" i="25" s="1"/>
  <c r="I188" i="27"/>
  <c r="I184" i="27"/>
  <c r="I191" i="27"/>
  <c r="I187" i="27"/>
  <c r="I183" i="27"/>
  <c r="I190" i="27"/>
  <c r="I186" i="27"/>
  <c r="I192" i="27"/>
  <c r="I189" i="27"/>
  <c r="I185" i="27"/>
  <c r="L139" i="27"/>
  <c r="J139" i="27"/>
  <c r="H149" i="27"/>
  <c r="G149" i="27"/>
  <c r="K139" i="27"/>
  <c r="G122" i="24"/>
  <c r="K122" i="24" s="1"/>
  <c r="P294" i="1"/>
  <c r="G189" i="25" l="1"/>
  <c r="G184" i="25"/>
  <c r="G187" i="25"/>
  <c r="G191" i="25"/>
  <c r="G185" i="25"/>
  <c r="G183" i="25"/>
  <c r="G188" i="25"/>
  <c r="G190" i="25"/>
  <c r="G186" i="25"/>
  <c r="S61" i="14"/>
  <c r="AA58" i="14"/>
  <c r="S58" i="14" s="1"/>
  <c r="S64" i="14"/>
  <c r="Q64" i="14" s="1"/>
  <c r="S63" i="14"/>
  <c r="Q63" i="14" s="1"/>
  <c r="S66" i="14"/>
  <c r="Q66" i="14" s="1"/>
  <c r="S62" i="14"/>
  <c r="Q62" i="14" s="1"/>
  <c r="S65" i="14"/>
  <c r="Q65" i="14" s="1"/>
  <c r="S67" i="14"/>
  <c r="Q67" i="14" s="1"/>
  <c r="J140" i="27"/>
  <c r="I116" i="27" s="1"/>
  <c r="J142" i="27"/>
  <c r="I118" i="27" s="1"/>
  <c r="I119" i="27"/>
  <c r="AO293" i="1" s="1"/>
  <c r="J141" i="27"/>
  <c r="I117" i="27" s="1"/>
  <c r="G192" i="27"/>
  <c r="E221" i="27"/>
  <c r="E193" i="27"/>
  <c r="AH291" i="1"/>
  <c r="AC291" i="1"/>
  <c r="I189" i="28"/>
  <c r="I185" i="28"/>
  <c r="I188" i="28"/>
  <c r="I184" i="28"/>
  <c r="I191" i="28"/>
  <c r="I187" i="28"/>
  <c r="I183" i="28"/>
  <c r="I190" i="28"/>
  <c r="I186" i="28"/>
  <c r="I192" i="28"/>
  <c r="AC292" i="1"/>
  <c r="H121" i="26" s="1"/>
  <c r="AH292" i="1"/>
  <c r="H122" i="26" s="1"/>
  <c r="L139" i="28"/>
  <c r="G149" i="28"/>
  <c r="J139" i="28"/>
  <c r="H149" i="28"/>
  <c r="K139" i="28"/>
  <c r="E171" i="26"/>
  <c r="E184" i="26"/>
  <c r="E197" i="26"/>
  <c r="K142" i="27"/>
  <c r="H118" i="27" s="1"/>
  <c r="K140" i="27"/>
  <c r="H116" i="27" s="1"/>
  <c r="K141" i="27"/>
  <c r="H117" i="27" s="1"/>
  <c r="H119" i="27"/>
  <c r="AO292" i="1" s="1"/>
  <c r="G119" i="27"/>
  <c r="AO291" i="1" s="1"/>
  <c r="L142" i="27"/>
  <c r="G118" i="27" s="1"/>
  <c r="L140" i="27"/>
  <c r="G116" i="27" s="1"/>
  <c r="L141" i="27"/>
  <c r="G117" i="27" s="1"/>
  <c r="E216" i="26"/>
  <c r="G217" i="26"/>
  <c r="E217" i="26" s="1"/>
  <c r="I216" i="27"/>
  <c r="I217" i="27" s="1"/>
  <c r="AH398" i="1"/>
  <c r="H216" i="27"/>
  <c r="H217" i="27" s="1"/>
  <c r="G216" i="27"/>
  <c r="AK391" i="1"/>
  <c r="J18" i="30" s="1"/>
  <c r="J216" i="27"/>
  <c r="J217" i="27" s="1"/>
  <c r="E215" i="28"/>
  <c r="G193" i="28"/>
  <c r="T294" i="1"/>
  <c r="G121" i="25"/>
  <c r="K121" i="25" s="1"/>
  <c r="AC293" i="1"/>
  <c r="I121" i="26" s="1"/>
  <c r="AH293" i="1"/>
  <c r="I122" i="26" s="1"/>
  <c r="H191" i="28"/>
  <c r="H187" i="28"/>
  <c r="H183" i="28"/>
  <c r="H190" i="28"/>
  <c r="H186" i="28"/>
  <c r="H192" i="28"/>
  <c r="H189" i="28"/>
  <c r="H185" i="28"/>
  <c r="H188" i="28"/>
  <c r="H184" i="28"/>
  <c r="K188" i="28"/>
  <c r="K186" i="28"/>
  <c r="K189" i="28"/>
  <c r="K184" i="28"/>
  <c r="K191" i="28"/>
  <c r="K185" i="28"/>
  <c r="K187" i="28"/>
  <c r="K183" i="28"/>
  <c r="K190" i="28"/>
  <c r="K192" i="28"/>
  <c r="Y294" i="1"/>
  <c r="G122" i="25"/>
  <c r="K122" i="25" s="1"/>
  <c r="J19" i="30" l="1"/>
  <c r="E112" i="30"/>
  <c r="E18" i="30"/>
  <c r="G186" i="26"/>
  <c r="G191" i="26"/>
  <c r="G190" i="26"/>
  <c r="G188" i="26"/>
  <c r="G187" i="26"/>
  <c r="G189" i="26"/>
  <c r="G184" i="26"/>
  <c r="G183" i="26"/>
  <c r="G185" i="26"/>
  <c r="X64" i="14"/>
  <c r="Z64" i="14" s="1"/>
  <c r="O64" i="14"/>
  <c r="O67" i="14"/>
  <c r="X67" i="14"/>
  <c r="Z67" i="14" s="1"/>
  <c r="X63" i="14"/>
  <c r="Z63" i="14" s="1"/>
  <c r="O63" i="14"/>
  <c r="X65" i="14"/>
  <c r="Z65" i="14" s="1"/>
  <c r="O65" i="14"/>
  <c r="X62" i="14"/>
  <c r="Z62" i="14" s="1"/>
  <c r="O62" i="14"/>
  <c r="O66" i="14"/>
  <c r="X66" i="14"/>
  <c r="Z66" i="14" s="1"/>
  <c r="Q61" i="14"/>
  <c r="S69" i="14"/>
  <c r="S70" i="14" s="1"/>
  <c r="G192" i="28"/>
  <c r="E221" i="28"/>
  <c r="E193" i="28"/>
  <c r="E216" i="27"/>
  <c r="G217" i="27"/>
  <c r="E217" i="27" s="1"/>
  <c r="AQ291" i="1"/>
  <c r="AL291" i="1"/>
  <c r="K142" i="28"/>
  <c r="H118" i="28" s="1"/>
  <c r="H119" i="28"/>
  <c r="AX292" i="1" s="1"/>
  <c r="K141" i="28"/>
  <c r="H117" i="28" s="1"/>
  <c r="K140" i="28"/>
  <c r="H116" i="28" s="1"/>
  <c r="L140" i="28"/>
  <c r="G116" i="28" s="1"/>
  <c r="G119" i="28"/>
  <c r="AX291" i="1" s="1"/>
  <c r="L141" i="28"/>
  <c r="G117" i="28" s="1"/>
  <c r="L142" i="28"/>
  <c r="G118" i="28" s="1"/>
  <c r="E171" i="27"/>
  <c r="E184" i="27"/>
  <c r="E197" i="27"/>
  <c r="AQ293" i="1"/>
  <c r="I122" i="27" s="1"/>
  <c r="AL293" i="1"/>
  <c r="I121" i="27" s="1"/>
  <c r="AQ292" i="1"/>
  <c r="H122" i="27" s="1"/>
  <c r="AL292" i="1"/>
  <c r="H121" i="27" s="1"/>
  <c r="G121" i="26"/>
  <c r="K121" i="26" s="1"/>
  <c r="AC294" i="1"/>
  <c r="H216" i="28"/>
  <c r="H217" i="28" s="1"/>
  <c r="AK398" i="1"/>
  <c r="J216" i="28"/>
  <c r="J217" i="28" s="1"/>
  <c r="I216" i="28"/>
  <c r="I217" i="28" s="1"/>
  <c r="G216" i="28"/>
  <c r="J142" i="28"/>
  <c r="I118" i="28" s="1"/>
  <c r="J141" i="28"/>
  <c r="I117" i="28" s="1"/>
  <c r="J140" i="28"/>
  <c r="I116" i="28" s="1"/>
  <c r="I119" i="28"/>
  <c r="AX293" i="1" s="1"/>
  <c r="AH294" i="1"/>
  <c r="G122" i="26"/>
  <c r="K122" i="26" s="1"/>
  <c r="G190" i="27" l="1"/>
  <c r="G189" i="27"/>
  <c r="G184" i="27"/>
  <c r="G191" i="27"/>
  <c r="G186" i="27"/>
  <c r="G185" i="27"/>
  <c r="G188" i="27"/>
  <c r="G187" i="27"/>
  <c r="G183" i="27"/>
  <c r="E130" i="30"/>
  <c r="E124" i="30"/>
  <c r="E127" i="30"/>
  <c r="E19" i="30"/>
  <c r="E113" i="30"/>
  <c r="O61" i="14"/>
  <c r="X61" i="14"/>
  <c r="Z61" i="14" s="1"/>
  <c r="Z69" i="14" s="1"/>
  <c r="Z70" i="14" s="1"/>
  <c r="Z107" i="14" s="1"/>
  <c r="B69" i="14"/>
  <c r="AL294" i="1"/>
  <c r="G121" i="27"/>
  <c r="K121" i="27" s="1"/>
  <c r="AQ294" i="1"/>
  <c r="G122" i="27"/>
  <c r="K122" i="27" s="1"/>
  <c r="AZ293" i="1"/>
  <c r="I122" i="28" s="1"/>
  <c r="AU293" i="1"/>
  <c r="I121" i="28" s="1"/>
  <c r="E216" i="28"/>
  <c r="G217" i="28"/>
  <c r="E217" i="28" s="1"/>
  <c r="AU291" i="1"/>
  <c r="AZ291" i="1"/>
  <c r="AU292" i="1"/>
  <c r="H121" i="28" s="1"/>
  <c r="AZ292" i="1"/>
  <c r="H122" i="28" s="1"/>
  <c r="E171" i="28"/>
  <c r="E184" i="28"/>
  <c r="E197" i="28"/>
  <c r="E125" i="30" l="1"/>
  <c r="E128" i="30"/>
  <c r="E131" i="30"/>
  <c r="G187" i="28"/>
  <c r="G189" i="28"/>
  <c r="G188" i="28"/>
  <c r="G183" i="28"/>
  <c r="G190" i="28"/>
  <c r="G185" i="28"/>
  <c r="G184" i="28"/>
  <c r="G186" i="28"/>
  <c r="G191" i="28"/>
  <c r="G122" i="28"/>
  <c r="K122" i="28" s="1"/>
  <c r="AZ294" i="1"/>
  <c r="G121" i="28"/>
  <c r="K121" i="28" s="1"/>
  <c r="AU294" i="1"/>
</calcChain>
</file>

<file path=xl/sharedStrings.xml><?xml version="1.0" encoding="utf-8"?>
<sst xmlns="http://schemas.openxmlformats.org/spreadsheetml/2006/main" count="3584" uniqueCount="877">
  <si>
    <t>SELEZIONA da qui il TRIMESTRE per il quale ATTIVARE questo sistema.</t>
  </si>
  <si>
    <t>----&gt;</t>
  </si>
  <si>
    <t>2° TRIMESTRE</t>
  </si>
  <si>
    <t>3° TRIMESTRE</t>
  </si>
  <si>
    <t>4° TRIMESTRE</t>
  </si>
  <si>
    <t>Questo foglio restituisce i TOTALI calcolati in un determinato PERIODO di TEMPO da te richiesto. Puoi fare una</t>
  </si>
  <si>
    <t>A fondo pagina di ogni mese ci sono 3 GRAFICI . In particolare il terzo grafico, evidenziato in giallo, si riferisce</t>
  </si>
  <si>
    <t>In coda al sistema ci sono 2 fogli di spiegazione aggiuntiva (SA.1 / SA.2) che possono essere eliminati senza</t>
  </si>
  <si>
    <t>danneggiare il sistema.</t>
  </si>
  <si>
    <t xml:space="preserve"> ESEMPI di configurazione (per il foglio IMPOSTAZIONI) li trovi on line</t>
  </si>
  <si>
    <t>In coda al sistema ci sono 2 pagine di spiegazioni aggiuntive:</t>
  </si>
  <si>
    <t>I fogli SA.1 / SA.2</t>
  </si>
  <si>
    <t>Se lo compili, potrai confrontare i valori registrati durante l' anno IN CORSO con quelli di 3 ANNI PRECEDENTI.</t>
  </si>
  <si>
    <t>34074 Monfalcone, GO - P. IVA 01151800313</t>
  </si>
  <si>
    <t>EXTRA NOTE  fuori stampa</t>
  </si>
  <si>
    <t>L' inserimento del Codice di Proprietà, che viene inviato via P.E.C., estende tutti</t>
  </si>
  <si>
    <t>i diritti anche al Titolare del Sistema individuato nell' ANAGRAFICA di questo file.</t>
  </si>
  <si>
    <t>Per qualsiasi altra informazione contattami liberamente via mail.</t>
  </si>
  <si>
    <t>Per la massima tranquillità sull' uso di questo strumento, consulta il tuo referente fiscale di fiducia.</t>
  </si>
  <si>
    <t>In caso di dubbi sulla validità FISCALE del sistema, usalo liberamente come PRIMANOTA contabile</t>
  </si>
  <si>
    <t>e contattami per maggiori informazioni.</t>
  </si>
  <si>
    <t>Rimuovere le protezioni originali, far circolare una parte del sistema o qualsiasi altro utilizzo (anche parziale, anche dei</t>
  </si>
  <si>
    <t>Verifica le NOTE che trovi qui a destra</t>
  </si>
  <si>
    <t>---&gt;</t>
  </si>
  <si>
    <t>6) Hai usato il codice di un altro sistema? Ogni sistema ha il suo proprio codice:</t>
  </si>
  <si>
    <t>Per qualsiasi altra cosa, contattami dopo aver considerato questi punti.</t>
  </si>
  <si>
    <t>Leggi attentamente questa presentazione, osserva le "Note pratiche" e richiedi liberamente informazioni via mail.</t>
  </si>
  <si>
    <t>Sezione info</t>
  </si>
  <si>
    <t>About me</t>
  </si>
  <si>
    <t>I tuoi</t>
  </si>
  <si>
    <t>Unità M.</t>
  </si>
  <si>
    <t>Operazioni non assoggettate</t>
  </si>
  <si>
    <r>
      <t xml:space="preserve">Componi il TUO registro sulla base di queste TABELLE. </t>
    </r>
    <r>
      <rPr>
        <i/>
        <u/>
        <sz val="11"/>
        <color indexed="63"/>
        <rFont val="Corbel"/>
        <family val="2"/>
      </rPr>
      <t>Puoi modificarne i testi - al momento presenti a titolo di esempio - ed utilizzare gli spazi vuoti per ulteriori personalizzazioni</t>
    </r>
    <r>
      <rPr>
        <i/>
        <sz val="11"/>
        <color indexed="63"/>
        <rFont val="Corbel"/>
        <family val="2"/>
      </rPr>
      <t>.</t>
    </r>
  </si>
  <si>
    <t>Sistema interamente originale. Versione completa. Non necessita di aggiornamenti.</t>
  </si>
  <si>
    <t>PROPRIETA' illimitata del file</t>
  </si>
  <si>
    <t>L' ANAGRAFICA si compila nel foglio  IMPOSTAZIONI</t>
  </si>
  <si>
    <t>Il codice si acquista 1 volta ed attiva tutti i registri ogni anno</t>
  </si>
  <si>
    <r>
      <t xml:space="preserve">Il sistema conta </t>
    </r>
    <r>
      <rPr>
        <b/>
        <sz val="10"/>
        <color indexed="23"/>
        <rFont val="Tahoma"/>
        <family val="2"/>
      </rPr>
      <t>18 fogli</t>
    </r>
    <r>
      <rPr>
        <sz val="10"/>
        <color indexed="23"/>
        <rFont val="Tahoma"/>
        <family val="2"/>
      </rPr>
      <t xml:space="preserve"> compreso il presente. I fogli NON POSSONO ESSERE ELIMINATI altrimenti l' intero sistema</t>
    </r>
  </si>
  <si>
    <t>TESTO BREVE nel</t>
  </si>
  <si>
    <t>GRAFICO 1</t>
  </si>
  <si>
    <t>GRAFICO 2</t>
  </si>
  <si>
    <t>Proporzione degli importi</t>
  </si>
  <si>
    <t>Proporzione del periodo</t>
  </si>
  <si>
    <t>rispetto all' importo più grande</t>
  </si>
  <si>
    <t>rispetto alla somma dei periodi</t>
  </si>
  <si>
    <t>Seleziona il tipo di unità di misura</t>
  </si>
  <si>
    <t>Tabella 2 / testo riga 2</t>
  </si>
  <si>
    <t>Inserisci</t>
  </si>
  <si>
    <t>Operazioni IVA</t>
  </si>
  <si>
    <t>NON ASSOGGETTATE</t>
  </si>
  <si>
    <t>che non richiede aggiornamenti e si può utilizzare ogni anno.</t>
  </si>
  <si>
    <t>Questa nuova versione si diversifica dalle precedenti per essere</t>
  </si>
  <si>
    <t>dal totale del giorno.</t>
  </si>
  <si>
    <t>Se sei già in possesso del Codice di Proprietà di una versione precedente,</t>
  </si>
  <si>
    <t>contemporaneamente (sempre attivate con lo stesso codice).</t>
  </si>
  <si>
    <t>5.0 o superiore</t>
  </si>
  <si>
    <t>puoi utilizzarlo ANCHE in questa versione.</t>
  </si>
  <si>
    <t>Sei in possesso di un sistema originale completo versione</t>
  </si>
  <si>
    <t>PRIMANOTA dei Corrispettivi</t>
  </si>
  <si>
    <t>Primanota VENDITE</t>
  </si>
  <si>
    <t>Primanota ACQUISTI</t>
  </si>
  <si>
    <t>Primanota CONTABILE</t>
  </si>
  <si>
    <t>VENDITE</t>
  </si>
  <si>
    <t>VENDITA</t>
  </si>
  <si>
    <t>conteggiata</t>
  </si>
  <si>
    <t>DEBITO +</t>
  </si>
  <si>
    <t>CREDITO -</t>
  </si>
  <si>
    <t>CREDITO +</t>
  </si>
  <si>
    <t>DEBITO -</t>
  </si>
  <si>
    <t>differenza</t>
  </si>
  <si>
    <t>saldo</t>
  </si>
  <si>
    <t>DEBITO /</t>
  </si>
  <si>
    <t>Questo foglio restituisce tutti gli importi anche per un periodo di tempo individuato da un numero preciso di "Giorni Lavorativi".</t>
  </si>
  <si>
    <t>"Giorni Lavorativi" per il sistema sono quelli selezionati con un "SI" nel foglio IMPOSTAZIONI.</t>
  </si>
  <si>
    <t>Il principio secondo il quale è lecito ed è sufficiente fornire tutti gli elementi del registro, stampandolo</t>
  </si>
  <si>
    <r>
      <t xml:space="preserve">Il confronto con "NR. GG. Lavorativi Precedenti" diventa sempre più opportuno e congruo </t>
    </r>
    <r>
      <rPr>
        <u/>
        <sz val="10"/>
        <color indexed="23"/>
        <rFont val="Tahoma"/>
        <family val="2"/>
      </rPr>
      <t>con il trascorrere dell' anno in corso</t>
    </r>
    <r>
      <rPr>
        <sz val="10"/>
        <color indexed="23"/>
        <rFont val="Tahoma"/>
        <family val="2"/>
      </rPr>
      <t>.</t>
    </r>
  </si>
  <si>
    <t>Fino a 4 aliq. diverse</t>
  </si>
  <si>
    <r>
      <t xml:space="preserve">Questo foglio è collegato al foglio  IMPOSTAZIONI  dal quale riceve le impostazioni correnti. </t>
    </r>
    <r>
      <rPr>
        <i/>
        <u/>
        <sz val="11"/>
        <color indexed="23"/>
        <rFont val="Corbel"/>
        <family val="2"/>
      </rPr>
      <t>Non si possono modificare da qui</t>
    </r>
    <r>
      <rPr>
        <i/>
        <sz val="11"/>
        <color indexed="23"/>
        <rFont val="Corbel"/>
        <family val="2"/>
      </rPr>
      <t>.</t>
    </r>
  </si>
  <si>
    <r>
      <t xml:space="preserve">L' utilizzo di questo foglio NON è obbligatorio né necessario per il corretto funzionamento dell' intero sistema. </t>
    </r>
    <r>
      <rPr>
        <i/>
        <u/>
        <sz val="11"/>
        <color indexed="23"/>
        <rFont val="Corbel"/>
        <family val="2"/>
      </rPr>
      <t>NON ELIMINARE</t>
    </r>
  </si>
  <si>
    <r>
      <t>comunque il foglio</t>
    </r>
    <r>
      <rPr>
        <i/>
        <sz val="11"/>
        <color indexed="23"/>
        <rFont val="Corbel"/>
        <family val="2"/>
      </rPr>
      <t xml:space="preserve">.  Se lo compili, attiverai  tutti i grafici relativi anche al valore dei Corrispettivi degli </t>
    </r>
    <r>
      <rPr>
        <i/>
        <u/>
        <sz val="11"/>
        <color indexed="23"/>
        <rFont val="Corbel"/>
        <family val="2"/>
      </rPr>
      <t>anni precedenti</t>
    </r>
    <r>
      <rPr>
        <i/>
        <sz val="11"/>
        <color indexed="23"/>
        <rFont val="Corbel"/>
        <family val="2"/>
      </rPr>
      <t>.</t>
    </r>
  </si>
  <si>
    <t>Colonna 5</t>
  </si>
  <si>
    <t>Colonna 6</t>
  </si>
  <si>
    <t>Colonna 7</t>
  </si>
  <si>
    <t>In questo specchietto superiore, per "ANNO IN CORSO" alcuni importi possono portare differenze di arrotondamento rispetto ai totali espressi</t>
  </si>
  <si>
    <t>nel foglio RIEPILOGO, che invece devono essere presi come riferimento preciso per tutti i conteggi effettuati dal sistema.</t>
  </si>
  <si>
    <t>Per ogni colonna usata, inserisci manualmente qui sotto gli importi  NETTO e IVA  relativi agli anni precedenti.</t>
  </si>
  <si>
    <t>&lt;-----  Visualizza il grafico per tipo di importo</t>
  </si>
  <si>
    <t>Fin tanto che NON inserisci il tuo codice di proprietà in questo file, alcuni fogli MENSILI sono DISATTIVATI.</t>
  </si>
  <si>
    <t>Per avere una visione completa dei saldi di 1 ANNO nel foglio  RIEPILOGO, puoi utilizzare quest' area per integrare il sistema con tuoi importi esterni.</t>
  </si>
  <si>
    <t>CODICE di PROPRIETA'</t>
  </si>
  <si>
    <t>Il codice è assegnato in monoutenza ad una specifica Ragione Sociale / Partita IVA.</t>
  </si>
  <si>
    <t>Il foglio  VERIFICA  considera solo gli importi inseriti quotidianamente nei fogli ATTIVI.</t>
  </si>
  <si>
    <t>II</t>
  </si>
  <si>
    <t>III</t>
  </si>
  <si>
    <r>
      <t xml:space="preserve">E' possibile intervenire temporaneamente sulla configurazione standard del tuo registro. </t>
    </r>
    <r>
      <rPr>
        <i/>
        <u/>
        <sz val="11"/>
        <color indexed="23"/>
        <rFont val="Corbel"/>
        <family val="2"/>
      </rPr>
      <t>Ad esempio per operazioni straordinarie per le quali non era stata creata una apposita colonna IVA</t>
    </r>
    <r>
      <rPr>
        <i/>
        <sz val="11"/>
        <color indexed="23"/>
        <rFont val="Corbel"/>
        <family val="2"/>
      </rPr>
      <t>.</t>
    </r>
  </si>
  <si>
    <t>Agisci in questo pannello seguendo le specifiche richieste: 1) Nr. colonna da modificare, 2) Configurazione della colonna temporanea, 3) indicazioni dei MESI nei quali applicare la modifica.</t>
  </si>
  <si>
    <t>Modifiche temporanee al tuo registro standard   -   AREA NON OBBLIGATORIA</t>
  </si>
  <si>
    <t>Le operazioni da considerare per la quadratura TOTALE dell' ANNO sono le seguenti:</t>
  </si>
  <si>
    <t>MESE:</t>
  </si>
  <si>
    <t>Ticket incassati</t>
  </si>
  <si>
    <t>T I C K E T</t>
  </si>
  <si>
    <t>R E S I</t>
  </si>
  <si>
    <t>Adeguamento a IVA già conteggiata</t>
  </si>
  <si>
    <t>Acquisti effettuati nel periodo suddivisi per aliquota IVA</t>
  </si>
  <si>
    <t>Eventuali operazioni ad INTEGRAZIONE o ASSESTAMENTO:</t>
  </si>
  <si>
    <t>Totale EUR</t>
  </si>
  <si>
    <t>Base per ripartizioni di fine anno</t>
  </si>
  <si>
    <t>Acquisti comprensivi integrazioni / assestamento</t>
  </si>
  <si>
    <t>IMPORTI</t>
  </si>
  <si>
    <t>QUOTE</t>
  </si>
  <si>
    <t>Fine anno</t>
  </si>
  <si>
    <t>Suddivisione dell' importo da ventilare negli</t>
  </si>
  <si>
    <t>scaglioni di aliquota, per quote di fine anno.</t>
  </si>
  <si>
    <t>Importi a</t>
  </si>
  <si>
    <t>CONGUAGLIO</t>
  </si>
  <si>
    <t>Segui le istruzioni che trovi nel foglio; ricorda che puoi modificare tutte le diciture che ora trovi solo per esempio.</t>
  </si>
  <si>
    <t>Verifica il foglio IMPOSTAZIONI e modifica eventualmente da lì la configurazione.</t>
  </si>
  <si>
    <t>Se già utilizzavi una versione precedente, puoi passare a questa nuova con il TUO STESSO codice di proprietà.</t>
  </si>
  <si>
    <t>ricerca PER DATA (dal giorno/al giorno), oppure PER SETTIMANA (dalla numero/alla numero). Ottenuta questa</t>
  </si>
  <si>
    <t>prima informazioni, puoi ancora effettuare una SECONDA RICERCA parallela alla prima. Il sistema CONFRONTA</t>
  </si>
  <si>
    <t>L' acquisto del codice di proprietà non ti solleverà dalle tue ordinarie responsabilità sulla corretta</t>
  </si>
  <si>
    <r>
      <t>Il sistema si sviluppa in COLONNE che PUOI CONFIGURARE LIBERAMENTE</t>
    </r>
    <r>
      <rPr>
        <sz val="10"/>
        <color indexed="63"/>
        <rFont val="Tahoma"/>
        <family val="2"/>
      </rPr>
      <t>. Da 2 a 10 colonne disponibili.</t>
    </r>
  </si>
  <si>
    <t>Puoi usare anche più di una copia di questi sistemi contemporaneamente.</t>
  </si>
  <si>
    <r>
      <t xml:space="preserve">Da questa versione (5.0) puoi </t>
    </r>
    <r>
      <rPr>
        <sz val="10"/>
        <color indexed="10"/>
        <rFont val="Tahoma"/>
        <family val="2"/>
      </rPr>
      <t>ESCLUDERE</t>
    </r>
    <r>
      <rPr>
        <sz val="10"/>
        <color indexed="63"/>
        <rFont val="Tahoma"/>
        <family val="2"/>
      </rPr>
      <t xml:space="preserve"> una o più colonne dalla somma del totale giornaliero.</t>
    </r>
  </si>
  <si>
    <r>
      <t xml:space="preserve">predisposta anche a conteggi di liquidazione IVA con il metodo </t>
    </r>
    <r>
      <rPr>
        <i/>
        <u/>
        <sz val="10"/>
        <color indexed="63"/>
        <rFont val="Corbel"/>
        <family val="2"/>
      </rPr>
      <t>VENTILAZIONE</t>
    </r>
  </si>
  <si>
    <t>Prima di tutto compila il foglio IMPOSTAZIONI. Devi convalidare il sistema con UNA TUA configurazione idonea.</t>
  </si>
  <si>
    <t>Esistono registri da DUE colonne fino a DIECI colonne.</t>
  </si>
  <si>
    <r>
      <t xml:space="preserve">e per la possibilità di selezionare una o più colonne da </t>
    </r>
    <r>
      <rPr>
        <i/>
        <u/>
        <sz val="10"/>
        <color indexed="63"/>
        <rFont val="Corbel"/>
        <family val="2"/>
      </rPr>
      <t>ESCLUDERE</t>
    </r>
  </si>
  <si>
    <t>Esistono versioni speciali di questo Registro,</t>
  </si>
  <si>
    <t>che gestiscono anche valori in QUANTITA' DI PRODOTTO</t>
  </si>
  <si>
    <t xml:space="preserve"> e ROYALTIES.</t>
  </si>
  <si>
    <t>Contattami liberamente via mail in caso di necessità particolari.</t>
  </si>
  <si>
    <t>si possono eliminare senza danneggiare il sistema.</t>
  </si>
  <si>
    <t>Gli ESEMPI e le spiegazioni dettagliate sono sempre disponibili anche</t>
  </si>
  <si>
    <t>on line al sito www.marcopiccoli.it.</t>
  </si>
  <si>
    <t>Indirizzo esteso UBICAZIONE dell' Esercizio (facoltativo)</t>
  </si>
  <si>
    <t>Inserisci la tua Ragione Sociale</t>
  </si>
  <si>
    <t>Indirizzo per esteso</t>
  </si>
  <si>
    <t>Vendite con Ricevuta Fiscale</t>
  </si>
  <si>
    <t>RIC. FISCALE</t>
  </si>
  <si>
    <t>Merce resa</t>
  </si>
  <si>
    <t>BANCO</t>
  </si>
  <si>
    <t>NON BANCO</t>
  </si>
  <si>
    <t>al tuo Registro standard".</t>
  </si>
  <si>
    <t>Le colonne 5, 6 e 7 si attivano dall' area "Modifiche temporanee</t>
  </si>
  <si>
    <t>Il sistema si sviluppa in 3 righe. E' obbligatoria la configurazione delle prime 2 righe di almeno 1 colonna del registro per CONVALIDARE il file.</t>
  </si>
  <si>
    <t>Composizione dei pagamenti EUR:</t>
  </si>
  <si>
    <t>Questa procedura guidata di chiusura serale NON è obbligatoria. E' una opzione libera che va</t>
  </si>
  <si>
    <t>soprattutto a vantaggio della CONTABILITA'. Contattami per esigenze particolari.</t>
  </si>
  <si>
    <r>
      <t xml:space="preserve">CONTENUTO DI UNA CELLA. CON </t>
    </r>
    <r>
      <rPr>
        <sz val="8"/>
        <color indexed="10"/>
        <rFont val="Tahoma"/>
        <family val="2"/>
      </rPr>
      <t>MAC</t>
    </r>
    <r>
      <rPr>
        <sz val="8"/>
        <color indexed="23"/>
        <rFont val="Tahoma"/>
        <family val="2"/>
      </rPr>
      <t xml:space="preserve"> USA IL</t>
    </r>
  </si>
  <si>
    <t>Se usi più di 4 colonne IVA in 1 MESE, devi usare un altro file con più colonne.</t>
  </si>
  <si>
    <t>Qui le versioni da 2 / 3 / 4 / 5 / 6 / 7 e 10 COLONNE.</t>
  </si>
  <si>
    <t>ANCHE per altre tue esigenze contabili, ad esempio per la registrazione del totale degli acquisti.</t>
  </si>
  <si>
    <t>Ti ricordo che si possono usare anche più copie del sistema</t>
  </si>
  <si>
    <r>
      <t>Quest' area si utilizza anche in caso di modifiche alle normative IVA</t>
    </r>
    <r>
      <rPr>
        <i/>
        <sz val="11"/>
        <color indexed="63"/>
        <rFont val="Corbel"/>
        <family val="2"/>
      </rPr>
      <t>, ad esempio per cambio di aliquota in corso d' anno. In alternativa puoi scaricare un file con una colonna in più, di riserva.</t>
    </r>
  </si>
  <si>
    <t>Questo foglio può essere eliminato SENZA danneggiare il sistema.</t>
  </si>
  <si>
    <t>Torna alle IMPOSTAZIONI</t>
  </si>
  <si>
    <t>Spiegazione aggiuntiva per il foglio CASSA</t>
  </si>
  <si>
    <t>Torna al foglio CASSA</t>
  </si>
  <si>
    <t>A fine giornata puoi utilizzare il foglio CASSA per la QUADRATURA del contante ed annotare altre informazioni</t>
  </si>
  <si>
    <t>dall' alto in basso, in 4 sezioni: 1) RAPPORTINO del giorno per la contabilità, 2) RICEVUTA di consegna dell'</t>
  </si>
  <si>
    <t>incasso, 3) RICOMPOSIZIONE del F.do cassa iniziale, 4) Distinta analitica dei TITOLI incassati nel giorno.</t>
  </si>
  <si>
    <t>Tutti i valori mensili vengono restituiti nel foglio RIEPILOGO. Il foglio NON può essere modificato in nessuna parte.</t>
  </si>
  <si>
    <r>
      <t xml:space="preserve">Nel foglio VERIFICA c'è un </t>
    </r>
    <r>
      <rPr>
        <u/>
        <sz val="10"/>
        <color indexed="63"/>
        <rFont val="Tahoma"/>
        <family val="2"/>
      </rPr>
      <t>pannello di controllo</t>
    </r>
    <r>
      <rPr>
        <sz val="10"/>
        <color indexed="63"/>
        <rFont val="Tahoma"/>
        <family val="2"/>
      </rPr>
      <t xml:space="preserve"> dove agisci per </t>
    </r>
    <r>
      <rPr>
        <u/>
        <sz val="10"/>
        <color indexed="63"/>
        <rFont val="Tahoma"/>
        <family val="2"/>
      </rPr>
      <t>VERIFICARE e CONFRONTARE</t>
    </r>
    <r>
      <rPr>
        <sz val="10"/>
        <color indexed="63"/>
        <rFont val="Tahoma"/>
        <family val="2"/>
      </rPr>
      <t xml:space="preserve"> gli importi annotati.</t>
    </r>
  </si>
  <si>
    <t>testi, anche a titolo gratuito) diverso dalle disposizioni originarie del file, sarà considerata violazione delle norme sulle</t>
  </si>
  <si>
    <t>opere d' ingegno. Il sistema originale privo di virus e malware si scarica al sito www.marcopiccoli.it.</t>
  </si>
  <si>
    <r>
      <t xml:space="preserve">Con il Calendario Settimanale imposti i  "Giorni Lavorativi" ordinari. Questa particolare informazione è gestita dal Sistema e la ritrovi nel foglio </t>
    </r>
    <r>
      <rPr>
        <sz val="11"/>
        <color indexed="23"/>
        <rFont val="Tahoma"/>
        <family val="2"/>
      </rPr>
      <t>VERIFICA</t>
    </r>
    <r>
      <rPr>
        <i/>
        <sz val="11"/>
        <color indexed="23"/>
        <rFont val="Corbel"/>
        <family val="2"/>
      </rPr>
      <t>.</t>
    </r>
  </si>
  <si>
    <t>Calendario Annuale (area facoltativa)</t>
  </si>
  <si>
    <r>
      <t xml:space="preserve">poi questi 2 blocchi di informazione: 1° ricerca (periodo BLU) </t>
    </r>
    <r>
      <rPr>
        <u/>
        <sz val="10"/>
        <color indexed="63"/>
        <rFont val="Tahoma"/>
        <family val="2"/>
      </rPr>
      <t>A CONFRONTO CON</t>
    </r>
    <r>
      <rPr>
        <sz val="10"/>
        <color indexed="63"/>
        <rFont val="Tahoma"/>
        <family val="2"/>
      </rPr>
      <t xml:space="preserve"> la 2° ricerca (periodo ROSSO). </t>
    </r>
  </si>
  <si>
    <r>
      <t xml:space="preserve">ai valori inseriti nel foglio STORICO. </t>
    </r>
    <r>
      <rPr>
        <u/>
        <sz val="10"/>
        <color indexed="63"/>
        <rFont val="Tahoma"/>
        <family val="2"/>
      </rPr>
      <t>Non è obbligatorio utilizzare questo foglio, è un qualcosa in più.</t>
    </r>
  </si>
  <si>
    <t>Codice di integrità sistema</t>
  </si>
  <si>
    <t>I</t>
  </si>
  <si>
    <t>Esente Art.</t>
  </si>
  <si>
    <t>Escluso Art.</t>
  </si>
  <si>
    <t>Non Imp. Art.</t>
  </si>
  <si>
    <t>ANNO</t>
  </si>
  <si>
    <t>CORRISPETTIVI</t>
  </si>
  <si>
    <t>Riporto</t>
  </si>
  <si>
    <t>Ragione sociale</t>
  </si>
  <si>
    <t>Partita IVA</t>
  </si>
  <si>
    <t>Indirizzo</t>
  </si>
  <si>
    <t>C.A.P.</t>
  </si>
  <si>
    <t>Città</t>
  </si>
  <si>
    <t>Provincia</t>
  </si>
  <si>
    <t>Visto Direzione</t>
  </si>
  <si>
    <t>Aliquota</t>
  </si>
  <si>
    <t>%</t>
  </si>
  <si>
    <t>Art.</t>
  </si>
  <si>
    <t>.</t>
  </si>
  <si>
    <t>FATTURA</t>
  </si>
  <si>
    <t>F</t>
  </si>
  <si>
    <t>ESENTE</t>
  </si>
  <si>
    <t>GENNAIO</t>
  </si>
  <si>
    <t>LORDO</t>
  </si>
  <si>
    <t>NETTO</t>
  </si>
  <si>
    <t>IVA</t>
  </si>
  <si>
    <t>ESTREMI VERSAMENTO / F24</t>
  </si>
  <si>
    <t>Data</t>
  </si>
  <si>
    <t>IVA a debito</t>
  </si>
  <si>
    <t>IVA a credito</t>
  </si>
  <si>
    <t>IVA PERIODO</t>
  </si>
  <si>
    <t>debito/credito</t>
  </si>
  <si>
    <t>corrispettivi</t>
  </si>
  <si>
    <t>ACQUISTI</t>
  </si>
  <si>
    <t>PRECEDENTE</t>
  </si>
  <si>
    <t>CREDITO</t>
  </si>
  <si>
    <t>+</t>
  </si>
  <si>
    <t>-</t>
  </si>
  <si>
    <t>+/-</t>
  </si>
  <si>
    <t>FEBBRAIO</t>
  </si>
  <si>
    <t>Procedura guidata per la chiusura giornaliera della CASSA</t>
  </si>
  <si>
    <t>GG/MM/AAAA</t>
  </si>
  <si>
    <t>INSERISCI NR.</t>
  </si>
  <si>
    <t>P</t>
  </si>
  <si>
    <t>Annotato il totale CORRISPETTIVI del giorno nel SISTEMA</t>
  </si>
  <si>
    <t>BANCOMAT</t>
  </si>
  <si>
    <t>Assegni Bancari / nr.</t>
  </si>
  <si>
    <t>Assegni Circolari / nr.</t>
  </si>
  <si>
    <t>CONTEGGIO TAGLI BANCONOTE €</t>
  </si>
  <si>
    <t>#</t>
  </si>
  <si>
    <t>CONTEGGIO TAGLI MONETE €</t>
  </si>
  <si>
    <t>F.do CASSA iniziale</t>
  </si>
  <si>
    <t>Note:</t>
  </si>
  <si>
    <t>Compilato da:</t>
  </si>
  <si>
    <t>Registrazione nr.</t>
  </si>
  <si>
    <t>Ricevuta per il cassiere</t>
  </si>
  <si>
    <t>Chiusura cassa del gg.</t>
  </si>
  <si>
    <t>OK</t>
  </si>
  <si>
    <t>Gennaio</t>
  </si>
  <si>
    <t>Febbraio</t>
  </si>
  <si>
    <t>Marzo</t>
  </si>
  <si>
    <t>I Trim.</t>
  </si>
  <si>
    <t>Aprile</t>
  </si>
  <si>
    <t>Maggio</t>
  </si>
  <si>
    <t>Giugno</t>
  </si>
  <si>
    <t>II Trim.</t>
  </si>
  <si>
    <t>Luglio</t>
  </si>
  <si>
    <t>Agosto</t>
  </si>
  <si>
    <t>Settembre</t>
  </si>
  <si>
    <t>III Trim.</t>
  </si>
  <si>
    <t>Ottobre</t>
  </si>
  <si>
    <t>Novembre</t>
  </si>
  <si>
    <t>Dicembre</t>
  </si>
  <si>
    <t>IV Trim.</t>
  </si>
  <si>
    <t>IVA a DEBITO</t>
  </si>
  <si>
    <t>IVA a CREDITO</t>
  </si>
  <si>
    <t>S.do Precedente</t>
  </si>
  <si>
    <t>DATA</t>
  </si>
  <si>
    <r>
      <t>www.marcopiccoli.it</t>
    </r>
    <r>
      <rPr>
        <i/>
        <sz val="8"/>
        <color indexed="23"/>
        <rFont val="Verdana"/>
        <family val="2"/>
      </rPr>
      <t/>
    </r>
  </si>
  <si>
    <t>&gt;</t>
  </si>
  <si>
    <t>giorni</t>
  </si>
  <si>
    <t>Codice di rinnovo</t>
  </si>
  <si>
    <t>Codice di scadenza</t>
  </si>
  <si>
    <t>www.marcopiccoli.it</t>
  </si>
  <si>
    <t>Questo file risulta al momento completamente funzionante ed il sistema rileva tutti i suoi fogli.</t>
  </si>
  <si>
    <t>Con  "OK"  accetti le regole</t>
  </si>
  <si>
    <t>sull' utilizzo di questo file</t>
  </si>
  <si>
    <t>Nome del Titolare</t>
  </si>
  <si>
    <t>P. IVA o Cod. Fiscale</t>
  </si>
  <si>
    <t>A</t>
  </si>
  <si>
    <t>B</t>
  </si>
  <si>
    <t>C</t>
  </si>
  <si>
    <t>D</t>
  </si>
  <si>
    <t>E</t>
  </si>
  <si>
    <t>G</t>
  </si>
  <si>
    <t>H</t>
  </si>
  <si>
    <t>J</t>
  </si>
  <si>
    <t>K</t>
  </si>
  <si>
    <t>L</t>
  </si>
  <si>
    <t>M</t>
  </si>
  <si>
    <t>N</t>
  </si>
  <si>
    <t>O</t>
  </si>
  <si>
    <t>Q</t>
  </si>
  <si>
    <t>R</t>
  </si>
  <si>
    <t>S</t>
  </si>
  <si>
    <t>T</t>
  </si>
  <si>
    <t>U</t>
  </si>
  <si>
    <t>V</t>
  </si>
  <si>
    <t>W</t>
  </si>
  <si>
    <t>X</t>
  </si>
  <si>
    <t>Y</t>
  </si>
  <si>
    <t>Z</t>
  </si>
  <si>
    <t>à</t>
  </si>
  <si>
    <t>è</t>
  </si>
  <si>
    <t>ù</t>
  </si>
  <si>
    <t>ò</t>
  </si>
  <si>
    <t/>
  </si>
  <si>
    <t>/</t>
  </si>
  <si>
    <t xml:space="preserve"> </t>
  </si>
  <si>
    <t>scadenza</t>
  </si>
  <si>
    <t>Eseguita chiusura FISCALE cassa nr. MF</t>
  </si>
  <si>
    <t>Carte</t>
  </si>
  <si>
    <t>di</t>
  </si>
  <si>
    <t>Nome 2</t>
  </si>
  <si>
    <t>Nome 3</t>
  </si>
  <si>
    <t>Firma per ricevuta</t>
  </si>
  <si>
    <t>ESCLUSO</t>
  </si>
  <si>
    <t>01/01 - 31/01</t>
  </si>
  <si>
    <t>TOTALI DEL PERIODO:</t>
  </si>
  <si>
    <t>Codice integrità</t>
  </si>
  <si>
    <t>01/02 - 28/02</t>
  </si>
  <si>
    <t>01/02 - 29/02</t>
  </si>
  <si>
    <t>MARZO</t>
  </si>
  <si>
    <t>APRILE</t>
  </si>
  <si>
    <t>MAGGIO</t>
  </si>
  <si>
    <t>GIUGNO</t>
  </si>
  <si>
    <t>01/06 - 30/06</t>
  </si>
  <si>
    <t>01/05 - 31/05</t>
  </si>
  <si>
    <t>01/04 - 30/04</t>
  </si>
  <si>
    <t>01/03 - 31/03</t>
  </si>
  <si>
    <t>LUGLIO</t>
  </si>
  <si>
    <t>01/07 - 31/07</t>
  </si>
  <si>
    <t>AGOSTO</t>
  </si>
  <si>
    <t>01/08 - 31/08</t>
  </si>
  <si>
    <t>SETTEMBRE</t>
  </si>
  <si>
    <t>01/09 - 30/09</t>
  </si>
  <si>
    <t>OTTOBRE</t>
  </si>
  <si>
    <t>01/10 - 31/10</t>
  </si>
  <si>
    <t>NOVEMBRE</t>
  </si>
  <si>
    <t>01/11 - 30/11</t>
  </si>
  <si>
    <t>DICEMBRE</t>
  </si>
  <si>
    <t>01/12 - 31/12</t>
  </si>
  <si>
    <t>Rilevato DISAVANZO di €</t>
  </si>
  <si>
    <t>Rilevato un AVANZO di €</t>
  </si>
  <si>
    <t>Attenzione:</t>
  </si>
  <si>
    <t>Corrispettivo NETTO</t>
  </si>
  <si>
    <t>Tra le operazioni non assoggettate ad IVA il sistema rileva:</t>
  </si>
  <si>
    <t>NON specificato</t>
  </si>
  <si>
    <t>La LIQUIDAZIONE IVA del periodo è stata così calcolata ed archiviata:</t>
  </si>
  <si>
    <t>Estremi F24</t>
  </si>
  <si>
    <t>ì</t>
  </si>
  <si>
    <t>"</t>
  </si>
  <si>
    <t>1</t>
  </si>
  <si>
    <t>2</t>
  </si>
  <si>
    <t>3</t>
  </si>
  <si>
    <t>4</t>
  </si>
  <si>
    <t>5</t>
  </si>
  <si>
    <t>6</t>
  </si>
  <si>
    <t>7</t>
  </si>
  <si>
    <t>8</t>
  </si>
  <si>
    <t>9</t>
  </si>
  <si>
    <t>0</t>
  </si>
  <si>
    <t>LUNG. Txt</t>
  </si>
  <si>
    <t>Sistema scaduto</t>
  </si>
  <si>
    <t>Pagina:</t>
  </si>
  <si>
    <t>Codice Fiscale</t>
  </si>
  <si>
    <t>Codice Fiscale attività</t>
  </si>
  <si>
    <t>UBICAZIONE dell' esercizio</t>
  </si>
  <si>
    <t>Corrispettivi</t>
  </si>
  <si>
    <t>€ IVA</t>
  </si>
  <si>
    <t>Inserisci nel sistema</t>
  </si>
  <si>
    <t>INSERISCI</t>
  </si>
  <si>
    <t>VERIFICA</t>
  </si>
  <si>
    <t>Importi LORDI</t>
  </si>
  <si>
    <t>DI CUI IVA</t>
  </si>
  <si>
    <t>€ IMPONIBILE</t>
  </si>
  <si>
    <t>ERROR</t>
  </si>
  <si>
    <t>CANCELLA</t>
  </si>
  <si>
    <t>Aliquote diverse</t>
  </si>
  <si>
    <t>F.C. IVA</t>
  </si>
  <si>
    <t>10</t>
  </si>
  <si>
    <t>RAPPORTINO di chiusura:</t>
  </si>
  <si>
    <t>Pagina WEB del sistema</t>
  </si>
  <si>
    <r>
      <t>non funzionerà</t>
    </r>
    <r>
      <rPr>
        <sz val="10"/>
        <color indexed="23"/>
        <rFont val="Tahoma"/>
        <family val="2"/>
      </rPr>
      <t>. Se succede involontariamente NON SALVARE IL FILE ma chiudilo e riaprilo nuovamente.</t>
    </r>
  </si>
  <si>
    <t>Credito</t>
  </si>
  <si>
    <t>Totale pagamenti documentati €</t>
  </si>
  <si>
    <t>Tot. monete</t>
  </si>
  <si>
    <t>Tot. banconote</t>
  </si>
  <si>
    <t>DAL</t>
  </si>
  <si>
    <t>AL</t>
  </si>
  <si>
    <t>PERIODO</t>
  </si>
  <si>
    <t>Lavorativo</t>
  </si>
  <si>
    <t>CONFRONTA CON</t>
  </si>
  <si>
    <t>GEN</t>
  </si>
  <si>
    <t>FEB</t>
  </si>
  <si>
    <t>MAR</t>
  </si>
  <si>
    <t>APR</t>
  </si>
  <si>
    <t>MAG</t>
  </si>
  <si>
    <t>GIU</t>
  </si>
  <si>
    <t>LUG</t>
  </si>
  <si>
    <t>AGO</t>
  </si>
  <si>
    <t>SET</t>
  </si>
  <si>
    <t>OTT</t>
  </si>
  <si>
    <t>NOV</t>
  </si>
  <si>
    <t>DIC</t>
  </si>
  <si>
    <t>NETTI</t>
  </si>
  <si>
    <t>TOOLS</t>
  </si>
  <si>
    <t>LAV</t>
  </si>
  <si>
    <t>Giorno lavorativo massimo</t>
  </si>
  <si>
    <t>Giorno lavorativo minimo</t>
  </si>
  <si>
    <t>Y primo =</t>
  </si>
  <si>
    <t>Y ultimo =</t>
  </si>
  <si>
    <t>FINANZIAMENTO / ALTRO</t>
  </si>
  <si>
    <t>Nome 1</t>
  </si>
  <si>
    <t>selezionato</t>
  </si>
  <si>
    <t>Anagrafica:</t>
  </si>
  <si>
    <t>Indirizzo:</t>
  </si>
  <si>
    <t>Partita IVA:</t>
  </si>
  <si>
    <t>BIT INTEGRITA'</t>
  </si>
  <si>
    <t>PROPRIETA'</t>
  </si>
  <si>
    <t>SCADENZA</t>
  </si>
  <si>
    <t>INTEGRITA'</t>
  </si>
  <si>
    <t>OK ! Codice corretto.</t>
  </si>
  <si>
    <t>SISTEMA DANNEGGIATO !!! Chiudere senza salvare!</t>
  </si>
  <si>
    <t>CODICE NON VALIDO</t>
  </si>
  <si>
    <t>Visto</t>
  </si>
  <si>
    <r>
      <t>USA IL TASTO -</t>
    </r>
    <r>
      <rPr>
        <sz val="8"/>
        <color indexed="10"/>
        <rFont val="Tahoma"/>
        <family val="2"/>
      </rPr>
      <t xml:space="preserve"> TAB</t>
    </r>
    <r>
      <rPr>
        <sz val="8"/>
        <color indexed="23"/>
        <rFont val="Tahoma"/>
        <family val="2"/>
      </rPr>
      <t xml:space="preserve"> - PER MUOVERE IL CURSORE NELLE</t>
    </r>
  </si>
  <si>
    <t>TI SERVONO PER IL CORRETTO USO DI QUESTO FILE.</t>
  </si>
  <si>
    <r>
      <t>USA IL TASTO -</t>
    </r>
    <r>
      <rPr>
        <sz val="8"/>
        <color indexed="10"/>
        <rFont val="Tahoma"/>
        <family val="2"/>
      </rPr>
      <t xml:space="preserve"> Canc</t>
    </r>
    <r>
      <rPr>
        <sz val="8"/>
        <color indexed="23"/>
        <rFont val="Tahoma"/>
        <family val="2"/>
      </rPr>
      <t xml:space="preserve"> - PER RIMUOVERE IL</t>
    </r>
  </si>
  <si>
    <r>
      <t xml:space="preserve">Questo file funziona solo se lasciato </t>
    </r>
    <r>
      <rPr>
        <b/>
        <sz val="10"/>
        <color indexed="23"/>
        <rFont val="Tahoma"/>
        <family val="2"/>
      </rPr>
      <t>integro in tutte le sue parti</t>
    </r>
    <r>
      <rPr>
        <sz val="10"/>
        <color indexed="23"/>
        <rFont val="Tahoma"/>
        <family val="2"/>
      </rPr>
      <t>. E' garantito il funzionamento con PC - EXCEL .xls o sup.</t>
    </r>
  </si>
  <si>
    <r>
      <t xml:space="preserve">L' annotazione del corrispettivo </t>
    </r>
    <r>
      <rPr>
        <b/>
        <i/>
        <sz val="11"/>
        <color indexed="63"/>
        <rFont val="Corbel"/>
        <family val="2"/>
      </rPr>
      <t>entro il giorno</t>
    </r>
    <r>
      <rPr>
        <i/>
        <sz val="11"/>
        <color indexed="63"/>
        <rFont val="Corbel"/>
        <family val="2"/>
      </rPr>
      <t xml:space="preserve"> non festivo </t>
    </r>
    <r>
      <rPr>
        <b/>
        <i/>
        <sz val="11"/>
        <color indexed="63"/>
        <rFont val="Corbel"/>
        <family val="2"/>
      </rPr>
      <t>seguente</t>
    </r>
    <r>
      <rPr>
        <i/>
        <sz val="11"/>
        <color indexed="63"/>
        <rFont val="Corbel"/>
        <family val="2"/>
      </rPr>
      <t>.</t>
    </r>
  </si>
  <si>
    <r>
      <t xml:space="preserve">L’ eventuale tenuta di una </t>
    </r>
    <r>
      <rPr>
        <b/>
        <i/>
        <sz val="11"/>
        <color indexed="63"/>
        <rFont val="Corbel"/>
        <family val="2"/>
      </rPr>
      <t>primanota</t>
    </r>
    <r>
      <rPr>
        <i/>
        <sz val="11"/>
        <color indexed="63"/>
        <rFont val="Corbel"/>
        <family val="2"/>
      </rPr>
      <t xml:space="preserve"> riportante gli stessi elementi previsti dal Registro dei Corrispettivi</t>
    </r>
  </si>
  <si>
    <r>
      <t xml:space="preserve">solo </t>
    </r>
    <r>
      <rPr>
        <b/>
        <i/>
        <sz val="11"/>
        <color indexed="63"/>
        <rFont val="Corbel"/>
        <family val="2"/>
      </rPr>
      <t>in occasione</t>
    </r>
    <r>
      <rPr>
        <i/>
        <sz val="11"/>
        <color indexed="63"/>
        <rFont val="Corbel"/>
        <family val="2"/>
      </rPr>
      <t xml:space="preserve"> di una </t>
    </r>
    <r>
      <rPr>
        <b/>
        <i/>
        <sz val="11"/>
        <color indexed="63"/>
        <rFont val="Corbel"/>
        <family val="2"/>
      </rPr>
      <t>specifica richiesta / verifica</t>
    </r>
    <r>
      <rPr>
        <i/>
        <sz val="11"/>
        <color indexed="63"/>
        <rFont val="Corbel"/>
        <family val="2"/>
      </rPr>
      <t xml:space="preserve">. </t>
    </r>
    <r>
      <rPr>
        <i/>
        <u/>
        <sz val="11"/>
        <color indexed="63"/>
        <rFont val="Corbel"/>
        <family val="2"/>
      </rPr>
      <t>Altrimenti puoi mantenerlo su file tutto l' anno</t>
    </r>
    <r>
      <rPr>
        <i/>
        <sz val="11"/>
        <color indexed="63"/>
        <rFont val="Corbel"/>
        <family val="2"/>
      </rPr>
      <t>.</t>
    </r>
  </si>
  <si>
    <t>ISTRUZIONI</t>
  </si>
  <si>
    <t>1)</t>
  </si>
  <si>
    <t>N.B.</t>
  </si>
  <si>
    <t>2)</t>
  </si>
  <si>
    <t>3)</t>
  </si>
  <si>
    <t>4)</t>
  </si>
  <si>
    <t>Questo file contiene delle MACRO. Leggi le istruzioni e completa il foglio  \ IMPOSTAZIONI /  prima di utilizzare il file.</t>
  </si>
  <si>
    <t>Contatta A.C. cell</t>
  </si>
  <si>
    <t>Questo file contiene delle MACRO.</t>
  </si>
  <si>
    <t>Questo sistema appartiene al TITOLARE in anagrafica. Qualsiasi altro uso non è permesso.</t>
  </si>
  <si>
    <t>TITOLARE DEL SISTEMA</t>
  </si>
  <si>
    <t>Questo è il</t>
  </si>
  <si>
    <t>Convalida</t>
  </si>
  <si>
    <t>Vendite con FATTURA</t>
  </si>
  <si>
    <t>AGGIO Tabacchi</t>
  </si>
  <si>
    <t>AGGIO Lotterie</t>
  </si>
  <si>
    <t>Riga 1</t>
  </si>
  <si>
    <t>Riga 2</t>
  </si>
  <si>
    <t>Operazione IVA</t>
  </si>
  <si>
    <t>Riga 3</t>
  </si>
  <si>
    <t>Tipologia di Vendita</t>
  </si>
  <si>
    <t>Categoria</t>
  </si>
  <si>
    <t>REGISTRO</t>
  </si>
  <si>
    <t>Colonna 1</t>
  </si>
  <si>
    <t>Colonna 2</t>
  </si>
  <si>
    <t>Colonna 3</t>
  </si>
  <si>
    <t>Colonna 4</t>
  </si>
  <si>
    <t>TESTO REGISTRO</t>
  </si>
  <si>
    <t>TOTALE</t>
  </si>
  <si>
    <t>Fuori C. IVA Art.</t>
  </si>
  <si>
    <t>Note</t>
  </si>
  <si>
    <t>Documenti Nr.</t>
  </si>
  <si>
    <t>In questo momento il tuo registro risulta</t>
  </si>
  <si>
    <t>CONVALIDATO</t>
  </si>
  <si>
    <t>Aliquote IVA utilizzate</t>
  </si>
  <si>
    <t>ANNO corrente:</t>
  </si>
  <si>
    <t>Calendario Settimanale</t>
  </si>
  <si>
    <t>LUN</t>
  </si>
  <si>
    <t>MER</t>
  </si>
  <si>
    <t>GIO</t>
  </si>
  <si>
    <t>VEN</t>
  </si>
  <si>
    <t>SAB</t>
  </si>
  <si>
    <t>DOM</t>
  </si>
  <si>
    <r>
      <t xml:space="preserve">Inserisci un  </t>
    </r>
    <r>
      <rPr>
        <sz val="11"/>
        <color indexed="56"/>
        <rFont val="Tahoma"/>
        <family val="2"/>
      </rPr>
      <t>SI</t>
    </r>
    <r>
      <rPr>
        <i/>
        <sz val="11"/>
        <color indexed="23"/>
        <rFont val="Corbel"/>
        <family val="2"/>
      </rPr>
      <t xml:space="preserve">  per memorizzare i giorni di apertura del tuo esercizio</t>
    </r>
  </si>
  <si>
    <t>SI</t>
  </si>
  <si>
    <t>Giorni Lavorativi nel mese</t>
  </si>
  <si>
    <t>Giorni Festivi</t>
  </si>
  <si>
    <t>Indirizzo esteso UBICAZIONE dell' Esercizio</t>
  </si>
  <si>
    <t>ANAGRAFICA</t>
  </si>
  <si>
    <t>CALENDARIO</t>
  </si>
  <si>
    <t>Convalida UTENTE</t>
  </si>
  <si>
    <t>CONVALIDA REGISTRO</t>
  </si>
  <si>
    <t>Non convalidato</t>
  </si>
  <si>
    <t>Chiuso</t>
  </si>
  <si>
    <t>Festivi</t>
  </si>
  <si>
    <t>Lavorativi</t>
  </si>
  <si>
    <t>Infrasettim.li</t>
  </si>
  <si>
    <t>Giorni</t>
  </si>
  <si>
    <t>Modifica 1 di 3</t>
  </si>
  <si>
    <t>Quale colonna vuoi modificare?</t>
  </si>
  <si>
    <t>Attuale</t>
  </si>
  <si>
    <t>Modifica  &gt;</t>
  </si>
  <si>
    <t>Applica la modifica nei mesi</t>
  </si>
  <si>
    <t>DA</t>
  </si>
  <si>
    <t>Modifica 2 di 3</t>
  </si>
  <si>
    <t>Modifica 3 di 3</t>
  </si>
  <si>
    <t>Modificato nei MESI</t>
  </si>
  <si>
    <t>e che pertanto non sono inserite in questo foglio MENSILE.</t>
  </si>
  <si>
    <t>Errore: Colonne e Mesi si accavallano</t>
  </si>
  <si>
    <t>Riga 3 - opzionale</t>
  </si>
  <si>
    <t>Rip. Iniziale</t>
  </si>
  <si>
    <t>Rip. Finale</t>
  </si>
  <si>
    <t>tengono in memoria anche operazioni che in questo mese NON SI SONO VERIFICATE</t>
  </si>
  <si>
    <t>scorporo</t>
  </si>
  <si>
    <t>Non Imp.</t>
  </si>
  <si>
    <t>Riepilogo Liquidazione Mensile</t>
  </si>
  <si>
    <t>Hai delle colonne ALIQUOTE DIVERSE che DEVI SCORPORARE manualmente qui.</t>
  </si>
  <si>
    <t>i valori da te calcolati.</t>
  </si>
  <si>
    <t>Aliquote usate</t>
  </si>
  <si>
    <t>sulla somma</t>
  </si>
  <si>
    <t>della riga</t>
  </si>
  <si>
    <t>Vendite ON LINE</t>
  </si>
  <si>
    <t>E-COMMERCE</t>
  </si>
  <si>
    <t>01</t>
  </si>
  <si>
    <t>02</t>
  </si>
  <si>
    <t>04</t>
  </si>
  <si>
    <t>06</t>
  </si>
  <si>
    <t>11</t>
  </si>
  <si>
    <t>15</t>
  </si>
  <si>
    <t>12</t>
  </si>
  <si>
    <t>18</t>
  </si>
  <si>
    <t>25</t>
  </si>
  <si>
    <t>26</t>
  </si>
  <si>
    <t>03</t>
  </si>
  <si>
    <t>13</t>
  </si>
  <si>
    <t>05</t>
  </si>
  <si>
    <t>07</t>
  </si>
  <si>
    <t>08</t>
  </si>
  <si>
    <t>09</t>
  </si>
  <si>
    <t>14</t>
  </si>
  <si>
    <t>16</t>
  </si>
  <si>
    <t>17</t>
  </si>
  <si>
    <t>19</t>
  </si>
  <si>
    <t>20</t>
  </si>
  <si>
    <t>21</t>
  </si>
  <si>
    <t>22</t>
  </si>
  <si>
    <t>23</t>
  </si>
  <si>
    <t>24</t>
  </si>
  <si>
    <t>27</t>
  </si>
  <si>
    <t>SC</t>
  </si>
  <si>
    <t>SENZA Categoria</t>
  </si>
  <si>
    <t>IVA Cat.</t>
  </si>
  <si>
    <t>NO IVA</t>
  </si>
  <si>
    <t>IVATO</t>
  </si>
  <si>
    <t>TIPOLOGIE DI VENDITA</t>
  </si>
  <si>
    <t>TIPO</t>
  </si>
  <si>
    <t>ALIQUOTE DIVERSE</t>
  </si>
  <si>
    <t>IVATO + NON assoggettato =</t>
  </si>
  <si>
    <t>TOTALE EURO</t>
  </si>
  <si>
    <t>gg lavorativi su</t>
  </si>
  <si>
    <t>Singolo MESE specificato</t>
  </si>
  <si>
    <t>Specifica</t>
  </si>
  <si>
    <t>TOTALI NEL SISTEMA</t>
  </si>
  <si>
    <t>IVA USATA</t>
  </si>
  <si>
    <t>ESCLUDI</t>
  </si>
  <si>
    <t>SUDDIVIDI</t>
  </si>
  <si>
    <t>cassa +</t>
  </si>
  <si>
    <t>MESE</t>
  </si>
  <si>
    <t>ALIQ. DIV</t>
  </si>
  <si>
    <t>convalida</t>
  </si>
  <si>
    <t>REGISTRO dei Corrispettivi</t>
  </si>
  <si>
    <t>Devi convalidare il foglio IMPOSTAZIONI</t>
  </si>
  <si>
    <t>Contante atteso</t>
  </si>
  <si>
    <t>Il codice che hai inserito nel sistema non è stato riconosciuto.</t>
  </si>
  <si>
    <t>Le cause possono essere le seguenti:</t>
  </si>
  <si>
    <t>Festivo</t>
  </si>
  <si>
    <t>Proprietà</t>
  </si>
  <si>
    <t>ERRORI</t>
  </si>
  <si>
    <t>Per i Dott.ri Commercialisti e le Associazioni di Categoria</t>
  </si>
  <si>
    <t>avere un codice di attivazione, anche subordinato ad un rinnovo annuale, che puoi emettere e gestire da solo per sempre.</t>
  </si>
  <si>
    <t>Posso fornire un sistema personalizzato multiutenza da distribuire autonomamente ai propri clienti/associati. I file possono</t>
  </si>
  <si>
    <t>ESEMPIO</t>
  </si>
  <si>
    <t>(Nome Punto Cassa)</t>
  </si>
  <si>
    <t>AGGIO Carte C.</t>
  </si>
  <si>
    <t>5) Hai cambiato Ragione Sociale o Partita IVA? Contattami e riceverai gratuitamente il codice aggiornato.</t>
  </si>
  <si>
    <t>Verifica la punteggiatura e l' assenza di spazi iniziali / finali. Controlla la P.E.C. ricevuta.</t>
  </si>
  <si>
    <t>Questo file si considera funzionante al momento della richiesta del codice.</t>
  </si>
  <si>
    <t>Tieni costantemente una copia di sicurezza ed una MATRICE in bianco per gli anni successivi.</t>
  </si>
  <si>
    <t>A.C. cell di Marco Piccoli</t>
  </si>
  <si>
    <t>VUOTA</t>
  </si>
  <si>
    <r>
      <t xml:space="preserve">Visualizza una delle opzioni, così come registrato nel foglio  </t>
    </r>
    <r>
      <rPr>
        <sz val="10"/>
        <color indexed="23"/>
        <rFont val="Tahoma"/>
        <family val="2"/>
      </rPr>
      <t>STORICO</t>
    </r>
  </si>
  <si>
    <t>Articolo</t>
  </si>
  <si>
    <t>5)</t>
  </si>
  <si>
    <t>Correzione post public</t>
  </si>
  <si>
    <t>RIEPILOGO degli importi annotati nel sistema</t>
  </si>
  <si>
    <t>SE ALIQUOTE DIVERSE = 1</t>
  </si>
  <si>
    <t>Note pratiche:</t>
  </si>
  <si>
    <t>Professionista Web di cui alla legge nr. 4/2013</t>
  </si>
  <si>
    <t>info@marcopiccoli.it</t>
  </si>
  <si>
    <t>QUI</t>
  </si>
  <si>
    <t>F.A.Q.</t>
  </si>
  <si>
    <t>Inserisci qui il tuo codice di proprietà  ---&gt;</t>
  </si>
  <si>
    <t>Validità file</t>
  </si>
  <si>
    <t>Per attivare il registro nella totalità dell' anno, inserisci il tuo codice di proprietà nel foglio Presentazione.</t>
  </si>
  <si>
    <t>Configurazione del foglio:</t>
  </si>
  <si>
    <t>Il Registro dei Corrispettivi risulta:</t>
  </si>
  <si>
    <t>STORICO</t>
  </si>
  <si>
    <t>in corso</t>
  </si>
  <si>
    <t>Visualizza il grafico per importo:</t>
  </si>
  <si>
    <t>TOT. Riga €</t>
  </si>
  <si>
    <t>ANNO IN CORSO</t>
  </si>
  <si>
    <t>ANNO PRECEDENTE 1</t>
  </si>
  <si>
    <t>ANNO PRECEDENTE 2</t>
  </si>
  <si>
    <t>ANNO PRECEDENTE 3</t>
  </si>
  <si>
    <t>Unità M. €</t>
  </si>
  <si>
    <t>Anno precedente 1</t>
  </si>
  <si>
    <t>Anno precedente 2</t>
  </si>
  <si>
    <t>Anno precedente 3</t>
  </si>
  <si>
    <t>L' unità di misura dei grafici di questo foglio è uguale al 10% dell' importo più alto.</t>
  </si>
  <si>
    <t>Note Legali</t>
  </si>
  <si>
    <t>6)</t>
  </si>
  <si>
    <t>CASSA monete</t>
  </si>
  <si>
    <t>VERSA monete</t>
  </si>
  <si>
    <t>Totale MONETE</t>
  </si>
  <si>
    <t>CASSA</t>
  </si>
  <si>
    <t>PEZZI</t>
  </si>
  <si>
    <t>CASSA banconote</t>
  </si>
  <si>
    <t>VERSA banconote</t>
  </si>
  <si>
    <t>Composizione</t>
  </si>
  <si>
    <t>Totale</t>
  </si>
  <si>
    <t>€</t>
  </si>
  <si>
    <t>NOMINATIVO</t>
  </si>
  <si>
    <t>Riferimento</t>
  </si>
  <si>
    <t>Importo</t>
  </si>
  <si>
    <t>VERSA Titoli</t>
  </si>
  <si>
    <t>TITOLI</t>
  </si>
  <si>
    <t>A/Banc.</t>
  </si>
  <si>
    <t>A/Circ.</t>
  </si>
  <si>
    <t>ALTRO</t>
  </si>
  <si>
    <t>Titoli</t>
  </si>
  <si>
    <t>Distinta di CASSA:</t>
  </si>
  <si>
    <t>4) Hai inserito un numero a caso?</t>
  </si>
  <si>
    <t>Contattami liberamente via mail per qualsiasi informazione sul codice.</t>
  </si>
  <si>
    <t>1) La Ragione Sociale inserita nel foglio IMPOSTAZIONI non coincide con il testo che mi hai fornito.</t>
  </si>
  <si>
    <t>2) La Partita IVA  inserita nel foglio IMPOSTAZIONI non coincide con il numero che mi hai fornito.</t>
  </si>
  <si>
    <t>Consegno nr.  ________________  A/B + A/C come da rapportino</t>
  </si>
  <si>
    <t>Consegno in contanti € ____________________________________</t>
  </si>
  <si>
    <t>Torna su</t>
  </si>
  <si>
    <t>PROTOCOLLO</t>
  </si>
  <si>
    <t>Nr. REG.</t>
  </si>
  <si>
    <t>Seleziona per data</t>
  </si>
  <si>
    <t>Seleziona per settimana</t>
  </si>
  <si>
    <t>Periodo per data specificata DA / A</t>
  </si>
  <si>
    <t>Periodo per settimana specificata DA / A</t>
  </si>
  <si>
    <t>seleziona ed imposta se richiesto</t>
  </si>
  <si>
    <t>dal  /  al</t>
  </si>
  <si>
    <t>Periodo:</t>
  </si>
  <si>
    <t>BLU</t>
  </si>
  <si>
    <t>ROSSO</t>
  </si>
  <si>
    <t>COMPOSIZIONE  %</t>
  </si>
  <si>
    <t>Periodo BLU</t>
  </si>
  <si>
    <t>BLU da rosso</t>
  </si>
  <si>
    <t>ROSSO da blu</t>
  </si>
  <si>
    <t>TOTALE EUR</t>
  </si>
  <si>
    <t>GG. LAV. PREC.</t>
  </si>
  <si>
    <t>Confronta con</t>
  </si>
  <si>
    <t>TOOLS sett</t>
  </si>
  <si>
    <t>Settimana completa</t>
  </si>
  <si>
    <t>Settimana</t>
  </si>
  <si>
    <t>dalla  /  alla</t>
  </si>
  <si>
    <t>DATA SPEC.</t>
  </si>
  <si>
    <t>SETT. SPEC.</t>
  </si>
  <si>
    <t>Giorni Lavorativi Precedenti</t>
  </si>
  <si>
    <t>Impostazioni attive:</t>
  </si>
  <si>
    <t>A confronto con:</t>
  </si>
  <si>
    <t>Selezione per DATE dal</t>
  </si>
  <si>
    <t>al</t>
  </si>
  <si>
    <t>Selezione per SETTIMANE COMPLETE dalla</t>
  </si>
  <si>
    <t>alla</t>
  </si>
  <si>
    <t>SOMMA</t>
  </si>
  <si>
    <t>I giorni della settimana per i quali NON è impostato "SI" saranno comunque considerati "Giorni Lavorativi"</t>
  </si>
  <si>
    <t>in presenza di un corrispettivo in euro registrato (ad eccezione dei giorni anche impostati come FESTIVI).</t>
  </si>
  <si>
    <t>Versamento EUR</t>
  </si>
  <si>
    <t>Puoi usare liberamente questo file nel periodo di sua validità. Alla scadenza puoi scaricare un altro file.</t>
  </si>
  <si>
    <t>Importi EUR</t>
  </si>
  <si>
    <t>Totale EURO</t>
  </si>
  <si>
    <t>Verifica altre informazioni importanti per il corretto utilizzo di questo Sistema</t>
  </si>
  <si>
    <t>Foglio mensile</t>
  </si>
  <si>
    <t>ATTIVO</t>
  </si>
  <si>
    <t>EUR</t>
  </si>
  <si>
    <t>Inserisci manualmente gli importi  -  NETTO e IVA  -  in corrispondenza dei mesi  DISATTIVATI.</t>
  </si>
  <si>
    <t>AD INTEGRAZIONE</t>
  </si>
  <si>
    <t>Inserisci importi</t>
  </si>
  <si>
    <t>INTEGRA</t>
  </si>
  <si>
    <t>Sezione dedicata a casi particolari del registro.</t>
  </si>
  <si>
    <t>Si attiva nel foglio IMPOSTAZIONI.</t>
  </si>
  <si>
    <t>NO</t>
  </si>
  <si>
    <t>PREZZO per 1 codice di proprietà EUR 55,00</t>
  </si>
  <si>
    <t>Monfalcone - GO - Tel. 333 46 39 497</t>
  </si>
  <si>
    <t>Inserisci il numero del giorno festivo in corrispondenza del relativo mese (max 4 gg. festivi per mese).  Inserisci eventuali chiusure (o altro)  programmate DAL giorno / AL giorno.</t>
  </si>
  <si>
    <r>
      <t xml:space="preserve">Inserisci la tua anagrafica completa. </t>
    </r>
    <r>
      <rPr>
        <i/>
        <u/>
        <sz val="11"/>
        <color indexed="63"/>
        <rFont val="Corbel"/>
        <family val="2"/>
      </rPr>
      <t>E' in base a questi dati che ti verrà fornito il tuo codice di proprietà per l' uso illimitato di questo sistema.</t>
    </r>
  </si>
  <si>
    <t>Codice di Proprietà</t>
  </si>
  <si>
    <t>Prova il file con tutti gli importi disponibili (anche dello scorso anno) e decidi in qualsiasi momento se attivarlo.</t>
  </si>
  <si>
    <t>AGGI</t>
  </si>
  <si>
    <t>A G G I</t>
  </si>
  <si>
    <t>al primo mese disattivato</t>
  </si>
  <si>
    <t>INFORMA CHIUNQUE ENTRI IN POSSESSO DI QUESTO FILE CHE NON E'</t>
  </si>
  <si>
    <t>POSSIBILE UTILIZZARLO SENZA PROTEZIONI ORIGINALI e CHE SI ATTIVA</t>
  </si>
  <si>
    <t>ILLIMITATAMENTE SOLO CON REGOLARE CODICE DI PROPRIETA'.</t>
  </si>
  <si>
    <t>R1</t>
  </si>
  <si>
    <t>R2</t>
  </si>
  <si>
    <t>R3</t>
  </si>
  <si>
    <t>dal Sistema e funziona come nell' esempio che ti viene proposto. SALVA una copia del file IN BIANCO</t>
  </si>
  <si>
    <t>con tutte le impostazioni iniziali del TUO Registro. Tienila come MATRICE per gli anni successivi o per tutti i tuoi punti vendita.</t>
  </si>
  <si>
    <r>
      <t>Questo Sistema è valido in enne copie che puoi rinominare liberamente</t>
    </r>
    <r>
      <rPr>
        <i/>
        <sz val="11"/>
        <color indexed="63"/>
        <rFont val="Corbel"/>
        <family val="2"/>
      </rPr>
      <t>.</t>
    </r>
    <r>
      <rPr>
        <i/>
        <sz val="11"/>
        <color indexed="23"/>
        <rFont val="Corbel"/>
        <family val="2"/>
      </rPr>
      <t xml:space="preserve"> In futuro, o per il passato, usa una copia della tua MATRICE ed aggiorna il campo "ANNO corrente".</t>
    </r>
  </si>
  <si>
    <t>Riga 1 - obbligatoria</t>
  </si>
  <si>
    <t>Riga 2 - obbligatoria</t>
  </si>
  <si>
    <r>
      <t xml:space="preserve">Riferendoti alle tabelle qui sopra, </t>
    </r>
    <r>
      <rPr>
        <i/>
        <sz val="11"/>
        <color indexed="18"/>
        <rFont val="Corbel"/>
        <family val="2"/>
      </rPr>
      <t>assegna il numero</t>
    </r>
    <r>
      <rPr>
        <i/>
        <sz val="11"/>
        <color indexed="23"/>
        <rFont val="Corbel"/>
        <family val="2"/>
      </rPr>
      <t xml:space="preserve"> che attiverà l' impostazione iniziale scelta per OGNI RIGA ed OGNI COLONNA del TUO registro.</t>
    </r>
  </si>
  <si>
    <r>
      <t>Agisci nell' area evidenziata dai rettangoli rossi</t>
    </r>
    <r>
      <rPr>
        <i/>
        <sz val="11"/>
        <color indexed="23"/>
        <rFont val="Corbel"/>
        <family val="2"/>
      </rPr>
      <t xml:space="preserve">. In questo file hai a disposizione </t>
    </r>
    <r>
      <rPr>
        <sz val="11"/>
        <color indexed="18"/>
        <rFont val="Tahoma"/>
        <family val="2"/>
      </rPr>
      <t>4 COLONNE</t>
    </r>
    <r>
      <rPr>
        <i/>
        <sz val="11"/>
        <color indexed="23"/>
        <rFont val="Corbel"/>
        <family val="2"/>
      </rPr>
      <t>. Esistono versioni di questo sistema da 2 fino a 10 colonne IVA.</t>
    </r>
  </si>
  <si>
    <t>FONDO CASSA</t>
  </si>
  <si>
    <t>rilevati in chiusura</t>
  </si>
  <si>
    <t>NR. GG. Lavorativi Precedenti</t>
  </si>
  <si>
    <t>Contattami liberamente per maggiori informazioni.</t>
  </si>
  <si>
    <t>COMMENTI</t>
  </si>
  <si>
    <t>Se hai più di una cassa, puoi copiare questo file in ogni postazione e considerarlo come primanota di ogni cassa.</t>
  </si>
  <si>
    <t>Tab. 3 / testo Riga 3 - opzionale</t>
  </si>
  <si>
    <t>3) Il codice che ti ho fornito non è stato correttamente inserito.</t>
  </si>
  <si>
    <t>Attiva il calendario perpetuo del sistema   -------&gt;</t>
  </si>
  <si>
    <t>Usa una copia di questo file per registrare</t>
  </si>
  <si>
    <t>i corrispettivi di qualsiasi anno.</t>
  </si>
  <si>
    <t>CASSA per il giorno successivo</t>
  </si>
  <si>
    <t>Fondo cassa</t>
  </si>
  <si>
    <t>impostato per €</t>
  </si>
  <si>
    <t>IN VERSAMENTO Liquidità + Titoli</t>
  </si>
  <si>
    <t>Tot. Banconote</t>
  </si>
  <si>
    <t>Attiva / Disattiva la distinta</t>
  </si>
  <si>
    <t>Distinta attivata</t>
  </si>
  <si>
    <t>Distinta disattivata</t>
  </si>
  <si>
    <t>VERSA Liquidità</t>
  </si>
  <si>
    <t>L' algoritmo rileva un deficit di banconote di piccolo taglio.</t>
  </si>
  <si>
    <t>Puoi intervenire con dei cambi nello specchietto in 1° pagina.</t>
  </si>
  <si>
    <t>Differenza rilevata</t>
  </si>
  <si>
    <t xml:space="preserve">disattivato  </t>
  </si>
  <si>
    <t>Sezione Grafici</t>
  </si>
  <si>
    <t>e con:</t>
  </si>
  <si>
    <t>Unità di Misura relativa</t>
  </si>
  <si>
    <t>Unità di Misura fissa</t>
  </si>
  <si>
    <t>CATEGORIE utilizzate nell' anno</t>
  </si>
  <si>
    <t>Questo sistema soddisfa le disposizioni fiscali che prevedono in particolare:</t>
  </si>
  <si>
    <t>Parte 4</t>
  </si>
  <si>
    <t>Parte 3</t>
  </si>
  <si>
    <t>Parte 2</t>
  </si>
  <si>
    <t>Parte 1</t>
  </si>
  <si>
    <t>Queste tabelle possono rimanere vuote</t>
  </si>
  <si>
    <t>Il codice di proprietà si acquista una volta sola ed il file funziona ogni anno per enne copie.</t>
  </si>
  <si>
    <t>Solo TITOLI</t>
  </si>
  <si>
    <t>e ricomposizione del FONDO</t>
  </si>
  <si>
    <t>BENI Strumentali</t>
  </si>
  <si>
    <t>DEL GIORNO</t>
  </si>
  <si>
    <t>Corrispettivi LORDI</t>
  </si>
  <si>
    <t>Questa colonna esiste già !!!</t>
  </si>
  <si>
    <t>Riepilogo degli importi annotati nelle COLONNE ESCLUSE</t>
  </si>
  <si>
    <t>TOTALE in riga di RIPORTO INIZIALE</t>
  </si>
  <si>
    <t>e TOTALE in riga di RIPORTO FINALE</t>
  </si>
  <si>
    <t>Quest' area si attiva con colonne IVA "Aliquote diverse" - Al momento non c'è nessun importo da scorporare manualmente.</t>
  </si>
  <si>
    <t>01234567891</t>
  </si>
  <si>
    <t>VENTILAZIONE</t>
  </si>
  <si>
    <t>Importo LORDO</t>
  </si>
  <si>
    <t>Importo NETTO</t>
  </si>
  <si>
    <t>SCORPORO</t>
  </si>
  <si>
    <t>EURO da ventilare nel periodo</t>
  </si>
  <si>
    <t>TOTALE EURO da ventilare</t>
  </si>
  <si>
    <t>Importi ventilati</t>
  </si>
  <si>
    <t>Suddivisione dell' importo da ventilare</t>
  </si>
  <si>
    <t>Sezione ACQUISTI</t>
  </si>
  <si>
    <t>Periodo di riferimento</t>
  </si>
  <si>
    <t>negli scaglioni di aliquota, per quota.</t>
  </si>
  <si>
    <t>Acquisti effettuati nel periodo</t>
  </si>
  <si>
    <t>Aliquote IVA</t>
  </si>
  <si>
    <t>Quota</t>
  </si>
  <si>
    <t>suddivisi per aliquota IVA</t>
  </si>
  <si>
    <t>Inserisci gli importi</t>
  </si>
  <si>
    <t>nel primo quadrante</t>
  </si>
  <si>
    <t>Base per ripartizioni</t>
  </si>
  <si>
    <t>SCORPORO matematico</t>
  </si>
  <si>
    <t>Importo Netto</t>
  </si>
  <si>
    <t>degli importi LORDI</t>
  </si>
  <si>
    <t>IVA a Debito</t>
  </si>
  <si>
    <t>Imputazione degli importi ventilati</t>
  </si>
  <si>
    <t>sulle singole colonne interessate.</t>
  </si>
  <si>
    <t>Percentuale di riparto della colonna</t>
  </si>
  <si>
    <t>Ventilazione per aliquota IVA</t>
  </si>
  <si>
    <t>AREA VENTILAZIONE</t>
  </si>
  <si>
    <t>DISATTIVATA</t>
  </si>
  <si>
    <t>% MENSILE</t>
  </si>
  <si>
    <t>IVA Scorporata:</t>
  </si>
  <si>
    <t>IVA Ventilata</t>
  </si>
  <si>
    <t>Questa è la configurazione iniziale del tuo registro.</t>
  </si>
  <si>
    <t>VENTILATA</t>
  </si>
  <si>
    <t>Unità M. %</t>
  </si>
  <si>
    <t>DIFFERENZA  %</t>
  </si>
  <si>
    <t>FISSA</t>
  </si>
  <si>
    <t>RELATIVA</t>
  </si>
  <si>
    <t>TOTALE del giorno registrato nel sistema EURO</t>
  </si>
  <si>
    <t>Importo giornaliero modificato manualmente EURO</t>
  </si>
  <si>
    <t>Modificato in EURO</t>
  </si>
  <si>
    <t>Nome 4</t>
  </si>
  <si>
    <t>Nome 5</t>
  </si>
  <si>
    <t>ALIQUOTE DIVERSE IN SCORPORO MANUALE</t>
  </si>
  <si>
    <t>IVA SCORPORO ESCLUSA</t>
  </si>
  <si>
    <t>Rapp. Escludi</t>
  </si>
  <si>
    <t>ALIQUOTE DIVERSE IN SCORPORO MANUALE ESCLUSO</t>
  </si>
  <si>
    <r>
      <t xml:space="preserve">In questo foglio puoi effettuare delle ricerche e dei confronti sugli importi registrati nel sistema. </t>
    </r>
    <r>
      <rPr>
        <i/>
        <u/>
        <sz val="11"/>
        <color indexed="63"/>
        <rFont val="Corbel"/>
        <family val="2"/>
      </rPr>
      <t>Attiva la selezione per data o per settimana.</t>
    </r>
  </si>
  <si>
    <t>Importi annotati nelle colonne ESCLUSE</t>
  </si>
  <si>
    <t>Campo Testo</t>
  </si>
  <si>
    <t>MENSILE</t>
  </si>
  <si>
    <t>TRIMESTRALE</t>
  </si>
  <si>
    <t>A saldo del periodo di riferimento</t>
  </si>
  <si>
    <t>In acconto sul periodo di riferimento</t>
  </si>
  <si>
    <t>A SALDO</t>
  </si>
  <si>
    <t>IN ACCONTO</t>
  </si>
  <si>
    <t>SEZIONE ACQUISTI</t>
  </si>
  <si>
    <t>effettuati nel PERIODO</t>
  </si>
  <si>
    <t>per aliquota IVA</t>
  </si>
  <si>
    <t>QUOTA percentuale</t>
  </si>
  <si>
    <t>scaglione di aliquota</t>
  </si>
  <si>
    <t>SUDDIVISIONE</t>
  </si>
  <si>
    <t>PER QUOTE</t>
  </si>
  <si>
    <t>IVA SCORPORATA</t>
  </si>
  <si>
    <t>MATEMATICAMENTE</t>
  </si>
  <si>
    <t>ADEGUAMENTO IVA</t>
  </si>
  <si>
    <t>DI FINE ANNO</t>
  </si>
  <si>
    <t>CONGUAGLIO DI FINE ANNO</t>
  </si>
  <si>
    <t>IVA VENTILATA</t>
  </si>
  <si>
    <t>01/01 - 31/12</t>
  </si>
  <si>
    <t>Somma degli importi già</t>
  </si>
  <si>
    <t>inseriti nei fogli mensili</t>
  </si>
  <si>
    <t>Ventilazione conteggiata</t>
  </si>
  <si>
    <t>precedentemente</t>
  </si>
  <si>
    <t>TOTALE EURO ANNO</t>
  </si>
  <si>
    <t>Importo a conguaglio di fine anno</t>
  </si>
  <si>
    <t>EURO da ventilare nel mese</t>
  </si>
  <si>
    <t>NR. Protocollo / Registr.ne</t>
  </si>
  <si>
    <t>Modalità presentazione</t>
  </si>
  <si>
    <t>Note: ________________________________________________________</t>
  </si>
  <si>
    <t>Registrato euro</t>
  </si>
  <si>
    <t>IN CASSA EURO</t>
  </si>
  <si>
    <t>AREA</t>
  </si>
  <si>
    <t>Modificato da versione 5.0</t>
  </si>
  <si>
    <t>da completare</t>
  </si>
  <si>
    <t>MACRO</t>
  </si>
  <si>
    <t>Una copia di questo file è sempre disponibile al sito www.marcopiccoli.it:</t>
  </si>
  <si>
    <t>Area Download .xlsx / .xlsm</t>
  </si>
  <si>
    <t>DAL    - GG/MM -    AL</t>
  </si>
  <si>
    <r>
      <t xml:space="preserve">CELLE LIBERE. </t>
    </r>
    <r>
      <rPr>
        <u/>
        <sz val="8"/>
        <color indexed="23"/>
        <rFont val="Tahoma"/>
        <family val="2"/>
      </rPr>
      <t>TUTTE LE ALTRE SONO BLOCCATE E NON</t>
    </r>
  </si>
  <si>
    <r>
      <t xml:space="preserve">DOPPIO TASTO.   </t>
    </r>
    <r>
      <rPr>
        <u/>
        <sz val="8"/>
        <color indexed="23"/>
        <rFont val="Tahoma"/>
        <family val="2"/>
      </rPr>
      <t>NON TAGLIARE LE CELLE.</t>
    </r>
  </si>
  <si>
    <t>Richiedi via mail il TUO CODICE di PROPRIETA'</t>
  </si>
  <si>
    <r>
      <t xml:space="preserve">La tenuta del registro </t>
    </r>
    <r>
      <rPr>
        <b/>
        <i/>
        <sz val="11"/>
        <color indexed="63"/>
        <rFont val="Corbel"/>
        <family val="2"/>
      </rPr>
      <t>nel luogo</t>
    </r>
    <r>
      <rPr>
        <i/>
        <sz val="11"/>
        <color indexed="63"/>
        <rFont val="Corbel"/>
        <family val="2"/>
      </rPr>
      <t xml:space="preserve"> dove avviene la vendita. </t>
    </r>
    <r>
      <rPr>
        <i/>
        <u/>
        <sz val="11"/>
        <color indexed="63"/>
        <rFont val="Corbel"/>
        <family val="2"/>
      </rPr>
      <t>Assicurati di disporre sempre di una stampante.</t>
    </r>
  </si>
  <si>
    <t>nel caso questo non sia tenuto nel luogo dove avviene la vendita.</t>
  </si>
  <si>
    <r>
      <t>Giorno per giorno compila il registro nel foglio del relativo MESE</t>
    </r>
    <r>
      <rPr>
        <sz val="10"/>
        <color indexed="63"/>
        <rFont val="Tahoma"/>
        <family val="2"/>
      </rPr>
      <t>.     (GEN/FEB/MAR/ecc..).</t>
    </r>
  </si>
  <si>
    <r>
      <t>Puoi scegliere se considerare questo sistema un "</t>
    </r>
    <r>
      <rPr>
        <b/>
        <sz val="10"/>
        <color indexed="63"/>
        <rFont val="Tahoma"/>
        <family val="2"/>
      </rPr>
      <t>Registro</t>
    </r>
    <r>
      <rPr>
        <sz val="10"/>
        <color indexed="63"/>
        <rFont val="Tahoma"/>
        <family val="2"/>
      </rPr>
      <t>" o una "</t>
    </r>
    <r>
      <rPr>
        <b/>
        <sz val="10"/>
        <color indexed="63"/>
        <rFont val="Tahoma"/>
        <family val="2"/>
      </rPr>
      <t>Primanota</t>
    </r>
    <r>
      <rPr>
        <sz val="10"/>
        <color indexed="63"/>
        <rFont val="Tahoma"/>
        <family val="2"/>
      </rPr>
      <t>" dei corrispettivi.</t>
    </r>
  </si>
  <si>
    <t>In alto a destra di ogni foglio, puoi agire sul menù a tendina predisposto.</t>
  </si>
  <si>
    <t>Una copia di questo strumento, se opportunamente configurata nel foglio IMPOSTAZIONI, può essere utilizzata</t>
  </si>
  <si>
    <t>sugli incassi della giornata. Se lo usi, STAMPA ed archivia un cartaceo quotidianamente. Il foglio è strutturato,</t>
  </si>
  <si>
    <t>E' una tua sicurezza. Tutte le modifiche avvengono SOLO agendo sul foglio IMPOSTAZIONI o sui fogli MENSILI.</t>
  </si>
  <si>
    <t>PANNELLO DI CONTROLLO:</t>
  </si>
  <si>
    <t>Importo LORDO %</t>
  </si>
  <si>
    <t>tenuta dei tuoi registri contabili. Il codice di proprietà ATTIVA questa procedura elettronica per tutto</t>
  </si>
  <si>
    <t>l' anno e per ogni anno.</t>
  </si>
  <si>
    <t>Versione 5.2 con 4 colonne</t>
  </si>
  <si>
    <t>In coda al sistema c'è una pagina con spiegazioni dettagliate per il foglio CASSA (foglio SA.2)</t>
  </si>
  <si>
    <t>1° TRIMESTRE</t>
  </si>
  <si>
    <t>Puoi usare questo file per registrare i CORRISPETTIVI di TUTTI i MESI di OGNI ANNO. Al momento il trimestre selezionato è:</t>
  </si>
  <si>
    <t>Questo sistema può funzionare in enne copie rinominate a piacere. Funziona con calendario PERPETUO.</t>
  </si>
  <si>
    <r>
      <t>Per attivarlo nella totalità dell' ANNO inserisci in qualsiasi momento il tuo codice di proprietà nell' apposito spazio</t>
    </r>
    <r>
      <rPr>
        <sz val="10"/>
        <color indexed="63"/>
        <rFont val="Tahoma"/>
        <family val="2"/>
      </rPr>
      <t>. Puoi</t>
    </r>
  </si>
  <si>
    <t>usare contemporaneamente più di un file. Salva un file IN BIANCO con le tue IMPOSTAZIONI da tenere come MATRICE.</t>
  </si>
  <si>
    <t>Se desideri attivare questo sistema per l' INTERO ANNO e per OGNI ANNO, richiedi via mail il tuo Codice di Proprietà ed</t>
  </si>
  <si>
    <t>Questo file funziona tutti i MESI per tutti gli ANNI,</t>
  </si>
  <si>
    <t>senza aggiornamenti. Si attiva per TRIMESTRE</t>
  </si>
  <si>
    <t>dal foglio "Presentazione" oppure per la totalità</t>
  </si>
  <si>
    <t>dell' anno inserendo il tuo Codice di Proprietà.</t>
  </si>
  <si>
    <t>inseriscilo direttamente nel file che stai già usando. Il codice ti viene inviato con regolare fattura. Chiedi istruzioni via mail.</t>
  </si>
  <si>
    <t>Questo strumento è interamente originale ed è distribuito professionalmente.</t>
  </si>
  <si>
    <t xml:space="preserve">E' coperto da diritti d' autore dal momento della sua pubblicazione sul sito </t>
  </si>
  <si>
    <t>www.marcopiccoli.it.</t>
  </si>
  <si>
    <t>Mese al momento disattivato.</t>
  </si>
  <si>
    <t>Intervieni dal foglio Presentazione.</t>
  </si>
  <si>
    <t>Registro dei Corrispettivi 5.2.4 3txt - per EXCEL .xlsm</t>
  </si>
  <si>
    <t>Excel gratuito</t>
  </si>
  <si>
    <t>Crea un account Microsoft</t>
  </si>
  <si>
    <t>Sistema NON DISPONIBILE per OPEN OFFICE o altro.</t>
  </si>
  <si>
    <t>Solo EXCEL .xlsx / .xlsm</t>
  </si>
  <si>
    <t>Questo file contiene DUE MACRO (non indispensabili) nel foglio CASSA.  Puoi attivarle anche in un secondo momento. Per usarle,</t>
  </si>
  <si>
    <t>assicurati di salvare il file nel formato con macro ATTIVE (icona con punto esclamativo). Le macro sono COMANDI automatici che</t>
  </si>
  <si>
    <t>completano le funzionalità di questo strumento, non contengono virus o altro.  Qui trovi la spiegazione di Microsoft:</t>
  </si>
  <si>
    <t>di Marco Piccoli - P. IVA 01151800313</t>
  </si>
  <si>
    <t>Attivi volta per volta qualsiasi TRIMESTRE</t>
  </si>
  <si>
    <t>Attivi il sistema per la totalità dell' ANNO</t>
  </si>
  <si>
    <t>Questo strumento è LIBERAMENTE utilizzabile DA TUTTI.  Funziona per singolo TRIMESTRE di OGNI anno.</t>
  </si>
  <si>
    <t>Puoi sbloccarlo in qualsiasi momento anche per l' INTERO ANNO. I valori che inserisci sono sempre disponibili.</t>
  </si>
  <si>
    <t>I valori che via via inserisci restano sempre disponibili.</t>
  </si>
  <si>
    <t>Cambi trimestre</t>
  </si>
  <si>
    <t>attiva trim.</t>
  </si>
  <si>
    <t>Tabella 1 / testo esteso riga 1</t>
  </si>
</sst>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8" formatCode="&quot;€&quot;\ #,##0.00;[Red]\-&quot;€&quot;\ #,##0.00"/>
    <numFmt numFmtId="164" formatCode="\ 00\ &quot;%&quot;\ "/>
    <numFmt numFmtId="165" formatCode="\ 0\ "/>
    <numFmt numFmtId="166" formatCode="\ @\ "/>
    <numFmt numFmtId="167" formatCode="00"/>
    <numFmt numFmtId="168" formatCode="\ #,##0.00\ ;[Red]\ \-\ #,##0.00\ "/>
    <numFmt numFmtId="169" formatCode="&quot;+&quot;\ #,##0.00\ ;[Red]\ \-\ #,##0.00\ "/>
    <numFmt numFmtId="170" formatCode="\ dd/mm/yyyy\ "/>
    <numFmt numFmtId="171" formatCode="00\ "/>
    <numFmt numFmtId="172" formatCode="0\ "/>
    <numFmt numFmtId="173" formatCode="#,##0\ "/>
    <numFmt numFmtId="174" formatCode="dd/mm"/>
    <numFmt numFmtId="175" formatCode="\ #,##0.0\ ;[Red]\ \-\ #,##0.0\ "/>
    <numFmt numFmtId="176" formatCode="\ #,##0\ ;[Red]\ \-\ #,##0\ "/>
    <numFmt numFmtId="177" formatCode="00\ &quot;%&quot;"/>
    <numFmt numFmtId="178" formatCode="\ #,##0.00\ &quot;€&quot;\ ;[Red]\ \-\ #,##0.00\ &quot;€&quot;\ "/>
    <numFmt numFmtId="179" formatCode="&quot;+&quot;\ #,##0.00\ &quot;€&quot;\ ;[Red]\ \-\ #,##0.00\ &quot;€&quot;\ "/>
    <numFmt numFmtId="180" formatCode="\ 0.00\ &quot;%&quot;\ "/>
    <numFmt numFmtId="181" formatCode="\ 0\ &quot;%&quot;\ "/>
    <numFmt numFmtId="182" formatCode="0;\-\ 0"/>
    <numFmt numFmtId="183" formatCode="\ #,##0.00\ &quot;€&quot;;[Red]\ \-\ #,##0.00\ &quot;€&quot;"/>
    <numFmt numFmtId="184" formatCode="\ 0.00\ "/>
    <numFmt numFmtId="185" formatCode="0\ &quot;°&quot;"/>
    <numFmt numFmtId="186" formatCode="&quot;+&quot;\ 0\ &quot;%&quot;\ ;\ \-\ 0\ &quot;%&quot;\ "/>
    <numFmt numFmtId="187" formatCode="&quot;€&quot;\ #,##0.00"/>
    <numFmt numFmtId="188" formatCode="\ 0\ &quot;€&quot;"/>
    <numFmt numFmtId="189" formatCode="\ 0.00000\ &quot;%&quot;\ "/>
    <numFmt numFmtId="190" formatCode="0.00\ &quot;%&quot;\ "/>
  </numFmts>
  <fonts count="176" x14ac:knownFonts="1">
    <font>
      <sz val="10"/>
      <name val="Arial"/>
    </font>
    <font>
      <sz val="10"/>
      <name val="Arial"/>
      <family val="2"/>
    </font>
    <font>
      <u/>
      <sz val="10"/>
      <color indexed="12"/>
      <name val="Arial"/>
      <family val="2"/>
    </font>
    <font>
      <sz val="10"/>
      <name val="Tahoma"/>
      <family val="2"/>
    </font>
    <font>
      <sz val="8"/>
      <name val="Arial"/>
      <family val="2"/>
    </font>
    <font>
      <b/>
      <sz val="10"/>
      <color indexed="23"/>
      <name val="Tahoma"/>
      <family val="2"/>
    </font>
    <font>
      <b/>
      <sz val="10"/>
      <color indexed="63"/>
      <name val="Tahoma"/>
      <family val="2"/>
    </font>
    <font>
      <i/>
      <sz val="8"/>
      <color indexed="63"/>
      <name val="Verdana"/>
      <family val="2"/>
    </font>
    <font>
      <sz val="10"/>
      <color indexed="23"/>
      <name val="Tahoma"/>
      <family val="2"/>
    </font>
    <font>
      <b/>
      <sz val="10"/>
      <color indexed="10"/>
      <name val="Tahoma"/>
      <family val="2"/>
    </font>
    <font>
      <b/>
      <i/>
      <sz val="8"/>
      <color indexed="10"/>
      <name val="Arial"/>
      <family val="2"/>
    </font>
    <font>
      <b/>
      <sz val="10"/>
      <color indexed="63"/>
      <name val="Arial"/>
      <family val="2"/>
    </font>
    <font>
      <i/>
      <sz val="8"/>
      <color indexed="23"/>
      <name val="Verdana"/>
      <family val="2"/>
    </font>
    <font>
      <b/>
      <i/>
      <sz val="8"/>
      <name val="Arial"/>
      <family val="2"/>
    </font>
    <font>
      <sz val="8"/>
      <color indexed="63"/>
      <name val="Tahoma"/>
      <family val="2"/>
    </font>
    <font>
      <i/>
      <sz val="8"/>
      <color indexed="23"/>
      <name val="Arial"/>
      <family val="2"/>
    </font>
    <font>
      <sz val="8"/>
      <color indexed="23"/>
      <name val="Arial"/>
      <family val="2"/>
    </font>
    <font>
      <sz val="8"/>
      <color indexed="23"/>
      <name val="Tahoma"/>
      <family val="2"/>
    </font>
    <font>
      <sz val="10"/>
      <color indexed="63"/>
      <name val="Tahoma"/>
      <family val="2"/>
    </font>
    <font>
      <sz val="10"/>
      <name val="Tahoma"/>
      <family val="2"/>
    </font>
    <font>
      <b/>
      <i/>
      <sz val="8"/>
      <color indexed="23"/>
      <name val="Arial"/>
      <family val="2"/>
    </font>
    <font>
      <sz val="10"/>
      <color indexed="23"/>
      <name val="Arial"/>
      <family val="2"/>
    </font>
    <font>
      <b/>
      <sz val="8"/>
      <color indexed="23"/>
      <name val="Tahoma"/>
      <family val="2"/>
    </font>
    <font>
      <b/>
      <i/>
      <sz val="8"/>
      <color indexed="9"/>
      <name val="Arial"/>
      <family val="2"/>
    </font>
    <font>
      <sz val="8"/>
      <name val="Tahoma"/>
      <family val="2"/>
    </font>
    <font>
      <b/>
      <sz val="10"/>
      <color indexed="18"/>
      <name val="Tahoma"/>
      <family val="2"/>
    </font>
    <font>
      <b/>
      <i/>
      <sz val="11"/>
      <color indexed="63"/>
      <name val="Arial"/>
      <family val="2"/>
    </font>
    <font>
      <sz val="10"/>
      <color indexed="63"/>
      <name val="Arial"/>
      <family val="2"/>
    </font>
    <font>
      <sz val="10"/>
      <color indexed="23"/>
      <name val="Arial"/>
      <family val="2"/>
    </font>
    <font>
      <sz val="10"/>
      <color indexed="8"/>
      <name val="Tahoma"/>
      <family val="2"/>
    </font>
    <font>
      <b/>
      <i/>
      <sz val="8"/>
      <color indexed="23"/>
      <name val="Verdana"/>
      <family val="2"/>
    </font>
    <font>
      <b/>
      <sz val="10"/>
      <name val="Arial"/>
      <family val="2"/>
    </font>
    <font>
      <b/>
      <sz val="10"/>
      <color indexed="23"/>
      <name val="Arial"/>
      <family val="2"/>
    </font>
    <font>
      <sz val="8"/>
      <name val="Tahoma"/>
      <family val="2"/>
    </font>
    <font>
      <b/>
      <i/>
      <sz val="11"/>
      <name val="Arial"/>
      <family val="2"/>
    </font>
    <font>
      <sz val="8"/>
      <color indexed="10"/>
      <name val="Tahoma"/>
      <family val="2"/>
    </font>
    <font>
      <sz val="8"/>
      <color indexed="23"/>
      <name val="Tahoma"/>
      <family val="2"/>
    </font>
    <font>
      <sz val="10"/>
      <color indexed="63"/>
      <name val="Tahoma"/>
      <family val="2"/>
    </font>
    <font>
      <sz val="24"/>
      <color indexed="63"/>
      <name val="Wingdings 2"/>
      <family val="1"/>
      <charset val="2"/>
    </font>
    <font>
      <b/>
      <i/>
      <sz val="12"/>
      <color indexed="63"/>
      <name val="Arial"/>
      <family val="2"/>
    </font>
    <font>
      <b/>
      <i/>
      <sz val="8"/>
      <color indexed="63"/>
      <name val="Verdana"/>
      <family val="2"/>
    </font>
    <font>
      <sz val="10"/>
      <color indexed="55"/>
      <name val="Tahoma"/>
      <family val="2"/>
    </font>
    <font>
      <sz val="10"/>
      <name val="Arial"/>
      <family val="2"/>
    </font>
    <font>
      <b/>
      <sz val="10"/>
      <color indexed="18"/>
      <name val="Arial"/>
      <family val="2"/>
    </font>
    <font>
      <sz val="11"/>
      <color indexed="63"/>
      <name val="Tahoma"/>
      <family val="2"/>
    </font>
    <font>
      <sz val="9"/>
      <color indexed="63"/>
      <name val="Tahoma"/>
      <family val="2"/>
    </font>
    <font>
      <sz val="11"/>
      <name val="Tahoma"/>
      <family val="2"/>
    </font>
    <font>
      <b/>
      <sz val="8"/>
      <color indexed="10"/>
      <name val="Tahoma"/>
      <family val="2"/>
    </font>
    <font>
      <sz val="10"/>
      <color indexed="10"/>
      <name val="Tahoma"/>
      <family val="2"/>
    </font>
    <font>
      <sz val="10"/>
      <color indexed="23"/>
      <name val="Tahoma"/>
      <family val="2"/>
    </font>
    <font>
      <sz val="8"/>
      <color indexed="10"/>
      <name val="Tahoma"/>
      <family val="2"/>
    </font>
    <font>
      <sz val="8"/>
      <color indexed="18"/>
      <name val="Tahoma"/>
      <family val="2"/>
    </font>
    <font>
      <sz val="9"/>
      <color indexed="18"/>
      <name val="Tahoma"/>
      <family val="2"/>
    </font>
    <font>
      <b/>
      <sz val="10"/>
      <color indexed="8"/>
      <name val="Arial"/>
      <family val="2"/>
    </font>
    <font>
      <sz val="9"/>
      <color indexed="23"/>
      <name val="Tahoma"/>
      <family val="2"/>
    </font>
    <font>
      <b/>
      <i/>
      <sz val="8"/>
      <color indexed="18"/>
      <name val="Arial"/>
      <family val="2"/>
    </font>
    <font>
      <b/>
      <sz val="8"/>
      <color indexed="18"/>
      <name val="Tahoma"/>
      <family val="2"/>
    </font>
    <font>
      <sz val="10"/>
      <color indexed="18"/>
      <name val="Tahoma"/>
      <family val="2"/>
    </font>
    <font>
      <sz val="10"/>
      <color indexed="16"/>
      <name val="Tahoma"/>
      <family val="2"/>
    </font>
    <font>
      <sz val="10"/>
      <color indexed="18"/>
      <name val="Tahoma"/>
      <family val="2"/>
    </font>
    <font>
      <sz val="8"/>
      <color indexed="55"/>
      <name val="Tahoma"/>
      <family val="2"/>
    </font>
    <font>
      <sz val="8"/>
      <color indexed="55"/>
      <name val="Tahoma"/>
      <family val="2"/>
    </font>
    <font>
      <sz val="8"/>
      <color indexed="63"/>
      <name val="Tahoma"/>
      <family val="2"/>
    </font>
    <font>
      <sz val="8"/>
      <color indexed="18"/>
      <name val="Tahoma"/>
      <family val="2"/>
    </font>
    <font>
      <b/>
      <sz val="12"/>
      <color indexed="10"/>
      <name val="Arial"/>
      <family val="2"/>
    </font>
    <font>
      <sz val="8"/>
      <color indexed="16"/>
      <name val="Tahoma"/>
      <family val="2"/>
    </font>
    <font>
      <sz val="10"/>
      <color indexed="10"/>
      <name val="Tahoma"/>
      <family val="2"/>
    </font>
    <font>
      <sz val="11"/>
      <color indexed="63"/>
      <name val="Tahoma"/>
      <family val="2"/>
    </font>
    <font>
      <sz val="11"/>
      <color indexed="18"/>
      <name val="Tahoma"/>
      <family val="2"/>
    </font>
    <font>
      <sz val="11"/>
      <color indexed="10"/>
      <name val="Tahoma"/>
      <family val="2"/>
    </font>
    <font>
      <sz val="11"/>
      <color indexed="23"/>
      <name val="Tahoma"/>
      <family val="2"/>
    </font>
    <font>
      <sz val="10"/>
      <color indexed="9"/>
      <name val="Arial"/>
      <family val="2"/>
    </font>
    <font>
      <sz val="12"/>
      <color indexed="10"/>
      <name val="Tahoma"/>
      <family val="2"/>
    </font>
    <font>
      <sz val="11"/>
      <color indexed="18"/>
      <name val="Tahoma"/>
      <family val="2"/>
    </font>
    <font>
      <sz val="12"/>
      <color indexed="18"/>
      <name val="Tahoma"/>
      <family val="2"/>
    </font>
    <font>
      <sz val="11"/>
      <name val="Tahoma"/>
      <family val="2"/>
    </font>
    <font>
      <sz val="12"/>
      <color indexed="23"/>
      <name val="Tahoma"/>
      <family val="2"/>
    </font>
    <font>
      <u/>
      <sz val="10"/>
      <color indexed="63"/>
      <name val="Tahoma"/>
      <family val="2"/>
    </font>
    <font>
      <i/>
      <sz val="11"/>
      <color indexed="63"/>
      <name val="Corbel"/>
      <family val="2"/>
    </font>
    <font>
      <i/>
      <u/>
      <sz val="11"/>
      <color indexed="63"/>
      <name val="Corbel"/>
      <family val="2"/>
    </font>
    <font>
      <b/>
      <u/>
      <sz val="11"/>
      <color indexed="23"/>
      <name val="Tahoma"/>
      <family val="2"/>
    </font>
    <font>
      <i/>
      <sz val="10"/>
      <color indexed="23"/>
      <name val="Corbel"/>
      <family val="2"/>
    </font>
    <font>
      <sz val="11"/>
      <color indexed="16"/>
      <name val="Tahoma"/>
      <family val="2"/>
    </font>
    <font>
      <i/>
      <sz val="10"/>
      <color indexed="63"/>
      <name val="Corbel"/>
      <family val="2"/>
    </font>
    <font>
      <b/>
      <i/>
      <sz val="11"/>
      <color indexed="63"/>
      <name val="Corbel"/>
      <family val="2"/>
    </font>
    <font>
      <i/>
      <sz val="11"/>
      <color indexed="23"/>
      <name val="Corbel"/>
      <family val="2"/>
    </font>
    <font>
      <i/>
      <u/>
      <sz val="11"/>
      <color indexed="18"/>
      <name val="Corbel"/>
      <family val="2"/>
    </font>
    <font>
      <sz val="8"/>
      <color indexed="9"/>
      <name val="Tahoma"/>
      <family val="2"/>
    </font>
    <font>
      <i/>
      <sz val="8"/>
      <color indexed="63"/>
      <name val="Tahoma"/>
      <family val="2"/>
    </font>
    <font>
      <i/>
      <u/>
      <sz val="11"/>
      <color indexed="23"/>
      <name val="Corbel"/>
      <family val="2"/>
    </font>
    <font>
      <sz val="9"/>
      <color indexed="16"/>
      <name val="Tahoma"/>
      <family val="2"/>
    </font>
    <font>
      <i/>
      <sz val="11"/>
      <name val="Corbel"/>
      <family val="2"/>
    </font>
    <font>
      <i/>
      <sz val="12"/>
      <color indexed="23"/>
      <name val="Corbel"/>
      <family val="2"/>
    </font>
    <font>
      <sz val="10"/>
      <color indexed="9"/>
      <name val="Tahoma"/>
      <family val="2"/>
    </font>
    <font>
      <sz val="11"/>
      <color indexed="56"/>
      <name val="Tahoma"/>
      <family val="2"/>
    </font>
    <font>
      <sz val="10"/>
      <color indexed="16"/>
      <name val="Tahoma"/>
      <family val="2"/>
    </font>
    <font>
      <sz val="11"/>
      <color indexed="8"/>
      <name val="Tahoma"/>
      <family val="2"/>
    </font>
    <font>
      <i/>
      <sz val="11"/>
      <color indexed="18"/>
      <name val="Corbel"/>
      <family val="2"/>
    </font>
    <font>
      <i/>
      <sz val="11"/>
      <color indexed="10"/>
      <name val="Corbel"/>
      <family val="2"/>
    </font>
    <font>
      <sz val="11"/>
      <color indexed="10"/>
      <name val="Tahoma"/>
      <family val="2"/>
    </font>
    <font>
      <i/>
      <u/>
      <sz val="11"/>
      <name val="Corbel"/>
      <family val="2"/>
    </font>
    <font>
      <sz val="11"/>
      <name val="Arial"/>
      <family val="2"/>
    </font>
    <font>
      <i/>
      <sz val="11"/>
      <color indexed="16"/>
      <name val="Corbel"/>
      <family val="2"/>
    </font>
    <font>
      <sz val="12"/>
      <color indexed="16"/>
      <name val="Tahoma"/>
      <family val="2"/>
    </font>
    <font>
      <i/>
      <sz val="12"/>
      <color indexed="18"/>
      <name val="Corbel"/>
      <family val="2"/>
    </font>
    <font>
      <i/>
      <sz val="11"/>
      <color indexed="9"/>
      <name val="Corbel"/>
      <family val="2"/>
    </font>
    <font>
      <i/>
      <u/>
      <sz val="11"/>
      <color indexed="9"/>
      <name val="Corbel"/>
      <family val="2"/>
    </font>
    <font>
      <sz val="9"/>
      <color indexed="23"/>
      <name val="Tahoma"/>
      <family val="2"/>
    </font>
    <font>
      <i/>
      <sz val="12"/>
      <color indexed="8"/>
      <name val="Arial"/>
      <family val="2"/>
    </font>
    <font>
      <sz val="8"/>
      <color indexed="10"/>
      <name val="Arial"/>
      <family val="2"/>
    </font>
    <font>
      <sz val="8"/>
      <color indexed="63"/>
      <name val="Arial"/>
      <family val="2"/>
    </font>
    <font>
      <sz val="11"/>
      <color indexed="9"/>
      <name val="Tahoma"/>
      <family val="2"/>
    </font>
    <font>
      <sz val="8"/>
      <color indexed="9"/>
      <name val="Arial"/>
      <family val="2"/>
    </font>
    <font>
      <u/>
      <sz val="10"/>
      <color indexed="23"/>
      <name val="Tahoma"/>
      <family val="2"/>
    </font>
    <font>
      <b/>
      <sz val="10"/>
      <color indexed="9"/>
      <name val="Arial"/>
      <family val="2"/>
    </font>
    <font>
      <i/>
      <sz val="12"/>
      <color indexed="9"/>
      <name val="Calibri"/>
      <family val="2"/>
    </font>
    <font>
      <sz val="12"/>
      <color indexed="10"/>
      <name val="Tahoma"/>
      <family val="2"/>
    </font>
    <font>
      <u/>
      <sz val="11"/>
      <color indexed="63"/>
      <name val="Tahoma"/>
      <family val="2"/>
    </font>
    <font>
      <u/>
      <sz val="10"/>
      <color indexed="18"/>
      <name val="Tahoma"/>
      <family val="2"/>
    </font>
    <font>
      <sz val="11"/>
      <color indexed="9"/>
      <name val="Tahoma"/>
      <family val="2"/>
    </font>
    <font>
      <u/>
      <sz val="8"/>
      <color indexed="63"/>
      <name val="Tahoma"/>
      <family val="2"/>
    </font>
    <font>
      <sz val="10"/>
      <color indexed="17"/>
      <name val="Tahoma"/>
      <family val="2"/>
    </font>
    <font>
      <u/>
      <sz val="10"/>
      <color indexed="16"/>
      <name val="Tahoma"/>
      <family val="2"/>
    </font>
    <font>
      <sz val="8"/>
      <color indexed="53"/>
      <name val="Tahoma"/>
      <family val="2"/>
    </font>
    <font>
      <sz val="10"/>
      <color indexed="53"/>
      <name val="Tahoma"/>
      <family val="2"/>
    </font>
    <font>
      <i/>
      <sz val="9"/>
      <color indexed="23"/>
      <name val="Corbel"/>
      <family val="2"/>
    </font>
    <font>
      <sz val="11"/>
      <color indexed="16"/>
      <name val="Tahoma"/>
      <family val="2"/>
    </font>
    <font>
      <sz val="8"/>
      <color indexed="26"/>
      <name val="Tahoma"/>
      <family val="2"/>
    </font>
    <font>
      <sz val="8"/>
      <color indexed="46"/>
      <name val="Tahoma"/>
      <family val="2"/>
    </font>
    <font>
      <sz val="10"/>
      <color indexed="9"/>
      <name val="Tahoma"/>
      <family val="2"/>
    </font>
    <font>
      <u/>
      <sz val="11"/>
      <color indexed="10"/>
      <name val="Tahoma"/>
      <family val="2"/>
    </font>
    <font>
      <sz val="11"/>
      <color indexed="23"/>
      <name val="Tahoma"/>
      <family val="2"/>
    </font>
    <font>
      <sz val="14"/>
      <color indexed="10"/>
      <name val="Tahoma"/>
      <family val="2"/>
    </font>
    <font>
      <i/>
      <sz val="10"/>
      <color indexed="10"/>
      <name val="Corbel"/>
      <family val="2"/>
    </font>
    <font>
      <sz val="12"/>
      <color indexed="23"/>
      <name val="Tahoma"/>
      <family val="2"/>
    </font>
    <font>
      <i/>
      <sz val="10"/>
      <name val="Corbel"/>
      <family val="2"/>
    </font>
    <font>
      <sz val="12"/>
      <color indexed="63"/>
      <name val="Tahoma"/>
      <family val="2"/>
    </font>
    <font>
      <i/>
      <sz val="10"/>
      <color indexed="18"/>
      <name val="Corbel"/>
      <family val="2"/>
    </font>
    <font>
      <sz val="18"/>
      <color indexed="63"/>
      <name val="Wingdings 2"/>
      <family val="1"/>
      <charset val="2"/>
    </font>
    <font>
      <b/>
      <sz val="11"/>
      <color indexed="63"/>
      <name val="Arial"/>
      <family val="2"/>
    </font>
    <font>
      <i/>
      <sz val="12"/>
      <color indexed="63"/>
      <name val="Corbel"/>
      <family val="2"/>
    </font>
    <font>
      <i/>
      <u/>
      <sz val="14"/>
      <color indexed="23"/>
      <name val="Corbel"/>
      <family val="2"/>
    </font>
    <font>
      <sz val="8"/>
      <color indexed="17"/>
      <name val="Tahoma"/>
      <family val="2"/>
    </font>
    <font>
      <u/>
      <sz val="8"/>
      <color indexed="23"/>
      <name val="Tahoma"/>
      <family val="2"/>
    </font>
    <font>
      <i/>
      <sz val="11"/>
      <color indexed="9"/>
      <name val="Calibri"/>
      <family val="2"/>
    </font>
    <font>
      <sz val="8"/>
      <color indexed="17"/>
      <name val="Tahoma"/>
      <family val="2"/>
    </font>
    <font>
      <sz val="10"/>
      <color indexed="17"/>
      <name val="Tahoma"/>
      <family val="2"/>
    </font>
    <font>
      <i/>
      <u/>
      <sz val="10"/>
      <color indexed="23"/>
      <name val="Corbel"/>
      <family val="2"/>
    </font>
    <font>
      <sz val="10"/>
      <color indexed="63"/>
      <name val="Arial"/>
      <family val="2"/>
    </font>
    <font>
      <i/>
      <u/>
      <sz val="11"/>
      <color indexed="9"/>
      <name val="Calibri"/>
      <family val="2"/>
    </font>
    <font>
      <u/>
      <sz val="10"/>
      <color indexed="10"/>
      <name val="Tahoma"/>
      <family val="2"/>
    </font>
    <font>
      <i/>
      <u/>
      <sz val="10"/>
      <color indexed="63"/>
      <name val="Corbel"/>
      <family val="2"/>
    </font>
    <font>
      <i/>
      <u/>
      <sz val="10"/>
      <color indexed="18"/>
      <name val="Corbel"/>
      <family val="2"/>
    </font>
    <font>
      <sz val="20"/>
      <color indexed="63"/>
      <name val="Wingdings 2"/>
      <family val="1"/>
      <charset val="2"/>
    </font>
    <font>
      <i/>
      <sz val="10"/>
      <color indexed="16"/>
      <name val="Corbel"/>
      <family val="2"/>
    </font>
    <font>
      <sz val="11"/>
      <color indexed="16"/>
      <name val="Arial"/>
      <family val="2"/>
    </font>
    <font>
      <sz val="8"/>
      <color indexed="9"/>
      <name val="Tahoma"/>
      <family val="2"/>
    </font>
    <font>
      <u/>
      <sz val="10"/>
      <color indexed="23"/>
      <name val="Arial"/>
      <family val="2"/>
    </font>
    <font>
      <u/>
      <sz val="8"/>
      <color indexed="18"/>
      <name val="Tahoma"/>
      <family val="2"/>
    </font>
    <font>
      <sz val="12"/>
      <color indexed="9"/>
      <name val="Tahoma"/>
      <family val="2"/>
    </font>
    <font>
      <i/>
      <sz val="9"/>
      <color indexed="10"/>
      <name val="Corbel"/>
      <family val="2"/>
    </font>
    <font>
      <u/>
      <sz val="8"/>
      <color indexed="16"/>
      <name val="Tahoma"/>
      <family val="2"/>
    </font>
    <font>
      <i/>
      <sz val="9"/>
      <color indexed="63"/>
      <name val="Corbel"/>
      <family val="2"/>
    </font>
    <font>
      <sz val="8"/>
      <color indexed="16"/>
      <name val="Tahoma"/>
      <family val="2"/>
    </font>
    <font>
      <u/>
      <sz val="11"/>
      <color indexed="23"/>
      <name val="Tahoma"/>
      <family val="2"/>
    </font>
    <font>
      <u/>
      <sz val="10"/>
      <color indexed="12"/>
      <name val="Tahoma"/>
      <family val="2"/>
    </font>
    <font>
      <sz val="8"/>
      <color rgb="FF333333"/>
      <name val="Tahoma"/>
      <family val="2"/>
    </font>
    <font>
      <sz val="8"/>
      <color rgb="FFFF0000"/>
      <name val="Tahoma"/>
      <family val="2"/>
    </font>
    <font>
      <sz val="11"/>
      <color theme="0" tint="-0.499984740745262"/>
      <name val="Tahoma"/>
      <family val="2"/>
    </font>
    <font>
      <i/>
      <sz val="11"/>
      <color theme="0"/>
      <name val="Corbel"/>
      <family val="2"/>
    </font>
    <font>
      <i/>
      <u/>
      <sz val="11"/>
      <color theme="0"/>
      <name val="Corbel"/>
      <family val="2"/>
    </font>
    <font>
      <u/>
      <sz val="8"/>
      <color rgb="FFFF0000"/>
      <name val="Tahoma"/>
      <family val="2"/>
    </font>
    <font>
      <sz val="8"/>
      <color theme="0" tint="-0.499984740745262"/>
      <name val="Tahoma"/>
      <family val="2"/>
    </font>
    <font>
      <sz val="8"/>
      <color theme="0"/>
      <name val="Tahoma"/>
      <family val="2"/>
    </font>
    <font>
      <u/>
      <sz val="10"/>
      <color rgb="FFFF0000"/>
      <name val="Tahoma"/>
      <family val="2"/>
    </font>
    <font>
      <i/>
      <sz val="10"/>
      <color theme="0" tint="-0.499984740745262"/>
      <name val="Corbel"/>
      <family val="2"/>
    </font>
  </fonts>
  <fills count="8">
    <fill>
      <patternFill patternType="none"/>
    </fill>
    <fill>
      <patternFill patternType="gray125"/>
    </fill>
    <fill>
      <patternFill patternType="solid">
        <fgColor indexed="9"/>
        <bgColor indexed="64"/>
      </patternFill>
    </fill>
    <fill>
      <patternFill patternType="solid">
        <fgColor indexed="46"/>
        <bgColor indexed="64"/>
      </patternFill>
    </fill>
    <fill>
      <patternFill patternType="solid">
        <fgColor indexed="26"/>
        <bgColor indexed="64"/>
      </patternFill>
    </fill>
    <fill>
      <patternFill patternType="solid">
        <fgColor indexed="9"/>
        <bgColor indexed="10"/>
      </patternFill>
    </fill>
    <fill>
      <patternFill patternType="solid">
        <fgColor indexed="42"/>
        <bgColor indexed="64"/>
      </patternFill>
    </fill>
    <fill>
      <patternFill patternType="solid">
        <fgColor theme="0"/>
        <bgColor indexed="64"/>
      </patternFill>
    </fill>
  </fills>
  <borders count="208">
    <border>
      <left/>
      <right/>
      <top/>
      <bottom/>
      <diagonal/>
    </border>
    <border>
      <left style="thin">
        <color indexed="23"/>
      </left>
      <right/>
      <top/>
      <bottom/>
      <diagonal/>
    </border>
    <border>
      <left style="thin">
        <color indexed="23"/>
      </left>
      <right/>
      <top/>
      <bottom style="thin">
        <color indexed="23"/>
      </bottom>
      <diagonal/>
    </border>
    <border>
      <left/>
      <right style="thin">
        <color indexed="23"/>
      </right>
      <top/>
      <bottom style="thin">
        <color indexed="23"/>
      </bottom>
      <diagonal/>
    </border>
    <border>
      <left/>
      <right/>
      <top style="thin">
        <color indexed="23"/>
      </top>
      <bottom/>
      <diagonal/>
    </border>
    <border>
      <left style="thin">
        <color indexed="23"/>
      </left>
      <right/>
      <top style="thin">
        <color indexed="23"/>
      </top>
      <bottom style="thin">
        <color indexed="23"/>
      </bottom>
      <diagonal/>
    </border>
    <border>
      <left style="hair">
        <color indexed="23"/>
      </left>
      <right style="hair">
        <color indexed="23"/>
      </right>
      <top style="hair">
        <color indexed="23"/>
      </top>
      <bottom style="hair">
        <color indexed="23"/>
      </bottom>
      <diagonal/>
    </border>
    <border>
      <left/>
      <right/>
      <top/>
      <bottom style="thin">
        <color indexed="23"/>
      </bottom>
      <diagonal/>
    </border>
    <border>
      <left/>
      <right/>
      <top/>
      <bottom style="dashed">
        <color indexed="64"/>
      </bottom>
      <diagonal/>
    </border>
    <border>
      <left/>
      <right/>
      <top style="thin">
        <color indexed="23"/>
      </top>
      <bottom style="dashed">
        <color indexed="64"/>
      </bottom>
      <diagonal/>
    </border>
    <border>
      <left style="hair">
        <color indexed="55"/>
      </left>
      <right/>
      <top style="hair">
        <color indexed="55"/>
      </top>
      <bottom style="hair">
        <color indexed="55"/>
      </bottom>
      <diagonal/>
    </border>
    <border>
      <left/>
      <right/>
      <top style="hair">
        <color indexed="55"/>
      </top>
      <bottom style="hair">
        <color indexed="55"/>
      </bottom>
      <diagonal/>
    </border>
    <border>
      <left/>
      <right style="hair">
        <color indexed="55"/>
      </right>
      <top style="hair">
        <color indexed="55"/>
      </top>
      <bottom style="hair">
        <color indexed="55"/>
      </bottom>
      <diagonal/>
    </border>
    <border>
      <left/>
      <right/>
      <top style="hair">
        <color indexed="55"/>
      </top>
      <bottom/>
      <diagonal/>
    </border>
    <border>
      <left style="thin">
        <color indexed="23"/>
      </left>
      <right style="thin">
        <color indexed="23"/>
      </right>
      <top/>
      <bottom/>
      <diagonal/>
    </border>
    <border>
      <left style="thin">
        <color indexed="23"/>
      </left>
      <right style="thin">
        <color indexed="23"/>
      </right>
      <top/>
      <bottom style="thin">
        <color indexed="23"/>
      </bottom>
      <diagonal/>
    </border>
    <border>
      <left style="hair">
        <color indexed="23"/>
      </left>
      <right/>
      <top style="hair">
        <color indexed="23"/>
      </top>
      <bottom style="hair">
        <color indexed="23"/>
      </bottom>
      <diagonal/>
    </border>
    <border>
      <left/>
      <right/>
      <top style="hair">
        <color indexed="23"/>
      </top>
      <bottom style="hair">
        <color indexed="23"/>
      </bottom>
      <diagonal/>
    </border>
    <border>
      <left/>
      <right style="hair">
        <color indexed="23"/>
      </right>
      <top style="hair">
        <color indexed="23"/>
      </top>
      <bottom style="hair">
        <color indexed="23"/>
      </bottom>
      <diagonal/>
    </border>
    <border>
      <left style="thin">
        <color indexed="23"/>
      </left>
      <right style="thin">
        <color indexed="23"/>
      </right>
      <top style="thin">
        <color indexed="23"/>
      </top>
      <bottom style="hair">
        <color indexed="23"/>
      </bottom>
      <diagonal/>
    </border>
    <border>
      <left style="thin">
        <color indexed="23"/>
      </left>
      <right style="thin">
        <color indexed="23"/>
      </right>
      <top style="hair">
        <color indexed="23"/>
      </top>
      <bottom style="hair">
        <color indexed="23"/>
      </bottom>
      <diagonal/>
    </border>
    <border>
      <left style="thin">
        <color indexed="23"/>
      </left>
      <right style="thin">
        <color indexed="23"/>
      </right>
      <top style="hair">
        <color indexed="23"/>
      </top>
      <bottom style="thin">
        <color indexed="23"/>
      </bottom>
      <diagonal/>
    </border>
    <border>
      <left/>
      <right style="thin">
        <color indexed="23"/>
      </right>
      <top/>
      <bottom/>
      <diagonal/>
    </border>
    <border>
      <left style="hair">
        <color indexed="23"/>
      </left>
      <right/>
      <top/>
      <bottom/>
      <diagonal/>
    </border>
    <border>
      <left/>
      <right style="thin">
        <color indexed="23"/>
      </right>
      <top style="thin">
        <color indexed="23"/>
      </top>
      <bottom/>
      <diagonal/>
    </border>
    <border>
      <left style="thin">
        <color indexed="23"/>
      </left>
      <right style="thin">
        <color indexed="23"/>
      </right>
      <top style="hair">
        <color indexed="23"/>
      </top>
      <bottom/>
      <diagonal/>
    </border>
    <border>
      <left style="thin">
        <color indexed="23"/>
      </left>
      <right style="thin">
        <color indexed="23"/>
      </right>
      <top style="thin">
        <color indexed="23"/>
      </top>
      <bottom/>
      <diagonal/>
    </border>
    <border>
      <left style="thin">
        <color indexed="23"/>
      </left>
      <right style="thin">
        <color indexed="23"/>
      </right>
      <top style="thin">
        <color indexed="23"/>
      </top>
      <bottom style="thin">
        <color indexed="23"/>
      </bottom>
      <diagonal/>
    </border>
    <border>
      <left style="hair">
        <color indexed="23"/>
      </left>
      <right/>
      <top style="hair">
        <color indexed="23"/>
      </top>
      <bottom/>
      <diagonal/>
    </border>
    <border>
      <left style="hair">
        <color indexed="23"/>
      </left>
      <right/>
      <top/>
      <bottom style="hair">
        <color indexed="23"/>
      </bottom>
      <diagonal/>
    </border>
    <border>
      <left/>
      <right/>
      <top/>
      <bottom style="hair">
        <color indexed="23"/>
      </bottom>
      <diagonal/>
    </border>
    <border>
      <left/>
      <right style="hair">
        <color indexed="23"/>
      </right>
      <top/>
      <bottom style="hair">
        <color indexed="23"/>
      </bottom>
      <diagonal/>
    </border>
    <border>
      <left style="hair">
        <color indexed="23"/>
      </left>
      <right style="hair">
        <color indexed="23"/>
      </right>
      <top style="hair">
        <color indexed="23"/>
      </top>
      <bottom/>
      <diagonal/>
    </border>
    <border>
      <left style="hair">
        <color indexed="23"/>
      </left>
      <right style="hair">
        <color indexed="23"/>
      </right>
      <top/>
      <bottom style="hair">
        <color indexed="23"/>
      </bottom>
      <diagonal/>
    </border>
    <border>
      <left style="thin">
        <color indexed="23"/>
      </left>
      <right style="hair">
        <color indexed="23"/>
      </right>
      <top style="hair">
        <color indexed="23"/>
      </top>
      <bottom style="hair">
        <color indexed="23"/>
      </bottom>
      <diagonal/>
    </border>
    <border>
      <left style="hair">
        <color indexed="23"/>
      </left>
      <right style="thin">
        <color indexed="23"/>
      </right>
      <top style="hair">
        <color indexed="23"/>
      </top>
      <bottom style="hair">
        <color indexed="23"/>
      </bottom>
      <diagonal/>
    </border>
    <border>
      <left style="thin">
        <color indexed="23"/>
      </left>
      <right/>
      <top style="thin">
        <color indexed="23"/>
      </top>
      <bottom/>
      <diagonal/>
    </border>
    <border>
      <left/>
      <right style="hair">
        <color indexed="23"/>
      </right>
      <top/>
      <bottom/>
      <diagonal/>
    </border>
    <border>
      <left style="hair">
        <color indexed="23"/>
      </left>
      <right style="hair">
        <color indexed="23"/>
      </right>
      <top/>
      <bottom/>
      <diagonal/>
    </border>
    <border>
      <left/>
      <right style="hair">
        <color indexed="23"/>
      </right>
      <top style="hair">
        <color indexed="23"/>
      </top>
      <bottom/>
      <diagonal/>
    </border>
    <border>
      <left style="hair">
        <color indexed="23"/>
      </left>
      <right/>
      <top style="thin">
        <color indexed="23"/>
      </top>
      <bottom/>
      <diagonal/>
    </border>
    <border>
      <left style="thin">
        <color indexed="23"/>
      </left>
      <right/>
      <top/>
      <bottom style="hair">
        <color indexed="23"/>
      </bottom>
      <diagonal/>
    </border>
    <border>
      <left style="thin">
        <color indexed="23"/>
      </left>
      <right style="hair">
        <color indexed="23"/>
      </right>
      <top style="thin">
        <color indexed="23"/>
      </top>
      <bottom style="thin">
        <color indexed="23"/>
      </bottom>
      <diagonal/>
    </border>
    <border>
      <left style="hair">
        <color indexed="23"/>
      </left>
      <right style="hair">
        <color indexed="23"/>
      </right>
      <top style="thin">
        <color indexed="23"/>
      </top>
      <bottom style="thin">
        <color indexed="23"/>
      </bottom>
      <diagonal/>
    </border>
    <border>
      <left style="hair">
        <color indexed="23"/>
      </left>
      <right style="thin">
        <color indexed="23"/>
      </right>
      <top style="thin">
        <color indexed="23"/>
      </top>
      <bottom style="thin">
        <color indexed="23"/>
      </bottom>
      <diagonal/>
    </border>
    <border>
      <left style="thin">
        <color indexed="23"/>
      </left>
      <right style="thin">
        <color indexed="23"/>
      </right>
      <top/>
      <bottom style="hair">
        <color indexed="23"/>
      </bottom>
      <diagonal/>
    </border>
    <border>
      <left style="thin">
        <color indexed="23"/>
      </left>
      <right style="hair">
        <color indexed="23"/>
      </right>
      <top style="thin">
        <color indexed="23"/>
      </top>
      <bottom/>
      <diagonal/>
    </border>
    <border>
      <left style="hair">
        <color indexed="23"/>
      </left>
      <right style="hair">
        <color indexed="23"/>
      </right>
      <top style="thin">
        <color indexed="23"/>
      </top>
      <bottom/>
      <diagonal/>
    </border>
    <border>
      <left style="thin">
        <color indexed="23"/>
      </left>
      <right style="hair">
        <color indexed="23"/>
      </right>
      <top/>
      <bottom style="thin">
        <color indexed="23"/>
      </bottom>
      <diagonal/>
    </border>
    <border>
      <left style="hair">
        <color indexed="23"/>
      </left>
      <right style="hair">
        <color indexed="23"/>
      </right>
      <top/>
      <bottom style="thin">
        <color indexed="23"/>
      </bottom>
      <diagonal/>
    </border>
    <border>
      <left/>
      <right style="hair">
        <color indexed="23"/>
      </right>
      <top style="thin">
        <color indexed="23"/>
      </top>
      <bottom style="thin">
        <color indexed="23"/>
      </bottom>
      <diagonal/>
    </border>
    <border>
      <left style="hair">
        <color indexed="23"/>
      </left>
      <right/>
      <top style="thin">
        <color indexed="23"/>
      </top>
      <bottom style="thin">
        <color indexed="23"/>
      </bottom>
      <diagonal/>
    </border>
    <border>
      <left style="hair">
        <color indexed="23"/>
      </left>
      <right style="thin">
        <color indexed="23"/>
      </right>
      <top style="thin">
        <color indexed="23"/>
      </top>
      <bottom/>
      <diagonal/>
    </border>
    <border>
      <left style="hair">
        <color indexed="23"/>
      </left>
      <right style="thin">
        <color indexed="23"/>
      </right>
      <top/>
      <bottom style="thin">
        <color indexed="23"/>
      </bottom>
      <diagonal/>
    </border>
    <border>
      <left style="thin">
        <color indexed="23"/>
      </left>
      <right style="hair">
        <color indexed="23"/>
      </right>
      <top style="thin">
        <color indexed="23"/>
      </top>
      <bottom style="hair">
        <color indexed="23"/>
      </bottom>
      <diagonal/>
    </border>
    <border>
      <left style="hair">
        <color indexed="23"/>
      </left>
      <right style="hair">
        <color indexed="23"/>
      </right>
      <top style="thin">
        <color indexed="23"/>
      </top>
      <bottom style="hair">
        <color indexed="23"/>
      </bottom>
      <diagonal/>
    </border>
    <border>
      <left style="hair">
        <color indexed="23"/>
      </left>
      <right style="thin">
        <color indexed="23"/>
      </right>
      <top style="thin">
        <color indexed="23"/>
      </top>
      <bottom style="hair">
        <color indexed="23"/>
      </bottom>
      <diagonal/>
    </border>
    <border>
      <left style="thin">
        <color indexed="23"/>
      </left>
      <right style="hair">
        <color indexed="23"/>
      </right>
      <top style="hair">
        <color indexed="23"/>
      </top>
      <bottom style="thin">
        <color indexed="23"/>
      </bottom>
      <diagonal/>
    </border>
    <border>
      <left style="hair">
        <color indexed="23"/>
      </left>
      <right style="hair">
        <color indexed="23"/>
      </right>
      <top style="hair">
        <color indexed="23"/>
      </top>
      <bottom style="thin">
        <color indexed="23"/>
      </bottom>
      <diagonal/>
    </border>
    <border>
      <left style="hair">
        <color indexed="23"/>
      </left>
      <right style="thin">
        <color indexed="23"/>
      </right>
      <top style="hair">
        <color indexed="23"/>
      </top>
      <bottom style="thin">
        <color indexed="23"/>
      </bottom>
      <diagonal/>
    </border>
    <border>
      <left style="thin">
        <color indexed="23"/>
      </left>
      <right/>
      <top style="thin">
        <color indexed="23"/>
      </top>
      <bottom style="hair">
        <color indexed="23"/>
      </bottom>
      <diagonal/>
    </border>
    <border>
      <left style="thin">
        <color indexed="23"/>
      </left>
      <right/>
      <top style="hair">
        <color indexed="23"/>
      </top>
      <bottom style="hair">
        <color indexed="23"/>
      </bottom>
      <diagonal/>
    </border>
    <border>
      <left style="thin">
        <color indexed="23"/>
      </left>
      <right/>
      <top style="hair">
        <color indexed="23"/>
      </top>
      <bottom style="thin">
        <color indexed="23"/>
      </bottom>
      <diagonal/>
    </border>
    <border>
      <left/>
      <right style="thin">
        <color indexed="23"/>
      </right>
      <top style="thin">
        <color indexed="23"/>
      </top>
      <bottom style="hair">
        <color indexed="23"/>
      </bottom>
      <diagonal/>
    </border>
    <border>
      <left/>
      <right style="thin">
        <color indexed="23"/>
      </right>
      <top style="hair">
        <color indexed="23"/>
      </top>
      <bottom style="hair">
        <color indexed="23"/>
      </bottom>
      <diagonal/>
    </border>
    <border>
      <left/>
      <right style="thin">
        <color indexed="23"/>
      </right>
      <top style="hair">
        <color indexed="23"/>
      </top>
      <bottom style="thin">
        <color indexed="23"/>
      </bottom>
      <diagonal/>
    </border>
    <border>
      <left style="thin">
        <color indexed="16"/>
      </left>
      <right style="thin">
        <color indexed="16"/>
      </right>
      <top style="thin">
        <color indexed="16"/>
      </top>
      <bottom style="thin">
        <color indexed="16"/>
      </bottom>
      <diagonal/>
    </border>
    <border>
      <left style="hair">
        <color indexed="23"/>
      </left>
      <right/>
      <top style="hair">
        <color indexed="23"/>
      </top>
      <bottom style="thin">
        <color indexed="23"/>
      </bottom>
      <diagonal/>
    </border>
    <border>
      <left/>
      <right/>
      <top style="hair">
        <color indexed="23"/>
      </top>
      <bottom style="thin">
        <color indexed="23"/>
      </bottom>
      <diagonal/>
    </border>
    <border>
      <left style="thin">
        <color indexed="23"/>
      </left>
      <right style="hair">
        <color indexed="23"/>
      </right>
      <top/>
      <bottom style="hair">
        <color indexed="23"/>
      </bottom>
      <diagonal/>
    </border>
    <border>
      <left style="hair">
        <color indexed="23"/>
      </left>
      <right style="thin">
        <color indexed="23"/>
      </right>
      <top/>
      <bottom style="hair">
        <color indexed="23"/>
      </bottom>
      <diagonal/>
    </border>
    <border>
      <left style="thin">
        <color indexed="18"/>
      </left>
      <right/>
      <top/>
      <bottom/>
      <diagonal/>
    </border>
    <border>
      <left/>
      <right style="hair">
        <color indexed="23"/>
      </right>
      <top style="thin">
        <color indexed="23"/>
      </top>
      <bottom style="hair">
        <color indexed="23"/>
      </bottom>
      <diagonal/>
    </border>
    <border>
      <left/>
      <right style="hair">
        <color indexed="23"/>
      </right>
      <top style="hair">
        <color indexed="23"/>
      </top>
      <bottom style="thin">
        <color indexed="23"/>
      </bottom>
      <diagonal/>
    </border>
    <border>
      <left/>
      <right/>
      <top style="thin">
        <color indexed="23"/>
      </top>
      <bottom style="thin">
        <color indexed="23"/>
      </bottom>
      <diagonal/>
    </border>
    <border>
      <left/>
      <right/>
      <top/>
      <bottom style="thin">
        <color indexed="63"/>
      </bottom>
      <diagonal/>
    </border>
    <border>
      <left style="hair">
        <color indexed="23"/>
      </left>
      <right style="thin">
        <color indexed="23"/>
      </right>
      <top/>
      <bottom/>
      <diagonal/>
    </border>
    <border>
      <left style="thin">
        <color indexed="10"/>
      </left>
      <right style="hair">
        <color indexed="23"/>
      </right>
      <top/>
      <bottom style="thin">
        <color indexed="10"/>
      </bottom>
      <diagonal/>
    </border>
    <border>
      <left style="hair">
        <color indexed="23"/>
      </left>
      <right style="hair">
        <color indexed="23"/>
      </right>
      <top/>
      <bottom style="thin">
        <color indexed="10"/>
      </bottom>
      <diagonal/>
    </border>
    <border>
      <left style="hair">
        <color indexed="23"/>
      </left>
      <right style="thin">
        <color indexed="10"/>
      </right>
      <top/>
      <bottom style="thin">
        <color indexed="10"/>
      </bottom>
      <diagonal/>
    </border>
    <border>
      <left style="thin">
        <color indexed="18"/>
      </left>
      <right style="hair">
        <color indexed="18"/>
      </right>
      <top style="thin">
        <color indexed="18"/>
      </top>
      <bottom style="thin">
        <color indexed="18"/>
      </bottom>
      <diagonal/>
    </border>
    <border>
      <left style="hair">
        <color indexed="18"/>
      </left>
      <right style="thin">
        <color indexed="18"/>
      </right>
      <top style="thin">
        <color indexed="18"/>
      </top>
      <bottom style="thin">
        <color indexed="18"/>
      </bottom>
      <diagonal/>
    </border>
    <border>
      <left style="thin">
        <color indexed="10"/>
      </left>
      <right style="thin">
        <color indexed="10"/>
      </right>
      <top style="thin">
        <color indexed="10"/>
      </top>
      <bottom style="thin">
        <color indexed="10"/>
      </bottom>
      <diagonal/>
    </border>
    <border>
      <left/>
      <right/>
      <top style="hair">
        <color indexed="23"/>
      </top>
      <bottom/>
      <diagonal/>
    </border>
    <border>
      <left/>
      <right style="thin">
        <color indexed="23"/>
      </right>
      <top/>
      <bottom style="hair">
        <color indexed="23"/>
      </bottom>
      <diagonal/>
    </border>
    <border>
      <left/>
      <right style="thin">
        <color indexed="23"/>
      </right>
      <top style="thin">
        <color indexed="23"/>
      </top>
      <bottom style="thin">
        <color indexed="23"/>
      </bottom>
      <diagonal/>
    </border>
    <border>
      <left style="thin">
        <color indexed="23"/>
      </left>
      <right/>
      <top style="hair">
        <color indexed="23"/>
      </top>
      <bottom/>
      <diagonal/>
    </border>
    <border>
      <left/>
      <right style="thin">
        <color indexed="23"/>
      </right>
      <top style="hair">
        <color indexed="23"/>
      </top>
      <bottom/>
      <diagonal/>
    </border>
    <border>
      <left/>
      <right/>
      <top style="thin">
        <color indexed="23"/>
      </top>
      <bottom style="hair">
        <color indexed="23"/>
      </bottom>
      <diagonal/>
    </border>
    <border>
      <left style="thin">
        <color indexed="17"/>
      </left>
      <right style="thin">
        <color indexed="17"/>
      </right>
      <top style="thin">
        <color indexed="17"/>
      </top>
      <bottom style="thin">
        <color indexed="17"/>
      </bottom>
      <diagonal/>
    </border>
    <border>
      <left style="hair">
        <color indexed="10"/>
      </left>
      <right style="hair">
        <color indexed="10"/>
      </right>
      <top style="hair">
        <color indexed="10"/>
      </top>
      <bottom style="hair">
        <color indexed="10"/>
      </bottom>
      <diagonal/>
    </border>
    <border>
      <left/>
      <right style="thin">
        <color indexed="55"/>
      </right>
      <top/>
      <bottom/>
      <diagonal/>
    </border>
    <border>
      <left/>
      <right style="hair">
        <color indexed="23"/>
      </right>
      <top style="thin">
        <color indexed="23"/>
      </top>
      <bottom/>
      <diagonal/>
    </border>
    <border>
      <left style="double">
        <color indexed="23"/>
      </left>
      <right style="double">
        <color indexed="23"/>
      </right>
      <top style="thin">
        <color indexed="23"/>
      </top>
      <bottom style="hair">
        <color indexed="23"/>
      </bottom>
      <diagonal/>
    </border>
    <border>
      <left style="double">
        <color indexed="23"/>
      </left>
      <right style="double">
        <color indexed="23"/>
      </right>
      <top style="hair">
        <color indexed="23"/>
      </top>
      <bottom style="hair">
        <color indexed="23"/>
      </bottom>
      <diagonal/>
    </border>
    <border>
      <left style="double">
        <color indexed="23"/>
      </left>
      <right style="double">
        <color indexed="23"/>
      </right>
      <top style="hair">
        <color indexed="23"/>
      </top>
      <bottom style="thin">
        <color indexed="23"/>
      </bottom>
      <diagonal/>
    </border>
    <border>
      <left style="double">
        <color indexed="23"/>
      </left>
      <right style="double">
        <color indexed="23"/>
      </right>
      <top style="hair">
        <color indexed="23"/>
      </top>
      <bottom style="double">
        <color indexed="23"/>
      </bottom>
      <diagonal/>
    </border>
    <border>
      <left style="double">
        <color indexed="23"/>
      </left>
      <right style="double">
        <color indexed="23"/>
      </right>
      <top style="double">
        <color indexed="23"/>
      </top>
      <bottom style="hair">
        <color indexed="23"/>
      </bottom>
      <diagonal/>
    </border>
    <border>
      <left style="thin">
        <color indexed="18"/>
      </left>
      <right style="thin">
        <color indexed="18"/>
      </right>
      <top style="thin">
        <color indexed="18"/>
      </top>
      <bottom style="hair">
        <color indexed="23"/>
      </bottom>
      <diagonal/>
    </border>
    <border>
      <left style="thin">
        <color indexed="18"/>
      </left>
      <right style="thin">
        <color indexed="18"/>
      </right>
      <top style="hair">
        <color indexed="23"/>
      </top>
      <bottom style="hair">
        <color indexed="23"/>
      </bottom>
      <diagonal/>
    </border>
    <border>
      <left style="thin">
        <color indexed="18"/>
      </left>
      <right style="thin">
        <color indexed="18"/>
      </right>
      <top style="hair">
        <color indexed="23"/>
      </top>
      <bottom style="thin">
        <color indexed="23"/>
      </bottom>
      <diagonal/>
    </border>
    <border>
      <left style="thin">
        <color indexed="18"/>
      </left>
      <right style="thin">
        <color indexed="18"/>
      </right>
      <top style="thin">
        <color indexed="23"/>
      </top>
      <bottom style="hair">
        <color indexed="23"/>
      </bottom>
      <diagonal/>
    </border>
    <border>
      <left style="thin">
        <color indexed="18"/>
      </left>
      <right style="thin">
        <color indexed="18"/>
      </right>
      <top style="hair">
        <color indexed="23"/>
      </top>
      <bottom style="thin">
        <color indexed="18"/>
      </bottom>
      <diagonal/>
    </border>
    <border>
      <left/>
      <right/>
      <top style="thin">
        <color indexed="16"/>
      </top>
      <bottom/>
      <diagonal/>
    </border>
    <border>
      <left/>
      <right style="thin">
        <color indexed="16"/>
      </right>
      <top style="thin">
        <color indexed="16"/>
      </top>
      <bottom/>
      <diagonal/>
    </border>
    <border>
      <left style="thin">
        <color indexed="16"/>
      </left>
      <right/>
      <top/>
      <bottom/>
      <diagonal/>
    </border>
    <border>
      <left style="thin">
        <color indexed="16"/>
      </left>
      <right/>
      <top/>
      <bottom style="thin">
        <color indexed="16"/>
      </bottom>
      <diagonal/>
    </border>
    <border>
      <left/>
      <right/>
      <top/>
      <bottom style="thin">
        <color indexed="16"/>
      </bottom>
      <diagonal/>
    </border>
    <border>
      <left style="thin">
        <color indexed="16"/>
      </left>
      <right/>
      <top style="thin">
        <color indexed="16"/>
      </top>
      <bottom/>
      <diagonal/>
    </border>
    <border>
      <left/>
      <right style="thin">
        <color indexed="16"/>
      </right>
      <top/>
      <bottom/>
      <diagonal/>
    </border>
    <border>
      <left style="thin">
        <color indexed="10"/>
      </left>
      <right style="hair">
        <color indexed="10"/>
      </right>
      <top style="thin">
        <color indexed="10"/>
      </top>
      <bottom style="thin">
        <color indexed="10"/>
      </bottom>
      <diagonal/>
    </border>
    <border>
      <left style="hair">
        <color indexed="10"/>
      </left>
      <right style="hair">
        <color indexed="10"/>
      </right>
      <top style="thin">
        <color indexed="10"/>
      </top>
      <bottom style="thin">
        <color indexed="10"/>
      </bottom>
      <diagonal/>
    </border>
    <border>
      <left style="hair">
        <color indexed="10"/>
      </left>
      <right style="thin">
        <color indexed="10"/>
      </right>
      <top style="thin">
        <color indexed="10"/>
      </top>
      <bottom style="thin">
        <color indexed="10"/>
      </bottom>
      <diagonal/>
    </border>
    <border>
      <left style="thin">
        <color indexed="10"/>
      </left>
      <right/>
      <top/>
      <bottom style="thin">
        <color indexed="10"/>
      </bottom>
      <diagonal/>
    </border>
    <border>
      <left/>
      <right/>
      <top/>
      <bottom style="thin">
        <color indexed="10"/>
      </bottom>
      <diagonal/>
    </border>
    <border>
      <left/>
      <right style="thin">
        <color indexed="10"/>
      </right>
      <top/>
      <bottom style="thin">
        <color indexed="10"/>
      </bottom>
      <diagonal/>
    </border>
    <border>
      <left/>
      <right style="thin">
        <color indexed="18"/>
      </right>
      <top/>
      <bottom/>
      <diagonal/>
    </border>
    <border>
      <left style="thin">
        <color indexed="23"/>
      </left>
      <right style="hair">
        <color indexed="23"/>
      </right>
      <top/>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right/>
      <top style="thin">
        <color indexed="16"/>
      </top>
      <bottom style="thin">
        <color indexed="16"/>
      </bottom>
      <diagonal/>
    </border>
    <border>
      <left/>
      <right style="thin">
        <color indexed="16"/>
      </right>
      <top style="thin">
        <color indexed="16"/>
      </top>
      <bottom style="thin">
        <color indexed="16"/>
      </bottom>
      <diagonal/>
    </border>
    <border>
      <left style="thin">
        <color indexed="16"/>
      </left>
      <right/>
      <top style="thin">
        <color indexed="16"/>
      </top>
      <bottom style="thin">
        <color indexed="16"/>
      </bottom>
      <diagonal/>
    </border>
    <border>
      <left/>
      <right style="hair">
        <color indexed="23"/>
      </right>
      <top/>
      <bottom style="thin">
        <color indexed="23"/>
      </bottom>
      <diagonal/>
    </border>
    <border>
      <left style="hair">
        <color indexed="23"/>
      </left>
      <right/>
      <top/>
      <bottom style="thin">
        <color indexed="23"/>
      </bottom>
      <diagonal/>
    </border>
    <border>
      <left style="hair">
        <color indexed="23"/>
      </left>
      <right/>
      <top style="thin">
        <color indexed="16"/>
      </top>
      <bottom style="hair">
        <color indexed="23"/>
      </bottom>
      <diagonal/>
    </border>
    <border>
      <left/>
      <right/>
      <top style="thin">
        <color indexed="16"/>
      </top>
      <bottom style="hair">
        <color indexed="23"/>
      </bottom>
      <diagonal/>
    </border>
    <border>
      <left/>
      <right style="thin">
        <color indexed="16"/>
      </right>
      <top style="thin">
        <color indexed="16"/>
      </top>
      <bottom style="hair">
        <color indexed="23"/>
      </bottom>
      <diagonal/>
    </border>
    <border>
      <left/>
      <right style="hair">
        <color indexed="23"/>
      </right>
      <top style="thin">
        <color indexed="16"/>
      </top>
      <bottom style="hair">
        <color indexed="23"/>
      </bottom>
      <diagonal/>
    </border>
    <border>
      <left style="hair">
        <color indexed="23"/>
      </left>
      <right/>
      <top style="thin">
        <color indexed="23"/>
      </top>
      <bottom style="hair">
        <color indexed="23"/>
      </bottom>
      <diagonal/>
    </border>
    <border>
      <left style="hair">
        <color indexed="23"/>
      </left>
      <right/>
      <top style="hair">
        <color indexed="23"/>
      </top>
      <bottom style="double">
        <color indexed="23"/>
      </bottom>
      <diagonal/>
    </border>
    <border>
      <left/>
      <right/>
      <top style="hair">
        <color indexed="23"/>
      </top>
      <bottom style="double">
        <color indexed="23"/>
      </bottom>
      <diagonal/>
    </border>
    <border>
      <left/>
      <right style="hair">
        <color indexed="23"/>
      </right>
      <top style="hair">
        <color indexed="23"/>
      </top>
      <bottom style="double">
        <color indexed="23"/>
      </bottom>
      <diagonal/>
    </border>
    <border>
      <left style="hair">
        <color indexed="23"/>
      </left>
      <right/>
      <top style="double">
        <color indexed="23"/>
      </top>
      <bottom style="hair">
        <color indexed="23"/>
      </bottom>
      <diagonal/>
    </border>
    <border>
      <left/>
      <right/>
      <top style="double">
        <color indexed="23"/>
      </top>
      <bottom style="hair">
        <color indexed="23"/>
      </bottom>
      <diagonal/>
    </border>
    <border>
      <left/>
      <right style="hair">
        <color indexed="23"/>
      </right>
      <top style="double">
        <color indexed="23"/>
      </top>
      <bottom style="hair">
        <color indexed="23"/>
      </bottom>
      <diagonal/>
    </border>
    <border>
      <left/>
      <right/>
      <top style="thin">
        <color indexed="23"/>
      </top>
      <bottom style="thin">
        <color indexed="10"/>
      </bottom>
      <diagonal/>
    </border>
    <border>
      <left style="thin">
        <color indexed="16"/>
      </left>
      <right/>
      <top style="hair">
        <color indexed="23"/>
      </top>
      <bottom style="thin">
        <color indexed="16"/>
      </bottom>
      <diagonal/>
    </border>
    <border>
      <left/>
      <right/>
      <top style="hair">
        <color indexed="23"/>
      </top>
      <bottom style="thin">
        <color indexed="16"/>
      </bottom>
      <diagonal/>
    </border>
    <border>
      <left/>
      <right style="hair">
        <color indexed="23"/>
      </right>
      <top style="hair">
        <color indexed="23"/>
      </top>
      <bottom style="thin">
        <color indexed="16"/>
      </bottom>
      <diagonal/>
    </border>
    <border>
      <left style="thin">
        <color indexed="16"/>
      </left>
      <right/>
      <top style="thin">
        <color indexed="16"/>
      </top>
      <bottom style="hair">
        <color indexed="23"/>
      </bottom>
      <diagonal/>
    </border>
    <border>
      <left/>
      <right style="thin">
        <color indexed="16"/>
      </right>
      <top style="hair">
        <color indexed="23"/>
      </top>
      <bottom style="hair">
        <color indexed="23"/>
      </bottom>
      <diagonal/>
    </border>
    <border>
      <left/>
      <right style="thin">
        <color indexed="16"/>
      </right>
      <top style="hair">
        <color indexed="23"/>
      </top>
      <bottom style="thin">
        <color indexed="16"/>
      </bottom>
      <diagonal/>
    </border>
    <border>
      <left/>
      <right/>
      <top style="thin">
        <color indexed="10"/>
      </top>
      <bottom style="thin">
        <color indexed="10"/>
      </bottom>
      <diagonal/>
    </border>
    <border>
      <left style="thin">
        <color indexed="10"/>
      </left>
      <right/>
      <top style="thin">
        <color indexed="10"/>
      </top>
      <bottom style="thin">
        <color indexed="10"/>
      </bottom>
      <diagonal/>
    </border>
    <border>
      <left style="thin">
        <color indexed="18"/>
      </left>
      <right/>
      <top style="hair">
        <color indexed="23"/>
      </top>
      <bottom style="hair">
        <color indexed="23"/>
      </bottom>
      <diagonal/>
    </border>
    <border>
      <left/>
      <right style="thin">
        <color indexed="18"/>
      </right>
      <top style="hair">
        <color indexed="23"/>
      </top>
      <bottom style="hair">
        <color indexed="23"/>
      </bottom>
      <diagonal/>
    </border>
    <border>
      <left style="thin">
        <color indexed="18"/>
      </left>
      <right/>
      <top style="hair">
        <color indexed="23"/>
      </top>
      <bottom style="thin">
        <color indexed="18"/>
      </bottom>
      <diagonal/>
    </border>
    <border>
      <left/>
      <right/>
      <top style="hair">
        <color indexed="23"/>
      </top>
      <bottom style="thin">
        <color indexed="18"/>
      </bottom>
      <diagonal/>
    </border>
    <border>
      <left style="hair">
        <color indexed="23"/>
      </left>
      <right/>
      <top style="hair">
        <color indexed="23"/>
      </top>
      <bottom style="thin">
        <color indexed="18"/>
      </bottom>
      <diagonal/>
    </border>
    <border>
      <left/>
      <right style="thin">
        <color indexed="18"/>
      </right>
      <top style="hair">
        <color indexed="23"/>
      </top>
      <bottom style="thin">
        <color indexed="18"/>
      </bottom>
      <diagonal/>
    </border>
    <border>
      <left/>
      <right style="thin">
        <color indexed="10"/>
      </right>
      <top style="thin">
        <color indexed="10"/>
      </top>
      <bottom style="thin">
        <color indexed="10"/>
      </bottom>
      <diagonal/>
    </border>
    <border>
      <left style="thin">
        <color indexed="18"/>
      </left>
      <right/>
      <top/>
      <bottom style="hair">
        <color indexed="23"/>
      </bottom>
      <diagonal/>
    </border>
    <border>
      <left style="thin">
        <color indexed="18"/>
      </left>
      <right/>
      <top style="thin">
        <color indexed="18"/>
      </top>
      <bottom style="thin">
        <color indexed="18"/>
      </bottom>
      <diagonal/>
    </border>
    <border>
      <left/>
      <right/>
      <top style="thin">
        <color indexed="18"/>
      </top>
      <bottom style="thin">
        <color indexed="18"/>
      </bottom>
      <diagonal/>
    </border>
    <border>
      <left/>
      <right style="thin">
        <color indexed="18"/>
      </right>
      <top style="thin">
        <color indexed="18"/>
      </top>
      <bottom style="thin">
        <color indexed="18"/>
      </bottom>
      <diagonal/>
    </border>
    <border>
      <left/>
      <right style="hair">
        <color indexed="23"/>
      </right>
      <top style="hair">
        <color indexed="23"/>
      </top>
      <bottom style="thin">
        <color indexed="18"/>
      </bottom>
      <diagonal/>
    </border>
    <border>
      <left/>
      <right style="thin">
        <color indexed="18"/>
      </right>
      <top/>
      <bottom style="hair">
        <color indexed="23"/>
      </bottom>
      <diagonal/>
    </border>
    <border>
      <left style="thin">
        <color indexed="18"/>
      </left>
      <right/>
      <top style="thin">
        <color indexed="18"/>
      </top>
      <bottom style="hair">
        <color indexed="23"/>
      </bottom>
      <diagonal/>
    </border>
    <border>
      <left/>
      <right/>
      <top style="thin">
        <color indexed="18"/>
      </top>
      <bottom style="hair">
        <color indexed="23"/>
      </bottom>
      <diagonal/>
    </border>
    <border>
      <left style="hair">
        <color indexed="23"/>
      </left>
      <right/>
      <top style="thin">
        <color indexed="18"/>
      </top>
      <bottom style="hair">
        <color indexed="23"/>
      </bottom>
      <diagonal/>
    </border>
    <border>
      <left/>
      <right style="thin">
        <color indexed="18"/>
      </right>
      <top style="thin">
        <color indexed="18"/>
      </top>
      <bottom style="hair">
        <color indexed="23"/>
      </bottom>
      <diagonal/>
    </border>
    <border>
      <left/>
      <right/>
      <top/>
      <bottom style="thin">
        <color indexed="18"/>
      </bottom>
      <diagonal/>
    </border>
    <border>
      <left/>
      <right style="hair">
        <color indexed="23"/>
      </right>
      <top style="thin">
        <color indexed="18"/>
      </top>
      <bottom style="hair">
        <color indexed="23"/>
      </bottom>
      <diagonal/>
    </border>
    <border>
      <left style="hair">
        <color indexed="23"/>
      </left>
      <right/>
      <top style="thin">
        <color indexed="18"/>
      </top>
      <bottom/>
      <diagonal/>
    </border>
    <border>
      <left/>
      <right style="thin">
        <color indexed="18"/>
      </right>
      <top style="thin">
        <color indexed="18"/>
      </top>
      <bottom/>
      <diagonal/>
    </border>
    <border>
      <left style="thin">
        <color indexed="23"/>
      </left>
      <right style="hair">
        <color indexed="23"/>
      </right>
      <top style="hair">
        <color indexed="23"/>
      </top>
      <bottom/>
      <diagonal/>
    </border>
    <border>
      <left/>
      <right style="thin">
        <color indexed="16"/>
      </right>
      <top/>
      <bottom style="thin">
        <color indexed="16"/>
      </bottom>
      <diagonal/>
    </border>
    <border>
      <left style="thin">
        <color indexed="63"/>
      </left>
      <right/>
      <top style="thin">
        <color indexed="63"/>
      </top>
      <bottom style="hair">
        <color indexed="23"/>
      </bottom>
      <diagonal/>
    </border>
    <border>
      <left/>
      <right style="hair">
        <color indexed="63"/>
      </right>
      <top style="thin">
        <color indexed="63"/>
      </top>
      <bottom style="hair">
        <color indexed="23"/>
      </bottom>
      <diagonal/>
    </border>
    <border>
      <left style="hair">
        <color indexed="63"/>
      </left>
      <right/>
      <top style="thin">
        <color indexed="63"/>
      </top>
      <bottom style="hair">
        <color indexed="23"/>
      </bottom>
      <diagonal/>
    </border>
    <border>
      <left/>
      <right/>
      <top style="thin">
        <color indexed="63"/>
      </top>
      <bottom style="hair">
        <color indexed="23"/>
      </bottom>
      <diagonal/>
    </border>
    <border>
      <left/>
      <right style="thin">
        <color indexed="63"/>
      </right>
      <top style="thin">
        <color indexed="63"/>
      </top>
      <bottom style="hair">
        <color indexed="23"/>
      </bottom>
      <diagonal/>
    </border>
    <border>
      <left style="thin">
        <color indexed="16"/>
      </left>
      <right/>
      <top style="hair">
        <color indexed="23"/>
      </top>
      <bottom style="hair">
        <color indexed="23"/>
      </bottom>
      <diagonal/>
    </border>
    <border>
      <left/>
      <right style="hair">
        <color indexed="16"/>
      </right>
      <top style="hair">
        <color indexed="23"/>
      </top>
      <bottom style="hair">
        <color indexed="23"/>
      </bottom>
      <diagonal/>
    </border>
    <border>
      <left style="hair">
        <color indexed="16"/>
      </left>
      <right/>
      <top style="hair">
        <color indexed="23"/>
      </top>
      <bottom style="hair">
        <color indexed="23"/>
      </bottom>
      <diagonal/>
    </border>
    <border>
      <left style="thin">
        <color indexed="63"/>
      </left>
      <right/>
      <top style="hair">
        <color indexed="23"/>
      </top>
      <bottom style="hair">
        <color indexed="23"/>
      </bottom>
      <diagonal/>
    </border>
    <border>
      <left/>
      <right style="hair">
        <color indexed="63"/>
      </right>
      <top style="hair">
        <color indexed="23"/>
      </top>
      <bottom style="hair">
        <color indexed="23"/>
      </bottom>
      <diagonal/>
    </border>
    <border>
      <left style="hair">
        <color indexed="63"/>
      </left>
      <right/>
      <top style="hair">
        <color indexed="23"/>
      </top>
      <bottom style="hair">
        <color indexed="23"/>
      </bottom>
      <diagonal/>
    </border>
    <border>
      <left/>
      <right style="thin">
        <color indexed="63"/>
      </right>
      <top style="hair">
        <color indexed="23"/>
      </top>
      <bottom style="hair">
        <color indexed="23"/>
      </bottom>
      <diagonal/>
    </border>
    <border>
      <left style="thin">
        <color indexed="18"/>
      </left>
      <right/>
      <top style="thin">
        <color indexed="18"/>
      </top>
      <bottom style="hair">
        <color indexed="55"/>
      </bottom>
      <diagonal/>
    </border>
    <border>
      <left/>
      <right style="hair">
        <color indexed="55"/>
      </right>
      <top style="thin">
        <color indexed="18"/>
      </top>
      <bottom style="hair">
        <color indexed="55"/>
      </bottom>
      <diagonal/>
    </border>
    <border>
      <left/>
      <right style="thin">
        <color indexed="18"/>
      </right>
      <top style="hair">
        <color indexed="55"/>
      </top>
      <bottom style="hair">
        <color indexed="55"/>
      </bottom>
      <diagonal/>
    </border>
    <border>
      <left/>
      <right/>
      <top style="dashed">
        <color indexed="64"/>
      </top>
      <bottom/>
      <diagonal/>
    </border>
    <border>
      <left style="hair">
        <color indexed="55"/>
      </left>
      <right/>
      <top style="thin">
        <color indexed="18"/>
      </top>
      <bottom style="hair">
        <color indexed="55"/>
      </bottom>
      <diagonal/>
    </border>
    <border>
      <left/>
      <right/>
      <top style="thin">
        <color indexed="18"/>
      </top>
      <bottom style="hair">
        <color indexed="55"/>
      </bottom>
      <diagonal/>
    </border>
    <border>
      <left/>
      <right style="thin">
        <color indexed="18"/>
      </right>
      <top style="thin">
        <color indexed="18"/>
      </top>
      <bottom style="hair">
        <color indexed="55"/>
      </bottom>
      <diagonal/>
    </border>
    <border>
      <left style="hair">
        <color indexed="55"/>
      </left>
      <right/>
      <top style="hair">
        <color indexed="55"/>
      </top>
      <bottom style="thin">
        <color indexed="18"/>
      </bottom>
      <diagonal/>
    </border>
    <border>
      <left/>
      <right/>
      <top style="hair">
        <color indexed="55"/>
      </top>
      <bottom style="thin">
        <color indexed="18"/>
      </bottom>
      <diagonal/>
    </border>
    <border>
      <left/>
      <right style="thin">
        <color indexed="18"/>
      </right>
      <top style="hair">
        <color indexed="55"/>
      </top>
      <bottom style="thin">
        <color indexed="18"/>
      </bottom>
      <diagonal/>
    </border>
    <border>
      <left style="thin">
        <color indexed="18"/>
      </left>
      <right/>
      <top style="hair">
        <color indexed="55"/>
      </top>
      <bottom style="hair">
        <color indexed="55"/>
      </bottom>
      <diagonal/>
    </border>
    <border>
      <left style="thin">
        <color indexed="18"/>
      </left>
      <right/>
      <top style="hair">
        <color indexed="55"/>
      </top>
      <bottom style="thin">
        <color indexed="18"/>
      </bottom>
      <diagonal/>
    </border>
    <border>
      <left/>
      <right style="hair">
        <color indexed="55"/>
      </right>
      <top style="hair">
        <color indexed="55"/>
      </top>
      <bottom style="thin">
        <color indexed="18"/>
      </bottom>
      <diagonal/>
    </border>
    <border>
      <left/>
      <right style="hair">
        <color indexed="16"/>
      </right>
      <top style="thin">
        <color indexed="16"/>
      </top>
      <bottom style="hair">
        <color indexed="23"/>
      </bottom>
      <diagonal/>
    </border>
    <border>
      <left style="hair">
        <color indexed="16"/>
      </left>
      <right/>
      <top style="thin">
        <color indexed="16"/>
      </top>
      <bottom style="hair">
        <color indexed="23"/>
      </bottom>
      <diagonal/>
    </border>
    <border>
      <left style="thin">
        <color indexed="63"/>
      </left>
      <right/>
      <top style="hair">
        <color indexed="23"/>
      </top>
      <bottom style="thin">
        <color indexed="63"/>
      </bottom>
      <diagonal/>
    </border>
    <border>
      <left/>
      <right style="hair">
        <color indexed="63"/>
      </right>
      <top style="hair">
        <color indexed="23"/>
      </top>
      <bottom style="thin">
        <color indexed="63"/>
      </bottom>
      <diagonal/>
    </border>
    <border>
      <left style="hair">
        <color indexed="63"/>
      </left>
      <right/>
      <top style="hair">
        <color indexed="23"/>
      </top>
      <bottom style="thin">
        <color indexed="63"/>
      </bottom>
      <diagonal/>
    </border>
    <border>
      <left/>
      <right style="thin">
        <color indexed="63"/>
      </right>
      <top style="hair">
        <color indexed="23"/>
      </top>
      <bottom style="thin">
        <color indexed="63"/>
      </bottom>
      <diagonal/>
    </border>
    <border>
      <left/>
      <right style="hair">
        <color indexed="16"/>
      </right>
      <top style="hair">
        <color indexed="23"/>
      </top>
      <bottom style="thin">
        <color indexed="16"/>
      </bottom>
      <diagonal/>
    </border>
    <border>
      <left style="hair">
        <color indexed="16"/>
      </left>
      <right/>
      <top style="hair">
        <color indexed="23"/>
      </top>
      <bottom style="thin">
        <color indexed="16"/>
      </bottom>
      <diagonal/>
    </border>
    <border>
      <left/>
      <right/>
      <top style="hair">
        <color indexed="23"/>
      </top>
      <bottom style="thin">
        <color indexed="63"/>
      </bottom>
      <diagonal/>
    </border>
    <border>
      <left/>
      <right/>
      <top style="thin">
        <color indexed="10"/>
      </top>
      <bottom/>
      <diagonal/>
    </border>
    <border>
      <left style="double">
        <color indexed="23"/>
      </left>
      <right/>
      <top/>
      <bottom style="hair">
        <color indexed="23"/>
      </bottom>
      <diagonal/>
    </border>
    <border>
      <left style="double">
        <color indexed="23"/>
      </left>
      <right/>
      <top style="thin">
        <color indexed="23"/>
      </top>
      <bottom style="thin">
        <color indexed="23"/>
      </bottom>
      <diagonal/>
    </border>
    <border>
      <left style="double">
        <color indexed="23"/>
      </left>
      <right/>
      <top style="hair">
        <color indexed="23"/>
      </top>
      <bottom style="hair">
        <color indexed="23"/>
      </bottom>
      <diagonal/>
    </border>
    <border>
      <left style="double">
        <color indexed="23"/>
      </left>
      <right/>
      <top style="hair">
        <color indexed="23"/>
      </top>
      <bottom style="thin">
        <color indexed="23"/>
      </bottom>
      <diagonal/>
    </border>
    <border>
      <left style="thin">
        <color rgb="FF002060"/>
      </left>
      <right style="thin">
        <color rgb="FF800000"/>
      </right>
      <top/>
      <bottom/>
      <diagonal/>
    </border>
  </borders>
  <cellStyleXfs count="6">
    <xf numFmtId="0" fontId="0" fillId="0" borderId="0"/>
    <xf numFmtId="0" fontId="2" fillId="0" borderId="0" applyNumberFormat="0" applyFill="0" applyBorder="0" applyAlignment="0" applyProtection="0">
      <alignment vertical="top"/>
      <protection locked="0"/>
    </xf>
    <xf numFmtId="0" fontId="3" fillId="0" borderId="0"/>
    <xf numFmtId="0" fontId="1" fillId="0" borderId="0"/>
    <xf numFmtId="0" fontId="1" fillId="0" borderId="0"/>
    <xf numFmtId="0" fontId="3" fillId="0" borderId="0"/>
  </cellStyleXfs>
  <cellXfs count="2763">
    <xf numFmtId="0" fontId="0" fillId="0" borderId="0" xfId="0"/>
    <xf numFmtId="0" fontId="19" fillId="2" borderId="0" xfId="0" applyFont="1" applyFill="1" applyAlignment="1" applyProtection="1">
      <alignment vertical="center"/>
      <protection hidden="1"/>
    </xf>
    <xf numFmtId="0" fontId="3" fillId="2" borderId="0" xfId="2" applyFill="1" applyProtection="1">
      <protection hidden="1"/>
    </xf>
    <xf numFmtId="0" fontId="19" fillId="2" borderId="0" xfId="2" applyFont="1" applyFill="1" applyAlignment="1" applyProtection="1">
      <alignment vertical="center"/>
      <protection hidden="1"/>
    </xf>
    <xf numFmtId="0" fontId="3" fillId="0" borderId="0" xfId="2" applyProtection="1">
      <protection hidden="1"/>
    </xf>
    <xf numFmtId="0" fontId="18" fillId="2" borderId="0" xfId="2" applyFont="1" applyFill="1" applyBorder="1" applyAlignment="1" applyProtection="1">
      <alignment vertical="center"/>
      <protection hidden="1"/>
    </xf>
    <xf numFmtId="0" fontId="19" fillId="2" borderId="1" xfId="2" applyFont="1" applyFill="1" applyBorder="1" applyAlignment="1" applyProtection="1">
      <alignment vertical="center"/>
      <protection hidden="1"/>
    </xf>
    <xf numFmtId="165" fontId="20" fillId="2" borderId="0" xfId="2" applyNumberFormat="1" applyFont="1" applyFill="1" applyAlignment="1" applyProtection="1">
      <alignment horizontal="right" vertical="center"/>
      <protection hidden="1"/>
    </xf>
    <xf numFmtId="0" fontId="29" fillId="2" borderId="2" xfId="2" applyFont="1" applyFill="1" applyBorder="1" applyAlignment="1" applyProtection="1">
      <alignment horizontal="center" vertical="center"/>
      <protection hidden="1"/>
    </xf>
    <xf numFmtId="0" fontId="29" fillId="2" borderId="3" xfId="2" applyFont="1" applyFill="1" applyBorder="1" applyAlignment="1" applyProtection="1">
      <alignment horizontal="center" vertical="center"/>
      <protection hidden="1"/>
    </xf>
    <xf numFmtId="0" fontId="3" fillId="2" borderId="4" xfId="2" applyFill="1" applyBorder="1" applyProtection="1">
      <protection hidden="1"/>
    </xf>
    <xf numFmtId="0" fontId="19" fillId="2" borderId="4" xfId="2" applyFont="1" applyFill="1" applyBorder="1" applyAlignment="1" applyProtection="1">
      <alignment vertical="center"/>
      <protection hidden="1"/>
    </xf>
    <xf numFmtId="0" fontId="19" fillId="2" borderId="0" xfId="2" applyFont="1" applyFill="1" applyBorder="1" applyAlignment="1" applyProtection="1">
      <alignment vertical="center"/>
      <protection hidden="1"/>
    </xf>
    <xf numFmtId="166" fontId="12" fillId="2" borderId="0" xfId="2" applyNumberFormat="1" applyFont="1" applyFill="1" applyBorder="1" applyAlignment="1" applyProtection="1">
      <protection hidden="1"/>
    </xf>
    <xf numFmtId="0" fontId="3" fillId="2" borderId="0" xfId="2" applyFill="1" applyBorder="1" applyProtection="1">
      <protection hidden="1"/>
    </xf>
    <xf numFmtId="166" fontId="12" fillId="2" borderId="0" xfId="2" applyNumberFormat="1" applyFont="1" applyFill="1" applyBorder="1" applyAlignment="1" applyProtection="1">
      <alignment vertical="center"/>
      <protection hidden="1"/>
    </xf>
    <xf numFmtId="0" fontId="6" fillId="3" borderId="5" xfId="0" applyFont="1" applyFill="1" applyBorder="1" applyAlignment="1" applyProtection="1">
      <alignment horizontal="centerContinuous" vertical="center"/>
      <protection hidden="1"/>
    </xf>
    <xf numFmtId="0" fontId="17" fillId="2" borderId="0" xfId="2" applyFont="1" applyFill="1" applyBorder="1" applyAlignment="1" applyProtection="1">
      <alignment horizontal="center" vertical="center"/>
      <protection hidden="1"/>
    </xf>
    <xf numFmtId="165" fontId="23" fillId="2" borderId="0" xfId="2" applyNumberFormat="1" applyFont="1" applyFill="1" applyAlignment="1" applyProtection="1">
      <alignment horizontal="right" vertical="center"/>
      <protection hidden="1"/>
    </xf>
    <xf numFmtId="14" fontId="36" fillId="2" borderId="6" xfId="0" applyNumberFormat="1" applyFont="1" applyFill="1" applyBorder="1" applyAlignment="1" applyProtection="1">
      <alignment horizontal="center" vertical="center"/>
      <protection hidden="1"/>
    </xf>
    <xf numFmtId="0" fontId="37" fillId="2" borderId="0" xfId="2" applyFont="1" applyFill="1" applyProtection="1">
      <protection hidden="1"/>
    </xf>
    <xf numFmtId="0" fontId="38" fillId="2" borderId="0" xfId="2" applyFont="1" applyFill="1" applyAlignment="1" applyProtection="1">
      <alignment horizontal="center" vertical="center"/>
      <protection hidden="1"/>
    </xf>
    <xf numFmtId="0" fontId="37" fillId="2" borderId="7" xfId="2" applyFont="1" applyFill="1" applyBorder="1" applyProtection="1">
      <protection hidden="1"/>
    </xf>
    <xf numFmtId="0" fontId="6" fillId="2" borderId="7" xfId="2" applyFont="1" applyFill="1" applyBorder="1" applyAlignment="1" applyProtection="1">
      <alignment horizontal="right" vertical="center" indent="1"/>
      <protection hidden="1"/>
    </xf>
    <xf numFmtId="0" fontId="38" fillId="2" borderId="2" xfId="2" applyFont="1" applyFill="1" applyBorder="1" applyAlignment="1" applyProtection="1">
      <alignment vertical="center"/>
      <protection hidden="1"/>
    </xf>
    <xf numFmtId="0" fontId="37" fillId="2" borderId="8" xfId="2" applyFont="1" applyFill="1" applyBorder="1" applyProtection="1">
      <protection hidden="1"/>
    </xf>
    <xf numFmtId="0" fontId="40" fillId="2" borderId="8" xfId="2" applyFont="1" applyFill="1" applyBorder="1" applyProtection="1">
      <protection hidden="1"/>
    </xf>
    <xf numFmtId="0" fontId="37" fillId="2" borderId="9" xfId="2" applyFont="1" applyFill="1" applyBorder="1" applyProtection="1">
      <protection hidden="1"/>
    </xf>
    <xf numFmtId="0" fontId="41" fillId="2" borderId="10" xfId="2" applyFont="1" applyFill="1" applyBorder="1" applyAlignment="1" applyProtection="1">
      <alignment horizontal="left" vertical="center" indent="1"/>
      <protection hidden="1"/>
    </xf>
    <xf numFmtId="0" fontId="41" fillId="2" borderId="11" xfId="2" applyFont="1" applyFill="1" applyBorder="1" applyAlignment="1" applyProtection="1">
      <alignment horizontal="center" vertical="center"/>
      <protection hidden="1"/>
    </xf>
    <xf numFmtId="0" fontId="41" fillId="2" borderId="12" xfId="2" applyFont="1" applyFill="1" applyBorder="1" applyAlignment="1" applyProtection="1">
      <alignment horizontal="center" vertical="center"/>
      <protection hidden="1"/>
    </xf>
    <xf numFmtId="0" fontId="3" fillId="2" borderId="13" xfId="2" applyFill="1" applyBorder="1" applyProtection="1">
      <protection hidden="1"/>
    </xf>
    <xf numFmtId="0" fontId="0" fillId="2" borderId="0" xfId="0" applyFill="1" applyProtection="1">
      <protection hidden="1"/>
    </xf>
    <xf numFmtId="0" fontId="0" fillId="0" borderId="0" xfId="0" applyProtection="1">
      <protection hidden="1"/>
    </xf>
    <xf numFmtId="0" fontId="19" fillId="2" borderId="0" xfId="0" applyFont="1" applyFill="1" applyBorder="1" applyAlignment="1" applyProtection="1">
      <alignment vertical="center"/>
      <protection hidden="1"/>
    </xf>
    <xf numFmtId="168" fontId="42" fillId="2" borderId="0" xfId="0" applyNumberFormat="1" applyFont="1" applyFill="1" applyBorder="1" applyAlignment="1" applyProtection="1">
      <alignment horizontal="right" vertical="center"/>
      <protection hidden="1"/>
    </xf>
    <xf numFmtId="168" fontId="31" fillId="2" borderId="0" xfId="0" applyNumberFormat="1" applyFont="1" applyFill="1" applyBorder="1" applyAlignment="1" applyProtection="1">
      <alignment horizontal="right" vertical="center"/>
      <protection hidden="1"/>
    </xf>
    <xf numFmtId="166" fontId="18" fillId="2" borderId="0" xfId="0" applyNumberFormat="1" applyFont="1" applyFill="1" applyBorder="1" applyAlignment="1" applyProtection="1">
      <alignment horizontal="left"/>
      <protection hidden="1"/>
    </xf>
    <xf numFmtId="168" fontId="27" fillId="2" borderId="0" xfId="0" applyNumberFormat="1" applyFont="1" applyFill="1" applyBorder="1" applyAlignment="1" applyProtection="1">
      <alignment horizontal="right"/>
      <protection hidden="1"/>
    </xf>
    <xf numFmtId="168" fontId="27" fillId="2" borderId="0" xfId="0" applyNumberFormat="1" applyFont="1" applyFill="1" applyBorder="1" applyAlignment="1" applyProtection="1">
      <alignment horizontal="right" vertical="center"/>
      <protection hidden="1"/>
    </xf>
    <xf numFmtId="166" fontId="18" fillId="2" borderId="0" xfId="0" applyNumberFormat="1" applyFont="1" applyFill="1" applyBorder="1" applyAlignment="1" applyProtection="1">
      <alignment horizontal="left" vertical="top"/>
      <protection hidden="1"/>
    </xf>
    <xf numFmtId="168" fontId="27" fillId="2" borderId="0" xfId="0" applyNumberFormat="1" applyFont="1" applyFill="1" applyBorder="1" applyAlignment="1" applyProtection="1">
      <alignment horizontal="right" vertical="top"/>
      <protection hidden="1"/>
    </xf>
    <xf numFmtId="168" fontId="32" fillId="2" borderId="14" xfId="0" applyNumberFormat="1" applyFont="1" applyFill="1" applyBorder="1" applyAlignment="1" applyProtection="1">
      <alignment horizontal="right" vertical="center"/>
      <protection hidden="1"/>
    </xf>
    <xf numFmtId="168" fontId="32" fillId="2" borderId="1" xfId="0" applyNumberFormat="1" applyFont="1" applyFill="1" applyBorder="1" applyAlignment="1" applyProtection="1">
      <alignment horizontal="right" vertical="center"/>
      <protection hidden="1"/>
    </xf>
    <xf numFmtId="0" fontId="7" fillId="2" borderId="0" xfId="0" applyFont="1" applyFill="1" applyBorder="1" applyAlignment="1" applyProtection="1">
      <protection hidden="1"/>
    </xf>
    <xf numFmtId="0" fontId="12" fillId="2" borderId="0" xfId="0" applyFont="1" applyFill="1" applyBorder="1" applyAlignment="1" applyProtection="1">
      <protection hidden="1"/>
    </xf>
    <xf numFmtId="0" fontId="22" fillId="2" borderId="0" xfId="2" applyFont="1" applyFill="1" applyAlignment="1" applyProtection="1">
      <alignment horizontal="left"/>
      <protection hidden="1"/>
    </xf>
    <xf numFmtId="0" fontId="13" fillId="2" borderId="0" xfId="0" applyFont="1" applyFill="1" applyAlignment="1" applyProtection="1">
      <alignment vertical="center"/>
      <protection hidden="1"/>
    </xf>
    <xf numFmtId="0" fontId="19" fillId="2" borderId="0" xfId="0" applyFont="1" applyFill="1" applyProtection="1">
      <protection hidden="1"/>
    </xf>
    <xf numFmtId="0" fontId="8" fillId="2" borderId="0" xfId="0" applyFont="1" applyFill="1" applyProtection="1">
      <protection hidden="1"/>
    </xf>
    <xf numFmtId="0" fontId="18" fillId="2" borderId="0" xfId="0" applyFont="1" applyFill="1" applyProtection="1">
      <protection hidden="1"/>
    </xf>
    <xf numFmtId="0" fontId="20" fillId="2" borderId="0" xfId="0" applyFont="1" applyFill="1" applyAlignment="1" applyProtection="1">
      <alignment vertical="center"/>
      <protection hidden="1"/>
    </xf>
    <xf numFmtId="0" fontId="46" fillId="2" borderId="0" xfId="5" applyFont="1" applyFill="1" applyAlignment="1" applyProtection="1">
      <protection hidden="1"/>
    </xf>
    <xf numFmtId="0" fontId="18" fillId="2" borderId="0" xfId="0" applyFont="1" applyFill="1" applyAlignment="1" applyProtection="1">
      <protection hidden="1"/>
    </xf>
    <xf numFmtId="0" fontId="0" fillId="0" borderId="0" xfId="0" applyFill="1" applyProtection="1">
      <protection hidden="1"/>
    </xf>
    <xf numFmtId="0" fontId="52" fillId="2" borderId="15" xfId="2" applyFont="1" applyFill="1" applyBorder="1" applyAlignment="1" applyProtection="1">
      <alignment horizontal="center" vertical="top"/>
      <protection hidden="1"/>
    </xf>
    <xf numFmtId="0" fontId="10" fillId="2" borderId="0" xfId="0" applyNumberFormat="1" applyFont="1" applyFill="1" applyBorder="1" applyAlignment="1" applyProtection="1">
      <alignment horizontal="center" vertical="center"/>
      <protection hidden="1"/>
    </xf>
    <xf numFmtId="0" fontId="45" fillId="2" borderId="0" xfId="2" applyFont="1" applyFill="1" applyBorder="1" applyAlignment="1" applyProtection="1">
      <alignment horizontal="centerContinuous"/>
      <protection hidden="1"/>
    </xf>
    <xf numFmtId="0" fontId="45" fillId="2" borderId="7" xfId="2" applyFont="1" applyFill="1" applyBorder="1" applyAlignment="1" applyProtection="1">
      <alignment horizontal="centerContinuous" vertical="top"/>
      <protection hidden="1"/>
    </xf>
    <xf numFmtId="0" fontId="3" fillId="2" borderId="1" xfId="2" applyFill="1" applyBorder="1" applyProtection="1">
      <protection hidden="1"/>
    </xf>
    <xf numFmtId="0" fontId="10" fillId="2" borderId="0" xfId="0" applyNumberFormat="1" applyFont="1" applyFill="1" applyBorder="1" applyAlignment="1" applyProtection="1">
      <alignment horizontal="left" vertical="center"/>
      <protection hidden="1"/>
    </xf>
    <xf numFmtId="0" fontId="24" fillId="2" borderId="0" xfId="2" applyFont="1" applyFill="1" applyAlignment="1" applyProtection="1">
      <alignment horizontal="right"/>
      <protection hidden="1"/>
    </xf>
    <xf numFmtId="0" fontId="24" fillId="2" borderId="0" xfId="2" applyFont="1" applyFill="1" applyAlignment="1" applyProtection="1">
      <alignment horizontal="right" vertical="top"/>
      <protection hidden="1"/>
    </xf>
    <xf numFmtId="0" fontId="20" fillId="2" borderId="0" xfId="0" applyNumberFormat="1" applyFont="1" applyFill="1" applyBorder="1" applyAlignment="1" applyProtection="1">
      <alignment horizontal="center" vertical="top"/>
      <protection hidden="1"/>
    </xf>
    <xf numFmtId="0" fontId="20" fillId="2" borderId="0" xfId="0" applyNumberFormat="1" applyFont="1" applyFill="1" applyBorder="1" applyAlignment="1" applyProtection="1">
      <alignment horizontal="center"/>
      <protection hidden="1"/>
    </xf>
    <xf numFmtId="168" fontId="11" fillId="2" borderId="0" xfId="0" applyNumberFormat="1" applyFont="1" applyFill="1" applyBorder="1" applyAlignment="1" applyProtection="1">
      <alignment horizontal="right" vertical="center"/>
      <protection hidden="1"/>
    </xf>
    <xf numFmtId="168" fontId="43" fillId="2" borderId="0" xfId="0" applyNumberFormat="1" applyFont="1" applyFill="1" applyBorder="1" applyAlignment="1" applyProtection="1">
      <alignment horizontal="right" vertical="center"/>
      <protection hidden="1"/>
    </xf>
    <xf numFmtId="166" fontId="47" fillId="2" borderId="0" xfId="0" applyNumberFormat="1" applyFont="1" applyFill="1" applyBorder="1" applyAlignment="1" applyProtection="1">
      <alignment horizontal="right" vertical="center"/>
      <protection hidden="1"/>
    </xf>
    <xf numFmtId="172" fontId="55" fillId="2" borderId="0" xfId="0" applyNumberFormat="1" applyFont="1" applyFill="1" applyAlignment="1" applyProtection="1">
      <alignment horizontal="right" vertical="center"/>
      <protection hidden="1"/>
    </xf>
    <xf numFmtId="166" fontId="17" fillId="2" borderId="0" xfId="0" applyNumberFormat="1" applyFont="1" applyFill="1" applyBorder="1" applyAlignment="1" applyProtection="1">
      <alignment horizontal="right" vertical="top"/>
      <protection hidden="1"/>
    </xf>
    <xf numFmtId="168" fontId="6" fillId="2" borderId="0" xfId="0" applyNumberFormat="1" applyFont="1" applyFill="1" applyBorder="1" applyAlignment="1" applyProtection="1">
      <alignment horizontal="center" vertical="top"/>
      <protection hidden="1"/>
    </xf>
    <xf numFmtId="168" fontId="18" fillId="2" borderId="0" xfId="0" applyNumberFormat="1" applyFont="1" applyFill="1" applyBorder="1" applyAlignment="1" applyProtection="1">
      <alignment horizontal="center" vertical="top"/>
      <protection hidden="1"/>
    </xf>
    <xf numFmtId="0" fontId="35" fillId="2" borderId="0" xfId="0" applyNumberFormat="1" applyFont="1" applyFill="1" applyBorder="1" applyAlignment="1" applyProtection="1">
      <alignment horizontal="center" vertical="center"/>
      <protection hidden="1"/>
    </xf>
    <xf numFmtId="166" fontId="17" fillId="2" borderId="7" xfId="0" applyNumberFormat="1" applyFont="1" applyFill="1" applyBorder="1" applyAlignment="1" applyProtection="1">
      <alignment horizontal="right" vertical="top"/>
      <protection hidden="1"/>
    </xf>
    <xf numFmtId="168" fontId="11" fillId="2" borderId="7" xfId="0" applyNumberFormat="1" applyFont="1" applyFill="1" applyBorder="1" applyAlignment="1" applyProtection="1">
      <alignment horizontal="right" vertical="center"/>
      <protection hidden="1"/>
    </xf>
    <xf numFmtId="168" fontId="31" fillId="2" borderId="7" xfId="0" applyNumberFormat="1" applyFont="1" applyFill="1" applyBorder="1" applyAlignment="1" applyProtection="1">
      <alignment horizontal="right" vertical="center"/>
      <protection hidden="1"/>
    </xf>
    <xf numFmtId="168" fontId="43" fillId="2" borderId="7" xfId="0" applyNumberFormat="1" applyFont="1" applyFill="1" applyBorder="1" applyAlignment="1" applyProtection="1">
      <alignment horizontal="right" vertical="center"/>
      <protection hidden="1"/>
    </xf>
    <xf numFmtId="166" fontId="18" fillId="2" borderId="0" xfId="0" applyNumberFormat="1" applyFont="1" applyFill="1" applyBorder="1" applyAlignment="1" applyProtection="1">
      <alignment horizontal="right" vertical="center"/>
      <protection hidden="1"/>
    </xf>
    <xf numFmtId="168" fontId="11" fillId="2" borderId="0" xfId="0" applyNumberFormat="1" applyFont="1" applyFill="1" applyBorder="1" applyAlignment="1" applyProtection="1">
      <alignment horizontal="right" vertical="top"/>
      <protection hidden="1"/>
    </xf>
    <xf numFmtId="0" fontId="20" fillId="2" borderId="0" xfId="0" applyNumberFormat="1" applyFont="1" applyFill="1" applyBorder="1" applyAlignment="1" applyProtection="1">
      <alignment horizontal="left" vertical="center"/>
      <protection hidden="1"/>
    </xf>
    <xf numFmtId="0" fontId="19" fillId="0" borderId="0" xfId="0" applyFont="1" applyProtection="1">
      <protection hidden="1"/>
    </xf>
    <xf numFmtId="0" fontId="19" fillId="2" borderId="0" xfId="0" applyFont="1" applyFill="1" applyAlignment="1" applyProtection="1">
      <protection hidden="1"/>
    </xf>
    <xf numFmtId="0" fontId="8" fillId="2" borderId="0" xfId="0" applyFont="1" applyFill="1" applyAlignment="1" applyProtection="1">
      <alignment vertical="top"/>
      <protection hidden="1"/>
    </xf>
    <xf numFmtId="0" fontId="19" fillId="2" borderId="1" xfId="2" applyFont="1" applyFill="1" applyBorder="1" applyAlignment="1" applyProtection="1">
      <alignment vertical="top" textRotation="90"/>
      <protection hidden="1"/>
    </xf>
    <xf numFmtId="166" fontId="17" fillId="2" borderId="0" xfId="0" applyNumberFormat="1" applyFont="1" applyFill="1" applyAlignment="1" applyProtection="1">
      <protection hidden="1"/>
    </xf>
    <xf numFmtId="0" fontId="6" fillId="2" borderId="0" xfId="2" applyFont="1" applyFill="1" applyBorder="1" applyAlignment="1" applyProtection="1">
      <alignment horizontal="center" vertical="center"/>
      <protection hidden="1"/>
    </xf>
    <xf numFmtId="0" fontId="10" fillId="2" borderId="16" xfId="2" applyFont="1" applyFill="1" applyBorder="1" applyAlignment="1" applyProtection="1">
      <alignment horizontal="center" vertical="center"/>
      <protection hidden="1"/>
    </xf>
    <xf numFmtId="0" fontId="10" fillId="2" borderId="17" xfId="2" applyFont="1" applyFill="1" applyBorder="1" applyAlignment="1" applyProtection="1">
      <alignment horizontal="center" vertical="center"/>
      <protection hidden="1"/>
    </xf>
    <xf numFmtId="0" fontId="10" fillId="2" borderId="18" xfId="2" applyFont="1" applyFill="1" applyBorder="1" applyAlignment="1" applyProtection="1">
      <alignment horizontal="center" vertical="center"/>
      <protection hidden="1"/>
    </xf>
    <xf numFmtId="0" fontId="6" fillId="2" borderId="0" xfId="2" applyNumberFormat="1" applyFont="1" applyFill="1" applyBorder="1" applyAlignment="1" applyProtection="1">
      <alignment horizontal="center" vertical="center"/>
      <protection hidden="1"/>
    </xf>
    <xf numFmtId="0" fontId="45" fillId="2" borderId="0" xfId="2" applyFont="1" applyFill="1" applyBorder="1" applyAlignment="1" applyProtection="1">
      <alignment horizontal="centerContinuous" vertical="top"/>
      <protection hidden="1"/>
    </xf>
    <xf numFmtId="0" fontId="50" fillId="2" borderId="4" xfId="2" applyFont="1" applyFill="1" applyBorder="1" applyAlignment="1" applyProtection="1">
      <alignment horizontal="center" vertical="center"/>
      <protection hidden="1"/>
    </xf>
    <xf numFmtId="0" fontId="36" fillId="2" borderId="0" xfId="2" applyFont="1" applyFill="1" applyAlignment="1" applyProtection="1">
      <alignment horizontal="center" vertical="center"/>
      <protection hidden="1"/>
    </xf>
    <xf numFmtId="168" fontId="28" fillId="2" borderId="19" xfId="2" applyNumberFormat="1" applyFont="1" applyFill="1" applyBorder="1" applyAlignment="1" applyProtection="1">
      <alignment horizontal="right" vertical="center"/>
      <protection hidden="1"/>
    </xf>
    <xf numFmtId="168" fontId="28" fillId="2" borderId="20" xfId="2" applyNumberFormat="1" applyFont="1" applyFill="1" applyBorder="1" applyAlignment="1" applyProtection="1">
      <alignment horizontal="right" vertical="center"/>
      <protection hidden="1"/>
    </xf>
    <xf numFmtId="168" fontId="28" fillId="2" borderId="21" xfId="2" applyNumberFormat="1" applyFont="1" applyFill="1" applyBorder="1" applyAlignment="1" applyProtection="1">
      <alignment horizontal="right" vertical="center"/>
      <protection hidden="1"/>
    </xf>
    <xf numFmtId="0" fontId="17" fillId="2" borderId="22" xfId="2" applyFont="1" applyFill="1" applyBorder="1" applyAlignment="1" applyProtection="1">
      <alignment vertical="center"/>
      <protection hidden="1"/>
    </xf>
    <xf numFmtId="3" fontId="34" fillId="2" borderId="4" xfId="2" applyNumberFormat="1" applyFont="1" applyFill="1" applyBorder="1" applyAlignment="1" applyProtection="1">
      <alignment horizontal="center" vertical="top"/>
      <protection hidden="1"/>
    </xf>
    <xf numFmtId="0" fontId="59" fillId="2" borderId="0" xfId="2" applyFont="1" applyFill="1" applyBorder="1" applyAlignment="1" applyProtection="1">
      <alignment vertical="top"/>
      <protection hidden="1"/>
    </xf>
    <xf numFmtId="0" fontId="36" fillId="2" borderId="0" xfId="2" applyFont="1" applyFill="1" applyBorder="1" applyAlignment="1" applyProtection="1">
      <alignment vertical="center"/>
      <protection hidden="1"/>
    </xf>
    <xf numFmtId="0" fontId="36" fillId="2" borderId="23" xfId="2" applyFont="1" applyFill="1" applyBorder="1" applyAlignment="1" applyProtection="1">
      <alignment horizontal="center" vertical="center"/>
      <protection hidden="1"/>
    </xf>
    <xf numFmtId="0" fontId="3" fillId="2" borderId="0" xfId="2" applyFill="1" applyAlignment="1" applyProtection="1">
      <alignment horizontal="center"/>
      <protection hidden="1"/>
    </xf>
    <xf numFmtId="0" fontId="37" fillId="2" borderId="24" xfId="2" applyFont="1" applyFill="1" applyBorder="1" applyAlignment="1" applyProtection="1">
      <alignment horizontal="center"/>
      <protection hidden="1"/>
    </xf>
    <xf numFmtId="0" fontId="49" fillId="2" borderId="0" xfId="2" applyFont="1" applyFill="1" applyAlignment="1" applyProtection="1">
      <alignment horizontal="center" vertical="center"/>
      <protection hidden="1"/>
    </xf>
    <xf numFmtId="0" fontId="3" fillId="2" borderId="0" xfId="2" applyFill="1" applyAlignment="1" applyProtection="1">
      <protection hidden="1"/>
    </xf>
    <xf numFmtId="0" fontId="41" fillId="2" borderId="0" xfId="2" applyFont="1" applyFill="1" applyBorder="1" applyAlignment="1" applyProtection="1">
      <alignment horizontal="center" vertical="center"/>
      <protection hidden="1"/>
    </xf>
    <xf numFmtId="0" fontId="41" fillId="2" borderId="11" xfId="2" applyFont="1" applyFill="1" applyBorder="1" applyAlignment="1" applyProtection="1">
      <alignment horizontal="left" vertical="center" indent="1"/>
      <protection hidden="1"/>
    </xf>
    <xf numFmtId="0" fontId="38" fillId="2" borderId="7" xfId="2" applyFont="1" applyFill="1" applyBorder="1" applyAlignment="1" applyProtection="1">
      <alignment vertical="center"/>
      <protection hidden="1"/>
    </xf>
    <xf numFmtId="0" fontId="36" fillId="2" borderId="0" xfId="2" applyFont="1" applyFill="1" applyBorder="1" applyAlignment="1" applyProtection="1">
      <alignment horizontal="center"/>
      <protection hidden="1"/>
    </xf>
    <xf numFmtId="168" fontId="26" fillId="2" borderId="0" xfId="2" applyNumberFormat="1" applyFont="1" applyFill="1" applyBorder="1" applyAlignment="1" applyProtection="1">
      <alignment vertical="center"/>
      <protection hidden="1"/>
    </xf>
    <xf numFmtId="169" fontId="26" fillId="2" borderId="0" xfId="2" applyNumberFormat="1" applyFont="1" applyFill="1" applyBorder="1" applyAlignment="1" applyProtection="1">
      <alignment vertical="center"/>
      <protection hidden="1"/>
    </xf>
    <xf numFmtId="0" fontId="6" fillId="2" borderId="0" xfId="2" applyFont="1" applyFill="1" applyBorder="1" applyAlignment="1" applyProtection="1">
      <alignment horizontal="left"/>
      <protection hidden="1"/>
    </xf>
    <xf numFmtId="0" fontId="30" fillId="2" borderId="0" xfId="2" applyFont="1" applyFill="1" applyBorder="1" applyAlignment="1" applyProtection="1">
      <alignment horizontal="left"/>
      <protection hidden="1"/>
    </xf>
    <xf numFmtId="0" fontId="37" fillId="2" borderId="0" xfId="2" applyFont="1" applyFill="1" applyAlignment="1" applyProtection="1">
      <protection hidden="1"/>
    </xf>
    <xf numFmtId="0" fontId="37" fillId="2" borderId="3" xfId="2" applyFont="1" applyFill="1" applyBorder="1" applyProtection="1">
      <protection hidden="1"/>
    </xf>
    <xf numFmtId="0" fontId="37" fillId="2" borderId="1" xfId="2" applyFont="1" applyFill="1" applyBorder="1" applyAlignment="1" applyProtection="1">
      <protection hidden="1"/>
    </xf>
    <xf numFmtId="0" fontId="37" fillId="2" borderId="0" xfId="2" applyFont="1" applyFill="1" applyBorder="1" applyAlignment="1" applyProtection="1">
      <protection hidden="1"/>
    </xf>
    <xf numFmtId="0" fontId="36" fillId="2" borderId="0" xfId="2" applyFont="1" applyFill="1" applyBorder="1" applyAlignment="1" applyProtection="1">
      <alignment horizontal="center" vertical="center"/>
      <protection hidden="1"/>
    </xf>
    <xf numFmtId="0" fontId="51" fillId="2" borderId="0" xfId="2" applyFont="1" applyFill="1" applyBorder="1" applyAlignment="1" applyProtection="1">
      <alignment horizontal="center" vertical="center"/>
      <protection hidden="1"/>
    </xf>
    <xf numFmtId="0" fontId="51" fillId="2" borderId="0" xfId="2" applyFont="1" applyFill="1" applyBorder="1" applyAlignment="1" applyProtection="1">
      <alignment horizontal="center" vertical="top"/>
      <protection hidden="1"/>
    </xf>
    <xf numFmtId="166" fontId="60" fillId="2" borderId="0" xfId="0" applyNumberFormat="1" applyFont="1" applyFill="1" applyAlignment="1" applyProtection="1">
      <protection hidden="1"/>
    </xf>
    <xf numFmtId="166" fontId="60" fillId="2" borderId="0" xfId="0" applyNumberFormat="1" applyFont="1" applyFill="1" applyAlignment="1" applyProtection="1">
      <alignment vertical="center" textRotation="90"/>
      <protection hidden="1"/>
    </xf>
    <xf numFmtId="174" fontId="61" fillId="2" borderId="0" xfId="2" applyNumberFormat="1" applyFont="1" applyFill="1" applyBorder="1" applyAlignment="1" applyProtection="1">
      <alignment vertical="center"/>
      <protection hidden="1"/>
    </xf>
    <xf numFmtId="0" fontId="0" fillId="2" borderId="0" xfId="0" applyFill="1" applyBorder="1" applyProtection="1">
      <protection hidden="1"/>
    </xf>
    <xf numFmtId="14" fontId="61" fillId="2" borderId="19" xfId="2" applyNumberFormat="1" applyFont="1" applyFill="1" applyBorder="1" applyAlignment="1" applyProtection="1">
      <alignment horizontal="center" vertical="center"/>
      <protection hidden="1"/>
    </xf>
    <xf numFmtId="14" fontId="61" fillId="2" borderId="20" xfId="2" applyNumberFormat="1" applyFont="1" applyFill="1" applyBorder="1" applyAlignment="1" applyProtection="1">
      <alignment horizontal="center" vertical="center"/>
      <protection hidden="1"/>
    </xf>
    <xf numFmtId="14" fontId="61" fillId="2" borderId="21" xfId="2" applyNumberFormat="1" applyFont="1" applyFill="1" applyBorder="1" applyAlignment="1" applyProtection="1">
      <alignment horizontal="center" vertical="center"/>
      <protection hidden="1"/>
    </xf>
    <xf numFmtId="0" fontId="25" fillId="2" borderId="0" xfId="0" applyFont="1" applyFill="1" applyAlignment="1" applyProtection="1">
      <alignment vertical="top"/>
      <protection hidden="1"/>
    </xf>
    <xf numFmtId="0" fontId="36" fillId="2" borderId="0" xfId="2" applyFont="1" applyFill="1" applyAlignment="1" applyProtection="1">
      <alignment horizontal="center"/>
      <protection hidden="1"/>
    </xf>
    <xf numFmtId="0" fontId="49" fillId="2" borderId="0" xfId="2" applyFont="1" applyFill="1" applyBorder="1" applyAlignment="1" applyProtection="1">
      <alignment horizontal="center" vertical="center"/>
      <protection hidden="1"/>
    </xf>
    <xf numFmtId="0" fontId="8" fillId="2" borderId="0" xfId="0" applyFont="1" applyFill="1" applyAlignment="1" applyProtection="1">
      <alignment vertical="center"/>
      <protection hidden="1"/>
    </xf>
    <xf numFmtId="0" fontId="50" fillId="2" borderId="6" xfId="2" applyFont="1" applyFill="1" applyBorder="1" applyAlignment="1" applyProtection="1">
      <alignment horizontal="center" vertical="center"/>
      <protection hidden="1"/>
    </xf>
    <xf numFmtId="0" fontId="17" fillId="2" borderId="0" xfId="0" applyFont="1" applyFill="1" applyBorder="1" applyAlignment="1" applyProtection="1">
      <alignment horizontal="center" vertical="center"/>
      <protection hidden="1"/>
    </xf>
    <xf numFmtId="14" fontId="61" fillId="2" borderId="25" xfId="2" applyNumberFormat="1" applyFont="1" applyFill="1" applyBorder="1" applyAlignment="1" applyProtection="1">
      <alignment horizontal="center" vertical="center"/>
      <protection hidden="1"/>
    </xf>
    <xf numFmtId="0" fontId="10" fillId="2" borderId="6" xfId="0" applyNumberFormat="1" applyFont="1" applyFill="1" applyBorder="1" applyAlignment="1" applyProtection="1">
      <alignment horizontal="center" vertical="center"/>
      <protection hidden="1"/>
    </xf>
    <xf numFmtId="0" fontId="17" fillId="2" borderId="0" xfId="0" applyFont="1" applyFill="1" applyAlignment="1" applyProtection="1">
      <alignment horizontal="left" vertical="center"/>
      <protection hidden="1"/>
    </xf>
    <xf numFmtId="0" fontId="17" fillId="2" borderId="0" xfId="0" applyFont="1" applyFill="1" applyAlignment="1" applyProtection="1">
      <alignment horizontal="center" vertical="center"/>
      <protection hidden="1"/>
    </xf>
    <xf numFmtId="0" fontId="49" fillId="2" borderId="1" xfId="2" applyFont="1" applyFill="1" applyBorder="1" applyAlignment="1" applyProtection="1">
      <alignment horizontal="center" vertical="center"/>
      <protection hidden="1"/>
    </xf>
    <xf numFmtId="0" fontId="49" fillId="2" borderId="22" xfId="2" applyFont="1" applyFill="1" applyBorder="1" applyAlignment="1" applyProtection="1">
      <alignment horizontal="center" vertical="center"/>
      <protection hidden="1"/>
    </xf>
    <xf numFmtId="0" fontId="3" fillId="2" borderId="22" xfId="2" applyFill="1" applyBorder="1" applyProtection="1">
      <protection hidden="1"/>
    </xf>
    <xf numFmtId="0" fontId="50" fillId="2" borderId="0" xfId="2" applyFont="1" applyFill="1" applyAlignment="1" applyProtection="1">
      <alignment horizontal="center" vertical="center"/>
      <protection hidden="1"/>
    </xf>
    <xf numFmtId="0" fontId="50" fillId="4" borderId="26" xfId="2" applyFont="1" applyFill="1" applyBorder="1" applyAlignment="1" applyProtection="1">
      <alignment horizontal="center" vertical="center"/>
      <protection hidden="1"/>
    </xf>
    <xf numFmtId="0" fontId="50" fillId="4" borderId="21" xfId="2" applyFont="1" applyFill="1" applyBorder="1" applyAlignment="1" applyProtection="1">
      <alignment horizontal="center" vertical="center"/>
      <protection hidden="1"/>
    </xf>
    <xf numFmtId="0" fontId="36" fillId="2" borderId="0" xfId="2" applyFont="1" applyFill="1" applyAlignment="1" applyProtection="1">
      <alignment horizontal="right" vertical="top" indent="1"/>
      <protection hidden="1"/>
    </xf>
    <xf numFmtId="0" fontId="36" fillId="2" borderId="0" xfId="2" applyFont="1" applyFill="1" applyAlignment="1" applyProtection="1">
      <alignment horizontal="right" indent="1"/>
      <protection hidden="1"/>
    </xf>
    <xf numFmtId="174" fontId="50" fillId="2" borderId="0" xfId="2" applyNumberFormat="1" applyFont="1" applyFill="1" applyAlignment="1" applyProtection="1">
      <alignment horizontal="center"/>
      <protection hidden="1"/>
    </xf>
    <xf numFmtId="174" fontId="50" fillId="2" borderId="0" xfId="2" applyNumberFormat="1" applyFont="1" applyFill="1" applyAlignment="1" applyProtection="1">
      <alignment horizontal="center" vertical="top"/>
      <protection hidden="1"/>
    </xf>
    <xf numFmtId="0" fontId="50" fillId="2" borderId="0" xfId="2" applyNumberFormat="1" applyFont="1" applyFill="1" applyBorder="1" applyAlignment="1" applyProtection="1">
      <alignment horizontal="left" vertical="center" indent="1"/>
      <protection hidden="1"/>
    </xf>
    <xf numFmtId="0" fontId="66" fillId="2" borderId="0" xfId="2" applyFont="1" applyFill="1" applyAlignment="1" applyProtection="1">
      <alignment horizontal="center" vertical="center"/>
      <protection hidden="1"/>
    </xf>
    <xf numFmtId="0" fontId="8" fillId="2" borderId="0" xfId="0" applyFont="1" applyFill="1" applyAlignment="1" applyProtection="1">
      <alignment horizontal="center" vertical="center"/>
      <protection hidden="1"/>
    </xf>
    <xf numFmtId="0" fontId="35" fillId="2" borderId="0" xfId="0" applyFont="1" applyFill="1" applyAlignment="1" applyProtection="1">
      <alignment horizontal="left" vertical="center"/>
      <protection hidden="1"/>
    </xf>
    <xf numFmtId="14" fontId="36" fillId="2" borderId="0" xfId="2" applyNumberFormat="1" applyFont="1" applyFill="1" applyAlignment="1" applyProtection="1">
      <alignment horizontal="center" vertical="center"/>
      <protection hidden="1"/>
    </xf>
    <xf numFmtId="14" fontId="50" fillId="4" borderId="19" xfId="2" applyNumberFormat="1" applyFont="1" applyFill="1" applyBorder="1" applyAlignment="1" applyProtection="1">
      <alignment horizontal="center" vertical="center"/>
      <protection hidden="1"/>
    </xf>
    <xf numFmtId="14" fontId="50" fillId="4" borderId="21" xfId="2" applyNumberFormat="1" applyFont="1" applyFill="1" applyBorder="1" applyAlignment="1" applyProtection="1">
      <alignment horizontal="center" vertical="center"/>
      <protection hidden="1"/>
    </xf>
    <xf numFmtId="0" fontId="50" fillId="2" borderId="19" xfId="2" applyFont="1" applyFill="1" applyBorder="1" applyAlignment="1" applyProtection="1">
      <alignment horizontal="center" vertical="center"/>
      <protection hidden="1"/>
    </xf>
    <xf numFmtId="166" fontId="56" fillId="2" borderId="0" xfId="0" applyNumberFormat="1" applyFont="1" applyFill="1" applyBorder="1" applyAlignment="1" applyProtection="1">
      <alignment vertical="center"/>
      <protection hidden="1"/>
    </xf>
    <xf numFmtId="0" fontId="44" fillId="2" borderId="0" xfId="2" applyFont="1" applyFill="1" applyBorder="1" applyAlignment="1" applyProtection="1">
      <alignment horizontal="left" vertical="center"/>
      <protection hidden="1"/>
    </xf>
    <xf numFmtId="3" fontId="6" fillId="2" borderId="0" xfId="2" applyNumberFormat="1" applyFont="1" applyFill="1" applyBorder="1" applyAlignment="1" applyProtection="1">
      <alignment horizontal="left" vertical="center"/>
      <protection hidden="1"/>
    </xf>
    <xf numFmtId="172" fontId="55" fillId="2" borderId="0" xfId="0" applyNumberFormat="1" applyFont="1" applyFill="1" applyBorder="1" applyAlignment="1" applyProtection="1">
      <alignment horizontal="right" vertical="center"/>
      <protection hidden="1"/>
    </xf>
    <xf numFmtId="166" fontId="68" fillId="2" borderId="27" xfId="0" applyNumberFormat="1" applyFont="1" applyFill="1" applyBorder="1" applyAlignment="1" applyProtection="1">
      <alignment vertical="center"/>
      <protection hidden="1"/>
    </xf>
    <xf numFmtId="49" fontId="68" fillId="3" borderId="27" xfId="0" applyNumberFormat="1" applyFont="1" applyFill="1" applyBorder="1" applyAlignment="1" applyProtection="1">
      <alignment horizontal="center" vertical="center"/>
      <protection hidden="1"/>
    </xf>
    <xf numFmtId="0" fontId="48" fillId="2" borderId="0" xfId="0" applyFont="1" applyFill="1" applyAlignment="1" applyProtection="1">
      <alignment horizontal="center"/>
      <protection hidden="1"/>
    </xf>
    <xf numFmtId="0" fontId="35" fillId="2" borderId="0" xfId="0" applyFont="1" applyFill="1" applyBorder="1" applyAlignment="1" applyProtection="1">
      <alignment horizontal="center" vertical="center"/>
      <protection hidden="1"/>
    </xf>
    <xf numFmtId="0" fontId="0" fillId="2" borderId="0" xfId="0" applyFill="1" applyAlignment="1" applyProtection="1">
      <alignment horizontal="center"/>
      <protection hidden="1"/>
    </xf>
    <xf numFmtId="0" fontId="18" fillId="2" borderId="0" xfId="0" applyFont="1" applyFill="1" applyAlignment="1" applyProtection="1">
      <alignment horizontal="center"/>
      <protection hidden="1"/>
    </xf>
    <xf numFmtId="0" fontId="71" fillId="2" borderId="0" xfId="0" applyFont="1" applyFill="1" applyProtection="1">
      <protection hidden="1"/>
    </xf>
    <xf numFmtId="0" fontId="35" fillId="2" borderId="0" xfId="0" applyFont="1" applyFill="1" applyAlignment="1" applyProtection="1">
      <alignment vertical="center"/>
      <protection hidden="1"/>
    </xf>
    <xf numFmtId="0" fontId="1" fillId="2" borderId="0" xfId="3" applyFill="1" applyProtection="1">
      <protection hidden="1"/>
    </xf>
    <xf numFmtId="0" fontId="1" fillId="0" borderId="0" xfId="3" applyProtection="1">
      <protection hidden="1"/>
    </xf>
    <xf numFmtId="0" fontId="9" fillId="2" borderId="0" xfId="3" applyFont="1" applyFill="1" applyAlignment="1" applyProtection="1">
      <alignment horizontal="left" vertical="center" indent="1"/>
      <protection hidden="1"/>
    </xf>
    <xf numFmtId="0" fontId="17" fillId="2" borderId="0" xfId="0" applyFont="1" applyFill="1" applyAlignment="1" applyProtection="1">
      <alignment vertical="center"/>
      <protection hidden="1"/>
    </xf>
    <xf numFmtId="0" fontId="9" fillId="2" borderId="0" xfId="0" applyFont="1" applyFill="1" applyBorder="1" applyAlignment="1" applyProtection="1">
      <alignment vertical="center"/>
      <protection hidden="1"/>
    </xf>
    <xf numFmtId="0" fontId="8" fillId="2" borderId="0" xfId="0" applyFont="1" applyFill="1" applyAlignment="1" applyProtection="1">
      <alignment horizontal="left"/>
      <protection hidden="1"/>
    </xf>
    <xf numFmtId="0" fontId="17" fillId="2" borderId="0" xfId="0" applyFont="1" applyFill="1" applyAlignment="1" applyProtection="1">
      <protection hidden="1"/>
    </xf>
    <xf numFmtId="0" fontId="14" fillId="2" borderId="0" xfId="0" applyFont="1" applyFill="1" applyAlignment="1" applyProtection="1">
      <alignment horizontal="left" vertical="top" indent="1"/>
      <protection hidden="1"/>
    </xf>
    <xf numFmtId="0" fontId="80" fillId="2" borderId="0" xfId="5" applyFont="1" applyFill="1" applyAlignment="1" applyProtection="1">
      <alignment vertical="top"/>
      <protection hidden="1"/>
    </xf>
    <xf numFmtId="0" fontId="18" fillId="2" borderId="0" xfId="0" applyFont="1" applyFill="1" applyAlignment="1" applyProtection="1">
      <alignment vertical="center"/>
      <protection hidden="1"/>
    </xf>
    <xf numFmtId="0" fontId="70" fillId="2" borderId="0" xfId="0" applyFont="1" applyFill="1" applyBorder="1" applyAlignment="1" applyProtection="1">
      <alignment horizontal="left"/>
      <protection hidden="1"/>
    </xf>
    <xf numFmtId="166" fontId="81" fillId="2" borderId="0" xfId="0" applyNumberFormat="1" applyFont="1" applyFill="1" applyAlignment="1" applyProtection="1">
      <alignment horizontal="right" vertical="center"/>
      <protection hidden="1"/>
    </xf>
    <xf numFmtId="166" fontId="8" fillId="2" borderId="0" xfId="0" applyNumberFormat="1" applyFont="1" applyFill="1" applyAlignment="1" applyProtection="1">
      <alignment horizontal="right" vertical="center"/>
      <protection hidden="1"/>
    </xf>
    <xf numFmtId="166" fontId="81" fillId="2" borderId="0" xfId="0" applyNumberFormat="1" applyFont="1" applyFill="1" applyAlignment="1" applyProtection="1">
      <alignment horizontal="right"/>
      <protection hidden="1"/>
    </xf>
    <xf numFmtId="0" fontId="19" fillId="2" borderId="0" xfId="0" applyFont="1" applyFill="1" applyAlignment="1" applyProtection="1">
      <alignment vertical="center"/>
      <protection locked="0"/>
    </xf>
    <xf numFmtId="0" fontId="0" fillId="0" borderId="0" xfId="0" applyAlignment="1" applyProtection="1">
      <alignment vertical="center"/>
      <protection hidden="1"/>
    </xf>
    <xf numFmtId="0" fontId="17" fillId="2" borderId="0" xfId="0" applyFont="1" applyFill="1" applyAlignment="1" applyProtection="1">
      <alignment horizontal="left" vertical="center" indent="1"/>
      <protection hidden="1"/>
    </xf>
    <xf numFmtId="0" fontId="82" fillId="2" borderId="0" xfId="0" applyFont="1" applyFill="1" applyBorder="1" applyAlignment="1" applyProtection="1">
      <alignment horizontal="right" vertical="top" indent="1"/>
      <protection hidden="1"/>
    </xf>
    <xf numFmtId="0" fontId="18" fillId="2" borderId="0" xfId="0" applyFont="1" applyFill="1" applyAlignment="1" applyProtection="1">
      <alignment horizontal="center" vertical="center"/>
      <protection hidden="1"/>
    </xf>
    <xf numFmtId="0" fontId="19" fillId="2" borderId="0" xfId="0" applyFont="1" applyFill="1" applyAlignment="1" applyProtection="1">
      <alignment horizontal="center" vertical="center"/>
      <protection hidden="1"/>
    </xf>
    <xf numFmtId="0" fontId="19" fillId="2" borderId="16" xfId="0" applyFont="1" applyFill="1" applyBorder="1" applyAlignment="1" applyProtection="1">
      <alignment horizontal="center" vertical="center"/>
      <protection hidden="1"/>
    </xf>
    <xf numFmtId="0" fontId="19" fillId="2" borderId="0" xfId="0" applyFont="1" applyFill="1" applyAlignment="1" applyProtection="1">
      <alignment horizontal="center"/>
      <protection hidden="1"/>
    </xf>
    <xf numFmtId="0" fontId="35" fillId="2" borderId="27" xfId="0" applyFont="1" applyFill="1" applyBorder="1" applyAlignment="1" applyProtection="1">
      <alignment horizontal="center" vertical="center"/>
      <protection hidden="1"/>
    </xf>
    <xf numFmtId="0" fontId="35" fillId="2" borderId="0" xfId="0" applyNumberFormat="1" applyFont="1" applyFill="1" applyAlignment="1" applyProtection="1">
      <alignment horizontal="left" vertical="top"/>
      <protection hidden="1"/>
    </xf>
    <xf numFmtId="171" fontId="8" fillId="2" borderId="0" xfId="0" applyNumberFormat="1" applyFont="1" applyFill="1" applyAlignment="1" applyProtection="1">
      <alignment horizontal="center" vertical="center"/>
      <protection hidden="1"/>
    </xf>
    <xf numFmtId="0" fontId="85" fillId="2" borderId="0" xfId="0" applyNumberFormat="1" applyFont="1" applyFill="1" applyAlignment="1" applyProtection="1">
      <alignment horizontal="left" vertical="top"/>
      <protection hidden="1"/>
    </xf>
    <xf numFmtId="0" fontId="14" fillId="2" borderId="0" xfId="0" applyNumberFormat="1" applyFont="1" applyFill="1" applyBorder="1" applyAlignment="1" applyProtection="1">
      <alignment vertical="center"/>
      <protection hidden="1"/>
    </xf>
    <xf numFmtId="0" fontId="35" fillId="2" borderId="0" xfId="0" applyFont="1" applyFill="1" applyAlignment="1" applyProtection="1">
      <protection hidden="1"/>
    </xf>
    <xf numFmtId="0" fontId="35" fillId="2" borderId="0" xfId="0" applyFont="1" applyFill="1" applyAlignment="1" applyProtection="1">
      <alignment vertical="top"/>
      <protection hidden="1"/>
    </xf>
    <xf numFmtId="0" fontId="18" fillId="2" borderId="0" xfId="0" applyNumberFormat="1" applyFont="1" applyFill="1" applyBorder="1" applyAlignment="1" applyProtection="1">
      <alignment vertical="center"/>
      <protection hidden="1"/>
    </xf>
    <xf numFmtId="0" fontId="18" fillId="2" borderId="0" xfId="0" applyFont="1" applyFill="1" applyAlignment="1" applyProtection="1">
      <alignment vertical="top"/>
      <protection hidden="1"/>
    </xf>
    <xf numFmtId="0" fontId="59" fillId="2" borderId="0" xfId="0" applyFont="1" applyFill="1" applyProtection="1">
      <protection hidden="1"/>
    </xf>
    <xf numFmtId="0" fontId="22" fillId="2" borderId="0" xfId="0" applyFont="1" applyFill="1" applyAlignment="1" applyProtection="1">
      <alignment vertical="center"/>
      <protection hidden="1"/>
    </xf>
    <xf numFmtId="0" fontId="19" fillId="2" borderId="0" xfId="0" applyFont="1" applyFill="1" applyBorder="1" applyProtection="1">
      <protection hidden="1"/>
    </xf>
    <xf numFmtId="167" fontId="17" fillId="2" borderId="0" xfId="0" applyNumberFormat="1" applyFont="1" applyFill="1" applyBorder="1" applyAlignment="1" applyProtection="1">
      <alignment horizontal="center" vertical="center"/>
      <protection hidden="1"/>
    </xf>
    <xf numFmtId="167" fontId="17" fillId="2" borderId="15" xfId="0" applyNumberFormat="1" applyFont="1" applyFill="1" applyBorder="1" applyAlignment="1" applyProtection="1">
      <alignment horizontal="center" vertical="center"/>
      <protection hidden="1"/>
    </xf>
    <xf numFmtId="0" fontId="14" fillId="2" borderId="0" xfId="0" applyFont="1" applyFill="1" applyBorder="1" applyAlignment="1" applyProtection="1">
      <alignment horizontal="center" vertical="center"/>
      <protection hidden="1"/>
    </xf>
    <xf numFmtId="0" fontId="19" fillId="2" borderId="28" xfId="0" applyFont="1" applyFill="1" applyBorder="1" applyAlignment="1" applyProtection="1">
      <alignment horizontal="center" vertical="center"/>
      <protection hidden="1"/>
    </xf>
    <xf numFmtId="0" fontId="19" fillId="2" borderId="23" xfId="0" applyFont="1" applyFill="1" applyBorder="1" applyAlignment="1" applyProtection="1">
      <alignment horizontal="center" vertical="center"/>
      <protection hidden="1"/>
    </xf>
    <xf numFmtId="0" fontId="19" fillId="2" borderId="29" xfId="0" applyFont="1" applyFill="1" applyBorder="1" applyAlignment="1" applyProtection="1">
      <alignment horizontal="center" vertical="center"/>
      <protection hidden="1"/>
    </xf>
    <xf numFmtId="0" fontId="19" fillId="2" borderId="30" xfId="0" applyFont="1" applyFill="1" applyBorder="1" applyAlignment="1" applyProtection="1">
      <alignment horizontal="center" vertical="center"/>
      <protection hidden="1"/>
    </xf>
    <xf numFmtId="0" fontId="19" fillId="2" borderId="31" xfId="0" applyFont="1" applyFill="1" applyBorder="1" applyAlignment="1" applyProtection="1">
      <alignment horizontal="center" vertical="center"/>
      <protection hidden="1"/>
    </xf>
    <xf numFmtId="0" fontId="17" fillId="2" borderId="4" xfId="0" applyNumberFormat="1" applyFont="1" applyFill="1" applyBorder="1" applyAlignment="1" applyProtection="1">
      <alignment horizontal="center" vertical="center"/>
      <protection hidden="1"/>
    </xf>
    <xf numFmtId="0" fontId="17" fillId="2" borderId="4" xfId="0" applyFont="1" applyFill="1" applyBorder="1" applyAlignment="1" applyProtection="1">
      <alignment horizontal="center" vertical="center"/>
      <protection hidden="1"/>
    </xf>
    <xf numFmtId="0" fontId="17" fillId="2" borderId="0" xfId="0" applyNumberFormat="1" applyFont="1" applyFill="1" applyBorder="1" applyAlignment="1" applyProtection="1">
      <alignment horizontal="center" vertical="center"/>
      <protection hidden="1"/>
    </xf>
    <xf numFmtId="0" fontId="17" fillId="2" borderId="7" xfId="0" applyNumberFormat="1" applyFont="1" applyFill="1" applyBorder="1" applyAlignment="1" applyProtection="1">
      <alignment horizontal="center" vertical="center"/>
      <protection hidden="1"/>
    </xf>
    <xf numFmtId="0" fontId="17" fillId="2" borderId="7" xfId="0" applyFont="1" applyFill="1" applyBorder="1" applyAlignment="1" applyProtection="1">
      <alignment horizontal="center" vertical="center"/>
      <protection hidden="1"/>
    </xf>
    <xf numFmtId="0" fontId="35" fillId="3" borderId="14" xfId="0" applyFont="1" applyFill="1" applyBorder="1" applyAlignment="1" applyProtection="1">
      <alignment horizontal="center" vertical="center"/>
      <protection hidden="1"/>
    </xf>
    <xf numFmtId="0" fontId="17" fillId="3" borderId="5" xfId="0" applyFont="1" applyFill="1" applyBorder="1" applyAlignment="1" applyProtection="1">
      <alignment horizontal="center" vertical="center"/>
      <protection hidden="1"/>
    </xf>
    <xf numFmtId="0" fontId="19" fillId="2" borderId="0" xfId="0" applyFont="1" applyFill="1" applyAlignment="1" applyProtection="1">
      <alignment horizontal="center" vertical="center"/>
      <protection locked="0"/>
    </xf>
    <xf numFmtId="167" fontId="48" fillId="2" borderId="6" xfId="0" applyNumberFormat="1" applyFont="1" applyFill="1" applyBorder="1" applyAlignment="1" applyProtection="1">
      <alignment horizontal="center" vertical="center"/>
      <protection hidden="1"/>
    </xf>
    <xf numFmtId="0" fontId="18" fillId="2" borderId="0" xfId="0" applyFont="1" applyFill="1" applyBorder="1" applyAlignment="1" applyProtection="1">
      <alignment horizontal="center" vertical="center"/>
      <protection hidden="1"/>
    </xf>
    <xf numFmtId="0" fontId="19" fillId="2" borderId="0" xfId="0" applyFont="1" applyFill="1" applyBorder="1" applyAlignment="1" applyProtection="1">
      <alignment horizontal="center" vertical="center"/>
      <protection hidden="1"/>
    </xf>
    <xf numFmtId="0" fontId="17" fillId="2" borderId="32" xfId="0" applyFont="1" applyFill="1" applyBorder="1" applyAlignment="1" applyProtection="1">
      <alignment horizontal="center" vertical="center"/>
      <protection hidden="1"/>
    </xf>
    <xf numFmtId="0" fontId="17" fillId="2" borderId="33" xfId="0" applyFont="1" applyFill="1" applyBorder="1" applyAlignment="1" applyProtection="1">
      <alignment horizontal="center" vertical="center"/>
      <protection hidden="1"/>
    </xf>
    <xf numFmtId="166" fontId="68" fillId="2" borderId="0" xfId="0" applyNumberFormat="1" applyFont="1" applyFill="1" applyBorder="1" applyAlignment="1" applyProtection="1">
      <alignment vertical="top"/>
      <protection hidden="1"/>
    </xf>
    <xf numFmtId="0" fontId="95" fillId="2" borderId="0" xfId="2" applyFont="1" applyFill="1" applyAlignment="1" applyProtection="1">
      <alignment horizontal="right" vertical="center"/>
      <protection hidden="1"/>
    </xf>
    <xf numFmtId="0" fontId="93" fillId="2" borderId="0" xfId="0" applyFont="1" applyFill="1" applyAlignment="1" applyProtection="1">
      <alignment horizontal="center" vertical="center"/>
      <protection hidden="1"/>
    </xf>
    <xf numFmtId="166" fontId="68" fillId="2" borderId="1" xfId="0" applyNumberFormat="1" applyFont="1" applyFill="1" applyBorder="1" applyAlignment="1" applyProtection="1">
      <alignment vertical="top"/>
      <protection hidden="1"/>
    </xf>
    <xf numFmtId="0" fontId="17" fillId="2" borderId="6" xfId="0" applyFont="1" applyFill="1" applyBorder="1" applyAlignment="1" applyProtection="1">
      <alignment horizontal="center" vertical="center"/>
      <protection hidden="1"/>
    </xf>
    <xf numFmtId="0" fontId="35" fillId="2" borderId="6" xfId="0" applyFont="1" applyFill="1" applyBorder="1" applyAlignment="1" applyProtection="1">
      <alignment horizontal="center" vertical="center"/>
      <protection hidden="1"/>
    </xf>
    <xf numFmtId="14" fontId="17" fillId="2" borderId="6" xfId="0" applyNumberFormat="1" applyFont="1" applyFill="1" applyBorder="1" applyAlignment="1" applyProtection="1">
      <alignment horizontal="center" vertical="center"/>
      <protection hidden="1"/>
    </xf>
    <xf numFmtId="14" fontId="35" fillId="2" borderId="6" xfId="0" applyNumberFormat="1" applyFont="1" applyFill="1" applyBorder="1" applyAlignment="1" applyProtection="1">
      <alignment horizontal="center" vertical="center"/>
      <protection hidden="1"/>
    </xf>
    <xf numFmtId="14" fontId="19" fillId="2" borderId="0" xfId="0" applyNumberFormat="1" applyFont="1" applyFill="1" applyProtection="1">
      <protection hidden="1"/>
    </xf>
    <xf numFmtId="14" fontId="17" fillId="2" borderId="0" xfId="2" applyNumberFormat="1" applyFont="1" applyFill="1" applyBorder="1" applyAlignment="1" applyProtection="1">
      <alignment horizontal="center" vertical="center"/>
      <protection hidden="1"/>
    </xf>
    <xf numFmtId="0" fontId="3" fillId="2" borderId="0" xfId="2" applyFill="1" applyAlignment="1" applyProtection="1">
      <alignment vertical="center"/>
      <protection hidden="1"/>
    </xf>
    <xf numFmtId="0" fontId="24" fillId="2" borderId="0" xfId="2" applyFont="1" applyFill="1" applyAlignment="1" applyProtection="1">
      <alignment horizontal="right" vertical="center"/>
      <protection hidden="1"/>
    </xf>
    <xf numFmtId="167" fontId="67" fillId="2" borderId="34" xfId="2" applyNumberFormat="1" applyFont="1" applyFill="1" applyBorder="1" applyAlignment="1" applyProtection="1">
      <alignment horizontal="center" vertical="center"/>
      <protection hidden="1"/>
    </xf>
    <xf numFmtId="167" fontId="67" fillId="2" borderId="35" xfId="2" applyNumberFormat="1" applyFont="1" applyFill="1" applyBorder="1" applyAlignment="1" applyProtection="1">
      <alignment horizontal="center" vertical="center"/>
      <protection hidden="1"/>
    </xf>
    <xf numFmtId="168" fontId="67" fillId="2" borderId="26" xfId="2" applyNumberFormat="1" applyFont="1" applyFill="1" applyBorder="1" applyAlignment="1" applyProtection="1">
      <alignment vertical="center"/>
      <protection locked="0"/>
    </xf>
    <xf numFmtId="168" fontId="67" fillId="2" borderId="20" xfId="2" applyNumberFormat="1" applyFont="1" applyFill="1" applyBorder="1" applyAlignment="1" applyProtection="1">
      <alignment vertical="center"/>
      <protection locked="0"/>
    </xf>
    <xf numFmtId="168" fontId="67" fillId="2" borderId="36" xfId="2" applyNumberFormat="1" applyFont="1" applyFill="1" applyBorder="1" applyAlignment="1" applyProtection="1">
      <protection hidden="1"/>
    </xf>
    <xf numFmtId="168" fontId="67" fillId="2" borderId="2" xfId="2" applyNumberFormat="1" applyFont="1" applyFill="1" applyBorder="1" applyAlignment="1" applyProtection="1">
      <alignment vertical="top"/>
      <protection hidden="1"/>
    </xf>
    <xf numFmtId="0" fontId="8" fillId="2" borderId="1" xfId="0" applyNumberFormat="1" applyFont="1" applyFill="1" applyBorder="1" applyAlignment="1" applyProtection="1">
      <alignment horizontal="right" vertical="center"/>
      <protection hidden="1"/>
    </xf>
    <xf numFmtId="0" fontId="18" fillId="2" borderId="15" xfId="0" applyFont="1" applyFill="1" applyBorder="1" applyAlignment="1" applyProtection="1">
      <alignment horizontal="center" vertical="center"/>
      <protection hidden="1"/>
    </xf>
    <xf numFmtId="167" fontId="35" fillId="2" borderId="6" xfId="0" applyNumberFormat="1" applyFont="1" applyFill="1" applyBorder="1" applyAlignment="1" applyProtection="1">
      <alignment horizontal="center" vertical="center"/>
      <protection hidden="1"/>
    </xf>
    <xf numFmtId="167" fontId="60" fillId="2" borderId="6" xfId="0" applyNumberFormat="1" applyFont="1" applyFill="1" applyBorder="1" applyAlignment="1" applyProtection="1">
      <alignment horizontal="center" vertical="center"/>
      <protection hidden="1"/>
    </xf>
    <xf numFmtId="167" fontId="17" fillId="2" borderId="6" xfId="0" applyNumberFormat="1" applyFont="1" applyFill="1" applyBorder="1" applyAlignment="1" applyProtection="1">
      <alignment horizontal="center" vertical="center"/>
      <protection hidden="1"/>
    </xf>
    <xf numFmtId="0" fontId="20" fillId="2" borderId="0" xfId="0" applyFont="1" applyFill="1" applyAlignment="1" applyProtection="1">
      <alignment horizontal="center" vertical="center"/>
      <protection hidden="1"/>
    </xf>
    <xf numFmtId="167" fontId="35" fillId="3" borderId="6" xfId="0" applyNumberFormat="1" applyFont="1" applyFill="1" applyBorder="1" applyAlignment="1" applyProtection="1">
      <alignment horizontal="center" vertical="center"/>
      <protection hidden="1"/>
    </xf>
    <xf numFmtId="167" fontId="35" fillId="2" borderId="28" xfId="0" applyNumberFormat="1" applyFont="1" applyFill="1" applyBorder="1" applyAlignment="1" applyProtection="1">
      <alignment horizontal="center" vertical="center"/>
      <protection hidden="1"/>
    </xf>
    <xf numFmtId="167" fontId="35" fillId="2" borderId="23" xfId="0" applyNumberFormat="1" applyFont="1" applyFill="1" applyBorder="1" applyAlignment="1" applyProtection="1">
      <alignment horizontal="center" vertical="center"/>
      <protection hidden="1"/>
    </xf>
    <xf numFmtId="167" fontId="17" fillId="2" borderId="0" xfId="0" applyNumberFormat="1" applyFont="1" applyFill="1" applyAlignment="1" applyProtection="1">
      <alignment horizontal="center" vertical="center"/>
      <protection hidden="1"/>
    </xf>
    <xf numFmtId="167" fontId="35" fillId="2" borderId="29" xfId="0" applyNumberFormat="1" applyFont="1" applyFill="1" applyBorder="1" applyAlignment="1" applyProtection="1">
      <alignment horizontal="center" vertical="center"/>
      <protection hidden="1"/>
    </xf>
    <xf numFmtId="0" fontId="50" fillId="2" borderId="0" xfId="2" applyFont="1" applyFill="1" applyAlignment="1" applyProtection="1">
      <alignment horizontal="center"/>
      <protection hidden="1"/>
    </xf>
    <xf numFmtId="49" fontId="50" fillId="2" borderId="0" xfId="2" applyNumberFormat="1" applyFont="1" applyFill="1" applyAlignment="1" applyProtection="1">
      <alignment horizontal="center"/>
      <protection hidden="1"/>
    </xf>
    <xf numFmtId="0" fontId="50" fillId="2" borderId="0" xfId="2" applyNumberFormat="1" applyFont="1" applyFill="1" applyAlignment="1" applyProtection="1">
      <alignment horizontal="center"/>
      <protection hidden="1"/>
    </xf>
    <xf numFmtId="167" fontId="35" fillId="2" borderId="0" xfId="0" applyNumberFormat="1" applyFont="1" applyFill="1" applyBorder="1" applyAlignment="1" applyProtection="1">
      <alignment horizontal="center" vertical="center"/>
      <protection hidden="1"/>
    </xf>
    <xf numFmtId="166" fontId="8" fillId="2" borderId="0" xfId="2" applyNumberFormat="1" applyFont="1" applyFill="1" applyBorder="1" applyAlignment="1" applyProtection="1">
      <alignment vertical="top"/>
      <protection hidden="1"/>
    </xf>
    <xf numFmtId="0" fontId="3" fillId="2" borderId="0" xfId="2" applyFont="1" applyFill="1" applyAlignment="1" applyProtection="1">
      <protection hidden="1"/>
    </xf>
    <xf numFmtId="0" fontId="3" fillId="2" borderId="0" xfId="2" applyFill="1" applyAlignment="1" applyProtection="1">
      <alignment horizontal="center" vertical="center"/>
      <protection hidden="1"/>
    </xf>
    <xf numFmtId="0" fontId="17" fillId="2" borderId="0" xfId="0" applyFont="1" applyFill="1" applyAlignment="1" applyProtection="1">
      <alignment horizontal="center" vertical="top"/>
      <protection hidden="1"/>
    </xf>
    <xf numFmtId="0" fontId="17" fillId="2" borderId="0" xfId="0" applyFont="1" applyFill="1" applyAlignment="1" applyProtection="1">
      <alignment horizontal="center"/>
      <protection hidden="1"/>
    </xf>
    <xf numFmtId="0" fontId="60" fillId="2" borderId="0" xfId="0" applyFont="1" applyFill="1" applyAlignment="1" applyProtection="1">
      <alignment horizontal="center"/>
      <protection hidden="1"/>
    </xf>
    <xf numFmtId="0" fontId="60" fillId="2" borderId="0" xfId="0" applyFont="1" applyFill="1" applyAlignment="1" applyProtection="1">
      <alignment horizontal="center" vertical="center"/>
      <protection hidden="1"/>
    </xf>
    <xf numFmtId="0" fontId="60" fillId="2" borderId="0" xfId="0" applyFont="1" applyFill="1" applyAlignment="1" applyProtection="1">
      <alignment horizontal="center" vertical="top"/>
      <protection hidden="1"/>
    </xf>
    <xf numFmtId="0" fontId="49" fillId="2" borderId="6" xfId="2" applyFont="1" applyFill="1" applyBorder="1" applyAlignment="1" applyProtection="1">
      <alignment horizontal="center" vertical="center"/>
      <protection hidden="1"/>
    </xf>
    <xf numFmtId="0" fontId="24" fillId="2" borderId="23" xfId="2" applyFont="1" applyFill="1" applyBorder="1" applyAlignment="1" applyProtection="1">
      <alignment horizontal="center" vertical="center"/>
      <protection hidden="1"/>
    </xf>
    <xf numFmtId="0" fontId="24" fillId="2" borderId="37" xfId="2" applyFont="1" applyFill="1" applyBorder="1" applyAlignment="1" applyProtection="1">
      <alignment horizontal="center" vertical="center"/>
      <protection hidden="1"/>
    </xf>
    <xf numFmtId="0" fontId="24" fillId="2" borderId="38" xfId="2" applyFont="1" applyFill="1" applyBorder="1" applyAlignment="1" applyProtection="1">
      <alignment horizontal="center" vertical="center"/>
      <protection hidden="1"/>
    </xf>
    <xf numFmtId="0" fontId="24" fillId="2" borderId="28" xfId="2" applyFont="1" applyFill="1" applyBorder="1" applyAlignment="1" applyProtection="1">
      <alignment horizontal="center"/>
      <protection hidden="1"/>
    </xf>
    <xf numFmtId="0" fontId="24" fillId="2" borderId="32" xfId="2" applyFont="1" applyFill="1" applyBorder="1" applyAlignment="1" applyProtection="1">
      <alignment horizontal="center"/>
      <protection hidden="1"/>
    </xf>
    <xf numFmtId="0" fontId="24" fillId="2" borderId="39" xfId="2" applyFont="1" applyFill="1" applyBorder="1" applyAlignment="1" applyProtection="1">
      <alignment horizontal="center"/>
      <protection hidden="1"/>
    </xf>
    <xf numFmtId="0" fontId="24" fillId="2" borderId="29" xfId="2" applyFont="1" applyFill="1" applyBorder="1" applyAlignment="1" applyProtection="1">
      <alignment horizontal="center" vertical="top"/>
      <protection hidden="1"/>
    </xf>
    <xf numFmtId="0" fontId="24" fillId="2" borderId="33" xfId="2" applyFont="1" applyFill="1" applyBorder="1" applyAlignment="1" applyProtection="1">
      <alignment horizontal="center" vertical="top"/>
      <protection hidden="1"/>
    </xf>
    <xf numFmtId="0" fontId="24" fillId="2" borderId="31" xfId="2" applyFont="1" applyFill="1" applyBorder="1" applyAlignment="1" applyProtection="1">
      <alignment horizontal="center" vertical="top"/>
      <protection hidden="1"/>
    </xf>
    <xf numFmtId="0" fontId="24" fillId="2" borderId="0" xfId="2" applyFont="1" applyFill="1" applyBorder="1" applyAlignment="1" applyProtection="1">
      <alignment horizontal="center" vertical="top"/>
      <protection hidden="1"/>
    </xf>
    <xf numFmtId="0" fontId="24" fillId="2" borderId="0" xfId="2" applyFont="1" applyFill="1" applyAlignment="1" applyProtection="1">
      <alignment horizontal="center" vertical="top"/>
      <protection hidden="1"/>
    </xf>
    <xf numFmtId="0" fontId="24" fillId="2" borderId="16" xfId="2" applyFont="1" applyFill="1" applyBorder="1" applyAlignment="1" applyProtection="1">
      <alignment horizontal="center" vertical="center"/>
      <protection hidden="1"/>
    </xf>
    <xf numFmtId="0" fontId="24" fillId="2" borderId="6" xfId="2" applyFont="1" applyFill="1" applyBorder="1" applyAlignment="1" applyProtection="1">
      <alignment horizontal="center" vertical="center"/>
      <protection hidden="1"/>
    </xf>
    <xf numFmtId="0" fontId="24" fillId="2" borderId="18" xfId="2" applyFont="1" applyFill="1" applyBorder="1" applyAlignment="1" applyProtection="1">
      <alignment horizontal="center" vertical="center"/>
      <protection hidden="1"/>
    </xf>
    <xf numFmtId="0" fontId="99" fillId="2" borderId="0" xfId="2" applyFont="1" applyFill="1" applyProtection="1">
      <protection hidden="1"/>
    </xf>
    <xf numFmtId="178" fontId="3" fillId="2" borderId="0" xfId="2" applyNumberFormat="1" applyFill="1" applyAlignment="1" applyProtection="1">
      <alignment vertical="top"/>
      <protection hidden="1"/>
    </xf>
    <xf numFmtId="0" fontId="62" fillId="2" borderId="26" xfId="2" applyFont="1" applyFill="1" applyBorder="1" applyAlignment="1" applyProtection="1">
      <alignment horizontal="center"/>
      <protection hidden="1"/>
    </xf>
    <xf numFmtId="0" fontId="62" fillId="2" borderId="14" xfId="2" applyFont="1" applyFill="1" applyBorder="1" applyAlignment="1" applyProtection="1">
      <alignment horizontal="center" vertical="top"/>
      <protection hidden="1"/>
    </xf>
    <xf numFmtId="0" fontId="63" fillId="2" borderId="15" xfId="2" applyFont="1" applyFill="1" applyBorder="1" applyAlignment="1" applyProtection="1">
      <alignment horizontal="center" vertical="top"/>
      <protection hidden="1"/>
    </xf>
    <xf numFmtId="0" fontId="91" fillId="2" borderId="0" xfId="2" applyFont="1" applyFill="1" applyAlignment="1" applyProtection="1">
      <alignment horizontal="right" indent="1"/>
      <protection hidden="1"/>
    </xf>
    <xf numFmtId="0" fontId="91" fillId="2" borderId="0" xfId="2" applyFont="1" applyFill="1" applyAlignment="1" applyProtection="1">
      <alignment horizontal="right" vertical="top" indent="1"/>
      <protection hidden="1"/>
    </xf>
    <xf numFmtId="178" fontId="3" fillId="3" borderId="19" xfId="2" applyNumberFormat="1" applyFont="1" applyFill="1" applyBorder="1" applyAlignment="1" applyProtection="1">
      <alignment vertical="center"/>
      <protection hidden="1"/>
    </xf>
    <xf numFmtId="178" fontId="3" fillId="3" borderId="21" xfId="2" applyNumberFormat="1" applyFill="1" applyBorder="1" applyAlignment="1" applyProtection="1">
      <alignment vertical="center"/>
      <protection hidden="1"/>
    </xf>
    <xf numFmtId="0" fontId="3" fillId="2" borderId="7" xfId="2" applyFill="1" applyBorder="1" applyProtection="1">
      <protection hidden="1"/>
    </xf>
    <xf numFmtId="0" fontId="48" fillId="2" borderId="6" xfId="0" applyNumberFormat="1" applyFont="1" applyFill="1" applyBorder="1" applyAlignment="1" applyProtection="1">
      <alignment horizontal="center" vertical="center"/>
      <protection hidden="1"/>
    </xf>
    <xf numFmtId="167" fontId="35" fillId="2" borderId="0" xfId="0" applyNumberFormat="1" applyFont="1" applyFill="1" applyAlignment="1" applyProtection="1">
      <alignment horizontal="center" vertical="center"/>
      <protection hidden="1"/>
    </xf>
    <xf numFmtId="0" fontId="35" fillId="2" borderId="0" xfId="0" applyFont="1" applyFill="1" applyAlignment="1" applyProtection="1">
      <alignment horizontal="center" vertical="top"/>
      <protection hidden="1"/>
    </xf>
    <xf numFmtId="0" fontId="45" fillId="2" borderId="26" xfId="2" applyFont="1" applyFill="1" applyBorder="1" applyAlignment="1" applyProtection="1">
      <alignment horizontal="centerContinuous"/>
      <protection hidden="1"/>
    </xf>
    <xf numFmtId="0" fontId="45" fillId="2" borderId="14" xfId="2" applyFont="1" applyFill="1" applyBorder="1" applyAlignment="1" applyProtection="1">
      <alignment horizontal="centerContinuous" vertical="top"/>
      <protection hidden="1"/>
    </xf>
    <xf numFmtId="0" fontId="85" fillId="2" borderId="36" xfId="2" applyFont="1" applyFill="1" applyBorder="1" applyAlignment="1" applyProtection="1">
      <alignment horizontal="centerContinuous"/>
      <protection hidden="1"/>
    </xf>
    <xf numFmtId="0" fontId="85" fillId="2" borderId="40" xfId="2" applyFont="1" applyFill="1" applyBorder="1" applyAlignment="1" applyProtection="1">
      <alignment horizontal="centerContinuous"/>
      <protection hidden="1"/>
    </xf>
    <xf numFmtId="0" fontId="85" fillId="2" borderId="41" xfId="2" applyFont="1" applyFill="1" applyBorder="1" applyAlignment="1" applyProtection="1">
      <alignment horizontal="centerContinuous" vertical="top"/>
      <protection hidden="1"/>
    </xf>
    <xf numFmtId="0" fontId="85" fillId="2" borderId="29" xfId="2" applyFont="1" applyFill="1" applyBorder="1" applyAlignment="1" applyProtection="1">
      <alignment horizontal="centerContinuous" vertical="top"/>
      <protection hidden="1"/>
    </xf>
    <xf numFmtId="168" fontId="67" fillId="3" borderId="27" xfId="2" applyNumberFormat="1" applyFont="1" applyFill="1" applyBorder="1" applyAlignment="1" applyProtection="1">
      <alignment vertical="center"/>
      <protection hidden="1"/>
    </xf>
    <xf numFmtId="0" fontId="87" fillId="2" borderId="0" xfId="2" applyFont="1" applyFill="1" applyBorder="1" applyAlignment="1" applyProtection="1">
      <alignment horizontal="center" vertical="center"/>
      <protection hidden="1"/>
    </xf>
    <xf numFmtId="168" fontId="67" fillId="2" borderId="19" xfId="2" applyNumberFormat="1" applyFont="1" applyFill="1" applyBorder="1" applyAlignment="1" applyProtection="1">
      <alignment vertical="center"/>
      <protection locked="0"/>
    </xf>
    <xf numFmtId="168" fontId="67" fillId="2" borderId="14" xfId="2" applyNumberFormat="1" applyFont="1" applyFill="1" applyBorder="1" applyAlignment="1" applyProtection="1">
      <alignment vertical="center"/>
      <protection locked="0"/>
    </xf>
    <xf numFmtId="167" fontId="48" fillId="2" borderId="42" xfId="0" applyNumberFormat="1" applyFont="1" applyFill="1" applyBorder="1" applyAlignment="1" applyProtection="1">
      <alignment horizontal="center" vertical="center"/>
      <protection hidden="1"/>
    </xf>
    <xf numFmtId="167" fontId="48" fillId="2" borderId="43" xfId="0" applyNumberFormat="1" applyFont="1" applyFill="1" applyBorder="1" applyAlignment="1" applyProtection="1">
      <alignment horizontal="center" vertical="center"/>
      <protection hidden="1"/>
    </xf>
    <xf numFmtId="167" fontId="48" fillId="2" borderId="44" xfId="0" applyNumberFormat="1" applyFont="1" applyFill="1" applyBorder="1" applyAlignment="1" applyProtection="1">
      <alignment horizontal="center" vertical="center"/>
      <protection hidden="1"/>
    </xf>
    <xf numFmtId="168" fontId="67" fillId="2" borderId="45" xfId="2" applyNumberFormat="1" applyFont="1" applyFill="1" applyBorder="1" applyAlignment="1" applyProtection="1">
      <alignment vertical="center"/>
      <protection locked="0"/>
    </xf>
    <xf numFmtId="178" fontId="49" fillId="2" borderId="6" xfId="2" applyNumberFormat="1" applyFont="1" applyFill="1" applyBorder="1" applyAlignment="1" applyProtection="1">
      <alignment vertical="center"/>
      <protection hidden="1"/>
    </xf>
    <xf numFmtId="0" fontId="66" fillId="2" borderId="6" xfId="2" applyFont="1" applyFill="1" applyBorder="1" applyAlignment="1" applyProtection="1">
      <alignment horizontal="center" vertical="center"/>
      <protection hidden="1"/>
    </xf>
    <xf numFmtId="0" fontId="41" fillId="2" borderId="6" xfId="2" applyFont="1" applyFill="1" applyBorder="1" applyAlignment="1" applyProtection="1">
      <alignment horizontal="center" vertical="center"/>
      <protection hidden="1"/>
    </xf>
    <xf numFmtId="0" fontId="50" fillId="2" borderId="0" xfId="2" applyFont="1" applyFill="1" applyBorder="1" applyAlignment="1" applyProtection="1">
      <alignment horizontal="center" vertical="center"/>
      <protection hidden="1"/>
    </xf>
    <xf numFmtId="167" fontId="35" fillId="2" borderId="16" xfId="0" applyNumberFormat="1" applyFont="1" applyFill="1" applyBorder="1" applyAlignment="1" applyProtection="1">
      <alignment horizontal="center" vertical="center"/>
      <protection hidden="1"/>
    </xf>
    <xf numFmtId="178" fontId="3" fillId="2" borderId="15" xfId="2" applyNumberFormat="1" applyFill="1" applyBorder="1" applyAlignment="1" applyProtection="1">
      <alignment vertical="top"/>
      <protection hidden="1"/>
    </xf>
    <xf numFmtId="0" fontId="3" fillId="2" borderId="3" xfId="2" applyFill="1" applyBorder="1" applyProtection="1">
      <protection hidden="1"/>
    </xf>
    <xf numFmtId="168" fontId="18" fillId="2" borderId="34" xfId="0" applyNumberFormat="1" applyFont="1" applyFill="1" applyBorder="1" applyAlignment="1" applyProtection="1">
      <alignment horizontal="right" vertical="center"/>
      <protection hidden="1"/>
    </xf>
    <xf numFmtId="168" fontId="18" fillId="2" borderId="6" xfId="0" applyNumberFormat="1" applyFont="1" applyFill="1" applyBorder="1" applyAlignment="1" applyProtection="1">
      <alignment horizontal="right" vertical="center"/>
      <protection hidden="1"/>
    </xf>
    <xf numFmtId="168" fontId="18" fillId="2" borderId="46" xfId="0" applyNumberFormat="1" applyFont="1" applyFill="1" applyBorder="1" applyAlignment="1" applyProtection="1">
      <alignment horizontal="right"/>
      <protection hidden="1"/>
    </xf>
    <xf numFmtId="168" fontId="18" fillId="2" borderId="47" xfId="0" applyNumberFormat="1" applyFont="1" applyFill="1" applyBorder="1" applyAlignment="1" applyProtection="1">
      <alignment horizontal="right"/>
      <protection hidden="1"/>
    </xf>
    <xf numFmtId="168" fontId="18" fillId="2" borderId="48" xfId="0" applyNumberFormat="1" applyFont="1" applyFill="1" applyBorder="1" applyAlignment="1" applyProtection="1">
      <alignment horizontal="right" vertical="top"/>
      <protection hidden="1"/>
    </xf>
    <xf numFmtId="168" fontId="18" fillId="2" borderId="49" xfId="0" applyNumberFormat="1" applyFont="1" applyFill="1" applyBorder="1" applyAlignment="1" applyProtection="1">
      <alignment horizontal="right" vertical="top"/>
      <protection hidden="1"/>
    </xf>
    <xf numFmtId="168" fontId="67" fillId="2" borderId="34" xfId="0" applyNumberFormat="1" applyFont="1" applyFill="1" applyBorder="1" applyAlignment="1" applyProtection="1">
      <alignment horizontal="right" vertical="center"/>
      <protection hidden="1"/>
    </xf>
    <xf numFmtId="168" fontId="67" fillId="2" borderId="6" xfId="0" applyNumberFormat="1" applyFont="1" applyFill="1" applyBorder="1" applyAlignment="1" applyProtection="1">
      <alignment horizontal="right" vertical="center"/>
      <protection hidden="1"/>
    </xf>
    <xf numFmtId="168" fontId="67" fillId="2" borderId="38" xfId="0" applyNumberFormat="1" applyFont="1" applyFill="1" applyBorder="1" applyAlignment="1" applyProtection="1">
      <alignment horizontal="right" vertical="center"/>
      <protection hidden="1"/>
    </xf>
    <xf numFmtId="166" fontId="70" fillId="2" borderId="44" xfId="0" applyNumberFormat="1" applyFont="1" applyFill="1" applyBorder="1" applyAlignment="1" applyProtection="1">
      <alignment horizontal="center" vertical="center"/>
      <protection hidden="1"/>
    </xf>
    <xf numFmtId="166" fontId="96" fillId="3" borderId="20" xfId="0" applyNumberFormat="1" applyFont="1" applyFill="1" applyBorder="1" applyAlignment="1" applyProtection="1">
      <alignment vertical="center"/>
      <protection hidden="1"/>
    </xf>
    <xf numFmtId="166" fontId="96" fillId="3" borderId="14" xfId="0" applyNumberFormat="1" applyFont="1" applyFill="1" applyBorder="1" applyAlignment="1" applyProtection="1">
      <alignment vertical="center"/>
      <protection hidden="1"/>
    </xf>
    <xf numFmtId="166" fontId="96" fillId="3" borderId="42" xfId="0" applyNumberFormat="1" applyFont="1" applyFill="1" applyBorder="1" applyAlignment="1" applyProtection="1">
      <alignment horizontal="center" vertical="center"/>
      <protection hidden="1"/>
    </xf>
    <xf numFmtId="166" fontId="96" fillId="3" borderId="43" xfId="0" applyNumberFormat="1" applyFont="1" applyFill="1" applyBorder="1" applyAlignment="1" applyProtection="1">
      <alignment horizontal="center" vertical="center"/>
      <protection hidden="1"/>
    </xf>
    <xf numFmtId="168" fontId="96" fillId="3" borderId="42" xfId="0" applyNumberFormat="1" applyFont="1" applyFill="1" applyBorder="1" applyAlignment="1" applyProtection="1">
      <alignment horizontal="right" vertical="center"/>
      <protection hidden="1"/>
    </xf>
    <xf numFmtId="168" fontId="96" fillId="3" borderId="43" xfId="0" applyNumberFormat="1" applyFont="1" applyFill="1" applyBorder="1" applyAlignment="1" applyProtection="1">
      <alignment horizontal="right" vertical="center"/>
      <protection hidden="1"/>
    </xf>
    <xf numFmtId="166" fontId="96" fillId="3" borderId="50" xfId="0" applyNumberFormat="1" applyFont="1" applyFill="1" applyBorder="1" applyAlignment="1" applyProtection="1">
      <alignment horizontal="center" vertical="center"/>
      <protection hidden="1"/>
    </xf>
    <xf numFmtId="166" fontId="96" fillId="3" borderId="51" xfId="0" applyNumberFormat="1" applyFont="1" applyFill="1" applyBorder="1" applyAlignment="1" applyProtection="1">
      <alignment horizontal="center" vertical="center"/>
      <protection hidden="1"/>
    </xf>
    <xf numFmtId="168" fontId="8" fillId="2" borderId="0" xfId="0" applyNumberFormat="1" applyFont="1" applyFill="1" applyBorder="1" applyAlignment="1" applyProtection="1">
      <alignment horizontal="center" vertical="top"/>
      <protection hidden="1"/>
    </xf>
    <xf numFmtId="168" fontId="18" fillId="2" borderId="0" xfId="0" applyNumberFormat="1" applyFont="1" applyFill="1" applyBorder="1" applyAlignment="1" applyProtection="1">
      <alignment horizontal="center" vertical="center"/>
      <protection hidden="1"/>
    </xf>
    <xf numFmtId="166" fontId="70" fillId="2" borderId="0" xfId="0" applyNumberFormat="1" applyFont="1" applyFill="1" applyBorder="1" applyAlignment="1" applyProtection="1">
      <alignment vertical="top"/>
      <protection hidden="1"/>
    </xf>
    <xf numFmtId="166" fontId="59" fillId="2" borderId="0" xfId="0" applyNumberFormat="1" applyFont="1" applyFill="1" applyBorder="1" applyAlignment="1" applyProtection="1">
      <alignment horizontal="left" vertical="center"/>
      <protection hidden="1"/>
    </xf>
    <xf numFmtId="168" fontId="18" fillId="2" borderId="0" xfId="0" applyNumberFormat="1" applyFont="1" applyFill="1" applyBorder="1" applyAlignment="1" applyProtection="1">
      <alignment horizontal="right"/>
      <protection hidden="1"/>
    </xf>
    <xf numFmtId="168" fontId="18" fillId="2" borderId="0" xfId="0" applyNumberFormat="1" applyFont="1" applyFill="1" applyBorder="1" applyAlignment="1" applyProtection="1">
      <alignment horizontal="right" vertical="top"/>
      <protection hidden="1"/>
    </xf>
    <xf numFmtId="168" fontId="59" fillId="3" borderId="42" xfId="0" applyNumberFormat="1" applyFont="1" applyFill="1" applyBorder="1" applyAlignment="1" applyProtection="1">
      <alignment horizontal="right" vertical="center"/>
      <protection hidden="1"/>
    </xf>
    <xf numFmtId="168" fontId="59" fillId="3" borderId="43" xfId="0" applyNumberFormat="1" applyFont="1" applyFill="1" applyBorder="1" applyAlignment="1" applyProtection="1">
      <alignment horizontal="right" vertical="center"/>
      <protection hidden="1"/>
    </xf>
    <xf numFmtId="168" fontId="59" fillId="3" borderId="44" xfId="0" applyNumberFormat="1" applyFont="1" applyFill="1" applyBorder="1" applyAlignment="1" applyProtection="1">
      <alignment horizontal="right" vertical="center"/>
      <protection hidden="1"/>
    </xf>
    <xf numFmtId="168" fontId="59" fillId="3" borderId="51" xfId="0" applyNumberFormat="1" applyFont="1" applyFill="1" applyBorder="1" applyAlignment="1" applyProtection="1">
      <alignment horizontal="right" vertical="center"/>
      <protection hidden="1"/>
    </xf>
    <xf numFmtId="168" fontId="18" fillId="2" borderId="46" xfId="0" applyNumberFormat="1" applyFont="1" applyFill="1" applyBorder="1" applyAlignment="1" applyProtection="1">
      <alignment horizontal="right" vertical="center"/>
      <protection hidden="1"/>
    </xf>
    <xf numFmtId="168" fontId="18" fillId="2" borderId="47" xfId="0" applyNumberFormat="1" applyFont="1" applyFill="1" applyBorder="1" applyAlignment="1" applyProtection="1">
      <alignment horizontal="right" vertical="center"/>
      <protection hidden="1"/>
    </xf>
    <xf numFmtId="168" fontId="19" fillId="2" borderId="0" xfId="0" applyNumberFormat="1" applyFont="1" applyFill="1" applyBorder="1" applyAlignment="1" applyProtection="1">
      <alignment horizontal="right" vertical="center"/>
      <protection hidden="1"/>
    </xf>
    <xf numFmtId="168" fontId="18" fillId="2" borderId="26" xfId="0" applyNumberFormat="1" applyFont="1" applyFill="1" applyBorder="1" applyAlignment="1" applyProtection="1">
      <alignment horizontal="right" vertical="center"/>
      <protection hidden="1"/>
    </xf>
    <xf numFmtId="168" fontId="18" fillId="2" borderId="20" xfId="0" applyNumberFormat="1" applyFont="1" applyFill="1" applyBorder="1" applyAlignment="1" applyProtection="1">
      <alignment horizontal="right" vertical="center"/>
      <protection hidden="1"/>
    </xf>
    <xf numFmtId="168" fontId="18" fillId="2" borderId="48" xfId="0" applyNumberFormat="1" applyFont="1" applyFill="1" applyBorder="1" applyAlignment="1" applyProtection="1">
      <alignment horizontal="right" vertical="center"/>
      <protection hidden="1"/>
    </xf>
    <xf numFmtId="168" fontId="18" fillId="2" borderId="49" xfId="0" applyNumberFormat="1" applyFont="1" applyFill="1" applyBorder="1" applyAlignment="1" applyProtection="1">
      <alignment horizontal="right" vertical="center"/>
      <protection hidden="1"/>
    </xf>
    <xf numFmtId="168" fontId="18" fillId="2" borderId="15" xfId="0" applyNumberFormat="1" applyFont="1" applyFill="1" applyBorder="1" applyAlignment="1" applyProtection="1">
      <alignment horizontal="right" vertical="center"/>
      <protection hidden="1"/>
    </xf>
    <xf numFmtId="168" fontId="18" fillId="2" borderId="44" xfId="0" applyNumberFormat="1" applyFont="1" applyFill="1" applyBorder="1" applyAlignment="1" applyProtection="1">
      <alignment horizontal="right" vertical="center"/>
      <protection hidden="1"/>
    </xf>
    <xf numFmtId="168" fontId="29" fillId="3" borderId="52" xfId="0" applyNumberFormat="1" applyFont="1" applyFill="1" applyBorder="1" applyAlignment="1" applyProtection="1">
      <alignment horizontal="right" vertical="center"/>
      <protection hidden="1"/>
    </xf>
    <xf numFmtId="168" fontId="29" fillId="3" borderId="35" xfId="0" applyNumberFormat="1" applyFont="1" applyFill="1" applyBorder="1" applyAlignment="1" applyProtection="1">
      <alignment horizontal="right" vertical="center"/>
      <protection hidden="1"/>
    </xf>
    <xf numFmtId="168" fontId="29" fillId="3" borderId="53" xfId="0" applyNumberFormat="1" applyFont="1" applyFill="1" applyBorder="1" applyAlignment="1" applyProtection="1">
      <alignment horizontal="right" vertical="center"/>
      <protection hidden="1"/>
    </xf>
    <xf numFmtId="168" fontId="29" fillId="3" borderId="15" xfId="0" applyNumberFormat="1" applyFont="1" applyFill="1" applyBorder="1" applyAlignment="1" applyProtection="1">
      <alignment horizontal="right" vertical="center"/>
      <protection hidden="1"/>
    </xf>
    <xf numFmtId="168" fontId="29" fillId="3" borderId="42" xfId="0" applyNumberFormat="1" applyFont="1" applyFill="1" applyBorder="1" applyAlignment="1" applyProtection="1">
      <alignment horizontal="right" vertical="center"/>
      <protection hidden="1"/>
    </xf>
    <xf numFmtId="168" fontId="29" fillId="3" borderId="43" xfId="0" applyNumberFormat="1" applyFont="1" applyFill="1" applyBorder="1" applyAlignment="1" applyProtection="1">
      <alignment horizontal="right" vertical="center"/>
      <protection hidden="1"/>
    </xf>
    <xf numFmtId="166" fontId="54" fillId="2" borderId="0" xfId="0" applyNumberFormat="1" applyFont="1" applyFill="1" applyBorder="1" applyAlignment="1" applyProtection="1">
      <alignment horizontal="right"/>
      <protection hidden="1"/>
    </xf>
    <xf numFmtId="166" fontId="54" fillId="2" borderId="0" xfId="0" applyNumberFormat="1" applyFont="1" applyFill="1" applyBorder="1" applyAlignment="1" applyProtection="1">
      <alignment horizontal="right" vertical="top"/>
      <protection hidden="1"/>
    </xf>
    <xf numFmtId="168" fontId="29" fillId="3" borderId="44" xfId="0" applyNumberFormat="1" applyFont="1" applyFill="1" applyBorder="1" applyAlignment="1" applyProtection="1">
      <alignment horizontal="right" vertical="center"/>
      <protection hidden="1"/>
    </xf>
    <xf numFmtId="168" fontId="29" fillId="3" borderId="52" xfId="0" applyNumberFormat="1" applyFont="1" applyFill="1" applyBorder="1" applyAlignment="1" applyProtection="1">
      <alignment horizontal="right"/>
      <protection hidden="1"/>
    </xf>
    <xf numFmtId="168" fontId="29" fillId="3" borderId="53" xfId="0" applyNumberFormat="1" applyFont="1" applyFill="1" applyBorder="1" applyAlignment="1" applyProtection="1">
      <alignment horizontal="right" vertical="top"/>
      <protection hidden="1"/>
    </xf>
    <xf numFmtId="168" fontId="29" fillId="3" borderId="27" xfId="0" applyNumberFormat="1" applyFont="1" applyFill="1" applyBorder="1" applyAlignment="1" applyProtection="1">
      <alignment horizontal="right" vertical="center"/>
      <protection hidden="1"/>
    </xf>
    <xf numFmtId="168" fontId="18" fillId="2" borderId="26" xfId="0" applyNumberFormat="1" applyFont="1" applyFill="1" applyBorder="1" applyAlignment="1" applyProtection="1">
      <alignment horizontal="right"/>
      <protection hidden="1"/>
    </xf>
    <xf numFmtId="168" fontId="18" fillId="2" borderId="15" xfId="0" applyNumberFormat="1" applyFont="1" applyFill="1" applyBorder="1" applyAlignment="1" applyProtection="1">
      <alignment horizontal="right" vertical="top"/>
      <protection hidden="1"/>
    </xf>
    <xf numFmtId="168" fontId="18" fillId="2" borderId="42" xfId="0" applyNumberFormat="1" applyFont="1" applyFill="1" applyBorder="1" applyAlignment="1" applyProtection="1">
      <alignment horizontal="right" vertical="center"/>
      <protection hidden="1"/>
    </xf>
    <xf numFmtId="168" fontId="18" fillId="2" borderId="43" xfId="0" applyNumberFormat="1" applyFont="1" applyFill="1" applyBorder="1" applyAlignment="1" applyProtection="1">
      <alignment horizontal="right" vertical="center"/>
      <protection hidden="1"/>
    </xf>
    <xf numFmtId="49" fontId="17" fillId="2" borderId="26" xfId="0" applyNumberFormat="1" applyFont="1" applyFill="1" applyBorder="1" applyAlignment="1" applyProtection="1">
      <alignment horizontal="center" vertical="center"/>
      <protection hidden="1"/>
    </xf>
    <xf numFmtId="49" fontId="17" fillId="2" borderId="14" xfId="0" applyNumberFormat="1" applyFont="1" applyFill="1" applyBorder="1" applyAlignment="1" applyProtection="1">
      <alignment horizontal="center" vertical="center"/>
      <protection hidden="1"/>
    </xf>
    <xf numFmtId="49" fontId="17" fillId="2" borderId="15" xfId="0" applyNumberFormat="1" applyFont="1" applyFill="1" applyBorder="1" applyAlignment="1" applyProtection="1">
      <alignment horizontal="center" vertical="center"/>
      <protection hidden="1"/>
    </xf>
    <xf numFmtId="49" fontId="17" fillId="3" borderId="14" xfId="0" applyNumberFormat="1" applyFont="1" applyFill="1" applyBorder="1" applyAlignment="1" applyProtection="1">
      <alignment horizontal="center" vertical="center"/>
      <protection hidden="1"/>
    </xf>
    <xf numFmtId="167" fontId="48" fillId="2" borderId="0" xfId="0" applyNumberFormat="1" applyFont="1" applyFill="1" applyBorder="1" applyAlignment="1" applyProtection="1">
      <alignment horizontal="center" vertical="center"/>
      <protection hidden="1"/>
    </xf>
    <xf numFmtId="167" fontId="14" fillId="2" borderId="16" xfId="0" applyNumberFormat="1" applyFont="1" applyFill="1" applyBorder="1" applyAlignment="1" applyProtection="1">
      <alignment horizontal="center" vertical="center"/>
      <protection hidden="1"/>
    </xf>
    <xf numFmtId="166" fontId="59" fillId="3" borderId="27" xfId="0" applyNumberFormat="1" applyFont="1" applyFill="1" applyBorder="1" applyAlignment="1" applyProtection="1">
      <alignment horizontal="left" vertical="center"/>
      <protection hidden="1"/>
    </xf>
    <xf numFmtId="166" fontId="45" fillId="2" borderId="26" xfId="0" applyNumberFormat="1" applyFont="1" applyFill="1" applyBorder="1" applyAlignment="1" applyProtection="1">
      <alignment vertical="center"/>
      <protection hidden="1"/>
    </xf>
    <xf numFmtId="166" fontId="45" fillId="2" borderId="20" xfId="0" applyNumberFormat="1" applyFont="1" applyFill="1" applyBorder="1" applyAlignment="1" applyProtection="1">
      <alignment vertical="center"/>
      <protection hidden="1"/>
    </xf>
    <xf numFmtId="166" fontId="45" fillId="2" borderId="15" xfId="0" applyNumberFormat="1" applyFont="1" applyFill="1" applyBorder="1" applyAlignment="1" applyProtection="1">
      <alignment vertical="center"/>
      <protection hidden="1"/>
    </xf>
    <xf numFmtId="168" fontId="14" fillId="2" borderId="0" xfId="0" applyNumberFormat="1" applyFont="1" applyFill="1" applyBorder="1" applyAlignment="1" applyProtection="1">
      <alignment horizontal="left" vertical="center"/>
      <protection hidden="1"/>
    </xf>
    <xf numFmtId="0" fontId="48" fillId="2" borderId="32" xfId="0" applyNumberFormat="1" applyFont="1" applyFill="1" applyBorder="1" applyAlignment="1" applyProtection="1">
      <alignment horizontal="center" vertical="center"/>
      <protection hidden="1"/>
    </xf>
    <xf numFmtId="175" fontId="49" fillId="3" borderId="6" xfId="2" applyNumberFormat="1" applyFont="1" applyFill="1" applyBorder="1" applyAlignment="1" applyProtection="1">
      <alignment horizontal="center" vertical="center"/>
      <protection hidden="1"/>
    </xf>
    <xf numFmtId="0" fontId="19" fillId="2" borderId="0" xfId="0" applyFont="1" applyFill="1" applyBorder="1" applyAlignment="1" applyProtection="1">
      <protection hidden="1"/>
    </xf>
    <xf numFmtId="178" fontId="8" fillId="2" borderId="4" xfId="0" applyNumberFormat="1" applyFont="1" applyFill="1" applyBorder="1" applyAlignment="1" applyProtection="1">
      <protection hidden="1"/>
    </xf>
    <xf numFmtId="167" fontId="8" fillId="2" borderId="54" xfId="0" applyNumberFormat="1" applyFont="1" applyFill="1" applyBorder="1" applyAlignment="1" applyProtection="1">
      <alignment horizontal="center" vertical="center"/>
      <protection hidden="1"/>
    </xf>
    <xf numFmtId="167" fontId="8" fillId="2" borderId="55" xfId="0" applyNumberFormat="1" applyFont="1" applyFill="1" applyBorder="1" applyAlignment="1" applyProtection="1">
      <alignment horizontal="center" vertical="center"/>
      <protection hidden="1"/>
    </xf>
    <xf numFmtId="167" fontId="8" fillId="2" borderId="56" xfId="0" applyNumberFormat="1" applyFont="1" applyFill="1" applyBorder="1" applyAlignment="1" applyProtection="1">
      <alignment horizontal="center" vertical="center"/>
      <protection hidden="1"/>
    </xf>
    <xf numFmtId="167" fontId="48" fillId="2" borderId="57" xfId="0" applyNumberFormat="1" applyFont="1" applyFill="1" applyBorder="1" applyAlignment="1" applyProtection="1">
      <alignment horizontal="center" vertical="center"/>
      <protection hidden="1"/>
    </xf>
    <xf numFmtId="167" fontId="48" fillId="2" borderId="58" xfId="0" applyNumberFormat="1" applyFont="1" applyFill="1" applyBorder="1" applyAlignment="1" applyProtection="1">
      <alignment horizontal="center" vertical="center"/>
      <protection hidden="1"/>
    </xf>
    <xf numFmtId="167" fontId="48" fillId="2" borderId="59" xfId="0" applyNumberFormat="1" applyFont="1" applyFill="1" applyBorder="1" applyAlignment="1" applyProtection="1">
      <alignment horizontal="center" vertical="center"/>
      <protection hidden="1"/>
    </xf>
    <xf numFmtId="167" fontId="48" fillId="2" borderId="48" xfId="0" applyNumberFormat="1" applyFont="1" applyFill="1" applyBorder="1" applyAlignment="1" applyProtection="1">
      <alignment horizontal="center" vertical="center"/>
      <protection hidden="1"/>
    </xf>
    <xf numFmtId="167" fontId="48" fillId="2" borderId="49" xfId="0" applyNumberFormat="1" applyFont="1" applyFill="1" applyBorder="1" applyAlignment="1" applyProtection="1">
      <alignment horizontal="center" vertical="center"/>
      <protection hidden="1"/>
    </xf>
    <xf numFmtId="167" fontId="48" fillId="2" borderId="53" xfId="0" applyNumberFormat="1" applyFont="1" applyFill="1" applyBorder="1" applyAlignment="1" applyProtection="1">
      <alignment horizontal="center" vertical="center"/>
      <protection hidden="1"/>
    </xf>
    <xf numFmtId="167" fontId="48" fillId="2" borderId="60" xfId="0" applyNumberFormat="1" applyFont="1" applyFill="1" applyBorder="1" applyAlignment="1" applyProtection="1">
      <alignment horizontal="center"/>
      <protection hidden="1"/>
    </xf>
    <xf numFmtId="167" fontId="48" fillId="2" borderId="61" xfId="0" applyNumberFormat="1" applyFont="1" applyFill="1" applyBorder="1" applyAlignment="1" applyProtection="1">
      <alignment horizontal="center"/>
      <protection hidden="1"/>
    </xf>
    <xf numFmtId="167" fontId="48" fillId="2" borderId="62" xfId="0" applyNumberFormat="1" applyFont="1" applyFill="1" applyBorder="1" applyAlignment="1" applyProtection="1">
      <alignment horizontal="center"/>
      <protection hidden="1"/>
    </xf>
    <xf numFmtId="167" fontId="8" fillId="2" borderId="63" xfId="0" applyNumberFormat="1" applyFont="1" applyFill="1" applyBorder="1" applyAlignment="1" applyProtection="1">
      <alignment horizontal="center"/>
      <protection hidden="1"/>
    </xf>
    <xf numFmtId="167" fontId="8" fillId="2" borderId="64" xfId="0" applyNumberFormat="1" applyFont="1" applyFill="1" applyBorder="1" applyAlignment="1" applyProtection="1">
      <alignment horizontal="center"/>
      <protection hidden="1"/>
    </xf>
    <xf numFmtId="167" fontId="8" fillId="2" borderId="65" xfId="0" applyNumberFormat="1" applyFont="1" applyFill="1" applyBorder="1" applyAlignment="1" applyProtection="1">
      <alignment horizontal="center"/>
      <protection hidden="1"/>
    </xf>
    <xf numFmtId="167" fontId="8" fillId="2" borderId="19" xfId="0" applyNumberFormat="1" applyFont="1" applyFill="1" applyBorder="1" applyAlignment="1" applyProtection="1">
      <alignment horizontal="center"/>
      <protection hidden="1"/>
    </xf>
    <xf numFmtId="167" fontId="8" fillId="2" borderId="20" xfId="0" applyNumberFormat="1" applyFont="1" applyFill="1" applyBorder="1" applyAlignment="1" applyProtection="1">
      <alignment horizontal="center"/>
      <protection hidden="1"/>
    </xf>
    <xf numFmtId="167" fontId="8" fillId="2" borderId="21" xfId="0" applyNumberFormat="1" applyFont="1" applyFill="1" applyBorder="1" applyAlignment="1" applyProtection="1">
      <alignment horizontal="center"/>
      <protection hidden="1"/>
    </xf>
    <xf numFmtId="167" fontId="48" fillId="2" borderId="21" xfId="0" applyNumberFormat="1" applyFont="1" applyFill="1" applyBorder="1" applyAlignment="1" applyProtection="1">
      <alignment horizontal="center"/>
      <protection hidden="1"/>
    </xf>
    <xf numFmtId="167" fontId="48" fillId="2" borderId="46" xfId="0" applyNumberFormat="1" applyFont="1" applyFill="1" applyBorder="1" applyAlignment="1" applyProtection="1">
      <alignment horizontal="center" vertical="center"/>
      <protection hidden="1"/>
    </xf>
    <xf numFmtId="167" fontId="48" fillId="2" borderId="47" xfId="0" applyNumberFormat="1" applyFont="1" applyFill="1" applyBorder="1" applyAlignment="1" applyProtection="1">
      <alignment horizontal="center" vertical="center"/>
      <protection hidden="1"/>
    </xf>
    <xf numFmtId="167" fontId="48" fillId="2" borderId="52" xfId="0" applyNumberFormat="1" applyFont="1" applyFill="1" applyBorder="1" applyAlignment="1" applyProtection="1">
      <alignment horizontal="center" vertical="center"/>
      <protection hidden="1"/>
    </xf>
    <xf numFmtId="170" fontId="18" fillId="2" borderId="54" xfId="0" applyNumberFormat="1" applyFont="1" applyFill="1" applyBorder="1" applyAlignment="1" applyProtection="1">
      <alignment horizontal="center" vertical="center"/>
      <protection hidden="1"/>
    </xf>
    <xf numFmtId="170" fontId="18" fillId="2" borderId="55" xfId="0" applyNumberFormat="1" applyFont="1" applyFill="1" applyBorder="1" applyAlignment="1" applyProtection="1">
      <alignment horizontal="center" vertical="center"/>
      <protection hidden="1"/>
    </xf>
    <xf numFmtId="170" fontId="18" fillId="2" borderId="56" xfId="0" applyNumberFormat="1" applyFont="1" applyFill="1" applyBorder="1" applyAlignment="1" applyProtection="1">
      <alignment horizontal="center" vertical="center"/>
      <protection hidden="1"/>
    </xf>
    <xf numFmtId="3" fontId="18" fillId="2" borderId="57" xfId="0" applyNumberFormat="1" applyFont="1" applyFill="1" applyBorder="1" applyAlignment="1" applyProtection="1">
      <alignment horizontal="center" vertical="center"/>
      <protection hidden="1"/>
    </xf>
    <xf numFmtId="3" fontId="18" fillId="2" borderId="58" xfId="0" applyNumberFormat="1" applyFont="1" applyFill="1" applyBorder="1" applyAlignment="1" applyProtection="1">
      <alignment horizontal="center" vertical="center"/>
      <protection hidden="1"/>
    </xf>
    <xf numFmtId="3" fontId="18" fillId="2" borderId="59" xfId="0" applyNumberFormat="1" applyFont="1" applyFill="1" applyBorder="1" applyAlignment="1" applyProtection="1">
      <alignment horizontal="center" vertical="center"/>
      <protection hidden="1"/>
    </xf>
    <xf numFmtId="0" fontId="69" fillId="2" borderId="0" xfId="0" applyNumberFormat="1" applyFont="1" applyFill="1" applyBorder="1" applyAlignment="1" applyProtection="1">
      <alignment horizontal="center" vertical="center"/>
      <protection hidden="1"/>
    </xf>
    <xf numFmtId="0" fontId="68" fillId="2" borderId="0" xfId="0" applyNumberFormat="1" applyFont="1" applyFill="1" applyBorder="1" applyAlignment="1" applyProtection="1">
      <alignment horizontal="center" vertical="center"/>
      <protection hidden="1"/>
    </xf>
    <xf numFmtId="0" fontId="59" fillId="2" borderId="7" xfId="0" applyNumberFormat="1" applyFont="1" applyFill="1" applyBorder="1" applyAlignment="1" applyProtection="1">
      <alignment horizontal="center" vertical="center"/>
      <protection hidden="1"/>
    </xf>
    <xf numFmtId="0" fontId="65" fillId="2" borderId="0" xfId="0" applyNumberFormat="1" applyFont="1" applyFill="1" applyBorder="1" applyAlignment="1" applyProtection="1">
      <alignment horizontal="center" vertical="top"/>
      <protection hidden="1"/>
    </xf>
    <xf numFmtId="0" fontId="43" fillId="2" borderId="0" xfId="0" applyNumberFormat="1" applyFont="1" applyFill="1" applyBorder="1" applyAlignment="1" applyProtection="1">
      <alignment horizontal="left" vertical="center" indent="1"/>
      <protection hidden="1"/>
    </xf>
    <xf numFmtId="0" fontId="65" fillId="2" borderId="0" xfId="0" applyFont="1" applyFill="1" applyBorder="1" applyAlignment="1" applyProtection="1">
      <alignment horizontal="center"/>
      <protection hidden="1"/>
    </xf>
    <xf numFmtId="0" fontId="68" fillId="2" borderId="0" xfId="0" applyFont="1" applyFill="1" applyAlignment="1" applyProtection="1">
      <protection hidden="1"/>
    </xf>
    <xf numFmtId="0" fontId="68" fillId="2" borderId="7" xfId="0" applyNumberFormat="1" applyFont="1" applyFill="1" applyBorder="1" applyAlignment="1" applyProtection="1">
      <alignment horizontal="right" vertical="center" indent="1"/>
      <protection hidden="1"/>
    </xf>
    <xf numFmtId="0" fontId="68" fillId="2" borderId="7" xfId="0" applyNumberFormat="1" applyFont="1" applyFill="1" applyBorder="1" applyAlignment="1" applyProtection="1">
      <alignment horizontal="left" vertical="center" indent="1"/>
      <protection hidden="1"/>
    </xf>
    <xf numFmtId="168" fontId="18" fillId="3" borderId="52" xfId="0" applyNumberFormat="1" applyFont="1" applyFill="1" applyBorder="1" applyAlignment="1" applyProtection="1">
      <alignment horizontal="right" vertical="center"/>
      <protection hidden="1"/>
    </xf>
    <xf numFmtId="168" fontId="18" fillId="3" borderId="35" xfId="0" applyNumberFormat="1" applyFont="1" applyFill="1" applyBorder="1" applyAlignment="1" applyProtection="1">
      <alignment horizontal="right" vertical="center"/>
      <protection hidden="1"/>
    </xf>
    <xf numFmtId="168" fontId="18" fillId="2" borderId="35" xfId="0" applyNumberFormat="1" applyFont="1" applyFill="1" applyBorder="1" applyAlignment="1" applyProtection="1">
      <alignment horizontal="right" vertical="center"/>
      <protection hidden="1"/>
    </xf>
    <xf numFmtId="168" fontId="18" fillId="3" borderId="53" xfId="0" applyNumberFormat="1" applyFont="1" applyFill="1" applyBorder="1" applyAlignment="1" applyProtection="1">
      <alignment horizontal="right" vertical="center"/>
      <protection hidden="1"/>
    </xf>
    <xf numFmtId="166" fontId="18" fillId="2" borderId="2" xfId="0" applyNumberFormat="1" applyFont="1" applyFill="1" applyBorder="1" applyAlignment="1" applyProtection="1">
      <alignment vertical="center"/>
      <protection hidden="1"/>
    </xf>
    <xf numFmtId="166" fontId="18" fillId="2" borderId="36" xfId="0" applyNumberFormat="1" applyFont="1" applyFill="1" applyBorder="1" applyAlignment="1" applyProtection="1">
      <alignment vertical="center"/>
      <protection hidden="1"/>
    </xf>
    <xf numFmtId="166" fontId="18" fillId="2" borderId="61" xfId="0" applyNumberFormat="1" applyFont="1" applyFill="1" applyBorder="1" applyAlignment="1" applyProtection="1">
      <alignment vertical="center"/>
      <protection hidden="1"/>
    </xf>
    <xf numFmtId="0" fontId="82" fillId="2" borderId="7" xfId="0" applyNumberFormat="1" applyFont="1" applyFill="1" applyBorder="1" applyAlignment="1" applyProtection="1">
      <alignment horizontal="right" vertical="center" indent="1"/>
      <protection hidden="1"/>
    </xf>
    <xf numFmtId="0" fontId="58" fillId="2" borderId="7" xfId="0" applyFont="1" applyFill="1" applyBorder="1" applyAlignment="1" applyProtection="1">
      <alignment horizontal="center" vertical="center"/>
      <protection hidden="1"/>
    </xf>
    <xf numFmtId="0" fontId="82" fillId="2" borderId="7" xfId="0" applyNumberFormat="1" applyFont="1" applyFill="1" applyBorder="1" applyAlignment="1" applyProtection="1">
      <alignment horizontal="left" vertical="center" indent="1"/>
      <protection hidden="1"/>
    </xf>
    <xf numFmtId="14" fontId="8" fillId="2" borderId="0" xfId="0" applyNumberFormat="1" applyFont="1" applyFill="1" applyBorder="1" applyAlignment="1" applyProtection="1">
      <alignment horizontal="left"/>
      <protection hidden="1"/>
    </xf>
    <xf numFmtId="0" fontId="58" fillId="2" borderId="0" xfId="0" applyFont="1" applyFill="1" applyBorder="1" applyAlignment="1" applyProtection="1">
      <alignment horizontal="center" vertical="center"/>
      <protection hidden="1"/>
    </xf>
    <xf numFmtId="0" fontId="48" fillId="2" borderId="0" xfId="0" applyFont="1" applyFill="1" applyAlignment="1" applyProtection="1">
      <alignment horizontal="center" vertical="center"/>
      <protection hidden="1"/>
    </xf>
    <xf numFmtId="166" fontId="18" fillId="2" borderId="62" xfId="0" applyNumberFormat="1" applyFont="1" applyFill="1" applyBorder="1" applyAlignment="1" applyProtection="1">
      <alignment vertical="center"/>
      <protection hidden="1"/>
    </xf>
    <xf numFmtId="168" fontId="18" fillId="2" borderId="59" xfId="0" applyNumberFormat="1" applyFont="1" applyFill="1" applyBorder="1" applyAlignment="1" applyProtection="1">
      <alignment horizontal="right" vertical="center"/>
      <protection hidden="1"/>
    </xf>
    <xf numFmtId="0" fontId="8" fillId="2" borderId="0" xfId="0" applyNumberFormat="1" applyFont="1" applyFill="1" applyBorder="1" applyAlignment="1" applyProtection="1">
      <alignment horizontal="center" vertical="center"/>
      <protection hidden="1"/>
    </xf>
    <xf numFmtId="0" fontId="48" fillId="2" borderId="15" xfId="0" applyFont="1" applyFill="1" applyBorder="1" applyAlignment="1" applyProtection="1">
      <alignment horizontal="center" vertical="center"/>
      <protection hidden="1"/>
    </xf>
    <xf numFmtId="168" fontId="48" fillId="5" borderId="0" xfId="0" applyNumberFormat="1" applyFont="1" applyFill="1" applyBorder="1" applyAlignment="1" applyProtection="1">
      <alignment vertical="center"/>
      <protection hidden="1"/>
    </xf>
    <xf numFmtId="168" fontId="48" fillId="5" borderId="7" xfId="0" applyNumberFormat="1" applyFont="1" applyFill="1" applyBorder="1" applyAlignment="1" applyProtection="1">
      <alignment horizontal="center" vertical="center"/>
      <protection hidden="1"/>
    </xf>
    <xf numFmtId="0" fontId="103" fillId="3" borderId="27" xfId="0" applyFont="1" applyFill="1" applyBorder="1" applyAlignment="1" applyProtection="1">
      <alignment horizontal="center" vertical="center"/>
      <protection locked="0"/>
    </xf>
    <xf numFmtId="14" fontId="82" fillId="3" borderId="27" xfId="0" applyNumberFormat="1" applyFont="1" applyFill="1" applyBorder="1" applyAlignment="1" applyProtection="1">
      <alignment horizontal="center" vertical="center"/>
      <protection locked="0"/>
    </xf>
    <xf numFmtId="14" fontId="36" fillId="4" borderId="66" xfId="2" applyNumberFormat="1" applyFont="1" applyFill="1" applyBorder="1" applyAlignment="1" applyProtection="1">
      <alignment horizontal="center" vertical="center"/>
      <protection hidden="1"/>
    </xf>
    <xf numFmtId="0" fontId="50" fillId="2" borderId="6" xfId="2" applyNumberFormat="1" applyFont="1" applyFill="1" applyBorder="1" applyAlignment="1" applyProtection="1">
      <alignment horizontal="left" vertical="center" indent="1"/>
      <protection hidden="1"/>
    </xf>
    <xf numFmtId="0" fontId="17" fillId="2" borderId="6" xfId="0" applyNumberFormat="1" applyFont="1" applyFill="1" applyBorder="1" applyAlignment="1" applyProtection="1">
      <alignment horizontal="center" vertical="center"/>
      <protection hidden="1"/>
    </xf>
    <xf numFmtId="0" fontId="17" fillId="2" borderId="6" xfId="0" applyFont="1" applyFill="1" applyBorder="1" applyAlignment="1" applyProtection="1">
      <alignment horizontal="left" vertical="center" indent="1"/>
      <protection hidden="1"/>
    </xf>
    <xf numFmtId="166" fontId="18" fillId="2" borderId="1" xfId="0" applyNumberFormat="1" applyFont="1" applyFill="1" applyBorder="1" applyAlignment="1" applyProtection="1">
      <alignment vertical="center"/>
      <protection hidden="1"/>
    </xf>
    <xf numFmtId="166" fontId="83" fillId="2" borderId="0" xfId="0" applyNumberFormat="1" applyFont="1" applyFill="1" applyBorder="1" applyAlignment="1" applyProtection="1">
      <alignment horizontal="left" vertical="top"/>
      <protection hidden="1"/>
    </xf>
    <xf numFmtId="168" fontId="18" fillId="2" borderId="0" xfId="0" applyNumberFormat="1" applyFont="1" applyFill="1" applyBorder="1" applyAlignment="1" applyProtection="1">
      <alignment horizontal="right" vertical="center"/>
      <protection hidden="1"/>
    </xf>
    <xf numFmtId="168" fontId="62" fillId="2" borderId="34" xfId="2" applyNumberFormat="1" applyFont="1" applyFill="1" applyBorder="1" applyAlignment="1" applyProtection="1">
      <alignment vertical="center"/>
      <protection hidden="1"/>
    </xf>
    <xf numFmtId="168" fontId="62" fillId="2" borderId="6" xfId="2" applyNumberFormat="1" applyFont="1" applyFill="1" applyBorder="1" applyAlignment="1" applyProtection="1">
      <alignment vertical="center"/>
      <protection hidden="1"/>
    </xf>
    <xf numFmtId="168" fontId="62" fillId="2" borderId="16" xfId="2" applyNumberFormat="1" applyFont="1" applyFill="1" applyBorder="1" applyAlignment="1" applyProtection="1">
      <alignment vertical="center"/>
      <protection hidden="1"/>
    </xf>
    <xf numFmtId="168" fontId="62" fillId="2" borderId="35" xfId="2" applyNumberFormat="1" applyFont="1" applyFill="1" applyBorder="1" applyAlignment="1" applyProtection="1">
      <alignment vertical="center"/>
      <protection hidden="1"/>
    </xf>
    <xf numFmtId="168" fontId="62" fillId="2" borderId="17" xfId="2" applyNumberFormat="1" applyFont="1" applyFill="1" applyBorder="1" applyAlignment="1" applyProtection="1">
      <alignment vertical="center"/>
      <protection hidden="1"/>
    </xf>
    <xf numFmtId="168" fontId="62" fillId="2" borderId="57" xfId="2" applyNumberFormat="1" applyFont="1" applyFill="1" applyBorder="1" applyAlignment="1" applyProtection="1">
      <alignment vertical="center"/>
      <protection hidden="1"/>
    </xf>
    <xf numFmtId="168" fontId="62" fillId="2" borderId="58" xfId="2" applyNumberFormat="1" applyFont="1" applyFill="1" applyBorder="1" applyAlignment="1" applyProtection="1">
      <alignment vertical="center"/>
      <protection hidden="1"/>
    </xf>
    <xf numFmtId="168" fontId="62" fillId="2" borderId="67" xfId="2" applyNumberFormat="1" applyFont="1" applyFill="1" applyBorder="1" applyAlignment="1" applyProtection="1">
      <alignment vertical="center"/>
      <protection hidden="1"/>
    </xf>
    <xf numFmtId="168" fontId="62" fillId="2" borderId="59" xfId="2" applyNumberFormat="1" applyFont="1" applyFill="1" applyBorder="1" applyAlignment="1" applyProtection="1">
      <alignment vertical="center"/>
      <protection hidden="1"/>
    </xf>
    <xf numFmtId="168" fontId="62" fillId="2" borderId="68" xfId="2" applyNumberFormat="1" applyFont="1" applyFill="1" applyBorder="1" applyAlignment="1" applyProtection="1">
      <alignment vertical="center"/>
      <protection hidden="1"/>
    </xf>
    <xf numFmtId="168" fontId="62" fillId="2" borderId="69" xfId="2" applyNumberFormat="1" applyFont="1" applyFill="1" applyBorder="1" applyAlignment="1" applyProtection="1">
      <alignment vertical="center"/>
      <protection hidden="1"/>
    </xf>
    <xf numFmtId="168" fontId="62" fillId="2" borderId="33" xfId="2" applyNumberFormat="1" applyFont="1" applyFill="1" applyBorder="1" applyAlignment="1" applyProtection="1">
      <alignment vertical="center"/>
      <protection hidden="1"/>
    </xf>
    <xf numFmtId="168" fontId="62" fillId="2" borderId="29" xfId="2" applyNumberFormat="1" applyFont="1" applyFill="1" applyBorder="1" applyAlignment="1" applyProtection="1">
      <alignment vertical="center"/>
      <protection hidden="1"/>
    </xf>
    <xf numFmtId="168" fontId="62" fillId="2" borderId="70" xfId="2" applyNumberFormat="1" applyFont="1" applyFill="1" applyBorder="1" applyAlignment="1" applyProtection="1">
      <alignment vertical="center"/>
      <protection hidden="1"/>
    </xf>
    <xf numFmtId="166" fontId="18" fillId="2" borderId="0" xfId="0" applyNumberFormat="1" applyFont="1" applyFill="1" applyBorder="1" applyAlignment="1" applyProtection="1">
      <alignment horizontal="left" vertical="center"/>
      <protection hidden="1"/>
    </xf>
    <xf numFmtId="166" fontId="18" fillId="2" borderId="4" xfId="0" applyNumberFormat="1" applyFont="1" applyFill="1" applyBorder="1" applyAlignment="1" applyProtection="1">
      <alignment vertical="center"/>
      <protection hidden="1"/>
    </xf>
    <xf numFmtId="0" fontId="50" fillId="3" borderId="6" xfId="2" applyNumberFormat="1" applyFont="1" applyFill="1" applyBorder="1" applyAlignment="1" applyProtection="1">
      <alignment horizontal="right" vertical="center" indent="1"/>
      <protection hidden="1"/>
    </xf>
    <xf numFmtId="168" fontId="28" fillId="2" borderId="27" xfId="2" applyNumberFormat="1" applyFont="1" applyFill="1" applyBorder="1" applyAlignment="1" applyProtection="1">
      <alignment horizontal="right" vertical="center"/>
      <protection hidden="1"/>
    </xf>
    <xf numFmtId="0" fontId="16" fillId="2" borderId="6" xfId="0" applyFont="1" applyFill="1" applyBorder="1" applyAlignment="1" applyProtection="1">
      <alignment horizontal="center" vertical="center"/>
      <protection hidden="1"/>
    </xf>
    <xf numFmtId="0" fontId="16" fillId="2" borderId="0" xfId="0" applyFont="1" applyFill="1" applyAlignment="1" applyProtection="1">
      <alignment horizontal="left" vertical="center" indent="1"/>
      <protection hidden="1"/>
    </xf>
    <xf numFmtId="0" fontId="50" fillId="2" borderId="0" xfId="2" applyFont="1" applyFill="1" applyAlignment="1" applyProtection="1">
      <alignment horizontal="center" vertical="top"/>
      <protection hidden="1"/>
    </xf>
    <xf numFmtId="166" fontId="18" fillId="2" borderId="0" xfId="0" applyNumberFormat="1" applyFont="1" applyFill="1" applyBorder="1" applyAlignment="1" applyProtection="1">
      <alignment vertical="center"/>
      <protection hidden="1"/>
    </xf>
    <xf numFmtId="0" fontId="69" fillId="2" borderId="0" xfId="0" applyFont="1" applyFill="1" applyBorder="1" applyAlignment="1" applyProtection="1">
      <alignment vertical="center"/>
      <protection hidden="1"/>
    </xf>
    <xf numFmtId="166" fontId="17" fillId="2" borderId="0" xfId="0" applyNumberFormat="1" applyFont="1" applyFill="1" applyBorder="1" applyAlignment="1" applyProtection="1">
      <alignment horizontal="center" vertical="top"/>
      <protection hidden="1"/>
    </xf>
    <xf numFmtId="0" fontId="36" fillId="2" borderId="41" xfId="2" applyFont="1" applyFill="1" applyBorder="1" applyAlignment="1" applyProtection="1">
      <alignment horizontal="center"/>
      <protection hidden="1"/>
    </xf>
    <xf numFmtId="168" fontId="62" fillId="2" borderId="0" xfId="2" applyNumberFormat="1" applyFont="1" applyFill="1" applyBorder="1" applyAlignment="1" applyProtection="1">
      <alignment vertical="center"/>
      <protection hidden="1"/>
    </xf>
    <xf numFmtId="168" fontId="18" fillId="2" borderId="56" xfId="0" applyNumberFormat="1" applyFont="1" applyFill="1" applyBorder="1" applyAlignment="1" applyProtection="1">
      <alignment horizontal="right" vertical="center"/>
      <protection hidden="1"/>
    </xf>
    <xf numFmtId="168" fontId="62" fillId="2" borderId="54" xfId="2" applyNumberFormat="1" applyFont="1" applyFill="1" applyBorder="1" applyAlignment="1" applyProtection="1">
      <alignment vertical="center"/>
      <protection hidden="1"/>
    </xf>
    <xf numFmtId="168" fontId="62" fillId="2" borderId="55" xfId="2" applyNumberFormat="1" applyFont="1" applyFill="1" applyBorder="1" applyAlignment="1" applyProtection="1">
      <alignment vertical="center"/>
      <protection hidden="1"/>
    </xf>
    <xf numFmtId="168" fontId="62" fillId="2" borderId="56" xfId="2" applyNumberFormat="1" applyFont="1" applyFill="1" applyBorder="1" applyAlignment="1" applyProtection="1">
      <alignment vertical="center"/>
      <protection hidden="1"/>
    </xf>
    <xf numFmtId="166" fontId="17" fillId="2" borderId="0" xfId="0" applyNumberFormat="1" applyFont="1" applyFill="1" applyBorder="1" applyAlignment="1" applyProtection="1">
      <alignment horizontal="left" vertical="top"/>
      <protection hidden="1"/>
    </xf>
    <xf numFmtId="0" fontId="0" fillId="2" borderId="7" xfId="0" applyFill="1" applyBorder="1" applyProtection="1">
      <protection hidden="1"/>
    </xf>
    <xf numFmtId="0" fontId="35" fillId="2" borderId="7" xfId="0" applyFont="1" applyFill="1" applyBorder="1" applyAlignment="1" applyProtection="1">
      <alignment horizontal="center" vertical="center"/>
      <protection hidden="1"/>
    </xf>
    <xf numFmtId="0" fontId="36" fillId="2" borderId="0" xfId="2" applyFont="1" applyFill="1" applyAlignment="1" applyProtection="1">
      <alignment vertical="top"/>
      <protection hidden="1"/>
    </xf>
    <xf numFmtId="168" fontId="64" fillId="2" borderId="71" xfId="2" applyNumberFormat="1" applyFont="1" applyFill="1" applyBorder="1" applyAlignment="1" applyProtection="1">
      <alignment horizontal="center" vertical="center"/>
      <protection hidden="1"/>
    </xf>
    <xf numFmtId="0" fontId="36" fillId="2" borderId="0" xfId="2" applyFont="1" applyFill="1" applyBorder="1" applyAlignment="1" applyProtection="1">
      <alignment vertical="top"/>
      <protection hidden="1"/>
    </xf>
    <xf numFmtId="0" fontId="19" fillId="0" borderId="0" xfId="0" applyFont="1" applyFill="1" applyProtection="1">
      <protection hidden="1"/>
    </xf>
    <xf numFmtId="0" fontId="19" fillId="0" borderId="0" xfId="0" applyFont="1" applyFill="1" applyAlignment="1" applyProtection="1">
      <alignment horizontal="center" vertical="center"/>
      <protection hidden="1"/>
    </xf>
    <xf numFmtId="168" fontId="83" fillId="2" borderId="0" xfId="0" applyNumberFormat="1" applyFont="1" applyFill="1" applyBorder="1" applyAlignment="1" applyProtection="1">
      <alignment horizontal="right" vertical="center" indent="1"/>
      <protection hidden="1"/>
    </xf>
    <xf numFmtId="0" fontId="3" fillId="2" borderId="0" xfId="2" applyFill="1" applyBorder="1" applyAlignment="1" applyProtection="1">
      <protection hidden="1"/>
    </xf>
    <xf numFmtId="0" fontId="18" fillId="2" borderId="7" xfId="2" applyFont="1" applyFill="1" applyBorder="1" applyAlignment="1" applyProtection="1">
      <alignment horizontal="right" vertical="center" indent="1"/>
      <protection hidden="1"/>
    </xf>
    <xf numFmtId="0" fontId="72" fillId="2" borderId="0" xfId="0" applyFont="1" applyFill="1" applyAlignment="1" applyProtection="1">
      <alignment vertical="top"/>
      <protection hidden="1"/>
    </xf>
    <xf numFmtId="0" fontId="0" fillId="2" borderId="0" xfId="0" applyFill="1" applyProtection="1">
      <protection locked="0"/>
    </xf>
    <xf numFmtId="0" fontId="18" fillId="2" borderId="42" xfId="2" applyFont="1" applyFill="1" applyBorder="1" applyAlignment="1" applyProtection="1">
      <alignment horizontal="center" vertical="center"/>
      <protection hidden="1"/>
    </xf>
    <xf numFmtId="0" fontId="18" fillId="2" borderId="44" xfId="2" applyFont="1" applyFill="1" applyBorder="1" applyAlignment="1" applyProtection="1">
      <alignment horizontal="center" vertical="center"/>
      <protection hidden="1"/>
    </xf>
    <xf numFmtId="181" fontId="8" fillId="2" borderId="0" xfId="0" applyNumberFormat="1" applyFont="1" applyFill="1" applyBorder="1" applyAlignment="1" applyProtection="1">
      <alignment horizontal="right" vertical="center"/>
      <protection hidden="1"/>
    </xf>
    <xf numFmtId="0" fontId="8" fillId="2" borderId="0" xfId="0" applyFont="1" applyFill="1" applyBorder="1" applyAlignment="1" applyProtection="1">
      <alignment horizontal="right"/>
      <protection hidden="1"/>
    </xf>
    <xf numFmtId="178" fontId="8" fillId="2" borderId="0" xfId="0" applyNumberFormat="1" applyFont="1" applyFill="1" applyBorder="1" applyAlignment="1" applyProtection="1">
      <protection hidden="1"/>
    </xf>
    <xf numFmtId="166" fontId="70" fillId="2" borderId="0" xfId="0" applyNumberFormat="1" applyFont="1" applyFill="1" applyBorder="1" applyAlignment="1" applyProtection="1">
      <protection hidden="1"/>
    </xf>
    <xf numFmtId="166" fontId="17" fillId="2" borderId="4" xfId="0" applyNumberFormat="1" applyFont="1" applyFill="1" applyBorder="1" applyAlignment="1" applyProtection="1">
      <alignment horizontal="right" vertical="top"/>
      <protection hidden="1"/>
    </xf>
    <xf numFmtId="168" fontId="11" fillId="2" borderId="4" xfId="0" applyNumberFormat="1" applyFont="1" applyFill="1" applyBorder="1" applyAlignment="1" applyProtection="1">
      <alignment horizontal="right" vertical="center"/>
      <protection hidden="1"/>
    </xf>
    <xf numFmtId="168" fontId="31" fillId="2" borderId="4" xfId="0" applyNumberFormat="1" applyFont="1" applyFill="1" applyBorder="1" applyAlignment="1" applyProtection="1">
      <alignment horizontal="right" vertical="center"/>
      <protection hidden="1"/>
    </xf>
    <xf numFmtId="168" fontId="43" fillId="2" borderId="4" xfId="0" applyNumberFormat="1" applyFont="1" applyFill="1" applyBorder="1" applyAlignment="1" applyProtection="1">
      <alignment horizontal="right" vertical="center"/>
      <protection hidden="1"/>
    </xf>
    <xf numFmtId="0" fontId="22" fillId="2" borderId="0" xfId="2" applyFont="1" applyFill="1" applyBorder="1" applyAlignment="1" applyProtection="1">
      <alignment horizontal="left"/>
      <protection hidden="1"/>
    </xf>
    <xf numFmtId="168" fontId="59" fillId="2" borderId="0" xfId="0" applyNumberFormat="1" applyFont="1" applyFill="1" applyBorder="1" applyAlignment="1" applyProtection="1">
      <alignment vertical="center"/>
      <protection hidden="1"/>
    </xf>
    <xf numFmtId="180" fontId="59" fillId="2" borderId="0" xfId="0" applyNumberFormat="1" applyFont="1" applyFill="1" applyBorder="1" applyAlignment="1" applyProtection="1">
      <alignment vertical="center"/>
      <protection hidden="1"/>
    </xf>
    <xf numFmtId="0" fontId="49" fillId="2" borderId="42" xfId="2" applyFont="1" applyFill="1" applyBorder="1" applyAlignment="1" applyProtection="1">
      <alignment horizontal="center" vertical="center"/>
      <protection hidden="1"/>
    </xf>
    <xf numFmtId="0" fontId="49" fillId="2" borderId="44" xfId="2" applyFont="1" applyFill="1" applyBorder="1" applyAlignment="1" applyProtection="1">
      <alignment horizontal="center" vertical="center"/>
      <protection hidden="1"/>
    </xf>
    <xf numFmtId="0" fontId="49" fillId="2" borderId="0" xfId="2" applyFont="1" applyFill="1" applyAlignment="1" applyProtection="1">
      <alignment horizontal="left" vertical="center" indent="1"/>
      <protection hidden="1"/>
    </xf>
    <xf numFmtId="0" fontId="49" fillId="2" borderId="19" xfId="2" applyFont="1" applyFill="1" applyBorder="1" applyAlignment="1" applyProtection="1">
      <alignment horizontal="center" vertical="center"/>
      <protection hidden="1"/>
    </xf>
    <xf numFmtId="0" fontId="49" fillId="2" borderId="21" xfId="2" applyFont="1" applyFill="1" applyBorder="1" applyAlignment="1" applyProtection="1">
      <alignment horizontal="center" vertical="center"/>
      <protection hidden="1"/>
    </xf>
    <xf numFmtId="0" fontId="66" fillId="2" borderId="0" xfId="2" applyFont="1" applyFill="1" applyBorder="1" applyAlignment="1" applyProtection="1">
      <alignment horizontal="center" vertical="center"/>
      <protection hidden="1"/>
    </xf>
    <xf numFmtId="14" fontId="35" fillId="2" borderId="0" xfId="2" applyNumberFormat="1" applyFont="1" applyFill="1" applyBorder="1" applyAlignment="1" applyProtection="1">
      <alignment horizontal="center" vertical="center"/>
      <protection hidden="1"/>
    </xf>
    <xf numFmtId="0" fontId="10" fillId="2" borderId="0" xfId="0" applyNumberFormat="1" applyFont="1" applyFill="1" applyBorder="1" applyAlignment="1" applyProtection="1">
      <alignment horizontal="right" vertical="center"/>
      <protection hidden="1"/>
    </xf>
    <xf numFmtId="0" fontId="50" fillId="2" borderId="0" xfId="2" applyFont="1" applyFill="1" applyProtection="1">
      <protection hidden="1"/>
    </xf>
    <xf numFmtId="0" fontId="109" fillId="2" borderId="0" xfId="0" applyFont="1" applyFill="1" applyAlignment="1" applyProtection="1">
      <alignment horizontal="left" vertical="center"/>
      <protection hidden="1"/>
    </xf>
    <xf numFmtId="0" fontId="50" fillId="2" borderId="0" xfId="2" applyFont="1" applyFill="1" applyAlignment="1" applyProtection="1">
      <alignment horizontal="left" vertical="center"/>
      <protection hidden="1"/>
    </xf>
    <xf numFmtId="168" fontId="18" fillId="2" borderId="19" xfId="0" applyNumberFormat="1" applyFont="1" applyFill="1" applyBorder="1" applyAlignment="1" applyProtection="1">
      <alignment horizontal="right" vertical="center"/>
      <protection hidden="1"/>
    </xf>
    <xf numFmtId="168" fontId="18" fillId="3" borderId="56" xfId="0" applyNumberFormat="1" applyFont="1" applyFill="1" applyBorder="1" applyAlignment="1" applyProtection="1">
      <alignment horizontal="right" vertical="center"/>
      <protection hidden="1"/>
    </xf>
    <xf numFmtId="0" fontId="0" fillId="2" borderId="0" xfId="0" applyFill="1" applyBorder="1" applyAlignment="1" applyProtection="1">
      <protection hidden="1"/>
    </xf>
    <xf numFmtId="0" fontId="69" fillId="2" borderId="0" xfId="0" applyFont="1" applyFill="1" applyBorder="1" applyAlignment="1" applyProtection="1">
      <alignment horizontal="center" vertical="top"/>
      <protection hidden="1"/>
    </xf>
    <xf numFmtId="0" fontId="101" fillId="2" borderId="0" xfId="0" applyFont="1" applyFill="1" applyBorder="1" applyAlignment="1" applyProtection="1">
      <alignment vertical="top"/>
      <protection hidden="1"/>
    </xf>
    <xf numFmtId="14" fontId="59" fillId="2" borderId="0" xfId="0" applyNumberFormat="1" applyFont="1" applyFill="1" applyBorder="1" applyAlignment="1" applyProtection="1">
      <alignment horizontal="center" vertical="center"/>
      <protection hidden="1"/>
    </xf>
    <xf numFmtId="0" fontId="110" fillId="2" borderId="0" xfId="0" applyFont="1" applyFill="1" applyAlignment="1" applyProtection="1">
      <alignment horizontal="center" vertical="center"/>
      <protection hidden="1"/>
    </xf>
    <xf numFmtId="0" fontId="10" fillId="2" borderId="0" xfId="0" applyFont="1" applyFill="1" applyAlignment="1" applyProtection="1">
      <alignment horizontal="center" vertical="center"/>
      <protection hidden="1"/>
    </xf>
    <xf numFmtId="14" fontId="61" fillId="2" borderId="6" xfId="2" applyNumberFormat="1" applyFont="1" applyFill="1" applyBorder="1" applyAlignment="1" applyProtection="1">
      <alignment horizontal="center" vertical="center"/>
      <protection hidden="1"/>
    </xf>
    <xf numFmtId="0" fontId="8" fillId="2" borderId="0" xfId="0" applyFont="1" applyFill="1" applyAlignment="1" applyProtection="1">
      <alignment horizontal="left" vertical="top"/>
      <protection hidden="1"/>
    </xf>
    <xf numFmtId="0" fontId="33" fillId="2" borderId="0" xfId="0" applyFont="1" applyFill="1" applyAlignment="1" applyProtection="1">
      <alignment vertical="center"/>
      <protection hidden="1"/>
    </xf>
    <xf numFmtId="167" fontId="87" fillId="2" borderId="0" xfId="0" applyNumberFormat="1" applyFont="1" applyFill="1" applyAlignment="1" applyProtection="1">
      <alignment horizontal="center" vertical="center"/>
      <protection hidden="1"/>
    </xf>
    <xf numFmtId="0" fontId="87" fillId="2" borderId="0" xfId="0" applyNumberFormat="1" applyFont="1" applyFill="1" applyAlignment="1" applyProtection="1">
      <alignment horizontal="center" vertical="center"/>
      <protection hidden="1"/>
    </xf>
    <xf numFmtId="0" fontId="105" fillId="2" borderId="0" xfId="0" applyNumberFormat="1" applyFont="1" applyFill="1" applyAlignment="1" applyProtection="1">
      <alignment horizontal="left" vertical="top"/>
      <protection hidden="1"/>
    </xf>
    <xf numFmtId="0" fontId="93" fillId="2" borderId="0" xfId="0" applyFont="1" applyFill="1" applyAlignment="1" applyProtection="1">
      <alignment vertical="center"/>
      <protection hidden="1"/>
    </xf>
    <xf numFmtId="0" fontId="111" fillId="2" borderId="0" xfId="0" applyNumberFormat="1" applyFont="1" applyFill="1" applyAlignment="1" applyProtection="1">
      <alignment horizontal="right" vertical="center" indent="2"/>
      <protection hidden="1"/>
    </xf>
    <xf numFmtId="0" fontId="18" fillId="2" borderId="54" xfId="0" applyFont="1" applyFill="1" applyBorder="1" applyAlignment="1" applyProtection="1">
      <alignment horizontal="center" vertical="center"/>
      <protection locked="0"/>
    </xf>
    <xf numFmtId="0" fontId="19" fillId="2" borderId="55" xfId="0" applyFont="1" applyFill="1" applyBorder="1" applyAlignment="1" applyProtection="1">
      <alignment horizontal="center" vertical="center"/>
      <protection locked="0"/>
    </xf>
    <xf numFmtId="0" fontId="19" fillId="2" borderId="56" xfId="0" applyFont="1" applyFill="1" applyBorder="1" applyAlignment="1" applyProtection="1">
      <alignment horizontal="center" vertical="center"/>
      <protection locked="0"/>
    </xf>
    <xf numFmtId="0" fontId="18" fillId="2" borderId="34" xfId="0" applyFont="1" applyFill="1" applyBorder="1" applyAlignment="1" applyProtection="1">
      <alignment horizontal="center" vertical="center"/>
      <protection locked="0"/>
    </xf>
    <xf numFmtId="0" fontId="19" fillId="2" borderId="6" xfId="0" applyFont="1" applyFill="1" applyBorder="1" applyAlignment="1" applyProtection="1">
      <alignment horizontal="center" vertical="center"/>
      <protection locked="0"/>
    </xf>
    <xf numFmtId="0" fontId="19" fillId="2" borderId="35" xfId="0" applyFont="1" applyFill="1" applyBorder="1" applyAlignment="1" applyProtection="1">
      <alignment horizontal="center" vertical="center"/>
      <protection locked="0"/>
    </xf>
    <xf numFmtId="0" fontId="18" fillId="2" borderId="57" xfId="0" applyFont="1" applyFill="1" applyBorder="1" applyAlignment="1" applyProtection="1">
      <alignment horizontal="center" vertical="center"/>
      <protection locked="0"/>
    </xf>
    <xf numFmtId="0" fontId="19" fillId="2" borderId="58" xfId="0" applyFont="1" applyFill="1" applyBorder="1" applyAlignment="1" applyProtection="1">
      <alignment horizontal="center" vertical="center"/>
      <protection locked="0"/>
    </xf>
    <xf numFmtId="0" fontId="19" fillId="2" borderId="59" xfId="0" applyFont="1" applyFill="1" applyBorder="1" applyAlignment="1" applyProtection="1">
      <alignment horizontal="center" vertical="center"/>
      <protection locked="0"/>
    </xf>
    <xf numFmtId="167" fontId="18" fillId="3" borderId="19" xfId="0" applyNumberFormat="1" applyFont="1" applyFill="1" applyBorder="1" applyAlignment="1" applyProtection="1">
      <alignment horizontal="center" vertical="center"/>
      <protection locked="0"/>
    </xf>
    <xf numFmtId="167" fontId="18" fillId="3" borderId="20" xfId="0" applyNumberFormat="1" applyFont="1" applyFill="1" applyBorder="1" applyAlignment="1" applyProtection="1">
      <alignment horizontal="center" vertical="center"/>
      <protection locked="0"/>
    </xf>
    <xf numFmtId="167" fontId="18" fillId="2" borderId="21" xfId="0" applyNumberFormat="1" applyFont="1" applyFill="1" applyBorder="1" applyAlignment="1" applyProtection="1">
      <alignment horizontal="center" vertical="center"/>
      <protection locked="0"/>
    </xf>
    <xf numFmtId="0" fontId="3" fillId="2" borderId="0" xfId="2" applyFill="1" applyProtection="1">
      <protection locked="0"/>
    </xf>
    <xf numFmtId="172" fontId="23" fillId="2" borderId="0" xfId="0" applyNumberFormat="1" applyFont="1" applyFill="1" applyAlignment="1" applyProtection="1">
      <alignment horizontal="right" vertical="center"/>
      <protection hidden="1"/>
    </xf>
    <xf numFmtId="0" fontId="112" fillId="2" borderId="0" xfId="0" applyFont="1" applyFill="1" applyAlignment="1" applyProtection="1">
      <alignment horizontal="center" vertical="center"/>
      <protection hidden="1"/>
    </xf>
    <xf numFmtId="176" fontId="93" fillId="2" borderId="0" xfId="0" applyNumberFormat="1" applyFont="1" applyFill="1" applyBorder="1" applyAlignment="1" applyProtection="1">
      <alignment horizontal="center" vertical="center"/>
      <protection hidden="1"/>
    </xf>
    <xf numFmtId="168" fontId="114" fillId="2" borderId="0" xfId="0" applyNumberFormat="1" applyFont="1" applyFill="1" applyBorder="1" applyAlignment="1" applyProtection="1">
      <alignment horizontal="right" vertical="center"/>
      <protection hidden="1"/>
    </xf>
    <xf numFmtId="0" fontId="93" fillId="2" borderId="0" xfId="0" applyNumberFormat="1" applyFont="1" applyFill="1" applyBorder="1" applyAlignment="1" applyProtection="1">
      <alignment horizontal="center" vertical="center"/>
      <protection hidden="1"/>
    </xf>
    <xf numFmtId="0" fontId="87" fillId="2" borderId="0" xfId="0" applyFont="1" applyFill="1" applyAlignment="1" applyProtection="1">
      <alignment horizontal="left" vertical="center"/>
      <protection hidden="1"/>
    </xf>
    <xf numFmtId="0" fontId="17" fillId="2" borderId="0" xfId="0" applyNumberFormat="1" applyFont="1" applyFill="1" applyAlignment="1" applyProtection="1">
      <protection hidden="1"/>
    </xf>
    <xf numFmtId="0" fontId="14" fillId="2" borderId="0" xfId="0" applyFont="1" applyFill="1" applyBorder="1" applyAlignment="1" applyProtection="1">
      <alignment horizontal="left" vertical="top" indent="1"/>
      <protection hidden="1"/>
    </xf>
    <xf numFmtId="0" fontId="1" fillId="0" borderId="0" xfId="3" applyFont="1" applyProtection="1">
      <protection hidden="1"/>
    </xf>
    <xf numFmtId="0" fontId="113" fillId="2" borderId="0" xfId="1" applyFont="1" applyFill="1" applyAlignment="1" applyProtection="1">
      <alignment horizontal="right" vertical="top"/>
      <protection hidden="1"/>
    </xf>
    <xf numFmtId="0" fontId="75" fillId="2" borderId="0" xfId="0" applyFont="1" applyFill="1" applyAlignment="1" applyProtection="1">
      <alignment horizontal="center"/>
      <protection hidden="1"/>
    </xf>
    <xf numFmtId="0" fontId="49" fillId="2" borderId="7" xfId="2" applyFont="1" applyFill="1" applyBorder="1" applyAlignment="1" applyProtection="1">
      <alignment vertical="center"/>
      <protection hidden="1"/>
    </xf>
    <xf numFmtId="0" fontId="73" fillId="2" borderId="0" xfId="2" applyFont="1" applyFill="1" applyAlignment="1" applyProtection="1">
      <alignment vertical="center"/>
      <protection hidden="1"/>
    </xf>
    <xf numFmtId="166" fontId="12" fillId="2" borderId="22" xfId="2" applyNumberFormat="1" applyFont="1" applyFill="1" applyBorder="1" applyAlignment="1" applyProtection="1">
      <protection hidden="1"/>
    </xf>
    <xf numFmtId="0" fontId="0" fillId="2" borderId="22" xfId="0" applyFill="1" applyBorder="1" applyAlignment="1" applyProtection="1">
      <protection hidden="1"/>
    </xf>
    <xf numFmtId="166" fontId="104" fillId="2" borderId="0" xfId="0" applyNumberFormat="1" applyFont="1" applyFill="1" applyAlignment="1" applyProtection="1">
      <protection hidden="1"/>
    </xf>
    <xf numFmtId="0" fontId="93" fillId="2" borderId="0" xfId="3" applyFont="1" applyFill="1" applyAlignment="1" applyProtection="1">
      <alignment horizontal="center" vertical="center"/>
      <protection hidden="1"/>
    </xf>
    <xf numFmtId="0" fontId="115" fillId="2" borderId="0" xfId="0" applyFont="1" applyFill="1" applyAlignment="1" applyProtection="1">
      <protection hidden="1"/>
    </xf>
    <xf numFmtId="0" fontId="115" fillId="2" borderId="0" xfId="0" applyFont="1" applyFill="1" applyAlignment="1" applyProtection="1">
      <alignment vertical="top"/>
      <protection hidden="1"/>
    </xf>
    <xf numFmtId="0" fontId="35" fillId="2" borderId="0" xfId="0" applyFont="1" applyFill="1" applyAlignment="1" applyProtection="1">
      <alignment horizontal="center" vertical="center"/>
      <protection hidden="1"/>
    </xf>
    <xf numFmtId="0" fontId="19" fillId="4" borderId="36" xfId="0" applyFont="1" applyFill="1" applyBorder="1" applyAlignment="1" applyProtection="1">
      <alignment horizontal="center" vertical="center"/>
      <protection hidden="1"/>
    </xf>
    <xf numFmtId="0" fontId="19" fillId="4" borderId="4" xfId="0" applyFont="1" applyFill="1" applyBorder="1" applyAlignment="1" applyProtection="1">
      <alignment horizontal="center" vertical="center"/>
      <protection hidden="1"/>
    </xf>
    <xf numFmtId="0" fontId="48" fillId="4" borderId="24" xfId="0" applyFont="1" applyFill="1" applyBorder="1" applyAlignment="1" applyProtection="1">
      <alignment horizontal="right" vertical="center" indent="1"/>
      <protection hidden="1"/>
    </xf>
    <xf numFmtId="0" fontId="19" fillId="4" borderId="1"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35" fillId="4" borderId="22" xfId="0" applyFont="1" applyFill="1" applyBorder="1" applyAlignment="1" applyProtection="1">
      <alignment horizontal="right" vertical="center" indent="1"/>
      <protection hidden="1"/>
    </xf>
    <xf numFmtId="0" fontId="19" fillId="4" borderId="7" xfId="0" applyFont="1" applyFill="1" applyBorder="1" applyAlignment="1" applyProtection="1">
      <alignment horizontal="center" vertical="center"/>
      <protection hidden="1"/>
    </xf>
    <xf numFmtId="0" fontId="35" fillId="4" borderId="3" xfId="0" applyFont="1" applyFill="1" applyBorder="1" applyAlignment="1" applyProtection="1">
      <alignment horizontal="right" vertical="center" indent="1"/>
      <protection hidden="1"/>
    </xf>
    <xf numFmtId="0" fontId="19" fillId="4" borderId="2" xfId="0" applyFont="1" applyFill="1" applyBorder="1" applyAlignment="1" applyProtection="1">
      <alignment horizontal="center" vertical="center"/>
      <protection hidden="1"/>
    </xf>
    <xf numFmtId="168" fontId="62" fillId="2" borderId="72" xfId="2" applyNumberFormat="1" applyFont="1" applyFill="1" applyBorder="1" applyAlignment="1" applyProtection="1">
      <alignment vertical="center"/>
      <protection hidden="1"/>
    </xf>
    <xf numFmtId="168" fontId="62" fillId="2" borderId="18" xfId="2" applyNumberFormat="1" applyFont="1" applyFill="1" applyBorder="1" applyAlignment="1" applyProtection="1">
      <alignment vertical="center"/>
      <protection hidden="1"/>
    </xf>
    <xf numFmtId="168" fontId="62" fillId="2" borderId="73" xfId="2" applyNumberFormat="1" applyFont="1" applyFill="1" applyBorder="1" applyAlignment="1" applyProtection="1">
      <alignment vertical="center"/>
      <protection hidden="1"/>
    </xf>
    <xf numFmtId="0" fontId="17" fillId="2" borderId="0" xfId="0" applyFont="1" applyFill="1" applyAlignment="1" applyProtection="1">
      <alignment horizontal="right" vertical="center"/>
      <protection hidden="1"/>
    </xf>
    <xf numFmtId="0" fontId="119" fillId="2" borderId="0" xfId="5" applyFont="1" applyFill="1" applyAlignment="1" applyProtection="1">
      <alignment horizontal="center" vertical="center"/>
      <protection hidden="1"/>
    </xf>
    <xf numFmtId="0" fontId="118" fillId="2" borderId="0" xfId="1" applyFont="1" applyFill="1" applyAlignment="1" applyProtection="1">
      <alignment vertical="top"/>
      <protection hidden="1"/>
    </xf>
    <xf numFmtId="170" fontId="67" fillId="2" borderId="22" xfId="2" applyNumberFormat="1" applyFont="1" applyFill="1" applyBorder="1" applyAlignment="1" applyProtection="1">
      <alignment vertical="top"/>
      <protection hidden="1"/>
    </xf>
    <xf numFmtId="166" fontId="67" fillId="2" borderId="22" xfId="2" applyNumberFormat="1" applyFont="1" applyFill="1" applyBorder="1" applyAlignment="1" applyProtection="1">
      <alignment vertical="top"/>
      <protection hidden="1"/>
    </xf>
    <xf numFmtId="0" fontId="81" fillId="2" borderId="0" xfId="0" applyFont="1" applyFill="1" applyAlignment="1" applyProtection="1">
      <alignment horizontal="left" vertical="top" indent="1"/>
      <protection hidden="1"/>
    </xf>
    <xf numFmtId="0" fontId="120" fillId="2" borderId="0" xfId="1" applyFont="1" applyFill="1" applyAlignment="1" applyProtection="1">
      <alignment horizontal="right" vertical="top" indent="1"/>
      <protection hidden="1"/>
    </xf>
    <xf numFmtId="0" fontId="86" fillId="2" borderId="0" xfId="1" applyFont="1" applyFill="1" applyAlignment="1" applyProtection="1">
      <protection locked="0"/>
    </xf>
    <xf numFmtId="49" fontId="68" fillId="2" borderId="0" xfId="0" applyNumberFormat="1" applyFont="1" applyFill="1" applyAlignment="1" applyProtection="1">
      <alignment horizontal="left" vertical="center"/>
      <protection hidden="1"/>
    </xf>
    <xf numFmtId="49" fontId="70" fillId="2" borderId="0" xfId="0" applyNumberFormat="1" applyFont="1" applyFill="1" applyAlignment="1" applyProtection="1">
      <alignment horizontal="left" vertical="center"/>
      <protection hidden="1"/>
    </xf>
    <xf numFmtId="0" fontId="85" fillId="2" borderId="0" xfId="0" applyNumberFormat="1" applyFont="1" applyFill="1" applyAlignment="1" applyProtection="1">
      <alignment vertical="top"/>
      <protection hidden="1"/>
    </xf>
    <xf numFmtId="0" fontId="70" fillId="2" borderId="0" xfId="0" applyFont="1" applyFill="1" applyAlignment="1" applyProtection="1">
      <protection hidden="1"/>
    </xf>
    <xf numFmtId="0" fontId="85" fillId="2" borderId="0" xfId="0" applyNumberFormat="1" applyFont="1" applyFill="1" applyAlignment="1" applyProtection="1">
      <protection hidden="1"/>
    </xf>
    <xf numFmtId="0" fontId="90" fillId="2" borderId="0" xfId="0" applyNumberFormat="1" applyFont="1" applyFill="1" applyBorder="1" applyAlignment="1" applyProtection="1">
      <alignment vertical="center"/>
      <protection hidden="1"/>
    </xf>
    <xf numFmtId="0" fontId="18" fillId="2" borderId="0" xfId="0" applyNumberFormat="1" applyFont="1" applyFill="1" applyBorder="1" applyAlignment="1" applyProtection="1">
      <protection hidden="1"/>
    </xf>
    <xf numFmtId="0" fontId="19" fillId="2" borderId="7" xfId="0" applyFont="1" applyFill="1" applyBorder="1" applyAlignment="1" applyProtection="1">
      <alignment horizontal="center" vertical="center"/>
      <protection hidden="1"/>
    </xf>
    <xf numFmtId="0" fontId="35" fillId="3" borderId="27" xfId="0" applyFont="1" applyFill="1" applyBorder="1" applyAlignment="1" applyProtection="1">
      <alignment horizontal="center" vertical="center"/>
      <protection hidden="1"/>
    </xf>
    <xf numFmtId="0" fontId="17" fillId="2" borderId="7" xfId="2" applyFont="1" applyFill="1" applyBorder="1" applyAlignment="1" applyProtection="1">
      <alignment horizontal="center" vertical="center"/>
      <protection hidden="1"/>
    </xf>
    <xf numFmtId="0" fontId="3" fillId="0" borderId="0" xfId="2" applyFill="1" applyProtection="1">
      <protection hidden="1"/>
    </xf>
    <xf numFmtId="0" fontId="36" fillId="2" borderId="0" xfId="2" applyFont="1" applyFill="1" applyAlignment="1" applyProtection="1">
      <alignment horizontal="left" vertical="center"/>
      <protection hidden="1"/>
    </xf>
    <xf numFmtId="0" fontId="49" fillId="2" borderId="0" xfId="2" applyFont="1" applyFill="1" applyAlignment="1" applyProtection="1">
      <alignment horizontal="left" vertical="center"/>
      <protection hidden="1"/>
    </xf>
    <xf numFmtId="0" fontId="127" fillId="4" borderId="19" xfId="2" applyFont="1" applyFill="1" applyBorder="1" applyProtection="1">
      <protection hidden="1"/>
    </xf>
    <xf numFmtId="0" fontId="127" fillId="4" borderId="20" xfId="2" applyFont="1" applyFill="1" applyBorder="1" applyProtection="1">
      <protection hidden="1"/>
    </xf>
    <xf numFmtId="0" fontId="127" fillId="4" borderId="21" xfId="2" applyFont="1" applyFill="1" applyBorder="1" applyProtection="1">
      <protection hidden="1"/>
    </xf>
    <xf numFmtId="0" fontId="128" fillId="3" borderId="19" xfId="2" applyFont="1" applyFill="1" applyBorder="1" applyProtection="1">
      <protection hidden="1"/>
    </xf>
    <xf numFmtId="0" fontId="128" fillId="3" borderId="20" xfId="2" applyFont="1" applyFill="1" applyBorder="1" applyProtection="1">
      <protection hidden="1"/>
    </xf>
    <xf numFmtId="0" fontId="128" fillId="3" borderId="21" xfId="2" applyFont="1" applyFill="1" applyBorder="1" applyProtection="1">
      <protection hidden="1"/>
    </xf>
    <xf numFmtId="0" fontId="66" fillId="2" borderId="0" xfId="2" applyFont="1" applyFill="1" applyAlignment="1" applyProtection="1">
      <alignment vertical="center"/>
      <protection hidden="1"/>
    </xf>
    <xf numFmtId="168" fontId="29" fillId="2" borderId="0" xfId="2" applyNumberFormat="1" applyFont="1" applyFill="1" applyBorder="1" applyAlignment="1" applyProtection="1">
      <alignment horizontal="center" vertical="center"/>
      <protection hidden="1"/>
    </xf>
    <xf numFmtId="168" fontId="29" fillId="2" borderId="0" xfId="2" applyNumberFormat="1" applyFont="1" applyFill="1" applyBorder="1" applyAlignment="1" applyProtection="1">
      <alignment horizontal="center"/>
      <protection hidden="1"/>
    </xf>
    <xf numFmtId="168" fontId="29" fillId="2" borderId="0" xfId="2" applyNumberFormat="1" applyFont="1" applyFill="1" applyBorder="1" applyAlignment="1" applyProtection="1">
      <alignment horizontal="center" vertical="top"/>
      <protection hidden="1"/>
    </xf>
    <xf numFmtId="0" fontId="48" fillId="2" borderId="2" xfId="0" applyFont="1" applyFill="1" applyBorder="1" applyAlignment="1" applyProtection="1">
      <alignment horizontal="right" vertical="top"/>
      <protection hidden="1"/>
    </xf>
    <xf numFmtId="0" fontId="48" fillId="2" borderId="7" xfId="0" applyFont="1" applyFill="1" applyBorder="1" applyAlignment="1" applyProtection="1">
      <alignment horizontal="left" vertical="top"/>
      <protection hidden="1"/>
    </xf>
    <xf numFmtId="0" fontId="48" fillId="2" borderId="7" xfId="0" applyFont="1" applyFill="1" applyBorder="1" applyAlignment="1" applyProtection="1">
      <alignment horizontal="right" vertical="top"/>
      <protection hidden="1"/>
    </xf>
    <xf numFmtId="0" fontId="48" fillId="2" borderId="3" xfId="0" applyFont="1" applyFill="1" applyBorder="1" applyAlignment="1" applyProtection="1">
      <alignment horizontal="left" vertical="top"/>
      <protection hidden="1"/>
    </xf>
    <xf numFmtId="0" fontId="85" fillId="2" borderId="0" xfId="0" applyFont="1" applyFill="1" applyBorder="1" applyAlignment="1" applyProtection="1">
      <alignment horizontal="center" vertical="center"/>
      <protection hidden="1"/>
    </xf>
    <xf numFmtId="0" fontId="85" fillId="2" borderId="7" xfId="0" applyFont="1" applyFill="1" applyBorder="1" applyAlignment="1" applyProtection="1">
      <alignment horizontal="center" vertical="center"/>
      <protection hidden="1"/>
    </xf>
    <xf numFmtId="0" fontId="125" fillId="2" borderId="7" xfId="0" applyFont="1" applyFill="1" applyBorder="1" applyAlignment="1" applyProtection="1">
      <alignment horizontal="center" vertical="center"/>
      <protection hidden="1"/>
    </xf>
    <xf numFmtId="0" fontId="82" fillId="2" borderId="0" xfId="0" applyFont="1" applyFill="1" applyAlignment="1" applyProtection="1">
      <alignment horizontal="left" vertical="center"/>
      <protection hidden="1"/>
    </xf>
    <xf numFmtId="0" fontId="65" fillId="2" borderId="0" xfId="0" applyFont="1" applyFill="1" applyBorder="1" applyAlignment="1" applyProtection="1">
      <alignment horizontal="center" vertical="center"/>
      <protection hidden="1"/>
    </xf>
    <xf numFmtId="0" fontId="87" fillId="2" borderId="0" xfId="0" applyFont="1" applyFill="1" applyAlignment="1" applyProtection="1">
      <alignment horizontal="center" vertical="center"/>
      <protection hidden="1"/>
    </xf>
    <xf numFmtId="0" fontId="93" fillId="2" borderId="0" xfId="0" applyFont="1" applyFill="1" applyProtection="1">
      <protection hidden="1"/>
    </xf>
    <xf numFmtId="0" fontId="85" fillId="2" borderId="0" xfId="0" applyFont="1" applyFill="1" applyAlignment="1" applyProtection="1">
      <alignment horizontal="right" vertical="center"/>
      <protection hidden="1"/>
    </xf>
    <xf numFmtId="0" fontId="93" fillId="2" borderId="0" xfId="0" applyFont="1" applyFill="1" applyBorder="1" applyAlignment="1" applyProtection="1">
      <alignment horizontal="center"/>
      <protection hidden="1"/>
    </xf>
    <xf numFmtId="0" fontId="93" fillId="2" borderId="0" xfId="0" applyFont="1" applyFill="1" applyBorder="1" applyAlignment="1" applyProtection="1">
      <alignment horizontal="center" vertical="center"/>
      <protection hidden="1"/>
    </xf>
    <xf numFmtId="0" fontId="122" fillId="2" borderId="0" xfId="1" applyNumberFormat="1" applyFont="1" applyFill="1" applyAlignment="1" applyProtection="1">
      <alignment horizontal="left" vertical="center"/>
      <protection locked="0"/>
    </xf>
    <xf numFmtId="0" fontId="19" fillId="2" borderId="1" xfId="0" applyFont="1" applyFill="1" applyBorder="1" applyAlignment="1" applyProtection="1">
      <alignment horizontal="center" vertical="center"/>
      <protection hidden="1"/>
    </xf>
    <xf numFmtId="0" fontId="18" fillId="2" borderId="4" xfId="0" applyFont="1" applyFill="1" applyBorder="1" applyAlignment="1" applyProtection="1">
      <alignment horizontal="center" vertical="center"/>
      <protection hidden="1"/>
    </xf>
    <xf numFmtId="0" fontId="18" fillId="2" borderId="74" xfId="0" applyFont="1" applyFill="1" applyBorder="1" applyAlignment="1" applyProtection="1">
      <alignment horizontal="center" vertical="center"/>
      <protection hidden="1"/>
    </xf>
    <xf numFmtId="0" fontId="19" fillId="2" borderId="1" xfId="0" applyFont="1" applyFill="1" applyBorder="1" applyProtection="1">
      <protection hidden="1"/>
    </xf>
    <xf numFmtId="168" fontId="18" fillId="2" borderId="7" xfId="2" applyNumberFormat="1" applyFont="1" applyFill="1" applyBorder="1" applyAlignment="1" applyProtection="1">
      <alignment horizontal="center" vertical="center"/>
      <protection hidden="1"/>
    </xf>
    <xf numFmtId="0" fontId="129" fillId="2" borderId="0" xfId="2" applyFont="1" applyFill="1" applyAlignment="1" applyProtection="1">
      <alignment horizontal="center" vertical="center"/>
      <protection hidden="1"/>
    </xf>
    <xf numFmtId="0" fontId="17" fillId="2" borderId="0" xfId="0" applyFont="1" applyFill="1" applyAlignment="1" applyProtection="1">
      <alignment horizontal="left" vertical="top" indent="2"/>
      <protection hidden="1"/>
    </xf>
    <xf numFmtId="0" fontId="17" fillId="0" borderId="0" xfId="0" applyFont="1" applyAlignment="1" applyProtection="1">
      <protection hidden="1"/>
    </xf>
    <xf numFmtId="0" fontId="50" fillId="2" borderId="0" xfId="0" applyFont="1" applyFill="1" applyBorder="1" applyAlignment="1" applyProtection="1">
      <protection hidden="1"/>
    </xf>
    <xf numFmtId="0" fontId="37" fillId="2" borderId="0" xfId="0" applyFont="1" applyFill="1" applyBorder="1" applyAlignment="1" applyProtection="1">
      <alignment horizontal="right" vertical="top"/>
      <protection hidden="1"/>
    </xf>
    <xf numFmtId="0" fontId="83" fillId="2" borderId="0" xfId="0" applyNumberFormat="1" applyFont="1" applyFill="1" applyBorder="1" applyAlignment="1" applyProtection="1">
      <alignment horizontal="right" vertical="center" indent="1"/>
      <protection hidden="1"/>
    </xf>
    <xf numFmtId="180" fontId="18" fillId="2" borderId="0" xfId="0" applyNumberFormat="1" applyFont="1" applyFill="1" applyBorder="1" applyAlignment="1" applyProtection="1">
      <alignment horizontal="right" vertical="center"/>
      <protection hidden="1"/>
    </xf>
    <xf numFmtId="0" fontId="67" fillId="2" borderId="0" xfId="0" applyFont="1" applyFill="1" applyBorder="1" applyAlignment="1" applyProtection="1">
      <protection hidden="1"/>
    </xf>
    <xf numFmtId="0" fontId="37" fillId="2" borderId="0" xfId="0" applyFont="1" applyFill="1" applyBorder="1" applyAlignment="1" applyProtection="1">
      <alignment horizontal="left" vertical="top"/>
      <protection hidden="1"/>
    </xf>
    <xf numFmtId="0" fontId="50" fillId="2" borderId="0" xfId="0" applyFont="1" applyFill="1" applyBorder="1" applyAlignment="1" applyProtection="1">
      <alignment horizontal="right"/>
      <protection hidden="1"/>
    </xf>
    <xf numFmtId="0" fontId="66" fillId="2" borderId="0" xfId="0" applyFont="1" applyFill="1" applyBorder="1" applyAlignment="1" applyProtection="1">
      <alignment horizontal="left"/>
      <protection hidden="1"/>
    </xf>
    <xf numFmtId="0" fontId="49" fillId="2" borderId="0" xfId="0" applyNumberFormat="1" applyFont="1" applyFill="1" applyAlignment="1" applyProtection="1">
      <alignment horizontal="left" vertical="top"/>
      <protection hidden="1"/>
    </xf>
    <xf numFmtId="0" fontId="8" fillId="2" borderId="0" xfId="0" applyFont="1" applyFill="1" applyAlignment="1" applyProtection="1">
      <alignment horizontal="right" vertical="top"/>
      <protection hidden="1"/>
    </xf>
    <xf numFmtId="0" fontId="17" fillId="2" borderId="0" xfId="0" applyNumberFormat="1" applyFont="1" applyFill="1" applyAlignment="1" applyProtection="1">
      <alignment horizontal="left"/>
      <protection hidden="1"/>
    </xf>
    <xf numFmtId="0" fontId="66" fillId="2" borderId="0" xfId="0" applyFont="1" applyFill="1" applyBorder="1" applyAlignment="1" applyProtection="1">
      <alignment horizontal="right"/>
      <protection hidden="1"/>
    </xf>
    <xf numFmtId="0" fontId="49" fillId="2" borderId="0" xfId="0" applyNumberFormat="1" applyFont="1" applyFill="1" applyAlignment="1" applyProtection="1">
      <alignment horizontal="right" vertical="top"/>
      <protection hidden="1"/>
    </xf>
    <xf numFmtId="0" fontId="70" fillId="2" borderId="0" xfId="0" applyFont="1" applyFill="1" applyBorder="1" applyAlignment="1" applyProtection="1">
      <protection hidden="1"/>
    </xf>
    <xf numFmtId="0" fontId="8" fillId="2" borderId="0" xfId="0" applyNumberFormat="1" applyFont="1" applyFill="1" applyAlignment="1" applyProtection="1">
      <alignment vertical="center"/>
      <protection hidden="1"/>
    </xf>
    <xf numFmtId="0" fontId="79" fillId="2" borderId="0" xfId="0" applyFont="1" applyFill="1" applyBorder="1" applyAlignment="1" applyProtection="1">
      <alignment vertical="top"/>
      <protection hidden="1"/>
    </xf>
    <xf numFmtId="0" fontId="19" fillId="2" borderId="0" xfId="0" applyFont="1" applyFill="1" applyProtection="1">
      <protection locked="0"/>
    </xf>
    <xf numFmtId="166" fontId="70" fillId="2" borderId="0" xfId="0" applyNumberFormat="1" applyFont="1" applyFill="1" applyAlignment="1" applyProtection="1">
      <alignment horizontal="right"/>
      <protection hidden="1"/>
    </xf>
    <xf numFmtId="0" fontId="71" fillId="0" borderId="0" xfId="0" applyFont="1" applyFill="1" applyBorder="1" applyAlignment="1" applyProtection="1">
      <alignment horizontal="justify"/>
      <protection hidden="1"/>
    </xf>
    <xf numFmtId="0" fontId="87" fillId="0" borderId="0" xfId="0" applyFont="1" applyFill="1" applyBorder="1" applyAlignment="1" applyProtection="1">
      <alignment horizontal="justify" vertical="center"/>
      <protection hidden="1"/>
    </xf>
    <xf numFmtId="0" fontId="93" fillId="0" borderId="0" xfId="0" applyFont="1" applyFill="1" applyBorder="1" applyAlignment="1" applyProtection="1">
      <alignment horizontal="justify"/>
      <protection hidden="1"/>
    </xf>
    <xf numFmtId="0" fontId="71" fillId="0" borderId="0" xfId="3" applyFont="1" applyFill="1" applyBorder="1" applyAlignment="1" applyProtection="1">
      <alignment horizontal="justify"/>
      <protection hidden="1"/>
    </xf>
    <xf numFmtId="168" fontId="67" fillId="2" borderId="30" xfId="0" applyNumberFormat="1" applyFont="1" applyFill="1" applyBorder="1" applyAlignment="1" applyProtection="1">
      <alignment horizontal="right" vertical="center"/>
      <protection hidden="1"/>
    </xf>
    <xf numFmtId="0" fontId="19" fillId="2" borderId="7" xfId="0" applyFont="1" applyFill="1" applyBorder="1" applyAlignment="1" applyProtection="1">
      <alignment horizontal="center"/>
      <protection hidden="1"/>
    </xf>
    <xf numFmtId="0" fontId="70" fillId="2" borderId="0" xfId="0" applyNumberFormat="1" applyFont="1" applyFill="1" applyBorder="1" applyAlignment="1" applyProtection="1">
      <alignment horizontal="center" vertical="top"/>
      <protection hidden="1"/>
    </xf>
    <xf numFmtId="168" fontId="67" fillId="2" borderId="52" xfId="2" applyNumberFormat="1" applyFont="1" applyFill="1" applyBorder="1" applyAlignment="1" applyProtection="1">
      <protection hidden="1"/>
    </xf>
    <xf numFmtId="168" fontId="67" fillId="2" borderId="53" xfId="2" applyNumberFormat="1" applyFont="1" applyFill="1" applyBorder="1" applyAlignment="1" applyProtection="1">
      <alignment vertical="top"/>
      <protection hidden="1"/>
    </xf>
    <xf numFmtId="168" fontId="67" fillId="2" borderId="26" xfId="2" applyNumberFormat="1" applyFont="1" applyFill="1" applyBorder="1" applyAlignment="1" applyProtection="1">
      <protection hidden="1"/>
    </xf>
    <xf numFmtId="168" fontId="67" fillId="2" borderId="15" xfId="2" applyNumberFormat="1" applyFont="1" applyFill="1" applyBorder="1" applyAlignment="1" applyProtection="1">
      <alignment vertical="top"/>
      <protection hidden="1"/>
    </xf>
    <xf numFmtId="0" fontId="75" fillId="2" borderId="0" xfId="2" applyFont="1" applyFill="1" applyBorder="1" applyAlignment="1" applyProtection="1">
      <alignment vertical="center"/>
      <protection hidden="1"/>
    </xf>
    <xf numFmtId="168" fontId="67" fillId="3" borderId="0" xfId="2" applyNumberFormat="1" applyFont="1" applyFill="1" applyBorder="1" applyAlignment="1" applyProtection="1">
      <alignment vertical="center"/>
      <protection hidden="1"/>
    </xf>
    <xf numFmtId="168" fontId="67" fillId="2" borderId="0" xfId="2" applyNumberFormat="1" applyFont="1" applyFill="1" applyBorder="1" applyAlignment="1" applyProtection="1">
      <alignment vertical="center"/>
      <protection hidden="1"/>
    </xf>
    <xf numFmtId="168" fontId="67" fillId="2" borderId="7" xfId="2" applyNumberFormat="1" applyFont="1" applyFill="1" applyBorder="1" applyAlignment="1" applyProtection="1">
      <alignment vertical="center"/>
      <protection hidden="1"/>
    </xf>
    <xf numFmtId="168" fontId="67" fillId="2" borderId="15" xfId="2" applyNumberFormat="1" applyFont="1" applyFill="1" applyBorder="1" applyAlignment="1" applyProtection="1">
      <alignment vertical="center"/>
      <protection locked="0"/>
    </xf>
    <xf numFmtId="0" fontId="100" fillId="2" borderId="0" xfId="2" applyFont="1" applyFill="1" applyAlignment="1" applyProtection="1">
      <protection hidden="1"/>
    </xf>
    <xf numFmtId="0" fontId="100" fillId="2" borderId="22" xfId="2" applyFont="1" applyFill="1" applyBorder="1" applyAlignment="1" applyProtection="1">
      <protection hidden="1"/>
    </xf>
    <xf numFmtId="0" fontId="100" fillId="2" borderId="0" xfId="2" applyFont="1" applyFill="1" applyAlignment="1" applyProtection="1">
      <alignment vertical="top"/>
      <protection hidden="1"/>
    </xf>
    <xf numFmtId="0" fontId="100" fillId="2" borderId="22" xfId="2" applyFont="1" applyFill="1" applyBorder="1" applyAlignment="1" applyProtection="1">
      <alignment vertical="top"/>
      <protection hidden="1"/>
    </xf>
    <xf numFmtId="0" fontId="3" fillId="2" borderId="22" xfId="2" applyFill="1" applyBorder="1" applyAlignment="1" applyProtection="1">
      <protection hidden="1"/>
    </xf>
    <xf numFmtId="178" fontId="3" fillId="2" borderId="0" xfId="2" applyNumberFormat="1" applyFill="1" applyAlignment="1" applyProtection="1">
      <protection hidden="1"/>
    </xf>
    <xf numFmtId="178" fontId="3" fillId="2" borderId="26" xfId="2" applyNumberFormat="1" applyFill="1" applyBorder="1" applyAlignment="1" applyProtection="1">
      <protection hidden="1"/>
    </xf>
    <xf numFmtId="0" fontId="100" fillId="2" borderId="0" xfId="2" applyFont="1" applyFill="1" applyBorder="1" applyAlignment="1" applyProtection="1">
      <protection hidden="1"/>
    </xf>
    <xf numFmtId="0" fontId="100" fillId="2" borderId="0" xfId="2" applyFont="1" applyFill="1" applyBorder="1" applyAlignment="1" applyProtection="1">
      <alignment vertical="top"/>
      <protection hidden="1"/>
    </xf>
    <xf numFmtId="0" fontId="3" fillId="2" borderId="0" xfId="2" applyFont="1" applyFill="1" applyBorder="1" applyAlignment="1" applyProtection="1">
      <protection hidden="1"/>
    </xf>
    <xf numFmtId="14" fontId="49" fillId="2" borderId="0" xfId="2" applyNumberFormat="1" applyFont="1" applyFill="1" applyBorder="1" applyAlignment="1" applyProtection="1">
      <alignment vertical="top"/>
      <protection hidden="1"/>
    </xf>
    <xf numFmtId="166" fontId="78" fillId="2" borderId="0" xfId="2" applyNumberFormat="1" applyFont="1" applyFill="1" applyBorder="1" applyAlignment="1" applyProtection="1">
      <protection hidden="1"/>
    </xf>
    <xf numFmtId="0" fontId="132" fillId="2" borderId="36" xfId="2" applyFont="1" applyFill="1" applyBorder="1" applyAlignment="1" applyProtection="1">
      <alignment horizontal="center" vertical="center"/>
      <protection hidden="1"/>
    </xf>
    <xf numFmtId="0" fontId="132" fillId="2" borderId="4" xfId="2" applyFont="1" applyFill="1" applyBorder="1" applyAlignment="1" applyProtection="1">
      <alignment horizontal="center" vertical="center"/>
      <protection hidden="1"/>
    </xf>
    <xf numFmtId="14" fontId="49" fillId="2" borderId="7" xfId="2" applyNumberFormat="1" applyFont="1" applyFill="1" applyBorder="1" applyAlignment="1" applyProtection="1">
      <alignment vertical="top"/>
      <protection hidden="1"/>
    </xf>
    <xf numFmtId="168" fontId="46" fillId="2" borderId="7" xfId="2" applyNumberFormat="1" applyFont="1" applyFill="1" applyBorder="1" applyAlignment="1" applyProtection="1">
      <alignment horizontal="right" vertical="top"/>
      <protection hidden="1"/>
    </xf>
    <xf numFmtId="168" fontId="46" fillId="2" borderId="7" xfId="2" applyNumberFormat="1" applyFont="1" applyFill="1" applyBorder="1" applyAlignment="1" applyProtection="1">
      <alignment vertical="top"/>
      <protection hidden="1"/>
    </xf>
    <xf numFmtId="0" fontId="85" fillId="2" borderId="36" xfId="2" applyNumberFormat="1" applyFont="1" applyFill="1" applyBorder="1" applyAlignment="1" applyProtection="1">
      <alignment horizontal="center"/>
      <protection hidden="1"/>
    </xf>
    <xf numFmtId="0" fontId="3" fillId="2" borderId="24" xfId="2" applyFill="1" applyBorder="1" applyProtection="1">
      <protection hidden="1"/>
    </xf>
    <xf numFmtId="166" fontId="85" fillId="2" borderId="0" xfId="2" applyNumberFormat="1" applyFont="1" applyFill="1" applyAlignment="1" applyProtection="1">
      <alignment horizontal="left"/>
      <protection hidden="1"/>
    </xf>
    <xf numFmtId="166" fontId="78" fillId="2" borderId="4" xfId="2" applyNumberFormat="1" applyFont="1" applyFill="1" applyBorder="1" applyAlignment="1" applyProtection="1">
      <alignment horizontal="left"/>
      <protection hidden="1"/>
    </xf>
    <xf numFmtId="168" fontId="49" fillId="2" borderId="1" xfId="2" applyNumberFormat="1" applyFont="1" applyFill="1" applyBorder="1" applyAlignment="1" applyProtection="1">
      <alignment horizontal="center" vertical="top"/>
      <protection hidden="1"/>
    </xf>
    <xf numFmtId="0" fontId="98" fillId="2" borderId="0" xfId="2" applyFont="1" applyFill="1" applyAlignment="1" applyProtection="1">
      <alignment vertical="top"/>
      <protection hidden="1"/>
    </xf>
    <xf numFmtId="166" fontId="85" fillId="2" borderId="0" xfId="2" applyNumberFormat="1" applyFont="1" applyFill="1" applyAlignment="1" applyProtection="1">
      <alignment horizontal="left" vertical="top"/>
      <protection hidden="1"/>
    </xf>
    <xf numFmtId="166" fontId="85" fillId="2" borderId="0" xfId="2" applyNumberFormat="1" applyFont="1" applyFill="1" applyAlignment="1" applyProtection="1">
      <alignment horizontal="right" vertical="top"/>
      <protection hidden="1"/>
    </xf>
    <xf numFmtId="166" fontId="78" fillId="2" borderId="0" xfId="2" applyNumberFormat="1" applyFont="1" applyFill="1" applyBorder="1" applyAlignment="1" applyProtection="1">
      <alignment vertical="center"/>
      <protection hidden="1"/>
    </xf>
    <xf numFmtId="166" fontId="78" fillId="2" borderId="0" xfId="2" applyNumberFormat="1" applyFont="1" applyFill="1" applyBorder="1" applyAlignment="1" applyProtection="1">
      <alignment horizontal="right" vertical="center"/>
      <protection hidden="1"/>
    </xf>
    <xf numFmtId="0" fontId="49" fillId="2" borderId="0" xfId="2" applyFont="1" applyFill="1" applyBorder="1" applyAlignment="1" applyProtection="1">
      <alignment vertical="center"/>
      <protection hidden="1"/>
    </xf>
    <xf numFmtId="0" fontId="8" fillId="2" borderId="1" xfId="2" applyFont="1" applyFill="1" applyBorder="1" applyAlignment="1" applyProtection="1">
      <alignment horizontal="center" vertical="center"/>
      <protection hidden="1"/>
    </xf>
    <xf numFmtId="168" fontId="49" fillId="2" borderId="35" xfId="2" applyNumberFormat="1" applyFont="1" applyFill="1" applyBorder="1" applyAlignment="1" applyProtection="1">
      <alignment vertical="center"/>
      <protection hidden="1"/>
    </xf>
    <xf numFmtId="0" fontId="85" fillId="2" borderId="0" xfId="2" applyFont="1" applyFill="1" applyAlignment="1" applyProtection="1">
      <alignment vertical="center"/>
      <protection hidden="1"/>
    </xf>
    <xf numFmtId="168" fontId="8" fillId="2" borderId="19" xfId="2" applyNumberFormat="1" applyFont="1" applyFill="1" applyBorder="1" applyAlignment="1" applyProtection="1">
      <alignment vertical="center"/>
      <protection locked="0"/>
    </xf>
    <xf numFmtId="184" fontId="49" fillId="3" borderId="19" xfId="2" applyNumberFormat="1" applyFont="1" applyFill="1" applyBorder="1" applyAlignment="1" applyProtection="1">
      <alignment vertical="center"/>
      <protection hidden="1"/>
    </xf>
    <xf numFmtId="168" fontId="8" fillId="2" borderId="35" xfId="2" applyNumberFormat="1" applyFont="1" applyFill="1" applyBorder="1" applyAlignment="1" applyProtection="1">
      <alignment vertical="center"/>
      <protection locked="0"/>
    </xf>
    <xf numFmtId="0" fontId="3" fillId="2" borderId="0" xfId="2" applyFont="1" applyFill="1" applyAlignment="1" applyProtection="1">
      <alignment vertical="center"/>
      <protection hidden="1"/>
    </xf>
    <xf numFmtId="168" fontId="8" fillId="2" borderId="20" xfId="2" applyNumberFormat="1" applyFont="1" applyFill="1" applyBorder="1" applyAlignment="1" applyProtection="1">
      <alignment vertical="center"/>
      <protection locked="0"/>
    </xf>
    <xf numFmtId="184" fontId="49" fillId="3" borderId="20" xfId="2" applyNumberFormat="1" applyFont="1" applyFill="1" applyBorder="1" applyAlignment="1" applyProtection="1">
      <alignment vertical="center"/>
      <protection hidden="1"/>
    </xf>
    <xf numFmtId="168" fontId="8" fillId="2" borderId="21" xfId="2" applyNumberFormat="1" applyFont="1" applyFill="1" applyBorder="1" applyAlignment="1" applyProtection="1">
      <alignment vertical="center"/>
      <protection locked="0"/>
    </xf>
    <xf numFmtId="184" fontId="49" fillId="3" borderId="21" xfId="2" applyNumberFormat="1" applyFont="1" applyFill="1" applyBorder="1" applyAlignment="1" applyProtection="1">
      <alignment vertical="center"/>
      <protection hidden="1"/>
    </xf>
    <xf numFmtId="0" fontId="81" fillId="2" borderId="0" xfId="2" applyFont="1" applyFill="1" applyBorder="1" applyAlignment="1" applyProtection="1">
      <alignment horizontal="left" indent="1"/>
      <protection hidden="1"/>
    </xf>
    <xf numFmtId="0" fontId="3" fillId="2" borderId="26" xfId="2" applyFill="1" applyBorder="1" applyProtection="1">
      <protection hidden="1"/>
    </xf>
    <xf numFmtId="0" fontId="81" fillId="2" borderId="0" xfId="2" applyFont="1" applyFill="1" applyBorder="1" applyAlignment="1" applyProtection="1">
      <alignment vertical="center"/>
      <protection hidden="1"/>
    </xf>
    <xf numFmtId="0" fontId="81" fillId="2" borderId="0" xfId="2" applyFont="1" applyFill="1" applyBorder="1" applyAlignment="1" applyProtection="1">
      <alignment horizontal="right" vertical="center"/>
      <protection hidden="1"/>
    </xf>
    <xf numFmtId="168" fontId="82" fillId="2" borderId="0" xfId="2" applyNumberFormat="1" applyFont="1" applyFill="1" applyBorder="1" applyAlignment="1" applyProtection="1">
      <alignment vertical="center"/>
      <protection hidden="1"/>
    </xf>
    <xf numFmtId="184" fontId="49" fillId="2" borderId="45" xfId="2" applyNumberFormat="1" applyFont="1" applyFill="1" applyBorder="1" applyAlignment="1" applyProtection="1">
      <alignment vertical="center"/>
      <protection hidden="1"/>
    </xf>
    <xf numFmtId="184" fontId="49" fillId="2" borderId="14" xfId="2" applyNumberFormat="1" applyFont="1" applyFill="1" applyBorder="1" applyAlignment="1" applyProtection="1">
      <alignment vertical="center"/>
      <protection hidden="1"/>
    </xf>
    <xf numFmtId="0" fontId="134" fillId="2" borderId="0" xfId="2" applyFont="1" applyFill="1" applyAlignment="1" applyProtection="1">
      <alignment horizontal="center" vertical="center"/>
      <protection hidden="1"/>
    </xf>
    <xf numFmtId="168" fontId="18" fillId="3" borderId="27" xfId="2" applyNumberFormat="1" applyFont="1" applyFill="1" applyBorder="1" applyAlignment="1" applyProtection="1">
      <alignment vertical="center"/>
      <protection locked="0"/>
    </xf>
    <xf numFmtId="168" fontId="3" fillId="2" borderId="0" xfId="2" applyNumberFormat="1" applyFont="1" applyFill="1" applyProtection="1">
      <protection hidden="1"/>
    </xf>
    <xf numFmtId="168" fontId="3" fillId="2" borderId="14" xfId="2" applyNumberFormat="1" applyFont="1" applyFill="1" applyBorder="1" applyProtection="1">
      <protection hidden="1"/>
    </xf>
    <xf numFmtId="0" fontId="3" fillId="2" borderId="2" xfId="2" applyFont="1" applyFill="1" applyBorder="1" applyAlignment="1" applyProtection="1">
      <alignment horizontal="center" vertical="center"/>
      <protection hidden="1"/>
    </xf>
    <xf numFmtId="0" fontId="3" fillId="2" borderId="7" xfId="2" applyFont="1" applyFill="1" applyBorder="1" applyAlignment="1" applyProtection="1">
      <alignment vertical="center"/>
      <protection hidden="1"/>
    </xf>
    <xf numFmtId="0" fontId="3" fillId="2" borderId="7" xfId="2" applyFont="1" applyFill="1" applyBorder="1" applyAlignment="1" applyProtection="1">
      <alignment horizontal="center" vertical="center"/>
      <protection hidden="1"/>
    </xf>
    <xf numFmtId="0" fontId="3" fillId="2" borderId="3" xfId="2" applyFont="1" applyFill="1" applyBorder="1" applyAlignment="1" applyProtection="1">
      <alignment vertical="center"/>
      <protection hidden="1"/>
    </xf>
    <xf numFmtId="168" fontId="49" fillId="2" borderId="4" xfId="2" applyNumberFormat="1" applyFont="1" applyFill="1" applyBorder="1" applyAlignment="1" applyProtection="1">
      <alignment horizontal="center" vertical="center"/>
      <protection hidden="1"/>
    </xf>
    <xf numFmtId="176" fontId="48" fillId="2" borderId="26" xfId="2" applyNumberFormat="1" applyFont="1" applyFill="1" applyBorder="1" applyAlignment="1" applyProtection="1">
      <alignment horizontal="center" vertical="center"/>
      <protection locked="0"/>
    </xf>
    <xf numFmtId="176" fontId="48" fillId="2" borderId="14" xfId="2" applyNumberFormat="1" applyFont="1" applyFill="1" applyBorder="1" applyAlignment="1" applyProtection="1">
      <alignment horizontal="center" vertical="center"/>
      <protection locked="0"/>
    </xf>
    <xf numFmtId="176" fontId="48" fillId="2" borderId="15" xfId="2" applyNumberFormat="1" applyFont="1" applyFill="1" applyBorder="1" applyAlignment="1" applyProtection="1">
      <alignment horizontal="center" vertical="center"/>
      <protection locked="0"/>
    </xf>
    <xf numFmtId="168" fontId="8" fillId="3" borderId="21" xfId="2" applyNumberFormat="1" applyFont="1" applyFill="1" applyBorder="1" applyAlignment="1" applyProtection="1">
      <alignment vertical="center"/>
      <protection locked="0"/>
    </xf>
    <xf numFmtId="168" fontId="8" fillId="2" borderId="6" xfId="2" applyNumberFormat="1" applyFont="1" applyFill="1" applyBorder="1" applyAlignment="1" applyProtection="1">
      <alignment vertical="center"/>
      <protection locked="0"/>
    </xf>
    <xf numFmtId="168" fontId="18" fillId="2" borderId="6" xfId="2" applyNumberFormat="1" applyFont="1" applyFill="1" applyBorder="1" applyAlignment="1" applyProtection="1">
      <alignment vertical="center"/>
      <protection locked="0"/>
    </xf>
    <xf numFmtId="0" fontId="98" fillId="2" borderId="0" xfId="2" applyFont="1" applyFill="1" applyAlignment="1" applyProtection="1">
      <alignment horizontal="left" indent="1"/>
      <protection hidden="1"/>
    </xf>
    <xf numFmtId="0" fontId="85" fillId="2" borderId="0" xfId="2" applyFont="1" applyFill="1" applyAlignment="1" applyProtection="1">
      <alignment horizontal="left" indent="1"/>
      <protection hidden="1"/>
    </xf>
    <xf numFmtId="0" fontId="85" fillId="2" borderId="0" xfId="2" applyFont="1" applyFill="1" applyAlignment="1" applyProtection="1">
      <alignment horizontal="left" vertical="center" indent="1"/>
      <protection hidden="1"/>
    </xf>
    <xf numFmtId="0" fontId="85" fillId="2" borderId="0" xfId="2" applyFont="1" applyFill="1" applyAlignment="1" applyProtection="1">
      <alignment horizontal="left" vertical="top" indent="1"/>
      <protection hidden="1"/>
    </xf>
    <xf numFmtId="0" fontId="49" fillId="2" borderId="7" xfId="2" applyFont="1" applyFill="1" applyBorder="1" applyAlignment="1" applyProtection="1">
      <alignment horizontal="center" vertical="center"/>
      <protection hidden="1"/>
    </xf>
    <xf numFmtId="0" fontId="49" fillId="2" borderId="7" xfId="2" applyFont="1" applyFill="1" applyBorder="1" applyAlignment="1" applyProtection="1">
      <protection hidden="1"/>
    </xf>
    <xf numFmtId="0" fontId="37" fillId="2" borderId="4" xfId="2" applyFont="1" applyFill="1" applyBorder="1" applyAlignment="1" applyProtection="1">
      <protection hidden="1"/>
    </xf>
    <xf numFmtId="0" fontId="37" fillId="2" borderId="17" xfId="2" applyFont="1" applyFill="1" applyBorder="1" applyAlignment="1" applyProtection="1">
      <alignment horizontal="center" vertical="center"/>
      <protection hidden="1"/>
    </xf>
    <xf numFmtId="0" fontId="3" fillId="2" borderId="75" xfId="2" applyFill="1" applyBorder="1" applyAlignment="1" applyProtection="1">
      <protection hidden="1"/>
    </xf>
    <xf numFmtId="0" fontId="134" fillId="2" borderId="75" xfId="2" applyFont="1" applyFill="1" applyBorder="1" applyAlignment="1" applyProtection="1">
      <alignment horizontal="center" vertical="center"/>
      <protection hidden="1"/>
    </xf>
    <xf numFmtId="0" fontId="36" fillId="2" borderId="19" xfId="2" applyFont="1" applyFill="1" applyBorder="1" applyAlignment="1" applyProtection="1">
      <alignment horizontal="center" vertical="center"/>
      <protection hidden="1"/>
    </xf>
    <xf numFmtId="0" fontId="66" fillId="2" borderId="0" xfId="2" applyFont="1" applyFill="1" applyAlignment="1" applyProtection="1">
      <alignment horizontal="left" vertical="center" indent="1"/>
      <protection hidden="1"/>
    </xf>
    <xf numFmtId="0" fontId="36" fillId="2" borderId="20" xfId="2" applyFont="1" applyFill="1" applyBorder="1" applyAlignment="1" applyProtection="1">
      <alignment horizontal="center" vertical="center"/>
      <protection hidden="1"/>
    </xf>
    <xf numFmtId="0" fontId="36" fillId="2" borderId="21" xfId="2" applyFont="1" applyFill="1" applyBorder="1" applyAlignment="1" applyProtection="1">
      <alignment horizontal="center" vertical="center"/>
      <protection hidden="1"/>
    </xf>
    <xf numFmtId="0" fontId="17" fillId="2" borderId="0" xfId="0" applyNumberFormat="1" applyFont="1" applyFill="1" applyAlignment="1" applyProtection="1">
      <alignment horizontal="right"/>
      <protection hidden="1"/>
    </xf>
    <xf numFmtId="166" fontId="76" fillId="2" borderId="0" xfId="2" applyNumberFormat="1" applyFont="1" applyFill="1" applyBorder="1" applyAlignment="1" applyProtection="1">
      <alignment vertical="center"/>
      <protection hidden="1"/>
    </xf>
    <xf numFmtId="166" fontId="76" fillId="2" borderId="0" xfId="2" applyNumberFormat="1" applyFont="1" applyFill="1" applyAlignment="1" applyProtection="1">
      <alignment vertical="center"/>
      <protection hidden="1"/>
    </xf>
    <xf numFmtId="166" fontId="76" fillId="2" borderId="1" xfId="2" applyNumberFormat="1" applyFont="1" applyFill="1" applyBorder="1" applyAlignment="1" applyProtection="1">
      <alignment horizontal="center" vertical="center"/>
      <protection hidden="1"/>
    </xf>
    <xf numFmtId="0" fontId="136" fillId="2" borderId="0" xfId="2" applyFont="1" applyFill="1" applyAlignment="1" applyProtection="1">
      <protection hidden="1"/>
    </xf>
    <xf numFmtId="166" fontId="76" fillId="2" borderId="0" xfId="2" applyNumberFormat="1" applyFont="1" applyFill="1" applyBorder="1" applyAlignment="1" applyProtection="1">
      <alignment horizontal="right" vertical="center"/>
      <protection hidden="1"/>
    </xf>
    <xf numFmtId="0" fontId="129" fillId="2" borderId="0" xfId="2" applyFont="1" applyFill="1" applyAlignment="1" applyProtection="1">
      <alignment vertical="center"/>
      <protection hidden="1"/>
    </xf>
    <xf numFmtId="0" fontId="129" fillId="2" borderId="0" xfId="2" applyFont="1" applyFill="1" applyAlignment="1" applyProtection="1">
      <protection hidden="1"/>
    </xf>
    <xf numFmtId="0" fontId="79" fillId="2" borderId="0" xfId="2" applyFont="1" applyFill="1" applyAlignment="1" applyProtection="1">
      <alignment vertical="top"/>
      <protection hidden="1"/>
    </xf>
    <xf numFmtId="168" fontId="29" fillId="3" borderId="76" xfId="0" applyNumberFormat="1" applyFont="1" applyFill="1" applyBorder="1" applyAlignment="1" applyProtection="1">
      <alignment horizontal="right" vertical="center"/>
      <protection hidden="1"/>
    </xf>
    <xf numFmtId="168" fontId="18" fillId="2" borderId="14" xfId="0" applyNumberFormat="1" applyFont="1" applyFill="1" applyBorder="1" applyAlignment="1" applyProtection="1">
      <alignment horizontal="right" vertical="center"/>
      <protection hidden="1"/>
    </xf>
    <xf numFmtId="168" fontId="29" fillId="3" borderId="14" xfId="0" applyNumberFormat="1" applyFont="1" applyFill="1" applyBorder="1" applyAlignment="1" applyProtection="1">
      <alignment horizontal="right" vertical="center"/>
      <protection hidden="1"/>
    </xf>
    <xf numFmtId="168" fontId="18" fillId="2" borderId="27" xfId="0" applyNumberFormat="1" applyFont="1" applyFill="1" applyBorder="1" applyAlignment="1" applyProtection="1">
      <alignment horizontal="right" vertical="center"/>
      <protection hidden="1"/>
    </xf>
    <xf numFmtId="0" fontId="85" fillId="2" borderId="0" xfId="0" applyFont="1" applyFill="1" applyAlignment="1" applyProtection="1">
      <protection hidden="1"/>
    </xf>
    <xf numFmtId="0" fontId="85" fillId="2" borderId="0" xfId="0" applyFont="1" applyFill="1" applyAlignment="1" applyProtection="1">
      <alignment vertical="center"/>
      <protection hidden="1"/>
    </xf>
    <xf numFmtId="0" fontId="85" fillId="2" borderId="0" xfId="0" applyFont="1" applyFill="1" applyAlignment="1" applyProtection="1">
      <alignment vertical="top"/>
      <protection hidden="1"/>
    </xf>
    <xf numFmtId="0" fontId="48" fillId="2" borderId="33" xfId="0" applyNumberFormat="1" applyFont="1" applyFill="1" applyBorder="1" applyAlignment="1" applyProtection="1">
      <alignment horizontal="center" vertical="center"/>
      <protection hidden="1"/>
    </xf>
    <xf numFmtId="0" fontId="48" fillId="4" borderId="77" xfId="0" applyNumberFormat="1" applyFont="1" applyFill="1" applyBorder="1" applyAlignment="1" applyProtection="1">
      <alignment horizontal="center" vertical="center"/>
      <protection hidden="1"/>
    </xf>
    <xf numFmtId="0" fontId="48" fillId="4" borderId="78" xfId="0" applyNumberFormat="1" applyFont="1" applyFill="1" applyBorder="1" applyAlignment="1" applyProtection="1">
      <alignment horizontal="center" vertical="center"/>
      <protection hidden="1"/>
    </xf>
    <xf numFmtId="0" fontId="48" fillId="4" borderId="79" xfId="0" applyNumberFormat="1" applyFont="1" applyFill="1" applyBorder="1" applyAlignment="1" applyProtection="1">
      <alignment horizontal="center" vertical="center"/>
      <protection hidden="1"/>
    </xf>
    <xf numFmtId="168" fontId="36" fillId="2" borderId="42" xfId="2" applyNumberFormat="1" applyFont="1" applyFill="1" applyBorder="1" applyAlignment="1" applyProtection="1">
      <alignment horizontal="center" vertical="center"/>
      <protection hidden="1"/>
    </xf>
    <xf numFmtId="168" fontId="36" fillId="2" borderId="43" xfId="2" applyNumberFormat="1" applyFont="1" applyFill="1" applyBorder="1" applyAlignment="1" applyProtection="1">
      <alignment horizontal="center" vertical="center"/>
      <protection hidden="1"/>
    </xf>
    <xf numFmtId="168" fontId="36" fillId="2" borderId="44" xfId="2" applyNumberFormat="1" applyFont="1" applyFill="1" applyBorder="1" applyAlignment="1" applyProtection="1">
      <alignment horizontal="center" vertical="center"/>
      <protection hidden="1"/>
    </xf>
    <xf numFmtId="166" fontId="67" fillId="2" borderId="0" xfId="0" applyNumberFormat="1" applyFont="1" applyFill="1" applyBorder="1" applyAlignment="1" applyProtection="1">
      <alignment horizontal="left"/>
      <protection hidden="1"/>
    </xf>
    <xf numFmtId="168" fontId="139" fillId="2" borderId="0" xfId="0" applyNumberFormat="1" applyFont="1" applyFill="1" applyBorder="1" applyAlignment="1" applyProtection="1">
      <alignment horizontal="right"/>
      <protection hidden="1"/>
    </xf>
    <xf numFmtId="0" fontId="18" fillId="2" borderId="0" xfId="0" applyFont="1" applyFill="1" applyBorder="1" applyAlignment="1" applyProtection="1">
      <protection hidden="1"/>
    </xf>
    <xf numFmtId="178" fontId="8" fillId="2" borderId="0" xfId="2" applyNumberFormat="1" applyFont="1" applyFill="1" applyBorder="1" applyAlignment="1" applyProtection="1">
      <alignment horizontal="center" vertical="top"/>
      <protection hidden="1"/>
    </xf>
    <xf numFmtId="0" fontId="19" fillId="2" borderId="0" xfId="2" applyFont="1" applyFill="1" applyAlignment="1" applyProtection="1">
      <protection hidden="1"/>
    </xf>
    <xf numFmtId="0" fontId="3" fillId="2" borderId="0" xfId="2" applyFont="1" applyFill="1" applyAlignment="1" applyProtection="1">
      <alignment vertical="top"/>
      <protection hidden="1"/>
    </xf>
    <xf numFmtId="0" fontId="17" fillId="2" borderId="26" xfId="0" applyFont="1" applyFill="1" applyBorder="1" applyAlignment="1" applyProtection="1">
      <alignment horizontal="center"/>
      <protection hidden="1"/>
    </xf>
    <xf numFmtId="0" fontId="17" fillId="2" borderId="15" xfId="0" applyFont="1" applyFill="1" applyBorder="1" applyAlignment="1" applyProtection="1">
      <alignment horizontal="center"/>
      <protection hidden="1"/>
    </xf>
    <xf numFmtId="185" fontId="8" fillId="2" borderId="0" xfId="0" applyNumberFormat="1" applyFont="1" applyFill="1" applyAlignment="1" applyProtection="1">
      <alignment horizontal="center"/>
      <protection hidden="1"/>
    </xf>
    <xf numFmtId="185" fontId="68" fillId="3" borderId="80" xfId="0" applyNumberFormat="1" applyFont="1" applyFill="1" applyBorder="1" applyAlignment="1" applyProtection="1">
      <alignment horizontal="center" vertical="center"/>
      <protection locked="0"/>
    </xf>
    <xf numFmtId="185" fontId="68" fillId="3" borderId="81" xfId="0" applyNumberFormat="1" applyFont="1" applyFill="1" applyBorder="1" applyAlignment="1" applyProtection="1">
      <alignment horizontal="center" vertical="center"/>
      <protection locked="0"/>
    </xf>
    <xf numFmtId="14" fontId="68" fillId="3" borderId="80" xfId="0" applyNumberFormat="1" applyFont="1" applyFill="1" applyBorder="1" applyAlignment="1" applyProtection="1">
      <alignment horizontal="center" vertical="center"/>
      <protection locked="0"/>
    </xf>
    <xf numFmtId="14" fontId="68" fillId="3" borderId="81" xfId="0" applyNumberFormat="1" applyFont="1" applyFill="1" applyBorder="1" applyAlignment="1" applyProtection="1">
      <alignment horizontal="center" vertical="center"/>
      <protection locked="0"/>
    </xf>
    <xf numFmtId="0" fontId="8" fillId="2" borderId="0" xfId="0" applyFont="1" applyFill="1" applyBorder="1" applyAlignment="1" applyProtection="1">
      <alignment horizontal="center" vertical="top"/>
      <protection hidden="1"/>
    </xf>
    <xf numFmtId="166" fontId="51" fillId="2" borderId="0" xfId="0" applyNumberFormat="1" applyFont="1" applyFill="1" applyBorder="1" applyAlignment="1" applyProtection="1">
      <alignment horizontal="center"/>
      <protection hidden="1"/>
    </xf>
    <xf numFmtId="166" fontId="51" fillId="2" borderId="7" xfId="0" applyNumberFormat="1" applyFont="1" applyFill="1" applyBorder="1" applyAlignment="1" applyProtection="1">
      <alignment horizontal="center" vertical="top"/>
      <protection hidden="1"/>
    </xf>
    <xf numFmtId="166" fontId="8" fillId="2" borderId="7" xfId="0" applyNumberFormat="1" applyFont="1" applyFill="1" applyBorder="1" applyAlignment="1" applyProtection="1">
      <alignment horizontal="center" vertical="center"/>
      <protection hidden="1"/>
    </xf>
    <xf numFmtId="0" fontId="59" fillId="2" borderId="0" xfId="0" applyFont="1" applyFill="1" applyAlignment="1" applyProtection="1">
      <alignment horizontal="center" vertical="center"/>
      <protection hidden="1"/>
    </xf>
    <xf numFmtId="0" fontId="0" fillId="0" borderId="0" xfId="0" applyFill="1" applyBorder="1" applyProtection="1">
      <protection hidden="1"/>
    </xf>
    <xf numFmtId="14" fontId="8" fillId="2" borderId="0" xfId="0" applyNumberFormat="1" applyFont="1" applyFill="1" applyBorder="1" applyAlignment="1" applyProtection="1">
      <alignment horizontal="right"/>
      <protection hidden="1"/>
    </xf>
    <xf numFmtId="0" fontId="8" fillId="2" borderId="0" xfId="0" applyFont="1" applyFill="1" applyBorder="1" applyAlignment="1" applyProtection="1">
      <alignment horizontal="center"/>
      <protection hidden="1"/>
    </xf>
    <xf numFmtId="166" fontId="140" fillId="2" borderId="7" xfId="0" applyNumberFormat="1" applyFont="1" applyFill="1" applyBorder="1" applyAlignment="1" applyProtection="1">
      <alignment horizontal="center" vertical="center"/>
      <protection hidden="1"/>
    </xf>
    <xf numFmtId="0" fontId="8" fillId="2" borderId="7" xfId="0" applyNumberFormat="1" applyFont="1" applyFill="1" applyBorder="1" applyAlignment="1" applyProtection="1">
      <alignment horizontal="center" vertical="center"/>
      <protection hidden="1"/>
    </xf>
    <xf numFmtId="166" fontId="8" fillId="2" borderId="0" xfId="0" applyNumberFormat="1" applyFont="1" applyFill="1" applyBorder="1" applyAlignment="1" applyProtection="1">
      <alignment horizontal="right" vertical="top"/>
      <protection hidden="1"/>
    </xf>
    <xf numFmtId="166" fontId="8" fillId="2" borderId="0" xfId="0" applyNumberFormat="1" applyFont="1" applyFill="1" applyBorder="1" applyAlignment="1" applyProtection="1">
      <alignment horizontal="left" vertical="top"/>
      <protection hidden="1"/>
    </xf>
    <xf numFmtId="181" fontId="18" fillId="2" borderId="0" xfId="0" applyNumberFormat="1" applyFont="1" applyFill="1" applyAlignment="1" applyProtection="1">
      <alignment vertical="center"/>
      <protection hidden="1"/>
    </xf>
    <xf numFmtId="181" fontId="18" fillId="2" borderId="0" xfId="0" applyNumberFormat="1" applyFont="1" applyFill="1" applyAlignment="1" applyProtection="1">
      <alignment horizontal="left" vertical="center"/>
      <protection hidden="1"/>
    </xf>
    <xf numFmtId="186" fontId="18" fillId="2" borderId="0" xfId="0" applyNumberFormat="1" applyFont="1" applyFill="1" applyAlignment="1" applyProtection="1">
      <alignment vertical="center"/>
      <protection hidden="1"/>
    </xf>
    <xf numFmtId="186" fontId="18" fillId="2" borderId="0" xfId="0" applyNumberFormat="1" applyFont="1" applyFill="1" applyAlignment="1" applyProtection="1">
      <alignment horizontal="left" vertical="center"/>
      <protection hidden="1"/>
    </xf>
    <xf numFmtId="166" fontId="51" fillId="2" borderId="0" xfId="0" applyNumberFormat="1" applyFont="1" applyFill="1" applyBorder="1" applyAlignment="1" applyProtection="1">
      <alignment horizontal="center" vertical="top"/>
      <protection hidden="1"/>
    </xf>
    <xf numFmtId="166" fontId="8" fillId="2" borderId="7" xfId="0" applyNumberFormat="1" applyFont="1" applyFill="1" applyBorder="1" applyAlignment="1" applyProtection="1">
      <alignment horizontal="left" vertical="top"/>
      <protection hidden="1"/>
    </xf>
    <xf numFmtId="166" fontId="8" fillId="2" borderId="0" xfId="0" applyNumberFormat="1" applyFont="1" applyFill="1" applyBorder="1" applyAlignment="1" applyProtection="1">
      <alignment horizontal="right" vertical="top" indent="1"/>
      <protection hidden="1"/>
    </xf>
    <xf numFmtId="168" fontId="18" fillId="3" borderId="54" xfId="0" applyNumberFormat="1" applyFont="1" applyFill="1" applyBorder="1" applyAlignment="1" applyProtection="1">
      <alignment vertical="center"/>
      <protection hidden="1"/>
    </xf>
    <xf numFmtId="168" fontId="18" fillId="3" borderId="34" xfId="0" applyNumberFormat="1" applyFont="1" applyFill="1" applyBorder="1" applyAlignment="1" applyProtection="1">
      <alignment vertical="center"/>
      <protection hidden="1"/>
    </xf>
    <xf numFmtId="168" fontId="18" fillId="3" borderId="57" xfId="0" applyNumberFormat="1" applyFont="1" applyFill="1" applyBorder="1" applyAlignment="1" applyProtection="1">
      <alignment vertical="center"/>
      <protection hidden="1"/>
    </xf>
    <xf numFmtId="168" fontId="18" fillId="3" borderId="42" xfId="0" applyNumberFormat="1" applyFont="1" applyFill="1" applyBorder="1" applyAlignment="1" applyProtection="1">
      <alignment vertical="center"/>
      <protection hidden="1"/>
    </xf>
    <xf numFmtId="0" fontId="58" fillId="2" borderId="0" xfId="0" applyFont="1" applyFill="1" applyBorder="1" applyAlignment="1" applyProtection="1">
      <protection hidden="1"/>
    </xf>
    <xf numFmtId="0" fontId="69" fillId="2" borderId="0" xfId="0" applyFont="1" applyFill="1" applyBorder="1" applyAlignment="1" applyProtection="1">
      <alignment horizontal="center" vertical="center"/>
      <protection hidden="1"/>
    </xf>
    <xf numFmtId="185" fontId="50" fillId="2" borderId="0" xfId="2" applyNumberFormat="1" applyFont="1" applyFill="1" applyAlignment="1" applyProtection="1">
      <alignment horizontal="center"/>
      <protection hidden="1"/>
    </xf>
    <xf numFmtId="185" fontId="50" fillId="2" borderId="0" xfId="2" applyNumberFormat="1" applyFont="1" applyFill="1" applyAlignment="1" applyProtection="1">
      <alignment horizontal="center" vertical="top"/>
      <protection hidden="1"/>
    </xf>
    <xf numFmtId="185" fontId="142" fillId="2" borderId="0" xfId="2" applyNumberFormat="1" applyFont="1" applyFill="1" applyAlignment="1" applyProtection="1">
      <alignment horizontal="center"/>
      <protection hidden="1"/>
    </xf>
    <xf numFmtId="185" fontId="142" fillId="2" borderId="0" xfId="2" applyNumberFormat="1" applyFont="1" applyFill="1" applyAlignment="1" applyProtection="1">
      <alignment horizontal="center" vertical="top"/>
      <protection hidden="1"/>
    </xf>
    <xf numFmtId="0" fontId="50" fillId="4" borderId="82" xfId="2" applyNumberFormat="1" applyFont="1" applyFill="1" applyBorder="1" applyAlignment="1" applyProtection="1">
      <alignment horizontal="center" vertical="center"/>
      <protection hidden="1"/>
    </xf>
    <xf numFmtId="0" fontId="8" fillId="2" borderId="0" xfId="0" applyFont="1" applyFill="1" applyBorder="1" applyAlignment="1" applyProtection="1">
      <alignment vertical="center"/>
      <protection hidden="1"/>
    </xf>
    <xf numFmtId="14" fontId="81" fillId="2" borderId="0" xfId="0" applyNumberFormat="1" applyFont="1" applyFill="1" applyBorder="1" applyAlignment="1" applyProtection="1">
      <alignment horizontal="right"/>
      <protection hidden="1"/>
    </xf>
    <xf numFmtId="0" fontId="143" fillId="2" borderId="0" xfId="0" applyFont="1" applyFill="1" applyAlignment="1" applyProtection="1">
      <alignment horizontal="center" vertical="top"/>
      <protection hidden="1"/>
    </xf>
    <xf numFmtId="185" fontId="82" fillId="3" borderId="27" xfId="0" applyNumberFormat="1" applyFont="1" applyFill="1" applyBorder="1" applyAlignment="1" applyProtection="1">
      <alignment horizontal="center" vertical="center"/>
      <protection locked="0"/>
    </xf>
    <xf numFmtId="0" fontId="36" fillId="2" borderId="0" xfId="2" applyFont="1" applyFill="1" applyAlignment="1" applyProtection="1">
      <alignment horizontal="center" vertical="top"/>
      <protection hidden="1"/>
    </xf>
    <xf numFmtId="0" fontId="121" fillId="2" borderId="0" xfId="2" applyFont="1" applyFill="1" applyAlignment="1" applyProtection="1">
      <alignment horizontal="center" vertical="center"/>
      <protection hidden="1"/>
    </xf>
    <xf numFmtId="0" fontId="142" fillId="2" borderId="0" xfId="2" applyFont="1" applyFill="1" applyAlignment="1" applyProtection="1">
      <alignment horizontal="center" vertical="center"/>
      <protection hidden="1"/>
    </xf>
    <xf numFmtId="0" fontId="17" fillId="2" borderId="6" xfId="0" applyNumberFormat="1" applyFont="1" applyFill="1" applyBorder="1" applyAlignment="1" applyProtection="1">
      <alignment horizontal="left" vertical="center" indent="1"/>
      <protection hidden="1"/>
    </xf>
    <xf numFmtId="0" fontId="70" fillId="2" borderId="0" xfId="0" applyFont="1" applyFill="1" applyBorder="1" applyAlignment="1" applyProtection="1">
      <alignment horizontal="center" vertical="center"/>
      <protection hidden="1"/>
    </xf>
    <xf numFmtId="0" fontId="17" fillId="2" borderId="0" xfId="0" applyNumberFormat="1" applyFont="1" applyFill="1" applyAlignment="1" applyProtection="1">
      <alignment vertical="top"/>
      <protection hidden="1"/>
    </xf>
    <xf numFmtId="0" fontId="62" fillId="2" borderId="0" xfId="0" applyFont="1" applyFill="1" applyBorder="1" applyAlignment="1" applyProtection="1">
      <alignment horizontal="right" vertical="top"/>
      <protection hidden="1"/>
    </xf>
    <xf numFmtId="0" fontId="35" fillId="2" borderId="83" xfId="0" applyFont="1" applyFill="1" applyBorder="1" applyAlignment="1" applyProtection="1">
      <alignment horizontal="center" vertical="center"/>
      <protection hidden="1"/>
    </xf>
    <xf numFmtId="0" fontId="17" fillId="2" borderId="0" xfId="0" applyFont="1" applyFill="1" applyProtection="1">
      <protection hidden="1"/>
    </xf>
    <xf numFmtId="0" fontId="17" fillId="2" borderId="0" xfId="0" applyFont="1" applyFill="1" applyAlignment="1" applyProtection="1">
      <alignment vertical="top"/>
      <protection hidden="1"/>
    </xf>
    <xf numFmtId="0" fontId="17" fillId="2" borderId="0" xfId="0" applyFont="1" applyFill="1" applyAlignment="1" applyProtection="1">
      <alignment horizontal="left" vertical="top"/>
      <protection hidden="1"/>
    </xf>
    <xf numFmtId="185" fontId="61" fillId="2" borderId="6" xfId="2" applyNumberFormat="1" applyFont="1" applyFill="1" applyBorder="1" applyAlignment="1" applyProtection="1">
      <alignment horizontal="center" vertical="center"/>
      <protection hidden="1"/>
    </xf>
    <xf numFmtId="0" fontId="17" fillId="2" borderId="0" xfId="0" applyFont="1" applyFill="1" applyBorder="1" applyAlignment="1" applyProtection="1">
      <alignment horizontal="left"/>
      <protection hidden="1"/>
    </xf>
    <xf numFmtId="0" fontId="17" fillId="2" borderId="0" xfId="0" applyFont="1" applyFill="1" applyBorder="1" applyAlignment="1" applyProtection="1">
      <alignment horizontal="left" vertical="top"/>
      <protection hidden="1"/>
    </xf>
    <xf numFmtId="0" fontId="14" fillId="2" borderId="0" xfId="0" applyFont="1" applyFill="1" applyAlignment="1" applyProtection="1">
      <alignment horizontal="left" indent="1"/>
      <protection hidden="1"/>
    </xf>
    <xf numFmtId="166" fontId="17" fillId="2" borderId="0" xfId="0" applyNumberFormat="1" applyFont="1" applyFill="1" applyBorder="1" applyAlignment="1" applyProtection="1">
      <alignment vertical="center"/>
      <protection hidden="1"/>
    </xf>
    <xf numFmtId="0" fontId="58" fillId="2" borderId="0" xfId="2" applyNumberFormat="1" applyFont="1" applyFill="1" applyBorder="1" applyAlignment="1" applyProtection="1">
      <alignment horizontal="center" vertical="center"/>
      <protection hidden="1"/>
    </xf>
    <xf numFmtId="168" fontId="67" fillId="2" borderId="21" xfId="2" applyNumberFormat="1" applyFont="1" applyFill="1" applyBorder="1" applyAlignment="1" applyProtection="1">
      <alignment vertical="center"/>
      <protection locked="0"/>
    </xf>
    <xf numFmtId="168" fontId="67" fillId="2" borderId="25" xfId="2" applyNumberFormat="1" applyFont="1" applyFill="1" applyBorder="1" applyAlignment="1" applyProtection="1">
      <alignment vertical="center"/>
      <protection locked="0"/>
    </xf>
    <xf numFmtId="0" fontId="19" fillId="2" borderId="2" xfId="2" applyFont="1" applyFill="1" applyBorder="1" applyAlignment="1" applyProtection="1">
      <alignment vertical="center"/>
      <protection hidden="1"/>
    </xf>
    <xf numFmtId="0" fontId="19" fillId="2" borderId="3" xfId="2" applyFont="1" applyFill="1" applyBorder="1" applyAlignment="1" applyProtection="1">
      <alignment vertical="center"/>
      <protection hidden="1"/>
    </xf>
    <xf numFmtId="0" fontId="19" fillId="2" borderId="15" xfId="2" applyFont="1" applyFill="1" applyBorder="1" applyAlignment="1" applyProtection="1">
      <alignment vertical="center"/>
      <protection hidden="1"/>
    </xf>
    <xf numFmtId="0" fontId="18" fillId="3" borderId="61" xfId="2" applyNumberFormat="1" applyFont="1" applyFill="1" applyBorder="1" applyAlignment="1" applyProtection="1">
      <alignment horizontal="center" vertical="center"/>
      <protection locked="0"/>
    </xf>
    <xf numFmtId="0" fontId="18" fillId="3" borderId="64" xfId="2" applyNumberFormat="1" applyFont="1" applyFill="1" applyBorder="1" applyAlignment="1" applyProtection="1">
      <alignment horizontal="center" vertical="center"/>
      <protection locked="0"/>
    </xf>
    <xf numFmtId="0" fontId="18" fillId="3" borderId="41" xfId="2" applyNumberFormat="1" applyFont="1" applyFill="1" applyBorder="1" applyAlignment="1" applyProtection="1">
      <alignment horizontal="center" vertical="center"/>
      <protection locked="0"/>
    </xf>
    <xf numFmtId="0" fontId="18" fillId="3" borderId="84" xfId="2" applyNumberFormat="1" applyFont="1" applyFill="1" applyBorder="1" applyAlignment="1" applyProtection="1">
      <alignment horizontal="center" vertical="center"/>
      <protection locked="0"/>
    </xf>
    <xf numFmtId="0" fontId="18" fillId="2" borderId="5" xfId="2" applyNumberFormat="1" applyFont="1" applyFill="1" applyBorder="1" applyAlignment="1" applyProtection="1">
      <alignment horizontal="center" vertical="center"/>
      <protection locked="0"/>
    </xf>
    <xf numFmtId="0" fontId="18" fillId="2" borderId="85" xfId="2" applyNumberFormat="1" applyFont="1" applyFill="1" applyBorder="1" applyAlignment="1" applyProtection="1">
      <alignment horizontal="center" vertical="center"/>
      <protection locked="0"/>
    </xf>
    <xf numFmtId="0" fontId="67" fillId="3" borderId="57" xfId="2" applyFont="1" applyFill="1" applyBorder="1" applyAlignment="1" applyProtection="1">
      <alignment horizontal="center" vertical="center"/>
      <protection hidden="1"/>
    </xf>
    <xf numFmtId="0" fontId="67" fillId="3" borderId="59" xfId="2" applyFont="1" applyFill="1" applyBorder="1" applyAlignment="1" applyProtection="1">
      <alignment horizontal="center" vertical="center"/>
      <protection hidden="1"/>
    </xf>
    <xf numFmtId="0" fontId="18" fillId="3" borderId="86" xfId="2" applyNumberFormat="1" applyFont="1" applyFill="1" applyBorder="1" applyAlignment="1" applyProtection="1">
      <alignment horizontal="center" vertical="center"/>
      <protection locked="0"/>
    </xf>
    <xf numFmtId="0" fontId="18" fillId="3" borderId="87" xfId="2" applyNumberFormat="1" applyFont="1" applyFill="1" applyBorder="1" applyAlignment="1" applyProtection="1">
      <alignment horizontal="center" vertical="center"/>
      <protection locked="0"/>
    </xf>
    <xf numFmtId="0" fontId="18" fillId="2" borderId="60" xfId="2" applyNumberFormat="1" applyFont="1" applyFill="1" applyBorder="1" applyAlignment="1" applyProtection="1">
      <alignment horizontal="center" vertical="center"/>
      <protection locked="0"/>
    </xf>
    <xf numFmtId="0" fontId="18" fillId="2" borderId="63" xfId="2" applyNumberFormat="1" applyFont="1" applyFill="1" applyBorder="1" applyAlignment="1" applyProtection="1">
      <alignment horizontal="center" vertical="center"/>
      <protection locked="0"/>
    </xf>
    <xf numFmtId="0" fontId="18" fillId="3" borderId="1" xfId="2" applyNumberFormat="1" applyFont="1" applyFill="1" applyBorder="1" applyAlignment="1" applyProtection="1">
      <alignment horizontal="center" vertical="center"/>
      <protection locked="0"/>
    </xf>
    <xf numFmtId="0" fontId="18" fillId="3" borderId="22" xfId="2" applyNumberFormat="1" applyFont="1" applyFill="1" applyBorder="1" applyAlignment="1" applyProtection="1">
      <alignment horizontal="center" vertical="center"/>
      <protection locked="0"/>
    </xf>
    <xf numFmtId="0" fontId="18" fillId="3" borderId="62" xfId="2" applyNumberFormat="1" applyFont="1" applyFill="1" applyBorder="1" applyAlignment="1" applyProtection="1">
      <alignment horizontal="center" vertical="center"/>
      <protection locked="0"/>
    </xf>
    <xf numFmtId="0" fontId="18" fillId="3" borderId="65" xfId="2" applyNumberFormat="1" applyFont="1" applyFill="1" applyBorder="1" applyAlignment="1" applyProtection="1">
      <alignment horizontal="center" vertical="center"/>
      <protection locked="0"/>
    </xf>
    <xf numFmtId="0" fontId="125" fillId="2" borderId="0" xfId="0" applyFont="1" applyFill="1" applyBorder="1" applyAlignment="1" applyProtection="1">
      <alignment horizontal="center" vertical="center"/>
      <protection hidden="1"/>
    </xf>
    <xf numFmtId="0" fontId="48" fillId="2" borderId="0" xfId="0" applyFont="1" applyFill="1" applyAlignment="1" applyProtection="1">
      <alignment horizontal="left" vertical="center" indent="1"/>
      <protection hidden="1"/>
    </xf>
    <xf numFmtId="0" fontId="14" fillId="2" borderId="0" xfId="0" applyFont="1" applyFill="1" applyAlignment="1" applyProtection="1">
      <alignment horizontal="left" vertical="center" indent="1"/>
      <protection hidden="1"/>
    </xf>
    <xf numFmtId="0" fontId="47" fillId="2" borderId="0" xfId="0" applyFont="1" applyFill="1" applyAlignment="1" applyProtection="1">
      <alignment vertical="center"/>
      <protection hidden="1"/>
    </xf>
    <xf numFmtId="0" fontId="88" fillId="2" borderId="0" xfId="0" applyFont="1" applyFill="1" applyAlignment="1" applyProtection="1">
      <protection hidden="1"/>
    </xf>
    <xf numFmtId="0" fontId="120" fillId="2" borderId="0" xfId="0" applyFont="1" applyFill="1" applyAlignment="1" applyProtection="1">
      <alignment horizontal="left" vertical="top" indent="1"/>
      <protection hidden="1"/>
    </xf>
    <xf numFmtId="0" fontId="78" fillId="2" borderId="7" xfId="0" applyFont="1" applyFill="1" applyBorder="1" applyAlignment="1" applyProtection="1">
      <alignment horizontal="left" vertical="top" indent="1"/>
      <protection hidden="1"/>
    </xf>
    <xf numFmtId="0" fontId="120" fillId="2" borderId="7" xfId="0" applyFont="1" applyFill="1" applyBorder="1" applyAlignment="1" applyProtection="1">
      <alignment horizontal="left" vertical="top" indent="1"/>
      <protection hidden="1"/>
    </xf>
    <xf numFmtId="0" fontId="19" fillId="2" borderId="7" xfId="0" applyFont="1" applyFill="1" applyBorder="1" applyProtection="1">
      <protection hidden="1"/>
    </xf>
    <xf numFmtId="0" fontId="17" fillId="2" borderId="0" xfId="0" applyFont="1" applyFill="1" applyAlignment="1" applyProtection="1">
      <alignment horizontal="left" indent="1"/>
      <protection hidden="1"/>
    </xf>
    <xf numFmtId="0" fontId="17" fillId="2" borderId="0" xfId="0" applyFont="1" applyFill="1" applyAlignment="1" applyProtection="1">
      <alignment horizontal="left" vertical="top" indent="1"/>
      <protection hidden="1"/>
    </xf>
    <xf numFmtId="0" fontId="48" fillId="2" borderId="0" xfId="0" applyFont="1" applyFill="1" applyProtection="1">
      <protection hidden="1"/>
    </xf>
    <xf numFmtId="0" fontId="62" fillId="2" borderId="0" xfId="2" applyFont="1" applyFill="1" applyBorder="1" applyAlignment="1" applyProtection="1">
      <alignment horizontal="center"/>
      <protection hidden="1"/>
    </xf>
    <xf numFmtId="0" fontId="62" fillId="2" borderId="0" xfId="2" applyFont="1" applyFill="1" applyBorder="1" applyAlignment="1" applyProtection="1">
      <alignment horizontal="center" vertical="top"/>
      <protection hidden="1"/>
    </xf>
    <xf numFmtId="0" fontId="63" fillId="2" borderId="0" xfId="2" applyFont="1" applyFill="1" applyBorder="1" applyAlignment="1" applyProtection="1">
      <alignment horizontal="center" vertical="top"/>
      <protection hidden="1"/>
    </xf>
    <xf numFmtId="0" fontId="99" fillId="2" borderId="0" xfId="2" applyFont="1" applyFill="1" applyBorder="1" applyProtection="1">
      <protection hidden="1"/>
    </xf>
    <xf numFmtId="178" fontId="3" fillId="2" borderId="0" xfId="2" applyNumberFormat="1" applyFill="1" applyBorder="1" applyAlignment="1" applyProtection="1">
      <protection hidden="1"/>
    </xf>
    <xf numFmtId="179" fontId="8" fillId="2" borderId="0" xfId="2" applyNumberFormat="1" applyFont="1" applyFill="1" applyBorder="1" applyAlignment="1" applyProtection="1">
      <alignment horizontal="left" indent="1"/>
      <protection hidden="1"/>
    </xf>
    <xf numFmtId="178" fontId="3" fillId="2" borderId="0" xfId="2" applyNumberFormat="1" applyFill="1" applyBorder="1" applyAlignment="1" applyProtection="1">
      <alignment vertical="top"/>
      <protection hidden="1"/>
    </xf>
    <xf numFmtId="179" fontId="8" fillId="2" borderId="0" xfId="2" applyNumberFormat="1" applyFont="1" applyFill="1" applyBorder="1" applyAlignment="1" applyProtection="1">
      <alignment horizontal="left" vertical="top" indent="1"/>
      <protection hidden="1"/>
    </xf>
    <xf numFmtId="0" fontId="91" fillId="2" borderId="0" xfId="2" applyFont="1" applyFill="1" applyBorder="1" applyAlignment="1" applyProtection="1">
      <alignment horizontal="right" indent="1"/>
      <protection hidden="1"/>
    </xf>
    <xf numFmtId="0" fontId="91" fillId="2" borderId="0" xfId="2" applyFont="1" applyFill="1" applyBorder="1" applyAlignment="1" applyProtection="1">
      <alignment horizontal="right" vertical="top" indent="1"/>
      <protection hidden="1"/>
    </xf>
    <xf numFmtId="0" fontId="3" fillId="2" borderId="0" xfId="2" applyFont="1" applyFill="1" applyBorder="1" applyProtection="1">
      <protection hidden="1"/>
    </xf>
    <xf numFmtId="178" fontId="3" fillId="2" borderId="0" xfId="2" applyNumberFormat="1" applyFont="1" applyFill="1" applyBorder="1" applyAlignment="1" applyProtection="1">
      <alignment vertical="center"/>
      <protection hidden="1"/>
    </xf>
    <xf numFmtId="178" fontId="3" fillId="2" borderId="0" xfId="2" applyNumberFormat="1" applyFill="1" applyBorder="1" applyAlignment="1" applyProtection="1">
      <alignment vertical="center"/>
      <protection hidden="1"/>
    </xf>
    <xf numFmtId="0" fontId="48" fillId="2" borderId="0" xfId="0" applyFont="1" applyFill="1" applyAlignment="1" applyProtection="1">
      <alignment horizontal="right" indent="1"/>
      <protection hidden="1"/>
    </xf>
    <xf numFmtId="0" fontId="14" fillId="2" borderId="0" xfId="0" applyFont="1" applyFill="1" applyAlignment="1" applyProtection="1">
      <alignment horizontal="left"/>
      <protection hidden="1"/>
    </xf>
    <xf numFmtId="0" fontId="70" fillId="2" borderId="0" xfId="0" applyFont="1" applyFill="1" applyAlignment="1" applyProtection="1">
      <alignment horizontal="left" vertical="top" indent="1"/>
      <protection hidden="1"/>
    </xf>
    <xf numFmtId="1" fontId="93" fillId="2" borderId="0" xfId="0" applyNumberFormat="1" applyFont="1" applyFill="1" applyAlignment="1" applyProtection="1">
      <alignment horizontal="center" vertical="center"/>
      <protection hidden="1"/>
    </xf>
    <xf numFmtId="14" fontId="61" fillId="2" borderId="60" xfId="2" applyNumberFormat="1" applyFont="1" applyFill="1" applyBorder="1" applyAlignment="1" applyProtection="1">
      <alignment horizontal="center" vertical="center"/>
      <protection hidden="1"/>
    </xf>
    <xf numFmtId="0" fontId="17" fillId="2" borderId="56" xfId="0" applyFont="1" applyFill="1" applyBorder="1" applyAlignment="1" applyProtection="1">
      <alignment horizontal="left" vertical="center" indent="1"/>
      <protection hidden="1"/>
    </xf>
    <xf numFmtId="14" fontId="61" fillId="2" borderId="61" xfId="2" applyNumberFormat="1" applyFont="1" applyFill="1" applyBorder="1" applyAlignment="1" applyProtection="1">
      <alignment horizontal="center" vertical="center"/>
      <protection hidden="1"/>
    </xf>
    <xf numFmtId="0" fontId="17" fillId="2" borderId="35" xfId="0" applyFont="1" applyFill="1" applyBorder="1" applyAlignment="1" applyProtection="1">
      <alignment horizontal="left" vertical="center" indent="1"/>
      <protection hidden="1"/>
    </xf>
    <xf numFmtId="14" fontId="61" fillId="2" borderId="62" xfId="2" applyNumberFormat="1" applyFont="1" applyFill="1" applyBorder="1" applyAlignment="1" applyProtection="1">
      <alignment horizontal="center" vertical="center"/>
      <protection hidden="1"/>
    </xf>
    <xf numFmtId="0" fontId="17" fillId="2" borderId="59" xfId="0" applyFont="1" applyFill="1" applyBorder="1" applyAlignment="1" applyProtection="1">
      <alignment horizontal="left" vertical="center" indent="1"/>
      <protection hidden="1"/>
    </xf>
    <xf numFmtId="0" fontId="35" fillId="2" borderId="0" xfId="0" applyFont="1" applyFill="1" applyProtection="1">
      <protection hidden="1"/>
    </xf>
    <xf numFmtId="0" fontId="70" fillId="2" borderId="22" xfId="0" applyFont="1" applyFill="1" applyBorder="1" applyAlignment="1" applyProtection="1">
      <alignment vertical="center"/>
      <protection hidden="1"/>
    </xf>
    <xf numFmtId="168" fontId="67" fillId="3" borderId="5" xfId="2" applyNumberFormat="1" applyFont="1" applyFill="1" applyBorder="1" applyAlignment="1" applyProtection="1">
      <alignment vertical="center"/>
      <protection hidden="1"/>
    </xf>
    <xf numFmtId="168" fontId="67" fillId="3" borderId="44" xfId="2" applyNumberFormat="1" applyFont="1" applyFill="1" applyBorder="1" applyAlignment="1" applyProtection="1">
      <alignment vertical="center"/>
      <protection hidden="1"/>
    </xf>
    <xf numFmtId="0" fontId="18" fillId="2" borderId="51" xfId="2" applyNumberFormat="1" applyFont="1" applyFill="1" applyBorder="1" applyAlignment="1" applyProtection="1">
      <alignment horizontal="center" vertical="center"/>
      <protection locked="0"/>
    </xf>
    <xf numFmtId="0" fontId="18" fillId="2" borderId="50" xfId="2" applyNumberFormat="1" applyFont="1" applyFill="1" applyBorder="1" applyAlignment="1" applyProtection="1">
      <alignment horizontal="center" vertical="center"/>
      <protection locked="0"/>
    </xf>
    <xf numFmtId="0" fontId="18" fillId="2" borderId="42" xfId="2" applyNumberFormat="1" applyFont="1" applyFill="1" applyBorder="1" applyAlignment="1" applyProtection="1">
      <alignment horizontal="center" vertical="center"/>
      <protection locked="0"/>
    </xf>
    <xf numFmtId="0" fontId="18" fillId="2" borderId="44" xfId="2" applyNumberFormat="1" applyFont="1" applyFill="1" applyBorder="1" applyAlignment="1" applyProtection="1">
      <alignment horizontal="center" vertical="center"/>
      <protection locked="0"/>
    </xf>
    <xf numFmtId="0" fontId="45" fillId="3" borderId="27" xfId="2" applyFont="1" applyFill="1" applyBorder="1" applyAlignment="1" applyProtection="1">
      <alignment horizontal="center" vertical="center"/>
      <protection hidden="1"/>
    </xf>
    <xf numFmtId="0" fontId="45" fillId="3" borderId="42" xfId="2" applyFont="1" applyFill="1" applyBorder="1" applyAlignment="1" applyProtection="1">
      <alignment horizontal="center" vertical="center"/>
      <protection hidden="1"/>
    </xf>
    <xf numFmtId="0" fontId="45" fillId="3" borderId="44" xfId="2" applyFont="1" applyFill="1" applyBorder="1" applyAlignment="1" applyProtection="1">
      <alignment horizontal="center" vertical="center"/>
      <protection hidden="1"/>
    </xf>
    <xf numFmtId="0" fontId="6" fillId="3" borderId="51" xfId="2" applyFont="1" applyFill="1" applyBorder="1" applyAlignment="1" applyProtection="1">
      <alignment horizontal="centerContinuous" vertical="center"/>
      <protection hidden="1"/>
    </xf>
    <xf numFmtId="49" fontId="6" fillId="3" borderId="74" xfId="2" applyNumberFormat="1" applyFont="1" applyFill="1" applyBorder="1" applyAlignment="1" applyProtection="1">
      <alignment horizontal="centerContinuous" vertical="center"/>
      <protection hidden="1"/>
    </xf>
    <xf numFmtId="0" fontId="14" fillId="2" borderId="0" xfId="2" applyFont="1" applyFill="1" applyBorder="1" applyAlignment="1" applyProtection="1">
      <protection hidden="1"/>
    </xf>
    <xf numFmtId="0" fontId="67" fillId="2" borderId="7" xfId="2" applyFont="1" applyFill="1" applyBorder="1" applyAlignment="1" applyProtection="1">
      <alignment vertical="top"/>
      <protection hidden="1"/>
    </xf>
    <xf numFmtId="0" fontId="89" fillId="2" borderId="0" xfId="0" applyNumberFormat="1" applyFont="1" applyFill="1" applyAlignment="1" applyProtection="1">
      <alignment vertical="top"/>
      <protection hidden="1"/>
    </xf>
    <xf numFmtId="174" fontId="68" fillId="3" borderId="27" xfId="5" applyNumberFormat="1" applyFont="1" applyFill="1" applyBorder="1" applyAlignment="1" applyProtection="1">
      <alignment horizontal="center" vertical="center"/>
      <protection hidden="1"/>
    </xf>
    <xf numFmtId="0" fontId="85" fillId="2" borderId="0" xfId="0" applyFont="1" applyFill="1" applyBorder="1" applyAlignment="1" applyProtection="1">
      <alignment vertical="center"/>
      <protection hidden="1"/>
    </xf>
    <xf numFmtId="0" fontId="37" fillId="2" borderId="88" xfId="2" applyFont="1" applyFill="1" applyBorder="1" applyAlignment="1" applyProtection="1">
      <alignment horizontal="center" vertical="center"/>
      <protection hidden="1"/>
    </xf>
    <xf numFmtId="0" fontId="68" fillId="2" borderId="0" xfId="5" applyFont="1" applyFill="1" applyAlignment="1" applyProtection="1">
      <protection hidden="1"/>
    </xf>
    <xf numFmtId="0" fontId="69" fillId="2" borderId="0" xfId="0" applyFont="1" applyFill="1" applyAlignment="1" applyProtection="1">
      <alignment vertical="center"/>
      <protection hidden="1"/>
    </xf>
    <xf numFmtId="0" fontId="69" fillId="2" borderId="0" xfId="0" applyFont="1" applyFill="1" applyAlignment="1" applyProtection="1">
      <alignment vertical="top"/>
      <protection hidden="1"/>
    </xf>
    <xf numFmtId="0" fontId="79" fillId="2" borderId="0" xfId="0" applyNumberFormat="1" applyFont="1" applyFill="1" applyAlignment="1" applyProtection="1">
      <protection hidden="1"/>
    </xf>
    <xf numFmtId="0" fontId="68" fillId="2" borderId="0" xfId="0" applyNumberFormat="1" applyFont="1" applyFill="1" applyAlignment="1" applyProtection="1">
      <protection hidden="1"/>
    </xf>
    <xf numFmtId="0" fontId="68" fillId="2" borderId="0" xfId="0" applyNumberFormat="1" applyFont="1" applyFill="1" applyAlignment="1" applyProtection="1">
      <alignment vertical="center"/>
      <protection hidden="1"/>
    </xf>
    <xf numFmtId="0" fontId="70" fillId="2" borderId="0" xfId="0" applyNumberFormat="1" applyFont="1" applyFill="1" applyAlignment="1" applyProtection="1">
      <alignment vertical="top"/>
      <protection hidden="1"/>
    </xf>
    <xf numFmtId="0" fontId="59" fillId="2" borderId="0" xfId="0" applyNumberFormat="1" applyFont="1" applyFill="1" applyAlignment="1" applyProtection="1">
      <alignment horizontal="left" indent="1"/>
      <protection hidden="1"/>
    </xf>
    <xf numFmtId="0" fontId="59" fillId="2" borderId="0" xfId="0" applyNumberFormat="1" applyFont="1" applyFill="1" applyAlignment="1" applyProtection="1">
      <alignment horizontal="left" vertical="center" indent="1"/>
      <protection hidden="1"/>
    </xf>
    <xf numFmtId="0" fontId="8" fillId="2" borderId="0" xfId="0" applyNumberFormat="1" applyFont="1" applyFill="1" applyAlignment="1" applyProtection="1">
      <alignment horizontal="left" vertical="top" indent="1"/>
      <protection hidden="1"/>
    </xf>
    <xf numFmtId="0" fontId="81" fillId="2" borderId="0" xfId="2" applyFont="1" applyFill="1" applyAlignment="1" applyProtection="1">
      <protection hidden="1"/>
    </xf>
    <xf numFmtId="0" fontId="135" fillId="2" borderId="0" xfId="2" applyFont="1" applyFill="1" applyProtection="1">
      <protection hidden="1"/>
    </xf>
    <xf numFmtId="166" fontId="8" fillId="2" borderId="0" xfId="0" applyNumberFormat="1" applyFont="1" applyFill="1" applyAlignment="1" applyProtection="1">
      <protection hidden="1"/>
    </xf>
    <xf numFmtId="0" fontId="150" fillId="2" borderId="0" xfId="1" applyNumberFormat="1" applyFont="1" applyFill="1" applyAlignment="1" applyProtection="1">
      <alignment horizontal="left" indent="1"/>
      <protection locked="0"/>
    </xf>
    <xf numFmtId="0" fontId="85" fillId="2" borderId="0" xfId="0" applyNumberFormat="1" applyFont="1" applyFill="1" applyAlignment="1" applyProtection="1">
      <alignment horizontal="right" indent="1"/>
      <protection hidden="1"/>
    </xf>
    <xf numFmtId="0" fontId="142" fillId="6" borderId="89" xfId="2" applyFont="1" applyFill="1" applyBorder="1" applyAlignment="1" applyProtection="1">
      <alignment horizontal="center" vertical="center"/>
      <protection hidden="1"/>
    </xf>
    <xf numFmtId="0" fontId="150" fillId="2" borderId="0" xfId="1" applyFont="1" applyFill="1" applyAlignment="1" applyProtection="1">
      <alignment vertical="top"/>
      <protection hidden="1"/>
    </xf>
    <xf numFmtId="0" fontId="133" fillId="2" borderId="0" xfId="0" applyFont="1" applyFill="1" applyAlignment="1" applyProtection="1">
      <alignment horizontal="right" vertical="center"/>
      <protection hidden="1"/>
    </xf>
    <xf numFmtId="0" fontId="102" fillId="2" borderId="0" xfId="2" applyFont="1" applyFill="1" applyAlignment="1" applyProtection="1">
      <alignment horizontal="right" indent="3"/>
      <protection hidden="1"/>
    </xf>
    <xf numFmtId="0" fontId="102" fillId="2" borderId="0" xfId="2" applyFont="1" applyFill="1" applyAlignment="1" applyProtection="1">
      <alignment horizontal="right" vertical="top" indent="1"/>
      <protection hidden="1"/>
    </xf>
    <xf numFmtId="166" fontId="85" fillId="2" borderId="0" xfId="2" applyNumberFormat="1" applyFont="1" applyFill="1" applyBorder="1" applyAlignment="1" applyProtection="1">
      <alignment horizontal="right"/>
      <protection hidden="1"/>
    </xf>
    <xf numFmtId="0" fontId="134" fillId="2" borderId="7" xfId="2" applyFont="1" applyFill="1" applyBorder="1" applyAlignment="1" applyProtection="1">
      <alignment horizontal="center" vertical="top"/>
      <protection hidden="1"/>
    </xf>
    <xf numFmtId="166" fontId="78" fillId="2" borderId="75" xfId="2" applyNumberFormat="1" applyFont="1" applyFill="1" applyBorder="1" applyAlignment="1" applyProtection="1">
      <alignment horizontal="left" vertical="top"/>
      <protection hidden="1"/>
    </xf>
    <xf numFmtId="0" fontId="134" fillId="2" borderId="0" xfId="2" applyFont="1" applyFill="1" applyAlignment="1" applyProtection="1">
      <alignment horizontal="center" vertical="top"/>
      <protection hidden="1"/>
    </xf>
    <xf numFmtId="0" fontId="36" fillId="2" borderId="0" xfId="2" applyFont="1" applyFill="1" applyBorder="1" applyProtection="1">
      <protection hidden="1"/>
    </xf>
    <xf numFmtId="166" fontId="85" fillId="2" borderId="0" xfId="2" applyNumberFormat="1" applyFont="1" applyFill="1" applyAlignment="1" applyProtection="1">
      <alignment horizontal="right"/>
      <protection hidden="1"/>
    </xf>
    <xf numFmtId="0" fontId="36" fillId="2" borderId="0" xfId="2" applyFont="1" applyFill="1" applyAlignment="1" applyProtection="1">
      <alignment horizontal="right" vertical="center"/>
      <protection hidden="1"/>
    </xf>
    <xf numFmtId="0" fontId="36" fillId="2" borderId="6" xfId="2" applyFont="1" applyFill="1" applyBorder="1" applyAlignment="1" applyProtection="1">
      <alignment horizontal="center" vertical="center"/>
      <protection hidden="1"/>
    </xf>
    <xf numFmtId="0" fontId="133" fillId="2" borderId="0" xfId="0" applyFont="1" applyFill="1" applyProtection="1">
      <protection hidden="1"/>
    </xf>
    <xf numFmtId="0" fontId="133" fillId="2" borderId="0" xfId="0" applyFont="1" applyFill="1" applyAlignment="1" applyProtection="1">
      <alignment vertical="top"/>
      <protection hidden="1"/>
    </xf>
    <xf numFmtId="14" fontId="17" fillId="2" borderId="0" xfId="0" applyNumberFormat="1" applyFont="1" applyFill="1" applyAlignment="1" applyProtection="1">
      <alignment horizontal="center" vertical="center"/>
      <protection hidden="1"/>
    </xf>
    <xf numFmtId="14" fontId="35" fillId="2" borderId="0" xfId="0" applyNumberFormat="1" applyFont="1" applyFill="1" applyAlignment="1" applyProtection="1">
      <alignment horizontal="center" vertical="center"/>
      <protection hidden="1"/>
    </xf>
    <xf numFmtId="0" fontId="91" fillId="2" borderId="0" xfId="2" applyFont="1" applyFill="1" applyAlignment="1" applyProtection="1">
      <protection hidden="1"/>
    </xf>
    <xf numFmtId="0" fontId="36" fillId="2" borderId="0" xfId="2" applyFont="1" applyFill="1" applyAlignment="1" applyProtection="1">
      <alignment horizontal="right"/>
      <protection hidden="1"/>
    </xf>
    <xf numFmtId="0" fontId="36" fillId="2" borderId="0" xfId="2" applyFont="1" applyFill="1" applyAlignment="1" applyProtection="1">
      <alignment horizontal="right" vertical="top"/>
      <protection hidden="1"/>
    </xf>
    <xf numFmtId="168" fontId="49" fillId="2" borderId="0" xfId="2" applyNumberFormat="1" applyFont="1" applyFill="1" applyBorder="1" applyAlignment="1" applyProtection="1">
      <alignment horizontal="left" vertical="top"/>
      <protection hidden="1"/>
    </xf>
    <xf numFmtId="0" fontId="36" fillId="2" borderId="0" xfId="2" applyFont="1" applyFill="1" applyAlignment="1" applyProtection="1">
      <alignment horizontal="left"/>
      <protection hidden="1"/>
    </xf>
    <xf numFmtId="0" fontId="33" fillId="2" borderId="0" xfId="0" applyFont="1" applyFill="1" applyAlignment="1" applyProtection="1">
      <alignment horizontal="center" vertical="center"/>
      <protection hidden="1"/>
    </xf>
    <xf numFmtId="14" fontId="14" fillId="2" borderId="0" xfId="0" applyNumberFormat="1" applyFont="1" applyFill="1" applyBorder="1" applyAlignment="1" applyProtection="1">
      <alignment horizontal="center"/>
      <protection hidden="1"/>
    </xf>
    <xf numFmtId="0" fontId="14" fillId="2" borderId="0" xfId="0" applyNumberFormat="1" applyFont="1" applyFill="1" applyAlignment="1" applyProtection="1">
      <alignment horizontal="left"/>
      <protection hidden="1"/>
    </xf>
    <xf numFmtId="14" fontId="14" fillId="2" borderId="0" xfId="0" applyNumberFormat="1" applyFont="1" applyFill="1" applyBorder="1" applyAlignment="1" applyProtection="1">
      <alignment horizontal="center" vertical="top"/>
      <protection hidden="1"/>
    </xf>
    <xf numFmtId="0" fontId="14" fillId="2" borderId="0" xfId="0" applyFont="1" applyFill="1" applyAlignment="1" applyProtection="1">
      <alignment horizontal="left" vertical="top"/>
      <protection hidden="1"/>
    </xf>
    <xf numFmtId="0" fontId="148" fillId="2" borderId="0" xfId="0" applyFont="1" applyFill="1" applyProtection="1">
      <protection hidden="1"/>
    </xf>
    <xf numFmtId="0" fontId="14" fillId="2" borderId="82" xfId="0" applyFont="1" applyFill="1" applyBorder="1" applyAlignment="1" applyProtection="1">
      <alignment vertical="top"/>
      <protection hidden="1"/>
    </xf>
    <xf numFmtId="0" fontId="141" fillId="2" borderId="0" xfId="0" applyNumberFormat="1" applyFont="1" applyFill="1" applyAlignment="1" applyProtection="1">
      <alignment horizontal="left" indent="1"/>
      <protection hidden="1"/>
    </xf>
    <xf numFmtId="0" fontId="35" fillId="2" borderId="0" xfId="0" applyNumberFormat="1" applyFont="1" applyFill="1" applyAlignment="1" applyProtection="1">
      <protection hidden="1"/>
    </xf>
    <xf numFmtId="0" fontId="141" fillId="2" borderId="0" xfId="0" applyNumberFormat="1" applyFont="1" applyFill="1" applyAlignment="1" applyProtection="1">
      <protection hidden="1"/>
    </xf>
    <xf numFmtId="0" fontId="35" fillId="2" borderId="0" xfId="0" applyNumberFormat="1" applyFont="1" applyFill="1" applyAlignment="1" applyProtection="1">
      <alignment horizontal="left" indent="2"/>
      <protection hidden="1"/>
    </xf>
    <xf numFmtId="0" fontId="45" fillId="2" borderId="0" xfId="2" applyFont="1" applyFill="1" applyBorder="1" applyAlignment="1" applyProtection="1">
      <protection hidden="1"/>
    </xf>
    <xf numFmtId="0" fontId="35" fillId="2" borderId="0" xfId="0" applyFont="1" applyFill="1" applyAlignment="1" applyProtection="1">
      <alignment horizontal="right" vertical="center" indent="1"/>
      <protection hidden="1"/>
    </xf>
    <xf numFmtId="0" fontId="48" fillId="2" borderId="0" xfId="0" applyFont="1" applyFill="1" applyAlignment="1" applyProtection="1">
      <alignment horizontal="left" vertical="top"/>
      <protection hidden="1"/>
    </xf>
    <xf numFmtId="0" fontId="14" fillId="2" borderId="0" xfId="0" applyFont="1" applyFill="1" applyAlignment="1" applyProtection="1">
      <alignment vertical="center"/>
      <protection hidden="1"/>
    </xf>
    <xf numFmtId="168" fontId="36" fillId="2" borderId="90" xfId="2" applyNumberFormat="1" applyFont="1" applyFill="1" applyBorder="1" applyAlignment="1" applyProtection="1">
      <alignment horizontal="center" vertical="center"/>
      <protection hidden="1"/>
    </xf>
    <xf numFmtId="175" fontId="49" fillId="3" borderId="32" xfId="2" applyNumberFormat="1" applyFont="1" applyFill="1" applyBorder="1" applyAlignment="1" applyProtection="1">
      <alignment horizontal="center" vertical="center"/>
      <protection hidden="1"/>
    </xf>
    <xf numFmtId="0" fontId="10" fillId="2" borderId="18" xfId="0" applyFont="1" applyFill="1" applyBorder="1" applyAlignment="1" applyProtection="1">
      <alignment horizontal="left" vertical="center" indent="1"/>
      <protection hidden="1"/>
    </xf>
    <xf numFmtId="168" fontId="14" fillId="2" borderId="26" xfId="0" applyNumberFormat="1" applyFont="1" applyFill="1" applyBorder="1" applyAlignment="1" applyProtection="1">
      <alignment horizontal="center"/>
      <protection hidden="1"/>
    </xf>
    <xf numFmtId="168" fontId="14" fillId="2" borderId="14" xfId="0" applyNumberFormat="1" applyFont="1" applyFill="1" applyBorder="1" applyAlignment="1" applyProtection="1">
      <alignment horizontal="center" vertical="top"/>
      <protection hidden="1"/>
    </xf>
    <xf numFmtId="168" fontId="14" fillId="2" borderId="15" xfId="0" applyNumberFormat="1" applyFont="1" applyFill="1" applyBorder="1" applyAlignment="1" applyProtection="1">
      <alignment horizontal="center" vertical="center"/>
      <protection hidden="1"/>
    </xf>
    <xf numFmtId="168" fontId="17" fillId="2" borderId="0" xfId="0" applyNumberFormat="1" applyFont="1" applyFill="1" applyBorder="1" applyAlignment="1" applyProtection="1">
      <alignment horizontal="center" vertical="center"/>
      <protection hidden="1"/>
    </xf>
    <xf numFmtId="0" fontId="69" fillId="2" borderId="0" xfId="2" applyFont="1" applyFill="1" applyBorder="1" applyAlignment="1" applyProtection="1">
      <alignment horizontal="center" vertical="top"/>
      <protection hidden="1"/>
    </xf>
    <xf numFmtId="0" fontId="93" fillId="2" borderId="0" xfId="0" applyFont="1" applyFill="1" applyAlignment="1" applyProtection="1">
      <alignment horizontal="center" vertical="center" textRotation="90"/>
      <protection hidden="1"/>
    </xf>
    <xf numFmtId="187" fontId="67" fillId="2" borderId="0" xfId="0" applyNumberFormat="1" applyFont="1" applyFill="1" applyBorder="1" applyAlignment="1" applyProtection="1">
      <alignment horizontal="right" vertical="top" indent="1"/>
      <protection hidden="1"/>
    </xf>
    <xf numFmtId="0" fontId="81" fillId="2" borderId="0" xfId="0" applyFont="1" applyFill="1" applyBorder="1" applyAlignment="1" applyProtection="1">
      <alignment horizontal="left" vertical="top" indent="1"/>
      <protection hidden="1"/>
    </xf>
    <xf numFmtId="0" fontId="59" fillId="2" borderId="0" xfId="0" applyFont="1" applyFill="1" applyAlignment="1" applyProtection="1">
      <protection hidden="1"/>
    </xf>
    <xf numFmtId="0" fontId="3" fillId="2" borderId="0" xfId="2" applyFont="1" applyFill="1" applyAlignment="1" applyProtection="1">
      <alignment horizontal="center"/>
      <protection hidden="1"/>
    </xf>
    <xf numFmtId="168" fontId="44" fillId="2" borderId="27" xfId="2" applyNumberFormat="1" applyFont="1" applyFill="1" applyBorder="1" applyAlignment="1" applyProtection="1">
      <alignment vertical="center"/>
      <protection hidden="1"/>
    </xf>
    <xf numFmtId="168" fontId="44" fillId="2" borderId="85" xfId="2" applyNumberFormat="1" applyFont="1" applyFill="1" applyBorder="1" applyAlignment="1" applyProtection="1">
      <alignment vertical="center"/>
      <protection hidden="1"/>
    </xf>
    <xf numFmtId="168" fontId="44" fillId="2" borderId="42" xfId="2" applyNumberFormat="1" applyFont="1" applyFill="1" applyBorder="1" applyAlignment="1" applyProtection="1">
      <alignment vertical="center"/>
      <protection hidden="1"/>
    </xf>
    <xf numFmtId="0" fontId="83" fillId="2" borderId="0" xfId="2" applyFont="1" applyFill="1" applyAlignment="1" applyProtection="1">
      <alignment horizontal="right" vertical="center" indent="1"/>
      <protection hidden="1"/>
    </xf>
    <xf numFmtId="168" fontId="44" fillId="4" borderId="27" xfId="2" applyNumberFormat="1" applyFont="1" applyFill="1" applyBorder="1" applyAlignment="1" applyProtection="1">
      <alignment vertical="center"/>
      <protection hidden="1"/>
    </xf>
    <xf numFmtId="0" fontId="49" fillId="2" borderId="0" xfId="2" applyFont="1" applyFill="1" applyBorder="1" applyAlignment="1" applyProtection="1">
      <alignment horizontal="left" vertical="center" indent="1"/>
      <protection hidden="1"/>
    </xf>
    <xf numFmtId="0" fontId="49" fillId="2" borderId="7" xfId="2" applyFont="1" applyFill="1" applyBorder="1" applyAlignment="1" applyProtection="1">
      <alignment horizontal="left" vertical="center" indent="1"/>
      <protection hidden="1"/>
    </xf>
    <xf numFmtId="0" fontId="81" fillId="2" borderId="4" xfId="2" applyFont="1" applyFill="1" applyBorder="1" applyAlignment="1" applyProtection="1">
      <alignment horizontal="right" vertical="center" indent="1"/>
      <protection hidden="1"/>
    </xf>
    <xf numFmtId="0" fontId="83" fillId="2" borderId="0" xfId="2" applyFont="1" applyFill="1" applyBorder="1" applyAlignment="1" applyProtection="1">
      <alignment horizontal="left" vertical="top" indent="1"/>
      <protection hidden="1"/>
    </xf>
    <xf numFmtId="0" fontId="131" fillId="2" borderId="22" xfId="2" applyFont="1" applyFill="1" applyBorder="1" applyAlignment="1" applyProtection="1">
      <alignment horizontal="center" vertical="top"/>
      <protection hidden="1"/>
    </xf>
    <xf numFmtId="168" fontId="44" fillId="2" borderId="19" xfId="2" applyNumberFormat="1" applyFont="1" applyFill="1" applyBorder="1" applyAlignment="1" applyProtection="1">
      <alignment vertical="center"/>
      <protection hidden="1"/>
    </xf>
    <xf numFmtId="0" fontId="49" fillId="2" borderId="36" xfId="2" applyFont="1" applyFill="1" applyBorder="1" applyAlignment="1" applyProtection="1">
      <alignment horizontal="left" vertical="center" indent="1"/>
      <protection hidden="1"/>
    </xf>
    <xf numFmtId="0" fontId="49" fillId="2" borderId="4" xfId="2" applyFont="1" applyFill="1" applyBorder="1" applyAlignment="1" applyProtection="1">
      <alignment horizontal="left" vertical="center" indent="1"/>
      <protection hidden="1"/>
    </xf>
    <xf numFmtId="0" fontId="49" fillId="2" borderId="24" xfId="2" applyFont="1" applyFill="1" applyBorder="1" applyAlignment="1" applyProtection="1">
      <alignment horizontal="left" vertical="center" indent="1"/>
      <protection hidden="1"/>
    </xf>
    <xf numFmtId="168" fontId="44" fillId="2" borderId="20" xfId="2" applyNumberFormat="1" applyFont="1" applyFill="1" applyBorder="1" applyAlignment="1" applyProtection="1">
      <alignment vertical="center"/>
      <protection hidden="1"/>
    </xf>
    <xf numFmtId="0" fontId="49" fillId="2" borderId="1" xfId="2" applyFont="1" applyFill="1" applyBorder="1" applyAlignment="1" applyProtection="1">
      <alignment horizontal="left" vertical="center" indent="1"/>
      <protection hidden="1"/>
    </xf>
    <xf numFmtId="0" fontId="49" fillId="2" borderId="22" xfId="2" applyFont="1" applyFill="1" applyBorder="1" applyAlignment="1" applyProtection="1">
      <alignment horizontal="left" vertical="center" indent="1"/>
      <protection hidden="1"/>
    </xf>
    <xf numFmtId="168" fontId="44" fillId="2" borderId="21" xfId="2" applyNumberFormat="1" applyFont="1" applyFill="1" applyBorder="1" applyAlignment="1" applyProtection="1">
      <alignment vertical="center"/>
      <protection hidden="1"/>
    </xf>
    <xf numFmtId="0" fontId="49" fillId="2" borderId="2" xfId="2" applyFont="1" applyFill="1" applyBorder="1" applyAlignment="1" applyProtection="1">
      <alignment horizontal="left" vertical="center" indent="1"/>
      <protection hidden="1"/>
    </xf>
    <xf numFmtId="0" fontId="49" fillId="2" borderId="3" xfId="2" applyFont="1" applyFill="1" applyBorder="1" applyAlignment="1" applyProtection="1">
      <alignment horizontal="left" vertical="center" indent="1"/>
      <protection hidden="1"/>
    </xf>
    <xf numFmtId="0" fontId="81" fillId="2" borderId="0" xfId="2" applyFont="1" applyFill="1" applyBorder="1" applyAlignment="1" applyProtection="1">
      <alignment horizontal="right" vertical="center" indent="1"/>
      <protection hidden="1"/>
    </xf>
    <xf numFmtId="0" fontId="44" fillId="2" borderId="0" xfId="2" applyFont="1" applyFill="1" applyAlignment="1" applyProtection="1">
      <alignment horizontal="right" vertical="top" indent="1"/>
      <protection hidden="1"/>
    </xf>
    <xf numFmtId="181" fontId="44" fillId="2" borderId="0" xfId="2" applyNumberFormat="1" applyFont="1" applyFill="1" applyAlignment="1" applyProtection="1">
      <alignment horizontal="right" vertical="top"/>
      <protection hidden="1"/>
    </xf>
    <xf numFmtId="0" fontId="3" fillId="2" borderId="91" xfId="2" applyFill="1" applyBorder="1" applyProtection="1">
      <protection hidden="1"/>
    </xf>
    <xf numFmtId="0" fontId="83" fillId="2" borderId="0" xfId="2" applyFont="1" applyFill="1" applyAlignment="1" applyProtection="1">
      <alignment horizontal="right" indent="1"/>
      <protection hidden="1"/>
    </xf>
    <xf numFmtId="168" fontId="44" fillId="2" borderId="36" xfId="2" applyNumberFormat="1" applyFont="1" applyFill="1" applyBorder="1" applyAlignment="1" applyProtection="1">
      <protection hidden="1"/>
    </xf>
    <xf numFmtId="168" fontId="44" fillId="2" borderId="47" xfId="2" applyNumberFormat="1" applyFont="1" applyFill="1" applyBorder="1" applyAlignment="1" applyProtection="1">
      <protection hidden="1"/>
    </xf>
    <xf numFmtId="0" fontId="83" fillId="2" borderId="3" xfId="2" applyFont="1" applyFill="1" applyBorder="1" applyAlignment="1" applyProtection="1">
      <alignment horizontal="left" vertical="center" indent="1"/>
      <protection hidden="1"/>
    </xf>
    <xf numFmtId="0" fontId="83" fillId="2" borderId="0" xfId="2" applyFont="1" applyFill="1" applyAlignment="1" applyProtection="1">
      <alignment horizontal="right" vertical="top" indent="1"/>
      <protection hidden="1"/>
    </xf>
    <xf numFmtId="168" fontId="44" fillId="2" borderId="2" xfId="2" applyNumberFormat="1" applyFont="1" applyFill="1" applyBorder="1" applyAlignment="1" applyProtection="1">
      <alignment vertical="top"/>
      <protection hidden="1"/>
    </xf>
    <xf numFmtId="168" fontId="44" fillId="2" borderId="49" xfId="2" applyNumberFormat="1" applyFont="1" applyFill="1" applyBorder="1" applyAlignment="1" applyProtection="1">
      <alignment vertical="top"/>
      <protection hidden="1"/>
    </xf>
    <xf numFmtId="0" fontId="83" fillId="2" borderId="0" xfId="2" applyFont="1" applyFill="1" applyAlignment="1" applyProtection="1">
      <alignment horizontal="left" vertical="center" indent="1"/>
      <protection hidden="1"/>
    </xf>
    <xf numFmtId="0" fontId="81" fillId="2" borderId="7" xfId="2" applyFont="1" applyFill="1" applyBorder="1" applyAlignment="1" applyProtection="1">
      <alignment horizontal="right" vertical="center" indent="1"/>
      <protection hidden="1"/>
    </xf>
    <xf numFmtId="168" fontId="49" fillId="2" borderId="7" xfId="2" applyNumberFormat="1" applyFont="1" applyFill="1" applyBorder="1" applyAlignment="1" applyProtection="1">
      <alignment vertical="center"/>
      <protection hidden="1"/>
    </xf>
    <xf numFmtId="4" fontId="36" fillId="2" borderId="19" xfId="2" applyNumberFormat="1" applyFont="1" applyFill="1" applyBorder="1" applyAlignment="1" applyProtection="1">
      <alignment horizontal="center" vertical="center"/>
      <protection hidden="1"/>
    </xf>
    <xf numFmtId="4" fontId="36" fillId="2" borderId="25" xfId="2" applyNumberFormat="1" applyFont="1" applyFill="1" applyBorder="1" applyAlignment="1" applyProtection="1">
      <alignment horizontal="center" vertical="center"/>
      <protection hidden="1"/>
    </xf>
    <xf numFmtId="4" fontId="36" fillId="2" borderId="14" xfId="2" applyNumberFormat="1" applyFont="1" applyFill="1" applyBorder="1" applyAlignment="1" applyProtection="1">
      <alignment horizontal="center" vertical="center"/>
      <protection hidden="1"/>
    </xf>
    <xf numFmtId="0" fontId="18" fillId="2" borderId="0" xfId="2" applyFont="1" applyFill="1" applyAlignment="1" applyProtection="1">
      <alignment horizontal="center"/>
      <protection hidden="1"/>
    </xf>
    <xf numFmtId="0" fontId="18" fillId="2" borderId="0" xfId="2" applyFont="1" applyFill="1" applyAlignment="1" applyProtection="1">
      <alignment horizontal="center" vertical="top"/>
      <protection hidden="1"/>
    </xf>
    <xf numFmtId="0" fontId="83" fillId="2" borderId="0" xfId="2" applyFont="1" applyFill="1" applyBorder="1" applyAlignment="1" applyProtection="1">
      <alignment horizontal="right" indent="1"/>
      <protection hidden="1"/>
    </xf>
    <xf numFmtId="0" fontId="44" fillId="2" borderId="0" xfId="2" applyFont="1" applyFill="1" applyBorder="1" applyAlignment="1" applyProtection="1">
      <alignment horizontal="left" indent="1"/>
      <protection hidden="1"/>
    </xf>
    <xf numFmtId="0" fontId="83" fillId="2" borderId="0" xfId="2" applyFont="1" applyFill="1" applyBorder="1" applyAlignment="1" applyProtection="1">
      <alignment horizontal="right" vertical="top" indent="1"/>
      <protection hidden="1"/>
    </xf>
    <xf numFmtId="0" fontId="44" fillId="2" borderId="0" xfId="2" applyFont="1" applyFill="1" applyBorder="1" applyAlignment="1" applyProtection="1">
      <alignment horizontal="left" vertical="top" indent="1"/>
      <protection hidden="1"/>
    </xf>
    <xf numFmtId="4" fontId="36" fillId="2" borderId="15" xfId="2" applyNumberFormat="1" applyFont="1" applyFill="1" applyBorder="1" applyAlignment="1" applyProtection="1">
      <alignment horizontal="center" vertical="center"/>
      <protection hidden="1"/>
    </xf>
    <xf numFmtId="4" fontId="36" fillId="2" borderId="21" xfId="2" applyNumberFormat="1" applyFont="1" applyFill="1" applyBorder="1" applyAlignment="1" applyProtection="1">
      <alignment horizontal="center" vertical="center"/>
      <protection hidden="1"/>
    </xf>
    <xf numFmtId="166" fontId="83" fillId="2" borderId="24" xfId="2" applyNumberFormat="1" applyFont="1" applyFill="1" applyBorder="1" applyAlignment="1" applyProtection="1">
      <alignment horizontal="right"/>
      <protection hidden="1"/>
    </xf>
    <xf numFmtId="166" fontId="83" fillId="2" borderId="22" xfId="2" applyNumberFormat="1" applyFont="1" applyFill="1" applyBorder="1" applyAlignment="1" applyProtection="1">
      <alignment horizontal="right" vertical="top"/>
      <protection hidden="1"/>
    </xf>
    <xf numFmtId="0" fontId="66" fillId="2" borderId="0" xfId="2" applyFont="1" applyFill="1" applyAlignment="1" applyProtection="1">
      <alignment horizontal="center"/>
      <protection hidden="1"/>
    </xf>
    <xf numFmtId="0" fontId="66" fillId="2" borderId="0" xfId="2" applyFont="1" applyFill="1" applyAlignment="1" applyProtection="1">
      <alignment horizontal="center" vertical="top"/>
      <protection hidden="1"/>
    </xf>
    <xf numFmtId="0" fontId="133" fillId="2" borderId="0" xfId="2" applyFont="1" applyFill="1" applyAlignment="1" applyProtection="1">
      <alignment horizontal="right" indent="1"/>
      <protection hidden="1"/>
    </xf>
    <xf numFmtId="0" fontId="133" fillId="2" borderId="0" xfId="2" applyFont="1" applyFill="1" applyAlignment="1" applyProtection="1">
      <alignment horizontal="right" vertical="top" indent="1"/>
      <protection hidden="1"/>
    </xf>
    <xf numFmtId="168" fontId="49" fillId="2" borderId="0" xfId="2" applyNumberFormat="1" applyFont="1" applyFill="1" applyBorder="1" applyAlignment="1" applyProtection="1">
      <alignment vertical="center"/>
      <protection hidden="1"/>
    </xf>
    <xf numFmtId="168" fontId="44" fillId="2" borderId="19" xfId="2" applyNumberFormat="1" applyFont="1" applyFill="1" applyBorder="1" applyAlignment="1" applyProtection="1">
      <alignment vertical="center"/>
      <protection locked="0"/>
    </xf>
    <xf numFmtId="168" fontId="44" fillId="2" borderId="20" xfId="2" applyNumberFormat="1" applyFont="1" applyFill="1" applyBorder="1" applyAlignment="1" applyProtection="1">
      <alignment vertical="center"/>
      <protection locked="0"/>
    </xf>
    <xf numFmtId="168" fontId="44" fillId="2" borderId="21" xfId="2" applyNumberFormat="1" applyFont="1" applyFill="1" applyBorder="1" applyAlignment="1" applyProtection="1">
      <alignment vertical="center"/>
      <protection locked="0"/>
    </xf>
    <xf numFmtId="181" fontId="70" fillId="2" borderId="0" xfId="0" applyNumberFormat="1" applyFont="1" applyFill="1" applyBorder="1" applyAlignment="1" applyProtection="1">
      <alignment horizontal="center"/>
      <protection hidden="1"/>
    </xf>
    <xf numFmtId="168" fontId="121" fillId="2" borderId="0" xfId="2" applyNumberFormat="1" applyFont="1" applyFill="1" applyAlignment="1" applyProtection="1">
      <alignment horizontal="center" vertical="center"/>
      <protection hidden="1"/>
    </xf>
    <xf numFmtId="168" fontId="37" fillId="2" borderId="7" xfId="2" applyNumberFormat="1" applyFont="1" applyFill="1" applyBorder="1" applyAlignment="1" applyProtection="1">
      <alignment vertical="center"/>
      <protection hidden="1"/>
    </xf>
    <xf numFmtId="189" fontId="49" fillId="2" borderId="0" xfId="2" applyNumberFormat="1" applyFont="1" applyFill="1" applyAlignment="1" applyProtection="1">
      <alignment horizontal="right" vertical="center"/>
      <protection hidden="1"/>
    </xf>
    <xf numFmtId="166" fontId="96" fillId="3" borderId="21" xfId="0" applyNumberFormat="1" applyFont="1" applyFill="1" applyBorder="1" applyAlignment="1" applyProtection="1">
      <alignment vertical="center"/>
      <protection hidden="1"/>
    </xf>
    <xf numFmtId="168" fontId="67" fillId="2" borderId="58" xfId="0" applyNumberFormat="1" applyFont="1" applyFill="1" applyBorder="1" applyAlignment="1" applyProtection="1">
      <alignment horizontal="right" vertical="center"/>
      <protection hidden="1"/>
    </xf>
    <xf numFmtId="168" fontId="29" fillId="3" borderId="59" xfId="0" applyNumberFormat="1" applyFont="1" applyFill="1" applyBorder="1" applyAlignment="1" applyProtection="1">
      <alignment horizontal="right" vertical="center"/>
      <protection hidden="1"/>
    </xf>
    <xf numFmtId="168" fontId="18" fillId="2" borderId="21" xfId="0" applyNumberFormat="1" applyFont="1" applyFill="1" applyBorder="1" applyAlignment="1" applyProtection="1">
      <alignment horizontal="right" vertical="center"/>
      <protection hidden="1"/>
    </xf>
    <xf numFmtId="166" fontId="81" fillId="3" borderId="26" xfId="0" applyNumberFormat="1" applyFont="1" applyFill="1" applyBorder="1" applyAlignment="1" applyProtection="1">
      <alignment horizontal="left"/>
      <protection hidden="1"/>
    </xf>
    <xf numFmtId="168" fontId="67" fillId="2" borderId="92" xfId="0" applyNumberFormat="1" applyFont="1" applyFill="1" applyBorder="1" applyAlignment="1" applyProtection="1">
      <alignment horizontal="right" vertical="center"/>
      <protection hidden="1"/>
    </xf>
    <xf numFmtId="168" fontId="67" fillId="2" borderId="47" xfId="0" applyNumberFormat="1" applyFont="1" applyFill="1" applyBorder="1" applyAlignment="1" applyProtection="1">
      <alignment horizontal="right" vertical="center"/>
      <protection hidden="1"/>
    </xf>
    <xf numFmtId="168" fontId="18" fillId="3" borderId="26" xfId="0" applyNumberFormat="1" applyFont="1" applyFill="1" applyBorder="1" applyAlignment="1" applyProtection="1">
      <alignment horizontal="right" vertical="center"/>
      <protection hidden="1"/>
    </xf>
    <xf numFmtId="166" fontId="96" fillId="3" borderId="15" xfId="0" applyNumberFormat="1" applyFont="1" applyFill="1" applyBorder="1" applyAlignment="1" applyProtection="1">
      <alignment vertical="center"/>
      <protection hidden="1"/>
    </xf>
    <xf numFmtId="166" fontId="96" fillId="3" borderId="45" xfId="0" applyNumberFormat="1" applyFont="1" applyFill="1" applyBorder="1" applyAlignment="1" applyProtection="1">
      <alignment vertical="top"/>
      <protection hidden="1"/>
    </xf>
    <xf numFmtId="168" fontId="29" fillId="3" borderId="70" xfId="0" applyNumberFormat="1" applyFont="1" applyFill="1" applyBorder="1" applyAlignment="1" applyProtection="1">
      <alignment horizontal="right" vertical="top"/>
      <protection hidden="1"/>
    </xf>
    <xf numFmtId="168" fontId="29" fillId="3" borderId="45" xfId="0" applyNumberFormat="1" applyFont="1" applyFill="1" applyBorder="1" applyAlignment="1" applyProtection="1">
      <alignment horizontal="right" vertical="top"/>
      <protection hidden="1"/>
    </xf>
    <xf numFmtId="168" fontId="29" fillId="3" borderId="14" xfId="0" applyNumberFormat="1" applyFont="1" applyFill="1" applyBorder="1" applyAlignment="1" applyProtection="1">
      <alignment horizontal="right"/>
      <protection hidden="1"/>
    </xf>
    <xf numFmtId="166" fontId="96" fillId="3" borderId="14" xfId="0" applyNumberFormat="1" applyFont="1" applyFill="1" applyBorder="1" applyAlignment="1" applyProtection="1">
      <protection hidden="1"/>
    </xf>
    <xf numFmtId="168" fontId="67" fillId="2" borderId="38" xfId="0" applyNumberFormat="1" applyFont="1" applyFill="1" applyBorder="1" applyAlignment="1" applyProtection="1">
      <alignment horizontal="right"/>
      <protection hidden="1"/>
    </xf>
    <xf numFmtId="168" fontId="29" fillId="3" borderId="76" xfId="0" applyNumberFormat="1" applyFont="1" applyFill="1" applyBorder="1" applyAlignment="1" applyProtection="1">
      <alignment horizontal="right"/>
      <protection hidden="1"/>
    </xf>
    <xf numFmtId="166" fontId="96" fillId="2" borderId="27" xfId="0" applyNumberFormat="1" applyFont="1" applyFill="1" applyBorder="1" applyAlignment="1" applyProtection="1">
      <alignment vertical="center"/>
      <protection hidden="1"/>
    </xf>
    <xf numFmtId="0" fontId="35" fillId="2" borderId="7" xfId="0" applyNumberFormat="1" applyFont="1" applyFill="1" applyBorder="1" applyAlignment="1" applyProtection="1">
      <alignment horizontal="center" vertical="center"/>
      <protection hidden="1"/>
    </xf>
    <xf numFmtId="168" fontId="125" fillId="2" borderId="4" xfId="0" applyNumberFormat="1" applyFont="1" applyFill="1" applyBorder="1" applyAlignment="1" applyProtection="1">
      <alignment horizontal="center" vertical="center"/>
      <protection hidden="1"/>
    </xf>
    <xf numFmtId="0" fontId="8" fillId="2" borderId="0" xfId="0" applyNumberFormat="1" applyFont="1" applyFill="1" applyBorder="1" applyAlignment="1" applyProtection="1">
      <protection hidden="1"/>
    </xf>
    <xf numFmtId="168" fontId="120" fillId="2" borderId="0" xfId="0" applyNumberFormat="1" applyFont="1" applyFill="1" applyBorder="1" applyAlignment="1" applyProtection="1">
      <alignment horizontal="left" vertical="top"/>
      <protection hidden="1"/>
    </xf>
    <xf numFmtId="180" fontId="67" fillId="2" borderId="0" xfId="0" applyNumberFormat="1" applyFont="1" applyFill="1" applyBorder="1" applyAlignment="1" applyProtection="1">
      <alignment horizontal="center"/>
      <protection hidden="1"/>
    </xf>
    <xf numFmtId="180" fontId="70" fillId="2" borderId="0" xfId="0" applyNumberFormat="1" applyFont="1" applyFill="1" applyBorder="1" applyAlignment="1" applyProtection="1">
      <alignment horizontal="center"/>
      <protection hidden="1"/>
    </xf>
    <xf numFmtId="0" fontId="81" fillId="2" borderId="0" xfId="2" applyFont="1" applyFill="1" applyAlignment="1" applyProtection="1">
      <alignment horizontal="left" indent="1"/>
      <protection hidden="1"/>
    </xf>
    <xf numFmtId="0" fontId="81" fillId="2" borderId="0" xfId="2" applyFont="1" applyFill="1" applyAlignment="1" applyProtection="1">
      <alignment horizontal="left" vertical="top" indent="1"/>
      <protection hidden="1"/>
    </xf>
    <xf numFmtId="0" fontId="35" fillId="2" borderId="0" xfId="0" applyNumberFormat="1" applyFont="1" applyFill="1" applyAlignment="1" applyProtection="1">
      <alignment horizontal="center" vertical="center"/>
      <protection hidden="1"/>
    </xf>
    <xf numFmtId="168" fontId="18" fillId="3" borderId="76" xfId="0" applyNumberFormat="1" applyFont="1" applyFill="1" applyBorder="1" applyAlignment="1" applyProtection="1">
      <alignment horizontal="right" vertical="center"/>
      <protection hidden="1"/>
    </xf>
    <xf numFmtId="166" fontId="81" fillId="2" borderId="1" xfId="0" applyNumberFormat="1" applyFont="1" applyFill="1" applyBorder="1" applyAlignment="1" applyProtection="1">
      <protection hidden="1"/>
    </xf>
    <xf numFmtId="168" fontId="8" fillId="2" borderId="54" xfId="2" applyNumberFormat="1" applyFont="1" applyFill="1" applyBorder="1" applyAlignment="1" applyProtection="1">
      <alignment horizontal="right" vertical="center"/>
      <protection hidden="1"/>
    </xf>
    <xf numFmtId="168" fontId="8" fillId="2" borderId="55" xfId="2" applyNumberFormat="1" applyFont="1" applyFill="1" applyBorder="1" applyAlignment="1" applyProtection="1">
      <alignment horizontal="right" vertical="center"/>
      <protection hidden="1"/>
    </xf>
    <xf numFmtId="168" fontId="8" fillId="2" borderId="56" xfId="2" applyNumberFormat="1" applyFont="1" applyFill="1" applyBorder="1" applyAlignment="1" applyProtection="1">
      <alignment horizontal="right" vertical="center"/>
      <protection hidden="1"/>
    </xf>
    <xf numFmtId="168" fontId="8" fillId="2" borderId="34" xfId="2" applyNumberFormat="1" applyFont="1" applyFill="1" applyBorder="1" applyAlignment="1" applyProtection="1">
      <alignment horizontal="right" vertical="center"/>
      <protection hidden="1"/>
    </xf>
    <xf numFmtId="168" fontId="8" fillId="2" borderId="6" xfId="2" applyNumberFormat="1" applyFont="1" applyFill="1" applyBorder="1" applyAlignment="1" applyProtection="1">
      <alignment horizontal="right" vertical="center"/>
      <protection hidden="1"/>
    </xf>
    <xf numFmtId="168" fontId="8" fillId="2" borderId="35" xfId="2" applyNumberFormat="1" applyFont="1" applyFill="1" applyBorder="1" applyAlignment="1" applyProtection="1">
      <alignment horizontal="right" vertical="center"/>
      <protection hidden="1"/>
    </xf>
    <xf numFmtId="168" fontId="8" fillId="2" borderId="57" xfId="2" applyNumberFormat="1" applyFont="1" applyFill="1" applyBorder="1" applyAlignment="1" applyProtection="1">
      <alignment horizontal="right" vertical="center"/>
      <protection hidden="1"/>
    </xf>
    <xf numFmtId="168" fontId="8" fillId="2" borderId="58" xfId="2" applyNumberFormat="1" applyFont="1" applyFill="1" applyBorder="1" applyAlignment="1" applyProtection="1">
      <alignment horizontal="right" vertical="center"/>
      <protection hidden="1"/>
    </xf>
    <xf numFmtId="168" fontId="8" fillId="2" borderId="59" xfId="2" applyNumberFormat="1" applyFont="1" applyFill="1" applyBorder="1" applyAlignment="1" applyProtection="1">
      <alignment horizontal="right" vertical="center"/>
      <protection hidden="1"/>
    </xf>
    <xf numFmtId="0" fontId="19" fillId="2" borderId="0" xfId="2" applyFont="1" applyFill="1" applyProtection="1">
      <protection hidden="1"/>
    </xf>
    <xf numFmtId="0" fontId="33" fillId="2" borderId="0" xfId="2" applyFont="1" applyFill="1" applyProtection="1">
      <protection hidden="1"/>
    </xf>
    <xf numFmtId="0" fontId="63" fillId="2" borderId="0" xfId="2" applyFont="1" applyFill="1" applyAlignment="1" applyProtection="1">
      <alignment horizontal="center"/>
      <protection hidden="1"/>
    </xf>
    <xf numFmtId="168" fontId="62" fillId="2" borderId="93" xfId="2" applyNumberFormat="1" applyFont="1" applyFill="1" applyBorder="1" applyAlignment="1" applyProtection="1">
      <alignment vertical="center"/>
      <protection hidden="1"/>
    </xf>
    <xf numFmtId="168" fontId="62" fillId="2" borderId="94" xfId="2" applyNumberFormat="1" applyFont="1" applyFill="1" applyBorder="1" applyAlignment="1" applyProtection="1">
      <alignment vertical="center"/>
      <protection hidden="1"/>
    </xf>
    <xf numFmtId="168" fontId="62" fillId="2" borderId="95" xfId="2" applyNumberFormat="1" applyFont="1" applyFill="1" applyBorder="1" applyAlignment="1" applyProtection="1">
      <alignment vertical="center"/>
      <protection hidden="1"/>
    </xf>
    <xf numFmtId="168" fontId="62" fillId="2" borderId="96" xfId="2" applyNumberFormat="1" applyFont="1" applyFill="1" applyBorder="1" applyAlignment="1" applyProtection="1">
      <alignment vertical="center"/>
      <protection hidden="1"/>
    </xf>
    <xf numFmtId="168" fontId="62" fillId="2" borderId="97" xfId="2" applyNumberFormat="1" applyFont="1" applyFill="1" applyBorder="1" applyAlignment="1" applyProtection="1">
      <alignment vertical="center"/>
      <protection hidden="1"/>
    </xf>
    <xf numFmtId="168" fontId="18" fillId="3" borderId="44" xfId="0" applyNumberFormat="1" applyFont="1" applyFill="1" applyBorder="1" applyAlignment="1" applyProtection="1">
      <alignment horizontal="right" vertical="center"/>
      <protection hidden="1"/>
    </xf>
    <xf numFmtId="0" fontId="36" fillId="2" borderId="0" xfId="2" applyFont="1" applyFill="1" applyBorder="1" applyAlignment="1" applyProtection="1">
      <protection hidden="1"/>
    </xf>
    <xf numFmtId="168" fontId="49" fillId="2" borderId="0" xfId="2" applyNumberFormat="1" applyFont="1" applyFill="1" applyBorder="1" applyAlignment="1" applyProtection="1">
      <protection hidden="1"/>
    </xf>
    <xf numFmtId="181" fontId="8" fillId="2" borderId="0" xfId="0" applyNumberFormat="1" applyFont="1" applyFill="1" applyAlignment="1" applyProtection="1">
      <alignment vertical="center"/>
      <protection hidden="1"/>
    </xf>
    <xf numFmtId="168" fontId="8" fillId="2" borderId="6" xfId="0" applyNumberFormat="1" applyFont="1" applyFill="1" applyBorder="1" applyAlignment="1" applyProtection="1">
      <alignment horizontal="center" vertical="center"/>
      <protection hidden="1"/>
    </xf>
    <xf numFmtId="0" fontId="21" fillId="2" borderId="0" xfId="0" applyFont="1" applyFill="1" applyBorder="1" applyProtection="1">
      <protection hidden="1"/>
    </xf>
    <xf numFmtId="168" fontId="8" fillId="2" borderId="32" xfId="0" applyNumberFormat="1" applyFont="1" applyFill="1" applyBorder="1" applyAlignment="1" applyProtection="1">
      <alignment horizontal="center" vertical="center"/>
      <protection hidden="1"/>
    </xf>
    <xf numFmtId="168" fontId="8" fillId="2" borderId="38" xfId="0" applyNumberFormat="1" applyFont="1" applyFill="1" applyBorder="1" applyAlignment="1" applyProtection="1">
      <alignment horizontal="center" vertical="center"/>
      <protection hidden="1"/>
    </xf>
    <xf numFmtId="0" fontId="21" fillId="2" borderId="38" xfId="0" applyFont="1" applyFill="1" applyBorder="1" applyProtection="1">
      <protection hidden="1"/>
    </xf>
    <xf numFmtId="168" fontId="8" fillId="2" borderId="33" xfId="0" applyNumberFormat="1" applyFont="1" applyFill="1" applyBorder="1" applyAlignment="1" applyProtection="1">
      <alignment horizontal="center" vertical="center"/>
      <protection hidden="1"/>
    </xf>
    <xf numFmtId="166" fontId="49" fillId="2" borderId="27" xfId="2" applyNumberFormat="1" applyFont="1" applyFill="1" applyBorder="1" applyAlignment="1" applyProtection="1">
      <protection hidden="1"/>
    </xf>
    <xf numFmtId="0" fontId="38" fillId="2" borderId="1" xfId="2" applyFont="1" applyFill="1" applyBorder="1" applyAlignment="1" applyProtection="1">
      <alignment vertical="center"/>
      <protection hidden="1"/>
    </xf>
    <xf numFmtId="0" fontId="38" fillId="2" borderId="0" xfId="2" applyFont="1" applyFill="1" applyBorder="1" applyAlignment="1" applyProtection="1">
      <alignment vertical="center"/>
      <protection hidden="1"/>
    </xf>
    <xf numFmtId="0" fontId="38" fillId="2" borderId="0" xfId="2" applyFont="1" applyFill="1" applyAlignment="1" applyProtection="1">
      <alignment vertical="center"/>
      <protection hidden="1"/>
    </xf>
    <xf numFmtId="0" fontId="36" fillId="2" borderId="0" xfId="2" applyFont="1" applyFill="1" applyProtection="1">
      <protection hidden="1"/>
    </xf>
    <xf numFmtId="0" fontId="37" fillId="2" borderId="0" xfId="2" applyFont="1" applyFill="1" applyAlignment="1" applyProtection="1">
      <alignment horizontal="center"/>
      <protection hidden="1"/>
    </xf>
    <xf numFmtId="0" fontId="37" fillId="2" borderId="22" xfId="2" applyFont="1" applyFill="1" applyBorder="1" applyAlignment="1" applyProtection="1">
      <alignment horizontal="center"/>
      <protection hidden="1"/>
    </xf>
    <xf numFmtId="0" fontId="38" fillId="2" borderId="1" xfId="2" applyFont="1" applyFill="1" applyBorder="1" applyAlignment="1" applyProtection="1">
      <alignment horizontal="center" vertical="center"/>
      <protection hidden="1"/>
    </xf>
    <xf numFmtId="0" fontId="38" fillId="2" borderId="0" xfId="2" applyFont="1" applyFill="1" applyBorder="1" applyAlignment="1" applyProtection="1">
      <alignment horizontal="center" vertical="center"/>
      <protection hidden="1"/>
    </xf>
    <xf numFmtId="0" fontId="134" fillId="2" borderId="0" xfId="2" applyFont="1" applyFill="1" applyBorder="1" applyAlignment="1" applyProtection="1">
      <alignment horizontal="center" vertical="top"/>
      <protection hidden="1"/>
    </xf>
    <xf numFmtId="168" fontId="8" fillId="2" borderId="19" xfId="2" applyNumberFormat="1" applyFont="1" applyFill="1" applyBorder="1" applyAlignment="1" applyProtection="1">
      <alignment horizontal="right" vertical="center"/>
      <protection hidden="1"/>
    </xf>
    <xf numFmtId="168" fontId="8" fillId="2" borderId="88" xfId="2" applyNumberFormat="1" applyFont="1" applyFill="1" applyBorder="1" applyAlignment="1" applyProtection="1">
      <alignment horizontal="right" vertical="center"/>
      <protection hidden="1"/>
    </xf>
    <xf numFmtId="168" fontId="8" fillId="2" borderId="63" xfId="2" applyNumberFormat="1" applyFont="1" applyFill="1" applyBorder="1" applyAlignment="1" applyProtection="1">
      <alignment horizontal="right" vertical="center"/>
      <protection hidden="1"/>
    </xf>
    <xf numFmtId="168" fontId="8" fillId="2" borderId="20" xfId="2" applyNumberFormat="1" applyFont="1" applyFill="1" applyBorder="1" applyAlignment="1" applyProtection="1">
      <alignment horizontal="right" vertical="center"/>
      <protection hidden="1"/>
    </xf>
    <xf numFmtId="168" fontId="8" fillId="2" borderId="17" xfId="2" applyNumberFormat="1" applyFont="1" applyFill="1" applyBorder="1" applyAlignment="1" applyProtection="1">
      <alignment horizontal="right" vertical="center"/>
      <protection hidden="1"/>
    </xf>
    <xf numFmtId="168" fontId="8" fillId="2" borderId="64" xfId="2" applyNumberFormat="1" applyFont="1" applyFill="1" applyBorder="1" applyAlignment="1" applyProtection="1">
      <alignment horizontal="right" vertical="center"/>
      <protection hidden="1"/>
    </xf>
    <xf numFmtId="168" fontId="8" fillId="2" borderId="21" xfId="2" applyNumberFormat="1" applyFont="1" applyFill="1" applyBorder="1" applyAlignment="1" applyProtection="1">
      <alignment horizontal="right" vertical="center"/>
      <protection hidden="1"/>
    </xf>
    <xf numFmtId="168" fontId="8" fillId="2" borderId="68" xfId="2" applyNumberFormat="1" applyFont="1" applyFill="1" applyBorder="1" applyAlignment="1" applyProtection="1">
      <alignment horizontal="right" vertical="center"/>
      <protection hidden="1"/>
    </xf>
    <xf numFmtId="168" fontId="8" fillId="2" borderId="65" xfId="2" applyNumberFormat="1" applyFont="1" applyFill="1" applyBorder="1" applyAlignment="1" applyProtection="1">
      <alignment horizontal="right" vertical="center"/>
      <protection hidden="1"/>
    </xf>
    <xf numFmtId="166" fontId="36" fillId="2" borderId="0" xfId="2" applyNumberFormat="1" applyFont="1" applyFill="1" applyAlignment="1" applyProtection="1">
      <alignment horizontal="center" vertical="center"/>
      <protection hidden="1"/>
    </xf>
    <xf numFmtId="166" fontId="50" fillId="2" borderId="0" xfId="2" applyNumberFormat="1" applyFont="1" applyFill="1" applyAlignment="1" applyProtection="1">
      <alignment horizontal="center" vertical="center"/>
      <protection hidden="1"/>
    </xf>
    <xf numFmtId="0" fontId="63" fillId="2" borderId="0" xfId="2" applyFont="1" applyFill="1" applyAlignment="1" applyProtection="1">
      <alignment horizontal="center" vertical="center"/>
      <protection hidden="1"/>
    </xf>
    <xf numFmtId="168" fontId="62" fillId="2" borderId="98" xfId="2" applyNumberFormat="1" applyFont="1" applyFill="1" applyBorder="1" applyAlignment="1" applyProtection="1">
      <alignment vertical="center"/>
      <protection hidden="1"/>
    </xf>
    <xf numFmtId="168" fontId="62" fillId="2" borderId="99" xfId="2" applyNumberFormat="1" applyFont="1" applyFill="1" applyBorder="1" applyAlignment="1" applyProtection="1">
      <alignment vertical="center"/>
      <protection hidden="1"/>
    </xf>
    <xf numFmtId="168" fontId="62" fillId="2" borderId="100" xfId="2" applyNumberFormat="1" applyFont="1" applyFill="1" applyBorder="1" applyAlignment="1" applyProtection="1">
      <alignment vertical="center"/>
      <protection hidden="1"/>
    </xf>
    <xf numFmtId="168" fontId="62" fillId="2" borderId="101" xfId="2" applyNumberFormat="1" applyFont="1" applyFill="1" applyBorder="1" applyAlignment="1" applyProtection="1">
      <alignment vertical="center"/>
      <protection hidden="1"/>
    </xf>
    <xf numFmtId="168" fontId="62" fillId="2" borderId="102" xfId="2" applyNumberFormat="1" applyFont="1" applyFill="1" applyBorder="1" applyAlignment="1" applyProtection="1">
      <alignment vertical="center"/>
      <protection hidden="1"/>
    </xf>
    <xf numFmtId="168" fontId="8" fillId="2" borderId="60" xfId="2" applyNumberFormat="1" applyFont="1" applyFill="1" applyBorder="1" applyAlignment="1" applyProtection="1">
      <alignment horizontal="right" vertical="center"/>
      <protection hidden="1"/>
    </xf>
    <xf numFmtId="168" fontId="8" fillId="2" borderId="61" xfId="2" applyNumberFormat="1" applyFont="1" applyFill="1" applyBorder="1" applyAlignment="1" applyProtection="1">
      <alignment horizontal="right" vertical="center"/>
      <protection hidden="1"/>
    </xf>
    <xf numFmtId="168" fontId="8" fillId="2" borderId="62" xfId="2" applyNumberFormat="1" applyFont="1" applyFill="1" applyBorder="1" applyAlignment="1" applyProtection="1">
      <alignment horizontal="right" vertical="center"/>
      <protection hidden="1"/>
    </xf>
    <xf numFmtId="0" fontId="49" fillId="2" borderId="36" xfId="2" applyFont="1" applyFill="1" applyBorder="1" applyAlignment="1" applyProtection="1">
      <alignment horizontal="center" vertical="center"/>
      <protection hidden="1"/>
    </xf>
    <xf numFmtId="0" fontId="49" fillId="2" borderId="4" xfId="2" applyFont="1" applyFill="1" applyBorder="1" applyAlignment="1" applyProtection="1">
      <alignment horizontal="center" vertical="center"/>
      <protection hidden="1"/>
    </xf>
    <xf numFmtId="0" fontId="49" fillId="2" borderId="24" xfId="2" applyFont="1" applyFill="1" applyBorder="1" applyAlignment="1" applyProtection="1">
      <alignment horizontal="center" vertical="center"/>
      <protection hidden="1"/>
    </xf>
    <xf numFmtId="190" fontId="49" fillId="2" borderId="0" xfId="2" applyNumberFormat="1" applyFont="1" applyFill="1" applyAlignment="1" applyProtection="1">
      <alignment horizontal="right" vertical="center"/>
      <protection hidden="1"/>
    </xf>
    <xf numFmtId="0" fontId="36" fillId="2" borderId="26" xfId="2" applyFont="1" applyFill="1" applyBorder="1" applyAlignment="1" applyProtection="1">
      <alignment horizontal="center"/>
      <protection hidden="1"/>
    </xf>
    <xf numFmtId="0" fontId="36" fillId="2" borderId="15" xfId="2" applyFont="1" applyFill="1" applyBorder="1" applyAlignment="1" applyProtection="1">
      <alignment horizontal="center" vertical="top"/>
      <protection hidden="1"/>
    </xf>
    <xf numFmtId="0" fontId="14" fillId="2" borderId="7" xfId="2" applyFont="1" applyFill="1" applyBorder="1" applyAlignment="1" applyProtection="1">
      <alignment horizontal="right" vertical="top"/>
      <protection hidden="1"/>
    </xf>
    <xf numFmtId="0" fontId="83" fillId="2" borderId="7" xfId="2" applyFont="1" applyFill="1" applyBorder="1" applyAlignment="1" applyProtection="1">
      <alignment horizontal="left" vertical="center" indent="1"/>
      <protection hidden="1"/>
    </xf>
    <xf numFmtId="0" fontId="50" fillId="2" borderId="27" xfId="2" applyFont="1" applyFill="1" applyBorder="1" applyAlignment="1" applyProtection="1">
      <alignment horizontal="center" vertical="center"/>
      <protection hidden="1"/>
    </xf>
    <xf numFmtId="0" fontId="36" fillId="2" borderId="0" xfId="2" applyNumberFormat="1" applyFont="1" applyFill="1" applyAlignment="1" applyProtection="1">
      <alignment horizontal="center"/>
      <protection hidden="1"/>
    </xf>
    <xf numFmtId="4" fontId="49" fillId="2" borderId="36" xfId="2" applyNumberFormat="1" applyFont="1" applyFill="1" applyBorder="1" applyAlignment="1" applyProtection="1">
      <alignment horizontal="left" vertical="center" indent="1"/>
      <protection hidden="1"/>
    </xf>
    <xf numFmtId="4" fontId="49" fillId="2" borderId="4" xfId="2" applyNumberFormat="1" applyFont="1" applyFill="1" applyBorder="1" applyAlignment="1" applyProtection="1">
      <alignment horizontal="left" vertical="center" indent="1"/>
      <protection hidden="1"/>
    </xf>
    <xf numFmtId="4" fontId="49" fillId="2" borderId="24" xfId="2" applyNumberFormat="1" applyFont="1" applyFill="1" applyBorder="1" applyAlignment="1" applyProtection="1">
      <alignment horizontal="left" vertical="center" indent="1"/>
      <protection hidden="1"/>
    </xf>
    <xf numFmtId="4" fontId="66" fillId="2" borderId="24" xfId="2" applyNumberFormat="1" applyFont="1" applyFill="1" applyBorder="1" applyAlignment="1" applyProtection="1">
      <alignment horizontal="left" vertical="center" indent="1"/>
      <protection hidden="1"/>
    </xf>
    <xf numFmtId="4" fontId="49" fillId="2" borderId="1" xfId="2" applyNumberFormat="1" applyFont="1" applyFill="1" applyBorder="1" applyAlignment="1" applyProtection="1">
      <alignment horizontal="left" vertical="center" indent="1"/>
      <protection hidden="1"/>
    </xf>
    <xf numFmtId="4" fontId="49" fillId="2" borderId="0" xfId="2" applyNumberFormat="1" applyFont="1" applyFill="1" applyBorder="1" applyAlignment="1" applyProtection="1">
      <alignment horizontal="left" vertical="center" indent="1"/>
      <protection hidden="1"/>
    </xf>
    <xf numFmtId="4" fontId="49" fillId="2" borderId="22" xfId="2" applyNumberFormat="1" applyFont="1" applyFill="1" applyBorder="1" applyAlignment="1" applyProtection="1">
      <alignment horizontal="left" vertical="center" indent="1"/>
      <protection hidden="1"/>
    </xf>
    <xf numFmtId="4" fontId="66" fillId="2" borderId="22" xfId="2" applyNumberFormat="1" applyFont="1" applyFill="1" applyBorder="1" applyAlignment="1" applyProtection="1">
      <alignment horizontal="left" vertical="center" indent="1"/>
      <protection hidden="1"/>
    </xf>
    <xf numFmtId="4" fontId="49" fillId="2" borderId="2" xfId="2" applyNumberFormat="1" applyFont="1" applyFill="1" applyBorder="1" applyAlignment="1" applyProtection="1">
      <alignment horizontal="left" vertical="center" indent="1"/>
      <protection hidden="1"/>
    </xf>
    <xf numFmtId="4" fontId="49" fillId="2" borderId="7" xfId="2" applyNumberFormat="1" applyFont="1" applyFill="1" applyBorder="1" applyAlignment="1" applyProtection="1">
      <alignment horizontal="left" vertical="center" indent="1"/>
      <protection hidden="1"/>
    </xf>
    <xf numFmtId="4" fontId="49" fillId="2" borderId="3" xfId="2" applyNumberFormat="1" applyFont="1" applyFill="1" applyBorder="1" applyAlignment="1" applyProtection="1">
      <alignment horizontal="left" vertical="center" indent="1"/>
      <protection hidden="1"/>
    </xf>
    <xf numFmtId="4" fontId="66" fillId="2" borderId="3" xfId="2" applyNumberFormat="1" applyFont="1" applyFill="1" applyBorder="1" applyAlignment="1" applyProtection="1">
      <alignment horizontal="left" vertical="center" indent="1"/>
      <protection hidden="1"/>
    </xf>
    <xf numFmtId="0" fontId="36" fillId="2" borderId="15" xfId="2" applyFont="1" applyFill="1" applyBorder="1" applyAlignment="1" applyProtection="1">
      <alignment horizontal="center" vertical="center"/>
      <protection hidden="1"/>
    </xf>
    <xf numFmtId="166" fontId="17" fillId="2" borderId="0" xfId="0" applyNumberFormat="1" applyFont="1" applyFill="1" applyBorder="1" applyAlignment="1" applyProtection="1">
      <alignment horizontal="right"/>
      <protection hidden="1"/>
    </xf>
    <xf numFmtId="0" fontId="17" fillId="2" borderId="0" xfId="0" applyFont="1" applyFill="1" applyBorder="1" applyAlignment="1" applyProtection="1">
      <alignment horizontal="center"/>
      <protection hidden="1"/>
    </xf>
    <xf numFmtId="0" fontId="17" fillId="2" borderId="0" xfId="0" applyFont="1" applyFill="1" applyBorder="1" applyAlignment="1" applyProtection="1">
      <alignment horizontal="center" vertical="top"/>
      <protection hidden="1"/>
    </xf>
    <xf numFmtId="166" fontId="17" fillId="2" borderId="0" xfId="0" applyNumberFormat="1" applyFont="1" applyFill="1" applyBorder="1" applyAlignment="1" applyProtection="1">
      <alignment horizontal="right" vertical="center"/>
      <protection hidden="1"/>
    </xf>
    <xf numFmtId="166" fontId="18" fillId="2" borderId="7" xfId="0" applyNumberFormat="1" applyFont="1" applyFill="1" applyBorder="1" applyAlignment="1" applyProtection="1">
      <alignment horizontal="right" vertical="top"/>
      <protection hidden="1"/>
    </xf>
    <xf numFmtId="168" fontId="18" fillId="2" borderId="7" xfId="0" applyNumberFormat="1" applyFont="1" applyFill="1" applyBorder="1" applyAlignment="1" applyProtection="1">
      <alignment horizontal="right" vertical="top"/>
      <protection hidden="1"/>
    </xf>
    <xf numFmtId="180" fontId="18" fillId="2" borderId="7" xfId="0" applyNumberFormat="1" applyFont="1" applyFill="1" applyBorder="1" applyAlignment="1" applyProtection="1">
      <alignment horizontal="right" vertical="top"/>
      <protection hidden="1"/>
    </xf>
    <xf numFmtId="180" fontId="8" fillId="2" borderId="0" xfId="0" applyNumberFormat="1" applyFont="1" applyFill="1" applyBorder="1" applyAlignment="1" applyProtection="1">
      <alignment horizontal="right" vertical="center"/>
      <protection hidden="1"/>
    </xf>
    <xf numFmtId="166" fontId="18" fillId="2" borderId="7" xfId="0" applyNumberFormat="1" applyFont="1" applyFill="1" applyBorder="1" applyAlignment="1" applyProtection="1">
      <alignment horizontal="center" vertical="top"/>
      <protection hidden="1"/>
    </xf>
    <xf numFmtId="0" fontId="101" fillId="2" borderId="24" xfId="0" applyFont="1" applyFill="1" applyBorder="1" applyAlignment="1" applyProtection="1">
      <alignment vertical="top"/>
      <protection hidden="1"/>
    </xf>
    <xf numFmtId="168" fontId="8" fillId="2" borderId="22" xfId="0" applyNumberFormat="1" applyFont="1" applyFill="1" applyBorder="1" applyAlignment="1" applyProtection="1">
      <alignment horizontal="right" vertical="center"/>
      <protection hidden="1"/>
    </xf>
    <xf numFmtId="168" fontId="8" fillId="2" borderId="3" xfId="0" applyNumberFormat="1" applyFont="1" applyFill="1" applyBorder="1" applyAlignment="1" applyProtection="1">
      <alignment horizontal="right" vertical="top"/>
      <protection hidden="1"/>
    </xf>
    <xf numFmtId="166" fontId="14" fillId="2" borderId="0" xfId="0" applyNumberFormat="1" applyFont="1" applyFill="1" applyBorder="1" applyAlignment="1" applyProtection="1">
      <alignment horizontal="right"/>
      <protection hidden="1"/>
    </xf>
    <xf numFmtId="166" fontId="14" fillId="2" borderId="0" xfId="0" applyNumberFormat="1" applyFont="1" applyFill="1" applyBorder="1" applyAlignment="1" applyProtection="1">
      <alignment horizontal="right" vertical="top"/>
      <protection hidden="1"/>
    </xf>
    <xf numFmtId="166" fontId="8" fillId="2" borderId="0" xfId="0" applyNumberFormat="1" applyFont="1" applyFill="1" applyBorder="1" applyAlignment="1" applyProtection="1">
      <alignment horizontal="right" vertical="center"/>
      <protection hidden="1"/>
    </xf>
    <xf numFmtId="166" fontId="8" fillId="2" borderId="7" xfId="0" applyNumberFormat="1" applyFont="1" applyFill="1" applyBorder="1" applyAlignment="1" applyProtection="1">
      <alignment horizontal="right" vertical="top"/>
      <protection hidden="1"/>
    </xf>
    <xf numFmtId="169" fontId="18" fillId="2" borderId="0" xfId="0" applyNumberFormat="1" applyFont="1" applyFill="1" applyBorder="1" applyAlignment="1" applyProtection="1">
      <alignment horizontal="right" vertical="center"/>
      <protection hidden="1"/>
    </xf>
    <xf numFmtId="169" fontId="18" fillId="2" borderId="7" xfId="0" applyNumberFormat="1" applyFont="1" applyFill="1" applyBorder="1" applyAlignment="1" applyProtection="1">
      <alignment horizontal="right" vertical="top"/>
      <protection hidden="1"/>
    </xf>
    <xf numFmtId="166" fontId="14" fillId="2" borderId="0" xfId="0" applyNumberFormat="1" applyFont="1" applyFill="1" applyBorder="1" applyAlignment="1" applyProtection="1">
      <alignment horizontal="right" vertical="center"/>
      <protection hidden="1"/>
    </xf>
    <xf numFmtId="0" fontId="83" fillId="2" borderId="1" xfId="2" applyFont="1" applyFill="1" applyBorder="1" applyAlignment="1" applyProtection="1">
      <alignment horizontal="right" indent="1"/>
      <protection hidden="1"/>
    </xf>
    <xf numFmtId="0" fontId="83" fillId="2" borderId="1" xfId="2" applyFont="1" applyFill="1" applyBorder="1" applyAlignment="1" applyProtection="1">
      <alignment horizontal="right" vertical="top" indent="1"/>
      <protection hidden="1"/>
    </xf>
    <xf numFmtId="0" fontId="81" fillId="2" borderId="0" xfId="2" applyFont="1" applyFill="1" applyBorder="1" applyAlignment="1" applyProtection="1">
      <alignment horizontal="right" vertical="top" indent="1"/>
      <protection hidden="1"/>
    </xf>
    <xf numFmtId="168" fontId="37" fillId="2" borderId="19" xfId="2" applyNumberFormat="1" applyFont="1" applyFill="1" applyBorder="1" applyAlignment="1" applyProtection="1">
      <alignment vertical="center"/>
      <protection hidden="1"/>
    </xf>
    <xf numFmtId="168" fontId="37" fillId="2" borderId="20" xfId="2" applyNumberFormat="1" applyFont="1" applyFill="1" applyBorder="1" applyAlignment="1" applyProtection="1">
      <alignment vertical="center"/>
      <protection hidden="1"/>
    </xf>
    <xf numFmtId="168" fontId="37" fillId="2" borderId="21" xfId="2" applyNumberFormat="1" applyFont="1" applyFill="1" applyBorder="1" applyAlignment="1" applyProtection="1">
      <alignment vertical="center"/>
      <protection hidden="1"/>
    </xf>
    <xf numFmtId="0" fontId="133" fillId="2" borderId="0" xfId="2" applyFont="1" applyFill="1" applyBorder="1" applyAlignment="1" applyProtection="1">
      <alignment vertical="top"/>
      <protection hidden="1"/>
    </xf>
    <xf numFmtId="0" fontId="44" fillId="2" borderId="0" xfId="2" applyFont="1" applyFill="1" applyAlignment="1" applyProtection="1">
      <alignment horizontal="right" indent="1"/>
      <protection hidden="1"/>
    </xf>
    <xf numFmtId="168" fontId="37" fillId="2" borderId="55" xfId="2" applyNumberFormat="1" applyFont="1" applyFill="1" applyBorder="1" applyAlignment="1" applyProtection="1">
      <alignment vertical="center"/>
      <protection hidden="1"/>
    </xf>
    <xf numFmtId="168" fontId="37" fillId="2" borderId="6" xfId="2" applyNumberFormat="1" applyFont="1" applyFill="1" applyBorder="1" applyAlignment="1" applyProtection="1">
      <alignment vertical="center"/>
      <protection hidden="1"/>
    </xf>
    <xf numFmtId="168" fontId="37" fillId="2" borderId="58" xfId="2" applyNumberFormat="1" applyFont="1" applyFill="1" applyBorder="1" applyAlignment="1" applyProtection="1">
      <alignment vertical="center"/>
      <protection hidden="1"/>
    </xf>
    <xf numFmtId="168" fontId="37" fillId="3" borderId="43" xfId="2" applyNumberFormat="1" applyFont="1" applyFill="1" applyBorder="1" applyAlignment="1" applyProtection="1">
      <alignment vertical="center"/>
      <protection hidden="1"/>
    </xf>
    <xf numFmtId="169" fontId="37" fillId="2" borderId="43" xfId="2" applyNumberFormat="1" applyFont="1" applyFill="1" applyBorder="1" applyAlignment="1" applyProtection="1">
      <alignment vertical="center"/>
      <protection hidden="1"/>
    </xf>
    <xf numFmtId="181" fontId="44" fillId="2" borderId="0" xfId="2" applyNumberFormat="1" applyFont="1" applyFill="1" applyBorder="1" applyAlignment="1" applyProtection="1">
      <alignment horizontal="right" vertical="top"/>
      <protection hidden="1"/>
    </xf>
    <xf numFmtId="0" fontId="154" fillId="2" borderId="0" xfId="2" applyFont="1" applyFill="1" applyAlignment="1" applyProtection="1">
      <alignment horizontal="right"/>
      <protection hidden="1"/>
    </xf>
    <xf numFmtId="0" fontId="154" fillId="2" borderId="0" xfId="2" applyFont="1" applyFill="1" applyAlignment="1" applyProtection="1">
      <alignment horizontal="left" vertical="top" indent="1"/>
      <protection hidden="1"/>
    </xf>
    <xf numFmtId="0" fontId="3" fillId="2" borderId="103" xfId="2" applyFill="1" applyBorder="1" applyProtection="1">
      <protection hidden="1"/>
    </xf>
    <xf numFmtId="0" fontId="81" fillId="2" borderId="103" xfId="2" applyFont="1" applyFill="1" applyBorder="1" applyAlignment="1" applyProtection="1">
      <alignment horizontal="center"/>
      <protection hidden="1"/>
    </xf>
    <xf numFmtId="0" fontId="3" fillId="2" borderId="104" xfId="2" applyFill="1" applyBorder="1" applyProtection="1">
      <protection hidden="1"/>
    </xf>
    <xf numFmtId="0" fontId="147" fillId="2" borderId="105" xfId="2" applyFont="1" applyFill="1" applyBorder="1" applyAlignment="1" applyProtection="1">
      <alignment horizontal="left" vertical="top" indent="1"/>
      <protection hidden="1"/>
    </xf>
    <xf numFmtId="0" fontId="83" fillId="2" borderId="105" xfId="2" applyFont="1" applyFill="1" applyBorder="1" applyAlignment="1" applyProtection="1">
      <alignment horizontal="left" indent="1"/>
      <protection hidden="1"/>
    </xf>
    <xf numFmtId="0" fontId="83" fillId="2" borderId="105" xfId="2" applyFont="1" applyFill="1" applyBorder="1" applyAlignment="1" applyProtection="1">
      <alignment horizontal="left" vertical="top" indent="1"/>
      <protection hidden="1"/>
    </xf>
    <xf numFmtId="0" fontId="3" fillId="2" borderId="105" xfId="2" applyFill="1" applyBorder="1" applyProtection="1">
      <protection hidden="1"/>
    </xf>
    <xf numFmtId="0" fontId="3" fillId="2" borderId="106" xfId="2" applyFill="1" applyBorder="1" applyProtection="1">
      <protection hidden="1"/>
    </xf>
    <xf numFmtId="0" fontId="3" fillId="2" borderId="107" xfId="2" applyFill="1" applyBorder="1" applyProtection="1">
      <protection hidden="1"/>
    </xf>
    <xf numFmtId="181" fontId="126" fillId="2" borderId="0" xfId="2" applyNumberFormat="1" applyFont="1" applyFill="1" applyBorder="1" applyAlignment="1" applyProtection="1">
      <alignment horizontal="right" vertical="center" indent="1"/>
      <protection hidden="1"/>
    </xf>
    <xf numFmtId="0" fontId="95" fillId="2" borderId="0" xfId="2" applyFont="1" applyFill="1" applyAlignment="1" applyProtection="1">
      <alignment horizontal="center"/>
      <protection hidden="1"/>
    </xf>
    <xf numFmtId="0" fontId="95" fillId="2" borderId="0" xfId="2" applyFont="1" applyFill="1" applyAlignment="1" applyProtection="1">
      <alignment horizontal="center" vertical="top"/>
      <protection hidden="1"/>
    </xf>
    <xf numFmtId="168" fontId="37" fillId="2" borderId="42" xfId="2" applyNumberFormat="1" applyFont="1" applyFill="1" applyBorder="1" applyAlignment="1" applyProtection="1">
      <alignment vertical="center"/>
      <protection hidden="1"/>
    </xf>
    <xf numFmtId="168" fontId="37" fillId="2" borderId="85" xfId="2" applyNumberFormat="1" applyFont="1" applyFill="1" applyBorder="1" applyAlignment="1" applyProtection="1">
      <alignment vertical="center"/>
      <protection hidden="1"/>
    </xf>
    <xf numFmtId="168" fontId="37" fillId="2" borderId="27" xfId="2" applyNumberFormat="1" applyFont="1" applyFill="1" applyBorder="1" applyAlignment="1" applyProtection="1">
      <alignment vertical="center"/>
      <protection hidden="1"/>
    </xf>
    <xf numFmtId="168" fontId="37" fillId="4" borderId="27" xfId="2" applyNumberFormat="1" applyFont="1" applyFill="1" applyBorder="1" applyAlignment="1" applyProtection="1">
      <alignment vertical="center"/>
      <protection hidden="1"/>
    </xf>
    <xf numFmtId="168" fontId="37" fillId="2" borderId="36" xfId="2" applyNumberFormat="1" applyFont="1" applyFill="1" applyBorder="1" applyAlignment="1" applyProtection="1">
      <protection hidden="1"/>
    </xf>
    <xf numFmtId="168" fontId="37" fillId="2" borderId="2" xfId="2" applyNumberFormat="1" applyFont="1" applyFill="1" applyBorder="1" applyAlignment="1" applyProtection="1">
      <alignment vertical="top"/>
      <protection hidden="1"/>
    </xf>
    <xf numFmtId="0" fontId="126" fillId="2" borderId="108" xfId="2" applyFont="1" applyFill="1" applyBorder="1" applyAlignment="1" applyProtection="1">
      <alignment horizontal="left" indent="1"/>
      <protection hidden="1"/>
    </xf>
    <xf numFmtId="166" fontId="65" fillId="2" borderId="0" xfId="0" applyNumberFormat="1" applyFont="1" applyFill="1" applyBorder="1" applyAlignment="1" applyProtection="1">
      <alignment horizontal="right"/>
      <protection hidden="1"/>
    </xf>
    <xf numFmtId="166" fontId="65" fillId="2" borderId="7" xfId="0" applyNumberFormat="1" applyFont="1" applyFill="1" applyBorder="1" applyAlignment="1" applyProtection="1">
      <alignment horizontal="right" vertical="top"/>
      <protection hidden="1"/>
    </xf>
    <xf numFmtId="0" fontId="65" fillId="2" borderId="7" xfId="0" applyFont="1" applyFill="1" applyBorder="1" applyAlignment="1" applyProtection="1">
      <alignment horizontal="center" vertical="top"/>
      <protection hidden="1"/>
    </xf>
    <xf numFmtId="166" fontId="8" fillId="2" borderId="7" xfId="0" applyNumberFormat="1" applyFont="1" applyFill="1" applyBorder="1" applyAlignment="1" applyProtection="1">
      <alignment horizontal="center" vertical="top"/>
      <protection hidden="1"/>
    </xf>
    <xf numFmtId="0" fontId="155" fillId="4" borderId="26" xfId="0" applyFont="1" applyFill="1" applyBorder="1" applyAlignment="1" applyProtection="1">
      <alignment vertical="top"/>
      <protection hidden="1"/>
    </xf>
    <xf numFmtId="168" fontId="58" fillId="2" borderId="0" xfId="0" applyNumberFormat="1" applyFont="1" applyFill="1" applyBorder="1" applyAlignment="1" applyProtection="1">
      <alignment horizontal="right" vertical="center"/>
      <protection hidden="1"/>
    </xf>
    <xf numFmtId="168" fontId="58" fillId="4" borderId="14" xfId="0" applyNumberFormat="1" applyFont="1" applyFill="1" applyBorder="1" applyAlignment="1" applyProtection="1">
      <alignment horizontal="right" vertical="center"/>
      <protection hidden="1"/>
    </xf>
    <xf numFmtId="168" fontId="58" fillId="2" borderId="7" xfId="0" applyNumberFormat="1" applyFont="1" applyFill="1" applyBorder="1" applyAlignment="1" applyProtection="1">
      <alignment horizontal="right" vertical="top"/>
      <protection hidden="1"/>
    </xf>
    <xf numFmtId="168" fontId="58" fillId="4" borderId="15" xfId="0" applyNumberFormat="1" applyFont="1" applyFill="1" applyBorder="1" applyAlignment="1" applyProtection="1">
      <alignment horizontal="right" vertical="top"/>
      <protection hidden="1"/>
    </xf>
    <xf numFmtId="166" fontId="65" fillId="2" borderId="0" xfId="0" applyNumberFormat="1" applyFont="1" applyFill="1" applyBorder="1" applyAlignment="1" applyProtection="1">
      <alignment horizontal="right" vertical="center"/>
      <protection hidden="1"/>
    </xf>
    <xf numFmtId="168" fontId="8" fillId="2" borderId="0" xfId="0" applyNumberFormat="1" applyFont="1" applyFill="1" applyBorder="1" applyAlignment="1" applyProtection="1">
      <alignment horizontal="right" vertical="center"/>
      <protection hidden="1"/>
    </xf>
    <xf numFmtId="168" fontId="58" fillId="2" borderId="4" xfId="0" applyNumberFormat="1" applyFont="1" applyFill="1" applyBorder="1" applyAlignment="1" applyProtection="1">
      <alignment horizontal="right" vertical="center"/>
      <protection hidden="1"/>
    </xf>
    <xf numFmtId="190" fontId="49" fillId="2" borderId="109" xfId="2" applyNumberFormat="1" applyFont="1" applyFill="1" applyBorder="1" applyAlignment="1" applyProtection="1">
      <alignment horizontal="left" vertical="center" indent="1"/>
      <protection hidden="1"/>
    </xf>
    <xf numFmtId="0" fontId="81" fillId="2" borderId="103" xfId="2" applyFont="1" applyFill="1" applyBorder="1" applyAlignment="1" applyProtection="1">
      <alignment horizontal="left"/>
      <protection hidden="1"/>
    </xf>
    <xf numFmtId="0" fontId="151" fillId="2" borderId="105" xfId="2" applyFont="1" applyFill="1" applyBorder="1" applyAlignment="1" applyProtection="1">
      <alignment horizontal="left" vertical="top" indent="1"/>
      <protection hidden="1"/>
    </xf>
    <xf numFmtId="0" fontId="98" fillId="2" borderId="105" xfId="2" applyFont="1" applyFill="1" applyBorder="1" applyAlignment="1" applyProtection="1">
      <alignment horizontal="left" indent="1"/>
      <protection hidden="1"/>
    </xf>
    <xf numFmtId="0" fontId="98" fillId="2" borderId="105" xfId="2" applyFont="1" applyFill="1" applyBorder="1" applyAlignment="1" applyProtection="1">
      <alignment horizontal="left" vertical="top" indent="1"/>
      <protection hidden="1"/>
    </xf>
    <xf numFmtId="190" fontId="126" fillId="2" borderId="109" xfId="2" applyNumberFormat="1" applyFont="1" applyFill="1" applyBorder="1" applyAlignment="1" applyProtection="1">
      <alignment horizontal="left" vertical="center" indent="1"/>
      <protection hidden="1"/>
    </xf>
    <xf numFmtId="181" fontId="131" fillId="2" borderId="0" xfId="2" applyNumberFormat="1" applyFont="1" applyFill="1" applyBorder="1" applyAlignment="1" applyProtection="1">
      <alignment horizontal="left" vertical="center" indent="1"/>
      <protection hidden="1"/>
    </xf>
    <xf numFmtId="0" fontId="14" fillId="2" borderId="5" xfId="2" applyFont="1" applyFill="1" applyBorder="1" applyAlignment="1" applyProtection="1">
      <alignment horizontal="center" vertical="center"/>
      <protection hidden="1"/>
    </xf>
    <xf numFmtId="0" fontId="14" fillId="2" borderId="74" xfId="2" applyFont="1" applyFill="1" applyBorder="1" applyAlignment="1" applyProtection="1">
      <alignment horizontal="center" vertical="center"/>
      <protection hidden="1"/>
    </xf>
    <xf numFmtId="0" fontId="14" fillId="2" borderId="85" xfId="2" applyFont="1" applyFill="1" applyBorder="1" applyAlignment="1" applyProtection="1">
      <alignment horizontal="center" vertical="center"/>
      <protection hidden="1"/>
    </xf>
    <xf numFmtId="168" fontId="44" fillId="2" borderId="26" xfId="2" applyNumberFormat="1" applyFont="1" applyFill="1" applyBorder="1" applyProtection="1">
      <protection hidden="1"/>
    </xf>
    <xf numFmtId="168" fontId="44" fillId="2" borderId="15" xfId="2" applyNumberFormat="1" applyFont="1" applyFill="1" applyBorder="1" applyAlignment="1" applyProtection="1">
      <alignment vertical="top"/>
      <protection hidden="1"/>
    </xf>
    <xf numFmtId="0" fontId="70" fillId="2" borderId="109" xfId="2" applyFont="1" applyFill="1" applyBorder="1" applyAlignment="1" applyProtection="1">
      <alignment horizontal="left" vertical="top" indent="1"/>
      <protection hidden="1"/>
    </xf>
    <xf numFmtId="166" fontId="18" fillId="2" borderId="0" xfId="2" applyNumberFormat="1" applyFont="1" applyFill="1" applyBorder="1" applyAlignment="1" applyProtection="1">
      <alignment horizontal="center" vertical="top"/>
      <protection hidden="1"/>
    </xf>
    <xf numFmtId="1" fontId="10" fillId="2" borderId="0" xfId="2" applyNumberFormat="1" applyFont="1" applyFill="1" applyAlignment="1" applyProtection="1">
      <alignment horizontal="center"/>
      <protection hidden="1"/>
    </xf>
    <xf numFmtId="1" fontId="10" fillId="2" borderId="0" xfId="2" applyNumberFormat="1" applyFont="1" applyFill="1" applyAlignment="1" applyProtection="1">
      <protection hidden="1"/>
    </xf>
    <xf numFmtId="0" fontId="49" fillId="2" borderId="30" xfId="2" applyFont="1" applyFill="1" applyBorder="1" applyAlignment="1" applyProtection="1">
      <alignment vertical="top"/>
      <protection hidden="1"/>
    </xf>
    <xf numFmtId="0" fontId="49" fillId="2" borderId="0" xfId="2" applyFont="1" applyFill="1" applyBorder="1" applyAlignment="1" applyProtection="1">
      <alignment vertical="top"/>
      <protection hidden="1"/>
    </xf>
    <xf numFmtId="168" fontId="58" fillId="2" borderId="7" xfId="0" applyNumberFormat="1" applyFont="1" applyFill="1" applyBorder="1" applyAlignment="1" applyProtection="1">
      <alignment horizontal="center" vertical="top"/>
      <protection hidden="1"/>
    </xf>
    <xf numFmtId="173" fontId="67" fillId="2" borderId="3" xfId="0" applyNumberFormat="1" applyFont="1" applyFill="1" applyBorder="1" applyAlignment="1" applyProtection="1">
      <alignment horizontal="left" vertical="center" indent="1"/>
      <protection locked="0"/>
    </xf>
    <xf numFmtId="167" fontId="67" fillId="2" borderId="34" xfId="0" applyNumberFormat="1" applyFont="1" applyFill="1" applyBorder="1" applyAlignment="1" applyProtection="1">
      <alignment horizontal="center" vertical="center"/>
      <protection hidden="1"/>
    </xf>
    <xf numFmtId="167" fontId="67" fillId="2" borderId="6" xfId="0" applyNumberFormat="1" applyFont="1" applyFill="1" applyBorder="1" applyAlignment="1" applyProtection="1">
      <alignment horizontal="center" vertical="center"/>
      <protection hidden="1"/>
    </xf>
    <xf numFmtId="167" fontId="67" fillId="2" borderId="35" xfId="0" applyNumberFormat="1" applyFont="1" applyFill="1" applyBorder="1" applyAlignment="1" applyProtection="1">
      <alignment horizontal="center" vertical="center"/>
      <protection hidden="1"/>
    </xf>
    <xf numFmtId="168" fontId="59" fillId="3" borderId="27" xfId="0" applyNumberFormat="1" applyFont="1" applyFill="1" applyBorder="1" applyAlignment="1" applyProtection="1">
      <alignment horizontal="right" vertical="center"/>
      <protection hidden="1"/>
    </xf>
    <xf numFmtId="0" fontId="85" fillId="2" borderId="7" xfId="2" applyFont="1" applyFill="1" applyBorder="1" applyAlignment="1" applyProtection="1">
      <protection hidden="1"/>
    </xf>
    <xf numFmtId="0" fontId="85" fillId="2" borderId="0" xfId="2" applyFont="1" applyFill="1" applyBorder="1" applyAlignment="1" applyProtection="1">
      <alignment vertical="center"/>
      <protection hidden="1"/>
    </xf>
    <xf numFmtId="0" fontId="3" fillId="2" borderId="0" xfId="2" applyFill="1" applyAlignment="1" applyProtection="1">
      <alignment horizontal="center" vertical="top"/>
      <protection hidden="1"/>
    </xf>
    <xf numFmtId="166" fontId="58" fillId="2" borderId="0" xfId="2" applyNumberFormat="1" applyFont="1" applyFill="1" applyBorder="1" applyAlignment="1" applyProtection="1">
      <alignment horizontal="center" vertical="top"/>
      <protection hidden="1"/>
    </xf>
    <xf numFmtId="168" fontId="37" fillId="2" borderId="47" xfId="2" applyNumberFormat="1" applyFont="1" applyFill="1" applyBorder="1" applyAlignment="1" applyProtection="1">
      <protection hidden="1"/>
    </xf>
    <xf numFmtId="168" fontId="37" fillId="2" borderId="49" xfId="2" applyNumberFormat="1" applyFont="1" applyFill="1" applyBorder="1" applyAlignment="1" applyProtection="1">
      <alignment vertical="top"/>
      <protection hidden="1"/>
    </xf>
    <xf numFmtId="168" fontId="37" fillId="2" borderId="52" xfId="2" applyNumberFormat="1" applyFont="1" applyFill="1" applyBorder="1" applyAlignment="1" applyProtection="1">
      <protection hidden="1"/>
    </xf>
    <xf numFmtId="168" fontId="37" fillId="2" borderId="53" xfId="2" applyNumberFormat="1" applyFont="1" applyFill="1" applyBorder="1" applyAlignment="1" applyProtection="1">
      <alignment vertical="top"/>
      <protection hidden="1"/>
    </xf>
    <xf numFmtId="168" fontId="37" fillId="2" borderId="54" xfId="2" applyNumberFormat="1" applyFont="1" applyFill="1" applyBorder="1" applyAlignment="1" applyProtection="1">
      <alignment vertical="center"/>
      <protection hidden="1"/>
    </xf>
    <xf numFmtId="168" fontId="37" fillId="2" borderId="56" xfId="2" applyNumberFormat="1" applyFont="1" applyFill="1" applyBorder="1" applyAlignment="1" applyProtection="1">
      <alignment vertical="center"/>
      <protection hidden="1"/>
    </xf>
    <xf numFmtId="168" fontId="37" fillId="2" borderId="34" xfId="2" applyNumberFormat="1" applyFont="1" applyFill="1" applyBorder="1" applyAlignment="1" applyProtection="1">
      <alignment vertical="center"/>
      <protection hidden="1"/>
    </xf>
    <xf numFmtId="168" fontId="37" fillId="2" borderId="35" xfId="2" applyNumberFormat="1" applyFont="1" applyFill="1" applyBorder="1" applyAlignment="1" applyProtection="1">
      <alignment vertical="center"/>
      <protection hidden="1"/>
    </xf>
    <xf numFmtId="168" fontId="37" fillId="2" borderId="57" xfId="2" applyNumberFormat="1" applyFont="1" applyFill="1" applyBorder="1" applyAlignment="1" applyProtection="1">
      <alignment vertical="center"/>
      <protection hidden="1"/>
    </xf>
    <xf numFmtId="168" fontId="37" fillId="2" borderId="59" xfId="2" applyNumberFormat="1" applyFont="1" applyFill="1" applyBorder="1" applyAlignment="1" applyProtection="1">
      <alignment vertical="center"/>
      <protection hidden="1"/>
    </xf>
    <xf numFmtId="168" fontId="37" fillId="3" borderId="42" xfId="2" applyNumberFormat="1" applyFont="1" applyFill="1" applyBorder="1" applyAlignment="1" applyProtection="1">
      <alignment vertical="center"/>
      <protection hidden="1"/>
    </xf>
    <xf numFmtId="168" fontId="37" fillId="3" borderId="44" xfId="2" applyNumberFormat="1" applyFont="1" applyFill="1" applyBorder="1" applyAlignment="1" applyProtection="1">
      <alignment vertical="center"/>
      <protection hidden="1"/>
    </xf>
    <xf numFmtId="169" fontId="37" fillId="2" borderId="42" xfId="2" applyNumberFormat="1" applyFont="1" applyFill="1" applyBorder="1" applyAlignment="1" applyProtection="1">
      <alignment vertical="center"/>
      <protection hidden="1"/>
    </xf>
    <xf numFmtId="169" fontId="37" fillId="2" borderId="44" xfId="2" applyNumberFormat="1" applyFont="1" applyFill="1" applyBorder="1" applyAlignment="1" applyProtection="1">
      <alignment vertical="center"/>
      <protection hidden="1"/>
    </xf>
    <xf numFmtId="167" fontId="48" fillId="4" borderId="110" xfId="0" applyNumberFormat="1" applyFont="1" applyFill="1" applyBorder="1" applyAlignment="1" applyProtection="1">
      <alignment horizontal="center" vertical="center"/>
      <protection hidden="1"/>
    </xf>
    <xf numFmtId="167" fontId="48" fillId="4" borderId="111" xfId="0" applyNumberFormat="1" applyFont="1" applyFill="1" applyBorder="1" applyAlignment="1" applyProtection="1">
      <alignment horizontal="center" vertical="center"/>
      <protection hidden="1"/>
    </xf>
    <xf numFmtId="167" fontId="48" fillId="4" borderId="112" xfId="0" applyNumberFormat="1" applyFont="1" applyFill="1" applyBorder="1" applyAlignment="1" applyProtection="1">
      <alignment horizontal="center" vertical="center"/>
      <protection hidden="1"/>
    </xf>
    <xf numFmtId="0" fontId="35" fillId="2" borderId="0" xfId="0" applyFont="1" applyFill="1" applyAlignment="1" applyProtection="1">
      <alignment horizontal="left" indent="1"/>
      <protection hidden="1"/>
    </xf>
    <xf numFmtId="168" fontId="101" fillId="2" borderId="0" xfId="0" applyNumberFormat="1" applyFont="1" applyFill="1" applyBorder="1" applyAlignment="1" applyProtection="1">
      <alignment vertical="top"/>
      <protection hidden="1"/>
    </xf>
    <xf numFmtId="0" fontId="48" fillId="2" borderId="0" xfId="0" applyFont="1" applyFill="1" applyBorder="1" applyAlignment="1" applyProtection="1">
      <alignment vertical="center"/>
      <protection hidden="1"/>
    </xf>
    <xf numFmtId="0" fontId="48" fillId="2" borderId="0" xfId="0" applyFont="1" applyFill="1" applyBorder="1" applyAlignment="1" applyProtection="1">
      <alignment vertical="top"/>
      <protection hidden="1"/>
    </xf>
    <xf numFmtId="0" fontId="15" fillId="2" borderId="0" xfId="0" applyFont="1" applyFill="1" applyAlignment="1" applyProtection="1">
      <alignment horizontal="right" vertical="center"/>
      <protection hidden="1"/>
    </xf>
    <xf numFmtId="0" fontId="18" fillId="2" borderId="113" xfId="0" applyFont="1" applyFill="1" applyBorder="1" applyAlignment="1" applyProtection="1">
      <alignment horizontal="center" vertical="center"/>
      <protection hidden="1"/>
    </xf>
    <xf numFmtId="0" fontId="18" fillId="2" borderId="114" xfId="0" applyFont="1" applyFill="1" applyBorder="1" applyAlignment="1" applyProtection="1">
      <alignment horizontal="center" vertical="center"/>
      <protection hidden="1"/>
    </xf>
    <xf numFmtId="0" fontId="18" fillId="2" borderId="115" xfId="0" applyFont="1" applyFill="1" applyBorder="1" applyAlignment="1" applyProtection="1">
      <alignment horizontal="center" vertical="center"/>
      <protection hidden="1"/>
    </xf>
    <xf numFmtId="0" fontId="8" fillId="2" borderId="0" xfId="0" applyFont="1" applyFill="1" applyAlignment="1" applyProtection="1">
      <alignment horizontal="left" vertical="top" indent="3"/>
      <protection hidden="1"/>
    </xf>
    <xf numFmtId="0" fontId="151" fillId="2" borderId="0" xfId="0" applyFont="1" applyFill="1" applyBorder="1" applyAlignment="1" applyProtection="1">
      <alignment horizontal="left" vertical="top" indent="1"/>
      <protection hidden="1"/>
    </xf>
    <xf numFmtId="0" fontId="151" fillId="2" borderId="0" xfId="0" applyFont="1" applyFill="1" applyBorder="1" applyAlignment="1" applyProtection="1">
      <alignment horizontal="right" vertical="top" indent="1"/>
      <protection hidden="1"/>
    </xf>
    <xf numFmtId="0" fontId="147" fillId="2" borderId="0" xfId="0" applyFont="1" applyFill="1" applyBorder="1" applyAlignment="1" applyProtection="1">
      <alignment horizontal="right" vertical="top" indent="1"/>
      <protection hidden="1"/>
    </xf>
    <xf numFmtId="0" fontId="81" fillId="2" borderId="0" xfId="5" applyNumberFormat="1" applyFont="1" applyFill="1" applyAlignment="1" applyProtection="1">
      <protection hidden="1"/>
    </xf>
    <xf numFmtId="0" fontId="59" fillId="2" borderId="0" xfId="5" applyFont="1" applyFill="1" applyAlignment="1" applyProtection="1">
      <protection hidden="1"/>
    </xf>
    <xf numFmtId="0" fontId="80" fillId="0" borderId="0" xfId="5" applyFont="1" applyFill="1" applyAlignment="1" applyProtection="1">
      <alignment vertical="top"/>
      <protection hidden="1"/>
    </xf>
    <xf numFmtId="0" fontId="18" fillId="2" borderId="0" xfId="0" applyFont="1" applyFill="1" applyAlignment="1" applyProtection="1">
      <alignment horizontal="left"/>
      <protection hidden="1"/>
    </xf>
    <xf numFmtId="0" fontId="18" fillId="2" borderId="0" xfId="0" applyFont="1" applyFill="1" applyAlignment="1" applyProtection="1">
      <alignment horizontal="left" vertical="top"/>
      <protection hidden="1"/>
    </xf>
    <xf numFmtId="0" fontId="81" fillId="2" borderId="0" xfId="5" applyNumberFormat="1" applyFont="1" applyFill="1" applyAlignment="1" applyProtection="1">
      <alignment horizontal="left" vertical="top" indent="1"/>
      <protection hidden="1"/>
    </xf>
    <xf numFmtId="166" fontId="70" fillId="2" borderId="0" xfId="0" applyNumberFormat="1" applyFont="1" applyFill="1" applyAlignment="1" applyProtection="1">
      <alignment vertical="center"/>
      <protection hidden="1"/>
    </xf>
    <xf numFmtId="0" fontId="18" fillId="2" borderId="0" xfId="0" applyFont="1" applyFill="1" applyAlignment="1" applyProtection="1">
      <alignment horizontal="distributed" vertical="top"/>
      <protection hidden="1"/>
    </xf>
    <xf numFmtId="166" fontId="68" fillId="2" borderId="0" xfId="0" applyNumberFormat="1" applyFont="1" applyFill="1" applyAlignment="1" applyProtection="1">
      <alignment horizontal="right" vertical="center"/>
      <protection hidden="1"/>
    </xf>
    <xf numFmtId="166" fontId="18" fillId="2" borderId="0" xfId="0" applyNumberFormat="1" applyFont="1" applyFill="1" applyAlignment="1" applyProtection="1">
      <alignment horizontal="right" vertical="top"/>
      <protection hidden="1"/>
    </xf>
    <xf numFmtId="166" fontId="68" fillId="2" borderId="0" xfId="0" applyNumberFormat="1" applyFont="1" applyFill="1" applyAlignment="1" applyProtection="1">
      <alignment horizontal="right"/>
      <protection hidden="1"/>
    </xf>
    <xf numFmtId="0" fontId="118" fillId="2" borderId="0" xfId="1" applyFont="1" applyFill="1" applyAlignment="1" applyProtection="1">
      <alignment horizontal="left" vertical="top"/>
      <protection locked="0"/>
    </xf>
    <xf numFmtId="0" fontId="93" fillId="2" borderId="0" xfId="0" applyFont="1" applyFill="1" applyAlignment="1" applyProtection="1">
      <alignment vertical="top"/>
      <protection hidden="1"/>
    </xf>
    <xf numFmtId="0" fontId="150" fillId="2" borderId="0" xfId="1" applyNumberFormat="1" applyFont="1" applyFill="1" applyAlignment="1" applyProtection="1">
      <alignment horizontal="left" vertical="center" indent="1"/>
      <protection locked="0"/>
    </xf>
    <xf numFmtId="0" fontId="130" fillId="2" borderId="0" xfId="1" applyNumberFormat="1" applyFont="1" applyFill="1" applyAlignment="1" applyProtection="1">
      <alignment horizontal="right" vertical="top" indent="1"/>
      <protection locked="0"/>
    </xf>
    <xf numFmtId="0" fontId="8" fillId="2" borderId="7" xfId="0" applyFont="1" applyFill="1" applyBorder="1" applyAlignment="1" applyProtection="1">
      <alignment horizontal="left" vertical="top"/>
      <protection hidden="1"/>
    </xf>
    <xf numFmtId="0" fontId="81" fillId="0" borderId="0" xfId="0" applyFont="1" applyFill="1" applyAlignment="1" applyProtection="1">
      <alignment horizontal="left" vertical="top" indent="1"/>
      <protection hidden="1"/>
    </xf>
    <xf numFmtId="0" fontId="106" fillId="2" borderId="0" xfId="0" applyFont="1" applyFill="1" applyAlignment="1" applyProtection="1">
      <alignment horizontal="left" indent="1"/>
      <protection hidden="1"/>
    </xf>
    <xf numFmtId="0" fontId="106" fillId="2" borderId="0" xfId="0" applyFont="1" applyFill="1" applyAlignment="1" applyProtection="1">
      <alignment horizontal="left" vertical="top" indent="1"/>
      <protection hidden="1"/>
    </xf>
    <xf numFmtId="0" fontId="93" fillId="2" borderId="0" xfId="0" applyFont="1" applyFill="1" applyAlignment="1" applyProtection="1">
      <alignment horizontal="left" vertical="top" indent="2"/>
      <protection hidden="1"/>
    </xf>
    <xf numFmtId="0" fontId="93" fillId="2" borderId="0" xfId="0" applyFont="1" applyFill="1" applyAlignment="1" applyProtection="1">
      <alignment horizontal="left" vertical="top" indent="4"/>
      <protection hidden="1"/>
    </xf>
    <xf numFmtId="0" fontId="93" fillId="2" borderId="0" xfId="0" applyFont="1" applyFill="1" applyAlignment="1" applyProtection="1">
      <alignment horizontal="left" vertical="center" indent="2"/>
      <protection hidden="1"/>
    </xf>
    <xf numFmtId="0" fontId="93" fillId="2" borderId="0" xfId="0" applyFont="1" applyFill="1" applyAlignment="1" applyProtection="1">
      <alignment horizontal="left" indent="2"/>
      <protection hidden="1"/>
    </xf>
    <xf numFmtId="0" fontId="106" fillId="2" borderId="0" xfId="0" applyFont="1" applyFill="1" applyAlignment="1" applyProtection="1">
      <alignment horizontal="left" vertical="center" indent="1"/>
      <protection hidden="1"/>
    </xf>
    <xf numFmtId="166" fontId="60" fillId="2" borderId="0" xfId="0" applyNumberFormat="1" applyFont="1" applyFill="1" applyAlignment="1" applyProtection="1">
      <alignment textRotation="90"/>
      <protection hidden="1"/>
    </xf>
    <xf numFmtId="0" fontId="35" fillId="2" borderId="0" xfId="2" applyFont="1" applyFill="1" applyAlignment="1" applyProtection="1">
      <alignment vertical="top"/>
      <protection hidden="1"/>
    </xf>
    <xf numFmtId="49" fontId="159" fillId="2" borderId="0" xfId="0" applyNumberFormat="1" applyFont="1" applyFill="1" applyBorder="1" applyAlignment="1" applyProtection="1">
      <alignment horizontal="center" vertical="center"/>
      <protection hidden="1"/>
    </xf>
    <xf numFmtId="0" fontId="152" fillId="2" borderId="0" xfId="0" applyFont="1" applyFill="1" applyBorder="1" applyAlignment="1" applyProtection="1">
      <alignment horizontal="left" indent="1"/>
      <protection hidden="1"/>
    </xf>
    <xf numFmtId="0" fontId="81" fillId="2" borderId="0" xfId="4" applyFont="1" applyFill="1" applyAlignment="1" applyProtection="1">
      <protection hidden="1"/>
    </xf>
    <xf numFmtId="0" fontId="0" fillId="2" borderId="0" xfId="0" applyFill="1" applyAlignment="1" applyProtection="1">
      <protection hidden="1"/>
    </xf>
    <xf numFmtId="0" fontId="85" fillId="2" borderId="0" xfId="4" applyFont="1" applyFill="1" applyAlignment="1" applyProtection="1">
      <alignment horizontal="left"/>
      <protection hidden="1"/>
    </xf>
    <xf numFmtId="0" fontId="86" fillId="2" borderId="0" xfId="1" applyFont="1" applyFill="1" applyAlignment="1" applyProtection="1">
      <alignment horizontal="left"/>
      <protection locked="0"/>
    </xf>
    <xf numFmtId="0" fontId="151" fillId="2" borderId="0" xfId="1" applyFont="1" applyFill="1" applyAlignment="1" applyProtection="1">
      <alignment horizontal="left" vertical="top"/>
      <protection locked="0"/>
    </xf>
    <xf numFmtId="0" fontId="8" fillId="2" borderId="0" xfId="3" applyFont="1" applyFill="1" applyAlignment="1" applyProtection="1">
      <protection hidden="1"/>
    </xf>
    <xf numFmtId="0" fontId="8" fillId="2" borderId="0" xfId="3" applyFont="1" applyFill="1" applyAlignment="1" applyProtection="1">
      <alignment horizontal="right" vertical="center"/>
      <protection hidden="1"/>
    </xf>
    <xf numFmtId="166" fontId="59" fillId="2" borderId="0" xfId="0" applyNumberFormat="1" applyFont="1" applyFill="1" applyAlignment="1" applyProtection="1">
      <protection hidden="1"/>
    </xf>
    <xf numFmtId="167" fontId="17" fillId="2" borderId="71" xfId="0" applyNumberFormat="1" applyFont="1" applyFill="1" applyBorder="1" applyAlignment="1" applyProtection="1">
      <alignment horizontal="center" vertical="center"/>
      <protection hidden="1"/>
    </xf>
    <xf numFmtId="49" fontId="68" fillId="2" borderId="116" xfId="0" applyNumberFormat="1" applyFont="1" applyFill="1" applyBorder="1" applyAlignment="1" applyProtection="1">
      <alignment horizontal="left" vertical="center"/>
      <protection hidden="1"/>
    </xf>
    <xf numFmtId="0" fontId="93" fillId="2" borderId="0" xfId="0" applyFont="1" applyFill="1" applyAlignment="1" applyProtection="1">
      <alignment horizontal="left"/>
      <protection hidden="1"/>
    </xf>
    <xf numFmtId="0" fontId="93" fillId="2" borderId="0" xfId="0" applyFont="1" applyFill="1" applyAlignment="1" applyProtection="1">
      <alignment horizontal="left" vertical="top"/>
      <protection hidden="1"/>
    </xf>
    <xf numFmtId="0" fontId="133" fillId="2" borderId="0" xfId="0" applyFont="1" applyFill="1" applyBorder="1" applyAlignment="1" applyProtection="1">
      <alignment horizontal="left" indent="1"/>
      <protection hidden="1"/>
    </xf>
    <xf numFmtId="0" fontId="83" fillId="2" borderId="0" xfId="0" applyFont="1" applyFill="1" applyProtection="1">
      <protection hidden="1"/>
    </xf>
    <xf numFmtId="0" fontId="83" fillId="2" borderId="0" xfId="0" applyFont="1" applyFill="1" applyAlignment="1" applyProtection="1">
      <protection hidden="1"/>
    </xf>
    <xf numFmtId="0" fontId="19" fillId="0" borderId="0" xfId="0" applyFont="1" applyFill="1" applyAlignment="1" applyProtection="1">
      <alignment vertical="center"/>
      <protection hidden="1"/>
    </xf>
    <xf numFmtId="0" fontId="36" fillId="2" borderId="28" xfId="2" applyFont="1" applyFill="1" applyBorder="1" applyAlignment="1" applyProtection="1">
      <alignment horizontal="center" vertical="center"/>
      <protection hidden="1"/>
    </xf>
    <xf numFmtId="0" fontId="36" fillId="2" borderId="39" xfId="2" applyFont="1" applyFill="1" applyBorder="1" applyAlignment="1" applyProtection="1">
      <alignment horizontal="center" vertical="center"/>
      <protection hidden="1"/>
    </xf>
    <xf numFmtId="0" fontId="36" fillId="2" borderId="37" xfId="2" applyFont="1" applyFill="1" applyBorder="1" applyAlignment="1" applyProtection="1">
      <alignment horizontal="center" vertical="center"/>
      <protection hidden="1"/>
    </xf>
    <xf numFmtId="0" fontId="36" fillId="2" borderId="29" xfId="2" applyFont="1" applyFill="1" applyBorder="1" applyAlignment="1" applyProtection="1">
      <alignment horizontal="center" vertical="center"/>
      <protection hidden="1"/>
    </xf>
    <xf numFmtId="0" fontId="36" fillId="2" borderId="31" xfId="2" applyFont="1" applyFill="1" applyBorder="1" applyAlignment="1" applyProtection="1">
      <alignment horizontal="center" vertical="center"/>
      <protection hidden="1"/>
    </xf>
    <xf numFmtId="0" fontId="36" fillId="2" borderId="83" xfId="2" applyFont="1" applyFill="1" applyBorder="1" applyAlignment="1" applyProtection="1">
      <alignment horizontal="center" vertical="center"/>
      <protection hidden="1"/>
    </xf>
    <xf numFmtId="0" fontId="85" fillId="2" borderId="26" xfId="2" applyFont="1" applyFill="1" applyBorder="1" applyAlignment="1" applyProtection="1">
      <alignment horizontal="centerContinuous"/>
      <protection hidden="1"/>
    </xf>
    <xf numFmtId="0" fontId="85" fillId="2" borderId="45" xfId="2" applyFont="1" applyFill="1" applyBorder="1" applyAlignment="1" applyProtection="1">
      <alignment horizontal="centerContinuous" vertical="top"/>
      <protection hidden="1"/>
    </xf>
    <xf numFmtId="0" fontId="18" fillId="2" borderId="0" xfId="0" applyFont="1" applyFill="1" applyAlignment="1" applyProtection="1">
      <alignment horizontal="left" indent="3"/>
      <protection hidden="1"/>
    </xf>
    <xf numFmtId="0" fontId="36" fillId="0" borderId="0" xfId="2" applyFont="1" applyFill="1" applyBorder="1" applyAlignment="1" applyProtection="1">
      <alignment vertical="center"/>
      <protection hidden="1"/>
    </xf>
    <xf numFmtId="0" fontId="19" fillId="0" borderId="0" xfId="2" applyFont="1" applyFill="1" applyBorder="1" applyAlignment="1" applyProtection="1">
      <alignment vertical="center"/>
      <protection hidden="1"/>
    </xf>
    <xf numFmtId="166" fontId="12" fillId="0" borderId="0" xfId="2" applyNumberFormat="1" applyFont="1" applyFill="1" applyBorder="1" applyAlignment="1" applyProtection="1">
      <alignment vertical="center"/>
      <protection hidden="1"/>
    </xf>
    <xf numFmtId="166" fontId="12" fillId="0" borderId="0" xfId="2" applyNumberFormat="1" applyFont="1" applyFill="1" applyBorder="1" applyAlignment="1" applyProtection="1">
      <alignment horizontal="right"/>
      <protection hidden="1"/>
    </xf>
    <xf numFmtId="166" fontId="96" fillId="2" borderId="27" xfId="0" applyNumberFormat="1" applyFont="1" applyFill="1" applyBorder="1" applyAlignment="1" applyProtection="1">
      <alignment vertical="center"/>
      <protection locked="0"/>
    </xf>
    <xf numFmtId="0" fontId="17" fillId="2" borderId="27" xfId="0" applyFont="1" applyFill="1" applyBorder="1" applyAlignment="1" applyProtection="1">
      <alignment horizontal="center" vertical="center"/>
      <protection hidden="1"/>
    </xf>
    <xf numFmtId="0" fontId="18" fillId="2" borderId="0" xfId="0" applyFont="1" applyFill="1" applyAlignment="1" applyProtection="1">
      <alignment horizontal="left" vertical="top" indent="3"/>
      <protection hidden="1"/>
    </xf>
    <xf numFmtId="0" fontId="118" fillId="2" borderId="0" xfId="1" applyFont="1" applyFill="1" applyAlignment="1" applyProtection="1">
      <alignment horizontal="left" vertical="top" indent="1"/>
      <protection locked="0"/>
    </xf>
    <xf numFmtId="0" fontId="46" fillId="2" borderId="0" xfId="5" applyFont="1" applyFill="1" applyAlignment="1" applyProtection="1">
      <protection locked="0"/>
    </xf>
    <xf numFmtId="0" fontId="80" fillId="2" borderId="0" xfId="5" applyFont="1" applyFill="1" applyAlignment="1" applyProtection="1">
      <alignment vertical="top"/>
      <protection locked="0"/>
    </xf>
    <xf numFmtId="0" fontId="1" fillId="2" borderId="0" xfId="3" applyFill="1" applyProtection="1">
      <protection locked="0"/>
    </xf>
    <xf numFmtId="0" fontId="0" fillId="0" borderId="0" xfId="0" applyProtection="1">
      <protection locked="0"/>
    </xf>
    <xf numFmtId="168" fontId="93" fillId="2" borderId="0" xfId="0" applyNumberFormat="1" applyFont="1" applyFill="1" applyBorder="1" applyAlignment="1" applyProtection="1">
      <alignment vertical="center"/>
      <protection hidden="1"/>
    </xf>
    <xf numFmtId="0" fontId="82" fillId="2" borderId="0" xfId="0" applyNumberFormat="1" applyFont="1" applyFill="1" applyAlignment="1" applyProtection="1">
      <protection hidden="1"/>
    </xf>
    <xf numFmtId="0" fontId="122" fillId="2" borderId="0" xfId="1" applyNumberFormat="1" applyFont="1" applyFill="1" applyAlignment="1" applyProtection="1">
      <alignment horizontal="center" vertical="center"/>
      <protection locked="0"/>
    </xf>
    <xf numFmtId="0" fontId="161" fillId="2" borderId="0" xfId="1" applyNumberFormat="1" applyFont="1" applyFill="1" applyAlignment="1" applyProtection="1">
      <alignment horizontal="left" vertical="top"/>
      <protection locked="0"/>
    </xf>
    <xf numFmtId="168" fontId="67" fillId="2" borderId="117" xfId="0" applyNumberFormat="1" applyFont="1" applyFill="1" applyBorder="1" applyAlignment="1" applyProtection="1">
      <alignment horizontal="right"/>
      <protection hidden="1"/>
    </xf>
    <xf numFmtId="168" fontId="67" fillId="2" borderId="117" xfId="0" applyNumberFormat="1" applyFont="1" applyFill="1" applyBorder="1" applyAlignment="1" applyProtection="1">
      <alignment horizontal="right" vertical="center"/>
      <protection hidden="1"/>
    </xf>
    <xf numFmtId="168" fontId="67" fillId="2" borderId="69" xfId="0" applyNumberFormat="1" applyFont="1" applyFill="1" applyBorder="1" applyAlignment="1" applyProtection="1">
      <alignment horizontal="right" vertical="top"/>
      <protection hidden="1"/>
    </xf>
    <xf numFmtId="168" fontId="67" fillId="2" borderId="33" xfId="0" applyNumberFormat="1" applyFont="1" applyFill="1" applyBorder="1" applyAlignment="1" applyProtection="1">
      <alignment horizontal="right" vertical="top"/>
      <protection hidden="1"/>
    </xf>
    <xf numFmtId="0" fontId="17" fillId="2" borderId="0" xfId="0" applyFont="1" applyFill="1" applyAlignment="1" applyProtection="1">
      <alignment horizontal="right"/>
      <protection hidden="1"/>
    </xf>
    <xf numFmtId="0" fontId="17" fillId="2" borderId="0" xfId="0" applyFont="1" applyFill="1" applyAlignment="1" applyProtection="1">
      <alignment horizontal="right" vertical="top"/>
      <protection hidden="1"/>
    </xf>
    <xf numFmtId="0" fontId="126" fillId="2" borderId="105" xfId="2" applyFont="1" applyFill="1" applyBorder="1" applyAlignment="1" applyProtection="1">
      <alignment horizontal="left" indent="1"/>
      <protection hidden="1"/>
    </xf>
    <xf numFmtId="0" fontId="81" fillId="2" borderId="0" xfId="2" applyFont="1" applyFill="1" applyBorder="1" applyAlignment="1" applyProtection="1">
      <alignment horizontal="center"/>
      <protection hidden="1"/>
    </xf>
    <xf numFmtId="0" fontId="3" fillId="2" borderId="109" xfId="2" applyFill="1" applyBorder="1" applyProtection="1">
      <protection hidden="1"/>
    </xf>
    <xf numFmtId="0" fontId="135" fillId="2" borderId="103" xfId="2" applyFont="1" applyFill="1" applyBorder="1" applyProtection="1">
      <protection hidden="1"/>
    </xf>
    <xf numFmtId="0" fontId="81" fillId="2" borderId="104" xfId="2" applyFont="1" applyFill="1" applyBorder="1" applyAlignment="1" applyProtection="1">
      <alignment horizontal="right" indent="1"/>
      <protection hidden="1"/>
    </xf>
    <xf numFmtId="0" fontId="154" fillId="2" borderId="0" xfId="2" applyFont="1" applyFill="1" applyBorder="1" applyAlignment="1" applyProtection="1">
      <alignment horizontal="center"/>
      <protection hidden="1"/>
    </xf>
    <xf numFmtId="0" fontId="81" fillId="2" borderId="105" xfId="2" applyFont="1" applyFill="1" applyBorder="1" applyAlignment="1" applyProtection="1">
      <alignment horizontal="left" vertical="top" indent="1"/>
      <protection hidden="1"/>
    </xf>
    <xf numFmtId="168" fontId="37" fillId="2" borderId="0" xfId="2" applyNumberFormat="1" applyFont="1" applyFill="1" applyBorder="1" applyAlignment="1" applyProtection="1">
      <alignment vertical="center"/>
      <protection hidden="1"/>
    </xf>
    <xf numFmtId="0" fontId="154" fillId="2" borderId="105" xfId="2" applyFont="1" applyFill="1" applyBorder="1" applyAlignment="1" applyProtection="1">
      <alignment horizontal="left" vertical="top" indent="1"/>
      <protection hidden="1"/>
    </xf>
    <xf numFmtId="0" fontId="163" fillId="2" borderId="105" xfId="2" applyFont="1" applyFill="1" applyBorder="1" applyAlignment="1" applyProtection="1">
      <alignment horizontal="right" vertical="center" indent="1"/>
      <protection hidden="1"/>
    </xf>
    <xf numFmtId="168" fontId="37" fillId="2" borderId="4" xfId="2" applyNumberFormat="1" applyFont="1" applyFill="1" applyBorder="1" applyAlignment="1" applyProtection="1">
      <alignment vertical="center"/>
      <protection hidden="1"/>
    </xf>
    <xf numFmtId="0" fontId="44" fillId="2" borderId="0" xfId="2" applyFont="1" applyFill="1" applyBorder="1" applyAlignment="1" applyProtection="1">
      <alignment horizontal="right" vertical="center" indent="1"/>
      <protection hidden="1"/>
    </xf>
    <xf numFmtId="0" fontId="154" fillId="2" borderId="0" xfId="2" applyFont="1" applyFill="1" applyBorder="1" applyAlignment="1" applyProtection="1">
      <alignment horizontal="left" indent="1"/>
      <protection hidden="1"/>
    </xf>
    <xf numFmtId="0" fontId="154" fillId="2" borderId="0" xfId="2" applyNumberFormat="1" applyFont="1" applyFill="1" applyBorder="1" applyAlignment="1" applyProtection="1">
      <alignment horizontal="left" vertical="top" indent="1"/>
      <protection hidden="1"/>
    </xf>
    <xf numFmtId="190" fontId="49" fillId="2" borderId="22" xfId="2" applyNumberFormat="1" applyFont="1" applyFill="1" applyBorder="1" applyAlignment="1" applyProtection="1">
      <alignment horizontal="left" vertical="center" indent="1"/>
      <protection hidden="1"/>
    </xf>
    <xf numFmtId="0" fontId="83" fillId="2" borderId="22" xfId="2" applyFont="1" applyFill="1" applyBorder="1" applyAlignment="1" applyProtection="1">
      <alignment horizontal="right" vertical="top" indent="1"/>
      <protection hidden="1"/>
    </xf>
    <xf numFmtId="0" fontId="83" fillId="2" borderId="22" xfId="2" applyFont="1" applyFill="1" applyBorder="1" applyAlignment="1" applyProtection="1">
      <alignment horizontal="right" indent="1"/>
      <protection hidden="1"/>
    </xf>
    <xf numFmtId="0" fontId="49" fillId="2" borderId="0" xfId="2" applyFont="1" applyFill="1" applyBorder="1" applyAlignment="1" applyProtection="1">
      <alignment horizontal="right" vertical="top" indent="1"/>
      <protection hidden="1"/>
    </xf>
    <xf numFmtId="0" fontId="49" fillId="2" borderId="3" xfId="2" applyFont="1" applyFill="1" applyBorder="1" applyAlignment="1" applyProtection="1">
      <alignment horizontal="center" vertical="top"/>
      <protection hidden="1"/>
    </xf>
    <xf numFmtId="168" fontId="37" fillId="2" borderId="19" xfId="2" applyNumberFormat="1" applyFont="1" applyFill="1" applyBorder="1" applyAlignment="1" applyProtection="1">
      <alignment horizontal="right" vertical="center"/>
      <protection hidden="1"/>
    </xf>
    <xf numFmtId="168" fontId="37" fillId="2" borderId="20" xfId="2" applyNumberFormat="1" applyFont="1" applyFill="1" applyBorder="1" applyAlignment="1" applyProtection="1">
      <alignment horizontal="right" vertical="center"/>
      <protection hidden="1"/>
    </xf>
    <xf numFmtId="168" fontId="37" fillId="2" borderId="21" xfId="2" applyNumberFormat="1" applyFont="1" applyFill="1" applyBorder="1" applyAlignment="1" applyProtection="1">
      <alignment horizontal="right" vertical="center"/>
      <protection hidden="1"/>
    </xf>
    <xf numFmtId="168" fontId="37" fillId="4" borderId="27" xfId="2" applyNumberFormat="1" applyFont="1" applyFill="1" applyBorder="1" applyAlignment="1" applyProtection="1">
      <alignment horizontal="right" vertical="center"/>
      <protection hidden="1"/>
    </xf>
    <xf numFmtId="0" fontId="3" fillId="2" borderId="74" xfId="2" applyFill="1" applyBorder="1" applyProtection="1">
      <protection hidden="1"/>
    </xf>
    <xf numFmtId="168" fontId="49" fillId="2" borderId="74" xfId="2" applyNumberFormat="1" applyFont="1" applyFill="1" applyBorder="1" applyAlignment="1" applyProtection="1">
      <alignment vertical="center"/>
      <protection hidden="1"/>
    </xf>
    <xf numFmtId="168" fontId="37" fillId="4" borderId="26" xfId="2" applyNumberFormat="1" applyFont="1" applyFill="1" applyBorder="1" applyAlignment="1" applyProtection="1">
      <protection hidden="1"/>
    </xf>
    <xf numFmtId="168" fontId="37" fillId="4" borderId="15" xfId="2" applyNumberFormat="1" applyFont="1" applyFill="1" applyBorder="1" applyAlignment="1" applyProtection="1">
      <alignment vertical="top"/>
      <protection hidden="1"/>
    </xf>
    <xf numFmtId="0" fontId="65" fillId="2" borderId="0" xfId="0" applyFont="1" applyFill="1" applyBorder="1" applyAlignment="1" applyProtection="1">
      <alignment horizontal="center" vertical="top"/>
      <protection hidden="1"/>
    </xf>
    <xf numFmtId="169" fontId="18" fillId="2" borderId="26" xfId="0" applyNumberFormat="1" applyFont="1" applyFill="1" applyBorder="1" applyProtection="1">
      <protection hidden="1"/>
    </xf>
    <xf numFmtId="169" fontId="18" fillId="2" borderId="14" xfId="0" applyNumberFormat="1" applyFont="1" applyFill="1" applyBorder="1" applyProtection="1">
      <protection hidden="1"/>
    </xf>
    <xf numFmtId="169" fontId="18" fillId="2" borderId="14" xfId="0" applyNumberFormat="1" applyFont="1" applyFill="1" applyBorder="1" applyAlignment="1" applyProtection="1">
      <alignment vertical="top"/>
      <protection hidden="1"/>
    </xf>
    <xf numFmtId="169" fontId="18" fillId="4" borderId="27" xfId="0" applyNumberFormat="1" applyFont="1" applyFill="1" applyBorder="1" applyAlignment="1" applyProtection="1">
      <alignment vertical="center"/>
      <protection hidden="1"/>
    </xf>
    <xf numFmtId="190" fontId="44" fillId="2" borderId="22" xfId="2" applyNumberFormat="1" applyFont="1" applyFill="1" applyBorder="1" applyAlignment="1" applyProtection="1">
      <alignment horizontal="left" vertical="center" indent="1"/>
      <protection hidden="1"/>
    </xf>
    <xf numFmtId="0" fontId="77" fillId="2" borderId="0" xfId="0" applyFont="1" applyFill="1" applyAlignment="1" applyProtection="1">
      <alignment horizontal="left" vertical="top"/>
      <protection hidden="1"/>
    </xf>
    <xf numFmtId="0" fontId="85" fillId="2" borderId="0" xfId="4" applyFont="1" applyFill="1" applyAlignment="1" applyProtection="1">
      <alignment horizontal="left" indent="1"/>
      <protection hidden="1"/>
    </xf>
    <xf numFmtId="0" fontId="158" fillId="2" borderId="0" xfId="1" applyFont="1" applyFill="1" applyAlignment="1" applyProtection="1">
      <alignment vertical="top"/>
      <protection hidden="1"/>
    </xf>
    <xf numFmtId="0" fontId="86" fillId="2" borderId="0" xfId="1" applyFont="1" applyFill="1" applyAlignment="1" applyProtection="1">
      <alignment horizontal="left" indent="1"/>
      <protection locked="0"/>
    </xf>
    <xf numFmtId="0" fontId="85" fillId="2" borderId="0" xfId="1" applyFont="1" applyFill="1" applyAlignment="1" applyProtection="1">
      <alignment horizontal="center" vertical="top"/>
      <protection locked="0"/>
    </xf>
    <xf numFmtId="0" fontId="118" fillId="2" borderId="0" xfId="1" applyFont="1" applyFill="1" applyAlignment="1" applyProtection="1">
      <alignment horizontal="left" vertical="top"/>
      <protection hidden="1"/>
    </xf>
    <xf numFmtId="0" fontId="85" fillId="2" borderId="0" xfId="1" applyFont="1" applyFill="1" applyAlignment="1" applyProtection="1">
      <alignment horizontal="left" vertical="top"/>
      <protection hidden="1"/>
    </xf>
    <xf numFmtId="0" fontId="86" fillId="2" borderId="0" xfId="1" applyFont="1" applyFill="1" applyAlignment="1" applyProtection="1">
      <protection hidden="1"/>
    </xf>
    <xf numFmtId="0" fontId="129" fillId="2" borderId="0" xfId="2" applyFont="1" applyFill="1" applyAlignment="1" applyProtection="1">
      <alignment horizontal="center"/>
      <protection hidden="1"/>
    </xf>
    <xf numFmtId="0" fontId="129" fillId="2" borderId="0" xfId="2" applyFont="1" applyFill="1" applyProtection="1">
      <protection hidden="1"/>
    </xf>
    <xf numFmtId="0" fontId="77" fillId="2" borderId="0" xfId="0" applyFont="1" applyFill="1" applyAlignment="1" applyProtection="1">
      <alignment horizontal="left" vertical="center"/>
      <protection hidden="1"/>
    </xf>
    <xf numFmtId="0" fontId="143" fillId="2" borderId="0" xfId="0" applyFont="1" applyFill="1" applyProtection="1">
      <protection hidden="1"/>
    </xf>
    <xf numFmtId="0" fontId="0" fillId="0" borderId="0" xfId="0" applyFill="1"/>
    <xf numFmtId="0" fontId="164" fillId="2" borderId="0" xfId="0" applyFont="1" applyFill="1" applyAlignment="1" applyProtection="1">
      <protection hidden="1"/>
    </xf>
    <xf numFmtId="0" fontId="0" fillId="2" borderId="0" xfId="0" applyFill="1"/>
    <xf numFmtId="0" fontId="82" fillId="2" borderId="0" xfId="0" applyFont="1" applyFill="1" applyAlignment="1" applyProtection="1">
      <protection hidden="1"/>
    </xf>
    <xf numFmtId="0" fontId="8" fillId="2" borderId="0" xfId="0" applyFont="1" applyFill="1" applyAlignment="1" applyProtection="1">
      <alignment horizontal="right"/>
      <protection hidden="1"/>
    </xf>
    <xf numFmtId="0" fontId="87" fillId="2" borderId="0" xfId="0" applyFont="1" applyFill="1" applyBorder="1" applyAlignment="1" applyProtection="1">
      <alignment horizontal="left" vertical="center"/>
      <protection hidden="1"/>
    </xf>
    <xf numFmtId="0" fontId="48" fillId="2" borderId="0" xfId="0" applyFont="1" applyFill="1" applyBorder="1" applyAlignment="1" applyProtection="1">
      <alignment horizontal="center" vertical="center"/>
      <protection hidden="1"/>
    </xf>
    <xf numFmtId="0" fontId="151" fillId="2" borderId="0" xfId="1" applyFont="1" applyFill="1" applyAlignment="1" applyProtection="1">
      <alignment horizontal="center" vertical="top"/>
      <protection hidden="1"/>
    </xf>
    <xf numFmtId="0" fontId="8" fillId="2" borderId="0" xfId="0" applyFont="1" applyFill="1" applyBorder="1" applyAlignment="1" applyProtection="1">
      <alignment vertical="top"/>
      <protection hidden="1"/>
    </xf>
    <xf numFmtId="0" fontId="81" fillId="2" borderId="0" xfId="2" applyFont="1" applyFill="1" applyAlignment="1" applyProtection="1">
      <alignment horizontal="center" vertical="center"/>
      <protection hidden="1"/>
    </xf>
    <xf numFmtId="166" fontId="62" fillId="2" borderId="27" xfId="2" applyNumberFormat="1" applyFont="1" applyFill="1" applyBorder="1" applyAlignment="1" applyProtection="1">
      <alignment vertical="center"/>
      <protection locked="0"/>
    </xf>
    <xf numFmtId="166" fontId="62" fillId="2" borderId="45" xfId="2" applyNumberFormat="1" applyFont="1" applyFill="1" applyBorder="1" applyAlignment="1" applyProtection="1">
      <alignment vertical="center"/>
      <protection locked="0"/>
    </xf>
    <xf numFmtId="166" fontId="62" fillId="2" borderId="20" xfId="2" applyNumberFormat="1" applyFont="1" applyFill="1" applyBorder="1" applyAlignment="1" applyProtection="1">
      <alignment vertical="center"/>
      <protection locked="0"/>
    </xf>
    <xf numFmtId="166" fontId="62" fillId="2" borderId="25" xfId="2" applyNumberFormat="1" applyFont="1" applyFill="1" applyBorder="1" applyAlignment="1" applyProtection="1">
      <alignment vertical="center"/>
      <protection locked="0"/>
    </xf>
    <xf numFmtId="181" fontId="8" fillId="2" borderId="0" xfId="0" applyNumberFormat="1" applyFont="1" applyFill="1" applyAlignment="1" applyProtection="1">
      <alignment horizontal="left" vertical="center"/>
      <protection hidden="1"/>
    </xf>
    <xf numFmtId="186" fontId="8" fillId="2" borderId="0" xfId="0" applyNumberFormat="1" applyFont="1" applyFill="1" applyAlignment="1" applyProtection="1">
      <alignment vertical="center"/>
      <protection hidden="1"/>
    </xf>
    <xf numFmtId="186" fontId="8" fillId="2" borderId="0" xfId="0" applyNumberFormat="1" applyFont="1" applyFill="1" applyAlignment="1" applyProtection="1">
      <alignment horizontal="left" vertical="center"/>
      <protection hidden="1"/>
    </xf>
    <xf numFmtId="166" fontId="8" fillId="2" borderId="4" xfId="0" applyNumberFormat="1" applyFont="1" applyFill="1" applyBorder="1" applyAlignment="1" applyProtection="1">
      <alignment horizontal="left" vertical="center"/>
      <protection hidden="1"/>
    </xf>
    <xf numFmtId="0" fontId="67" fillId="2" borderId="0" xfId="0" applyFont="1" applyFill="1" applyAlignment="1" applyProtection="1">
      <alignment vertical="top"/>
      <protection hidden="1"/>
    </xf>
    <xf numFmtId="0" fontId="68" fillId="2" borderId="0" xfId="0" applyFont="1" applyFill="1" applyAlignment="1" applyProtection="1">
      <alignment vertical="top"/>
      <protection hidden="1"/>
    </xf>
    <xf numFmtId="0" fontId="81" fillId="2" borderId="0" xfId="0" applyFont="1" applyFill="1" applyAlignment="1" applyProtection="1">
      <alignment horizontal="right" indent="2"/>
      <protection hidden="1"/>
    </xf>
    <xf numFmtId="0" fontId="81" fillId="2" borderId="0" xfId="0" applyFont="1" applyFill="1" applyAlignment="1" applyProtection="1">
      <alignment horizontal="right" vertical="top" indent="2"/>
      <protection hidden="1"/>
    </xf>
    <xf numFmtId="182" fontId="159" fillId="2" borderId="0" xfId="0" applyNumberFormat="1" applyFont="1" applyFill="1" applyBorder="1" applyAlignment="1" applyProtection="1">
      <alignment horizontal="left" vertical="center" indent="1"/>
      <protection hidden="1"/>
    </xf>
    <xf numFmtId="0" fontId="105" fillId="2" borderId="0" xfId="0" applyFont="1" applyFill="1" applyBorder="1" applyAlignment="1" applyProtection="1">
      <alignment vertical="center"/>
      <protection hidden="1"/>
    </xf>
    <xf numFmtId="0" fontId="71" fillId="0" borderId="0" xfId="0" applyFont="1" applyProtection="1">
      <protection hidden="1"/>
    </xf>
    <xf numFmtId="0" fontId="118" fillId="2" borderId="0" xfId="1" applyFont="1" applyFill="1" applyAlignment="1" applyProtection="1">
      <protection locked="0"/>
    </xf>
    <xf numFmtId="0" fontId="18" fillId="2" borderId="0" xfId="0" applyFont="1" applyFill="1" applyAlignment="1" applyProtection="1">
      <alignment horizontal="right" vertical="top"/>
      <protection hidden="1"/>
    </xf>
    <xf numFmtId="0" fontId="150" fillId="2" borderId="0" xfId="1" applyFont="1" applyFill="1" applyAlignment="1" applyProtection="1">
      <alignment horizontal="left" vertical="top" indent="1"/>
      <protection locked="0"/>
    </xf>
    <xf numFmtId="0" fontId="152" fillId="2" borderId="0" xfId="1" applyFont="1" applyFill="1" applyAlignment="1" applyProtection="1">
      <alignment vertical="center"/>
      <protection hidden="1"/>
    </xf>
    <xf numFmtId="0" fontId="137" fillId="2" borderId="0" xfId="0" applyFont="1" applyFill="1" applyAlignment="1" applyProtection="1">
      <protection hidden="1"/>
    </xf>
    <xf numFmtId="0" fontId="152" fillId="2" borderId="0" xfId="0" applyFont="1" applyFill="1" applyAlignment="1" applyProtection="1">
      <protection hidden="1"/>
    </xf>
    <xf numFmtId="0" fontId="71" fillId="0" borderId="0" xfId="0" applyFont="1" applyFill="1" applyBorder="1" applyAlignment="1" applyProtection="1">
      <alignment horizontal="left"/>
      <protection hidden="1"/>
    </xf>
    <xf numFmtId="0" fontId="71" fillId="0" borderId="0" xfId="0" applyFont="1" applyAlignment="1" applyProtection="1">
      <alignment horizontal="left"/>
      <protection hidden="1"/>
    </xf>
    <xf numFmtId="0" fontId="0" fillId="0" borderId="0" xfId="0" applyAlignment="1" applyProtection="1">
      <alignment horizontal="left"/>
      <protection hidden="1"/>
    </xf>
    <xf numFmtId="0" fontId="71" fillId="0" borderId="0" xfId="3" applyFont="1" applyFill="1" applyAlignment="1" applyProtection="1">
      <alignment horizontal="justify"/>
      <protection hidden="1"/>
    </xf>
    <xf numFmtId="0" fontId="93" fillId="0" borderId="0" xfId="3" applyFont="1" applyFill="1" applyAlignment="1" applyProtection="1">
      <alignment horizontal="center"/>
      <protection hidden="1"/>
    </xf>
    <xf numFmtId="0" fontId="93" fillId="0" borderId="0" xfId="3" applyFont="1" applyFill="1" applyAlignment="1" applyProtection="1">
      <protection hidden="1"/>
    </xf>
    <xf numFmtId="14" fontId="87" fillId="0" borderId="0" xfId="3" applyNumberFormat="1" applyFont="1" applyFill="1" applyAlignment="1" applyProtection="1">
      <alignment horizontal="center" vertical="center"/>
      <protection hidden="1"/>
    </xf>
    <xf numFmtId="0" fontId="71" fillId="0" borderId="0" xfId="0" applyFont="1" applyFill="1" applyProtection="1">
      <protection hidden="1"/>
    </xf>
    <xf numFmtId="0" fontId="78" fillId="2" borderId="0" xfId="0" applyFont="1" applyFill="1" applyAlignment="1" applyProtection="1">
      <protection hidden="1"/>
    </xf>
    <xf numFmtId="0" fontId="102" fillId="2" borderId="0" xfId="0" applyFont="1" applyFill="1" applyAlignment="1" applyProtection="1">
      <protection hidden="1"/>
    </xf>
    <xf numFmtId="49" fontId="62" fillId="2" borderId="0" xfId="0" applyNumberFormat="1" applyFont="1" applyFill="1" applyAlignment="1" applyProtection="1">
      <alignment horizontal="right" vertical="center" indent="1"/>
      <protection hidden="1"/>
    </xf>
    <xf numFmtId="0" fontId="10" fillId="2" borderId="0" xfId="0" applyFont="1" applyFill="1" applyAlignment="1" applyProtection="1">
      <alignment vertical="center"/>
      <protection hidden="1"/>
    </xf>
    <xf numFmtId="0" fontId="8" fillId="2" borderId="0" xfId="3" applyFont="1" applyFill="1" applyAlignment="1" applyProtection="1">
      <alignment horizontal="left" vertical="top" indent="1"/>
      <protection hidden="1"/>
    </xf>
    <xf numFmtId="0" fontId="133" fillId="2" borderId="0" xfId="0" applyNumberFormat="1" applyFont="1" applyFill="1" applyBorder="1" applyAlignment="1" applyProtection="1">
      <alignment horizontal="left" indent="1"/>
      <protection hidden="1"/>
    </xf>
    <xf numFmtId="0" fontId="133" fillId="2" borderId="0" xfId="0" applyNumberFormat="1" applyFont="1" applyFill="1" applyBorder="1" applyAlignment="1" applyProtection="1">
      <alignment horizontal="left" vertical="top" indent="1"/>
      <protection hidden="1"/>
    </xf>
    <xf numFmtId="0" fontId="165" fillId="2" borderId="0" xfId="1" applyFont="1" applyFill="1" applyAlignment="1" applyProtection="1">
      <protection locked="0"/>
    </xf>
    <xf numFmtId="0" fontId="169" fillId="2" borderId="0" xfId="0" applyFont="1" applyFill="1" applyAlignment="1" applyProtection="1">
      <alignment horizontal="right" indent="1"/>
      <protection hidden="1"/>
    </xf>
    <xf numFmtId="0" fontId="170" fillId="2" borderId="0" xfId="0" applyFont="1" applyFill="1" applyAlignment="1" applyProtection="1">
      <protection hidden="1"/>
    </xf>
    <xf numFmtId="0" fontId="169" fillId="2" borderId="0" xfId="0" applyFont="1" applyFill="1" applyAlignment="1" applyProtection="1">
      <protection hidden="1"/>
    </xf>
    <xf numFmtId="0" fontId="169" fillId="2" borderId="0" xfId="0" applyFont="1" applyFill="1" applyAlignment="1" applyProtection="1">
      <alignment vertical="center"/>
      <protection hidden="1"/>
    </xf>
    <xf numFmtId="0" fontId="169" fillId="2" borderId="0" xfId="0" applyFont="1" applyFill="1" applyAlignment="1" applyProtection="1">
      <alignment vertical="top"/>
      <protection hidden="1"/>
    </xf>
    <xf numFmtId="0" fontId="0" fillId="7" borderId="0" xfId="0" applyFill="1" applyProtection="1">
      <protection hidden="1"/>
    </xf>
    <xf numFmtId="0" fontId="81" fillId="2" borderId="0" xfId="4" applyFont="1" applyFill="1" applyAlignment="1" applyProtection="1">
      <alignment horizontal="left" indent="2"/>
      <protection hidden="1"/>
    </xf>
    <xf numFmtId="0" fontId="171" fillId="7" borderId="0" xfId="0" applyFont="1" applyFill="1" applyAlignment="1" applyProtection="1">
      <protection hidden="1"/>
    </xf>
    <xf numFmtId="0" fontId="14" fillId="7" borderId="0" xfId="0" applyFont="1" applyFill="1" applyAlignment="1" applyProtection="1">
      <alignment horizontal="left" vertical="top" indent="1"/>
      <protection hidden="1"/>
    </xf>
    <xf numFmtId="0" fontId="172" fillId="7" borderId="0" xfId="0" applyFont="1" applyFill="1" applyAlignment="1" applyProtection="1">
      <alignment vertical="top"/>
      <protection hidden="1"/>
    </xf>
    <xf numFmtId="0" fontId="172" fillId="7" borderId="0" xfId="0" applyFont="1" applyFill="1" applyAlignment="1" applyProtection="1">
      <protection hidden="1"/>
    </xf>
    <xf numFmtId="0" fontId="173" fillId="7" borderId="0" xfId="2" applyFont="1" applyFill="1" applyBorder="1" applyAlignment="1" applyProtection="1">
      <protection hidden="1"/>
    </xf>
    <xf numFmtId="0" fontId="0" fillId="2" borderId="207" xfId="0" applyFill="1" applyBorder="1" applyProtection="1">
      <protection hidden="1"/>
    </xf>
    <xf numFmtId="0" fontId="174" fillId="2" borderId="0" xfId="1" applyFont="1" applyFill="1" applyAlignment="1" applyProtection="1">
      <alignment horizontal="right" indent="1"/>
      <protection locked="0"/>
    </xf>
    <xf numFmtId="0" fontId="175" fillId="2" borderId="0" xfId="2" applyFont="1" applyFill="1" applyProtection="1">
      <protection hidden="1"/>
    </xf>
    <xf numFmtId="0" fontId="150" fillId="2" borderId="0" xfId="1" applyNumberFormat="1" applyFont="1" applyFill="1" applyAlignment="1" applyProtection="1">
      <alignment horizontal="left" vertical="top" indent="1"/>
      <protection hidden="1"/>
    </xf>
    <xf numFmtId="0" fontId="150" fillId="2" borderId="0" xfId="1" applyNumberFormat="1" applyFont="1" applyFill="1" applyAlignment="1" applyProtection="1">
      <alignment horizontal="right" vertical="center" indent="1"/>
      <protection locked="0"/>
    </xf>
    <xf numFmtId="0" fontId="175" fillId="2" borderId="0" xfId="0" applyFont="1" applyFill="1" applyBorder="1" applyAlignment="1" applyProtection="1">
      <alignment horizontal="left" vertical="center"/>
      <protection hidden="1"/>
    </xf>
    <xf numFmtId="0" fontId="147" fillId="2" borderId="0" xfId="0" applyFont="1" applyFill="1" applyAlignment="1" applyProtection="1">
      <alignment horizontal="left" vertical="top" indent="3"/>
      <protection hidden="1"/>
    </xf>
    <xf numFmtId="168" fontId="18" fillId="2" borderId="27" xfId="2" applyNumberFormat="1" applyFont="1" applyFill="1" applyBorder="1" applyAlignment="1" applyProtection="1">
      <alignment vertical="center"/>
      <protection hidden="1"/>
    </xf>
    <xf numFmtId="168" fontId="18" fillId="2" borderId="19" xfId="2" applyNumberFormat="1" applyFont="1" applyFill="1" applyBorder="1" applyAlignment="1" applyProtection="1">
      <alignment horizontal="right" vertical="center"/>
      <protection hidden="1"/>
    </xf>
    <xf numFmtId="168" fontId="8" fillId="2" borderId="27" xfId="2" applyNumberFormat="1" applyFont="1" applyFill="1" applyBorder="1" applyAlignment="1" applyProtection="1">
      <alignment vertical="center"/>
      <protection hidden="1"/>
    </xf>
    <xf numFmtId="0" fontId="72" fillId="4" borderId="118" xfId="0" applyFont="1" applyFill="1" applyBorder="1" applyAlignment="1" applyProtection="1">
      <alignment horizontal="center" vertical="center"/>
      <protection locked="0"/>
    </xf>
    <xf numFmtId="0" fontId="72" fillId="4" borderId="119" xfId="0" applyFont="1" applyFill="1" applyBorder="1" applyAlignment="1" applyProtection="1">
      <alignment horizontal="center" vertical="center"/>
      <protection locked="0"/>
    </xf>
    <xf numFmtId="0" fontId="17" fillId="2" borderId="0" xfId="0" applyFont="1" applyFill="1" applyAlignment="1" applyProtection="1">
      <alignment horizontal="left" vertical="top"/>
      <protection hidden="1"/>
    </xf>
    <xf numFmtId="0" fontId="67" fillId="2" borderId="0" xfId="0" applyFont="1" applyFill="1" applyAlignment="1" applyProtection="1">
      <alignment horizontal="distributed"/>
      <protection hidden="1"/>
    </xf>
    <xf numFmtId="0" fontId="67" fillId="2" borderId="0" xfId="0" applyFont="1" applyFill="1" applyAlignment="1" applyProtection="1">
      <alignment horizontal="left" vertical="top"/>
      <protection hidden="1"/>
    </xf>
    <xf numFmtId="0" fontId="8" fillId="2" borderId="0" xfId="0" applyFont="1" applyFill="1" applyAlignment="1" applyProtection="1">
      <alignment horizontal="left" vertical="top" indent="1"/>
      <protection hidden="1"/>
    </xf>
    <xf numFmtId="0" fontId="18" fillId="2" borderId="0" xfId="0" applyFont="1" applyFill="1" applyAlignment="1" applyProtection="1">
      <alignment horizontal="left" vertical="center" indent="1"/>
      <protection hidden="1"/>
    </xf>
    <xf numFmtId="0" fontId="8" fillId="2" borderId="0" xfId="0" applyFont="1" applyFill="1" applyAlignment="1" applyProtection="1">
      <alignment horizontal="distributed" vertical="center" indent="1"/>
      <protection hidden="1"/>
    </xf>
    <xf numFmtId="0" fontId="67" fillId="0" borderId="0" xfId="0" applyFont="1" applyAlignment="1">
      <alignment vertical="top"/>
    </xf>
    <xf numFmtId="0" fontId="59" fillId="2" borderId="0" xfId="0" applyFont="1" applyFill="1" applyAlignment="1" applyProtection="1">
      <alignment horizontal="right" indent="2"/>
      <protection hidden="1"/>
    </xf>
    <xf numFmtId="0" fontId="157" fillId="0" borderId="0" xfId="1" applyFont="1" applyAlignment="1" applyProtection="1">
      <alignment horizontal="left" indent="1"/>
    </xf>
    <xf numFmtId="0" fontId="21" fillId="0" borderId="0" xfId="0" applyFont="1" applyAlignment="1">
      <alignment horizontal="left" indent="1"/>
    </xf>
    <xf numFmtId="0" fontId="70" fillId="2" borderId="7" xfId="0" applyFont="1" applyFill="1" applyBorder="1" applyAlignment="1" applyProtection="1">
      <alignment horizontal="left" vertical="top" indent="1"/>
      <protection hidden="1"/>
    </xf>
    <xf numFmtId="0" fontId="68" fillId="2" borderId="7" xfId="0" applyFont="1" applyFill="1" applyBorder="1" applyAlignment="1" applyProtection="1">
      <alignment horizontal="right" vertical="top" indent="1"/>
      <protection hidden="1"/>
    </xf>
    <xf numFmtId="0" fontId="78" fillId="2" borderId="0" xfId="0" applyFont="1" applyFill="1" applyAlignment="1" applyProtection="1">
      <alignment horizontal="left" vertical="center"/>
      <protection hidden="1"/>
    </xf>
    <xf numFmtId="0" fontId="18" fillId="2" borderId="0" xfId="0" applyFont="1" applyFill="1" applyBorder="1" applyAlignment="1" applyProtection="1">
      <alignment horizontal="left" indent="1"/>
      <protection hidden="1"/>
    </xf>
    <xf numFmtId="0" fontId="18" fillId="2" borderId="0" xfId="0" applyFont="1" applyFill="1" applyAlignment="1" applyProtection="1">
      <alignment horizontal="distributed"/>
      <protection hidden="1"/>
    </xf>
    <xf numFmtId="0" fontId="18" fillId="2" borderId="0" xfId="0" applyFont="1" applyFill="1" applyAlignment="1" applyProtection="1">
      <alignment horizontal="distributed" vertical="center"/>
      <protection hidden="1"/>
    </xf>
    <xf numFmtId="0" fontId="68" fillId="2" borderId="0" xfId="0" applyFont="1" applyFill="1" applyBorder="1" applyAlignment="1" applyProtection="1">
      <alignment horizontal="left" vertical="center" indent="1"/>
      <protection hidden="1"/>
    </xf>
    <xf numFmtId="0" fontId="18" fillId="2" borderId="0" xfId="0" applyFont="1" applyFill="1" applyAlignment="1" applyProtection="1">
      <alignment horizontal="left"/>
      <protection hidden="1"/>
    </xf>
    <xf numFmtId="0" fontId="77" fillId="2" borderId="0" xfId="0" applyFont="1" applyFill="1" applyAlignment="1" applyProtection="1">
      <alignment horizontal="left"/>
      <protection hidden="1"/>
    </xf>
    <xf numFmtId="0" fontId="18" fillId="2" borderId="0" xfId="0" applyFont="1" applyFill="1" applyAlignment="1" applyProtection="1">
      <alignment horizontal="left" vertical="top"/>
      <protection hidden="1"/>
    </xf>
    <xf numFmtId="0" fontId="17" fillId="2" borderId="0" xfId="0" applyNumberFormat="1" applyFont="1" applyFill="1" applyAlignment="1" applyProtection="1">
      <alignment horizontal="right" vertical="top" indent="2"/>
      <protection hidden="1"/>
    </xf>
    <xf numFmtId="0" fontId="168" fillId="2" borderId="0" xfId="0" applyFont="1" applyFill="1" applyBorder="1" applyAlignment="1" applyProtection="1">
      <alignment horizontal="left" indent="1"/>
      <protection hidden="1"/>
    </xf>
    <xf numFmtId="0" fontId="17" fillId="2" borderId="0" xfId="0" applyFont="1" applyFill="1" applyAlignment="1" applyProtection="1">
      <alignment horizontal="left" vertical="center" indent="2"/>
      <protection hidden="1"/>
    </xf>
    <xf numFmtId="0" fontId="78" fillId="2" borderId="0" xfId="0" applyFont="1" applyFill="1" applyAlignment="1" applyProtection="1">
      <alignment horizontal="left"/>
      <protection hidden="1"/>
    </xf>
    <xf numFmtId="0" fontId="17" fillId="2" borderId="7" xfId="0" applyFont="1" applyFill="1" applyBorder="1" applyAlignment="1" applyProtection="1">
      <alignment horizontal="center" vertical="center"/>
      <protection hidden="1"/>
    </xf>
    <xf numFmtId="0" fontId="0" fillId="2" borderId="0" xfId="0" applyFill="1" applyAlignment="1" applyProtection="1">
      <alignment horizontal="center"/>
      <protection hidden="1"/>
    </xf>
    <xf numFmtId="0" fontId="69" fillId="2" borderId="0" xfId="5" applyNumberFormat="1" applyFont="1" applyFill="1" applyBorder="1" applyAlignment="1" applyProtection="1">
      <alignment horizontal="center" vertical="center"/>
      <protection hidden="1"/>
    </xf>
    <xf numFmtId="0" fontId="118" fillId="0" borderId="0" xfId="1" applyFont="1" applyAlignment="1" applyProtection="1">
      <alignment horizontal="left" vertical="center"/>
      <protection locked="0"/>
    </xf>
    <xf numFmtId="0" fontId="59" fillId="0" borderId="0" xfId="0" applyFont="1" applyAlignment="1" applyProtection="1">
      <alignment horizontal="left" vertical="center"/>
      <protection locked="0"/>
    </xf>
    <xf numFmtId="0" fontId="18" fillId="2" borderId="0" xfId="0" applyFont="1" applyFill="1" applyAlignment="1" applyProtection="1">
      <alignment horizontal="right" vertical="center" indent="2"/>
      <protection hidden="1"/>
    </xf>
    <xf numFmtId="0" fontId="18" fillId="2" borderId="0" xfId="0" applyFont="1" applyFill="1" applyAlignment="1" applyProtection="1">
      <alignment horizontal="distributed" vertical="top"/>
      <protection hidden="1"/>
    </xf>
    <xf numFmtId="0" fontId="85" fillId="2" borderId="0" xfId="0" applyFont="1" applyFill="1" applyAlignment="1" applyProtection="1">
      <alignment horizontal="right" indent="1"/>
      <protection hidden="1"/>
    </xf>
    <xf numFmtId="0" fontId="68" fillId="2" borderId="0" xfId="0" applyFont="1" applyFill="1" applyBorder="1" applyAlignment="1" applyProtection="1">
      <alignment horizontal="left" vertical="top" indent="1"/>
      <protection hidden="1"/>
    </xf>
    <xf numFmtId="0" fontId="78" fillId="2" borderId="0" xfId="0" applyFont="1" applyFill="1" applyAlignment="1" applyProtection="1">
      <alignment horizontal="left" vertical="top"/>
      <protection hidden="1"/>
    </xf>
    <xf numFmtId="0" fontId="19" fillId="2" borderId="0" xfId="0" applyFont="1" applyFill="1" applyAlignment="1" applyProtection="1">
      <alignment horizontal="center" vertical="center"/>
      <protection hidden="1"/>
    </xf>
    <xf numFmtId="0" fontId="77" fillId="2" borderId="0" xfId="0" applyFont="1" applyFill="1" applyAlignment="1" applyProtection="1">
      <alignment horizontal="left" vertical="top"/>
      <protection hidden="1"/>
    </xf>
    <xf numFmtId="0" fontId="17" fillId="2" borderId="0" xfId="0" applyFont="1" applyFill="1" applyAlignment="1" applyProtection="1">
      <alignment horizontal="right" indent="2"/>
      <protection hidden="1"/>
    </xf>
    <xf numFmtId="0" fontId="70" fillId="2" borderId="0" xfId="5" applyFont="1" applyFill="1" applyBorder="1" applyAlignment="1" applyProtection="1">
      <alignment horizontal="left" vertical="center" indent="1"/>
      <protection hidden="1"/>
    </xf>
    <xf numFmtId="0" fontId="18" fillId="2" borderId="0" xfId="0" applyFont="1" applyFill="1" applyBorder="1" applyAlignment="1" applyProtection="1">
      <alignment horizontal="left" vertical="top" indent="1"/>
      <protection hidden="1"/>
    </xf>
    <xf numFmtId="0" fontId="0" fillId="0" borderId="0" xfId="0"/>
    <xf numFmtId="0" fontId="81" fillId="2" borderId="0" xfId="0" applyFont="1" applyFill="1" applyAlignment="1" applyProtection="1">
      <alignment horizontal="distributed" indent="1"/>
      <protection hidden="1"/>
    </xf>
    <xf numFmtId="0" fontId="8" fillId="2" borderId="0" xfId="0" applyFont="1" applyFill="1" applyAlignment="1" applyProtection="1">
      <alignment horizontal="left" vertical="top" indent="3"/>
      <protection hidden="1"/>
    </xf>
    <xf numFmtId="0" fontId="14" fillId="2" borderId="0" xfId="0" applyFont="1" applyFill="1" applyAlignment="1" applyProtection="1">
      <alignment horizontal="left" vertical="top" indent="1"/>
      <protection hidden="1"/>
    </xf>
    <xf numFmtId="0" fontId="17" fillId="2" borderId="0" xfId="0" applyFont="1" applyFill="1" applyAlignment="1" applyProtection="1">
      <alignment horizontal="right" vertical="center" indent="2"/>
      <protection hidden="1"/>
    </xf>
    <xf numFmtId="0" fontId="1" fillId="2" borderId="0" xfId="3" applyFill="1" applyBorder="1" applyAlignment="1" applyProtection="1">
      <alignment horizontal="center"/>
      <protection locked="0"/>
    </xf>
    <xf numFmtId="0" fontId="81" fillId="2" borderId="0" xfId="0" applyFont="1" applyFill="1" applyAlignment="1" applyProtection="1">
      <alignment horizontal="distributed" vertical="top" indent="1"/>
      <protection hidden="1"/>
    </xf>
    <xf numFmtId="0" fontId="44" fillId="2" borderId="0" xfId="0" applyFont="1" applyFill="1" applyAlignment="1" applyProtection="1">
      <alignment horizontal="distributed"/>
      <protection hidden="1"/>
    </xf>
    <xf numFmtId="0" fontId="44" fillId="2" borderId="0" xfId="0" applyFont="1" applyFill="1" applyAlignment="1" applyProtection="1">
      <alignment horizontal="distributed" vertical="center"/>
      <protection hidden="1"/>
    </xf>
    <xf numFmtId="0" fontId="77" fillId="2" borderId="0" xfId="0" applyFont="1" applyFill="1" applyBorder="1" applyAlignment="1" applyProtection="1">
      <alignment horizontal="left" indent="1"/>
      <protection hidden="1"/>
    </xf>
    <xf numFmtId="0" fontId="18" fillId="2" borderId="0" xfId="0" applyFont="1" applyFill="1" applyAlignment="1" applyProtection="1">
      <alignment horizontal="left" vertical="center"/>
      <protection hidden="1"/>
    </xf>
    <xf numFmtId="49" fontId="82" fillId="4" borderId="122" xfId="3" applyNumberFormat="1" applyFont="1" applyFill="1" applyBorder="1" applyAlignment="1" applyProtection="1">
      <alignment horizontal="center" vertical="center"/>
      <protection locked="0"/>
    </xf>
    <xf numFmtId="49" fontId="82" fillId="4" borderId="120" xfId="3" applyNumberFormat="1" applyFont="1" applyFill="1" applyBorder="1" applyAlignment="1" applyProtection="1">
      <alignment horizontal="center" vertical="center"/>
      <protection locked="0"/>
    </xf>
    <xf numFmtId="49" fontId="82" fillId="4" borderId="121" xfId="3" applyNumberFormat="1" applyFont="1" applyFill="1" applyBorder="1" applyAlignment="1" applyProtection="1">
      <alignment horizontal="center" vertical="center"/>
      <protection locked="0"/>
    </xf>
    <xf numFmtId="0" fontId="70" fillId="2" borderId="5" xfId="3" applyFont="1" applyFill="1" applyBorder="1" applyAlignment="1" applyProtection="1">
      <alignment horizontal="left" vertical="center" indent="1"/>
      <protection hidden="1"/>
    </xf>
    <xf numFmtId="0" fontId="70" fillId="2" borderId="74" xfId="3" applyFont="1" applyFill="1" applyBorder="1" applyAlignment="1" applyProtection="1">
      <alignment horizontal="left" vertical="center" indent="1"/>
      <protection hidden="1"/>
    </xf>
    <xf numFmtId="0" fontId="70" fillId="2" borderId="85" xfId="3" applyFont="1" applyFill="1" applyBorder="1" applyAlignment="1" applyProtection="1">
      <alignment horizontal="left" vertical="center" indent="1"/>
      <protection hidden="1"/>
    </xf>
    <xf numFmtId="0" fontId="8" fillId="2" borderId="7" xfId="3" applyFont="1" applyFill="1" applyBorder="1" applyAlignment="1" applyProtection="1">
      <alignment horizontal="center" vertical="center"/>
      <protection hidden="1"/>
    </xf>
    <xf numFmtId="0" fontId="70" fillId="2" borderId="5" xfId="3" applyNumberFormat="1" applyFont="1" applyFill="1" applyBorder="1" applyAlignment="1" applyProtection="1">
      <alignment horizontal="center" vertical="center"/>
      <protection hidden="1"/>
    </xf>
    <xf numFmtId="0" fontId="70" fillId="2" borderId="74" xfId="3" applyNumberFormat="1" applyFont="1" applyFill="1" applyBorder="1" applyAlignment="1" applyProtection="1">
      <alignment horizontal="center" vertical="center"/>
      <protection hidden="1"/>
    </xf>
    <xf numFmtId="0" fontId="70" fillId="2" borderId="85" xfId="3" applyNumberFormat="1" applyFont="1" applyFill="1" applyBorder="1" applyAlignment="1" applyProtection="1">
      <alignment horizontal="center" vertical="center"/>
      <protection hidden="1"/>
    </xf>
    <xf numFmtId="0" fontId="8" fillId="2" borderId="0" xfId="3" applyFont="1" applyFill="1" applyAlignment="1" applyProtection="1">
      <alignment horizontal="right" vertical="center" indent="1"/>
      <protection hidden="1"/>
    </xf>
    <xf numFmtId="0" fontId="8" fillId="2" borderId="22" xfId="3" applyFont="1" applyFill="1" applyBorder="1" applyAlignment="1" applyProtection="1">
      <alignment horizontal="right" vertical="center" indent="1"/>
      <protection hidden="1"/>
    </xf>
    <xf numFmtId="0" fontId="58" fillId="2" borderId="0" xfId="3" applyFont="1" applyFill="1" applyBorder="1" applyAlignment="1" applyProtection="1">
      <alignment horizontal="right" vertical="center" indent="1"/>
      <protection hidden="1"/>
    </xf>
    <xf numFmtId="0" fontId="70" fillId="2" borderId="7" xfId="3" applyFont="1" applyFill="1" applyBorder="1" applyAlignment="1" applyProtection="1">
      <alignment horizontal="left" vertical="center" indent="1"/>
      <protection hidden="1"/>
    </xf>
    <xf numFmtId="0" fontId="65" fillId="2" borderId="7" xfId="3" applyFont="1" applyFill="1" applyBorder="1" applyAlignment="1" applyProtection="1">
      <alignment horizontal="right" vertical="center" indent="1"/>
      <protection hidden="1"/>
    </xf>
    <xf numFmtId="0" fontId="81" fillId="2" borderId="0" xfId="0" applyFont="1" applyFill="1" applyAlignment="1" applyProtection="1">
      <alignment horizontal="left" vertical="top" indent="1"/>
      <protection hidden="1"/>
    </xf>
    <xf numFmtId="0" fontId="14" fillId="2" borderId="0" xfId="0" applyFont="1" applyFill="1" applyBorder="1" applyAlignment="1" applyProtection="1">
      <alignment horizontal="right"/>
      <protection hidden="1"/>
    </xf>
    <xf numFmtId="0" fontId="67" fillId="2" borderId="0" xfId="0" applyFont="1" applyFill="1" applyAlignment="1" applyProtection="1">
      <alignment horizontal="distributed" vertical="top"/>
      <protection hidden="1"/>
    </xf>
    <xf numFmtId="0" fontId="117" fillId="2" borderId="0" xfId="0" applyFont="1" applyFill="1" applyAlignment="1" applyProtection="1">
      <alignment horizontal="left"/>
      <protection hidden="1"/>
    </xf>
    <xf numFmtId="0" fontId="14" fillId="2" borderId="0" xfId="0" applyFont="1" applyFill="1" applyBorder="1" applyAlignment="1" applyProtection="1">
      <alignment horizontal="left"/>
      <protection hidden="1"/>
    </xf>
    <xf numFmtId="0" fontId="8" fillId="2" borderId="0" xfId="0" applyFont="1" applyFill="1" applyAlignment="1" applyProtection="1">
      <alignment horizontal="distributed" indent="1"/>
      <protection hidden="1"/>
    </xf>
    <xf numFmtId="0" fontId="158" fillId="2" borderId="0" xfId="1" applyFont="1" applyFill="1" applyAlignment="1" applyProtection="1">
      <alignment horizontal="left" vertical="top"/>
      <protection locked="0"/>
    </xf>
    <xf numFmtId="0" fontId="8" fillId="2" borderId="0" xfId="0" applyFont="1" applyFill="1" applyAlignment="1" applyProtection="1">
      <alignment horizontal="distributed"/>
      <protection hidden="1"/>
    </xf>
    <xf numFmtId="0" fontId="8" fillId="2" borderId="0" xfId="0" applyFont="1" applyFill="1" applyAlignment="1" applyProtection="1">
      <alignment horizontal="distributed" vertical="top"/>
      <protection hidden="1"/>
    </xf>
    <xf numFmtId="0" fontId="83" fillId="2" borderId="0" xfId="0" applyFont="1" applyFill="1" applyAlignment="1" applyProtection="1">
      <alignment horizontal="left"/>
      <protection hidden="1"/>
    </xf>
    <xf numFmtId="0" fontId="58" fillId="4" borderId="5" xfId="0" applyFont="1" applyFill="1" applyBorder="1" applyAlignment="1" applyProtection="1">
      <alignment horizontal="left" vertical="center" indent="1"/>
      <protection locked="0"/>
    </xf>
    <xf numFmtId="0" fontId="95" fillId="4" borderId="74" xfId="0" applyFont="1" applyFill="1" applyBorder="1" applyAlignment="1" applyProtection="1">
      <alignment horizontal="left" vertical="center" indent="1"/>
      <protection locked="0"/>
    </xf>
    <xf numFmtId="0" fontId="95" fillId="4" borderId="85" xfId="0" applyFont="1" applyFill="1" applyBorder="1" applyAlignment="1" applyProtection="1">
      <alignment horizontal="left" vertical="center" indent="1"/>
      <protection locked="0"/>
    </xf>
    <xf numFmtId="0" fontId="18" fillId="2" borderId="0" xfId="0" applyFont="1" applyFill="1" applyAlignment="1" applyProtection="1">
      <alignment horizontal="left" indent="3"/>
      <protection hidden="1"/>
    </xf>
    <xf numFmtId="0" fontId="147" fillId="2" borderId="0" xfId="1" applyFont="1" applyFill="1" applyAlignment="1" applyProtection="1">
      <alignment horizontal="left" vertical="center" indent="1"/>
      <protection locked="0"/>
    </xf>
    <xf numFmtId="0" fontId="113" fillId="2" borderId="0" xfId="1" applyFont="1" applyFill="1" applyAlignment="1" applyProtection="1">
      <alignment horizontal="left" vertical="top"/>
      <protection locked="0"/>
    </xf>
    <xf numFmtId="0" fontId="67" fillId="2" borderId="0" xfId="0" applyFont="1" applyFill="1" applyAlignment="1" applyProtection="1">
      <alignment horizontal="distributed" vertical="center"/>
      <protection hidden="1"/>
    </xf>
    <xf numFmtId="0" fontId="77" fillId="2" borderId="0" xfId="0" applyFont="1" applyFill="1" applyAlignment="1" applyProtection="1">
      <alignment horizontal="center"/>
      <protection hidden="1"/>
    </xf>
    <xf numFmtId="0" fontId="67" fillId="2" borderId="0" xfId="0" applyFont="1" applyFill="1" applyAlignment="1" applyProtection="1">
      <alignment horizontal="left"/>
      <protection hidden="1"/>
    </xf>
    <xf numFmtId="0" fontId="77" fillId="2" borderId="0" xfId="0" applyFont="1" applyFill="1" applyAlignment="1" applyProtection="1">
      <alignment horizontal="center" vertical="top"/>
      <protection hidden="1"/>
    </xf>
    <xf numFmtId="0" fontId="158" fillId="2" borderId="0" xfId="1" applyFont="1" applyFill="1" applyAlignment="1" applyProtection="1">
      <alignment horizontal="right"/>
      <protection locked="0"/>
    </xf>
    <xf numFmtId="0" fontId="5" fillId="2" borderId="0" xfId="0" applyFont="1" applyFill="1" applyAlignment="1" applyProtection="1">
      <alignment horizontal="left"/>
      <protection hidden="1"/>
    </xf>
    <xf numFmtId="0" fontId="8" fillId="2" borderId="0" xfId="0" applyFont="1" applyFill="1" applyAlignment="1" applyProtection="1">
      <alignment horizontal="left"/>
      <protection hidden="1"/>
    </xf>
    <xf numFmtId="0" fontId="85" fillId="2" borderId="7" xfId="0" applyFont="1" applyFill="1" applyBorder="1" applyAlignment="1" applyProtection="1">
      <alignment horizontal="right" vertical="top" indent="1"/>
      <protection hidden="1"/>
    </xf>
    <xf numFmtId="0" fontId="82" fillId="2" borderId="7" xfId="0" applyFont="1" applyFill="1" applyBorder="1" applyAlignment="1" applyProtection="1">
      <alignment horizontal="left" vertical="top" indent="1"/>
      <protection hidden="1"/>
    </xf>
    <xf numFmtId="0" fontId="130" fillId="2" borderId="0" xfId="0" applyFont="1" applyFill="1" applyAlignment="1" applyProtection="1">
      <alignment horizontal="right" vertical="top" indent="1"/>
      <protection hidden="1"/>
    </xf>
    <xf numFmtId="0" fontId="8" fillId="2" borderId="0" xfId="4" applyFont="1" applyFill="1" applyAlignment="1" applyProtection="1">
      <alignment horizontal="distributed"/>
      <protection hidden="1"/>
    </xf>
    <xf numFmtId="0" fontId="14" fillId="2" borderId="4" xfId="0" applyFont="1" applyFill="1" applyBorder="1" applyAlignment="1" applyProtection="1">
      <alignment horizontal="left" vertical="center" indent="1"/>
      <protection hidden="1"/>
    </xf>
    <xf numFmtId="0" fontId="14" fillId="2" borderId="4" xfId="0" applyFont="1" applyFill="1" applyBorder="1" applyAlignment="1" applyProtection="1">
      <alignment horizontal="right" vertical="center" indent="1"/>
      <protection hidden="1"/>
    </xf>
    <xf numFmtId="0" fontId="69" fillId="2" borderId="0" xfId="0" applyFont="1" applyFill="1" applyBorder="1" applyAlignment="1" applyProtection="1">
      <alignment horizontal="right" indent="1"/>
      <protection hidden="1"/>
    </xf>
    <xf numFmtId="0" fontId="8" fillId="2" borderId="0" xfId="3" applyFont="1" applyFill="1" applyAlignment="1" applyProtection="1">
      <alignment horizontal="center" vertical="center"/>
      <protection hidden="1"/>
    </xf>
    <xf numFmtId="0" fontId="17" fillId="2" borderId="0" xfId="0" applyFont="1" applyFill="1" applyAlignment="1" applyProtection="1">
      <alignment horizontal="left" indent="2"/>
      <protection hidden="1"/>
    </xf>
    <xf numFmtId="0" fontId="143" fillId="2" borderId="0" xfId="0" applyFont="1" applyFill="1" applyAlignment="1" applyProtection="1">
      <alignment horizontal="left" vertical="top" indent="2"/>
      <protection hidden="1"/>
    </xf>
    <xf numFmtId="0" fontId="68" fillId="2" borderId="0" xfId="5" applyFont="1" applyFill="1" applyAlignment="1" applyProtection="1">
      <alignment horizontal="left" indent="1"/>
      <protection hidden="1"/>
    </xf>
    <xf numFmtId="14" fontId="18" fillId="2" borderId="16" xfId="0" applyNumberFormat="1" applyFont="1" applyFill="1" applyBorder="1" applyAlignment="1" applyProtection="1">
      <alignment horizontal="center" vertical="center"/>
      <protection locked="0"/>
    </xf>
    <xf numFmtId="14" fontId="18" fillId="2" borderId="17" xfId="0" applyNumberFormat="1" applyFont="1" applyFill="1" applyBorder="1" applyAlignment="1" applyProtection="1">
      <alignment horizontal="center" vertical="center"/>
      <protection locked="0"/>
    </xf>
    <xf numFmtId="14" fontId="18" fillId="2" borderId="64" xfId="0" applyNumberFormat="1" applyFont="1" applyFill="1" applyBorder="1" applyAlignment="1" applyProtection="1">
      <alignment horizontal="center" vertical="center"/>
      <protection locked="0"/>
    </xf>
    <xf numFmtId="166" fontId="17" fillId="2" borderId="0" xfId="0" applyNumberFormat="1" applyFont="1" applyFill="1" applyBorder="1" applyAlignment="1" applyProtection="1">
      <alignment horizontal="right"/>
      <protection hidden="1"/>
    </xf>
    <xf numFmtId="166" fontId="67" fillId="4" borderId="5" xfId="0" applyNumberFormat="1" applyFont="1" applyFill="1" applyBorder="1" applyAlignment="1" applyProtection="1">
      <alignment horizontal="center" vertical="center"/>
      <protection locked="0"/>
    </xf>
    <xf numFmtId="166" fontId="67" fillId="4" borderId="74" xfId="0" applyNumberFormat="1" applyFont="1" applyFill="1" applyBorder="1" applyAlignment="1" applyProtection="1">
      <alignment horizontal="center" vertical="center"/>
      <protection locked="0"/>
    </xf>
    <xf numFmtId="166" fontId="67" fillId="4" borderId="85" xfId="0" applyNumberFormat="1"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protection hidden="1"/>
    </xf>
    <xf numFmtId="0" fontId="17" fillId="2" borderId="16" xfId="0" applyFont="1" applyFill="1" applyBorder="1" applyAlignment="1" applyProtection="1">
      <alignment horizontal="left" vertical="center" indent="1"/>
      <protection hidden="1"/>
    </xf>
    <xf numFmtId="0" fontId="17" fillId="2" borderId="17" xfId="0" applyFont="1" applyFill="1" applyBorder="1" applyAlignment="1" applyProtection="1">
      <alignment horizontal="left" vertical="center" indent="1"/>
      <protection hidden="1"/>
    </xf>
    <xf numFmtId="0" fontId="17" fillId="2" borderId="18" xfId="0" applyFont="1" applyFill="1" applyBorder="1" applyAlignment="1" applyProtection="1">
      <alignment horizontal="left" vertical="center" indent="1"/>
      <protection hidden="1"/>
    </xf>
    <xf numFmtId="0" fontId="8" fillId="2" borderId="16" xfId="0" applyFont="1" applyFill="1" applyBorder="1" applyAlignment="1" applyProtection="1">
      <alignment horizontal="center" vertical="center"/>
      <protection hidden="1"/>
    </xf>
    <xf numFmtId="0" fontId="8" fillId="2" borderId="17" xfId="0" applyFont="1" applyFill="1" applyBorder="1" applyAlignment="1" applyProtection="1">
      <alignment horizontal="center" vertical="center"/>
      <protection hidden="1"/>
    </xf>
    <xf numFmtId="0" fontId="8" fillId="2" borderId="18" xfId="0" applyFont="1" applyFill="1" applyBorder="1" applyAlignment="1" applyProtection="1">
      <alignment horizontal="center" vertical="center"/>
      <protection hidden="1"/>
    </xf>
    <xf numFmtId="0" fontId="0" fillId="0" borderId="0" xfId="0" applyProtection="1">
      <protection hidden="1"/>
    </xf>
    <xf numFmtId="0" fontId="79" fillId="2" borderId="0" xfId="0" applyNumberFormat="1" applyFont="1" applyFill="1" applyAlignment="1" applyProtection="1">
      <alignment horizontal="left" vertical="top"/>
      <protection hidden="1"/>
    </xf>
    <xf numFmtId="0" fontId="78" fillId="2" borderId="0" xfId="0" applyNumberFormat="1" applyFont="1" applyFill="1" applyAlignment="1" applyProtection="1">
      <alignment horizontal="left" vertical="top"/>
      <protection hidden="1"/>
    </xf>
    <xf numFmtId="0" fontId="93" fillId="2" borderId="0" xfId="0" applyFont="1" applyFill="1" applyAlignment="1" applyProtection="1">
      <alignment horizontal="center"/>
      <protection hidden="1"/>
    </xf>
    <xf numFmtId="0" fontId="68" fillId="2" borderId="0" xfId="0" applyNumberFormat="1" applyFont="1" applyFill="1" applyBorder="1" applyAlignment="1" applyProtection="1">
      <alignment horizontal="left"/>
      <protection hidden="1"/>
    </xf>
    <xf numFmtId="0" fontId="18" fillId="2" borderId="2" xfId="0" applyNumberFormat="1" applyFont="1" applyFill="1" applyBorder="1" applyAlignment="1" applyProtection="1">
      <alignment horizontal="center" vertical="top"/>
      <protection hidden="1"/>
    </xf>
    <xf numFmtId="0" fontId="18" fillId="2" borderId="7" xfId="0" applyNumberFormat="1" applyFont="1" applyFill="1" applyBorder="1" applyAlignment="1" applyProtection="1">
      <alignment horizontal="center" vertical="top"/>
      <protection hidden="1"/>
    </xf>
    <xf numFmtId="0" fontId="18" fillId="2" borderId="3" xfId="0" applyNumberFormat="1" applyFont="1" applyFill="1" applyBorder="1" applyAlignment="1" applyProtection="1">
      <alignment horizontal="center" vertical="top"/>
      <protection hidden="1"/>
    </xf>
    <xf numFmtId="0" fontId="98" fillId="2" borderId="0" xfId="0" applyNumberFormat="1" applyFont="1" applyFill="1" applyBorder="1" applyAlignment="1" applyProtection="1">
      <alignment horizontal="center"/>
      <protection hidden="1"/>
    </xf>
    <xf numFmtId="0" fontId="93" fillId="2" borderId="4" xfId="0" applyFont="1" applyFill="1" applyBorder="1" applyAlignment="1" applyProtection="1">
      <alignment horizontal="center" vertical="center"/>
      <protection hidden="1"/>
    </xf>
    <xf numFmtId="166" fontId="67" fillId="4" borderId="51" xfId="0" applyNumberFormat="1" applyFont="1" applyFill="1" applyBorder="1" applyAlignment="1" applyProtection="1">
      <alignment horizontal="center" vertical="center"/>
      <protection locked="0"/>
    </xf>
    <xf numFmtId="14" fontId="18" fillId="2" borderId="67" xfId="0" applyNumberFormat="1" applyFont="1" applyFill="1" applyBorder="1" applyAlignment="1" applyProtection="1">
      <alignment horizontal="center" vertical="center"/>
      <protection locked="0"/>
    </xf>
    <xf numFmtId="14" fontId="18" fillId="2" borderId="68" xfId="0" applyNumberFormat="1" applyFont="1" applyFill="1" applyBorder="1" applyAlignment="1" applyProtection="1">
      <alignment horizontal="center" vertical="center"/>
      <protection locked="0"/>
    </xf>
    <xf numFmtId="14" fontId="18" fillId="2" borderId="65" xfId="0" applyNumberFormat="1" applyFont="1" applyFill="1" applyBorder="1" applyAlignment="1" applyProtection="1">
      <alignment horizontal="center" vertical="center"/>
      <protection locked="0"/>
    </xf>
    <xf numFmtId="0" fontId="67" fillId="2" borderId="0" xfId="0" applyFont="1" applyFill="1" applyAlignment="1" applyProtection="1">
      <alignment horizontal="left" vertical="center" indent="1"/>
      <protection hidden="1"/>
    </xf>
    <xf numFmtId="0" fontId="144" fillId="2" borderId="0" xfId="0" applyFont="1" applyFill="1" applyAlignment="1" applyProtection="1">
      <alignment horizontal="left" vertical="top"/>
      <protection hidden="1"/>
    </xf>
    <xf numFmtId="166" fontId="67" fillId="4" borderId="5" xfId="0" applyNumberFormat="1" applyFont="1" applyFill="1" applyBorder="1" applyAlignment="1" applyProtection="1">
      <alignment horizontal="left" vertical="center" wrapText="1"/>
      <protection locked="0"/>
    </xf>
    <xf numFmtId="166" fontId="67" fillId="4" borderId="74" xfId="0" applyNumberFormat="1" applyFont="1" applyFill="1" applyBorder="1" applyAlignment="1" applyProtection="1">
      <alignment horizontal="left" vertical="center"/>
      <protection locked="0"/>
    </xf>
    <xf numFmtId="166" fontId="67" fillId="4" borderId="50" xfId="0" applyNumberFormat="1" applyFont="1" applyFill="1" applyBorder="1" applyAlignment="1" applyProtection="1">
      <alignment horizontal="left" vertical="center"/>
      <protection locked="0"/>
    </xf>
    <xf numFmtId="166" fontId="17" fillId="2" borderId="0" xfId="0" applyNumberFormat="1" applyFont="1" applyFill="1" applyBorder="1" applyAlignment="1" applyProtection="1">
      <alignment horizontal="left"/>
      <protection hidden="1"/>
    </xf>
    <xf numFmtId="0" fontId="17" fillId="2" borderId="74" xfId="0" applyNumberFormat="1" applyFont="1" applyFill="1" applyBorder="1" applyAlignment="1" applyProtection="1">
      <alignment horizontal="center"/>
      <protection hidden="1"/>
    </xf>
    <xf numFmtId="0" fontId="67" fillId="2" borderId="0" xfId="0" applyFont="1" applyFill="1" applyAlignment="1" applyProtection="1">
      <alignment horizontal="right" vertical="center" indent="1"/>
      <protection hidden="1"/>
    </xf>
    <xf numFmtId="14" fontId="18" fillId="2" borderId="61" xfId="0" applyNumberFormat="1" applyFont="1" applyFill="1" applyBorder="1" applyAlignment="1" applyProtection="1">
      <alignment horizontal="center" vertical="center"/>
      <protection locked="0"/>
    </xf>
    <xf numFmtId="14" fontId="18" fillId="2" borderId="18" xfId="0" applyNumberFormat="1" applyFont="1" applyFill="1" applyBorder="1" applyAlignment="1" applyProtection="1">
      <alignment horizontal="center" vertical="center"/>
      <protection locked="0"/>
    </xf>
    <xf numFmtId="0" fontId="82" fillId="2" borderId="0" xfId="0" applyNumberFormat="1" applyFont="1" applyFill="1" applyAlignment="1" applyProtection="1">
      <alignment horizontal="left" vertical="center"/>
      <protection hidden="1"/>
    </xf>
    <xf numFmtId="166" fontId="17" fillId="2" borderId="0" xfId="0" applyNumberFormat="1" applyFont="1" applyFill="1" applyBorder="1" applyAlignment="1" applyProtection="1">
      <alignment horizontal="left" vertical="center"/>
      <protection hidden="1"/>
    </xf>
    <xf numFmtId="166" fontId="17" fillId="2" borderId="7" xfId="0" applyNumberFormat="1" applyFont="1" applyFill="1" applyBorder="1" applyAlignment="1" applyProtection="1">
      <alignment horizontal="left"/>
      <protection hidden="1"/>
    </xf>
    <xf numFmtId="0" fontId="69" fillId="2" borderId="0" xfId="0" applyFont="1" applyFill="1" applyAlignment="1" applyProtection="1">
      <alignment horizontal="right" vertical="center" indent="2"/>
      <protection hidden="1"/>
    </xf>
    <xf numFmtId="167" fontId="17" fillId="2" borderId="16" xfId="0" applyNumberFormat="1" applyFont="1" applyFill="1" applyBorder="1" applyAlignment="1" applyProtection="1">
      <alignment horizontal="center" vertical="center"/>
      <protection hidden="1"/>
    </xf>
    <xf numFmtId="0" fontId="17" fillId="2" borderId="18" xfId="0" applyFont="1" applyFill="1" applyBorder="1" applyAlignment="1" applyProtection="1">
      <alignment horizontal="center" vertical="center"/>
      <protection hidden="1"/>
    </xf>
    <xf numFmtId="0" fontId="146" fillId="2" borderId="83" xfId="0" applyFont="1" applyFill="1" applyBorder="1" applyAlignment="1" applyProtection="1">
      <alignment horizontal="center" vertical="center"/>
      <protection hidden="1"/>
    </xf>
    <xf numFmtId="4" fontId="14" fillId="2" borderId="16" xfId="0" applyNumberFormat="1" applyFont="1" applyFill="1" applyBorder="1" applyAlignment="1" applyProtection="1">
      <alignment horizontal="right" vertical="center" indent="1"/>
      <protection hidden="1"/>
    </xf>
    <xf numFmtId="4" fontId="14" fillId="2" borderId="17" xfId="0" applyNumberFormat="1" applyFont="1" applyFill="1" applyBorder="1" applyAlignment="1" applyProtection="1">
      <alignment horizontal="right" vertical="center" indent="1"/>
      <protection hidden="1"/>
    </xf>
    <xf numFmtId="4" fontId="14" fillId="2" borderId="18" xfId="0" applyNumberFormat="1" applyFont="1" applyFill="1" applyBorder="1" applyAlignment="1" applyProtection="1">
      <alignment horizontal="right" vertical="center" indent="1"/>
      <protection hidden="1"/>
    </xf>
    <xf numFmtId="0" fontId="8" fillId="3" borderId="16" xfId="0" applyFont="1" applyFill="1" applyBorder="1" applyAlignment="1" applyProtection="1">
      <alignment horizontal="center" vertical="center"/>
      <protection hidden="1"/>
    </xf>
    <xf numFmtId="0" fontId="8" fillId="3" borderId="17" xfId="0" applyFont="1" applyFill="1" applyBorder="1" applyAlignment="1" applyProtection="1">
      <alignment horizontal="center" vertical="center"/>
      <protection hidden="1"/>
    </xf>
    <xf numFmtId="0" fontId="145" fillId="2" borderId="30" xfId="0" applyFont="1" applyFill="1" applyBorder="1" applyAlignment="1" applyProtection="1">
      <alignment horizontal="center" vertical="center"/>
      <protection hidden="1"/>
    </xf>
    <xf numFmtId="0" fontId="145" fillId="2" borderId="31" xfId="0" applyFont="1" applyFill="1" applyBorder="1" applyAlignment="1" applyProtection="1">
      <alignment horizontal="center" vertical="center"/>
      <protection hidden="1"/>
    </xf>
    <xf numFmtId="0" fontId="146" fillId="2" borderId="17" xfId="0" applyFont="1" applyFill="1" applyBorder="1" applyAlignment="1" applyProtection="1">
      <alignment horizontal="center" vertical="center"/>
      <protection hidden="1"/>
    </xf>
    <xf numFmtId="167" fontId="145" fillId="2" borderId="16" xfId="0" applyNumberFormat="1" applyFont="1" applyFill="1" applyBorder="1" applyAlignment="1" applyProtection="1">
      <alignment horizontal="center" vertical="center"/>
      <protection hidden="1"/>
    </xf>
    <xf numFmtId="0" fontId="145" fillId="2" borderId="18" xfId="0" applyFont="1" applyFill="1" applyBorder="1" applyAlignment="1" applyProtection="1">
      <alignment horizontal="center" vertical="center"/>
      <protection hidden="1"/>
    </xf>
    <xf numFmtId="4" fontId="14" fillId="3" borderId="16" xfId="0" applyNumberFormat="1" applyFont="1" applyFill="1" applyBorder="1" applyAlignment="1" applyProtection="1">
      <alignment horizontal="right" vertical="center" indent="1"/>
      <protection hidden="1"/>
    </xf>
    <xf numFmtId="4" fontId="14" fillId="3" borderId="17" xfId="0" applyNumberFormat="1" applyFont="1" applyFill="1" applyBorder="1" applyAlignment="1" applyProtection="1">
      <alignment horizontal="right" vertical="center" indent="1"/>
      <protection hidden="1"/>
    </xf>
    <xf numFmtId="4" fontId="14" fillId="3" borderId="18" xfId="0" applyNumberFormat="1" applyFont="1" applyFill="1" applyBorder="1" applyAlignment="1" applyProtection="1">
      <alignment horizontal="right" vertical="center" indent="1"/>
      <protection hidden="1"/>
    </xf>
    <xf numFmtId="0" fontId="18" fillId="3" borderId="16" xfId="0" applyFont="1" applyFill="1" applyBorder="1" applyAlignment="1" applyProtection="1">
      <alignment horizontal="center" vertical="center"/>
      <protection hidden="1"/>
    </xf>
    <xf numFmtId="0" fontId="18" fillId="3" borderId="17" xfId="0" applyFont="1" applyFill="1" applyBorder="1" applyAlignment="1" applyProtection="1">
      <alignment horizontal="center" vertical="center"/>
      <protection hidden="1"/>
    </xf>
    <xf numFmtId="0" fontId="18" fillId="3" borderId="18" xfId="0" applyFont="1" applyFill="1" applyBorder="1" applyAlignment="1" applyProtection="1">
      <alignment horizontal="center" vertical="center"/>
      <protection hidden="1"/>
    </xf>
    <xf numFmtId="166" fontId="8" fillId="2" borderId="0" xfId="0" applyNumberFormat="1" applyFont="1" applyFill="1" applyAlignment="1" applyProtection="1">
      <alignment horizontal="center"/>
      <protection hidden="1"/>
    </xf>
    <xf numFmtId="166" fontId="8" fillId="2" borderId="162" xfId="0" applyNumberFormat="1" applyFont="1" applyFill="1" applyBorder="1" applyAlignment="1" applyProtection="1">
      <alignment horizontal="left" vertical="top"/>
      <protection hidden="1"/>
    </xf>
    <xf numFmtId="49" fontId="67" fillId="3" borderId="16" xfId="0" applyNumberFormat="1" applyFont="1" applyFill="1" applyBorder="1" applyAlignment="1" applyProtection="1">
      <alignment horizontal="left" vertical="center" indent="1"/>
      <protection locked="0"/>
    </xf>
    <xf numFmtId="49" fontId="67" fillId="3" borderId="146" xfId="0" applyNumberFormat="1" applyFont="1" applyFill="1" applyBorder="1" applyAlignment="1" applyProtection="1">
      <alignment horizontal="left" vertical="center" indent="1"/>
      <protection locked="0"/>
    </xf>
    <xf numFmtId="166" fontId="8" fillId="2" borderId="61" xfId="0" applyNumberFormat="1" applyFont="1" applyFill="1" applyBorder="1" applyAlignment="1" applyProtection="1">
      <alignment horizontal="left" vertical="center"/>
      <protection locked="0"/>
    </xf>
    <xf numFmtId="166" fontId="8" fillId="2" borderId="17" xfId="0" applyNumberFormat="1" applyFont="1" applyFill="1" applyBorder="1" applyAlignment="1" applyProtection="1">
      <alignment horizontal="left" vertical="center"/>
      <protection locked="0"/>
    </xf>
    <xf numFmtId="166" fontId="8" fillId="2" borderId="64" xfId="0" applyNumberFormat="1" applyFont="1" applyFill="1" applyBorder="1" applyAlignment="1" applyProtection="1">
      <alignment horizontal="left" vertical="center"/>
      <protection locked="0"/>
    </xf>
    <xf numFmtId="0" fontId="17" fillId="3" borderId="74" xfId="0" applyFont="1" applyFill="1" applyBorder="1" applyAlignment="1" applyProtection="1">
      <alignment horizontal="left" vertical="center" indent="1"/>
      <protection hidden="1"/>
    </xf>
    <xf numFmtId="0" fontId="17" fillId="3" borderId="85" xfId="0" applyFont="1" applyFill="1" applyBorder="1" applyAlignment="1" applyProtection="1">
      <alignment horizontal="left" vertical="center" indent="1"/>
      <protection hidden="1"/>
    </xf>
    <xf numFmtId="0" fontId="17" fillId="2" borderId="28" xfId="0" applyFont="1" applyFill="1" applyBorder="1" applyAlignment="1" applyProtection="1">
      <alignment horizontal="left" vertical="center" indent="1"/>
      <protection hidden="1"/>
    </xf>
    <xf numFmtId="0" fontId="17" fillId="2" borderId="83" xfId="0" applyFont="1" applyFill="1" applyBorder="1" applyAlignment="1" applyProtection="1">
      <alignment horizontal="left" vertical="center" indent="1"/>
      <protection hidden="1"/>
    </xf>
    <xf numFmtId="0" fontId="17" fillId="2" borderId="87" xfId="0" applyFont="1" applyFill="1" applyBorder="1" applyAlignment="1" applyProtection="1">
      <alignment horizontal="left" vertical="center" indent="1"/>
      <protection hidden="1"/>
    </xf>
    <xf numFmtId="167" fontId="17" fillId="2" borderId="28" xfId="0" applyNumberFormat="1" applyFont="1" applyFill="1" applyBorder="1" applyAlignment="1" applyProtection="1">
      <alignment horizontal="center"/>
      <protection hidden="1"/>
    </xf>
    <xf numFmtId="167" fontId="17" fillId="2" borderId="83" xfId="0" applyNumberFormat="1" applyFont="1" applyFill="1" applyBorder="1" applyAlignment="1" applyProtection="1">
      <alignment horizontal="center"/>
      <protection hidden="1"/>
    </xf>
    <xf numFmtId="167" fontId="17" fillId="2" borderId="39" xfId="0" applyNumberFormat="1" applyFont="1" applyFill="1" applyBorder="1" applyAlignment="1" applyProtection="1">
      <alignment horizontal="center"/>
      <protection hidden="1"/>
    </xf>
    <xf numFmtId="167" fontId="17" fillId="2" borderId="29" xfId="0" applyNumberFormat="1" applyFont="1" applyFill="1" applyBorder="1" applyAlignment="1" applyProtection="1">
      <alignment horizontal="center" vertical="top"/>
      <protection hidden="1"/>
    </xf>
    <xf numFmtId="167" fontId="17" fillId="2" borderId="30" xfId="0" applyNumberFormat="1" applyFont="1" applyFill="1" applyBorder="1" applyAlignment="1" applyProtection="1">
      <alignment horizontal="center" vertical="top"/>
      <protection hidden="1"/>
    </xf>
    <xf numFmtId="167" fontId="17" fillId="2" borderId="31" xfId="0" applyNumberFormat="1" applyFont="1" applyFill="1" applyBorder="1" applyAlignment="1" applyProtection="1">
      <alignment horizontal="center" vertical="top"/>
      <protection hidden="1"/>
    </xf>
    <xf numFmtId="167" fontId="35" fillId="2" borderId="16" xfId="0" applyNumberFormat="1" applyFont="1" applyFill="1" applyBorder="1" applyAlignment="1" applyProtection="1">
      <alignment horizontal="center" vertical="center"/>
      <protection hidden="1"/>
    </xf>
    <xf numFmtId="167" fontId="35" fillId="2" borderId="18" xfId="0" applyNumberFormat="1" applyFont="1" applyFill="1" applyBorder="1" applyAlignment="1" applyProtection="1">
      <alignment horizontal="center" vertical="center"/>
      <protection hidden="1"/>
    </xf>
    <xf numFmtId="166" fontId="59" fillId="2" borderId="0" xfId="0" applyNumberFormat="1" applyFont="1" applyFill="1" applyAlignment="1" applyProtection="1">
      <alignment horizontal="left"/>
      <protection hidden="1"/>
    </xf>
    <xf numFmtId="166" fontId="18" fillId="2" borderId="145" xfId="0" applyNumberFormat="1" applyFont="1" applyFill="1" applyBorder="1" applyAlignment="1" applyProtection="1">
      <alignment horizontal="left" vertical="center"/>
      <protection locked="0"/>
    </xf>
    <xf numFmtId="166" fontId="18" fillId="2" borderId="17" xfId="0" applyNumberFormat="1" applyFont="1" applyFill="1" applyBorder="1" applyAlignment="1" applyProtection="1">
      <alignment horizontal="left" vertical="center"/>
      <protection locked="0"/>
    </xf>
    <xf numFmtId="166" fontId="67" fillId="2" borderId="145" xfId="0" applyNumberFormat="1" applyFont="1" applyFill="1" applyBorder="1" applyAlignment="1" applyProtection="1">
      <alignment horizontal="left" vertical="center"/>
      <protection locked="0"/>
    </xf>
    <xf numFmtId="166" fontId="67" fillId="2" borderId="17" xfId="0" applyNumberFormat="1" applyFont="1" applyFill="1" applyBorder="1" applyAlignment="1" applyProtection="1">
      <alignment horizontal="left" vertical="center"/>
      <protection locked="0"/>
    </xf>
    <xf numFmtId="166" fontId="67" fillId="2" borderId="18" xfId="0" applyNumberFormat="1" applyFont="1" applyFill="1" applyBorder="1" applyAlignment="1" applyProtection="1">
      <alignment horizontal="left" vertical="center"/>
      <protection locked="0"/>
    </xf>
    <xf numFmtId="164" fontId="67" fillId="3" borderId="29" xfId="0" applyNumberFormat="1" applyFont="1" applyFill="1" applyBorder="1" applyAlignment="1" applyProtection="1">
      <alignment horizontal="right" vertical="center"/>
      <protection locked="0"/>
    </xf>
    <xf numFmtId="164" fontId="67" fillId="3" borderId="157" xfId="0" applyNumberFormat="1" applyFont="1" applyFill="1" applyBorder="1" applyAlignment="1" applyProtection="1">
      <alignment horizontal="right" vertical="center"/>
      <protection locked="0"/>
    </xf>
    <xf numFmtId="166" fontId="67" fillId="2" borderId="147" xfId="0" applyNumberFormat="1" applyFont="1" applyFill="1" applyBorder="1" applyAlignment="1" applyProtection="1">
      <alignment horizontal="left" vertical="center"/>
      <protection locked="0"/>
    </xf>
    <xf numFmtId="166" fontId="67" fillId="2" borderId="148" xfId="0" applyNumberFormat="1" applyFont="1" applyFill="1" applyBorder="1" applyAlignment="1" applyProtection="1">
      <alignment horizontal="left" vertical="center"/>
      <protection locked="0"/>
    </xf>
    <xf numFmtId="166" fontId="67" fillId="2" borderId="156" xfId="0" applyNumberFormat="1" applyFont="1" applyFill="1" applyBorder="1" applyAlignment="1" applyProtection="1">
      <alignment horizontal="left" vertical="center"/>
      <protection locked="0"/>
    </xf>
    <xf numFmtId="0" fontId="18" fillId="3" borderId="16" xfId="0" applyFont="1" applyFill="1" applyBorder="1" applyAlignment="1" applyProtection="1">
      <alignment horizontal="center" vertical="center"/>
      <protection locked="0"/>
    </xf>
    <xf numFmtId="0" fontId="18" fillId="3" borderId="17" xfId="0" applyFont="1" applyFill="1" applyBorder="1" applyAlignment="1" applyProtection="1">
      <alignment horizontal="center" vertical="center"/>
      <protection locked="0"/>
    </xf>
    <xf numFmtId="0" fontId="18" fillId="3" borderId="146" xfId="0" applyFont="1" applyFill="1" applyBorder="1" applyAlignment="1" applyProtection="1">
      <alignment horizontal="center" vertical="center"/>
      <protection locked="0"/>
    </xf>
    <xf numFmtId="166" fontId="68" fillId="2" borderId="0" xfId="0" applyNumberFormat="1" applyFont="1" applyFill="1" applyBorder="1" applyAlignment="1" applyProtection="1">
      <alignment horizontal="left" vertical="top"/>
      <protection hidden="1"/>
    </xf>
    <xf numFmtId="166" fontId="18" fillId="2" borderId="158" xfId="0" applyNumberFormat="1" applyFont="1" applyFill="1" applyBorder="1" applyAlignment="1" applyProtection="1">
      <alignment horizontal="left" vertical="center"/>
      <protection locked="0"/>
    </xf>
    <xf numFmtId="166" fontId="18" fillId="2" borderId="159" xfId="0" applyNumberFormat="1" applyFont="1" applyFill="1" applyBorder="1" applyAlignment="1" applyProtection="1">
      <alignment horizontal="left" vertical="center"/>
      <protection locked="0"/>
    </xf>
    <xf numFmtId="0" fontId="8" fillId="2" borderId="0" xfId="0" applyFont="1" applyFill="1" applyAlignment="1" applyProtection="1">
      <alignment horizontal="center"/>
      <protection hidden="1"/>
    </xf>
    <xf numFmtId="0" fontId="18" fillId="3" borderId="160" xfId="0" applyFont="1" applyFill="1" applyBorder="1" applyAlignment="1" applyProtection="1">
      <alignment horizontal="center" vertical="center"/>
      <protection locked="0"/>
    </xf>
    <xf numFmtId="0" fontId="18" fillId="3" borderId="159" xfId="0" applyFont="1" applyFill="1" applyBorder="1" applyAlignment="1" applyProtection="1">
      <alignment horizontal="center" vertical="center"/>
      <protection locked="0"/>
    </xf>
    <xf numFmtId="0" fontId="18" fillId="3" borderId="161" xfId="0" applyFont="1" applyFill="1" applyBorder="1" applyAlignment="1" applyProtection="1">
      <alignment horizontal="center" vertical="center"/>
      <protection locked="0"/>
    </xf>
    <xf numFmtId="0" fontId="85" fillId="2" borderId="0" xfId="0" applyNumberFormat="1" applyFont="1" applyFill="1" applyAlignment="1" applyProtection="1">
      <alignment horizontal="left" vertical="top"/>
      <protection hidden="1"/>
    </xf>
    <xf numFmtId="166" fontId="70" fillId="2" borderId="162" xfId="0" applyNumberFormat="1" applyFont="1" applyFill="1" applyBorder="1" applyAlignment="1" applyProtection="1">
      <alignment horizontal="center" vertical="top"/>
      <protection hidden="1"/>
    </xf>
    <xf numFmtId="0" fontId="70" fillId="2" borderId="0" xfId="0" applyFont="1" applyFill="1" applyBorder="1" applyAlignment="1" applyProtection="1">
      <alignment horizontal="center" vertical="top"/>
      <protection hidden="1"/>
    </xf>
    <xf numFmtId="166" fontId="67" fillId="2" borderId="158" xfId="0" applyNumberFormat="1" applyFont="1" applyFill="1" applyBorder="1" applyAlignment="1" applyProtection="1">
      <alignment horizontal="left" vertical="center"/>
      <protection locked="0"/>
    </xf>
    <xf numFmtId="166" fontId="67" fillId="2" borderId="159" xfId="0" applyNumberFormat="1" applyFont="1" applyFill="1" applyBorder="1" applyAlignment="1" applyProtection="1">
      <alignment horizontal="left" vertical="center"/>
      <protection locked="0"/>
    </xf>
    <xf numFmtId="166" fontId="67" fillId="2" borderId="163" xfId="0" applyNumberFormat="1" applyFont="1" applyFill="1" applyBorder="1" applyAlignment="1" applyProtection="1">
      <alignment horizontal="left" vertical="center"/>
      <protection locked="0"/>
    </xf>
    <xf numFmtId="49" fontId="67" fillId="3" borderId="164" xfId="0" applyNumberFormat="1" applyFont="1" applyFill="1" applyBorder="1" applyAlignment="1" applyProtection="1">
      <alignment horizontal="left" vertical="center" indent="1"/>
      <protection locked="0"/>
    </xf>
    <xf numFmtId="49" fontId="67" fillId="3" borderId="165" xfId="0" applyNumberFormat="1" applyFont="1" applyFill="1" applyBorder="1" applyAlignment="1" applyProtection="1">
      <alignment horizontal="left" vertical="center" indent="1"/>
      <protection locked="0"/>
    </xf>
    <xf numFmtId="166" fontId="81" fillId="2" borderId="0" xfId="0" applyNumberFormat="1" applyFont="1" applyFill="1" applyAlignment="1" applyProtection="1">
      <alignment horizontal="center"/>
      <protection hidden="1"/>
    </xf>
    <xf numFmtId="164" fontId="67" fillId="3" borderId="160" xfId="0" applyNumberFormat="1" applyFont="1" applyFill="1" applyBorder="1" applyAlignment="1" applyProtection="1">
      <alignment horizontal="right" vertical="center"/>
      <protection locked="0"/>
    </xf>
    <xf numFmtId="164" fontId="67" fillId="3" borderId="161" xfId="0" applyNumberFormat="1" applyFont="1" applyFill="1" applyBorder="1" applyAlignment="1" applyProtection="1">
      <alignment horizontal="right" vertical="center"/>
      <protection locked="0"/>
    </xf>
    <xf numFmtId="166" fontId="8" fillId="2" borderId="60" xfId="0" applyNumberFormat="1" applyFont="1" applyFill="1" applyBorder="1" applyAlignment="1" applyProtection="1">
      <alignment horizontal="left" vertical="center"/>
      <protection locked="0"/>
    </xf>
    <xf numFmtId="166" fontId="8" fillId="2" borderId="88" xfId="0" applyNumberFormat="1" applyFont="1" applyFill="1" applyBorder="1" applyAlignment="1" applyProtection="1">
      <alignment horizontal="left" vertical="center"/>
      <protection locked="0"/>
    </xf>
    <xf numFmtId="166" fontId="8" fillId="2" borderId="63" xfId="0" applyNumberFormat="1" applyFont="1" applyFill="1" applyBorder="1" applyAlignment="1" applyProtection="1">
      <alignment horizontal="left" vertical="center"/>
      <protection locked="0"/>
    </xf>
    <xf numFmtId="166" fontId="67" fillId="2" borderId="7" xfId="0" applyNumberFormat="1" applyFont="1" applyFill="1" applyBorder="1" applyAlignment="1" applyProtection="1">
      <alignment horizontal="left" vertical="top"/>
      <protection hidden="1"/>
    </xf>
    <xf numFmtId="164" fontId="67" fillId="3" borderId="16" xfId="0" applyNumberFormat="1" applyFont="1" applyFill="1" applyBorder="1" applyAlignment="1" applyProtection="1">
      <alignment horizontal="right" vertical="center"/>
      <protection locked="0"/>
    </xf>
    <xf numFmtId="164" fontId="67" fillId="3" borderId="146" xfId="0" applyNumberFormat="1" applyFont="1" applyFill="1" applyBorder="1" applyAlignment="1" applyProtection="1">
      <alignment horizontal="right" vertical="center"/>
      <protection locked="0"/>
    </xf>
    <xf numFmtId="166" fontId="67" fillId="2" borderId="152" xfId="0" applyNumberFormat="1" applyFont="1" applyFill="1" applyBorder="1" applyAlignment="1" applyProtection="1">
      <alignment horizontal="left" vertical="center"/>
      <protection locked="0"/>
    </xf>
    <xf numFmtId="166" fontId="67" fillId="2" borderId="30" xfId="0" applyNumberFormat="1" applyFont="1" applyFill="1" applyBorder="1" applyAlignment="1" applyProtection="1">
      <alignment horizontal="left" vertical="center"/>
      <protection locked="0"/>
    </xf>
    <xf numFmtId="166" fontId="67" fillId="2" borderId="31" xfId="0" applyNumberFormat="1" applyFont="1" applyFill="1" applyBorder="1" applyAlignment="1" applyProtection="1">
      <alignment horizontal="left" vertical="center"/>
      <protection locked="0"/>
    </xf>
    <xf numFmtId="166" fontId="8" fillId="2" borderId="62" xfId="0" applyNumberFormat="1" applyFont="1" applyFill="1" applyBorder="1" applyAlignment="1" applyProtection="1">
      <alignment horizontal="left" vertical="center"/>
      <protection locked="0"/>
    </xf>
    <xf numFmtId="166" fontId="8" fillId="2" borderId="68" xfId="0" applyNumberFormat="1" applyFont="1" applyFill="1" applyBorder="1" applyAlignment="1" applyProtection="1">
      <alignment horizontal="left" vertical="center"/>
      <protection locked="0"/>
    </xf>
    <xf numFmtId="166" fontId="8" fillId="2" borderId="65" xfId="0" applyNumberFormat="1" applyFont="1" applyFill="1" applyBorder="1" applyAlignment="1" applyProtection="1">
      <alignment horizontal="left" vertical="center"/>
      <protection locked="0"/>
    </xf>
    <xf numFmtId="49" fontId="67" fillId="3" borderId="149" xfId="0" applyNumberFormat="1" applyFont="1" applyFill="1" applyBorder="1" applyAlignment="1" applyProtection="1">
      <alignment horizontal="left" vertical="center" indent="1"/>
      <protection locked="0"/>
    </xf>
    <xf numFmtId="49" fontId="67" fillId="3" borderId="150" xfId="0" applyNumberFormat="1" applyFont="1" applyFill="1" applyBorder="1" applyAlignment="1" applyProtection="1">
      <alignment horizontal="left" vertical="center" indent="1"/>
      <protection locked="0"/>
    </xf>
    <xf numFmtId="164" fontId="67" fillId="3" borderId="149" xfId="0" applyNumberFormat="1" applyFont="1" applyFill="1" applyBorder="1" applyAlignment="1" applyProtection="1">
      <alignment horizontal="right" vertical="center"/>
      <protection locked="0"/>
    </xf>
    <xf numFmtId="164" fontId="67" fillId="3" borderId="150" xfId="0" applyNumberFormat="1" applyFont="1" applyFill="1" applyBorder="1" applyAlignment="1" applyProtection="1">
      <alignment horizontal="right" vertical="center"/>
      <protection locked="0"/>
    </xf>
    <xf numFmtId="166" fontId="68" fillId="2" borderId="153" xfId="0" applyNumberFormat="1" applyFont="1" applyFill="1" applyBorder="1" applyAlignment="1" applyProtection="1">
      <alignment horizontal="center" vertical="center"/>
      <protection hidden="1"/>
    </xf>
    <xf numFmtId="166" fontId="68" fillId="2" borderId="154" xfId="0" applyNumberFormat="1" applyFont="1" applyFill="1" applyBorder="1" applyAlignment="1" applyProtection="1">
      <alignment horizontal="center" vertical="center"/>
      <protection hidden="1"/>
    </xf>
    <xf numFmtId="166" fontId="68" fillId="2" borderId="155" xfId="0" applyNumberFormat="1" applyFont="1" applyFill="1" applyBorder="1" applyAlignment="1" applyProtection="1">
      <alignment horizontal="center" vertical="center"/>
      <protection hidden="1"/>
    </xf>
    <xf numFmtId="167" fontId="14" fillId="3" borderId="16" xfId="0" applyNumberFormat="1" applyFont="1" applyFill="1" applyBorder="1" applyAlignment="1" applyProtection="1">
      <alignment horizontal="center" vertical="center"/>
      <protection hidden="1"/>
    </xf>
    <xf numFmtId="167" fontId="14" fillId="3" borderId="17" xfId="0" applyNumberFormat="1" applyFont="1" applyFill="1" applyBorder="1" applyAlignment="1" applyProtection="1">
      <alignment horizontal="center" vertical="center"/>
      <protection hidden="1"/>
    </xf>
    <xf numFmtId="167" fontId="14" fillId="3" borderId="18" xfId="0" applyNumberFormat="1" applyFont="1" applyFill="1" applyBorder="1" applyAlignment="1" applyProtection="1">
      <alignment horizontal="center" vertical="center"/>
      <protection hidden="1"/>
    </xf>
    <xf numFmtId="167" fontId="17" fillId="2" borderId="23" xfId="0" applyNumberFormat="1" applyFont="1" applyFill="1" applyBorder="1" applyAlignment="1" applyProtection="1">
      <alignment horizontal="center" vertical="top"/>
      <protection hidden="1"/>
    </xf>
    <xf numFmtId="167" fontId="17" fillId="2" borderId="0" xfId="0" applyNumberFormat="1" applyFont="1" applyFill="1" applyBorder="1" applyAlignment="1" applyProtection="1">
      <alignment horizontal="center" vertical="top"/>
      <protection hidden="1"/>
    </xf>
    <xf numFmtId="167" fontId="17" fillId="2" borderId="37" xfId="0" applyNumberFormat="1" applyFont="1" applyFill="1" applyBorder="1" applyAlignment="1" applyProtection="1">
      <alignment horizontal="center" vertical="top"/>
      <protection hidden="1"/>
    </xf>
    <xf numFmtId="14" fontId="18" fillId="2" borderId="62" xfId="0" applyNumberFormat="1" applyFont="1" applyFill="1" applyBorder="1" applyAlignment="1" applyProtection="1">
      <alignment horizontal="center" vertical="center"/>
      <protection locked="0"/>
    </xf>
    <xf numFmtId="14" fontId="18" fillId="2" borderId="73" xfId="0" applyNumberFormat="1" applyFont="1" applyFill="1" applyBorder="1" applyAlignment="1" applyProtection="1">
      <alignment horizontal="center" vertical="center"/>
      <protection locked="0"/>
    </xf>
    <xf numFmtId="0" fontId="83" fillId="2" borderId="7" xfId="0" applyFont="1" applyFill="1" applyBorder="1" applyAlignment="1" applyProtection="1">
      <alignment horizontal="left"/>
      <protection hidden="1"/>
    </xf>
    <xf numFmtId="0" fontId="78" fillId="2" borderId="0" xfId="0" applyNumberFormat="1" applyFont="1" applyFill="1" applyAlignment="1" applyProtection="1">
      <alignment horizontal="distributed"/>
      <protection hidden="1"/>
    </xf>
    <xf numFmtId="0" fontId="149" fillId="2" borderId="0" xfId="0" applyFont="1" applyFill="1" applyAlignment="1" applyProtection="1">
      <alignment horizontal="left" vertical="top"/>
      <protection hidden="1"/>
    </xf>
    <xf numFmtId="0" fontId="78" fillId="2" borderId="7" xfId="0" applyFont="1" applyFill="1" applyBorder="1" applyAlignment="1" applyProtection="1">
      <alignment horizontal="center" vertical="center"/>
      <protection locked="0"/>
    </xf>
    <xf numFmtId="166" fontId="35" fillId="2" borderId="30" xfId="0" applyNumberFormat="1" applyFont="1" applyFill="1" applyBorder="1" applyAlignment="1" applyProtection="1">
      <alignment horizontal="center" vertical="center"/>
      <protection hidden="1"/>
    </xf>
    <xf numFmtId="0" fontId="35" fillId="2" borderId="31" xfId="0" applyFont="1" applyFill="1" applyBorder="1" applyAlignment="1" applyProtection="1">
      <alignment horizontal="center" vertical="center"/>
      <protection hidden="1"/>
    </xf>
    <xf numFmtId="0" fontId="17" fillId="2" borderId="16" xfId="0" applyNumberFormat="1" applyFont="1" applyFill="1" applyBorder="1" applyAlignment="1" applyProtection="1">
      <alignment horizontal="center" vertical="center"/>
      <protection hidden="1"/>
    </xf>
    <xf numFmtId="0" fontId="17" fillId="2" borderId="17" xfId="0" applyNumberFormat="1" applyFont="1" applyFill="1" applyBorder="1" applyAlignment="1" applyProtection="1">
      <alignment horizontal="center" vertical="center"/>
      <protection hidden="1"/>
    </xf>
    <xf numFmtId="0" fontId="17" fillId="2" borderId="18" xfId="0" applyNumberFormat="1" applyFont="1" applyFill="1" applyBorder="1" applyAlignment="1" applyProtection="1">
      <alignment horizontal="center" vertical="center"/>
      <protection hidden="1"/>
    </xf>
    <xf numFmtId="166" fontId="17" fillId="2" borderId="16" xfId="0" applyNumberFormat="1" applyFont="1" applyFill="1" applyBorder="1" applyAlignment="1" applyProtection="1">
      <alignment horizontal="center" vertical="center"/>
      <protection hidden="1"/>
    </xf>
    <xf numFmtId="0" fontId="35" fillId="2" borderId="31" xfId="0" applyNumberFormat="1" applyFont="1" applyFill="1" applyBorder="1" applyAlignment="1" applyProtection="1">
      <alignment horizontal="center" vertical="center"/>
      <protection hidden="1"/>
    </xf>
    <xf numFmtId="167" fontId="48" fillId="2" borderId="16" xfId="0" applyNumberFormat="1" applyFont="1" applyFill="1" applyBorder="1" applyAlignment="1" applyProtection="1">
      <alignment horizontal="center" vertical="center"/>
      <protection hidden="1"/>
    </xf>
    <xf numFmtId="0" fontId="48" fillId="2" borderId="18" xfId="0" applyFont="1" applyFill="1" applyBorder="1" applyAlignment="1" applyProtection="1">
      <alignment horizontal="center" vertical="center"/>
      <protection hidden="1"/>
    </xf>
    <xf numFmtId="0" fontId="17" fillId="2" borderId="23" xfId="0" applyFont="1" applyFill="1" applyBorder="1" applyAlignment="1" applyProtection="1">
      <alignment horizontal="center" vertical="center"/>
      <protection hidden="1"/>
    </xf>
    <xf numFmtId="0" fontId="17" fillId="2" borderId="0" xfId="0" applyFont="1" applyFill="1" applyAlignment="1" applyProtection="1">
      <alignment horizontal="center" vertical="center"/>
      <protection hidden="1"/>
    </xf>
    <xf numFmtId="0" fontId="35" fillId="2" borderId="16" xfId="0" applyNumberFormat="1" applyFont="1" applyFill="1" applyBorder="1" applyAlignment="1" applyProtection="1">
      <alignment horizontal="center" vertical="center"/>
      <protection hidden="1"/>
    </xf>
    <xf numFmtId="0" fontId="35" fillId="2" borderId="17" xfId="0" applyNumberFormat="1" applyFont="1" applyFill="1" applyBorder="1" applyAlignment="1" applyProtection="1">
      <alignment horizontal="center" vertical="center"/>
      <protection hidden="1"/>
    </xf>
    <xf numFmtId="0" fontId="35" fillId="2" borderId="18" xfId="0" applyNumberFormat="1" applyFont="1" applyFill="1" applyBorder="1" applyAlignment="1" applyProtection="1">
      <alignment horizontal="center" vertical="center"/>
      <protection hidden="1"/>
    </xf>
    <xf numFmtId="0" fontId="35" fillId="2" borderId="18" xfId="0" applyFont="1" applyFill="1" applyBorder="1" applyAlignment="1" applyProtection="1">
      <alignment horizontal="center" vertical="center"/>
      <protection hidden="1"/>
    </xf>
    <xf numFmtId="4" fontId="17" fillId="3" borderId="16" xfId="0" applyNumberFormat="1" applyFont="1" applyFill="1" applyBorder="1" applyAlignment="1" applyProtection="1">
      <alignment horizontal="right" vertical="center" indent="1"/>
      <protection hidden="1"/>
    </xf>
    <xf numFmtId="4" fontId="17" fillId="3" borderId="17" xfId="0" applyNumberFormat="1" applyFont="1" applyFill="1" applyBorder="1" applyAlignment="1" applyProtection="1">
      <alignment horizontal="right" vertical="center" indent="1"/>
      <protection hidden="1"/>
    </xf>
    <xf numFmtId="4" fontId="17" fillId="3" borderId="18" xfId="0" applyNumberFormat="1" applyFont="1" applyFill="1" applyBorder="1" applyAlignment="1" applyProtection="1">
      <alignment horizontal="right" vertical="center" indent="1"/>
      <protection hidden="1"/>
    </xf>
    <xf numFmtId="0" fontId="8" fillId="3" borderId="18" xfId="0" applyFont="1" applyFill="1" applyBorder="1" applyAlignment="1" applyProtection="1">
      <alignment horizontal="center" vertical="center"/>
      <protection hidden="1"/>
    </xf>
    <xf numFmtId="0" fontId="35" fillId="2" borderId="30" xfId="0" applyFont="1" applyFill="1" applyBorder="1" applyAlignment="1" applyProtection="1">
      <alignment horizontal="center" vertical="center"/>
      <protection hidden="1"/>
    </xf>
    <xf numFmtId="0" fontId="8" fillId="2" borderId="0" xfId="0" applyFont="1" applyFill="1" applyBorder="1" applyAlignment="1" applyProtection="1">
      <alignment horizontal="left" vertical="center" indent="1"/>
      <protection hidden="1"/>
    </xf>
    <xf numFmtId="0" fontId="8" fillId="2" borderId="0" xfId="0" applyFont="1" applyFill="1" applyAlignment="1" applyProtection="1">
      <alignment horizontal="left" vertical="center" indent="1"/>
      <protection hidden="1"/>
    </xf>
    <xf numFmtId="4" fontId="14" fillId="2" borderId="141" xfId="0" applyNumberFormat="1" applyFont="1" applyFill="1" applyBorder="1" applyAlignment="1" applyProtection="1">
      <alignment horizontal="right" vertical="center" indent="1"/>
      <protection hidden="1"/>
    </xf>
    <xf numFmtId="4" fontId="14" fillId="2" borderId="133" xfId="0" applyNumberFormat="1" applyFont="1" applyFill="1" applyBorder="1" applyAlignment="1" applyProtection="1">
      <alignment horizontal="right" vertical="center" indent="1"/>
      <protection hidden="1"/>
    </xf>
    <xf numFmtId="4" fontId="14" fillId="2" borderId="134" xfId="0" applyNumberFormat="1" applyFont="1" applyFill="1" applyBorder="1" applyAlignment="1" applyProtection="1">
      <alignment horizontal="right" vertical="center" indent="1"/>
      <protection hidden="1"/>
    </xf>
    <xf numFmtId="4" fontId="14" fillId="2" borderId="135" xfId="0" applyNumberFormat="1" applyFont="1" applyFill="1" applyBorder="1" applyAlignment="1" applyProtection="1">
      <alignment horizontal="right" vertical="center" indent="1"/>
      <protection hidden="1"/>
    </xf>
    <xf numFmtId="0" fontId="58" fillId="2" borderId="120" xfId="0" applyFont="1" applyFill="1" applyBorder="1" applyAlignment="1" applyProtection="1">
      <alignment horizontal="center" vertical="center"/>
      <protection hidden="1"/>
    </xf>
    <xf numFmtId="0" fontId="123" fillId="2" borderId="30" xfId="0" applyFont="1" applyFill="1" applyBorder="1" applyAlignment="1" applyProtection="1">
      <alignment horizontal="center" vertical="center"/>
      <protection hidden="1"/>
    </xf>
    <xf numFmtId="0" fontId="124" fillId="4" borderId="16" xfId="0" applyFont="1" applyFill="1" applyBorder="1" applyAlignment="1" applyProtection="1">
      <alignment horizontal="center" vertical="center"/>
      <protection hidden="1"/>
    </xf>
    <xf numFmtId="0" fontId="124" fillId="4" borderId="17" xfId="0" applyFont="1" applyFill="1" applyBorder="1" applyAlignment="1" applyProtection="1">
      <alignment horizontal="center" vertical="center"/>
      <protection hidden="1"/>
    </xf>
    <xf numFmtId="0" fontId="124" fillId="4" borderId="18" xfId="0" applyFont="1" applyFill="1" applyBorder="1" applyAlignment="1" applyProtection="1">
      <alignment horizontal="center" vertical="center"/>
      <protection hidden="1"/>
    </xf>
    <xf numFmtId="0" fontId="8" fillId="2" borderId="23" xfId="0" applyFont="1" applyFill="1" applyBorder="1" applyAlignment="1" applyProtection="1">
      <alignment horizontal="left" vertical="center" indent="1"/>
      <protection hidden="1"/>
    </xf>
    <xf numFmtId="4" fontId="14" fillId="2" borderId="125" xfId="0" applyNumberFormat="1" applyFont="1" applyFill="1" applyBorder="1" applyAlignment="1" applyProtection="1">
      <alignment horizontal="right" vertical="center" indent="1"/>
      <protection hidden="1"/>
    </xf>
    <xf numFmtId="4" fontId="14" fillId="2" borderId="126" xfId="0" applyNumberFormat="1" applyFont="1" applyFill="1" applyBorder="1" applyAlignment="1" applyProtection="1">
      <alignment horizontal="right" vertical="center" indent="1"/>
      <protection hidden="1"/>
    </xf>
    <xf numFmtId="4" fontId="14" fillId="2" borderId="128" xfId="0" applyNumberFormat="1" applyFont="1" applyFill="1" applyBorder="1" applyAlignment="1" applyProtection="1">
      <alignment horizontal="right" vertical="center" indent="1"/>
      <protection hidden="1"/>
    </xf>
    <xf numFmtId="0" fontId="58" fillId="3" borderId="120" xfId="0" applyFont="1" applyFill="1" applyBorder="1" applyAlignment="1" applyProtection="1">
      <alignment horizontal="center" vertical="center"/>
      <protection hidden="1"/>
    </xf>
    <xf numFmtId="0" fontId="87" fillId="2" borderId="0" xfId="0" applyFont="1" applyFill="1" applyAlignment="1" applyProtection="1">
      <alignment horizontal="center" vertical="center"/>
      <protection hidden="1"/>
    </xf>
    <xf numFmtId="0" fontId="35" fillId="2" borderId="0" xfId="0" applyFont="1" applyFill="1" applyAlignment="1" applyProtection="1">
      <alignment horizontal="center" vertical="center"/>
      <protection hidden="1"/>
    </xf>
    <xf numFmtId="0" fontId="17" fillId="2" borderId="83" xfId="0" applyFont="1" applyFill="1" applyBorder="1" applyAlignment="1" applyProtection="1">
      <alignment horizontal="center"/>
      <protection hidden="1"/>
    </xf>
    <xf numFmtId="0" fontId="0" fillId="0" borderId="17" xfId="0" applyBorder="1" applyProtection="1">
      <protection hidden="1"/>
    </xf>
    <xf numFmtId="0" fontId="0" fillId="0" borderId="18" xfId="0" applyBorder="1" applyProtection="1">
      <protection hidden="1"/>
    </xf>
    <xf numFmtId="0" fontId="17" fillId="2" borderId="16" xfId="0" applyFont="1" applyFill="1" applyBorder="1" applyAlignment="1" applyProtection="1">
      <alignment horizontal="center" vertical="center"/>
      <protection hidden="1"/>
    </xf>
    <xf numFmtId="0" fontId="17" fillId="2" borderId="17" xfId="0" applyFont="1" applyFill="1" applyBorder="1" applyAlignment="1" applyProtection="1">
      <alignment horizontal="center" vertical="center"/>
      <protection hidden="1"/>
    </xf>
    <xf numFmtId="167" fontId="35" fillId="2" borderId="17" xfId="0" applyNumberFormat="1" applyFont="1" applyFill="1" applyBorder="1" applyAlignment="1" applyProtection="1">
      <alignment horizontal="center" vertical="center"/>
      <protection hidden="1"/>
    </xf>
    <xf numFmtId="0" fontId="85" fillId="2" borderId="7" xfId="0" applyNumberFormat="1" applyFont="1" applyFill="1" applyBorder="1" applyAlignment="1" applyProtection="1">
      <alignment horizontal="left" vertical="center"/>
      <protection hidden="1"/>
    </xf>
    <xf numFmtId="166" fontId="67" fillId="4" borderId="50" xfId="0" applyNumberFormat="1" applyFont="1" applyFill="1" applyBorder="1" applyAlignment="1" applyProtection="1">
      <alignment horizontal="center" vertical="center"/>
      <protection locked="0"/>
    </xf>
    <xf numFmtId="2" fontId="8" fillId="2" borderId="16" xfId="0" applyNumberFormat="1" applyFont="1" applyFill="1" applyBorder="1" applyAlignment="1" applyProtection="1">
      <alignment horizontal="center" vertical="center"/>
      <protection hidden="1"/>
    </xf>
    <xf numFmtId="2" fontId="8" fillId="2" borderId="17" xfId="0" applyNumberFormat="1" applyFont="1" applyFill="1" applyBorder="1" applyAlignment="1" applyProtection="1">
      <alignment horizontal="center" vertical="center"/>
      <protection hidden="1"/>
    </xf>
    <xf numFmtId="2" fontId="8" fillId="2" borderId="18" xfId="0" applyNumberFormat="1" applyFont="1" applyFill="1" applyBorder="1" applyAlignment="1" applyProtection="1">
      <alignment horizontal="center" vertical="center"/>
      <protection hidden="1"/>
    </xf>
    <xf numFmtId="0" fontId="17" fillId="2" borderId="29" xfId="0" applyFont="1" applyFill="1" applyBorder="1" applyAlignment="1" applyProtection="1">
      <alignment horizontal="left" vertical="top" indent="1"/>
      <protection hidden="1"/>
    </xf>
    <xf numFmtId="0" fontId="17" fillId="2" borderId="30" xfId="0" applyFont="1" applyFill="1" applyBorder="1" applyAlignment="1" applyProtection="1">
      <alignment horizontal="left" vertical="top" indent="1"/>
      <protection hidden="1"/>
    </xf>
    <xf numFmtId="0" fontId="17" fillId="2" borderId="31" xfId="0" applyFont="1" applyFill="1" applyBorder="1" applyAlignment="1" applyProtection="1">
      <alignment horizontal="left" vertical="top" indent="1"/>
      <protection hidden="1"/>
    </xf>
    <xf numFmtId="0" fontId="97" fillId="2" borderId="0" xfId="0" applyFont="1" applyFill="1" applyBorder="1" applyAlignment="1" applyProtection="1">
      <alignment horizontal="center" vertical="center"/>
      <protection hidden="1"/>
    </xf>
    <xf numFmtId="0" fontId="18" fillId="2" borderId="0" xfId="0" applyNumberFormat="1" applyFont="1" applyFill="1" applyAlignment="1" applyProtection="1">
      <alignment horizontal="center" vertical="center"/>
      <protection hidden="1"/>
    </xf>
    <xf numFmtId="0" fontId="8" fillId="2" borderId="0" xfId="0" applyNumberFormat="1" applyFont="1" applyFill="1" applyAlignment="1" applyProtection="1">
      <alignment horizontal="center" vertical="center"/>
      <protection hidden="1"/>
    </xf>
    <xf numFmtId="0" fontId="8" fillId="2" borderId="1" xfId="0" applyFont="1" applyFill="1" applyBorder="1" applyAlignment="1" applyProtection="1">
      <alignment horizontal="left" vertical="center" indent="2"/>
      <protection hidden="1"/>
    </xf>
    <xf numFmtId="0" fontId="0" fillId="0" borderId="0" xfId="0" applyAlignment="1" applyProtection="1">
      <alignment horizontal="left" indent="2"/>
      <protection hidden="1"/>
    </xf>
    <xf numFmtId="0" fontId="85" fillId="2" borderId="0" xfId="0" applyFont="1" applyFill="1" applyBorder="1" applyAlignment="1" applyProtection="1">
      <alignment horizontal="center"/>
      <protection hidden="1"/>
    </xf>
    <xf numFmtId="0" fontId="74" fillId="2" borderId="5" xfId="0" applyFont="1" applyFill="1" applyBorder="1" applyAlignment="1" applyProtection="1">
      <alignment horizontal="center" vertical="center"/>
      <protection locked="0"/>
    </xf>
    <xf numFmtId="0" fontId="74" fillId="2" borderId="74" xfId="0" applyFont="1" applyFill="1" applyBorder="1" applyAlignment="1" applyProtection="1">
      <alignment horizontal="center" vertical="center"/>
      <protection locked="0"/>
    </xf>
    <xf numFmtId="0" fontId="74" fillId="2" borderId="50" xfId="0" applyFont="1" applyFill="1" applyBorder="1" applyAlignment="1" applyProtection="1">
      <alignment horizontal="center" vertical="center"/>
      <protection locked="0"/>
    </xf>
    <xf numFmtId="0" fontId="18" fillId="2" borderId="36" xfId="0" applyNumberFormat="1" applyFont="1" applyFill="1" applyBorder="1" applyAlignment="1" applyProtection="1">
      <alignment horizontal="center"/>
      <protection hidden="1"/>
    </xf>
    <xf numFmtId="0" fontId="18" fillId="2" borderId="4" xfId="0" applyNumberFormat="1" applyFont="1" applyFill="1" applyBorder="1" applyAlignment="1" applyProtection="1">
      <alignment horizontal="center"/>
      <protection hidden="1"/>
    </xf>
    <xf numFmtId="0" fontId="18" fillId="2" borderId="24" xfId="0" applyNumberFormat="1" applyFont="1" applyFill="1" applyBorder="1" applyAlignment="1" applyProtection="1">
      <alignment horizontal="center"/>
      <protection hidden="1"/>
    </xf>
    <xf numFmtId="0" fontId="144" fillId="2" borderId="0" xfId="0" applyFont="1" applyFill="1" applyAlignment="1" applyProtection="1">
      <alignment horizontal="left"/>
      <protection hidden="1"/>
    </xf>
    <xf numFmtId="0" fontId="67" fillId="4" borderId="51" xfId="0" applyNumberFormat="1" applyFont="1" applyFill="1" applyBorder="1" applyAlignment="1" applyProtection="1">
      <alignment horizontal="center" vertical="center" wrapText="1"/>
      <protection locked="0"/>
    </xf>
    <xf numFmtId="0" fontId="67" fillId="4" borderId="85" xfId="0" applyNumberFormat="1" applyFont="1" applyFill="1" applyBorder="1" applyAlignment="1" applyProtection="1">
      <alignment horizontal="center" vertical="center" wrapText="1"/>
      <protection locked="0"/>
    </xf>
    <xf numFmtId="0" fontId="18" fillId="2" borderId="1" xfId="0" applyNumberFormat="1" applyFont="1" applyFill="1" applyBorder="1" applyAlignment="1" applyProtection="1">
      <alignment horizontal="center" vertical="top"/>
      <protection hidden="1"/>
    </xf>
    <xf numFmtId="0" fontId="18" fillId="2" borderId="0" xfId="0" applyNumberFormat="1" applyFont="1" applyFill="1" applyBorder="1" applyAlignment="1" applyProtection="1">
      <alignment horizontal="center" vertical="top"/>
      <protection hidden="1"/>
    </xf>
    <xf numFmtId="0" fontId="18" fillId="2" borderId="22" xfId="0" applyNumberFormat="1" applyFont="1" applyFill="1" applyBorder="1" applyAlignment="1" applyProtection="1">
      <alignment horizontal="center" vertical="top"/>
      <protection hidden="1"/>
    </xf>
    <xf numFmtId="0" fontId="102" fillId="2" borderId="4" xfId="0" applyFont="1" applyFill="1" applyBorder="1" applyAlignment="1" applyProtection="1">
      <alignment horizontal="center"/>
      <protection hidden="1"/>
    </xf>
    <xf numFmtId="166" fontId="67" fillId="2" borderId="30" xfId="0" applyNumberFormat="1" applyFont="1" applyFill="1" applyBorder="1" applyAlignment="1" applyProtection="1">
      <alignment horizontal="right" vertical="center"/>
      <protection locked="0"/>
    </xf>
    <xf numFmtId="166" fontId="67" fillId="4" borderId="51" xfId="0" applyNumberFormat="1" applyFont="1" applyFill="1" applyBorder="1" applyAlignment="1" applyProtection="1">
      <alignment horizontal="left" vertical="center" wrapText="1"/>
      <protection locked="0"/>
    </xf>
    <xf numFmtId="166" fontId="67" fillId="4" borderId="74" xfId="0" applyNumberFormat="1" applyFont="1" applyFill="1" applyBorder="1" applyAlignment="1" applyProtection="1">
      <alignment horizontal="left" vertical="center" wrapText="1"/>
      <protection locked="0"/>
    </xf>
    <xf numFmtId="166" fontId="67" fillId="4" borderId="50" xfId="0" applyNumberFormat="1" applyFont="1" applyFill="1" applyBorder="1" applyAlignment="1" applyProtection="1">
      <alignment horizontal="left" vertical="center" wrapText="1"/>
      <protection locked="0"/>
    </xf>
    <xf numFmtId="166" fontId="17" fillId="2" borderId="7" xfId="0" applyNumberFormat="1" applyFont="1" applyFill="1" applyBorder="1" applyAlignment="1" applyProtection="1">
      <alignment horizontal="left" vertical="center"/>
      <protection hidden="1"/>
    </xf>
    <xf numFmtId="0" fontId="68" fillId="2" borderId="7" xfId="0" applyNumberFormat="1" applyFont="1" applyFill="1" applyBorder="1" applyAlignment="1" applyProtection="1">
      <alignment horizontal="center" vertical="center"/>
      <protection locked="0"/>
    </xf>
    <xf numFmtId="0" fontId="74" fillId="2" borderId="51" xfId="0" applyFont="1" applyFill="1" applyBorder="1" applyAlignment="1" applyProtection="1">
      <alignment horizontal="center" vertical="center"/>
      <protection locked="0"/>
    </xf>
    <xf numFmtId="0" fontId="74" fillId="2" borderId="85" xfId="0" applyFont="1" applyFill="1" applyBorder="1" applyAlignment="1" applyProtection="1">
      <alignment horizontal="center" vertical="center"/>
      <protection locked="0"/>
    </xf>
    <xf numFmtId="0" fontId="102" fillId="2" borderId="0" xfId="0" applyFont="1" applyFill="1" applyBorder="1" applyAlignment="1" applyProtection="1">
      <alignment horizontal="center"/>
      <protection hidden="1"/>
    </xf>
    <xf numFmtId="0" fontId="35" fillId="2" borderId="0" xfId="0" applyFont="1" applyFill="1" applyBorder="1" applyAlignment="1" applyProtection="1">
      <alignment horizontal="right" vertical="center" indent="1"/>
      <protection hidden="1"/>
    </xf>
    <xf numFmtId="0" fontId="70" fillId="2" borderId="0" xfId="0" applyNumberFormat="1" applyFont="1" applyFill="1" applyBorder="1" applyAlignment="1" applyProtection="1">
      <alignment horizontal="center" vertical="top"/>
      <protection hidden="1"/>
    </xf>
    <xf numFmtId="167" fontId="68" fillId="3" borderId="60" xfId="0" applyNumberFormat="1" applyFont="1" applyFill="1" applyBorder="1" applyAlignment="1" applyProtection="1">
      <alignment horizontal="center" vertical="center"/>
      <protection locked="0"/>
    </xf>
    <xf numFmtId="167" fontId="68" fillId="3" borderId="63" xfId="0" applyNumberFormat="1" applyFont="1" applyFill="1" applyBorder="1" applyAlignment="1" applyProtection="1">
      <alignment horizontal="center" vertical="center"/>
      <protection locked="0"/>
    </xf>
    <xf numFmtId="0" fontId="18" fillId="2" borderId="23" xfId="0" applyNumberFormat="1" applyFont="1" applyFill="1" applyBorder="1" applyAlignment="1" applyProtection="1">
      <alignment horizontal="center" vertical="top"/>
      <protection hidden="1"/>
    </xf>
    <xf numFmtId="0" fontId="18" fillId="2" borderId="37" xfId="0" applyNumberFormat="1" applyFont="1" applyFill="1" applyBorder="1" applyAlignment="1" applyProtection="1">
      <alignment horizontal="center" vertical="top"/>
      <protection hidden="1"/>
    </xf>
    <xf numFmtId="168" fontId="81" fillId="2" borderId="136" xfId="0" applyNumberFormat="1" applyFont="1" applyFill="1" applyBorder="1" applyAlignment="1" applyProtection="1">
      <alignment horizontal="center" vertical="center"/>
      <protection hidden="1"/>
    </xf>
    <xf numFmtId="168" fontId="67" fillId="2" borderId="17" xfId="0" applyNumberFormat="1" applyFont="1" applyFill="1" applyBorder="1" applyAlignment="1" applyProtection="1">
      <alignment horizontal="right" vertical="center"/>
      <protection hidden="1"/>
    </xf>
    <xf numFmtId="0" fontId="48" fillId="2" borderId="143" xfId="0" applyFont="1" applyFill="1" applyBorder="1" applyAlignment="1" applyProtection="1">
      <alignment horizontal="center" vertical="center"/>
      <protection locked="0"/>
    </xf>
    <xf numFmtId="0" fontId="48" fillId="2" borderId="151" xfId="0" applyFont="1" applyFill="1" applyBorder="1" applyAlignment="1" applyProtection="1">
      <alignment horizontal="center" vertical="center"/>
      <protection locked="0"/>
    </xf>
    <xf numFmtId="0" fontId="68" fillId="2" borderId="0" xfId="0" applyNumberFormat="1" applyFont="1" applyFill="1" applyBorder="1" applyAlignment="1" applyProtection="1">
      <alignment horizontal="center" vertical="center"/>
      <protection hidden="1"/>
    </xf>
    <xf numFmtId="0" fontId="67" fillId="2" borderId="129" xfId="0" applyFont="1" applyFill="1" applyBorder="1" applyAlignment="1" applyProtection="1">
      <alignment horizontal="center" vertical="center"/>
      <protection hidden="1"/>
    </xf>
    <xf numFmtId="0" fontId="67" fillId="2" borderId="63" xfId="0" applyFont="1" applyFill="1" applyBorder="1" applyAlignment="1" applyProtection="1">
      <alignment horizontal="center" vertical="center"/>
      <protection hidden="1"/>
    </xf>
    <xf numFmtId="0" fontId="67" fillId="2" borderId="67" xfId="0" applyFont="1" applyFill="1" applyBorder="1" applyAlignment="1" applyProtection="1">
      <alignment horizontal="center" vertical="center"/>
      <protection locked="0"/>
    </xf>
    <xf numFmtId="0" fontId="67" fillId="2" borderId="65" xfId="0" applyFont="1" applyFill="1" applyBorder="1" applyAlignment="1" applyProtection="1">
      <alignment horizontal="center" vertical="center"/>
      <protection locked="0"/>
    </xf>
    <xf numFmtId="0" fontId="68" fillId="3" borderId="5" xfId="0" applyFont="1" applyFill="1" applyBorder="1" applyAlignment="1" applyProtection="1">
      <alignment horizontal="center" vertical="center"/>
      <protection locked="0"/>
    </xf>
    <xf numFmtId="0" fontId="68" fillId="3" borderId="74" xfId="0" applyFont="1" applyFill="1" applyBorder="1" applyAlignment="1" applyProtection="1">
      <alignment horizontal="center" vertical="center"/>
      <protection locked="0"/>
    </xf>
    <xf numFmtId="0" fontId="68" fillId="3" borderId="85" xfId="0" applyFont="1" applyFill="1" applyBorder="1" applyAlignment="1" applyProtection="1">
      <alignment horizontal="center" vertical="center"/>
      <protection locked="0"/>
    </xf>
    <xf numFmtId="0" fontId="70" fillId="2" borderId="0" xfId="0" applyNumberFormat="1" applyFont="1" applyFill="1" applyAlignment="1" applyProtection="1">
      <alignment horizontal="center"/>
      <protection locked="0"/>
    </xf>
    <xf numFmtId="0" fontId="68" fillId="2" borderId="0" xfId="0" applyNumberFormat="1" applyFont="1" applyFill="1" applyBorder="1" applyAlignment="1" applyProtection="1">
      <alignment horizontal="left" vertical="center"/>
      <protection hidden="1"/>
    </xf>
    <xf numFmtId="0" fontId="68" fillId="2" borderId="0" xfId="0" applyFont="1" applyFill="1" applyAlignment="1" applyProtection="1">
      <alignment horizontal="right" vertical="center" indent="1"/>
      <protection hidden="1"/>
    </xf>
    <xf numFmtId="0" fontId="68" fillId="2" borderId="22" xfId="0" applyFont="1" applyFill="1" applyBorder="1" applyAlignment="1" applyProtection="1">
      <alignment horizontal="right" vertical="center" indent="1"/>
      <protection hidden="1"/>
    </xf>
    <xf numFmtId="166" fontId="133" fillId="2" borderId="0" xfId="0" applyNumberFormat="1" applyFont="1" applyFill="1" applyBorder="1" applyAlignment="1" applyProtection="1">
      <alignment horizontal="right" vertical="center"/>
      <protection hidden="1"/>
    </xf>
    <xf numFmtId="0" fontId="70" fillId="2" borderId="0" xfId="0" applyNumberFormat="1" applyFont="1" applyFill="1" applyAlignment="1" applyProtection="1">
      <alignment horizontal="center"/>
      <protection hidden="1"/>
    </xf>
    <xf numFmtId="0" fontId="137" fillId="2" borderId="4" xfId="0" applyFont="1" applyFill="1" applyBorder="1" applyAlignment="1" applyProtection="1">
      <alignment horizontal="center" vertical="center"/>
      <protection hidden="1"/>
    </xf>
    <xf numFmtId="0" fontId="69" fillId="2" borderId="0" xfId="0" applyFont="1" applyFill="1" applyAlignment="1" applyProtection="1">
      <alignment horizontal="left" vertical="center" indent="1"/>
      <protection hidden="1"/>
    </xf>
    <xf numFmtId="0" fontId="111" fillId="2" borderId="0" xfId="0" applyNumberFormat="1" applyFont="1" applyFill="1" applyBorder="1" applyAlignment="1" applyProtection="1">
      <alignment horizontal="center" vertical="center"/>
      <protection hidden="1"/>
    </xf>
    <xf numFmtId="0" fontId="19" fillId="2" borderId="7" xfId="0" applyFont="1" applyFill="1" applyBorder="1" applyAlignment="1" applyProtection="1">
      <alignment horizontal="center"/>
      <protection hidden="1"/>
    </xf>
    <xf numFmtId="0" fontId="18" fillId="2" borderId="40" xfId="0" applyNumberFormat="1" applyFont="1" applyFill="1" applyBorder="1" applyAlignment="1" applyProtection="1">
      <alignment horizontal="center"/>
      <protection hidden="1"/>
    </xf>
    <xf numFmtId="0" fontId="18" fillId="2" borderId="92" xfId="0" applyNumberFormat="1" applyFont="1" applyFill="1" applyBorder="1" applyAlignment="1" applyProtection="1">
      <alignment horizontal="center"/>
      <protection hidden="1"/>
    </xf>
    <xf numFmtId="0" fontId="17" fillId="2" borderId="0" xfId="0" applyFont="1" applyFill="1" applyBorder="1" applyAlignment="1" applyProtection="1">
      <alignment horizontal="left" vertical="center" indent="1"/>
      <protection hidden="1"/>
    </xf>
    <xf numFmtId="0" fontId="17" fillId="2" borderId="22" xfId="0" applyFont="1" applyFill="1" applyBorder="1" applyAlignment="1" applyProtection="1">
      <alignment horizontal="left" vertical="center" indent="1"/>
      <protection hidden="1"/>
    </xf>
    <xf numFmtId="0" fontId="17" fillId="2" borderId="16" xfId="0" applyFont="1" applyFill="1" applyBorder="1" applyAlignment="1" applyProtection="1">
      <alignment horizontal="left" vertical="top" indent="1"/>
      <protection hidden="1"/>
    </xf>
    <xf numFmtId="0" fontId="17" fillId="2" borderId="17" xfId="0" applyFont="1" applyFill="1" applyBorder="1" applyAlignment="1" applyProtection="1">
      <alignment horizontal="left" vertical="top" indent="1"/>
      <protection hidden="1"/>
    </xf>
    <xf numFmtId="0" fontId="17" fillId="2" borderId="18" xfId="0" applyFont="1" applyFill="1" applyBorder="1" applyAlignment="1" applyProtection="1">
      <alignment horizontal="left" vertical="top" indent="1"/>
      <protection hidden="1"/>
    </xf>
    <xf numFmtId="0" fontId="17" fillId="2" borderId="0" xfId="0" applyFont="1" applyFill="1" applyBorder="1" applyAlignment="1" applyProtection="1">
      <alignment horizontal="center"/>
      <protection hidden="1"/>
    </xf>
    <xf numFmtId="0" fontId="35" fillId="3" borderId="23" xfId="0" applyFont="1" applyFill="1" applyBorder="1" applyAlignment="1" applyProtection="1">
      <alignment horizontal="left" vertical="center" indent="1"/>
      <protection hidden="1"/>
    </xf>
    <xf numFmtId="0" fontId="35" fillId="3" borderId="0" xfId="0" applyFont="1" applyFill="1" applyBorder="1" applyAlignment="1" applyProtection="1">
      <alignment horizontal="left" vertical="center" indent="1"/>
      <protection hidden="1"/>
    </xf>
    <xf numFmtId="0" fontId="35" fillId="3" borderId="22" xfId="0" applyFont="1" applyFill="1" applyBorder="1" applyAlignment="1" applyProtection="1">
      <alignment horizontal="left" vertical="center" indent="1"/>
      <protection hidden="1"/>
    </xf>
    <xf numFmtId="0" fontId="17" fillId="2" borderId="67" xfId="0" applyFont="1" applyFill="1" applyBorder="1" applyAlignment="1" applyProtection="1">
      <alignment horizontal="left" vertical="center" indent="1"/>
      <protection hidden="1"/>
    </xf>
    <xf numFmtId="0" fontId="17" fillId="2" borderId="68" xfId="0" applyFont="1" applyFill="1" applyBorder="1" applyAlignment="1" applyProtection="1">
      <alignment horizontal="left" vertical="center" indent="1"/>
      <protection hidden="1"/>
    </xf>
    <xf numFmtId="0" fontId="17" fillId="2" borderId="65" xfId="0" applyFont="1" applyFill="1" applyBorder="1" applyAlignment="1" applyProtection="1">
      <alignment horizontal="left" vertical="center" indent="1"/>
      <protection hidden="1"/>
    </xf>
    <xf numFmtId="0" fontId="17" fillId="2" borderId="40" xfId="0" applyFont="1" applyFill="1" applyBorder="1" applyAlignment="1" applyProtection="1">
      <alignment horizontal="left" vertical="center" indent="1"/>
      <protection hidden="1"/>
    </xf>
    <xf numFmtId="0" fontId="17" fillId="2" borderId="4" xfId="0" applyFont="1" applyFill="1" applyBorder="1" applyAlignment="1" applyProtection="1">
      <alignment horizontal="left" vertical="center" indent="1"/>
      <protection hidden="1"/>
    </xf>
    <xf numFmtId="0" fontId="17" fillId="2" borderId="24" xfId="0" applyFont="1" applyFill="1" applyBorder="1" applyAlignment="1" applyProtection="1">
      <alignment horizontal="left" vertical="center" indent="1"/>
      <protection hidden="1"/>
    </xf>
    <xf numFmtId="0" fontId="17" fillId="2" borderId="7" xfId="0" applyFont="1" applyFill="1" applyBorder="1" applyAlignment="1" applyProtection="1">
      <alignment horizontal="left" vertical="center" indent="1"/>
      <protection hidden="1"/>
    </xf>
    <xf numFmtId="0" fontId="17" fillId="2" borderId="3" xfId="0" applyFont="1" applyFill="1" applyBorder="1" applyAlignment="1" applyProtection="1">
      <alignment horizontal="left" vertical="center" indent="1"/>
      <protection hidden="1"/>
    </xf>
    <xf numFmtId="0" fontId="17" fillId="2" borderId="30" xfId="0" applyFont="1" applyFill="1" applyBorder="1" applyAlignment="1" applyProtection="1">
      <alignment horizontal="center" vertical="top"/>
      <protection hidden="1"/>
    </xf>
    <xf numFmtId="167" fontId="48" fillId="2" borderId="18" xfId="0" applyNumberFormat="1" applyFont="1" applyFill="1" applyBorder="1" applyAlignment="1" applyProtection="1">
      <alignment horizontal="center" vertical="center"/>
      <protection hidden="1"/>
    </xf>
    <xf numFmtId="0" fontId="35" fillId="2" borderId="0" xfId="0" applyFont="1" applyFill="1" applyBorder="1" applyAlignment="1" applyProtection="1">
      <alignment horizontal="left" vertical="center" indent="1"/>
      <protection hidden="1"/>
    </xf>
    <xf numFmtId="0" fontId="35" fillId="2" borderId="0" xfId="0" applyFont="1" applyFill="1" applyAlignment="1" applyProtection="1">
      <alignment horizontal="left" vertical="center" indent="1"/>
      <protection hidden="1"/>
    </xf>
    <xf numFmtId="168" fontId="67" fillId="2" borderId="2" xfId="0" applyNumberFormat="1" applyFont="1" applyFill="1" applyBorder="1" applyAlignment="1" applyProtection="1">
      <alignment horizontal="right" vertical="top"/>
      <protection hidden="1"/>
    </xf>
    <xf numFmtId="168" fontId="67" fillId="2" borderId="7" xfId="0" applyNumberFormat="1" applyFont="1" applyFill="1" applyBorder="1" applyAlignment="1" applyProtection="1">
      <alignment horizontal="right" vertical="top"/>
      <protection hidden="1"/>
    </xf>
    <xf numFmtId="168" fontId="67" fillId="2" borderId="3" xfId="0" applyNumberFormat="1" applyFont="1" applyFill="1" applyBorder="1" applyAlignment="1" applyProtection="1">
      <alignment horizontal="right" vertical="top"/>
      <protection hidden="1"/>
    </xf>
    <xf numFmtId="0" fontId="17" fillId="2" borderId="28" xfId="0" applyFont="1" applyFill="1" applyBorder="1" applyAlignment="1" applyProtection="1">
      <alignment horizontal="left" indent="1"/>
      <protection hidden="1"/>
    </xf>
    <xf numFmtId="0" fontId="17" fillId="2" borderId="83" xfId="0" applyFont="1" applyFill="1" applyBorder="1" applyAlignment="1" applyProtection="1">
      <alignment horizontal="left" indent="1"/>
      <protection hidden="1"/>
    </xf>
    <xf numFmtId="0" fontId="17" fillId="2" borderId="39" xfId="0" applyFont="1" applyFill="1" applyBorder="1" applyAlignment="1" applyProtection="1">
      <alignment horizontal="left" indent="1"/>
      <protection hidden="1"/>
    </xf>
    <xf numFmtId="0" fontId="85" fillId="2" borderId="60" xfId="0" applyFont="1" applyFill="1" applyBorder="1" applyAlignment="1" applyProtection="1">
      <alignment horizontal="center" vertical="center"/>
      <protection hidden="1"/>
    </xf>
    <xf numFmtId="0" fontId="85" fillId="2" borderId="88" xfId="0" applyFont="1" applyFill="1" applyBorder="1" applyAlignment="1" applyProtection="1">
      <alignment horizontal="center" vertical="center"/>
      <protection hidden="1"/>
    </xf>
    <xf numFmtId="0" fontId="85" fillId="2" borderId="63" xfId="0" applyFont="1" applyFill="1" applyBorder="1" applyAlignment="1" applyProtection="1">
      <alignment horizontal="center" vertical="center"/>
      <protection hidden="1"/>
    </xf>
    <xf numFmtId="0" fontId="18" fillId="2" borderId="124" xfId="0" applyNumberFormat="1" applyFont="1" applyFill="1" applyBorder="1" applyAlignment="1" applyProtection="1">
      <alignment horizontal="center" vertical="center"/>
      <protection hidden="1"/>
    </xf>
    <xf numFmtId="0" fontId="18" fillId="2" borderId="7" xfId="0" applyNumberFormat="1" applyFont="1" applyFill="1" applyBorder="1" applyAlignment="1" applyProtection="1">
      <alignment horizontal="center" vertical="center"/>
      <protection hidden="1"/>
    </xf>
    <xf numFmtId="0" fontId="18" fillId="2" borderId="3" xfId="0" applyNumberFormat="1" applyFont="1" applyFill="1" applyBorder="1" applyAlignment="1" applyProtection="1">
      <alignment horizontal="center" vertical="center"/>
      <protection hidden="1"/>
    </xf>
    <xf numFmtId="0" fontId="19" fillId="3" borderId="61" xfId="0" applyFont="1" applyFill="1" applyBorder="1" applyAlignment="1" applyProtection="1">
      <alignment horizontal="center" vertical="center"/>
      <protection locked="0"/>
    </xf>
    <xf numFmtId="0" fontId="19" fillId="3" borderId="17" xfId="0" applyFont="1" applyFill="1" applyBorder="1" applyAlignment="1" applyProtection="1">
      <alignment horizontal="center" vertical="center"/>
      <protection locked="0"/>
    </xf>
    <xf numFmtId="0" fontId="19" fillId="3" borderId="64" xfId="0" applyFont="1" applyFill="1" applyBorder="1" applyAlignment="1" applyProtection="1">
      <alignment horizontal="center" vertical="center"/>
      <protection locked="0"/>
    </xf>
    <xf numFmtId="0" fontId="19" fillId="3" borderId="7" xfId="0" applyFont="1" applyFill="1" applyBorder="1" applyAlignment="1" applyProtection="1">
      <alignment horizontal="center" vertical="center"/>
      <protection hidden="1"/>
    </xf>
    <xf numFmtId="0" fontId="19" fillId="3" borderId="3" xfId="0" applyFont="1" applyFill="1" applyBorder="1" applyAlignment="1" applyProtection="1">
      <alignment horizontal="center" vertical="center"/>
      <protection hidden="1"/>
    </xf>
    <xf numFmtId="0" fontId="19" fillId="3" borderId="2" xfId="0" applyFont="1" applyFill="1" applyBorder="1" applyAlignment="1" applyProtection="1">
      <alignment horizontal="center" vertical="center"/>
      <protection hidden="1"/>
    </xf>
    <xf numFmtId="0" fontId="19" fillId="3" borderId="123" xfId="0" applyFont="1" applyFill="1" applyBorder="1" applyAlignment="1" applyProtection="1">
      <alignment horizontal="center" vertical="center"/>
      <protection hidden="1"/>
    </xf>
    <xf numFmtId="166" fontId="68" fillId="2" borderId="0" xfId="0" applyNumberFormat="1" applyFont="1" applyFill="1" applyBorder="1" applyAlignment="1" applyProtection="1">
      <alignment horizontal="center" vertical="top"/>
      <protection hidden="1"/>
    </xf>
    <xf numFmtId="0" fontId="18" fillId="2" borderId="123" xfId="0" applyNumberFormat="1" applyFont="1" applyFill="1" applyBorder="1" applyAlignment="1" applyProtection="1">
      <alignment horizontal="center" vertical="center"/>
      <protection hidden="1"/>
    </xf>
    <xf numFmtId="0" fontId="133" fillId="2" borderId="4" xfId="0" applyFont="1" applyFill="1" applyBorder="1" applyAlignment="1" applyProtection="1">
      <alignment horizontal="center" vertical="center"/>
      <protection hidden="1"/>
    </xf>
    <xf numFmtId="0" fontId="78" fillId="2" borderId="7" xfId="0" applyFont="1" applyFill="1" applyBorder="1" applyAlignment="1" applyProtection="1">
      <alignment horizontal="center" vertical="top"/>
      <protection hidden="1"/>
    </xf>
    <xf numFmtId="0" fontId="78" fillId="2" borderId="0" xfId="0" applyFont="1" applyFill="1" applyBorder="1" applyAlignment="1" applyProtection="1">
      <alignment horizontal="center" vertical="top"/>
      <protection hidden="1"/>
    </xf>
    <xf numFmtId="0" fontId="70" fillId="2" borderId="0" xfId="0" applyNumberFormat="1" applyFont="1" applyFill="1" applyAlignment="1" applyProtection="1">
      <alignment horizontal="center" vertical="center"/>
      <protection hidden="1"/>
    </xf>
    <xf numFmtId="0" fontId="78" fillId="2" borderId="0" xfId="0" applyFont="1" applyFill="1" applyAlignment="1" applyProtection="1">
      <alignment horizontal="center" vertical="top"/>
      <protection hidden="1"/>
    </xf>
    <xf numFmtId="168" fontId="67" fillId="2" borderId="30" xfId="0" applyNumberFormat="1" applyFont="1" applyFill="1" applyBorder="1" applyAlignment="1" applyProtection="1">
      <alignment horizontal="right" vertical="center"/>
      <protection hidden="1"/>
    </xf>
    <xf numFmtId="0" fontId="35" fillId="2" borderId="40" xfId="0" applyFont="1" applyFill="1" applyBorder="1" applyAlignment="1" applyProtection="1">
      <alignment horizontal="left" vertical="center" indent="1"/>
      <protection hidden="1"/>
    </xf>
    <xf numFmtId="0" fontId="35" fillId="2" borderId="4" xfId="0" applyFont="1" applyFill="1" applyBorder="1" applyAlignment="1" applyProtection="1">
      <alignment horizontal="left" vertical="center" indent="1"/>
      <protection hidden="1"/>
    </xf>
    <xf numFmtId="0" fontId="35" fillId="2" borderId="24" xfId="0" applyFont="1" applyFill="1" applyBorder="1" applyAlignment="1" applyProtection="1">
      <alignment horizontal="left" vertical="center" indent="1"/>
      <protection hidden="1"/>
    </xf>
    <xf numFmtId="0" fontId="67" fillId="2" borderId="73" xfId="0" applyFont="1" applyFill="1" applyBorder="1" applyAlignment="1" applyProtection="1">
      <alignment horizontal="center" vertical="center"/>
      <protection locked="0"/>
    </xf>
    <xf numFmtId="14" fontId="18" fillId="2" borderId="60" xfId="0" applyNumberFormat="1" applyFont="1" applyFill="1" applyBorder="1" applyAlignment="1" applyProtection="1">
      <alignment horizontal="center" vertical="center"/>
      <protection locked="0"/>
    </xf>
    <xf numFmtId="14" fontId="18" fillId="2" borderId="88" xfId="0" applyNumberFormat="1" applyFont="1" applyFill="1" applyBorder="1" applyAlignment="1" applyProtection="1">
      <alignment horizontal="center" vertical="center"/>
      <protection locked="0"/>
    </xf>
    <xf numFmtId="14" fontId="18" fillId="2" borderId="72" xfId="0" applyNumberFormat="1" applyFont="1" applyFill="1" applyBorder="1" applyAlignment="1" applyProtection="1">
      <alignment horizontal="center" vertical="center"/>
      <protection locked="0"/>
    </xf>
    <xf numFmtId="167" fontId="68" fillId="3" borderId="61" xfId="0" applyNumberFormat="1" applyFont="1" applyFill="1" applyBorder="1" applyAlignment="1" applyProtection="1">
      <alignment horizontal="center" vertical="center"/>
      <protection locked="0"/>
    </xf>
    <xf numFmtId="167" fontId="68" fillId="3" borderId="64" xfId="0" applyNumberFormat="1" applyFont="1" applyFill="1" applyBorder="1" applyAlignment="1" applyProtection="1">
      <alignment horizontal="center" vertical="center"/>
      <protection locked="0"/>
    </xf>
    <xf numFmtId="167" fontId="67" fillId="2" borderId="62" xfId="0" applyNumberFormat="1" applyFont="1" applyFill="1" applyBorder="1" applyAlignment="1" applyProtection="1">
      <alignment horizontal="center" vertical="center"/>
      <protection locked="0"/>
    </xf>
    <xf numFmtId="167" fontId="67" fillId="2" borderId="65" xfId="0" applyNumberFormat="1" applyFont="1" applyFill="1" applyBorder="1" applyAlignment="1" applyProtection="1">
      <alignment horizontal="center" vertical="center"/>
      <protection locked="0"/>
    </xf>
    <xf numFmtId="0" fontId="51" fillId="2" borderId="0" xfId="0" applyFont="1" applyFill="1" applyAlignment="1" applyProtection="1">
      <alignment horizontal="right" indent="1"/>
      <protection hidden="1"/>
    </xf>
    <xf numFmtId="0" fontId="51" fillId="2" borderId="22" xfId="0" applyFont="1" applyFill="1" applyBorder="1" applyAlignment="1" applyProtection="1">
      <alignment horizontal="right" indent="1"/>
      <protection hidden="1"/>
    </xf>
    <xf numFmtId="0" fontId="67" fillId="2" borderId="60" xfId="0" applyFont="1" applyFill="1" applyBorder="1" applyAlignment="1" applyProtection="1">
      <alignment horizontal="center" vertical="center"/>
      <protection hidden="1"/>
    </xf>
    <xf numFmtId="0" fontId="67" fillId="2" borderId="72" xfId="0" applyFont="1" applyFill="1" applyBorder="1" applyAlignment="1" applyProtection="1">
      <alignment horizontal="center" vertical="center"/>
      <protection hidden="1"/>
    </xf>
    <xf numFmtId="0" fontId="51" fillId="2" borderId="0" xfId="0" applyFont="1" applyFill="1" applyAlignment="1" applyProtection="1">
      <alignment horizontal="right" vertical="top" indent="1"/>
      <protection hidden="1"/>
    </xf>
    <xf numFmtId="0" fontId="51" fillId="2" borderId="22" xfId="0" applyFont="1" applyFill="1" applyBorder="1" applyAlignment="1" applyProtection="1">
      <alignment horizontal="right" vertical="top" indent="1"/>
      <protection hidden="1"/>
    </xf>
    <xf numFmtId="0" fontId="18" fillId="2" borderId="2" xfId="0" applyNumberFormat="1" applyFont="1" applyFill="1" applyBorder="1" applyAlignment="1" applyProtection="1">
      <alignment horizontal="center" vertical="center"/>
      <protection hidden="1"/>
    </xf>
    <xf numFmtId="0" fontId="0" fillId="0" borderId="7" xfId="0" applyBorder="1" applyProtection="1">
      <protection hidden="1"/>
    </xf>
    <xf numFmtId="0" fontId="0" fillId="0" borderId="123" xfId="0" applyBorder="1" applyProtection="1">
      <protection hidden="1"/>
    </xf>
    <xf numFmtId="0" fontId="19" fillId="2" borderId="0" xfId="0" applyFont="1" applyFill="1" applyBorder="1" applyAlignment="1" applyProtection="1">
      <alignment horizontal="center"/>
      <protection hidden="1"/>
    </xf>
    <xf numFmtId="166" fontId="18" fillId="2" borderId="147" xfId="0" applyNumberFormat="1" applyFont="1" applyFill="1" applyBorder="1" applyAlignment="1" applyProtection="1">
      <alignment horizontal="left" vertical="center"/>
      <protection locked="0"/>
    </xf>
    <xf numFmtId="166" fontId="18" fillId="2" borderId="148" xfId="0" applyNumberFormat="1" applyFont="1" applyFill="1" applyBorder="1" applyAlignment="1" applyProtection="1">
      <alignment horizontal="left" vertical="center"/>
      <protection locked="0"/>
    </xf>
    <xf numFmtId="0" fontId="92" fillId="2" borderId="0" xfId="0" applyFont="1" applyFill="1" applyBorder="1" applyAlignment="1" applyProtection="1">
      <alignment horizontal="right"/>
      <protection hidden="1"/>
    </xf>
    <xf numFmtId="0" fontId="87" fillId="2" borderId="0" xfId="0" applyNumberFormat="1" applyFont="1" applyFill="1" applyAlignment="1" applyProtection="1">
      <alignment horizontal="center" vertical="center"/>
      <protection hidden="1"/>
    </xf>
    <xf numFmtId="0" fontId="18" fillId="3" borderId="149" xfId="0" applyFont="1" applyFill="1" applyBorder="1" applyAlignment="1" applyProtection="1">
      <alignment horizontal="center" vertical="center"/>
      <protection locked="0"/>
    </xf>
    <xf numFmtId="0" fontId="18" fillId="3" borderId="148" xfId="0" applyFont="1" applyFill="1" applyBorder="1" applyAlignment="1" applyProtection="1">
      <alignment horizontal="center" vertical="center"/>
      <protection locked="0"/>
    </xf>
    <xf numFmtId="0" fontId="18" fillId="3" borderId="150" xfId="0" applyFont="1" applyFill="1" applyBorder="1" applyAlignment="1" applyProtection="1">
      <alignment horizontal="center" vertical="center"/>
      <protection locked="0"/>
    </xf>
    <xf numFmtId="0" fontId="79" fillId="2" borderId="0" xfId="0" applyNumberFormat="1" applyFont="1" applyFill="1" applyAlignment="1" applyProtection="1">
      <alignment horizontal="left" vertical="top" indent="2"/>
      <protection hidden="1"/>
    </xf>
    <xf numFmtId="0" fontId="85" fillId="2" borderId="0" xfId="0" applyNumberFormat="1" applyFont="1" applyFill="1" applyAlignment="1" applyProtection="1">
      <alignment horizontal="left" vertical="top" indent="2"/>
      <protection hidden="1"/>
    </xf>
    <xf numFmtId="0" fontId="85" fillId="2" borderId="0" xfId="0" applyNumberFormat="1" applyFont="1" applyFill="1" applyAlignment="1" applyProtection="1">
      <alignment horizontal="left" indent="2"/>
      <protection hidden="1"/>
    </xf>
    <xf numFmtId="0" fontId="18" fillId="3" borderId="1" xfId="0" applyNumberFormat="1" applyFont="1" applyFill="1" applyBorder="1" applyAlignment="1" applyProtection="1">
      <alignment horizontal="center" vertical="center"/>
      <protection locked="0"/>
    </xf>
    <xf numFmtId="0" fontId="18" fillId="3" borderId="0" xfId="0" applyNumberFormat="1" applyFont="1" applyFill="1" applyBorder="1" applyAlignment="1" applyProtection="1">
      <alignment horizontal="center" vertical="center"/>
      <protection locked="0"/>
    </xf>
    <xf numFmtId="0" fontId="18" fillId="3" borderId="22" xfId="0" applyNumberFormat="1" applyFont="1" applyFill="1" applyBorder="1" applyAlignment="1" applyProtection="1">
      <alignment horizontal="center" vertical="center"/>
      <protection locked="0"/>
    </xf>
    <xf numFmtId="0" fontId="18" fillId="3" borderId="36" xfId="0" applyNumberFormat="1" applyFont="1" applyFill="1" applyBorder="1" applyAlignment="1" applyProtection="1">
      <alignment horizontal="center" vertical="center"/>
      <protection hidden="1"/>
    </xf>
    <xf numFmtId="0" fontId="18" fillId="3" borderId="4" xfId="0" applyNumberFormat="1" applyFont="1" applyFill="1" applyBorder="1" applyAlignment="1" applyProtection="1">
      <alignment horizontal="center" vertical="center"/>
      <protection hidden="1"/>
    </xf>
    <xf numFmtId="0" fontId="18" fillId="3" borderId="24" xfId="0" applyNumberFormat="1" applyFont="1" applyFill="1" applyBorder="1" applyAlignment="1" applyProtection="1">
      <alignment horizontal="center" vertical="center"/>
      <protection hidden="1"/>
    </xf>
    <xf numFmtId="0" fontId="70" fillId="2" borderId="7" xfId="0" applyNumberFormat="1" applyFont="1" applyFill="1" applyBorder="1" applyAlignment="1" applyProtection="1">
      <alignment horizontal="center" vertical="center"/>
      <protection hidden="1"/>
    </xf>
    <xf numFmtId="0" fontId="17" fillId="2" borderId="7" xfId="0" applyNumberFormat="1" applyFont="1" applyFill="1" applyBorder="1" applyAlignment="1" applyProtection="1">
      <alignment horizontal="center" vertical="center"/>
      <protection hidden="1"/>
    </xf>
    <xf numFmtId="0" fontId="81" fillId="2" borderId="1" xfId="0" applyFont="1" applyFill="1" applyBorder="1" applyAlignment="1" applyProtection="1">
      <alignment horizontal="left" indent="1"/>
      <protection hidden="1"/>
    </xf>
    <xf numFmtId="0" fontId="81" fillId="2" borderId="0" xfId="0" applyFont="1" applyFill="1" applyAlignment="1" applyProtection="1">
      <alignment horizontal="left" indent="1"/>
      <protection hidden="1"/>
    </xf>
    <xf numFmtId="0" fontId="81" fillId="2" borderId="1" xfId="0" applyFont="1" applyFill="1" applyBorder="1" applyAlignment="1" applyProtection="1">
      <alignment horizontal="left" vertical="top" indent="1"/>
      <protection hidden="1"/>
    </xf>
    <xf numFmtId="0" fontId="69" fillId="2" borderId="0" xfId="0" applyFont="1" applyFill="1" applyAlignment="1" applyProtection="1">
      <alignment horizontal="center" vertical="center"/>
      <protection hidden="1"/>
    </xf>
    <xf numFmtId="168" fontId="67" fillId="2" borderId="5" xfId="0" applyNumberFormat="1" applyFont="1" applyFill="1" applyBorder="1" applyAlignment="1" applyProtection="1">
      <alignment horizontal="right" vertical="center"/>
      <protection hidden="1"/>
    </xf>
    <xf numFmtId="168" fontId="67" fillId="2" borderId="74" xfId="0" applyNumberFormat="1" applyFont="1" applyFill="1" applyBorder="1" applyAlignment="1" applyProtection="1">
      <alignment horizontal="right" vertical="center"/>
      <protection hidden="1"/>
    </xf>
    <xf numFmtId="168" fontId="67" fillId="2" borderId="85" xfId="0" applyNumberFormat="1" applyFont="1" applyFill="1" applyBorder="1" applyAlignment="1" applyProtection="1">
      <alignment horizontal="right" vertical="center"/>
      <protection hidden="1"/>
    </xf>
    <xf numFmtId="168" fontId="67" fillId="2" borderId="36" xfId="0" applyNumberFormat="1" applyFont="1" applyFill="1" applyBorder="1" applyAlignment="1" applyProtection="1">
      <alignment horizontal="right"/>
      <protection hidden="1"/>
    </xf>
    <xf numFmtId="168" fontId="67" fillId="2" borderId="4" xfId="0" applyNumberFormat="1" applyFont="1" applyFill="1" applyBorder="1" applyAlignment="1" applyProtection="1">
      <alignment horizontal="right"/>
      <protection hidden="1"/>
    </xf>
    <xf numFmtId="168" fontId="67" fillId="2" borderId="24" xfId="0" applyNumberFormat="1" applyFont="1" applyFill="1" applyBorder="1" applyAlignment="1" applyProtection="1">
      <alignment horizontal="right"/>
      <protection hidden="1"/>
    </xf>
    <xf numFmtId="14" fontId="18" fillId="2" borderId="129" xfId="0" applyNumberFormat="1" applyFont="1" applyFill="1" applyBorder="1" applyAlignment="1" applyProtection="1">
      <alignment horizontal="center" vertical="center"/>
      <protection locked="0"/>
    </xf>
    <xf numFmtId="14" fontId="18" fillId="2" borderId="63" xfId="0" applyNumberFormat="1" applyFont="1" applyFill="1" applyBorder="1" applyAlignment="1" applyProtection="1">
      <alignment horizontal="center" vertical="center"/>
      <protection locked="0"/>
    </xf>
    <xf numFmtId="0" fontId="67" fillId="3" borderId="2" xfId="0" applyNumberFormat="1" applyFont="1" applyFill="1" applyBorder="1" applyAlignment="1" applyProtection="1">
      <alignment horizontal="center" vertical="center"/>
      <protection hidden="1"/>
    </xf>
    <xf numFmtId="0" fontId="67" fillId="3" borderId="7" xfId="0" applyNumberFormat="1" applyFont="1" applyFill="1" applyBorder="1" applyAlignment="1" applyProtection="1">
      <alignment horizontal="center" vertical="center"/>
      <protection hidden="1"/>
    </xf>
    <xf numFmtId="0" fontId="67" fillId="3" borderId="3" xfId="0" applyNumberFormat="1" applyFont="1" applyFill="1" applyBorder="1" applyAlignment="1" applyProtection="1">
      <alignment horizontal="center" vertical="center"/>
      <protection hidden="1"/>
    </xf>
    <xf numFmtId="168" fontId="67" fillId="2" borderId="50" xfId="0" applyNumberFormat="1" applyFont="1" applyFill="1" applyBorder="1" applyAlignment="1" applyProtection="1">
      <alignment horizontal="right" vertical="center"/>
      <protection hidden="1"/>
    </xf>
    <xf numFmtId="8" fontId="67" fillId="2" borderId="2" xfId="0" applyNumberFormat="1" applyFont="1" applyFill="1" applyBorder="1" applyAlignment="1" applyProtection="1">
      <alignment horizontal="right" vertical="top" indent="1"/>
      <protection hidden="1"/>
    </xf>
    <xf numFmtId="8" fontId="67" fillId="2" borderId="7" xfId="0" applyNumberFormat="1" applyFont="1" applyFill="1" applyBorder="1" applyAlignment="1" applyProtection="1">
      <alignment horizontal="right" vertical="top" indent="1"/>
      <protection hidden="1"/>
    </xf>
    <xf numFmtId="168" fontId="67" fillId="2" borderId="92" xfId="0" applyNumberFormat="1" applyFont="1" applyFill="1" applyBorder="1" applyAlignment="1" applyProtection="1">
      <alignment horizontal="right"/>
      <protection hidden="1"/>
    </xf>
    <xf numFmtId="168" fontId="67" fillId="2" borderId="51" xfId="0" applyNumberFormat="1" applyFont="1" applyFill="1" applyBorder="1" applyAlignment="1" applyProtection="1">
      <alignment horizontal="right" vertical="center"/>
      <protection hidden="1"/>
    </xf>
    <xf numFmtId="0" fontId="67" fillId="2" borderId="30" xfId="0" applyNumberFormat="1" applyFont="1" applyFill="1" applyBorder="1" applyAlignment="1" applyProtection="1">
      <alignment horizontal="center" vertical="center"/>
      <protection hidden="1"/>
    </xf>
    <xf numFmtId="177" fontId="67" fillId="2" borderId="30" xfId="0" applyNumberFormat="1" applyFont="1" applyFill="1" applyBorder="1" applyAlignment="1" applyProtection="1">
      <alignment horizontal="center" vertical="center"/>
      <protection hidden="1"/>
    </xf>
    <xf numFmtId="168" fontId="67" fillId="2" borderId="123" xfId="0" applyNumberFormat="1" applyFont="1" applyFill="1" applyBorder="1" applyAlignment="1" applyProtection="1">
      <alignment horizontal="right" vertical="top"/>
      <protection hidden="1"/>
    </xf>
    <xf numFmtId="8" fontId="67" fillId="2" borderId="36" xfId="0" applyNumberFormat="1" applyFont="1" applyFill="1" applyBorder="1" applyAlignment="1" applyProtection="1">
      <alignment horizontal="right" indent="1"/>
      <protection hidden="1"/>
    </xf>
    <xf numFmtId="8" fontId="67" fillId="2" borderId="4" xfId="0" applyNumberFormat="1" applyFont="1" applyFill="1" applyBorder="1" applyAlignment="1" applyProtection="1">
      <alignment horizontal="right" indent="1"/>
      <protection hidden="1"/>
    </xf>
    <xf numFmtId="0" fontId="59" fillId="2" borderId="0" xfId="0" applyNumberFormat="1" applyFont="1" applyFill="1" applyAlignment="1" applyProtection="1">
      <alignment horizontal="center" vertical="center"/>
      <protection hidden="1"/>
    </xf>
    <xf numFmtId="0" fontId="59" fillId="2" borderId="7" xfId="0" applyNumberFormat="1" applyFont="1" applyFill="1" applyBorder="1" applyAlignment="1" applyProtection="1">
      <alignment horizontal="center" vertical="center"/>
      <protection hidden="1"/>
    </xf>
    <xf numFmtId="168" fontId="67" fillId="2" borderId="40" xfId="0" applyNumberFormat="1" applyFont="1" applyFill="1" applyBorder="1" applyAlignment="1" applyProtection="1">
      <alignment horizontal="right"/>
      <protection hidden="1"/>
    </xf>
    <xf numFmtId="168" fontId="67" fillId="2" borderId="124" xfId="0" applyNumberFormat="1" applyFont="1" applyFill="1" applyBorder="1" applyAlignment="1" applyProtection="1">
      <alignment horizontal="right" vertical="top"/>
      <protection hidden="1"/>
    </xf>
    <xf numFmtId="0" fontId="51" fillId="2" borderId="0" xfId="0" applyFont="1" applyFill="1" applyAlignment="1" applyProtection="1">
      <alignment horizontal="center" vertical="center"/>
      <protection hidden="1"/>
    </xf>
    <xf numFmtId="0" fontId="59" fillId="3" borderId="5" xfId="0" applyFont="1" applyFill="1" applyBorder="1" applyAlignment="1" applyProtection="1">
      <alignment horizontal="center" vertical="center"/>
      <protection locked="0"/>
    </xf>
    <xf numFmtId="0" fontId="59" fillId="3" borderId="74" xfId="0" applyFont="1" applyFill="1" applyBorder="1" applyAlignment="1" applyProtection="1">
      <alignment horizontal="center" vertical="center"/>
      <protection locked="0"/>
    </xf>
    <xf numFmtId="0" fontId="59" fillId="3" borderId="85" xfId="0" applyFont="1" applyFill="1" applyBorder="1" applyAlignment="1" applyProtection="1">
      <alignment horizontal="center" vertical="center"/>
      <protection locked="0"/>
    </xf>
    <xf numFmtId="0" fontId="93" fillId="2" borderId="0" xfId="0" applyFont="1" applyFill="1" applyAlignment="1" applyProtection="1">
      <alignment horizontal="center" vertical="center" textRotation="90"/>
      <protection hidden="1"/>
    </xf>
    <xf numFmtId="0" fontId="48" fillId="2" borderId="144" xfId="0" applyFont="1" applyFill="1" applyBorder="1" applyAlignment="1" applyProtection="1">
      <alignment horizontal="center" vertical="center"/>
      <protection locked="0"/>
    </xf>
    <xf numFmtId="187" fontId="67" fillId="3" borderId="5" xfId="0" applyNumberFormat="1" applyFont="1" applyFill="1" applyBorder="1" applyAlignment="1" applyProtection="1">
      <alignment horizontal="right" vertical="center" indent="1"/>
      <protection hidden="1"/>
    </xf>
    <xf numFmtId="187" fontId="67" fillId="3" borderId="74" xfId="0" applyNumberFormat="1" applyFont="1" applyFill="1" applyBorder="1" applyAlignment="1" applyProtection="1">
      <alignment horizontal="right" vertical="center" indent="1"/>
      <protection hidden="1"/>
    </xf>
    <xf numFmtId="187" fontId="67" fillId="3" borderId="85" xfId="0" applyNumberFormat="1" applyFont="1" applyFill="1" applyBorder="1" applyAlignment="1" applyProtection="1">
      <alignment horizontal="right" vertical="center" indent="1"/>
      <protection hidden="1"/>
    </xf>
    <xf numFmtId="0" fontId="81" fillId="2" borderId="5" xfId="0" applyFont="1" applyFill="1" applyBorder="1" applyAlignment="1" applyProtection="1">
      <alignment horizontal="center" vertical="center"/>
      <protection hidden="1"/>
    </xf>
    <xf numFmtId="0" fontId="81" fillId="2" borderId="74" xfId="0" applyFont="1" applyFill="1" applyBorder="1" applyAlignment="1" applyProtection="1">
      <alignment horizontal="center" vertical="center"/>
      <protection hidden="1"/>
    </xf>
    <xf numFmtId="0" fontId="81" fillId="2" borderId="85" xfId="0" applyFont="1" applyFill="1" applyBorder="1" applyAlignment="1" applyProtection="1">
      <alignment horizontal="center" vertical="center"/>
      <protection hidden="1"/>
    </xf>
    <xf numFmtId="0" fontId="85" fillId="2" borderId="0" xfId="0" applyNumberFormat="1" applyFont="1" applyFill="1" applyBorder="1" applyAlignment="1" applyProtection="1">
      <alignment horizontal="left" vertical="top"/>
      <protection hidden="1"/>
    </xf>
    <xf numFmtId="0" fontId="85" fillId="2" borderId="0" xfId="0" applyNumberFormat="1" applyFont="1" applyFill="1" applyBorder="1" applyAlignment="1" applyProtection="1">
      <alignment horizontal="distributed"/>
      <protection hidden="1"/>
    </xf>
    <xf numFmtId="0" fontId="85" fillId="2" borderId="0" xfId="0" applyNumberFormat="1" applyFont="1" applyFill="1" applyBorder="1" applyAlignment="1" applyProtection="1">
      <alignment horizontal="left" indent="2"/>
      <protection hidden="1"/>
    </xf>
    <xf numFmtId="0" fontId="85" fillId="2" borderId="7" xfId="0" applyNumberFormat="1" applyFont="1" applyFill="1" applyBorder="1" applyAlignment="1" applyProtection="1">
      <alignment horizontal="left" vertical="top"/>
      <protection hidden="1"/>
    </xf>
    <xf numFmtId="0" fontId="68" fillId="2" borderId="0" xfId="0" applyNumberFormat="1" applyFont="1" applyFill="1" applyBorder="1" applyAlignment="1" applyProtection="1">
      <alignment horizontal="center"/>
      <protection hidden="1"/>
    </xf>
    <xf numFmtId="0" fontId="85" fillId="2" borderId="0" xfId="0" applyNumberFormat="1" applyFont="1" applyFill="1" applyBorder="1" applyAlignment="1" applyProtection="1">
      <alignment horizontal="left" vertical="top" indent="2"/>
      <protection hidden="1"/>
    </xf>
    <xf numFmtId="0" fontId="17" fillId="2" borderId="39" xfId="0" applyFont="1" applyFill="1" applyBorder="1" applyAlignment="1" applyProtection="1">
      <alignment horizontal="left" vertical="center" indent="1"/>
      <protection hidden="1"/>
    </xf>
    <xf numFmtId="0" fontId="14" fillId="2" borderId="30" xfId="0" applyFont="1" applyFill="1" applyBorder="1" applyAlignment="1" applyProtection="1">
      <alignment horizontal="left" vertical="center" indent="1"/>
      <protection hidden="1"/>
    </xf>
    <xf numFmtId="0" fontId="14" fillId="2" borderId="30" xfId="0" applyFont="1" applyFill="1" applyBorder="1" applyAlignment="1" applyProtection="1">
      <alignment horizontal="left" vertical="center"/>
      <protection hidden="1"/>
    </xf>
    <xf numFmtId="0" fontId="17" fillId="2" borderId="0" xfId="0" applyFont="1" applyFill="1" applyBorder="1" applyAlignment="1" applyProtection="1">
      <alignment horizontal="left" vertical="center"/>
      <protection hidden="1"/>
    </xf>
    <xf numFmtId="0" fontId="17" fillId="2" borderId="37" xfId="0" applyFont="1" applyFill="1" applyBorder="1" applyAlignment="1" applyProtection="1">
      <alignment horizontal="left" vertical="center"/>
      <protection hidden="1"/>
    </xf>
    <xf numFmtId="0" fontId="17" fillId="2" borderId="23" xfId="0" applyFont="1" applyFill="1" applyBorder="1" applyAlignment="1" applyProtection="1">
      <alignment horizontal="left" vertical="center" indent="1"/>
      <protection hidden="1"/>
    </xf>
    <xf numFmtId="0" fontId="17" fillId="2" borderId="37" xfId="0" applyFont="1" applyFill="1" applyBorder="1" applyAlignment="1" applyProtection="1">
      <alignment horizontal="left" vertical="center" indent="1"/>
      <protection hidden="1"/>
    </xf>
    <xf numFmtId="0" fontId="17" fillId="2" borderId="83" xfId="0" applyFont="1" applyFill="1" applyBorder="1" applyAlignment="1" applyProtection="1">
      <alignment horizontal="left" vertical="center"/>
      <protection hidden="1"/>
    </xf>
    <xf numFmtId="0" fontId="17" fillId="2" borderId="39" xfId="0" applyFont="1" applyFill="1" applyBorder="1" applyAlignment="1" applyProtection="1">
      <alignment horizontal="left" vertical="center"/>
      <protection hidden="1"/>
    </xf>
    <xf numFmtId="0" fontId="17" fillId="2" borderId="29" xfId="0" applyFont="1" applyFill="1" applyBorder="1" applyAlignment="1" applyProtection="1">
      <alignment horizontal="left" vertical="center" indent="1"/>
      <protection hidden="1"/>
    </xf>
    <xf numFmtId="0" fontId="17" fillId="2" borderId="30" xfId="0" applyFont="1" applyFill="1" applyBorder="1" applyAlignment="1" applyProtection="1">
      <alignment horizontal="left" vertical="center" indent="1"/>
      <protection hidden="1"/>
    </xf>
    <xf numFmtId="0" fontId="17" fillId="2" borderId="31" xfId="0" applyFont="1" applyFill="1" applyBorder="1" applyAlignment="1" applyProtection="1">
      <alignment horizontal="left" vertical="center" indent="1"/>
      <protection hidden="1"/>
    </xf>
    <xf numFmtId="0" fontId="67" fillId="2" borderId="62" xfId="0" applyFont="1" applyFill="1" applyBorder="1" applyAlignment="1" applyProtection="1">
      <alignment horizontal="center" vertical="center"/>
      <protection locked="0"/>
    </xf>
    <xf numFmtId="0" fontId="17" fillId="2" borderId="17"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protection hidden="1"/>
    </xf>
    <xf numFmtId="0" fontId="17" fillId="2" borderId="29" xfId="0" applyFont="1" applyFill="1" applyBorder="1" applyAlignment="1" applyProtection="1">
      <alignment horizontal="center" vertical="top"/>
      <protection hidden="1"/>
    </xf>
    <xf numFmtId="0" fontId="17" fillId="2" borderId="31" xfId="0" applyFont="1" applyFill="1" applyBorder="1" applyAlignment="1" applyProtection="1">
      <alignment horizontal="center" vertical="top"/>
      <protection hidden="1"/>
    </xf>
    <xf numFmtId="0" fontId="17" fillId="2" borderId="0"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17" fillId="2" borderId="28" xfId="0" applyFont="1" applyFill="1" applyBorder="1" applyAlignment="1" applyProtection="1">
      <alignment horizontal="center"/>
      <protection hidden="1"/>
    </xf>
    <xf numFmtId="0" fontId="17" fillId="2" borderId="39" xfId="0" applyFont="1" applyFill="1" applyBorder="1" applyAlignment="1" applyProtection="1">
      <alignment horizontal="center"/>
      <protection hidden="1"/>
    </xf>
    <xf numFmtId="167" fontId="35" fillId="2" borderId="137" xfId="0" applyNumberFormat="1" applyFont="1" applyFill="1" applyBorder="1" applyAlignment="1" applyProtection="1">
      <alignment horizontal="center" vertical="center"/>
      <protection hidden="1"/>
    </xf>
    <xf numFmtId="167" fontId="35" fillId="2" borderId="142" xfId="0" applyNumberFormat="1" applyFont="1" applyFill="1" applyBorder="1" applyAlignment="1" applyProtection="1">
      <alignment horizontal="center" vertical="center"/>
      <protection hidden="1"/>
    </xf>
    <xf numFmtId="0" fontId="65" fillId="2" borderId="140" xfId="0" applyFont="1" applyFill="1" applyBorder="1" applyAlignment="1" applyProtection="1">
      <alignment horizontal="center" vertical="center"/>
      <protection hidden="1"/>
    </xf>
    <xf numFmtId="0" fontId="65" fillId="2" borderId="127" xfId="0" applyFont="1" applyFill="1" applyBorder="1" applyAlignment="1" applyProtection="1">
      <alignment horizontal="center" vertical="center"/>
      <protection hidden="1"/>
    </xf>
    <xf numFmtId="0" fontId="19" fillId="2" borderId="17" xfId="0" applyFont="1" applyFill="1" applyBorder="1" applyAlignment="1" applyProtection="1">
      <alignment horizontal="center"/>
      <protection hidden="1"/>
    </xf>
    <xf numFmtId="4" fontId="35" fillId="2" borderId="16" xfId="0" applyNumberFormat="1" applyFont="1" applyFill="1" applyBorder="1" applyAlignment="1" applyProtection="1">
      <alignment horizontal="right" vertical="center" indent="1"/>
      <protection hidden="1"/>
    </xf>
    <xf numFmtId="4" fontId="35" fillId="2" borderId="17" xfId="0" applyNumberFormat="1" applyFont="1" applyFill="1" applyBorder="1" applyAlignment="1" applyProtection="1">
      <alignment horizontal="right" vertical="center" indent="1"/>
      <protection hidden="1"/>
    </xf>
    <xf numFmtId="4" fontId="35" fillId="2" borderId="18" xfId="0" applyNumberFormat="1" applyFont="1" applyFill="1" applyBorder="1" applyAlignment="1" applyProtection="1">
      <alignment horizontal="right" vertical="center" indent="1"/>
      <protection hidden="1"/>
    </xf>
    <xf numFmtId="0" fontId="19" fillId="2" borderId="30" xfId="0" applyFont="1" applyFill="1" applyBorder="1" applyAlignment="1" applyProtection="1">
      <alignment horizontal="center"/>
      <protection hidden="1"/>
    </xf>
    <xf numFmtId="0" fontId="58" fillId="2" borderId="122" xfId="0" applyFont="1" applyFill="1" applyBorder="1" applyAlignment="1" applyProtection="1">
      <alignment horizontal="center" vertical="center"/>
      <protection hidden="1"/>
    </xf>
    <xf numFmtId="4" fontId="35" fillId="2" borderId="140" xfId="0" applyNumberFormat="1" applyFont="1" applyFill="1" applyBorder="1" applyAlignment="1" applyProtection="1">
      <alignment horizontal="right" vertical="center" indent="1"/>
      <protection hidden="1"/>
    </xf>
    <xf numFmtId="4" fontId="35" fillId="2" borderId="126" xfId="0" applyNumberFormat="1" applyFont="1" applyFill="1" applyBorder="1" applyAlignment="1" applyProtection="1">
      <alignment horizontal="right" vertical="center" indent="1"/>
      <protection hidden="1"/>
    </xf>
    <xf numFmtId="4" fontId="35" fillId="2" borderId="128" xfId="0" applyNumberFormat="1" applyFont="1" applyFill="1" applyBorder="1" applyAlignment="1" applyProtection="1">
      <alignment horizontal="right" vertical="center" indent="1"/>
      <protection hidden="1"/>
    </xf>
    <xf numFmtId="4" fontId="14" fillId="2" borderId="137" xfId="0" applyNumberFormat="1" applyFont="1" applyFill="1" applyBorder="1" applyAlignment="1" applyProtection="1">
      <alignment horizontal="right" vertical="center" indent="1"/>
      <protection hidden="1"/>
    </xf>
    <xf numFmtId="4" fontId="14" fillId="2" borderId="138" xfId="0" applyNumberFormat="1" applyFont="1" applyFill="1" applyBorder="1" applyAlignment="1" applyProtection="1">
      <alignment horizontal="right" vertical="center" indent="1"/>
      <protection hidden="1"/>
    </xf>
    <xf numFmtId="4" fontId="14" fillId="2" borderId="139" xfId="0" applyNumberFormat="1" applyFont="1" applyFill="1" applyBorder="1" applyAlignment="1" applyProtection="1">
      <alignment horizontal="right" vertical="center" indent="1"/>
      <protection hidden="1"/>
    </xf>
    <xf numFmtId="4" fontId="14" fillId="2" borderId="127" xfId="0" applyNumberFormat="1" applyFont="1" applyFill="1" applyBorder="1" applyAlignment="1" applyProtection="1">
      <alignment horizontal="right" vertical="center" indent="1"/>
      <protection hidden="1"/>
    </xf>
    <xf numFmtId="0" fontId="58" fillId="2" borderId="121" xfId="0" applyFont="1" applyFill="1" applyBorder="1" applyAlignment="1" applyProtection="1">
      <alignment horizontal="center" vertical="center"/>
      <protection hidden="1"/>
    </xf>
    <xf numFmtId="4" fontId="14" fillId="2" borderId="130" xfId="0" applyNumberFormat="1" applyFont="1" applyFill="1" applyBorder="1" applyAlignment="1" applyProtection="1">
      <alignment horizontal="right" vertical="center" indent="1"/>
      <protection hidden="1"/>
    </xf>
    <xf numFmtId="4" fontId="14" fillId="2" borderId="131" xfId="0" applyNumberFormat="1" applyFont="1" applyFill="1" applyBorder="1" applyAlignment="1" applyProtection="1">
      <alignment horizontal="right" vertical="center" indent="1"/>
      <protection hidden="1"/>
    </xf>
    <xf numFmtId="4" fontId="14" fillId="2" borderId="132" xfId="0" applyNumberFormat="1" applyFont="1" applyFill="1" applyBorder="1" applyAlignment="1" applyProtection="1">
      <alignment horizontal="right" vertical="center" indent="1"/>
      <protection hidden="1"/>
    </xf>
    <xf numFmtId="167" fontId="48" fillId="2" borderId="16" xfId="0" applyNumberFormat="1" applyFont="1" applyFill="1" applyBorder="1" applyAlignment="1" applyProtection="1">
      <alignment horizontal="left" vertical="center" indent="1"/>
      <protection hidden="1"/>
    </xf>
    <xf numFmtId="167" fontId="48" fillId="2" borderId="17" xfId="0" applyNumberFormat="1" applyFont="1" applyFill="1" applyBorder="1" applyAlignment="1" applyProtection="1">
      <alignment horizontal="left" vertical="center" indent="1"/>
      <protection hidden="1"/>
    </xf>
    <xf numFmtId="167" fontId="48" fillId="2" borderId="18" xfId="0" applyNumberFormat="1" applyFont="1" applyFill="1" applyBorder="1" applyAlignment="1" applyProtection="1">
      <alignment horizontal="left" vertical="center" indent="1"/>
      <protection hidden="1"/>
    </xf>
    <xf numFmtId="0" fontId="58" fillId="3" borderId="122" xfId="0" applyFont="1" applyFill="1" applyBorder="1" applyAlignment="1" applyProtection="1">
      <alignment horizontal="center" vertical="center"/>
      <protection hidden="1"/>
    </xf>
    <xf numFmtId="167" fontId="35" fillId="2" borderId="28" xfId="0" applyNumberFormat="1" applyFont="1" applyFill="1" applyBorder="1" applyAlignment="1" applyProtection="1">
      <alignment horizontal="center" vertical="center"/>
      <protection hidden="1"/>
    </xf>
    <xf numFmtId="167" fontId="35" fillId="2" borderId="39" xfId="0" applyNumberFormat="1" applyFont="1" applyFill="1" applyBorder="1" applyAlignment="1" applyProtection="1">
      <alignment horizontal="center" vertical="center"/>
      <protection hidden="1"/>
    </xf>
    <xf numFmtId="167" fontId="35" fillId="2" borderId="130" xfId="0" applyNumberFormat="1" applyFont="1" applyFill="1" applyBorder="1" applyAlignment="1" applyProtection="1">
      <alignment horizontal="center" vertical="center"/>
      <protection hidden="1"/>
    </xf>
    <xf numFmtId="0" fontId="35" fillId="2" borderId="132" xfId="0" applyFont="1" applyFill="1" applyBorder="1" applyAlignment="1" applyProtection="1">
      <alignment horizontal="center" vertical="center"/>
      <protection hidden="1"/>
    </xf>
    <xf numFmtId="167" fontId="35" fillId="2" borderId="133" xfId="0" applyNumberFormat="1" applyFont="1" applyFill="1" applyBorder="1" applyAlignment="1" applyProtection="1">
      <alignment horizontal="center" vertical="center"/>
      <protection hidden="1"/>
    </xf>
    <xf numFmtId="0" fontId="35" fillId="2" borderId="135" xfId="0" applyFont="1" applyFill="1" applyBorder="1" applyAlignment="1" applyProtection="1">
      <alignment horizontal="center" vertical="center"/>
      <protection hidden="1"/>
    </xf>
    <xf numFmtId="4" fontId="17" fillId="2" borderId="16" xfId="0" applyNumberFormat="1" applyFont="1" applyFill="1" applyBorder="1" applyAlignment="1" applyProtection="1">
      <alignment horizontal="right" vertical="center" indent="1"/>
      <protection hidden="1"/>
    </xf>
    <xf numFmtId="4" fontId="17" fillId="2" borderId="17" xfId="0" applyNumberFormat="1" applyFont="1" applyFill="1" applyBorder="1" applyAlignment="1" applyProtection="1">
      <alignment horizontal="right" vertical="center" indent="1"/>
      <protection hidden="1"/>
    </xf>
    <xf numFmtId="4" fontId="17" fillId="2" borderId="18" xfId="0" applyNumberFormat="1" applyFont="1" applyFill="1" applyBorder="1" applyAlignment="1" applyProtection="1">
      <alignment horizontal="right" vertical="center" indent="1"/>
      <protection hidden="1"/>
    </xf>
    <xf numFmtId="0" fontId="19" fillId="2" borderId="28" xfId="0" applyFont="1" applyFill="1" applyBorder="1" applyAlignment="1" applyProtection="1">
      <alignment horizontal="center"/>
      <protection hidden="1"/>
    </xf>
    <xf numFmtId="0" fontId="19" fillId="2" borderId="39" xfId="0" applyFont="1" applyFill="1" applyBorder="1" applyAlignment="1" applyProtection="1">
      <alignment horizontal="center"/>
      <protection hidden="1"/>
    </xf>
    <xf numFmtId="0" fontId="124" fillId="4" borderId="60" xfId="0" applyFont="1" applyFill="1" applyBorder="1" applyAlignment="1" applyProtection="1">
      <alignment horizontal="center" vertical="center"/>
      <protection hidden="1"/>
    </xf>
    <xf numFmtId="0" fontId="124" fillId="4" borderId="88" xfId="0" applyFont="1" applyFill="1" applyBorder="1" applyAlignment="1" applyProtection="1">
      <alignment horizontal="center" vertical="center"/>
      <protection hidden="1"/>
    </xf>
    <xf numFmtId="0" fontId="124" fillId="4" borderId="129" xfId="0" applyFont="1" applyFill="1" applyBorder="1" applyAlignment="1" applyProtection="1">
      <alignment horizontal="center" vertical="center"/>
      <protection hidden="1"/>
    </xf>
    <xf numFmtId="4" fontId="123" fillId="4" borderId="16" xfId="0" applyNumberFormat="1" applyFont="1" applyFill="1" applyBorder="1" applyAlignment="1" applyProtection="1">
      <alignment horizontal="right" vertical="center" indent="1"/>
      <protection hidden="1"/>
    </xf>
    <xf numFmtId="4" fontId="123" fillId="4" borderId="17" xfId="0" applyNumberFormat="1" applyFont="1" applyFill="1" applyBorder="1" applyAlignment="1" applyProtection="1">
      <alignment horizontal="right" vertical="center" indent="1"/>
      <protection hidden="1"/>
    </xf>
    <xf numFmtId="4" fontId="123" fillId="4" borderId="18" xfId="0" applyNumberFormat="1" applyFont="1" applyFill="1" applyBorder="1" applyAlignment="1" applyProtection="1">
      <alignment horizontal="right" vertical="center" indent="1"/>
      <protection hidden="1"/>
    </xf>
    <xf numFmtId="4" fontId="123" fillId="4" borderId="130" xfId="0" applyNumberFormat="1" applyFont="1" applyFill="1" applyBorder="1" applyAlignment="1" applyProtection="1">
      <alignment horizontal="right" vertical="center" indent="1"/>
      <protection hidden="1"/>
    </xf>
    <xf numFmtId="4" fontId="123" fillId="4" borderId="131" xfId="0" applyNumberFormat="1" applyFont="1" applyFill="1" applyBorder="1" applyAlignment="1" applyProtection="1">
      <alignment horizontal="right" vertical="center" indent="1"/>
      <protection hidden="1"/>
    </xf>
    <xf numFmtId="4" fontId="123" fillId="4" borderId="132" xfId="0" applyNumberFormat="1" applyFont="1" applyFill="1" applyBorder="1" applyAlignment="1" applyProtection="1">
      <alignment horizontal="right" vertical="center" indent="1"/>
      <protection hidden="1"/>
    </xf>
    <xf numFmtId="4" fontId="123" fillId="4" borderId="133" xfId="0" applyNumberFormat="1" applyFont="1" applyFill="1" applyBorder="1" applyAlignment="1" applyProtection="1">
      <alignment horizontal="right" vertical="center" indent="1"/>
      <protection hidden="1"/>
    </xf>
    <xf numFmtId="4" fontId="123" fillId="4" borderId="134" xfId="0" applyNumberFormat="1" applyFont="1" applyFill="1" applyBorder="1" applyAlignment="1" applyProtection="1">
      <alignment horizontal="right" vertical="center" indent="1"/>
      <protection hidden="1"/>
    </xf>
    <xf numFmtId="4" fontId="123" fillId="4" borderId="135" xfId="0" applyNumberFormat="1" applyFont="1" applyFill="1" applyBorder="1" applyAlignment="1" applyProtection="1">
      <alignment horizontal="right" vertical="center" indent="1"/>
      <protection hidden="1"/>
    </xf>
    <xf numFmtId="0" fontId="17" fillId="2" borderId="0" xfId="0" applyFont="1" applyFill="1" applyAlignment="1" applyProtection="1">
      <alignment horizontal="right" vertical="center" indent="1"/>
      <protection hidden="1"/>
    </xf>
    <xf numFmtId="0" fontId="17" fillId="2" borderId="22" xfId="0" applyFont="1" applyFill="1" applyBorder="1" applyAlignment="1" applyProtection="1">
      <alignment horizontal="right" vertical="center" indent="1"/>
      <protection hidden="1"/>
    </xf>
    <xf numFmtId="0" fontId="35" fillId="2" borderId="17" xfId="0" applyFont="1" applyFill="1" applyBorder="1" applyAlignment="1" applyProtection="1">
      <alignment horizontal="center" vertical="center"/>
      <protection hidden="1"/>
    </xf>
    <xf numFmtId="4" fontId="14" fillId="2" borderId="61" xfId="0" applyNumberFormat="1" applyFont="1" applyFill="1" applyBorder="1" applyAlignment="1" applyProtection="1">
      <alignment horizontal="right" vertical="center" indent="1"/>
      <protection hidden="1"/>
    </xf>
    <xf numFmtId="4" fontId="14" fillId="2" borderId="64" xfId="0" applyNumberFormat="1" applyFont="1" applyFill="1" applyBorder="1" applyAlignment="1" applyProtection="1">
      <alignment horizontal="right" vertical="center" indent="1"/>
      <protection hidden="1"/>
    </xf>
    <xf numFmtId="0" fontId="124" fillId="4" borderId="63" xfId="0" applyFont="1" applyFill="1" applyBorder="1" applyAlignment="1" applyProtection="1">
      <alignment horizontal="center" vertical="center"/>
      <protection hidden="1"/>
    </xf>
    <xf numFmtId="0" fontId="69" fillId="2" borderId="0" xfId="0" applyNumberFormat="1" applyFont="1" applyFill="1" applyAlignment="1" applyProtection="1">
      <alignment horizontal="left" vertical="center"/>
      <protection hidden="1"/>
    </xf>
    <xf numFmtId="4" fontId="123" fillId="4" borderId="67" xfId="0" applyNumberFormat="1" applyFont="1" applyFill="1" applyBorder="1" applyAlignment="1" applyProtection="1">
      <alignment horizontal="right" vertical="center" indent="1"/>
      <protection hidden="1"/>
    </xf>
    <xf numFmtId="4" fontId="123" fillId="4" borderId="68" xfId="0" applyNumberFormat="1" applyFont="1" applyFill="1" applyBorder="1" applyAlignment="1" applyProtection="1">
      <alignment horizontal="right" vertical="center" indent="1"/>
      <protection hidden="1"/>
    </xf>
    <xf numFmtId="4" fontId="123" fillId="4" borderId="73" xfId="0" applyNumberFormat="1" applyFont="1" applyFill="1" applyBorder="1" applyAlignment="1" applyProtection="1">
      <alignment horizontal="right" vertical="center" indent="1"/>
      <protection hidden="1"/>
    </xf>
    <xf numFmtId="4" fontId="123" fillId="4" borderId="65" xfId="0" applyNumberFormat="1" applyFont="1" applyFill="1" applyBorder="1" applyAlignment="1" applyProtection="1">
      <alignment horizontal="right" vertical="center" indent="1"/>
      <protection hidden="1"/>
    </xf>
    <xf numFmtId="0" fontId="58" fillId="3" borderId="121" xfId="0" applyFont="1" applyFill="1" applyBorder="1" applyAlignment="1" applyProtection="1">
      <alignment horizontal="center" vertical="center"/>
      <protection hidden="1"/>
    </xf>
    <xf numFmtId="0" fontId="146" fillId="3" borderId="16" xfId="0" applyFont="1" applyFill="1" applyBorder="1" applyAlignment="1" applyProtection="1">
      <alignment horizontal="center" vertical="center"/>
      <protection hidden="1"/>
    </xf>
    <xf numFmtId="0" fontId="146" fillId="3" borderId="17" xfId="0" applyFont="1" applyFill="1" applyBorder="1" applyAlignment="1" applyProtection="1">
      <alignment horizontal="center" vertical="center"/>
      <protection hidden="1"/>
    </xf>
    <xf numFmtId="0" fontId="152" fillId="2" borderId="0" xfId="1" applyFont="1" applyFill="1" applyAlignment="1" applyProtection="1">
      <alignment horizontal="center"/>
      <protection locked="0"/>
    </xf>
    <xf numFmtId="0" fontId="81" fillId="2" borderId="1" xfId="0" applyFont="1" applyFill="1" applyBorder="1" applyAlignment="1" applyProtection="1">
      <alignment horizontal="left" vertical="center" indent="1"/>
      <protection hidden="1"/>
    </xf>
    <xf numFmtId="0" fontId="81" fillId="2" borderId="0" xfId="0" applyFont="1" applyFill="1" applyAlignment="1" applyProtection="1">
      <alignment horizontal="left" vertical="center" indent="1"/>
      <protection hidden="1"/>
    </xf>
    <xf numFmtId="4" fontId="123" fillId="4" borderId="62" xfId="0" applyNumberFormat="1" applyFont="1" applyFill="1" applyBorder="1" applyAlignment="1" applyProtection="1">
      <alignment horizontal="right" vertical="center" indent="1"/>
      <protection hidden="1"/>
    </xf>
    <xf numFmtId="0" fontId="57" fillId="2" borderId="7" xfId="2" applyFont="1" applyFill="1" applyBorder="1" applyAlignment="1" applyProtection="1">
      <alignment horizontal="left" vertical="top" indent="1"/>
      <protection hidden="1"/>
    </xf>
    <xf numFmtId="0" fontId="50" fillId="2" borderId="26" xfId="2" applyFont="1" applyFill="1" applyBorder="1" applyAlignment="1" applyProtection="1">
      <alignment horizontal="center" vertical="center"/>
      <protection hidden="1"/>
    </xf>
    <xf numFmtId="0" fontId="50" fillId="2" borderId="15" xfId="2" applyFont="1" applyFill="1" applyBorder="1" applyAlignment="1" applyProtection="1">
      <alignment horizontal="center" vertical="center"/>
      <protection hidden="1"/>
    </xf>
    <xf numFmtId="0" fontId="50" fillId="2" borderId="7" xfId="2" applyFont="1" applyFill="1" applyBorder="1" applyAlignment="1" applyProtection="1">
      <alignment horizontal="center"/>
      <protection hidden="1"/>
    </xf>
    <xf numFmtId="0" fontId="131" fillId="2" borderId="0" xfId="2" applyFont="1" applyFill="1" applyBorder="1" applyAlignment="1" applyProtection="1">
      <alignment horizontal="right" vertical="top" indent="1"/>
      <protection hidden="1"/>
    </xf>
    <xf numFmtId="0" fontId="44" fillId="2" borderId="0" xfId="2" applyFont="1" applyFill="1" applyBorder="1" applyAlignment="1" applyProtection="1">
      <alignment horizontal="right" vertical="center" indent="1"/>
      <protection hidden="1"/>
    </xf>
    <xf numFmtId="168" fontId="44" fillId="2" borderId="60" xfId="2" applyNumberFormat="1" applyFont="1" applyFill="1" applyBorder="1" applyAlignment="1" applyProtection="1">
      <alignment horizontal="right" vertical="center"/>
      <protection hidden="1"/>
    </xf>
    <xf numFmtId="0" fontId="0" fillId="0" borderId="63" xfId="0" applyBorder="1"/>
    <xf numFmtId="168" fontId="44" fillId="2" borderId="61" xfId="2" applyNumberFormat="1" applyFont="1" applyFill="1" applyBorder="1" applyAlignment="1" applyProtection="1">
      <alignment horizontal="right" vertical="center"/>
      <protection hidden="1"/>
    </xf>
    <xf numFmtId="168" fontId="44" fillId="2" borderId="64" xfId="2" applyNumberFormat="1" applyFont="1" applyFill="1" applyBorder="1" applyAlignment="1" applyProtection="1">
      <alignment horizontal="right" vertical="center"/>
      <protection hidden="1"/>
    </xf>
    <xf numFmtId="168" fontId="44" fillId="2" borderId="2" xfId="2" applyNumberFormat="1" applyFont="1" applyFill="1" applyBorder="1" applyAlignment="1" applyProtection="1">
      <alignment horizontal="right" vertical="top"/>
      <protection hidden="1"/>
    </xf>
    <xf numFmtId="168" fontId="44" fillId="2" borderId="3" xfId="2" applyNumberFormat="1" applyFont="1" applyFill="1" applyBorder="1" applyAlignment="1" applyProtection="1">
      <alignment horizontal="right" vertical="top"/>
      <protection hidden="1"/>
    </xf>
    <xf numFmtId="0" fontId="69" fillId="2" borderId="0" xfId="2" applyFont="1" applyFill="1" applyBorder="1" applyAlignment="1" applyProtection="1">
      <alignment horizontal="center" vertical="top"/>
      <protection hidden="1"/>
    </xf>
    <xf numFmtId="0" fontId="14" fillId="2" borderId="74" xfId="2" applyFont="1" applyFill="1" applyBorder="1" applyAlignment="1" applyProtection="1">
      <alignment horizontal="center" vertical="center"/>
      <protection hidden="1"/>
    </xf>
    <xf numFmtId="166" fontId="85" fillId="2" borderId="0" xfId="2" applyNumberFormat="1" applyFont="1" applyFill="1" applyBorder="1" applyAlignment="1" applyProtection="1">
      <alignment horizontal="left"/>
      <protection hidden="1"/>
    </xf>
    <xf numFmtId="0" fontId="6" fillId="2" borderId="0" xfId="2" applyFont="1" applyFill="1" applyBorder="1" applyAlignment="1" applyProtection="1">
      <alignment horizontal="center" vertical="center"/>
      <protection hidden="1"/>
    </xf>
    <xf numFmtId="0" fontId="18" fillId="2" borderId="0" xfId="2" applyFont="1" applyFill="1" applyBorder="1" applyAlignment="1" applyProtection="1">
      <alignment horizontal="center" vertical="center"/>
      <protection hidden="1"/>
    </xf>
    <xf numFmtId="168" fontId="44" fillId="2" borderId="36" xfId="2" applyNumberFormat="1" applyFont="1" applyFill="1" applyBorder="1" applyAlignment="1" applyProtection="1">
      <alignment horizontal="right"/>
      <protection hidden="1"/>
    </xf>
    <xf numFmtId="168" fontId="44" fillId="2" borderId="24" xfId="2" applyNumberFormat="1" applyFont="1" applyFill="1" applyBorder="1" applyAlignment="1" applyProtection="1">
      <alignment horizontal="right"/>
      <protection hidden="1"/>
    </xf>
    <xf numFmtId="168" fontId="44" fillId="2" borderId="40" xfId="2" applyNumberFormat="1" applyFont="1" applyFill="1" applyBorder="1" applyAlignment="1" applyProtection="1">
      <alignment horizontal="right"/>
      <protection hidden="1"/>
    </xf>
    <xf numFmtId="168" fontId="44" fillId="2" borderId="92" xfId="2" applyNumberFormat="1" applyFont="1" applyFill="1" applyBorder="1" applyAlignment="1" applyProtection="1">
      <alignment horizontal="right"/>
      <protection hidden="1"/>
    </xf>
    <xf numFmtId="168" fontId="44" fillId="2" borderId="62" xfId="2" applyNumberFormat="1" applyFont="1" applyFill="1" applyBorder="1" applyAlignment="1" applyProtection="1">
      <alignment horizontal="right" vertical="center"/>
      <protection hidden="1"/>
    </xf>
    <xf numFmtId="168" fontId="44" fillId="2" borderId="65" xfId="2" applyNumberFormat="1" applyFont="1" applyFill="1" applyBorder="1" applyAlignment="1" applyProtection="1">
      <alignment horizontal="right" vertical="center"/>
      <protection hidden="1"/>
    </xf>
    <xf numFmtId="168" fontId="49" fillId="2" borderId="0" xfId="2" applyNumberFormat="1" applyFont="1" applyFill="1" applyBorder="1" applyAlignment="1" applyProtection="1">
      <alignment horizontal="right" vertical="center"/>
      <protection hidden="1"/>
    </xf>
    <xf numFmtId="0" fontId="67" fillId="2" borderId="41" xfId="2" applyNumberFormat="1" applyFont="1" applyFill="1" applyBorder="1" applyAlignment="1" applyProtection="1">
      <alignment horizontal="left" vertical="top" indent="1"/>
      <protection locked="0"/>
    </xf>
    <xf numFmtId="0" fontId="67" fillId="2" borderId="30" xfId="2" applyNumberFormat="1" applyFont="1" applyFill="1" applyBorder="1" applyAlignment="1" applyProtection="1">
      <alignment horizontal="left" vertical="top" indent="1"/>
      <protection locked="0"/>
    </xf>
    <xf numFmtId="0" fontId="67" fillId="2" borderId="84" xfId="2" applyNumberFormat="1" applyFont="1" applyFill="1" applyBorder="1" applyAlignment="1" applyProtection="1">
      <alignment horizontal="left" vertical="top" indent="1"/>
      <protection locked="0"/>
    </xf>
    <xf numFmtId="169" fontId="67" fillId="2" borderId="166" xfId="0" applyNumberFormat="1" applyFont="1" applyFill="1" applyBorder="1" applyAlignment="1" applyProtection="1">
      <alignment horizontal="right" vertical="center"/>
      <protection hidden="1"/>
    </xf>
    <xf numFmtId="169" fontId="67" fillId="2" borderId="48" xfId="0" applyNumberFormat="1" applyFont="1" applyFill="1" applyBorder="1" applyAlignment="1" applyProtection="1">
      <alignment horizontal="right" vertical="center"/>
      <protection hidden="1"/>
    </xf>
    <xf numFmtId="168" fontId="70" fillId="2" borderId="28" xfId="2" applyNumberFormat="1" applyFont="1" applyFill="1" applyBorder="1" applyAlignment="1" applyProtection="1">
      <alignment horizontal="right" vertical="center"/>
      <protection locked="0"/>
    </xf>
    <xf numFmtId="168" fontId="70" fillId="2" borderId="124" xfId="2" applyNumberFormat="1" applyFont="1" applyFill="1" applyBorder="1" applyAlignment="1" applyProtection="1">
      <alignment horizontal="right" vertical="center"/>
      <protection locked="0"/>
    </xf>
    <xf numFmtId="0" fontId="127" fillId="4" borderId="61" xfId="2" applyFont="1" applyFill="1" applyBorder="1" applyAlignment="1" applyProtection="1">
      <alignment horizontal="center"/>
      <protection hidden="1"/>
    </xf>
    <xf numFmtId="0" fontId="127" fillId="4" borderId="64" xfId="2" applyFont="1" applyFill="1" applyBorder="1" applyAlignment="1" applyProtection="1">
      <alignment horizontal="center"/>
      <protection hidden="1"/>
    </xf>
    <xf numFmtId="0" fontId="154" fillId="2" borderId="107" xfId="2" applyFont="1" applyFill="1" applyBorder="1" applyAlignment="1" applyProtection="1">
      <alignment horizontal="center" vertical="top"/>
      <protection hidden="1"/>
    </xf>
    <xf numFmtId="0" fontId="154" fillId="2" borderId="167" xfId="2" applyFont="1" applyFill="1" applyBorder="1" applyAlignment="1" applyProtection="1">
      <alignment horizontal="center" vertical="top"/>
      <protection hidden="1"/>
    </xf>
    <xf numFmtId="0" fontId="49" fillId="2" borderId="0" xfId="2" applyFont="1" applyFill="1" applyAlignment="1" applyProtection="1">
      <alignment horizontal="center" vertical="center"/>
      <protection hidden="1"/>
    </xf>
    <xf numFmtId="0" fontId="18" fillId="2" borderId="0" xfId="2" applyFont="1" applyFill="1" applyAlignment="1" applyProtection="1">
      <alignment horizontal="center"/>
      <protection hidden="1"/>
    </xf>
    <xf numFmtId="0" fontId="18" fillId="2" borderId="0" xfId="2" applyFont="1" applyFill="1" applyAlignment="1" applyProtection="1">
      <alignment horizontal="center" vertical="top"/>
      <protection hidden="1"/>
    </xf>
    <xf numFmtId="0" fontId="66" fillId="2" borderId="0" xfId="2" applyFont="1" applyFill="1" applyAlignment="1" applyProtection="1">
      <alignment horizontal="center" vertical="top"/>
      <protection hidden="1"/>
    </xf>
    <xf numFmtId="166" fontId="67" fillId="2" borderId="0" xfId="2" applyNumberFormat="1" applyFont="1" applyFill="1" applyBorder="1" applyAlignment="1" applyProtection="1">
      <alignment horizontal="left"/>
      <protection hidden="1"/>
    </xf>
    <xf numFmtId="166" fontId="67" fillId="2" borderId="0" xfId="2" applyNumberFormat="1" applyFont="1" applyFill="1" applyBorder="1" applyAlignment="1" applyProtection="1">
      <alignment horizontal="right"/>
      <protection hidden="1"/>
    </xf>
    <xf numFmtId="0" fontId="81" fillId="2" borderId="4" xfId="2" applyFont="1" applyFill="1" applyBorder="1" applyAlignment="1" applyProtection="1">
      <alignment horizontal="right" vertical="center" indent="1"/>
      <protection hidden="1"/>
    </xf>
    <xf numFmtId="0" fontId="81" fillId="2" borderId="24" xfId="2" applyFont="1" applyFill="1" applyBorder="1" applyAlignment="1" applyProtection="1">
      <alignment horizontal="right" vertical="center" indent="1"/>
      <protection hidden="1"/>
    </xf>
    <xf numFmtId="0" fontId="128" fillId="3" borderId="61" xfId="2" applyFont="1" applyFill="1" applyBorder="1" applyAlignment="1" applyProtection="1">
      <alignment horizontal="center"/>
      <protection hidden="1"/>
    </xf>
    <xf numFmtId="0" fontId="128" fillId="3" borderId="64" xfId="2" applyFont="1" applyFill="1" applyBorder="1" applyAlignment="1" applyProtection="1">
      <alignment horizontal="center"/>
      <protection hidden="1"/>
    </xf>
    <xf numFmtId="0" fontId="8" fillId="2" borderId="0" xfId="2" applyFont="1" applyFill="1" applyBorder="1" applyAlignment="1" applyProtection="1">
      <alignment horizontal="left" vertical="top"/>
      <protection hidden="1"/>
    </xf>
    <xf numFmtId="0" fontId="3" fillId="4" borderId="5" xfId="2" applyFill="1" applyBorder="1" applyAlignment="1" applyProtection="1">
      <alignment horizontal="center"/>
      <protection hidden="1"/>
    </xf>
    <xf numFmtId="0" fontId="3" fillId="4" borderId="85" xfId="2" applyFill="1" applyBorder="1" applyAlignment="1" applyProtection="1">
      <alignment horizontal="center"/>
      <protection hidden="1"/>
    </xf>
    <xf numFmtId="169" fontId="67" fillId="2" borderId="86" xfId="0" applyNumberFormat="1" applyFont="1" applyFill="1" applyBorder="1" applyAlignment="1" applyProtection="1">
      <alignment horizontal="center" vertical="center"/>
      <protection hidden="1"/>
    </xf>
    <xf numFmtId="169" fontId="67" fillId="2" borderId="87" xfId="0" applyNumberFormat="1" applyFont="1" applyFill="1" applyBorder="1" applyAlignment="1" applyProtection="1">
      <alignment horizontal="center" vertical="center"/>
      <protection hidden="1"/>
    </xf>
    <xf numFmtId="169" fontId="67" fillId="2" borderId="2" xfId="0" applyNumberFormat="1" applyFont="1" applyFill="1" applyBorder="1" applyAlignment="1" applyProtection="1">
      <alignment horizontal="center" vertical="center"/>
      <protection hidden="1"/>
    </xf>
    <xf numFmtId="169" fontId="67" fillId="2" borderId="3" xfId="0" applyNumberFormat="1" applyFont="1" applyFill="1" applyBorder="1" applyAlignment="1" applyProtection="1">
      <alignment horizontal="center" vertical="center"/>
      <protection hidden="1"/>
    </xf>
    <xf numFmtId="0" fontId="67" fillId="2" borderId="0" xfId="2" applyNumberFormat="1" applyFont="1" applyFill="1" applyBorder="1" applyAlignment="1" applyProtection="1">
      <alignment horizontal="left" vertical="top"/>
      <protection hidden="1"/>
    </xf>
    <xf numFmtId="0" fontId="67" fillId="2" borderId="22" xfId="2" applyNumberFormat="1" applyFont="1" applyFill="1" applyBorder="1" applyAlignment="1" applyProtection="1">
      <alignment horizontal="left" vertical="top"/>
      <protection hidden="1"/>
    </xf>
    <xf numFmtId="166" fontId="74" fillId="2" borderId="7" xfId="2" applyNumberFormat="1" applyFont="1" applyFill="1" applyBorder="1" applyAlignment="1" applyProtection="1">
      <alignment horizontal="right" vertical="center"/>
      <protection locked="0"/>
    </xf>
    <xf numFmtId="0" fontId="69" fillId="2" borderId="7" xfId="2" applyFont="1" applyFill="1" applyBorder="1" applyAlignment="1" applyProtection="1">
      <alignment horizontal="center" vertical="center"/>
      <protection hidden="1"/>
    </xf>
    <xf numFmtId="168" fontId="18" fillId="2" borderId="60" xfId="2" applyNumberFormat="1" applyFont="1" applyFill="1" applyBorder="1" applyAlignment="1" applyProtection="1">
      <alignment horizontal="right" vertical="center"/>
      <protection hidden="1"/>
    </xf>
    <xf numFmtId="168" fontId="18" fillId="2" borderId="63" xfId="2" applyNumberFormat="1" applyFont="1" applyFill="1" applyBorder="1" applyAlignment="1" applyProtection="1">
      <alignment horizontal="right" vertical="center"/>
      <protection hidden="1"/>
    </xf>
    <xf numFmtId="0" fontId="96" fillId="2" borderId="0" xfId="2" applyNumberFormat="1" applyFont="1" applyFill="1" applyBorder="1" applyAlignment="1" applyProtection="1">
      <alignment horizontal="left" vertical="center"/>
      <protection hidden="1"/>
    </xf>
    <xf numFmtId="0" fontId="78" fillId="2" borderId="60" xfId="2" applyFont="1" applyFill="1" applyBorder="1" applyAlignment="1" applyProtection="1">
      <alignment horizontal="center" vertical="center"/>
      <protection hidden="1"/>
    </xf>
    <xf numFmtId="0" fontId="78" fillId="2" borderId="63" xfId="2" applyFont="1" applyFill="1" applyBorder="1" applyAlignment="1" applyProtection="1">
      <alignment horizontal="center" vertical="center"/>
      <protection hidden="1"/>
    </xf>
    <xf numFmtId="0" fontId="67" fillId="2" borderId="0" xfId="2" applyNumberFormat="1" applyFont="1" applyFill="1" applyBorder="1" applyAlignment="1" applyProtection="1">
      <alignment horizontal="left" vertical="center"/>
      <protection hidden="1"/>
    </xf>
    <xf numFmtId="0" fontId="67" fillId="2" borderId="22" xfId="2" applyNumberFormat="1" applyFont="1" applyFill="1" applyBorder="1" applyAlignment="1" applyProtection="1">
      <alignment horizontal="left" vertical="center"/>
      <protection hidden="1"/>
    </xf>
    <xf numFmtId="0" fontId="67" fillId="2" borderId="0" xfId="2" applyNumberFormat="1" applyFont="1" applyFill="1" applyBorder="1" applyAlignment="1" applyProtection="1">
      <alignment horizontal="left" vertical="top" wrapText="1"/>
      <protection hidden="1"/>
    </xf>
    <xf numFmtId="0" fontId="67" fillId="2" borderId="7" xfId="2" applyNumberFormat="1" applyFont="1" applyFill="1" applyBorder="1" applyAlignment="1" applyProtection="1">
      <alignment horizontal="left" vertical="top" wrapText="1"/>
      <protection hidden="1"/>
    </xf>
    <xf numFmtId="0" fontId="81" fillId="2" borderId="0" xfId="2" applyFont="1" applyFill="1" applyAlignment="1" applyProtection="1">
      <alignment horizontal="left" vertical="center"/>
      <protection hidden="1"/>
    </xf>
    <xf numFmtId="0" fontId="54" fillId="2" borderId="0" xfId="2" applyNumberFormat="1" applyFont="1" applyFill="1" applyBorder="1" applyAlignment="1" applyProtection="1">
      <alignment horizontal="right" vertical="center"/>
      <protection hidden="1"/>
    </xf>
    <xf numFmtId="0" fontId="82" fillId="2" borderId="0" xfId="2" applyNumberFormat="1" applyFont="1" applyFill="1" applyBorder="1" applyAlignment="1" applyProtection="1">
      <alignment horizontal="left" vertical="center" indent="1"/>
      <protection hidden="1"/>
    </xf>
    <xf numFmtId="14" fontId="48" fillId="2" borderId="16" xfId="0" applyNumberFormat="1" applyFont="1" applyFill="1" applyBorder="1" applyAlignment="1" applyProtection="1">
      <alignment horizontal="center" vertical="center"/>
      <protection hidden="1"/>
    </xf>
    <xf numFmtId="0" fontId="48" fillId="2" borderId="17" xfId="0" applyNumberFormat="1" applyFont="1" applyFill="1" applyBorder="1" applyAlignment="1" applyProtection="1">
      <alignment horizontal="center" vertical="center"/>
      <protection hidden="1"/>
    </xf>
    <xf numFmtId="0" fontId="48" fillId="2" borderId="18" xfId="0" applyNumberFormat="1" applyFont="1" applyFill="1" applyBorder="1" applyAlignment="1" applyProtection="1">
      <alignment horizontal="center" vertical="center"/>
      <protection hidden="1"/>
    </xf>
    <xf numFmtId="0" fontId="3" fillId="3" borderId="5" xfId="2" applyFill="1" applyBorder="1" applyAlignment="1" applyProtection="1">
      <alignment horizontal="center"/>
      <protection hidden="1"/>
    </xf>
    <xf numFmtId="0" fontId="3" fillId="3" borderId="85" xfId="2" applyFill="1" applyBorder="1" applyAlignment="1" applyProtection="1">
      <alignment horizontal="center"/>
      <protection hidden="1"/>
    </xf>
    <xf numFmtId="0" fontId="8" fillId="2" borderId="0" xfId="2" applyNumberFormat="1" applyFont="1" applyFill="1" applyBorder="1" applyAlignment="1" applyProtection="1">
      <alignment horizontal="left"/>
      <protection hidden="1"/>
    </xf>
    <xf numFmtId="0" fontId="14" fillId="2" borderId="7" xfId="2" applyNumberFormat="1" applyFont="1" applyFill="1" applyBorder="1" applyAlignment="1" applyProtection="1">
      <alignment horizontal="right" vertical="center"/>
      <protection hidden="1"/>
    </xf>
    <xf numFmtId="168" fontId="18" fillId="2" borderId="7" xfId="2" applyNumberFormat="1" applyFont="1" applyFill="1" applyBorder="1" applyAlignment="1" applyProtection="1">
      <alignment horizontal="left" vertical="center"/>
      <protection hidden="1"/>
    </xf>
    <xf numFmtId="166" fontId="49" fillId="2" borderId="0" xfId="2" applyNumberFormat="1" applyFont="1" applyFill="1" applyAlignment="1" applyProtection="1">
      <alignment horizontal="left" vertical="top"/>
      <protection hidden="1"/>
    </xf>
    <xf numFmtId="0" fontId="49" fillId="2" borderId="0" xfId="2" applyFont="1" applyFill="1" applyAlignment="1" applyProtection="1">
      <alignment horizontal="left" vertical="top"/>
      <protection hidden="1"/>
    </xf>
    <xf numFmtId="0" fontId="36" fillId="2" borderId="4" xfId="2" applyFont="1" applyFill="1" applyBorder="1" applyAlignment="1" applyProtection="1">
      <alignment horizontal="center"/>
      <protection hidden="1"/>
    </xf>
    <xf numFmtId="0" fontId="36" fillId="2" borderId="0" xfId="2" applyFont="1" applyFill="1" applyBorder="1" applyAlignment="1" applyProtection="1">
      <alignment horizontal="center"/>
      <protection hidden="1"/>
    </xf>
    <xf numFmtId="168" fontId="49" fillId="2" borderId="0" xfId="2" applyNumberFormat="1" applyFont="1" applyFill="1" applyBorder="1" applyAlignment="1" applyProtection="1">
      <alignment horizontal="left"/>
      <protection hidden="1"/>
    </xf>
    <xf numFmtId="0" fontId="36" fillId="2" borderId="83" xfId="2" applyFont="1" applyFill="1" applyBorder="1" applyAlignment="1" applyProtection="1">
      <alignment horizontal="center" vertical="center"/>
      <protection hidden="1"/>
    </xf>
    <xf numFmtId="0" fontId="66" fillId="2" borderId="0" xfId="2" applyFont="1" applyFill="1" applyBorder="1" applyAlignment="1" applyProtection="1">
      <alignment horizontal="left" vertical="center" indent="1"/>
      <protection hidden="1"/>
    </xf>
    <xf numFmtId="189" fontId="49" fillId="2" borderId="4" xfId="2" applyNumberFormat="1" applyFont="1" applyFill="1" applyBorder="1" applyAlignment="1" applyProtection="1">
      <alignment horizontal="right" vertical="center"/>
      <protection hidden="1"/>
    </xf>
    <xf numFmtId="0" fontId="36" fillId="2" borderId="16" xfId="2" applyFont="1" applyFill="1" applyBorder="1" applyAlignment="1" applyProtection="1">
      <alignment horizontal="center" vertical="center"/>
      <protection hidden="1"/>
    </xf>
    <xf numFmtId="0" fontId="36" fillId="2" borderId="18" xfId="2" applyFont="1" applyFill="1" applyBorder="1" applyAlignment="1" applyProtection="1">
      <alignment horizontal="center" vertical="center"/>
      <protection hidden="1"/>
    </xf>
    <xf numFmtId="0" fontId="128" fillId="3" borderId="60" xfId="2" applyFont="1" applyFill="1" applyBorder="1" applyAlignment="1" applyProtection="1">
      <alignment horizontal="center"/>
      <protection hidden="1"/>
    </xf>
    <xf numFmtId="0" fontId="128" fillId="3" borderId="63" xfId="2" applyFont="1" applyFill="1" applyBorder="1" applyAlignment="1" applyProtection="1">
      <alignment horizontal="center"/>
      <protection hidden="1"/>
    </xf>
    <xf numFmtId="166" fontId="52" fillId="2" borderId="0" xfId="2" applyNumberFormat="1" applyFont="1" applyFill="1" applyBorder="1" applyAlignment="1" applyProtection="1">
      <alignment horizontal="left" vertical="center"/>
      <protection hidden="1"/>
    </xf>
    <xf numFmtId="0" fontId="50" fillId="2" borderId="0" xfId="2" applyFont="1" applyFill="1" applyBorder="1" applyAlignment="1" applyProtection="1">
      <alignment horizontal="left" vertical="center" indent="1"/>
      <protection hidden="1"/>
    </xf>
    <xf numFmtId="166" fontId="85" fillId="2" borderId="7" xfId="2" applyNumberFormat="1" applyFont="1" applyFill="1" applyBorder="1" applyAlignment="1" applyProtection="1">
      <alignment horizontal="left" vertical="top"/>
      <protection hidden="1"/>
    </xf>
    <xf numFmtId="168" fontId="27" fillId="2" borderId="0" xfId="2" applyNumberFormat="1" applyFont="1" applyFill="1" applyBorder="1" applyAlignment="1" applyProtection="1">
      <alignment horizontal="right" vertical="center"/>
      <protection hidden="1"/>
    </xf>
    <xf numFmtId="166" fontId="6" fillId="2" borderId="0" xfId="2" applyNumberFormat="1" applyFont="1" applyFill="1" applyBorder="1" applyAlignment="1" applyProtection="1">
      <alignment horizontal="left" vertical="center"/>
      <protection hidden="1"/>
    </xf>
    <xf numFmtId="166" fontId="45" fillId="2" borderId="0" xfId="2" applyNumberFormat="1" applyFont="1" applyFill="1" applyBorder="1" applyAlignment="1" applyProtection="1">
      <alignment horizontal="left" vertical="center"/>
      <protection hidden="1"/>
    </xf>
    <xf numFmtId="49" fontId="53" fillId="2" borderId="0" xfId="2" applyNumberFormat="1" applyFont="1" applyFill="1" applyBorder="1" applyAlignment="1" applyProtection="1">
      <alignment horizontal="left" vertical="center"/>
      <protection hidden="1"/>
    </xf>
    <xf numFmtId="0" fontId="53" fillId="2" borderId="0" xfId="2" applyNumberFormat="1" applyFont="1" applyFill="1" applyBorder="1" applyAlignment="1" applyProtection="1">
      <alignment horizontal="left" vertical="center"/>
      <protection hidden="1"/>
    </xf>
    <xf numFmtId="166" fontId="8" fillId="2" borderId="0" xfId="2" applyNumberFormat="1" applyFont="1" applyFill="1" applyBorder="1" applyAlignment="1" applyProtection="1">
      <alignment horizontal="left"/>
      <protection hidden="1"/>
    </xf>
    <xf numFmtId="166" fontId="67" fillId="2" borderId="0" xfId="2" applyNumberFormat="1" applyFont="1" applyFill="1" applyBorder="1" applyAlignment="1" applyProtection="1">
      <alignment horizontal="left" vertical="top" wrapText="1"/>
      <protection hidden="1"/>
    </xf>
    <xf numFmtId="166" fontId="54" fillId="2" borderId="0" xfId="2" applyNumberFormat="1" applyFont="1" applyFill="1" applyBorder="1" applyAlignment="1" applyProtection="1">
      <alignment horizontal="left" vertical="center"/>
      <protection hidden="1"/>
    </xf>
    <xf numFmtId="0" fontId="19" fillId="2" borderId="0" xfId="2" applyFont="1" applyFill="1" applyBorder="1" applyAlignment="1" applyProtection="1">
      <alignment horizontal="left"/>
      <protection hidden="1"/>
    </xf>
    <xf numFmtId="0" fontId="3" fillId="2" borderId="0" xfId="2" applyFont="1" applyFill="1" applyBorder="1" applyAlignment="1" applyProtection="1">
      <alignment horizontal="left" vertical="top"/>
      <protection hidden="1"/>
    </xf>
    <xf numFmtId="0" fontId="136" fillId="2" borderId="7" xfId="2" applyFont="1" applyFill="1" applyBorder="1" applyAlignment="1" applyProtection="1">
      <alignment horizontal="center" vertical="top"/>
      <protection locked="0"/>
    </xf>
    <xf numFmtId="0" fontId="14" fillId="3" borderId="36" xfId="2" applyNumberFormat="1" applyFont="1" applyFill="1" applyBorder="1" applyAlignment="1" applyProtection="1">
      <alignment horizontal="center"/>
      <protection hidden="1"/>
    </xf>
    <xf numFmtId="0" fontId="14" fillId="3" borderId="24" xfId="2" applyNumberFormat="1" applyFont="1" applyFill="1" applyBorder="1" applyAlignment="1" applyProtection="1">
      <alignment horizontal="center"/>
      <protection hidden="1"/>
    </xf>
    <xf numFmtId="0" fontId="19" fillId="2" borderId="7" xfId="2" applyFont="1" applyFill="1" applyBorder="1" applyAlignment="1" applyProtection="1">
      <alignment horizontal="center" vertical="center"/>
      <protection locked="0"/>
    </xf>
    <xf numFmtId="0" fontId="35" fillId="3" borderId="2" xfId="2" applyNumberFormat="1" applyFont="1" applyFill="1" applyBorder="1" applyAlignment="1" applyProtection="1">
      <alignment horizontal="center" vertical="top"/>
      <protection hidden="1"/>
    </xf>
    <xf numFmtId="0" fontId="35" fillId="3" borderId="3" xfId="2" applyNumberFormat="1" applyFont="1" applyFill="1" applyBorder="1" applyAlignment="1" applyProtection="1">
      <alignment horizontal="center" vertical="top"/>
      <protection hidden="1"/>
    </xf>
    <xf numFmtId="168" fontId="44" fillId="2" borderId="0" xfId="2" applyNumberFormat="1" applyFont="1" applyFill="1" applyBorder="1" applyAlignment="1" applyProtection="1">
      <alignment horizontal="right" vertical="top"/>
      <protection hidden="1"/>
    </xf>
    <xf numFmtId="166" fontId="12" fillId="2" borderId="36" xfId="2" applyNumberFormat="1" applyFont="1" applyFill="1" applyBorder="1" applyAlignment="1" applyProtection="1">
      <alignment horizontal="left"/>
      <protection hidden="1"/>
    </xf>
    <xf numFmtId="166" fontId="12" fillId="2" borderId="4" xfId="2" applyNumberFormat="1" applyFont="1" applyFill="1" applyBorder="1" applyAlignment="1" applyProtection="1">
      <alignment horizontal="left"/>
      <protection hidden="1"/>
    </xf>
    <xf numFmtId="166" fontId="12" fillId="2" borderId="24" xfId="2" applyNumberFormat="1" applyFont="1" applyFill="1" applyBorder="1" applyAlignment="1" applyProtection="1">
      <alignment horizontal="left"/>
      <protection hidden="1"/>
    </xf>
    <xf numFmtId="14" fontId="67" fillId="2" borderId="41" xfId="2" applyNumberFormat="1" applyFont="1" applyFill="1" applyBorder="1" applyAlignment="1" applyProtection="1">
      <alignment horizontal="left" vertical="top" indent="1"/>
      <protection locked="0"/>
    </xf>
    <xf numFmtId="14" fontId="67" fillId="2" borderId="30" xfId="2" applyNumberFormat="1" applyFont="1" applyFill="1" applyBorder="1" applyAlignment="1" applyProtection="1">
      <alignment horizontal="left" vertical="top" indent="1"/>
      <protection locked="0"/>
    </xf>
    <xf numFmtId="14" fontId="67" fillId="2" borderId="84" xfId="2" applyNumberFormat="1" applyFont="1" applyFill="1" applyBorder="1" applyAlignment="1" applyProtection="1">
      <alignment horizontal="left" vertical="top" indent="1"/>
      <protection locked="0"/>
    </xf>
    <xf numFmtId="166" fontId="12" fillId="2" borderId="86" xfId="2" applyNumberFormat="1" applyFont="1" applyFill="1" applyBorder="1" applyAlignment="1" applyProtection="1">
      <alignment horizontal="left"/>
      <protection hidden="1"/>
    </xf>
    <xf numFmtId="166" fontId="12" fillId="2" borderId="83" xfId="2" applyNumberFormat="1" applyFont="1" applyFill="1" applyBorder="1" applyAlignment="1" applyProtection="1">
      <alignment horizontal="left"/>
      <protection hidden="1"/>
    </xf>
    <xf numFmtId="166" fontId="12" fillId="2" borderId="87" xfId="2" applyNumberFormat="1" applyFont="1" applyFill="1" applyBorder="1" applyAlignment="1" applyProtection="1">
      <alignment horizontal="left"/>
      <protection hidden="1"/>
    </xf>
    <xf numFmtId="168" fontId="49" fillId="2" borderId="7" xfId="2" applyNumberFormat="1" applyFont="1" applyFill="1" applyBorder="1" applyAlignment="1" applyProtection="1">
      <alignment horizontal="right" vertical="center"/>
      <protection hidden="1"/>
    </xf>
    <xf numFmtId="0" fontId="162" fillId="2" borderId="103" xfId="2" applyFont="1" applyFill="1" applyBorder="1" applyAlignment="1" applyProtection="1">
      <alignment horizontal="center"/>
      <protection hidden="1"/>
    </xf>
    <xf numFmtId="0" fontId="58" fillId="2" borderId="0" xfId="2" applyNumberFormat="1" applyFont="1" applyFill="1" applyBorder="1" applyAlignment="1" applyProtection="1">
      <alignment horizontal="center" vertical="top"/>
      <protection hidden="1"/>
    </xf>
    <xf numFmtId="0" fontId="67" fillId="2" borderId="2" xfId="2" applyNumberFormat="1" applyFont="1" applyFill="1" applyBorder="1" applyAlignment="1" applyProtection="1">
      <alignment horizontal="left" vertical="top" indent="1"/>
      <protection locked="0"/>
    </xf>
    <xf numFmtId="0" fontId="67" fillId="2" borderId="7" xfId="2" applyNumberFormat="1" applyFont="1" applyFill="1" applyBorder="1" applyAlignment="1" applyProtection="1">
      <alignment horizontal="left" vertical="top" indent="1"/>
      <protection locked="0"/>
    </xf>
    <xf numFmtId="168" fontId="44" fillId="2" borderId="124" xfId="2" applyNumberFormat="1" applyFont="1" applyFill="1" applyBorder="1" applyAlignment="1" applyProtection="1">
      <alignment horizontal="right" vertical="top"/>
      <protection hidden="1"/>
    </xf>
    <xf numFmtId="168" fontId="44" fillId="2" borderId="123" xfId="2" applyNumberFormat="1" applyFont="1" applyFill="1" applyBorder="1" applyAlignment="1" applyProtection="1">
      <alignment horizontal="right" vertical="top"/>
      <protection hidden="1"/>
    </xf>
    <xf numFmtId="181" fontId="44" fillId="2" borderId="0" xfId="2" applyNumberFormat="1" applyFont="1" applyFill="1" applyBorder="1" applyAlignment="1" applyProtection="1">
      <alignment horizontal="right" vertical="top"/>
      <protection hidden="1"/>
    </xf>
    <xf numFmtId="0" fontId="67" fillId="2" borderId="7" xfId="2" applyFont="1" applyFill="1" applyBorder="1" applyAlignment="1" applyProtection="1">
      <alignment horizontal="left" vertical="top"/>
      <protection hidden="1"/>
    </xf>
    <xf numFmtId="0" fontId="14" fillId="2" borderId="4" xfId="2" applyFont="1" applyFill="1" applyBorder="1" applyAlignment="1" applyProtection="1">
      <alignment horizontal="left"/>
      <protection hidden="1"/>
    </xf>
    <xf numFmtId="0" fontId="14" fillId="2" borderId="0" xfId="2" applyFont="1" applyFill="1" applyBorder="1" applyAlignment="1" applyProtection="1">
      <alignment horizontal="left"/>
      <protection hidden="1"/>
    </xf>
    <xf numFmtId="166" fontId="17" fillId="0" borderId="0" xfId="0" applyNumberFormat="1" applyFont="1" applyAlignment="1" applyProtection="1">
      <alignment horizontal="left"/>
      <protection hidden="1"/>
    </xf>
    <xf numFmtId="0" fontId="67" fillId="2" borderId="36" xfId="2" applyFont="1" applyFill="1" applyBorder="1" applyAlignment="1" applyProtection="1">
      <alignment horizontal="center"/>
      <protection hidden="1"/>
    </xf>
    <xf numFmtId="0" fontId="67" fillId="2" borderId="24" xfId="2" applyFont="1" applyFill="1" applyBorder="1" applyAlignment="1" applyProtection="1">
      <alignment horizontal="center"/>
      <protection hidden="1"/>
    </xf>
    <xf numFmtId="0" fontId="67" fillId="2" borderId="1" xfId="2" applyFont="1" applyFill="1" applyBorder="1" applyAlignment="1" applyProtection="1">
      <alignment horizontal="center"/>
      <protection hidden="1"/>
    </xf>
    <xf numFmtId="0" fontId="67" fillId="2" borderId="22" xfId="2" applyFont="1" applyFill="1" applyBorder="1" applyAlignment="1" applyProtection="1">
      <alignment horizontal="center"/>
      <protection hidden="1"/>
    </xf>
    <xf numFmtId="0" fontId="96" fillId="2" borderId="2" xfId="2" applyNumberFormat="1" applyFont="1" applyFill="1" applyBorder="1" applyAlignment="1" applyProtection="1">
      <alignment horizontal="center" vertical="top"/>
      <protection hidden="1"/>
    </xf>
    <xf numFmtId="0" fontId="96" fillId="2" borderId="3" xfId="2" applyNumberFormat="1" applyFont="1" applyFill="1" applyBorder="1" applyAlignment="1" applyProtection="1">
      <alignment horizontal="center" vertical="top"/>
      <protection hidden="1"/>
    </xf>
    <xf numFmtId="0" fontId="18" fillId="2" borderId="2" xfId="2" applyFont="1" applyFill="1" applyBorder="1" applyAlignment="1" applyProtection="1">
      <alignment horizontal="center" vertical="top" wrapText="1"/>
      <protection hidden="1"/>
    </xf>
    <xf numFmtId="0" fontId="18" fillId="2" borderId="3" xfId="2" applyFont="1" applyFill="1" applyBorder="1" applyAlignment="1" applyProtection="1">
      <alignment horizontal="center" vertical="top" wrapText="1"/>
      <protection hidden="1"/>
    </xf>
    <xf numFmtId="0" fontId="105" fillId="2" borderId="5" xfId="2" applyFont="1" applyFill="1" applyBorder="1" applyAlignment="1" applyProtection="1">
      <alignment horizontal="center" vertical="center"/>
      <protection hidden="1"/>
    </xf>
    <xf numFmtId="0" fontId="105" fillId="2" borderId="85" xfId="2" applyFont="1" applyFill="1" applyBorder="1" applyAlignment="1" applyProtection="1">
      <alignment horizontal="center" vertical="center"/>
      <protection hidden="1"/>
    </xf>
    <xf numFmtId="168" fontId="67" fillId="2" borderId="5" xfId="2" applyNumberFormat="1" applyFont="1" applyFill="1" applyBorder="1" applyAlignment="1" applyProtection="1">
      <alignment horizontal="right" vertical="center"/>
      <protection hidden="1"/>
    </xf>
    <xf numFmtId="168" fontId="67" fillId="2" borderId="85" xfId="2" applyNumberFormat="1" applyFont="1" applyFill="1" applyBorder="1" applyAlignment="1" applyProtection="1">
      <alignment horizontal="right" vertical="center"/>
      <protection hidden="1"/>
    </xf>
    <xf numFmtId="168" fontId="67" fillId="2" borderId="61" xfId="2" applyNumberFormat="1" applyFont="1" applyFill="1" applyBorder="1" applyAlignment="1" applyProtection="1">
      <alignment horizontal="right" vertical="center"/>
      <protection hidden="1"/>
    </xf>
    <xf numFmtId="168" fontId="67" fillId="2" borderId="64" xfId="2" applyNumberFormat="1" applyFont="1" applyFill="1" applyBorder="1" applyAlignment="1" applyProtection="1">
      <alignment horizontal="right" vertical="center"/>
      <protection hidden="1"/>
    </xf>
    <xf numFmtId="0" fontId="54" fillId="2" borderId="0" xfId="2" applyNumberFormat="1" applyFont="1" applyFill="1" applyBorder="1" applyAlignment="1" applyProtection="1">
      <alignment horizontal="left" vertical="center"/>
      <protection hidden="1"/>
    </xf>
    <xf numFmtId="168" fontId="67" fillId="2" borderId="86" xfId="2" applyNumberFormat="1" applyFont="1" applyFill="1" applyBorder="1" applyAlignment="1" applyProtection="1">
      <alignment horizontal="right" vertical="center"/>
      <protection hidden="1"/>
    </xf>
    <xf numFmtId="168" fontId="67" fillId="2" borderId="87" xfId="2" applyNumberFormat="1" applyFont="1" applyFill="1" applyBorder="1" applyAlignment="1" applyProtection="1">
      <alignment horizontal="right" vertical="center"/>
      <protection hidden="1"/>
    </xf>
    <xf numFmtId="0" fontId="96" fillId="3" borderId="36" xfId="2" applyFont="1" applyFill="1" applyBorder="1" applyAlignment="1" applyProtection="1">
      <alignment horizontal="center" vertical="center"/>
      <protection hidden="1"/>
    </xf>
    <xf numFmtId="0" fontId="96" fillId="3" borderId="24" xfId="2" applyFont="1" applyFill="1" applyBorder="1" applyAlignment="1" applyProtection="1">
      <alignment horizontal="center" vertical="center"/>
      <protection hidden="1"/>
    </xf>
    <xf numFmtId="0" fontId="96" fillId="3" borderId="41" xfId="2" applyFont="1" applyFill="1" applyBorder="1" applyAlignment="1" applyProtection="1">
      <alignment horizontal="center" vertical="center"/>
      <protection hidden="1"/>
    </xf>
    <xf numFmtId="0" fontId="96" fillId="3" borderId="84" xfId="2" applyFont="1" applyFill="1" applyBorder="1" applyAlignment="1" applyProtection="1">
      <alignment horizontal="center" vertical="center"/>
      <protection hidden="1"/>
    </xf>
    <xf numFmtId="168" fontId="67" fillId="2" borderId="41" xfId="2" applyNumberFormat="1" applyFont="1" applyFill="1" applyBorder="1" applyAlignment="1" applyProtection="1">
      <alignment horizontal="right" vertical="center"/>
      <protection hidden="1"/>
    </xf>
    <xf numFmtId="168" fontId="67" fillId="2" borderId="84" xfId="2" applyNumberFormat="1" applyFont="1" applyFill="1" applyBorder="1" applyAlignment="1" applyProtection="1">
      <alignment horizontal="right" vertical="center"/>
      <protection hidden="1"/>
    </xf>
    <xf numFmtId="0" fontId="18" fillId="2" borderId="36" xfId="2" applyFont="1" applyFill="1" applyBorder="1" applyAlignment="1" applyProtection="1">
      <alignment horizontal="center" wrapText="1"/>
      <protection hidden="1"/>
    </xf>
    <xf numFmtId="0" fontId="18" fillId="2" borderId="24" xfId="2" applyFont="1" applyFill="1" applyBorder="1" applyAlignment="1" applyProtection="1">
      <alignment horizontal="center" wrapText="1"/>
      <protection hidden="1"/>
    </xf>
    <xf numFmtId="0" fontId="18" fillId="2" borderId="1" xfId="2" applyFont="1" applyFill="1" applyBorder="1" applyAlignment="1" applyProtection="1">
      <alignment horizontal="center" wrapText="1"/>
      <protection hidden="1"/>
    </xf>
    <xf numFmtId="0" fontId="18" fillId="2" borderId="22" xfId="2" applyFont="1" applyFill="1" applyBorder="1" applyAlignment="1" applyProtection="1">
      <alignment horizontal="center" wrapText="1"/>
      <protection hidden="1"/>
    </xf>
    <xf numFmtId="0" fontId="17" fillId="2" borderId="7" xfId="2" applyFont="1" applyFill="1" applyBorder="1" applyAlignment="1" applyProtection="1">
      <alignment horizontal="left" vertical="center"/>
      <protection hidden="1"/>
    </xf>
    <xf numFmtId="168" fontId="18" fillId="2" borderId="5" xfId="2" applyNumberFormat="1" applyFont="1" applyFill="1" applyBorder="1" applyAlignment="1" applyProtection="1">
      <alignment horizontal="right" vertical="center"/>
      <protection hidden="1"/>
    </xf>
    <xf numFmtId="168" fontId="18" fillId="2" borderId="85" xfId="2" applyNumberFormat="1" applyFont="1" applyFill="1" applyBorder="1" applyAlignment="1" applyProtection="1">
      <alignment horizontal="right" vertical="center"/>
      <protection hidden="1"/>
    </xf>
    <xf numFmtId="168" fontId="67" fillId="3" borderId="36" xfId="2" applyNumberFormat="1" applyFont="1" applyFill="1" applyBorder="1" applyAlignment="1" applyProtection="1">
      <alignment horizontal="right"/>
      <protection hidden="1"/>
    </xf>
    <xf numFmtId="168" fontId="67" fillId="3" borderId="24" xfId="2" applyNumberFormat="1" applyFont="1" applyFill="1" applyBorder="1" applyAlignment="1" applyProtection="1">
      <alignment horizontal="right"/>
      <protection hidden="1"/>
    </xf>
    <xf numFmtId="0" fontId="67" fillId="2" borderId="0" xfId="2" applyNumberFormat="1" applyFont="1" applyFill="1" applyBorder="1" applyAlignment="1" applyProtection="1">
      <alignment horizontal="left"/>
      <protection hidden="1"/>
    </xf>
    <xf numFmtId="0" fontId="67" fillId="2" borderId="22" xfId="2" applyNumberFormat="1" applyFont="1" applyFill="1" applyBorder="1" applyAlignment="1" applyProtection="1">
      <alignment horizontal="left"/>
      <protection hidden="1"/>
    </xf>
    <xf numFmtId="168" fontId="67" fillId="3" borderId="2" xfId="2" applyNumberFormat="1" applyFont="1" applyFill="1" applyBorder="1" applyAlignment="1" applyProtection="1">
      <alignment horizontal="right" vertical="top"/>
      <protection hidden="1"/>
    </xf>
    <xf numFmtId="168" fontId="67" fillId="3" borderId="3" xfId="2" applyNumberFormat="1" applyFont="1" applyFill="1" applyBorder="1" applyAlignment="1" applyProtection="1">
      <alignment horizontal="right" vertical="top"/>
      <protection hidden="1"/>
    </xf>
    <xf numFmtId="169" fontId="67" fillId="2" borderId="25" xfId="0" applyNumberFormat="1" applyFont="1" applyFill="1" applyBorder="1" applyAlignment="1" applyProtection="1">
      <alignment horizontal="right" vertical="center"/>
      <protection locked="0"/>
    </xf>
    <xf numFmtId="169" fontId="67" fillId="2" borderId="15" xfId="0" applyNumberFormat="1" applyFont="1" applyFill="1" applyBorder="1" applyAlignment="1" applyProtection="1">
      <alignment horizontal="right" vertical="center"/>
      <protection locked="0"/>
    </xf>
    <xf numFmtId="0" fontId="14" fillId="2" borderId="0" xfId="2" applyNumberFormat="1" applyFont="1" applyFill="1" applyBorder="1" applyAlignment="1" applyProtection="1">
      <alignment horizontal="right" vertical="top"/>
      <protection hidden="1"/>
    </xf>
    <xf numFmtId="168" fontId="18" fillId="2" borderId="0" xfId="2" applyNumberFormat="1" applyFont="1" applyFill="1" applyBorder="1" applyAlignment="1" applyProtection="1">
      <alignment horizontal="left" vertical="top"/>
      <protection hidden="1"/>
    </xf>
    <xf numFmtId="0" fontId="14" fillId="2" borderId="0" xfId="2" applyNumberFormat="1" applyFont="1" applyFill="1" applyBorder="1" applyAlignment="1" applyProtection="1">
      <alignment horizontal="right"/>
      <protection hidden="1"/>
    </xf>
    <xf numFmtId="168" fontId="18" fillId="2" borderId="0" xfId="2" applyNumberFormat="1" applyFont="1" applyFill="1" applyBorder="1" applyAlignment="1" applyProtection="1">
      <alignment horizontal="left"/>
      <protection hidden="1"/>
    </xf>
    <xf numFmtId="0" fontId="14" fillId="2" borderId="0" xfId="2" applyNumberFormat="1" applyFont="1" applyFill="1" applyBorder="1" applyAlignment="1" applyProtection="1">
      <alignment horizontal="right" vertical="center"/>
      <protection hidden="1"/>
    </xf>
    <xf numFmtId="168" fontId="18" fillId="2" borderId="0" xfId="2" applyNumberFormat="1" applyFont="1" applyFill="1" applyBorder="1" applyAlignment="1" applyProtection="1">
      <alignment horizontal="left" vertical="center"/>
      <protection hidden="1"/>
    </xf>
    <xf numFmtId="0" fontId="95" fillId="4" borderId="5" xfId="2" applyFont="1" applyFill="1" applyBorder="1" applyAlignment="1" applyProtection="1">
      <alignment horizontal="center" vertical="center"/>
      <protection locked="0"/>
    </xf>
    <xf numFmtId="0" fontId="95" fillId="4" borderId="74" xfId="2" applyFont="1" applyFill="1" applyBorder="1" applyAlignment="1" applyProtection="1">
      <alignment horizontal="center" vertical="center"/>
      <protection locked="0"/>
    </xf>
    <xf numFmtId="0" fontId="95" fillId="4" borderId="85" xfId="2" applyFont="1" applyFill="1" applyBorder="1" applyAlignment="1" applyProtection="1">
      <alignment horizontal="center" vertical="center"/>
      <protection locked="0"/>
    </xf>
    <xf numFmtId="0" fontId="127" fillId="4" borderId="62" xfId="2" applyFont="1" applyFill="1" applyBorder="1" applyAlignment="1" applyProtection="1">
      <alignment horizontal="center"/>
      <protection hidden="1"/>
    </xf>
    <xf numFmtId="0" fontId="127" fillId="4" borderId="65" xfId="2" applyFont="1" applyFill="1" applyBorder="1" applyAlignment="1" applyProtection="1">
      <alignment horizontal="center"/>
      <protection hidden="1"/>
    </xf>
    <xf numFmtId="168" fontId="18" fillId="2" borderId="7" xfId="2" applyNumberFormat="1" applyFont="1" applyFill="1" applyBorder="1" applyAlignment="1" applyProtection="1">
      <alignment horizontal="center" vertical="center"/>
      <protection hidden="1"/>
    </xf>
    <xf numFmtId="0" fontId="127" fillId="4" borderId="60" xfId="2" applyFont="1" applyFill="1" applyBorder="1" applyAlignment="1" applyProtection="1">
      <alignment horizontal="center"/>
      <protection hidden="1"/>
    </xf>
    <xf numFmtId="0" fontId="127" fillId="4" borderId="63" xfId="2" applyFont="1" applyFill="1" applyBorder="1" applyAlignment="1" applyProtection="1">
      <alignment horizontal="center"/>
      <protection hidden="1"/>
    </xf>
    <xf numFmtId="0" fontId="128" fillId="3" borderId="62" xfId="2" applyFont="1" applyFill="1" applyBorder="1" applyAlignment="1" applyProtection="1">
      <alignment horizontal="center"/>
      <protection hidden="1"/>
    </xf>
    <xf numFmtId="0" fontId="128" fillId="3" borderId="65" xfId="2" applyFont="1" applyFill="1" applyBorder="1" applyAlignment="1" applyProtection="1">
      <alignment horizontal="center"/>
      <protection hidden="1"/>
    </xf>
    <xf numFmtId="0" fontId="3" fillId="2" borderId="0" xfId="2" applyFill="1" applyAlignment="1" applyProtection="1">
      <alignment horizontal="center"/>
      <protection hidden="1"/>
    </xf>
    <xf numFmtId="0" fontId="3" fillId="2" borderId="0" xfId="2" applyFill="1" applyBorder="1" applyAlignment="1" applyProtection="1">
      <alignment horizontal="center"/>
      <protection hidden="1"/>
    </xf>
    <xf numFmtId="0" fontId="3" fillId="2" borderId="4" xfId="2" applyFill="1" applyBorder="1" applyAlignment="1" applyProtection="1">
      <alignment horizontal="center"/>
      <protection hidden="1"/>
    </xf>
    <xf numFmtId="166" fontId="50" fillId="2" borderId="0" xfId="2" applyNumberFormat="1" applyFont="1" applyFill="1" applyAlignment="1" applyProtection="1">
      <alignment horizontal="center" vertical="center"/>
      <protection hidden="1"/>
    </xf>
    <xf numFmtId="178" fontId="3" fillId="2" borderId="0" xfId="2" applyNumberFormat="1" applyFill="1" applyBorder="1" applyAlignment="1" applyProtection="1">
      <alignment horizontal="right" vertical="center"/>
      <protection hidden="1"/>
    </xf>
    <xf numFmtId="0" fontId="63" fillId="2" borderId="0" xfId="2" applyFont="1" applyFill="1" applyBorder="1" applyAlignment="1" applyProtection="1">
      <alignment horizontal="center" vertical="top"/>
      <protection hidden="1"/>
    </xf>
    <xf numFmtId="0" fontId="36" fillId="2" borderId="0" xfId="2" applyFont="1" applyFill="1" applyBorder="1" applyAlignment="1" applyProtection="1">
      <alignment horizontal="center" vertical="center"/>
      <protection hidden="1"/>
    </xf>
    <xf numFmtId="178" fontId="3" fillId="2" borderId="0" xfId="2" applyNumberFormat="1" applyFont="1" applyFill="1" applyBorder="1" applyAlignment="1" applyProtection="1">
      <alignment horizontal="right" vertical="center"/>
      <protection hidden="1"/>
    </xf>
    <xf numFmtId="0" fontId="3" fillId="2" borderId="0" xfId="2" applyFill="1" applyBorder="1" applyAlignment="1" applyProtection="1">
      <alignment horizontal="right"/>
      <protection hidden="1"/>
    </xf>
    <xf numFmtId="0" fontId="8" fillId="2" borderId="0" xfId="2" applyFont="1" applyFill="1" applyBorder="1" applyAlignment="1" applyProtection="1">
      <alignment horizontal="left" vertical="center" indent="1"/>
      <protection hidden="1"/>
    </xf>
    <xf numFmtId="166" fontId="8" fillId="2" borderId="0" xfId="2" applyNumberFormat="1" applyFont="1" applyFill="1" applyBorder="1" applyAlignment="1" applyProtection="1">
      <alignment horizontal="center" vertical="top"/>
      <protection hidden="1"/>
    </xf>
    <xf numFmtId="0" fontId="85" fillId="2" borderId="41" xfId="2" applyFont="1" applyFill="1" applyBorder="1" applyAlignment="1" applyProtection="1">
      <alignment horizontal="center" vertical="top"/>
      <protection hidden="1"/>
    </xf>
    <xf numFmtId="0" fontId="85" fillId="2" borderId="84" xfId="2" applyFont="1" applyFill="1" applyBorder="1" applyAlignment="1" applyProtection="1">
      <alignment horizontal="center" vertical="top"/>
      <protection hidden="1"/>
    </xf>
    <xf numFmtId="0" fontId="85" fillId="2" borderId="36" xfId="2" applyFont="1" applyFill="1" applyBorder="1" applyAlignment="1" applyProtection="1">
      <alignment horizontal="center"/>
      <protection hidden="1"/>
    </xf>
    <xf numFmtId="0" fontId="85" fillId="2" borderId="24" xfId="2" applyFont="1" applyFill="1" applyBorder="1" applyAlignment="1" applyProtection="1">
      <alignment horizontal="center"/>
      <protection hidden="1"/>
    </xf>
    <xf numFmtId="168" fontId="37" fillId="2" borderId="7" xfId="2" applyNumberFormat="1" applyFont="1" applyFill="1" applyBorder="1" applyAlignment="1" applyProtection="1">
      <alignment horizontal="right" vertical="center"/>
      <protection hidden="1"/>
    </xf>
    <xf numFmtId="0" fontId="49" fillId="2" borderId="7" xfId="2" applyFont="1" applyFill="1" applyBorder="1" applyAlignment="1" applyProtection="1">
      <alignment horizontal="left" vertical="center" indent="1"/>
      <protection hidden="1"/>
    </xf>
    <xf numFmtId="0" fontId="49" fillId="2" borderId="0" xfId="2" applyFont="1" applyFill="1" applyBorder="1" applyAlignment="1" applyProtection="1">
      <alignment horizontal="left" vertical="center" indent="1"/>
      <protection hidden="1"/>
    </xf>
    <xf numFmtId="0" fontId="49" fillId="2" borderId="0" xfId="2" applyFont="1" applyFill="1" applyBorder="1" applyAlignment="1" applyProtection="1">
      <alignment horizontal="center" vertical="center"/>
      <protection hidden="1"/>
    </xf>
    <xf numFmtId="0" fontId="62" fillId="2" borderId="0" xfId="2" applyFont="1" applyFill="1" applyBorder="1" applyAlignment="1" applyProtection="1">
      <alignment horizontal="center"/>
      <protection hidden="1"/>
    </xf>
    <xf numFmtId="0" fontId="57" fillId="2" borderId="0" xfId="2" applyFont="1" applyFill="1" applyBorder="1" applyAlignment="1" applyProtection="1">
      <alignment horizontal="left" indent="1"/>
      <protection hidden="1"/>
    </xf>
    <xf numFmtId="166" fontId="29" fillId="2" borderId="7" xfId="2" applyNumberFormat="1" applyFont="1" applyFill="1" applyBorder="1" applyAlignment="1" applyProtection="1">
      <alignment horizontal="left" vertical="center"/>
      <protection hidden="1"/>
    </xf>
    <xf numFmtId="166" fontId="74" fillId="2" borderId="7" xfId="2" applyNumberFormat="1" applyFont="1" applyFill="1" applyBorder="1" applyAlignment="1" applyProtection="1">
      <alignment horizontal="left" vertical="center"/>
      <protection hidden="1"/>
    </xf>
    <xf numFmtId="0" fontId="62" fillId="2" borderId="0" xfId="2" applyFont="1" applyFill="1" applyBorder="1" applyAlignment="1" applyProtection="1">
      <alignment horizontal="center" vertical="top"/>
      <protection hidden="1"/>
    </xf>
    <xf numFmtId="0" fontId="67" fillId="3" borderId="5" xfId="2" applyFont="1" applyFill="1" applyBorder="1" applyAlignment="1" applyProtection="1">
      <alignment horizontal="center" vertical="center"/>
      <protection hidden="1"/>
    </xf>
    <xf numFmtId="0" fontId="67" fillId="3" borderId="74" xfId="2" applyFont="1" applyFill="1" applyBorder="1" applyAlignment="1" applyProtection="1">
      <alignment horizontal="center" vertical="center"/>
      <protection hidden="1"/>
    </xf>
    <xf numFmtId="0" fontId="67" fillId="3" borderId="85" xfId="2" applyFont="1" applyFill="1" applyBorder="1" applyAlignment="1" applyProtection="1">
      <alignment horizontal="center" vertical="center"/>
      <protection hidden="1"/>
    </xf>
    <xf numFmtId="0" fontId="95" fillId="2" borderId="0" xfId="2" applyFont="1" applyFill="1" applyAlignment="1" applyProtection="1">
      <alignment horizontal="left" vertical="center" indent="1"/>
      <protection locked="0"/>
    </xf>
    <xf numFmtId="0" fontId="129" fillId="2" borderId="0" xfId="2" applyFont="1" applyFill="1" applyAlignment="1" applyProtection="1">
      <alignment horizontal="center" vertical="center"/>
      <protection hidden="1"/>
    </xf>
    <xf numFmtId="0" fontId="45" fillId="2" borderId="4" xfId="2" applyFont="1" applyFill="1" applyBorder="1" applyAlignment="1" applyProtection="1">
      <alignment horizontal="center"/>
      <protection hidden="1"/>
    </xf>
    <xf numFmtId="0" fontId="45" fillId="2" borderId="0" xfId="2" applyFont="1" applyFill="1" applyBorder="1" applyAlignment="1" applyProtection="1">
      <alignment horizontal="center" vertical="top"/>
      <protection hidden="1"/>
    </xf>
    <xf numFmtId="0" fontId="17" fillId="2" borderId="7" xfId="2" applyFont="1" applyFill="1" applyBorder="1" applyAlignment="1" applyProtection="1">
      <alignment horizontal="center" vertical="center"/>
      <protection hidden="1"/>
    </xf>
    <xf numFmtId="168" fontId="44" fillId="4" borderId="36" xfId="2" applyNumberFormat="1" applyFont="1" applyFill="1" applyBorder="1" applyAlignment="1" applyProtection="1">
      <alignment horizontal="right"/>
      <protection hidden="1"/>
    </xf>
    <xf numFmtId="168" fontId="44" fillId="4" borderId="24" xfId="2" applyNumberFormat="1" applyFont="1" applyFill="1" applyBorder="1" applyAlignment="1" applyProtection="1">
      <alignment horizontal="right"/>
      <protection hidden="1"/>
    </xf>
    <xf numFmtId="168" fontId="44" fillId="4" borderId="2" xfId="2" applyNumberFormat="1" applyFont="1" applyFill="1" applyBorder="1" applyAlignment="1" applyProtection="1">
      <alignment horizontal="right" vertical="top"/>
      <protection hidden="1"/>
    </xf>
    <xf numFmtId="168" fontId="44" fillId="4" borderId="3" xfId="2" applyNumberFormat="1" applyFont="1" applyFill="1" applyBorder="1" applyAlignment="1" applyProtection="1">
      <alignment horizontal="right" vertical="top"/>
      <protection hidden="1"/>
    </xf>
    <xf numFmtId="168" fontId="44" fillId="2" borderId="0" xfId="2" applyNumberFormat="1" applyFont="1" applyFill="1" applyBorder="1" applyAlignment="1" applyProtection="1">
      <alignment horizontal="right"/>
      <protection hidden="1"/>
    </xf>
    <xf numFmtId="168" fontId="67" fillId="2" borderId="1" xfId="2" applyNumberFormat="1" applyFont="1" applyFill="1" applyBorder="1" applyAlignment="1" applyProtection="1">
      <alignment horizontal="right" vertical="center"/>
      <protection hidden="1"/>
    </xf>
    <xf numFmtId="168" fontId="67" fillId="2" borderId="22" xfId="2" applyNumberFormat="1" applyFont="1" applyFill="1" applyBorder="1" applyAlignment="1" applyProtection="1">
      <alignment horizontal="right" vertical="center"/>
      <protection hidden="1"/>
    </xf>
    <xf numFmtId="168" fontId="67" fillId="2" borderId="62" xfId="2" applyNumberFormat="1" applyFont="1" applyFill="1" applyBorder="1" applyAlignment="1" applyProtection="1">
      <alignment horizontal="right" vertical="center"/>
      <protection hidden="1"/>
    </xf>
    <xf numFmtId="168" fontId="67" fillId="2" borderId="65" xfId="2" applyNumberFormat="1" applyFont="1" applyFill="1" applyBorder="1" applyAlignment="1" applyProtection="1">
      <alignment horizontal="right" vertical="center"/>
      <protection hidden="1"/>
    </xf>
    <xf numFmtId="0" fontId="78" fillId="2" borderId="5" xfId="2" applyFont="1" applyFill="1" applyBorder="1" applyAlignment="1" applyProtection="1">
      <alignment horizontal="center" vertical="center"/>
      <protection hidden="1"/>
    </xf>
    <xf numFmtId="0" fontId="78" fillId="2" borderId="85" xfId="2" applyFont="1" applyFill="1" applyBorder="1" applyAlignment="1" applyProtection="1">
      <alignment horizontal="center" vertical="center"/>
      <protection hidden="1"/>
    </xf>
    <xf numFmtId="0" fontId="49" fillId="2" borderId="7" xfId="2" applyFont="1" applyFill="1" applyBorder="1" applyAlignment="1" applyProtection="1">
      <alignment horizontal="center" vertical="center"/>
      <protection hidden="1"/>
    </xf>
    <xf numFmtId="179" fontId="8" fillId="2" borderId="36" xfId="2" applyNumberFormat="1" applyFont="1" applyFill="1" applyBorder="1" applyAlignment="1" applyProtection="1">
      <alignment horizontal="right"/>
      <protection hidden="1"/>
    </xf>
    <xf numFmtId="179" fontId="8" fillId="2" borderId="24" xfId="2" applyNumberFormat="1" applyFont="1" applyFill="1" applyBorder="1" applyAlignment="1" applyProtection="1">
      <alignment horizontal="right"/>
      <protection hidden="1"/>
    </xf>
    <xf numFmtId="179" fontId="8" fillId="2" borderId="2" xfId="2" applyNumberFormat="1" applyFont="1" applyFill="1" applyBorder="1" applyAlignment="1" applyProtection="1">
      <alignment horizontal="right" vertical="top"/>
      <protection hidden="1"/>
    </xf>
    <xf numFmtId="179" fontId="8" fillId="2" borderId="3" xfId="2" applyNumberFormat="1" applyFont="1" applyFill="1" applyBorder="1" applyAlignment="1" applyProtection="1">
      <alignment horizontal="right" vertical="top"/>
      <protection hidden="1"/>
    </xf>
    <xf numFmtId="0" fontId="62" fillId="2" borderId="36" xfId="2" applyFont="1" applyFill="1" applyBorder="1" applyAlignment="1" applyProtection="1">
      <alignment horizontal="center"/>
      <protection hidden="1"/>
    </xf>
    <xf numFmtId="0" fontId="62" fillId="2" borderId="24" xfId="2" applyFont="1" applyFill="1" applyBorder="1" applyAlignment="1" applyProtection="1">
      <alignment horizontal="center"/>
      <protection hidden="1"/>
    </xf>
    <xf numFmtId="0" fontId="62" fillId="2" borderId="1" xfId="2" applyFont="1" applyFill="1" applyBorder="1" applyAlignment="1" applyProtection="1">
      <alignment horizontal="center" vertical="top"/>
      <protection hidden="1"/>
    </xf>
    <xf numFmtId="0" fontId="62" fillId="2" borderId="22" xfId="2" applyFont="1" applyFill="1" applyBorder="1" applyAlignment="1" applyProtection="1">
      <alignment horizontal="center" vertical="top"/>
      <protection hidden="1"/>
    </xf>
    <xf numFmtId="178" fontId="3" fillId="3" borderId="60" xfId="2" applyNumberFormat="1" applyFont="1" applyFill="1" applyBorder="1" applyAlignment="1" applyProtection="1">
      <alignment horizontal="right" vertical="center"/>
      <protection hidden="1"/>
    </xf>
    <xf numFmtId="178" fontId="3" fillId="3" borderId="63" xfId="2" applyNumberFormat="1" applyFont="1" applyFill="1" applyBorder="1" applyAlignment="1" applyProtection="1">
      <alignment horizontal="right" vertical="center"/>
      <protection hidden="1"/>
    </xf>
    <xf numFmtId="178" fontId="3" fillId="3" borderId="62" xfId="2" applyNumberFormat="1" applyFill="1" applyBorder="1" applyAlignment="1" applyProtection="1">
      <alignment horizontal="right" vertical="center"/>
      <protection hidden="1"/>
    </xf>
    <xf numFmtId="178" fontId="3" fillId="3" borderId="65" xfId="2" applyNumberFormat="1" applyFill="1" applyBorder="1" applyAlignment="1" applyProtection="1">
      <alignment horizontal="right" vertical="center"/>
      <protection hidden="1"/>
    </xf>
    <xf numFmtId="0" fontId="63" fillId="2" borderId="2" xfId="2" applyFont="1" applyFill="1" applyBorder="1" applyAlignment="1" applyProtection="1">
      <alignment horizontal="center" vertical="top"/>
      <protection hidden="1"/>
    </xf>
    <xf numFmtId="0" fontId="63" fillId="2" borderId="3" xfId="2" applyFont="1" applyFill="1" applyBorder="1" applyAlignment="1" applyProtection="1">
      <alignment horizontal="center" vertical="top"/>
      <protection hidden="1"/>
    </xf>
    <xf numFmtId="0" fontId="36" fillId="2" borderId="4" xfId="2" applyFont="1" applyFill="1" applyBorder="1" applyAlignment="1" applyProtection="1">
      <alignment horizontal="center" vertical="center"/>
      <protection hidden="1"/>
    </xf>
    <xf numFmtId="0" fontId="62" fillId="2" borderId="0" xfId="2" applyFont="1" applyFill="1" applyBorder="1" applyAlignment="1" applyProtection="1">
      <alignment horizontal="left" vertical="center"/>
      <protection hidden="1"/>
    </xf>
    <xf numFmtId="190" fontId="49" fillId="2" borderId="0" xfId="2" applyNumberFormat="1" applyFont="1" applyFill="1" applyBorder="1" applyAlignment="1" applyProtection="1">
      <alignment horizontal="left" vertical="center" indent="1"/>
      <protection hidden="1"/>
    </xf>
    <xf numFmtId="190" fontId="49" fillId="2" borderId="109" xfId="2" applyNumberFormat="1" applyFont="1" applyFill="1" applyBorder="1" applyAlignment="1" applyProtection="1">
      <alignment horizontal="left" vertical="center" indent="1"/>
      <protection hidden="1"/>
    </xf>
    <xf numFmtId="0" fontId="154" fillId="2" borderId="105" xfId="2" applyFont="1" applyFill="1" applyBorder="1" applyAlignment="1" applyProtection="1">
      <alignment horizontal="center"/>
      <protection hidden="1"/>
    </xf>
    <xf numFmtId="0" fontId="154" fillId="2" borderId="0" xfId="2" applyFont="1" applyFill="1" applyBorder="1" applyAlignment="1" applyProtection="1">
      <alignment horizontal="center"/>
      <protection hidden="1"/>
    </xf>
    <xf numFmtId="0" fontId="154" fillId="2" borderId="22" xfId="2" applyFont="1" applyFill="1" applyBorder="1" applyAlignment="1" applyProtection="1">
      <alignment horizontal="center"/>
      <protection hidden="1"/>
    </xf>
    <xf numFmtId="0" fontId="83" fillId="2" borderId="105" xfId="2" applyFont="1" applyFill="1" applyBorder="1" applyAlignment="1" applyProtection="1">
      <alignment horizontal="center" vertical="top"/>
      <protection hidden="1"/>
    </xf>
    <xf numFmtId="0" fontId="83" fillId="2" borderId="0" xfId="2" applyFont="1" applyFill="1" applyBorder="1" applyAlignment="1" applyProtection="1">
      <alignment horizontal="center" vertical="top"/>
      <protection hidden="1"/>
    </xf>
    <xf numFmtId="0" fontId="83" fillId="2" borderId="22" xfId="2" applyFont="1" applyFill="1" applyBorder="1" applyAlignment="1" applyProtection="1">
      <alignment horizontal="center" vertical="top"/>
      <protection hidden="1"/>
    </xf>
    <xf numFmtId="181" fontId="95" fillId="2" borderId="0" xfId="2" applyNumberFormat="1" applyFont="1" applyFill="1" applyBorder="1" applyAlignment="1" applyProtection="1">
      <alignment horizontal="left" vertical="center" indent="1"/>
      <protection hidden="1"/>
    </xf>
    <xf numFmtId="181" fontId="95" fillId="2" borderId="109" xfId="2" applyNumberFormat="1" applyFont="1" applyFill="1" applyBorder="1" applyAlignment="1" applyProtection="1">
      <alignment horizontal="left" vertical="center" indent="1"/>
      <protection hidden="1"/>
    </xf>
    <xf numFmtId="190" fontId="44" fillId="2" borderId="0" xfId="2" applyNumberFormat="1" applyFont="1" applyFill="1" applyBorder="1" applyAlignment="1" applyProtection="1">
      <alignment horizontal="left" vertical="center" indent="1"/>
      <protection hidden="1"/>
    </xf>
    <xf numFmtId="190" fontId="44" fillId="2" borderId="109" xfId="2" applyNumberFormat="1" applyFont="1" applyFill="1" applyBorder="1" applyAlignment="1" applyProtection="1">
      <alignment horizontal="left" vertical="center" indent="1"/>
      <protection hidden="1"/>
    </xf>
    <xf numFmtId="168" fontId="37" fillId="2" borderId="62" xfId="2" applyNumberFormat="1" applyFont="1" applyFill="1" applyBorder="1" applyAlignment="1" applyProtection="1">
      <alignment horizontal="right" vertical="center"/>
      <protection hidden="1"/>
    </xf>
    <xf numFmtId="168" fontId="37" fillId="2" borderId="65" xfId="2" applyNumberFormat="1" applyFont="1" applyFill="1" applyBorder="1" applyAlignment="1" applyProtection="1">
      <alignment horizontal="right" vertical="center"/>
      <protection hidden="1"/>
    </xf>
    <xf numFmtId="168" fontId="37" fillId="2" borderId="0" xfId="2" applyNumberFormat="1" applyFont="1" applyFill="1" applyBorder="1" applyAlignment="1" applyProtection="1">
      <alignment horizontal="right" vertical="center"/>
      <protection hidden="1"/>
    </xf>
    <xf numFmtId="169" fontId="37" fillId="2" borderId="0" xfId="2" applyNumberFormat="1" applyFont="1" applyFill="1" applyBorder="1" applyAlignment="1" applyProtection="1">
      <alignment horizontal="right" vertical="top"/>
      <protection hidden="1"/>
    </xf>
    <xf numFmtId="168" fontId="37" fillId="2" borderId="60" xfId="2" applyNumberFormat="1" applyFont="1" applyFill="1" applyBorder="1" applyAlignment="1" applyProtection="1">
      <alignment horizontal="right" vertical="center"/>
      <protection hidden="1"/>
    </xf>
    <xf numFmtId="168" fontId="37" fillId="2" borderId="63" xfId="2" applyNumberFormat="1" applyFont="1" applyFill="1" applyBorder="1" applyAlignment="1" applyProtection="1">
      <alignment horizontal="right" vertical="center"/>
      <protection hidden="1"/>
    </xf>
    <xf numFmtId="166" fontId="154" fillId="2" borderId="0" xfId="2" applyNumberFormat="1" applyFont="1" applyFill="1" applyBorder="1" applyAlignment="1" applyProtection="1">
      <alignment horizontal="center" vertical="top"/>
      <protection hidden="1"/>
    </xf>
    <xf numFmtId="168" fontId="37" fillId="2" borderId="61" xfId="2" applyNumberFormat="1" applyFont="1" applyFill="1" applyBorder="1" applyAlignment="1" applyProtection="1">
      <alignment horizontal="right" vertical="center"/>
      <protection hidden="1"/>
    </xf>
    <xf numFmtId="168" fontId="37" fillId="2" borderId="64" xfId="2" applyNumberFormat="1" applyFont="1" applyFill="1" applyBorder="1" applyAlignment="1" applyProtection="1">
      <alignment horizontal="right" vertical="center"/>
      <protection hidden="1"/>
    </xf>
    <xf numFmtId="0" fontId="70" fillId="2" borderId="0" xfId="2" applyFont="1" applyFill="1" applyBorder="1" applyAlignment="1" applyProtection="1">
      <alignment horizontal="left" vertical="top" indent="1"/>
      <protection hidden="1"/>
    </xf>
    <xf numFmtId="0" fontId="70" fillId="2" borderId="109" xfId="2" applyFont="1" applyFill="1" applyBorder="1" applyAlignment="1" applyProtection="1">
      <alignment horizontal="left" vertical="top" indent="1"/>
      <protection hidden="1"/>
    </xf>
    <xf numFmtId="168" fontId="37" fillId="2" borderId="16" xfId="2" applyNumberFormat="1" applyFont="1" applyFill="1" applyBorder="1" applyAlignment="1" applyProtection="1">
      <alignment horizontal="right" vertical="center"/>
      <protection hidden="1"/>
    </xf>
    <xf numFmtId="168" fontId="37" fillId="2" borderId="18" xfId="2" applyNumberFormat="1" applyFont="1" applyFill="1" applyBorder="1" applyAlignment="1" applyProtection="1">
      <alignment horizontal="right" vertical="center"/>
      <protection hidden="1"/>
    </xf>
    <xf numFmtId="168" fontId="37" fillId="2" borderId="129" xfId="2" applyNumberFormat="1" applyFont="1" applyFill="1" applyBorder="1" applyAlignment="1" applyProtection="1">
      <alignment horizontal="right" vertical="center"/>
      <protection hidden="1"/>
    </xf>
    <xf numFmtId="168" fontId="37" fillId="2" borderId="72" xfId="2" applyNumberFormat="1" applyFont="1" applyFill="1" applyBorder="1" applyAlignment="1" applyProtection="1">
      <alignment horizontal="right" vertical="center"/>
      <protection hidden="1"/>
    </xf>
    <xf numFmtId="0" fontId="154" fillId="2" borderId="0" xfId="2" applyFont="1" applyFill="1" applyAlignment="1" applyProtection="1">
      <alignment horizontal="center" vertical="top"/>
      <protection hidden="1"/>
    </xf>
    <xf numFmtId="168" fontId="37" fillId="2" borderId="7" xfId="2" applyNumberFormat="1" applyFont="1" applyFill="1" applyBorder="1" applyAlignment="1" applyProtection="1">
      <alignment horizontal="right" vertical="top"/>
      <protection hidden="1"/>
    </xf>
    <xf numFmtId="169" fontId="37" fillId="4" borderId="74" xfId="2" applyNumberFormat="1" applyFont="1" applyFill="1" applyBorder="1" applyAlignment="1" applyProtection="1">
      <alignment horizontal="right" vertical="center"/>
      <protection hidden="1"/>
    </xf>
    <xf numFmtId="169" fontId="37" fillId="4" borderId="85" xfId="2" applyNumberFormat="1" applyFont="1" applyFill="1" applyBorder="1" applyAlignment="1" applyProtection="1">
      <alignment horizontal="right" vertical="center"/>
      <protection hidden="1"/>
    </xf>
    <xf numFmtId="168" fontId="95" fillId="2" borderId="0" xfId="2" applyNumberFormat="1" applyFont="1" applyFill="1" applyBorder="1" applyAlignment="1" applyProtection="1">
      <alignment horizontal="right" vertical="center"/>
      <protection hidden="1"/>
    </xf>
    <xf numFmtId="168" fontId="37" fillId="3" borderId="51" xfId="2" applyNumberFormat="1" applyFont="1" applyFill="1" applyBorder="1" applyAlignment="1" applyProtection="1">
      <alignment horizontal="right" vertical="center"/>
      <protection hidden="1"/>
    </xf>
    <xf numFmtId="168" fontId="37" fillId="3" borderId="50" xfId="2" applyNumberFormat="1" applyFont="1" applyFill="1" applyBorder="1" applyAlignment="1" applyProtection="1">
      <alignment horizontal="right" vertical="center"/>
      <protection hidden="1"/>
    </xf>
    <xf numFmtId="169" fontId="37" fillId="2" borderId="43" xfId="2" applyNumberFormat="1" applyFont="1" applyFill="1" applyBorder="1" applyAlignment="1" applyProtection="1">
      <alignment horizontal="right" vertical="center"/>
      <protection hidden="1"/>
    </xf>
    <xf numFmtId="168" fontId="37" fillId="2" borderId="67" xfId="2" applyNumberFormat="1" applyFont="1" applyFill="1" applyBorder="1" applyAlignment="1" applyProtection="1">
      <alignment horizontal="right" vertical="center"/>
      <protection hidden="1"/>
    </xf>
    <xf numFmtId="168" fontId="37" fillId="2" borderId="73" xfId="2" applyNumberFormat="1" applyFont="1" applyFill="1" applyBorder="1" applyAlignment="1" applyProtection="1">
      <alignment horizontal="right" vertical="center"/>
      <protection hidden="1"/>
    </xf>
    <xf numFmtId="0" fontId="126" fillId="2" borderId="0" xfId="2" applyFont="1" applyFill="1" applyBorder="1" applyAlignment="1" applyProtection="1">
      <alignment horizontal="center" vertical="top"/>
      <protection hidden="1"/>
    </xf>
    <xf numFmtId="0" fontId="126" fillId="2" borderId="3" xfId="2" applyFont="1" applyFill="1" applyBorder="1" applyAlignment="1" applyProtection="1">
      <alignment horizontal="center" vertical="top"/>
      <protection hidden="1"/>
    </xf>
    <xf numFmtId="168" fontId="37" fillId="2" borderId="4" xfId="2" applyNumberFormat="1" applyFont="1" applyFill="1" applyBorder="1" applyAlignment="1" applyProtection="1">
      <alignment horizontal="right"/>
      <protection hidden="1"/>
    </xf>
    <xf numFmtId="0" fontId="35" fillId="2" borderId="0" xfId="2" applyFont="1" applyFill="1" applyAlignment="1" applyProtection="1">
      <alignment horizontal="left"/>
      <protection hidden="1"/>
    </xf>
    <xf numFmtId="0" fontId="36" fillId="2" borderId="0" xfId="2" applyFont="1" applyFill="1" applyAlignment="1" applyProtection="1">
      <alignment horizontal="center"/>
      <protection hidden="1"/>
    </xf>
    <xf numFmtId="0" fontId="36" fillId="2" borderId="7" xfId="2" applyFont="1" applyFill="1" applyBorder="1" applyAlignment="1" applyProtection="1">
      <alignment horizontal="center"/>
      <protection hidden="1"/>
    </xf>
    <xf numFmtId="168" fontId="69" fillId="2" borderId="5" xfId="2" applyNumberFormat="1" applyFont="1" applyFill="1" applyBorder="1" applyAlignment="1" applyProtection="1">
      <alignment horizontal="right" vertical="center"/>
      <protection locked="0"/>
    </xf>
    <xf numFmtId="168" fontId="69" fillId="2" borderId="74" xfId="2" applyNumberFormat="1" applyFont="1" applyFill="1" applyBorder="1" applyAlignment="1" applyProtection="1">
      <alignment horizontal="right" vertical="center"/>
      <protection locked="0"/>
    </xf>
    <xf numFmtId="168" fontId="69" fillId="2" borderId="85" xfId="2" applyNumberFormat="1" applyFont="1" applyFill="1" applyBorder="1" applyAlignment="1" applyProtection="1">
      <alignment horizontal="right" vertical="center"/>
      <protection locked="0"/>
    </xf>
    <xf numFmtId="0" fontId="67" fillId="2" borderId="0" xfId="2" applyFont="1" applyFill="1" applyAlignment="1" applyProtection="1">
      <alignment horizontal="left"/>
      <protection hidden="1"/>
    </xf>
    <xf numFmtId="0" fontId="37" fillId="2" borderId="0" xfId="2" applyFont="1" applyFill="1" applyAlignment="1" applyProtection="1">
      <alignment horizontal="center"/>
      <protection hidden="1"/>
    </xf>
    <xf numFmtId="0" fontId="153" fillId="2" borderId="0" xfId="2" applyFont="1" applyFill="1" applyAlignment="1" applyProtection="1">
      <alignment horizontal="left" vertical="top"/>
      <protection hidden="1"/>
    </xf>
    <xf numFmtId="0" fontId="153" fillId="2" borderId="0" xfId="2" applyFont="1" applyFill="1" applyAlignment="1" applyProtection="1">
      <alignment horizontal="left"/>
      <protection hidden="1"/>
    </xf>
    <xf numFmtId="0" fontId="37" fillId="2" borderId="0" xfId="2" applyFont="1" applyFill="1" applyAlignment="1" applyProtection="1">
      <alignment horizontal="left" vertical="top" indent="1"/>
      <protection hidden="1"/>
    </xf>
    <xf numFmtId="0" fontId="81" fillId="2" borderId="7" xfId="2" applyFont="1" applyFill="1" applyBorder="1" applyAlignment="1" applyProtection="1">
      <alignment horizontal="center" vertical="center"/>
      <protection hidden="1"/>
    </xf>
    <xf numFmtId="0" fontId="44" fillId="2" borderId="5" xfId="2" applyFont="1" applyFill="1" applyBorder="1" applyAlignment="1" applyProtection="1">
      <alignment horizontal="center" vertical="center"/>
      <protection locked="0"/>
    </xf>
    <xf numFmtId="0" fontId="44" fillId="2" borderId="85" xfId="2" applyFont="1" applyFill="1" applyBorder="1" applyAlignment="1" applyProtection="1">
      <alignment horizontal="center" vertical="center"/>
      <protection locked="0"/>
    </xf>
    <xf numFmtId="174" fontId="36" fillId="2" borderId="0" xfId="2" applyNumberFormat="1" applyFont="1" applyFill="1" applyAlignment="1" applyProtection="1">
      <alignment horizontal="center" vertical="center"/>
      <protection hidden="1"/>
    </xf>
    <xf numFmtId="168" fontId="63" fillId="2" borderId="187" xfId="2" applyNumberFormat="1" applyFont="1" applyFill="1" applyBorder="1" applyAlignment="1" applyProtection="1">
      <alignment horizontal="right" vertical="center"/>
      <protection hidden="1"/>
    </xf>
    <xf numFmtId="168" fontId="63" fillId="2" borderId="188" xfId="2" applyNumberFormat="1" applyFont="1" applyFill="1" applyBorder="1" applyAlignment="1" applyProtection="1">
      <alignment horizontal="right" vertical="center"/>
      <protection hidden="1"/>
    </xf>
    <xf numFmtId="168" fontId="63" fillId="2" borderId="189" xfId="2" applyNumberFormat="1" applyFont="1" applyFill="1" applyBorder="1" applyAlignment="1" applyProtection="1">
      <alignment horizontal="right" vertical="center"/>
      <protection hidden="1"/>
    </xf>
    <xf numFmtId="185" fontId="36" fillId="2" borderId="1" xfId="2" applyNumberFormat="1" applyFont="1" applyFill="1" applyBorder="1" applyAlignment="1" applyProtection="1">
      <alignment horizontal="center" vertical="center"/>
      <protection hidden="1"/>
    </xf>
    <xf numFmtId="185" fontId="36" fillId="2" borderId="22" xfId="2" applyNumberFormat="1" applyFont="1" applyFill="1" applyBorder="1" applyAlignment="1" applyProtection="1">
      <alignment horizontal="center" vertical="center"/>
      <protection hidden="1"/>
    </xf>
    <xf numFmtId="185" fontId="36" fillId="2" borderId="2" xfId="2" applyNumberFormat="1" applyFont="1" applyFill="1" applyBorder="1" applyAlignment="1" applyProtection="1">
      <alignment horizontal="center" vertical="center"/>
      <protection hidden="1"/>
    </xf>
    <xf numFmtId="185" fontId="36" fillId="2" borderId="3" xfId="2" applyNumberFormat="1" applyFont="1" applyFill="1" applyBorder="1" applyAlignment="1" applyProtection="1">
      <alignment horizontal="center" vertical="center"/>
      <protection hidden="1"/>
    </xf>
    <xf numFmtId="185" fontId="36" fillId="2" borderId="36" xfId="2" applyNumberFormat="1" applyFont="1" applyFill="1" applyBorder="1" applyAlignment="1" applyProtection="1">
      <alignment horizontal="center" vertical="center"/>
      <protection hidden="1"/>
    </xf>
    <xf numFmtId="185" fontId="36" fillId="2" borderId="24" xfId="2" applyNumberFormat="1" applyFont="1" applyFill="1" applyBorder="1" applyAlignment="1" applyProtection="1">
      <alignment horizontal="center" vertical="center"/>
      <protection hidden="1"/>
    </xf>
    <xf numFmtId="168" fontId="63" fillId="2" borderId="10" xfId="2" applyNumberFormat="1" applyFont="1" applyFill="1" applyBorder="1" applyAlignment="1" applyProtection="1">
      <alignment horizontal="right" vertical="center"/>
      <protection hidden="1"/>
    </xf>
    <xf numFmtId="168" fontId="63" fillId="2" borderId="11" xfId="2" applyNumberFormat="1" applyFont="1" applyFill="1" applyBorder="1" applyAlignment="1" applyProtection="1">
      <alignment horizontal="right" vertical="center"/>
      <protection hidden="1"/>
    </xf>
    <xf numFmtId="168" fontId="63" fillId="2" borderId="182" xfId="2" applyNumberFormat="1" applyFont="1" applyFill="1" applyBorder="1" applyAlignment="1" applyProtection="1">
      <alignment horizontal="right" vertical="center"/>
      <protection hidden="1"/>
    </xf>
    <xf numFmtId="0" fontId="50" fillId="4" borderId="144" xfId="2" applyNumberFormat="1" applyFont="1" applyFill="1" applyBorder="1" applyAlignment="1" applyProtection="1">
      <alignment horizontal="center" vertical="center"/>
      <protection hidden="1"/>
    </xf>
    <xf numFmtId="0" fontId="50" fillId="4" borderId="151" xfId="2" applyNumberFormat="1" applyFont="1" applyFill="1" applyBorder="1" applyAlignment="1" applyProtection="1">
      <alignment horizontal="center" vertical="center"/>
      <protection hidden="1"/>
    </xf>
    <xf numFmtId="185" fontId="50" fillId="3" borderId="36" xfId="2" applyNumberFormat="1" applyFont="1" applyFill="1" applyBorder="1" applyAlignment="1" applyProtection="1">
      <alignment horizontal="center" vertical="center"/>
      <protection hidden="1"/>
    </xf>
    <xf numFmtId="185" fontId="50" fillId="3" borderId="24" xfId="2" applyNumberFormat="1" applyFont="1" applyFill="1" applyBorder="1" applyAlignment="1" applyProtection="1">
      <alignment horizontal="center" vertical="center"/>
      <protection hidden="1"/>
    </xf>
    <xf numFmtId="185" fontId="50" fillId="3" borderId="2" xfId="2" applyNumberFormat="1" applyFont="1" applyFill="1" applyBorder="1" applyAlignment="1" applyProtection="1">
      <alignment horizontal="center" vertical="center"/>
      <protection hidden="1"/>
    </xf>
    <xf numFmtId="185" fontId="50" fillId="3" borderId="7" xfId="2" applyNumberFormat="1" applyFont="1" applyFill="1" applyBorder="1" applyAlignment="1" applyProtection="1">
      <alignment horizontal="center" vertical="center"/>
      <protection hidden="1"/>
    </xf>
    <xf numFmtId="168" fontId="63" fillId="2" borderId="153" xfId="2" applyNumberFormat="1" applyFont="1" applyFill="1" applyBorder="1" applyAlignment="1" applyProtection="1">
      <alignment horizontal="center" vertical="center"/>
      <protection hidden="1"/>
    </xf>
    <xf numFmtId="168" fontId="63" fillId="2" borderId="154" xfId="2" applyNumberFormat="1" applyFont="1" applyFill="1" applyBorder="1" applyAlignment="1" applyProtection="1">
      <alignment horizontal="center" vertical="center"/>
      <protection hidden="1"/>
    </xf>
    <xf numFmtId="168" fontId="63" fillId="2" borderId="155" xfId="2" applyNumberFormat="1" applyFont="1" applyFill="1" applyBorder="1" applyAlignment="1" applyProtection="1">
      <alignment horizontal="center" vertical="center"/>
      <protection hidden="1"/>
    </xf>
    <xf numFmtId="168" fontId="67" fillId="2" borderId="75" xfId="2" applyNumberFormat="1" applyFont="1" applyFill="1" applyBorder="1" applyAlignment="1" applyProtection="1">
      <alignment horizontal="right" vertical="center"/>
      <protection hidden="1"/>
    </xf>
    <xf numFmtId="0" fontId="135" fillId="2" borderId="0" xfId="2" applyFont="1" applyFill="1" applyBorder="1" applyAlignment="1" applyProtection="1">
      <alignment horizontal="right" vertical="top" indent="1"/>
      <protection hidden="1"/>
    </xf>
    <xf numFmtId="168" fontId="67" fillId="2" borderId="0" xfId="2" applyNumberFormat="1" applyFont="1" applyFill="1" applyBorder="1" applyAlignment="1" applyProtection="1">
      <alignment horizontal="right" vertical="top"/>
      <protection hidden="1"/>
    </xf>
    <xf numFmtId="168" fontId="44" fillId="2" borderId="30" xfId="2" applyNumberFormat="1" applyFont="1" applyFill="1" applyBorder="1" applyAlignment="1" applyProtection="1">
      <alignment horizontal="right" vertical="center"/>
      <protection hidden="1"/>
    </xf>
    <xf numFmtId="0" fontId="37" fillId="2" borderId="17" xfId="2" applyFont="1" applyFill="1" applyBorder="1" applyAlignment="1" applyProtection="1">
      <alignment horizontal="left" vertical="center" indent="1"/>
      <protection hidden="1"/>
    </xf>
    <xf numFmtId="0" fontId="37" fillId="2" borderId="17" xfId="2" applyFont="1" applyFill="1" applyBorder="1" applyAlignment="1" applyProtection="1">
      <alignment horizontal="left" vertical="center" indent="1"/>
      <protection locked="0"/>
    </xf>
    <xf numFmtId="168" fontId="37" fillId="2" borderId="17" xfId="2" applyNumberFormat="1" applyFont="1" applyFill="1" applyBorder="1" applyAlignment="1" applyProtection="1">
      <alignment horizontal="right" vertical="center"/>
      <protection locked="0"/>
    </xf>
    <xf numFmtId="0" fontId="50" fillId="2" borderId="0" xfId="2" applyFont="1" applyFill="1" applyAlignment="1" applyProtection="1">
      <alignment horizontal="center" vertical="center"/>
      <protection hidden="1"/>
    </xf>
    <xf numFmtId="0" fontId="107" fillId="2" borderId="7" xfId="2" applyFont="1" applyFill="1" applyBorder="1" applyAlignment="1" applyProtection="1">
      <alignment horizontal="left" vertical="center" indent="1"/>
      <protection locked="0"/>
    </xf>
    <xf numFmtId="0" fontId="107" fillId="2" borderId="7" xfId="2" applyFont="1" applyFill="1" applyBorder="1" applyAlignment="1" applyProtection="1">
      <alignment horizontal="center" vertical="center"/>
      <protection hidden="1"/>
    </xf>
    <xf numFmtId="0" fontId="37" fillId="2" borderId="88" xfId="2" applyFont="1" applyFill="1" applyBorder="1" applyAlignment="1" applyProtection="1">
      <alignment horizontal="left" vertical="center" indent="1"/>
      <protection hidden="1"/>
    </xf>
    <xf numFmtId="0" fontId="37" fillId="2" borderId="88" xfId="2" applyFont="1" applyFill="1" applyBorder="1" applyAlignment="1" applyProtection="1">
      <alignment horizontal="left" vertical="center" indent="1"/>
      <protection locked="0"/>
    </xf>
    <xf numFmtId="168" fontId="37" fillId="2" borderId="88" xfId="2" applyNumberFormat="1" applyFont="1" applyFill="1" applyBorder="1" applyAlignment="1" applyProtection="1">
      <alignment horizontal="right" vertical="center"/>
      <protection locked="0"/>
    </xf>
    <xf numFmtId="14" fontId="36" fillId="2" borderId="16" xfId="2" applyNumberFormat="1" applyFont="1" applyFill="1" applyBorder="1" applyAlignment="1" applyProtection="1">
      <alignment horizontal="center" vertical="center"/>
      <protection hidden="1"/>
    </xf>
    <xf numFmtId="14" fontId="36" fillId="2" borderId="17" xfId="2" applyNumberFormat="1" applyFont="1" applyFill="1" applyBorder="1" applyAlignment="1" applyProtection="1">
      <alignment horizontal="center" vertical="center"/>
      <protection hidden="1"/>
    </xf>
    <xf numFmtId="14" fontId="36" fillId="2" borderId="18" xfId="2" applyNumberFormat="1" applyFont="1" applyFill="1" applyBorder="1" applyAlignment="1" applyProtection="1">
      <alignment horizontal="center" vertical="center"/>
      <protection hidden="1"/>
    </xf>
    <xf numFmtId="165" fontId="126" fillId="3" borderId="140" xfId="2" applyNumberFormat="1" applyFont="1" applyFill="1" applyBorder="1" applyAlignment="1" applyProtection="1">
      <alignment horizontal="right" vertical="center"/>
      <protection hidden="1"/>
    </xf>
    <xf numFmtId="165" fontId="126" fillId="3" borderId="193" xfId="2" applyNumberFormat="1" applyFont="1" applyFill="1" applyBorder="1" applyAlignment="1" applyProtection="1">
      <alignment horizontal="right" vertical="center"/>
      <protection hidden="1"/>
    </xf>
    <xf numFmtId="168" fontId="126" fillId="2" borderId="194" xfId="2" applyNumberFormat="1" applyFont="1" applyFill="1" applyBorder="1" applyAlignment="1" applyProtection="1">
      <alignment horizontal="right" vertical="center"/>
      <protection hidden="1"/>
    </xf>
    <xf numFmtId="168" fontId="126" fillId="2" borderId="126" xfId="2" applyNumberFormat="1" applyFont="1" applyFill="1" applyBorder="1" applyAlignment="1" applyProtection="1">
      <alignment horizontal="right" vertical="center"/>
      <protection hidden="1"/>
    </xf>
    <xf numFmtId="168" fontId="126" fillId="2" borderId="127" xfId="2" applyNumberFormat="1" applyFont="1" applyFill="1" applyBorder="1" applyAlignment="1" applyProtection="1">
      <alignment horizontal="right" vertical="center"/>
      <protection hidden="1"/>
    </xf>
    <xf numFmtId="0" fontId="102" fillId="2" borderId="0" xfId="2" applyFont="1" applyFill="1" applyBorder="1" applyAlignment="1" applyProtection="1">
      <alignment horizontal="center"/>
      <protection hidden="1"/>
    </xf>
    <xf numFmtId="0" fontId="135" fillId="2" borderId="75" xfId="2" applyFont="1" applyFill="1" applyBorder="1" applyAlignment="1" applyProtection="1">
      <alignment horizontal="right" vertical="center" indent="1"/>
      <protection hidden="1"/>
    </xf>
    <xf numFmtId="188" fontId="49" fillId="2" borderId="176" xfId="2" applyNumberFormat="1" applyFont="1" applyFill="1" applyBorder="1" applyAlignment="1" applyProtection="1">
      <alignment horizontal="left" vertical="center"/>
      <protection hidden="1"/>
    </xf>
    <xf numFmtId="188" fontId="49" fillId="2" borderId="177" xfId="2" applyNumberFormat="1" applyFont="1" applyFill="1" applyBorder="1" applyAlignment="1" applyProtection="1">
      <alignment horizontal="left" vertical="center"/>
      <protection hidden="1"/>
    </xf>
    <xf numFmtId="165" fontId="44" fillId="3" borderId="178" xfId="2" applyNumberFormat="1" applyFont="1" applyFill="1" applyBorder="1" applyAlignment="1" applyProtection="1">
      <alignment horizontal="right" vertical="center"/>
      <protection hidden="1"/>
    </xf>
    <xf numFmtId="165" fontId="44" fillId="3" borderId="179" xfId="2" applyNumberFormat="1" applyFont="1" applyFill="1" applyBorder="1" applyAlignment="1" applyProtection="1">
      <alignment horizontal="right" vertical="center"/>
      <protection hidden="1"/>
    </xf>
    <xf numFmtId="165" fontId="131" fillId="2" borderId="0" xfId="2" applyNumberFormat="1" applyFont="1" applyFill="1" applyBorder="1" applyAlignment="1" applyProtection="1">
      <alignment horizontal="left" vertical="center"/>
      <protection hidden="1"/>
    </xf>
    <xf numFmtId="165" fontId="126" fillId="3" borderId="173" xfId="2" applyNumberFormat="1" applyFont="1" applyFill="1" applyBorder="1" applyAlignment="1" applyProtection="1">
      <alignment horizontal="right" vertical="center"/>
      <protection hidden="1"/>
    </xf>
    <xf numFmtId="165" fontId="126" fillId="3" borderId="174" xfId="2" applyNumberFormat="1" applyFont="1" applyFill="1" applyBorder="1" applyAlignment="1" applyProtection="1">
      <alignment horizontal="right" vertical="center"/>
      <protection hidden="1"/>
    </xf>
    <xf numFmtId="168" fontId="126" fillId="2" borderId="175" xfId="2" applyNumberFormat="1" applyFont="1" applyFill="1" applyBorder="1" applyAlignment="1" applyProtection="1">
      <alignment horizontal="right" vertical="center"/>
      <protection hidden="1"/>
    </xf>
    <xf numFmtId="168" fontId="126" fillId="2" borderId="17" xfId="2" applyNumberFormat="1" applyFont="1" applyFill="1" applyBorder="1" applyAlignment="1" applyProtection="1">
      <alignment horizontal="right" vertical="center"/>
      <protection hidden="1"/>
    </xf>
    <xf numFmtId="168" fontId="126" fillId="2" borderId="141" xfId="2" applyNumberFormat="1" applyFont="1" applyFill="1" applyBorder="1" applyAlignment="1" applyProtection="1">
      <alignment horizontal="right" vertical="center"/>
      <protection hidden="1"/>
    </xf>
    <xf numFmtId="174" fontId="36" fillId="2" borderId="16" xfId="2" applyNumberFormat="1" applyFont="1" applyFill="1" applyBorder="1" applyAlignment="1" applyProtection="1">
      <alignment horizontal="center" vertical="center"/>
      <protection hidden="1"/>
    </xf>
    <xf numFmtId="174" fontId="36" fillId="2" borderId="18" xfId="2" applyNumberFormat="1" applyFont="1" applyFill="1" applyBorder="1" applyAlignment="1" applyProtection="1">
      <alignment horizontal="center" vertical="center"/>
      <protection hidden="1"/>
    </xf>
    <xf numFmtId="0" fontId="107" fillId="2" borderId="0" xfId="2" applyFont="1" applyFill="1" applyAlignment="1" applyProtection="1">
      <alignment horizontal="left" vertical="top" textRotation="90"/>
      <protection hidden="1"/>
    </xf>
    <xf numFmtId="0" fontId="49" fillId="2" borderId="0" xfId="2" applyFont="1" applyFill="1" applyAlignment="1" applyProtection="1">
      <alignment horizontal="right" vertical="center"/>
      <protection hidden="1"/>
    </xf>
    <xf numFmtId="0" fontId="54" fillId="2" borderId="0" xfId="0" applyNumberFormat="1" applyFont="1" applyFill="1" applyAlignment="1" applyProtection="1">
      <alignment horizontal="left" vertical="center" textRotation="90"/>
      <protection hidden="1"/>
    </xf>
    <xf numFmtId="0" fontId="81" fillId="2" borderId="0" xfId="2" applyNumberFormat="1" applyFont="1" applyFill="1" applyAlignment="1" applyProtection="1">
      <alignment horizontal="left" vertical="top"/>
      <protection hidden="1"/>
    </xf>
    <xf numFmtId="0" fontId="107" fillId="2" borderId="7" xfId="2" applyFont="1" applyFill="1" applyBorder="1" applyAlignment="1" applyProtection="1">
      <alignment horizontal="left" vertical="center" indent="1"/>
      <protection hidden="1"/>
    </xf>
    <xf numFmtId="0" fontId="51" fillId="2" borderId="0" xfId="2" applyFont="1" applyFill="1" applyBorder="1" applyAlignment="1" applyProtection="1">
      <alignment horizontal="center" vertical="top"/>
      <protection hidden="1"/>
    </xf>
    <xf numFmtId="49" fontId="51" fillId="2" borderId="162" xfId="2" applyNumberFormat="1" applyFont="1" applyFill="1" applyBorder="1" applyAlignment="1" applyProtection="1">
      <alignment horizontal="center" vertical="center"/>
      <protection hidden="1"/>
    </xf>
    <xf numFmtId="0" fontId="51" fillId="2" borderId="162" xfId="2" applyFont="1" applyFill="1" applyBorder="1" applyAlignment="1" applyProtection="1">
      <alignment horizontal="center" vertical="center"/>
      <protection hidden="1"/>
    </xf>
    <xf numFmtId="174" fontId="61" fillId="2" borderId="190" xfId="2" applyNumberFormat="1" applyFont="1" applyFill="1" applyBorder="1" applyAlignment="1" applyProtection="1">
      <alignment horizontal="center" vertical="center"/>
      <protection hidden="1"/>
    </xf>
    <xf numFmtId="174" fontId="61" fillId="2" borderId="12" xfId="2" applyNumberFormat="1" applyFont="1" applyFill="1" applyBorder="1" applyAlignment="1" applyProtection="1">
      <alignment horizontal="center" vertical="center"/>
      <protection hidden="1"/>
    </xf>
    <xf numFmtId="188" fontId="49" fillId="2" borderId="195" xfId="2" applyNumberFormat="1" applyFont="1" applyFill="1" applyBorder="1" applyAlignment="1" applyProtection="1">
      <alignment horizontal="left" vertical="center"/>
      <protection hidden="1"/>
    </xf>
    <xf numFmtId="188" fontId="49" fillId="2" borderId="196" xfId="2" applyNumberFormat="1" applyFont="1" applyFill="1" applyBorder="1" applyAlignment="1" applyProtection="1">
      <alignment horizontal="left" vertical="center"/>
      <protection hidden="1"/>
    </xf>
    <xf numFmtId="165" fontId="44" fillId="3" borderId="197" xfId="2" applyNumberFormat="1" applyFont="1" applyFill="1" applyBorder="1" applyAlignment="1" applyProtection="1">
      <alignment horizontal="right" vertical="center"/>
      <protection hidden="1"/>
    </xf>
    <xf numFmtId="165" fontId="44" fillId="3" borderId="198" xfId="2" applyNumberFormat="1" applyFont="1" applyFill="1" applyBorder="1" applyAlignment="1" applyProtection="1">
      <alignment horizontal="right" vertical="center"/>
      <protection hidden="1"/>
    </xf>
    <xf numFmtId="0" fontId="81" fillId="2" borderId="0" xfId="2" applyFont="1" applyFill="1" applyAlignment="1" applyProtection="1">
      <alignment horizontal="left" vertical="top"/>
      <protection hidden="1"/>
    </xf>
    <xf numFmtId="0" fontId="37" fillId="2" borderId="183" xfId="2" applyFont="1" applyFill="1" applyBorder="1" applyAlignment="1" applyProtection="1">
      <alignment horizontal="center"/>
      <protection hidden="1"/>
    </xf>
    <xf numFmtId="14" fontId="67" fillId="2" borderId="7" xfId="2" applyNumberFormat="1" applyFont="1" applyFill="1" applyBorder="1" applyAlignment="1" applyProtection="1">
      <alignment horizontal="center" vertical="center"/>
      <protection hidden="1"/>
    </xf>
    <xf numFmtId="0" fontId="17" fillId="2" borderId="7" xfId="2" applyFont="1" applyFill="1" applyBorder="1" applyAlignment="1" applyProtection="1">
      <alignment horizontal="center"/>
      <protection hidden="1"/>
    </xf>
    <xf numFmtId="0" fontId="50" fillId="2" borderId="0" xfId="2" applyFont="1" applyFill="1" applyBorder="1" applyAlignment="1" applyProtection="1">
      <alignment horizontal="center" vertical="center"/>
      <protection hidden="1"/>
    </xf>
    <xf numFmtId="14" fontId="50" fillId="2" borderId="16" xfId="2" applyNumberFormat="1" applyFont="1" applyFill="1" applyBorder="1" applyAlignment="1" applyProtection="1">
      <alignment horizontal="center" vertical="center"/>
      <protection hidden="1"/>
    </xf>
    <xf numFmtId="14" fontId="50" fillId="2" borderId="17" xfId="2" applyNumberFormat="1" applyFont="1" applyFill="1" applyBorder="1" applyAlignment="1" applyProtection="1">
      <alignment horizontal="center" vertical="center"/>
      <protection hidden="1"/>
    </xf>
    <xf numFmtId="14" fontId="50" fillId="2" borderId="18" xfId="2" applyNumberFormat="1" applyFont="1" applyFill="1" applyBorder="1" applyAlignment="1" applyProtection="1">
      <alignment horizontal="center" vertical="center"/>
      <protection hidden="1"/>
    </xf>
    <xf numFmtId="168" fontId="67" fillId="2" borderId="60" xfId="2" applyNumberFormat="1" applyFont="1" applyFill="1" applyBorder="1" applyAlignment="1" applyProtection="1">
      <alignment horizontal="right" vertical="center"/>
      <protection locked="0"/>
    </xf>
    <xf numFmtId="168" fontId="67" fillId="2" borderId="88" xfId="2" applyNumberFormat="1" applyFont="1" applyFill="1" applyBorder="1" applyAlignment="1" applyProtection="1">
      <alignment horizontal="right" vertical="center"/>
      <protection locked="0"/>
    </xf>
    <xf numFmtId="168" fontId="67" fillId="2" borderId="63" xfId="2" applyNumberFormat="1" applyFont="1" applyFill="1" applyBorder="1" applyAlignment="1" applyProtection="1">
      <alignment horizontal="right" vertical="center"/>
      <protection locked="0"/>
    </xf>
    <xf numFmtId="168" fontId="67" fillId="2" borderId="2" xfId="2" applyNumberFormat="1" applyFont="1" applyFill="1" applyBorder="1" applyAlignment="1" applyProtection="1">
      <alignment horizontal="right" vertical="center"/>
      <protection locked="0"/>
    </xf>
    <xf numFmtId="168" fontId="67" fillId="2" borderId="7" xfId="2" applyNumberFormat="1" applyFont="1" applyFill="1" applyBorder="1" applyAlignment="1" applyProtection="1">
      <alignment horizontal="right" vertical="center"/>
      <protection locked="0"/>
    </xf>
    <xf numFmtId="168" fontId="67" fillId="2" borderId="3" xfId="2" applyNumberFormat="1" applyFont="1" applyFill="1" applyBorder="1" applyAlignment="1" applyProtection="1">
      <alignment horizontal="right" vertical="center"/>
      <protection locked="0"/>
    </xf>
    <xf numFmtId="168" fontId="96" fillId="3" borderId="5" xfId="2" applyNumberFormat="1" applyFont="1" applyFill="1" applyBorder="1" applyAlignment="1" applyProtection="1">
      <alignment horizontal="right" vertical="center"/>
      <protection hidden="1"/>
    </xf>
    <xf numFmtId="168" fontId="96" fillId="3" borderId="74" xfId="2" applyNumberFormat="1" applyFont="1" applyFill="1" applyBorder="1" applyAlignment="1" applyProtection="1">
      <alignment horizontal="right" vertical="center"/>
      <protection hidden="1"/>
    </xf>
    <xf numFmtId="168" fontId="96" fillId="3" borderId="85" xfId="2" applyNumberFormat="1" applyFont="1" applyFill="1" applyBorder="1" applyAlignment="1" applyProtection="1">
      <alignment horizontal="right" vertical="center"/>
      <protection hidden="1"/>
    </xf>
    <xf numFmtId="168" fontId="67" fillId="2" borderId="5" xfId="2" applyNumberFormat="1" applyFont="1" applyFill="1" applyBorder="1" applyAlignment="1" applyProtection="1">
      <alignment horizontal="right" vertical="center"/>
      <protection locked="0"/>
    </xf>
    <xf numFmtId="168" fontId="67" fillId="2" borderId="74" xfId="2" applyNumberFormat="1" applyFont="1" applyFill="1" applyBorder="1" applyAlignment="1" applyProtection="1">
      <alignment horizontal="right" vertical="center"/>
      <protection locked="0"/>
    </xf>
    <xf numFmtId="168" fontId="67" fillId="2" borderId="85" xfId="2" applyNumberFormat="1" applyFont="1" applyFill="1" applyBorder="1" applyAlignment="1" applyProtection="1">
      <alignment horizontal="right" vertical="center"/>
      <protection locked="0"/>
    </xf>
    <xf numFmtId="168" fontId="67" fillId="2" borderId="36" xfId="2" applyNumberFormat="1" applyFont="1" applyFill="1" applyBorder="1" applyAlignment="1" applyProtection="1">
      <alignment horizontal="right" vertical="center"/>
      <protection locked="0"/>
    </xf>
    <xf numFmtId="168" fontId="67" fillId="2" borderId="4" xfId="2" applyNumberFormat="1" applyFont="1" applyFill="1" applyBorder="1" applyAlignment="1" applyProtection="1">
      <alignment horizontal="right" vertical="center"/>
      <protection locked="0"/>
    </xf>
    <xf numFmtId="168" fontId="67" fillId="2" borderId="24" xfId="2" applyNumberFormat="1" applyFont="1" applyFill="1" applyBorder="1" applyAlignment="1" applyProtection="1">
      <alignment horizontal="right" vertical="center"/>
      <protection locked="0"/>
    </xf>
    <xf numFmtId="0" fontId="38" fillId="2" borderId="1" xfId="2" applyFont="1" applyFill="1" applyBorder="1" applyAlignment="1" applyProtection="1">
      <alignment horizontal="center" vertical="center"/>
      <protection hidden="1"/>
    </xf>
    <xf numFmtId="0" fontId="38" fillId="2" borderId="0" xfId="2" applyFont="1" applyFill="1" applyBorder="1" applyAlignment="1" applyProtection="1">
      <alignment horizontal="center" vertical="center"/>
      <protection hidden="1"/>
    </xf>
    <xf numFmtId="0" fontId="38" fillId="2" borderId="0" xfId="2" applyFont="1" applyFill="1" applyAlignment="1" applyProtection="1">
      <alignment horizontal="center" vertical="center"/>
      <protection hidden="1"/>
    </xf>
    <xf numFmtId="0" fontId="67" fillId="2" borderId="2" xfId="2" applyFont="1" applyFill="1" applyBorder="1" applyAlignment="1" applyProtection="1">
      <alignment horizontal="right" vertical="center" indent="1"/>
      <protection hidden="1"/>
    </xf>
    <xf numFmtId="0" fontId="67" fillId="2" borderId="7" xfId="2" applyFont="1" applyFill="1" applyBorder="1" applyAlignment="1" applyProtection="1">
      <alignment horizontal="right" vertical="center" indent="1"/>
      <protection hidden="1"/>
    </xf>
    <xf numFmtId="0" fontId="67" fillId="2" borderId="3" xfId="2" applyFont="1" applyFill="1" applyBorder="1" applyAlignment="1" applyProtection="1">
      <alignment horizontal="right" vertical="center" indent="1"/>
      <protection hidden="1"/>
    </xf>
    <xf numFmtId="0" fontId="18" fillId="2" borderId="0" xfId="2" applyFont="1" applyFill="1" applyBorder="1" applyAlignment="1" applyProtection="1">
      <alignment horizontal="right" vertical="center" indent="1"/>
      <protection hidden="1"/>
    </xf>
    <xf numFmtId="0" fontId="18" fillId="2" borderId="22" xfId="2" applyFont="1" applyFill="1" applyBorder="1" applyAlignment="1" applyProtection="1">
      <alignment horizontal="right" vertical="center" indent="1"/>
      <protection hidden="1"/>
    </xf>
    <xf numFmtId="0" fontId="49" fillId="2" borderId="7" xfId="2" applyFont="1" applyFill="1" applyBorder="1" applyAlignment="1" applyProtection="1">
      <alignment horizontal="right" vertical="center"/>
      <protection hidden="1"/>
    </xf>
    <xf numFmtId="14" fontId="49" fillId="2" borderId="7" xfId="2" applyNumberFormat="1" applyFont="1" applyFill="1" applyBorder="1" applyAlignment="1" applyProtection="1">
      <alignment horizontal="center" vertical="center"/>
      <protection hidden="1"/>
    </xf>
    <xf numFmtId="183" fontId="49" fillId="2" borderId="7" xfId="2" applyNumberFormat="1" applyFont="1" applyFill="1" applyBorder="1" applyAlignment="1" applyProtection="1">
      <alignment horizontal="left" vertical="center"/>
      <protection hidden="1"/>
    </xf>
    <xf numFmtId="168" fontId="126" fillId="2" borderId="7" xfId="2" applyNumberFormat="1" applyFont="1" applyFill="1" applyBorder="1" applyAlignment="1" applyProtection="1">
      <alignment horizontal="right" vertical="top"/>
      <protection hidden="1"/>
    </xf>
    <xf numFmtId="188" fontId="49" fillId="2" borderId="168" xfId="2" applyNumberFormat="1" applyFont="1" applyFill="1" applyBorder="1" applyAlignment="1" applyProtection="1">
      <alignment horizontal="left" vertical="center"/>
      <protection hidden="1"/>
    </xf>
    <xf numFmtId="188" fontId="49" fillId="2" borderId="169" xfId="2" applyNumberFormat="1" applyFont="1" applyFill="1" applyBorder="1" applyAlignment="1" applyProtection="1">
      <alignment horizontal="left" vertical="center"/>
      <protection hidden="1"/>
    </xf>
    <xf numFmtId="165" fontId="44" fillId="3" borderId="170" xfId="2" applyNumberFormat="1" applyFont="1" applyFill="1" applyBorder="1" applyAlignment="1" applyProtection="1">
      <alignment horizontal="right" vertical="center"/>
      <protection hidden="1"/>
    </xf>
    <xf numFmtId="165" fontId="44" fillId="3" borderId="172" xfId="2" applyNumberFormat="1" applyFont="1" applyFill="1" applyBorder="1" applyAlignment="1" applyProtection="1">
      <alignment horizontal="right" vertical="center"/>
      <protection hidden="1"/>
    </xf>
    <xf numFmtId="168" fontId="67" fillId="2" borderId="61" xfId="2" applyNumberFormat="1" applyFont="1" applyFill="1" applyBorder="1" applyAlignment="1" applyProtection="1">
      <alignment horizontal="right" vertical="center"/>
      <protection locked="0"/>
    </xf>
    <xf numFmtId="168" fontId="67" fillId="2" borderId="17" xfId="2" applyNumberFormat="1" applyFont="1" applyFill="1" applyBorder="1" applyAlignment="1" applyProtection="1">
      <alignment horizontal="right" vertical="center"/>
      <protection locked="0"/>
    </xf>
    <xf numFmtId="168" fontId="67" fillId="2" borderId="64" xfId="2" applyNumberFormat="1" applyFont="1" applyFill="1" applyBorder="1" applyAlignment="1" applyProtection="1">
      <alignment horizontal="right" vertical="center"/>
      <protection locked="0"/>
    </xf>
    <xf numFmtId="0" fontId="140" fillId="3" borderId="1" xfId="2" applyFont="1" applyFill="1" applyBorder="1" applyAlignment="1" applyProtection="1">
      <alignment horizontal="center" vertical="center"/>
      <protection locked="0"/>
    </xf>
    <xf numFmtId="0" fontId="140" fillId="3" borderId="0" xfId="2" applyFont="1" applyFill="1" applyBorder="1" applyAlignment="1" applyProtection="1">
      <alignment horizontal="center" vertical="center"/>
      <protection locked="0"/>
    </xf>
    <xf numFmtId="0" fontId="140" fillId="3" borderId="22" xfId="2" applyFont="1" applyFill="1" applyBorder="1" applyAlignment="1" applyProtection="1">
      <alignment horizontal="center" vertical="center"/>
      <protection locked="0"/>
    </xf>
    <xf numFmtId="166" fontId="44" fillId="2" borderId="61" xfId="2" applyNumberFormat="1" applyFont="1" applyFill="1" applyBorder="1" applyAlignment="1" applyProtection="1">
      <alignment horizontal="left" vertical="center"/>
      <protection locked="0"/>
    </xf>
    <xf numFmtId="166" fontId="44" fillId="2" borderId="17" xfId="2" applyNumberFormat="1" applyFont="1" applyFill="1" applyBorder="1" applyAlignment="1" applyProtection="1">
      <alignment horizontal="left" vertical="center"/>
      <protection locked="0"/>
    </xf>
    <xf numFmtId="166" fontId="44" fillId="2" borderId="64" xfId="2" applyNumberFormat="1" applyFont="1" applyFill="1" applyBorder="1" applyAlignment="1" applyProtection="1">
      <alignment horizontal="left" vertical="center"/>
      <protection locked="0"/>
    </xf>
    <xf numFmtId="165" fontId="126" fillId="3" borderId="137" xfId="2" applyNumberFormat="1" applyFont="1" applyFill="1" applyBorder="1" applyAlignment="1" applyProtection="1">
      <alignment horizontal="right" vertical="center"/>
      <protection hidden="1"/>
    </xf>
    <xf numFmtId="165" fontId="126" fillId="3" borderId="199" xfId="2" applyNumberFormat="1" applyFont="1" applyFill="1" applyBorder="1" applyAlignment="1" applyProtection="1">
      <alignment horizontal="right" vertical="center"/>
      <protection hidden="1"/>
    </xf>
    <xf numFmtId="168" fontId="126" fillId="2" borderId="200" xfId="2" applyNumberFormat="1" applyFont="1" applyFill="1" applyBorder="1" applyAlignment="1" applyProtection="1">
      <alignment horizontal="right" vertical="center"/>
      <protection hidden="1"/>
    </xf>
    <xf numFmtId="168" fontId="126" fillId="2" borderId="138" xfId="2" applyNumberFormat="1" applyFont="1" applyFill="1" applyBorder="1" applyAlignment="1" applyProtection="1">
      <alignment horizontal="right" vertical="center"/>
      <protection hidden="1"/>
    </xf>
    <xf numFmtId="168" fontId="126" fillId="2" borderId="142" xfId="2" applyNumberFormat="1" applyFont="1" applyFill="1" applyBorder="1" applyAlignment="1" applyProtection="1">
      <alignment horizontal="right" vertical="center"/>
      <protection hidden="1"/>
    </xf>
    <xf numFmtId="168" fontId="111" fillId="2" borderId="0" xfId="2" applyNumberFormat="1" applyFont="1" applyFill="1" applyBorder="1" applyAlignment="1" applyProtection="1">
      <alignment horizontal="right" vertical="top"/>
      <protection hidden="1"/>
    </xf>
    <xf numFmtId="0" fontId="85" fillId="2" borderId="107" xfId="2" applyFont="1" applyFill="1" applyBorder="1" applyAlignment="1" applyProtection="1">
      <alignment horizontal="center" vertical="center"/>
      <protection hidden="1"/>
    </xf>
    <xf numFmtId="168" fontId="70" fillId="2" borderId="107" xfId="2" applyNumberFormat="1" applyFont="1" applyFill="1" applyBorder="1" applyAlignment="1" applyProtection="1">
      <alignment horizontal="right" vertical="center"/>
      <protection hidden="1"/>
    </xf>
    <xf numFmtId="2" fontId="67" fillId="2" borderId="129" xfId="2" applyNumberFormat="1" applyFont="1" applyFill="1" applyBorder="1" applyAlignment="1" applyProtection="1">
      <alignment horizontal="center" vertical="center"/>
      <protection hidden="1"/>
    </xf>
    <xf numFmtId="2" fontId="67" fillId="2" borderId="72" xfId="2" applyNumberFormat="1" applyFont="1" applyFill="1" applyBorder="1" applyAlignment="1" applyProtection="1">
      <alignment horizontal="center" vertical="center"/>
      <protection hidden="1"/>
    </xf>
    <xf numFmtId="0" fontId="44" fillId="2" borderId="0" xfId="2" applyFont="1" applyFill="1" applyAlignment="1" applyProtection="1">
      <alignment horizontal="left"/>
      <protection hidden="1"/>
    </xf>
    <xf numFmtId="174" fontId="61" fillId="2" borderId="191" xfId="2" applyNumberFormat="1" applyFont="1" applyFill="1" applyBorder="1" applyAlignment="1" applyProtection="1">
      <alignment horizontal="center" vertical="center"/>
      <protection hidden="1"/>
    </xf>
    <xf numFmtId="174" fontId="61" fillId="2" borderId="192" xfId="2" applyNumberFormat="1" applyFont="1" applyFill="1" applyBorder="1" applyAlignment="1" applyProtection="1">
      <alignment horizontal="center" vertical="center"/>
      <protection hidden="1"/>
    </xf>
    <xf numFmtId="174" fontId="61" fillId="2" borderId="180" xfId="2" applyNumberFormat="1" applyFont="1" applyFill="1" applyBorder="1" applyAlignment="1" applyProtection="1">
      <alignment horizontal="center" vertical="center"/>
      <protection hidden="1"/>
    </xf>
    <xf numFmtId="174" fontId="61" fillId="2" borderId="181" xfId="2" applyNumberFormat="1" applyFont="1" applyFill="1" applyBorder="1" applyAlignment="1" applyProtection="1">
      <alignment horizontal="center" vertical="center"/>
      <protection hidden="1"/>
    </xf>
    <xf numFmtId="168" fontId="63" fillId="2" borderId="184" xfId="2" applyNumberFormat="1" applyFont="1" applyFill="1" applyBorder="1" applyAlignment="1" applyProtection="1">
      <alignment horizontal="right" vertical="center"/>
      <protection hidden="1"/>
    </xf>
    <xf numFmtId="168" fontId="63" fillId="2" borderId="185" xfId="2" applyNumberFormat="1" applyFont="1" applyFill="1" applyBorder="1" applyAlignment="1" applyProtection="1">
      <alignment horizontal="right" vertical="center"/>
      <protection hidden="1"/>
    </xf>
    <xf numFmtId="168" fontId="63" fillId="2" borderId="186" xfId="2" applyNumberFormat="1" applyFont="1" applyFill="1" applyBorder="1" applyAlignment="1" applyProtection="1">
      <alignment horizontal="right" vertical="center"/>
      <protection hidden="1"/>
    </xf>
    <xf numFmtId="166" fontId="44" fillId="2" borderId="62" xfId="2" applyNumberFormat="1" applyFont="1" applyFill="1" applyBorder="1" applyAlignment="1" applyProtection="1">
      <alignment horizontal="left" vertical="center"/>
      <protection locked="0"/>
    </xf>
    <xf numFmtId="166" fontId="44" fillId="2" borderId="68" xfId="2" applyNumberFormat="1" applyFont="1" applyFill="1" applyBorder="1" applyAlignment="1" applyProtection="1">
      <alignment horizontal="left" vertical="center"/>
      <protection locked="0"/>
    </xf>
    <xf numFmtId="166" fontId="44" fillId="2" borderId="65" xfId="2" applyNumberFormat="1" applyFont="1" applyFill="1" applyBorder="1" applyAlignment="1" applyProtection="1">
      <alignment horizontal="left" vertical="center"/>
      <protection locked="0"/>
    </xf>
    <xf numFmtId="14" fontId="96" fillId="3" borderId="5" xfId="2" applyNumberFormat="1" applyFont="1" applyFill="1" applyBorder="1" applyAlignment="1" applyProtection="1">
      <alignment horizontal="center" vertical="center"/>
      <protection locked="0"/>
    </xf>
    <xf numFmtId="14" fontId="96" fillId="3" borderId="74" xfId="2" applyNumberFormat="1" applyFont="1" applyFill="1" applyBorder="1" applyAlignment="1" applyProtection="1">
      <alignment horizontal="center" vertical="center"/>
      <protection locked="0"/>
    </xf>
    <xf numFmtId="14" fontId="96" fillId="3" borderId="85" xfId="2" applyNumberFormat="1" applyFont="1" applyFill="1" applyBorder="1" applyAlignment="1" applyProtection="1">
      <alignment horizontal="center" vertical="center"/>
      <protection locked="0"/>
    </xf>
    <xf numFmtId="0" fontId="8" fillId="2" borderId="2" xfId="2" applyFont="1" applyFill="1" applyBorder="1" applyAlignment="1" applyProtection="1">
      <alignment horizontal="left" vertical="center" indent="1"/>
      <protection hidden="1"/>
    </xf>
    <xf numFmtId="0" fontId="8" fillId="2" borderId="7" xfId="2" applyFont="1" applyFill="1" applyBorder="1" applyAlignment="1" applyProtection="1">
      <alignment horizontal="left" vertical="center" indent="1"/>
      <protection hidden="1"/>
    </xf>
    <xf numFmtId="0" fontId="67" fillId="2" borderId="7" xfId="2" applyFont="1" applyFill="1" applyBorder="1" applyAlignment="1" applyProtection="1">
      <alignment horizontal="center" vertical="center"/>
      <protection locked="0"/>
    </xf>
    <xf numFmtId="0" fontId="67" fillId="2" borderId="3" xfId="2" applyFont="1" applyFill="1" applyBorder="1" applyAlignment="1" applyProtection="1">
      <alignment horizontal="center" vertical="center"/>
      <protection locked="0"/>
    </xf>
    <xf numFmtId="0" fontId="36" fillId="2" borderId="1" xfId="2" applyFont="1" applyFill="1" applyBorder="1" applyAlignment="1" applyProtection="1">
      <alignment horizontal="right"/>
      <protection hidden="1"/>
    </xf>
    <xf numFmtId="0" fontId="21" fillId="0" borderId="0" xfId="0" applyFont="1" applyProtection="1">
      <protection hidden="1"/>
    </xf>
    <xf numFmtId="0" fontId="108" fillId="3" borderId="124" xfId="2" applyNumberFormat="1" applyFont="1" applyFill="1" applyBorder="1" applyAlignment="1" applyProtection="1">
      <alignment horizontal="center" vertical="center"/>
      <protection locked="0"/>
    </xf>
    <xf numFmtId="0" fontId="108" fillId="3" borderId="123" xfId="2" applyNumberFormat="1" applyFont="1" applyFill="1" applyBorder="1" applyAlignment="1" applyProtection="1">
      <alignment horizontal="center" vertical="center"/>
      <protection locked="0"/>
    </xf>
    <xf numFmtId="166" fontId="44" fillId="2" borderId="60" xfId="2" applyNumberFormat="1" applyFont="1" applyFill="1" applyBorder="1" applyAlignment="1" applyProtection="1">
      <alignment horizontal="left" vertical="center"/>
      <protection locked="0"/>
    </xf>
    <xf numFmtId="166" fontId="44" fillId="2" borderId="88" xfId="2" applyNumberFormat="1" applyFont="1" applyFill="1" applyBorder="1" applyAlignment="1" applyProtection="1">
      <alignment horizontal="left" vertical="center"/>
      <protection locked="0"/>
    </xf>
    <xf numFmtId="166" fontId="44" fillId="2" borderId="63" xfId="2" applyNumberFormat="1" applyFont="1" applyFill="1" applyBorder="1" applyAlignment="1" applyProtection="1">
      <alignment horizontal="left" vertical="center"/>
      <protection locked="0"/>
    </xf>
    <xf numFmtId="0" fontId="108" fillId="3" borderId="2" xfId="2" applyNumberFormat="1" applyFont="1" applyFill="1" applyBorder="1" applyAlignment="1" applyProtection="1">
      <alignment horizontal="center" vertical="center"/>
      <protection locked="0"/>
    </xf>
    <xf numFmtId="0" fontId="37" fillId="2" borderId="22" xfId="2" applyFont="1" applyFill="1" applyBorder="1" applyAlignment="1" applyProtection="1">
      <alignment horizontal="center"/>
      <protection hidden="1"/>
    </xf>
    <xf numFmtId="0" fontId="140" fillId="3" borderId="2" xfId="2" applyFont="1" applyFill="1" applyBorder="1" applyAlignment="1" applyProtection="1">
      <alignment horizontal="center" vertical="center"/>
      <protection locked="0"/>
    </xf>
    <xf numFmtId="0" fontId="140" fillId="3" borderId="7" xfId="2" applyFont="1" applyFill="1" applyBorder="1" applyAlignment="1" applyProtection="1">
      <alignment horizontal="center" vertical="center"/>
      <protection locked="0"/>
    </xf>
    <xf numFmtId="0" fontId="140" fillId="3" borderId="3" xfId="2" applyFont="1" applyFill="1" applyBorder="1" applyAlignment="1" applyProtection="1">
      <alignment horizontal="center" vertical="center"/>
      <protection locked="0"/>
    </xf>
    <xf numFmtId="0" fontId="140" fillId="3" borderId="36" xfId="2" applyFont="1" applyFill="1" applyBorder="1" applyAlignment="1" applyProtection="1">
      <alignment horizontal="center" vertical="center"/>
      <protection locked="0"/>
    </xf>
    <xf numFmtId="0" fontId="140" fillId="3" borderId="4" xfId="2" applyFont="1" applyFill="1" applyBorder="1" applyAlignment="1" applyProtection="1">
      <alignment horizontal="center" vertical="center"/>
      <protection locked="0"/>
    </xf>
    <xf numFmtId="0" fontId="140" fillId="3" borderId="24" xfId="2" applyFont="1" applyFill="1" applyBorder="1" applyAlignment="1" applyProtection="1">
      <alignment horizontal="center" vertical="center"/>
      <protection locked="0"/>
    </xf>
    <xf numFmtId="0" fontId="108" fillId="3" borderId="60" xfId="2" applyNumberFormat="1" applyFont="1" applyFill="1" applyBorder="1" applyAlignment="1" applyProtection="1">
      <alignment horizontal="center" vertical="center"/>
      <protection locked="0"/>
    </xf>
    <xf numFmtId="0" fontId="108" fillId="3" borderId="63" xfId="2" applyNumberFormat="1" applyFont="1" applyFill="1" applyBorder="1" applyAlignment="1" applyProtection="1">
      <alignment horizontal="center" vertical="center"/>
      <protection locked="0"/>
    </xf>
    <xf numFmtId="0" fontId="36" fillId="2" borderId="7" xfId="2" applyFont="1" applyFill="1" applyBorder="1" applyAlignment="1" applyProtection="1">
      <alignment horizontal="right" vertical="center"/>
      <protection hidden="1"/>
    </xf>
    <xf numFmtId="0" fontId="85" fillId="2" borderId="2" xfId="2" applyFont="1" applyFill="1" applyBorder="1" applyAlignment="1" applyProtection="1">
      <alignment horizontal="right" vertical="center" indent="1"/>
      <protection hidden="1"/>
    </xf>
    <xf numFmtId="0" fontId="85" fillId="2" borderId="7" xfId="2" applyFont="1" applyFill="1" applyBorder="1" applyAlignment="1" applyProtection="1">
      <alignment horizontal="right" vertical="center" indent="1"/>
      <protection hidden="1"/>
    </xf>
    <xf numFmtId="0" fontId="85" fillId="2" borderId="3" xfId="2" applyFont="1" applyFill="1" applyBorder="1" applyAlignment="1" applyProtection="1">
      <alignment horizontal="right" vertical="center" indent="1"/>
      <protection hidden="1"/>
    </xf>
    <xf numFmtId="0" fontId="29" fillId="0" borderId="85" xfId="2" applyFont="1" applyBorder="1" applyProtection="1">
      <protection hidden="1"/>
    </xf>
    <xf numFmtId="0" fontId="108" fillId="3" borderId="62" xfId="2" applyNumberFormat="1" applyFont="1" applyFill="1" applyBorder="1" applyAlignment="1" applyProtection="1">
      <alignment horizontal="center" vertical="center"/>
      <protection locked="0"/>
    </xf>
    <xf numFmtId="0" fontId="108" fillId="3" borderId="65" xfId="2" applyNumberFormat="1" applyFont="1" applyFill="1" applyBorder="1" applyAlignment="1" applyProtection="1">
      <alignment horizontal="center" vertical="center"/>
      <protection locked="0"/>
    </xf>
    <xf numFmtId="0" fontId="67" fillId="2" borderId="129" xfId="2" applyNumberFormat="1" applyFont="1" applyFill="1" applyBorder="1" applyAlignment="1" applyProtection="1">
      <alignment horizontal="center" vertical="center"/>
      <protection hidden="1"/>
    </xf>
    <xf numFmtId="0" fontId="67" fillId="2" borderId="72" xfId="2" applyNumberFormat="1" applyFont="1" applyFill="1" applyBorder="1" applyAlignment="1" applyProtection="1">
      <alignment horizontal="center" vertical="center"/>
      <protection hidden="1"/>
    </xf>
    <xf numFmtId="0" fontId="67" fillId="2" borderId="7" xfId="2" applyFont="1" applyFill="1" applyBorder="1" applyAlignment="1" applyProtection="1">
      <alignment horizontal="left" vertical="center" indent="1"/>
      <protection locked="0"/>
    </xf>
    <xf numFmtId="0" fontId="37" fillId="2" borderId="0" xfId="2" applyFont="1" applyFill="1" applyBorder="1" applyAlignment="1" applyProtection="1">
      <alignment horizontal="center"/>
      <protection hidden="1"/>
    </xf>
    <xf numFmtId="0" fontId="85" fillId="2" borderId="7" xfId="2" applyFont="1" applyFill="1" applyBorder="1" applyAlignment="1" applyProtection="1">
      <alignment horizontal="left" vertical="center" indent="1"/>
      <protection hidden="1"/>
    </xf>
    <xf numFmtId="166" fontId="67" fillId="2" borderId="7" xfId="2" applyNumberFormat="1" applyFont="1" applyFill="1" applyBorder="1" applyAlignment="1" applyProtection="1">
      <alignment horizontal="right" vertical="center"/>
      <protection hidden="1"/>
    </xf>
    <xf numFmtId="0" fontId="116" fillId="2" borderId="0" xfId="2" applyFont="1" applyFill="1" applyAlignment="1" applyProtection="1">
      <alignment horizontal="center" vertical="center"/>
      <protection hidden="1"/>
    </xf>
    <xf numFmtId="168" fontId="111" fillId="2" borderId="107" xfId="2" applyNumberFormat="1" applyFont="1" applyFill="1" applyBorder="1" applyAlignment="1" applyProtection="1">
      <alignment horizontal="right" vertical="center"/>
      <protection hidden="1"/>
    </xf>
    <xf numFmtId="166" fontId="85" fillId="2" borderId="0" xfId="2" applyNumberFormat="1" applyFont="1" applyFill="1" applyBorder="1" applyAlignment="1" applyProtection="1">
      <alignment horizontal="right" vertical="center"/>
      <protection hidden="1"/>
    </xf>
    <xf numFmtId="166" fontId="85" fillId="2" borderId="75" xfId="2" applyNumberFormat="1" applyFont="1" applyFill="1" applyBorder="1" applyAlignment="1" applyProtection="1">
      <alignment horizontal="right" vertical="center"/>
      <protection hidden="1"/>
    </xf>
    <xf numFmtId="166" fontId="85" fillId="2" borderId="0" xfId="2" applyNumberFormat="1" applyFont="1" applyFill="1" applyBorder="1" applyAlignment="1" applyProtection="1">
      <alignment horizontal="right"/>
      <protection hidden="1"/>
    </xf>
    <xf numFmtId="0" fontId="108" fillId="3" borderId="5" xfId="2" applyNumberFormat="1" applyFont="1" applyFill="1" applyBorder="1" applyAlignment="1" applyProtection="1">
      <alignment horizontal="center" vertical="center"/>
      <protection locked="0"/>
    </xf>
    <xf numFmtId="0" fontId="108" fillId="3" borderId="85" xfId="2" applyNumberFormat="1" applyFont="1" applyFill="1" applyBorder="1" applyAlignment="1" applyProtection="1">
      <alignment horizontal="center" vertical="center"/>
      <protection locked="0"/>
    </xf>
    <xf numFmtId="166" fontId="76" fillId="2" borderId="23" xfId="2" applyNumberFormat="1" applyFont="1" applyFill="1" applyBorder="1" applyAlignment="1" applyProtection="1">
      <alignment horizontal="center" vertical="center" textRotation="90"/>
      <protection hidden="1"/>
    </xf>
    <xf numFmtId="166" fontId="76" fillId="2" borderId="0" xfId="2" applyNumberFormat="1" applyFont="1" applyFill="1" applyBorder="1" applyAlignment="1" applyProtection="1">
      <alignment horizontal="center" vertical="center" textRotation="90"/>
      <protection hidden="1"/>
    </xf>
    <xf numFmtId="0" fontId="37" fillId="2" borderId="0" xfId="2" applyFont="1" applyFill="1" applyAlignment="1" applyProtection="1">
      <alignment horizontal="left" indent="1"/>
      <protection hidden="1"/>
    </xf>
    <xf numFmtId="49" fontId="63" fillId="2" borderId="0" xfId="2" applyNumberFormat="1" applyFont="1" applyFill="1" applyBorder="1" applyAlignment="1" applyProtection="1">
      <alignment horizontal="center" vertical="center"/>
      <protection locked="0"/>
    </xf>
    <xf numFmtId="0" fontId="66" fillId="2" borderId="4" xfId="2" applyFont="1" applyFill="1" applyBorder="1" applyAlignment="1" applyProtection="1">
      <alignment horizontal="center" vertical="center"/>
      <protection hidden="1"/>
    </xf>
    <xf numFmtId="0" fontId="18" fillId="2" borderId="0" xfId="2" applyFont="1" applyFill="1" applyBorder="1" applyAlignment="1" applyProtection="1">
      <alignment horizontal="right" vertical="center" indent="1"/>
      <protection locked="0"/>
    </xf>
    <xf numFmtId="0" fontId="18" fillId="2" borderId="22" xfId="2" applyFont="1" applyFill="1" applyBorder="1" applyAlignment="1" applyProtection="1">
      <alignment horizontal="right" vertical="center" indent="1"/>
      <protection locked="0"/>
    </xf>
    <xf numFmtId="168" fontId="67" fillId="2" borderId="74" xfId="2" applyNumberFormat="1" applyFont="1" applyFill="1" applyBorder="1" applyAlignment="1" applyProtection="1">
      <alignment horizontal="right" vertical="center"/>
      <protection hidden="1"/>
    </xf>
    <xf numFmtId="0" fontId="36" fillId="2" borderId="4" xfId="2" applyFont="1" applyFill="1" applyBorder="1" applyAlignment="1" applyProtection="1">
      <alignment horizontal="left" indent="1"/>
      <protection hidden="1"/>
    </xf>
    <xf numFmtId="0" fontId="36" fillId="2" borderId="7" xfId="2" applyFont="1" applyFill="1" applyBorder="1" applyAlignment="1" applyProtection="1">
      <alignment horizontal="left" indent="1"/>
      <protection hidden="1"/>
    </xf>
    <xf numFmtId="0" fontId="67" fillId="2" borderId="63" xfId="2" applyNumberFormat="1" applyFont="1" applyFill="1" applyBorder="1" applyAlignment="1" applyProtection="1">
      <alignment horizontal="center" vertical="center"/>
      <protection hidden="1"/>
    </xf>
    <xf numFmtId="166" fontId="156" fillId="2" borderId="4" xfId="2" applyNumberFormat="1" applyFont="1" applyFill="1" applyBorder="1" applyAlignment="1" applyProtection="1">
      <alignment horizontal="right"/>
      <protection hidden="1"/>
    </xf>
    <xf numFmtId="0" fontId="85" fillId="2" borderId="0" xfId="2" applyFont="1" applyFill="1" applyBorder="1" applyAlignment="1" applyProtection="1">
      <alignment horizontal="left" vertical="center" indent="1"/>
      <protection hidden="1"/>
    </xf>
    <xf numFmtId="168" fontId="156" fillId="2" borderId="0" xfId="2" applyNumberFormat="1" applyFont="1" applyFill="1" applyBorder="1" applyAlignment="1" applyProtection="1">
      <alignment horizontal="right" vertical="top"/>
      <protection hidden="1"/>
    </xf>
    <xf numFmtId="0" fontId="108" fillId="3" borderId="3" xfId="2" applyNumberFormat="1" applyFont="1" applyFill="1" applyBorder="1" applyAlignment="1" applyProtection="1">
      <alignment horizontal="center" vertical="center"/>
      <protection locked="0"/>
    </xf>
    <xf numFmtId="168" fontId="67" fillId="2" borderId="2" xfId="2" applyNumberFormat="1" applyFont="1" applyFill="1" applyBorder="1" applyAlignment="1" applyProtection="1">
      <alignment horizontal="right" vertical="top"/>
      <protection hidden="1"/>
    </xf>
    <xf numFmtId="168" fontId="67" fillId="2" borderId="7" xfId="2" applyNumberFormat="1" applyFont="1" applyFill="1" applyBorder="1" applyAlignment="1" applyProtection="1">
      <alignment horizontal="right" vertical="top"/>
      <protection hidden="1"/>
    </xf>
    <xf numFmtId="0" fontId="37" fillId="2" borderId="83" xfId="2" applyFont="1" applyFill="1" applyBorder="1" applyAlignment="1" applyProtection="1">
      <alignment horizontal="center"/>
      <protection hidden="1"/>
    </xf>
    <xf numFmtId="14" fontId="49" fillId="2" borderId="0" xfId="2" applyNumberFormat="1" applyFont="1" applyFill="1" applyBorder="1" applyAlignment="1" applyProtection="1">
      <alignment horizontal="right" vertical="top"/>
      <protection hidden="1"/>
    </xf>
    <xf numFmtId="0" fontId="36" fillId="2" borderId="36" xfId="2" applyFont="1" applyFill="1" applyBorder="1" applyAlignment="1" applyProtection="1">
      <alignment horizontal="center"/>
      <protection hidden="1"/>
    </xf>
    <xf numFmtId="0" fontId="36" fillId="2" borderId="24" xfId="2" applyFont="1" applyFill="1" applyBorder="1" applyAlignment="1" applyProtection="1">
      <alignment horizontal="center"/>
      <protection hidden="1"/>
    </xf>
    <xf numFmtId="0" fontId="44" fillId="2" borderId="30" xfId="2" applyFont="1" applyFill="1" applyBorder="1" applyAlignment="1" applyProtection="1">
      <alignment horizontal="left" vertical="center" indent="1"/>
      <protection locked="0"/>
    </xf>
    <xf numFmtId="0" fontId="138" fillId="2" borderId="0" xfId="2" applyFont="1" applyFill="1" applyAlignment="1" applyProtection="1">
      <alignment horizontal="center"/>
      <protection hidden="1"/>
    </xf>
    <xf numFmtId="0" fontId="39" fillId="2" borderId="7" xfId="2" applyFont="1" applyFill="1" applyBorder="1" applyAlignment="1" applyProtection="1">
      <alignment horizontal="center" vertical="center"/>
      <protection hidden="1"/>
    </xf>
    <xf numFmtId="0" fontId="39" fillId="2" borderId="3" xfId="2" applyFont="1" applyFill="1" applyBorder="1" applyAlignment="1" applyProtection="1">
      <alignment horizontal="center" vertical="center"/>
      <protection hidden="1"/>
    </xf>
    <xf numFmtId="168" fontId="96" fillId="4" borderId="5" xfId="2" applyNumberFormat="1" applyFont="1" applyFill="1" applyBorder="1" applyAlignment="1" applyProtection="1">
      <alignment horizontal="right" vertical="center"/>
      <protection locked="0"/>
    </xf>
    <xf numFmtId="168" fontId="96" fillId="4" borderId="74" xfId="2" applyNumberFormat="1" applyFont="1" applyFill="1" applyBorder="1" applyAlignment="1" applyProtection="1">
      <alignment horizontal="right" vertical="center"/>
      <protection locked="0"/>
    </xf>
    <xf numFmtId="168" fontId="96" fillId="4" borderId="85" xfId="2" applyNumberFormat="1" applyFont="1" applyFill="1" applyBorder="1" applyAlignment="1" applyProtection="1">
      <alignment horizontal="right" vertical="center"/>
      <protection locked="0"/>
    </xf>
    <xf numFmtId="0" fontId="18" fillId="2" borderId="2" xfId="2" applyFont="1" applyFill="1" applyBorder="1" applyAlignment="1" applyProtection="1">
      <alignment horizontal="left" vertical="center" indent="1"/>
      <protection hidden="1"/>
    </xf>
    <xf numFmtId="0" fontId="18" fillId="2" borderId="7" xfId="2" applyFont="1" applyFill="1" applyBorder="1" applyAlignment="1" applyProtection="1">
      <alignment horizontal="left" vertical="center" indent="1"/>
      <protection hidden="1"/>
    </xf>
    <xf numFmtId="0" fontId="18" fillId="2" borderId="3" xfId="2" applyFont="1" applyFill="1" applyBorder="1" applyAlignment="1" applyProtection="1">
      <alignment horizontal="left" vertical="center" indent="1"/>
      <protection hidden="1"/>
    </xf>
    <xf numFmtId="0" fontId="8" fillId="2" borderId="4" xfId="2" applyFont="1" applyFill="1" applyBorder="1" applyAlignment="1" applyProtection="1">
      <alignment horizontal="left"/>
      <protection hidden="1"/>
    </xf>
    <xf numFmtId="0" fontId="8" fillId="2" borderId="0" xfId="2" applyFont="1" applyFill="1" applyBorder="1" applyAlignment="1" applyProtection="1">
      <alignment horizontal="left"/>
      <protection hidden="1"/>
    </xf>
    <xf numFmtId="169" fontId="96" fillId="4" borderId="5" xfId="2" applyNumberFormat="1" applyFont="1" applyFill="1" applyBorder="1" applyAlignment="1" applyProtection="1">
      <alignment horizontal="right" vertical="center"/>
      <protection hidden="1"/>
    </xf>
    <xf numFmtId="169" fontId="96" fillId="4" borderId="74" xfId="2" applyNumberFormat="1" applyFont="1" applyFill="1" applyBorder="1" applyAlignment="1" applyProtection="1">
      <alignment horizontal="right" vertical="center"/>
      <protection hidden="1"/>
    </xf>
    <xf numFmtId="169" fontId="96" fillId="4" borderId="85" xfId="2" applyNumberFormat="1" applyFont="1" applyFill="1" applyBorder="1" applyAlignment="1" applyProtection="1">
      <alignment horizontal="right" vertical="center"/>
      <protection hidden="1"/>
    </xf>
    <xf numFmtId="169" fontId="67" fillId="2" borderId="5" xfId="2" applyNumberFormat="1" applyFont="1" applyFill="1" applyBorder="1" applyAlignment="1" applyProtection="1">
      <alignment horizontal="right" vertical="center"/>
      <protection hidden="1"/>
    </xf>
    <xf numFmtId="169" fontId="67" fillId="2" borderId="74" xfId="2" applyNumberFormat="1" applyFont="1" applyFill="1" applyBorder="1" applyAlignment="1" applyProtection="1">
      <alignment horizontal="right" vertical="center"/>
      <protection hidden="1"/>
    </xf>
    <xf numFmtId="169" fontId="67" fillId="2" borderId="85" xfId="2" applyNumberFormat="1" applyFont="1" applyFill="1" applyBorder="1" applyAlignment="1" applyProtection="1">
      <alignment horizontal="right" vertical="center"/>
      <protection hidden="1"/>
    </xf>
    <xf numFmtId="2" fontId="67" fillId="2" borderId="63" xfId="2" applyNumberFormat="1" applyFont="1" applyFill="1" applyBorder="1" applyAlignment="1" applyProtection="1">
      <alignment horizontal="center" vertical="center"/>
      <protection hidden="1"/>
    </xf>
    <xf numFmtId="0" fontId="50" fillId="2" borderId="7" xfId="2" applyFont="1" applyFill="1" applyBorder="1" applyAlignment="1" applyProtection="1">
      <alignment horizontal="center" vertical="center"/>
      <protection hidden="1"/>
    </xf>
    <xf numFmtId="168" fontId="44" fillId="2" borderId="7" xfId="2" applyNumberFormat="1" applyFont="1" applyFill="1" applyBorder="1" applyAlignment="1" applyProtection="1">
      <alignment horizontal="right" vertical="top"/>
      <protection hidden="1"/>
    </xf>
    <xf numFmtId="166" fontId="78" fillId="2" borderId="7" xfId="2" applyNumberFormat="1" applyFont="1" applyFill="1" applyBorder="1" applyAlignment="1" applyProtection="1">
      <alignment horizontal="center" vertical="center"/>
      <protection hidden="1"/>
    </xf>
    <xf numFmtId="168" fontId="44" fillId="2" borderId="88" xfId="2" applyNumberFormat="1" applyFont="1" applyFill="1" applyBorder="1" applyAlignment="1" applyProtection="1">
      <alignment horizontal="right" vertical="center"/>
      <protection hidden="1"/>
    </xf>
    <xf numFmtId="0" fontId="49" fillId="2" borderId="0" xfId="2" applyFont="1" applyFill="1" applyAlignment="1" applyProtection="1">
      <alignment horizontal="left"/>
      <protection hidden="1"/>
    </xf>
    <xf numFmtId="0" fontId="66" fillId="2" borderId="0" xfId="2" applyFont="1" applyFill="1" applyAlignment="1" applyProtection="1">
      <alignment horizontal="left"/>
      <protection hidden="1"/>
    </xf>
    <xf numFmtId="168" fontId="44" fillId="2" borderId="178" xfId="2" applyNumberFormat="1" applyFont="1" applyFill="1" applyBorder="1" applyAlignment="1" applyProtection="1">
      <alignment horizontal="right" vertical="center"/>
      <protection hidden="1"/>
    </xf>
    <xf numFmtId="168" fontId="44" fillId="2" borderId="17" xfId="2" applyNumberFormat="1" applyFont="1" applyFill="1" applyBorder="1" applyAlignment="1" applyProtection="1">
      <alignment horizontal="right" vertical="center"/>
      <protection hidden="1"/>
    </xf>
    <xf numFmtId="168" fontId="44" fillId="2" borderId="179" xfId="2" applyNumberFormat="1" applyFont="1" applyFill="1" applyBorder="1" applyAlignment="1" applyProtection="1">
      <alignment horizontal="right" vertical="center"/>
      <protection hidden="1"/>
    </xf>
    <xf numFmtId="165" fontId="44" fillId="3" borderId="176" xfId="2" applyNumberFormat="1" applyFont="1" applyFill="1" applyBorder="1" applyAlignment="1" applyProtection="1">
      <alignment horizontal="right" vertical="center"/>
      <protection hidden="1"/>
    </xf>
    <xf numFmtId="165" fontId="44" fillId="3" borderId="177" xfId="2" applyNumberFormat="1" applyFont="1" applyFill="1" applyBorder="1" applyAlignment="1" applyProtection="1">
      <alignment horizontal="right" vertical="center"/>
      <protection hidden="1"/>
    </xf>
    <xf numFmtId="165" fontId="44" fillId="3" borderId="195" xfId="2" applyNumberFormat="1" applyFont="1" applyFill="1" applyBorder="1" applyAlignment="1" applyProtection="1">
      <alignment horizontal="right" vertical="center"/>
      <protection hidden="1"/>
    </xf>
    <xf numFmtId="165" fontId="44" fillId="3" borderId="196" xfId="2" applyNumberFormat="1" applyFont="1" applyFill="1" applyBorder="1" applyAlignment="1" applyProtection="1">
      <alignment horizontal="right" vertical="center"/>
      <protection hidden="1"/>
    </xf>
    <xf numFmtId="168" fontId="44" fillId="2" borderId="197" xfId="2" applyNumberFormat="1" applyFont="1" applyFill="1" applyBorder="1" applyAlignment="1" applyProtection="1">
      <alignment horizontal="right" vertical="center"/>
      <protection hidden="1"/>
    </xf>
    <xf numFmtId="168" fontId="44" fillId="2" borderId="201" xfId="2" applyNumberFormat="1" applyFont="1" applyFill="1" applyBorder="1" applyAlignment="1" applyProtection="1">
      <alignment horizontal="right" vertical="center"/>
      <protection hidden="1"/>
    </xf>
    <xf numFmtId="168" fontId="44" fillId="2" borderId="198" xfId="2" applyNumberFormat="1" applyFont="1" applyFill="1" applyBorder="1" applyAlignment="1" applyProtection="1">
      <alignment horizontal="right" vertical="center"/>
      <protection hidden="1"/>
    </xf>
    <xf numFmtId="0" fontId="78" fillId="2" borderId="202" xfId="2" applyFont="1" applyFill="1" applyBorder="1" applyAlignment="1" applyProtection="1">
      <alignment horizontal="center"/>
      <protection hidden="1"/>
    </xf>
    <xf numFmtId="0" fontId="85" fillId="2" borderId="75" xfId="2" applyFont="1" applyFill="1" applyBorder="1" applyAlignment="1" applyProtection="1">
      <alignment horizontal="center" vertical="center"/>
      <protection hidden="1"/>
    </xf>
    <xf numFmtId="168" fontId="70" fillId="2" borderId="75" xfId="2" applyNumberFormat="1" applyFont="1" applyFill="1" applyBorder="1" applyAlignment="1" applyProtection="1">
      <alignment horizontal="right" vertical="center"/>
      <protection hidden="1"/>
    </xf>
    <xf numFmtId="0" fontId="83" fillId="2" borderId="75" xfId="2" applyFont="1" applyFill="1" applyBorder="1" applyAlignment="1" applyProtection="1">
      <alignment horizontal="center" vertical="center"/>
      <protection hidden="1"/>
    </xf>
    <xf numFmtId="185" fontId="50" fillId="3" borderId="1" xfId="2" applyNumberFormat="1" applyFont="1" applyFill="1" applyBorder="1" applyAlignment="1" applyProtection="1">
      <alignment horizontal="center" vertical="center"/>
      <protection hidden="1"/>
    </xf>
    <xf numFmtId="185" fontId="50" fillId="3" borderId="22" xfId="2" applyNumberFormat="1" applyFont="1" applyFill="1" applyBorder="1" applyAlignment="1" applyProtection="1">
      <alignment horizontal="center" vertical="center"/>
      <protection hidden="1"/>
    </xf>
    <xf numFmtId="185" fontId="50" fillId="3" borderId="3" xfId="2" applyNumberFormat="1" applyFont="1" applyFill="1" applyBorder="1" applyAlignment="1" applyProtection="1">
      <alignment horizontal="center" vertical="center"/>
      <protection hidden="1"/>
    </xf>
    <xf numFmtId="168" fontId="131" fillId="2" borderId="4" xfId="2" applyNumberFormat="1" applyFont="1" applyFill="1" applyBorder="1" applyAlignment="1" applyProtection="1">
      <alignment horizontal="right" vertical="center"/>
      <protection hidden="1"/>
    </xf>
    <xf numFmtId="0" fontId="131" fillId="2" borderId="4" xfId="2" applyFont="1" applyFill="1" applyBorder="1" applyAlignment="1" applyProtection="1">
      <alignment horizontal="right" vertical="center"/>
      <protection hidden="1"/>
    </xf>
    <xf numFmtId="2" fontId="67" fillId="2" borderId="60" xfId="2" applyNumberFormat="1" applyFont="1" applyFill="1" applyBorder="1" applyAlignment="1" applyProtection="1">
      <alignment horizontal="center" vertical="center"/>
      <protection hidden="1"/>
    </xf>
    <xf numFmtId="0" fontId="36" fillId="2" borderId="0" xfId="2" applyFont="1" applyFill="1" applyBorder="1" applyAlignment="1" applyProtection="1">
      <alignment horizontal="left" indent="1"/>
      <protection hidden="1"/>
    </xf>
    <xf numFmtId="0" fontId="67" fillId="2" borderId="60" xfId="2" applyNumberFormat="1" applyFont="1" applyFill="1" applyBorder="1" applyAlignment="1" applyProtection="1">
      <alignment horizontal="center" vertical="center"/>
      <protection hidden="1"/>
    </xf>
    <xf numFmtId="185" fontId="50" fillId="2" borderId="36" xfId="2" applyNumberFormat="1" applyFont="1" applyFill="1" applyBorder="1" applyAlignment="1" applyProtection="1">
      <alignment horizontal="center" vertical="center"/>
      <protection hidden="1"/>
    </xf>
    <xf numFmtId="185" fontId="50" fillId="2" borderId="24" xfId="2" applyNumberFormat="1" applyFont="1" applyFill="1" applyBorder="1" applyAlignment="1" applyProtection="1">
      <alignment horizontal="center" vertical="center"/>
      <protection hidden="1"/>
    </xf>
    <xf numFmtId="165" fontId="44" fillId="3" borderId="168" xfId="2" applyNumberFormat="1" applyFont="1" applyFill="1" applyBorder="1" applyAlignment="1" applyProtection="1">
      <alignment horizontal="right" vertical="center"/>
      <protection hidden="1"/>
    </xf>
    <xf numFmtId="165" fontId="44" fillId="3" borderId="169" xfId="2" applyNumberFormat="1" applyFont="1" applyFill="1" applyBorder="1" applyAlignment="1" applyProtection="1">
      <alignment horizontal="right" vertical="center"/>
      <protection hidden="1"/>
    </xf>
    <xf numFmtId="168" fontId="44" fillId="2" borderId="170" xfId="2" applyNumberFormat="1" applyFont="1" applyFill="1" applyBorder="1" applyAlignment="1" applyProtection="1">
      <alignment horizontal="right" vertical="center"/>
      <protection hidden="1"/>
    </xf>
    <xf numFmtId="168" fontId="44" fillId="2" borderId="171" xfId="2" applyNumberFormat="1" applyFont="1" applyFill="1" applyBorder="1" applyAlignment="1" applyProtection="1">
      <alignment horizontal="right" vertical="center"/>
      <protection hidden="1"/>
    </xf>
    <xf numFmtId="168" fontId="44" fillId="2" borderId="172" xfId="2" applyNumberFormat="1" applyFont="1" applyFill="1" applyBorder="1" applyAlignment="1" applyProtection="1">
      <alignment horizontal="right" vertical="center"/>
      <protection hidden="1"/>
    </xf>
    <xf numFmtId="0" fontId="70" fillId="2" borderId="7" xfId="0" applyNumberFormat="1" applyFont="1" applyFill="1" applyBorder="1" applyAlignment="1" applyProtection="1">
      <alignment horizontal="left" vertical="center" indent="1"/>
      <protection hidden="1"/>
    </xf>
    <xf numFmtId="0" fontId="9" fillId="2" borderId="4" xfId="0" applyFont="1" applyFill="1" applyBorder="1" applyAlignment="1" applyProtection="1">
      <alignment horizontal="center" vertical="center"/>
      <protection hidden="1"/>
    </xf>
    <xf numFmtId="0" fontId="68" fillId="2" borderId="7" xfId="0" applyNumberFormat="1" applyFont="1" applyFill="1" applyBorder="1" applyAlignment="1" applyProtection="1">
      <alignment horizontal="right" vertical="center" indent="3"/>
      <protection hidden="1"/>
    </xf>
    <xf numFmtId="0" fontId="70" fillId="2" borderId="0" xfId="0" applyNumberFormat="1" applyFont="1" applyFill="1" applyBorder="1" applyAlignment="1" applyProtection="1">
      <alignment horizontal="left" indent="1"/>
      <protection hidden="1"/>
    </xf>
    <xf numFmtId="166" fontId="8" fillId="2" borderId="7" xfId="0" applyNumberFormat="1" applyFont="1" applyFill="1" applyBorder="1" applyAlignment="1" applyProtection="1">
      <alignment horizontal="center" vertical="center"/>
      <protection hidden="1"/>
    </xf>
    <xf numFmtId="0" fontId="69" fillId="2" borderId="4" xfId="0" applyFont="1" applyFill="1" applyBorder="1" applyAlignment="1" applyProtection="1">
      <alignment horizontal="center" vertical="center"/>
      <protection hidden="1"/>
    </xf>
    <xf numFmtId="0" fontId="70" fillId="2" borderId="0" xfId="0" applyNumberFormat="1" applyFont="1" applyFill="1" applyBorder="1" applyAlignment="1" applyProtection="1">
      <alignment horizontal="left" vertical="top" indent="1"/>
      <protection hidden="1"/>
    </xf>
    <xf numFmtId="168" fontId="83" fillId="2" borderId="0" xfId="0" applyNumberFormat="1" applyFont="1" applyFill="1" applyBorder="1" applyAlignment="1" applyProtection="1">
      <alignment horizontal="center"/>
      <protection hidden="1"/>
    </xf>
    <xf numFmtId="166" fontId="70" fillId="2" borderId="0" xfId="0" applyNumberFormat="1" applyFont="1" applyFill="1" applyBorder="1" applyAlignment="1" applyProtection="1">
      <alignment horizontal="left" indent="1"/>
      <protection hidden="1"/>
    </xf>
    <xf numFmtId="0" fontId="35" fillId="2" borderId="0" xfId="0" applyNumberFormat="1" applyFont="1" applyFill="1" applyBorder="1" applyAlignment="1" applyProtection="1">
      <alignment horizontal="center" vertical="center"/>
      <protection hidden="1"/>
    </xf>
    <xf numFmtId="0" fontId="17" fillId="2" borderId="0" xfId="0" applyNumberFormat="1" applyFont="1" applyFill="1" applyAlignment="1" applyProtection="1">
      <alignment horizontal="right" indent="2"/>
      <protection hidden="1"/>
    </xf>
    <xf numFmtId="0" fontId="18" fillId="2" borderId="4" xfId="0" applyFont="1" applyFill="1" applyBorder="1" applyAlignment="1" applyProtection="1">
      <alignment horizontal="right"/>
      <protection hidden="1"/>
    </xf>
    <xf numFmtId="0" fontId="18" fillId="2" borderId="0" xfId="0" applyFont="1" applyFill="1" applyBorder="1" applyAlignment="1" applyProtection="1">
      <alignment horizontal="right" indent="2"/>
      <protection hidden="1"/>
    </xf>
    <xf numFmtId="0" fontId="67" fillId="2" borderId="30" xfId="0" applyFont="1" applyFill="1" applyBorder="1" applyAlignment="1" applyProtection="1">
      <alignment horizontal="left" vertical="center" indent="1"/>
      <protection locked="0"/>
    </xf>
    <xf numFmtId="0" fontId="17" fillId="2" borderId="7" xfId="0" applyNumberFormat="1" applyFont="1" applyFill="1" applyBorder="1" applyAlignment="1" applyProtection="1">
      <alignment horizontal="center" vertical="top"/>
      <protection hidden="1"/>
    </xf>
    <xf numFmtId="176" fontId="49" fillId="2" borderId="0" xfId="2" applyNumberFormat="1" applyFont="1" applyFill="1" applyBorder="1" applyAlignment="1" applyProtection="1">
      <alignment horizontal="left" vertical="center"/>
      <protection hidden="1"/>
    </xf>
    <xf numFmtId="166" fontId="49" fillId="2" borderId="0" xfId="2" applyNumberFormat="1" applyFont="1" applyFill="1" applyBorder="1" applyAlignment="1" applyProtection="1">
      <alignment horizontal="right" vertical="center"/>
      <protection hidden="1"/>
    </xf>
    <xf numFmtId="168" fontId="37" fillId="2" borderId="0" xfId="2" applyNumberFormat="1" applyFont="1" applyFill="1" applyBorder="1" applyAlignment="1" applyProtection="1">
      <alignment horizontal="left" vertical="center"/>
      <protection hidden="1"/>
    </xf>
    <xf numFmtId="0" fontId="14" fillId="2" borderId="0" xfId="0" applyNumberFormat="1" applyFont="1" applyFill="1" applyBorder="1" applyAlignment="1" applyProtection="1">
      <alignment horizontal="right" vertical="center" indent="1"/>
      <protection hidden="1"/>
    </xf>
    <xf numFmtId="0" fontId="15" fillId="2" borderId="0" xfId="0" applyFont="1" applyFill="1" applyAlignment="1" applyProtection="1">
      <alignment horizontal="right" vertical="center"/>
      <protection hidden="1"/>
    </xf>
    <xf numFmtId="0" fontId="48" fillId="2" borderId="4" xfId="0" applyFont="1" applyFill="1" applyBorder="1" applyAlignment="1" applyProtection="1">
      <alignment horizontal="center" vertical="center"/>
      <protection hidden="1"/>
    </xf>
    <xf numFmtId="0" fontId="48" fillId="2" borderId="0" xfId="0" applyFont="1" applyFill="1" applyAlignment="1" applyProtection="1">
      <alignment horizontal="center" vertical="center"/>
      <protection hidden="1"/>
    </xf>
    <xf numFmtId="0" fontId="83" fillId="2" borderId="0" xfId="0" applyNumberFormat="1" applyFont="1" applyFill="1" applyBorder="1" applyAlignment="1" applyProtection="1">
      <alignment horizontal="right" vertical="center" indent="1"/>
      <protection hidden="1"/>
    </xf>
    <xf numFmtId="0" fontId="83" fillId="2" borderId="22" xfId="0" applyNumberFormat="1" applyFont="1" applyFill="1" applyBorder="1" applyAlignment="1" applyProtection="1">
      <alignment horizontal="right" vertical="center" indent="1"/>
      <protection hidden="1"/>
    </xf>
    <xf numFmtId="0" fontId="141" fillId="2" borderId="0" xfId="0" applyNumberFormat="1" applyFont="1" applyFill="1" applyAlignment="1" applyProtection="1">
      <alignment horizontal="left" indent="1"/>
      <protection hidden="1"/>
    </xf>
    <xf numFmtId="0" fontId="18" fillId="2" borderId="0" xfId="0" applyNumberFormat="1" applyFont="1" applyFill="1" applyBorder="1" applyAlignment="1" applyProtection="1">
      <alignment horizontal="center"/>
      <protection hidden="1"/>
    </xf>
    <xf numFmtId="0" fontId="67" fillId="2" borderId="0" xfId="0" applyNumberFormat="1" applyFont="1" applyFill="1" applyAlignment="1" applyProtection="1">
      <alignment horizontal="left"/>
      <protection hidden="1"/>
    </xf>
    <xf numFmtId="0" fontId="68" fillId="2" borderId="0" xfId="0" applyFont="1" applyFill="1" applyBorder="1" applyAlignment="1" applyProtection="1">
      <alignment horizontal="left" vertical="center" indent="1"/>
      <protection locked="0"/>
    </xf>
    <xf numFmtId="0" fontId="104" fillId="2" borderId="0" xfId="0" applyFont="1" applyFill="1" applyBorder="1" applyAlignment="1" applyProtection="1">
      <alignment horizontal="right" vertical="center" indent="1"/>
      <protection hidden="1"/>
    </xf>
    <xf numFmtId="0" fontId="0" fillId="0" borderId="0" xfId="0" applyBorder="1"/>
    <xf numFmtId="0" fontId="82" fillId="2" borderId="122" xfId="0" applyFont="1" applyFill="1" applyBorder="1" applyAlignment="1" applyProtection="1">
      <alignment horizontal="center" vertical="center"/>
      <protection locked="0"/>
    </xf>
    <xf numFmtId="0" fontId="82" fillId="2" borderId="120" xfId="0" applyFont="1" applyFill="1" applyBorder="1" applyAlignment="1" applyProtection="1">
      <alignment horizontal="center" vertical="center"/>
      <protection locked="0"/>
    </xf>
    <xf numFmtId="0" fontId="82" fillId="2" borderId="121" xfId="0" applyFont="1" applyFill="1" applyBorder="1" applyAlignment="1" applyProtection="1">
      <alignment horizontal="center" vertical="center"/>
      <protection locked="0"/>
    </xf>
    <xf numFmtId="0" fontId="58" fillId="2" borderId="0" xfId="0" applyFont="1" applyFill="1" applyBorder="1" applyAlignment="1" applyProtection="1">
      <alignment horizontal="center"/>
      <protection hidden="1"/>
    </xf>
    <xf numFmtId="0" fontId="8" fillId="2" borderId="0" xfId="0" applyFont="1" applyFill="1" applyBorder="1" applyAlignment="1" applyProtection="1">
      <alignment horizontal="center" vertical="top"/>
      <protection hidden="1"/>
    </xf>
    <xf numFmtId="0" fontId="17" fillId="2" borderId="0" xfId="0" applyNumberFormat="1" applyFont="1" applyFill="1" applyBorder="1" applyAlignment="1" applyProtection="1">
      <alignment horizontal="left" vertical="center" indent="2"/>
      <protection hidden="1"/>
    </xf>
    <xf numFmtId="166" fontId="18" fillId="2" borderId="5" xfId="0" applyNumberFormat="1" applyFont="1" applyFill="1" applyBorder="1" applyAlignment="1" applyProtection="1">
      <alignment horizontal="center" vertical="center"/>
      <protection locked="0"/>
    </xf>
    <xf numFmtId="166" fontId="18" fillId="2" borderId="74" xfId="0" applyNumberFormat="1" applyFont="1" applyFill="1" applyBorder="1" applyAlignment="1" applyProtection="1">
      <alignment horizontal="center" vertical="center"/>
      <protection locked="0"/>
    </xf>
    <xf numFmtId="166" fontId="18" fillId="2" borderId="85" xfId="0" applyNumberFormat="1" applyFont="1" applyFill="1" applyBorder="1" applyAlignment="1" applyProtection="1">
      <alignment horizontal="center" vertical="center"/>
      <protection locked="0"/>
    </xf>
    <xf numFmtId="0" fontId="37" fillId="2" borderId="0" xfId="2" applyNumberFormat="1" applyFont="1" applyFill="1" applyBorder="1" applyAlignment="1" applyProtection="1">
      <alignment horizontal="left" vertical="center" indent="2"/>
      <protection hidden="1"/>
    </xf>
    <xf numFmtId="0" fontId="37" fillId="2" borderId="22" xfId="2" applyNumberFormat="1" applyFont="1" applyFill="1" applyBorder="1" applyAlignment="1" applyProtection="1">
      <alignment horizontal="left" vertical="center" indent="2"/>
      <protection hidden="1"/>
    </xf>
    <xf numFmtId="0" fontId="8" fillId="2" borderId="0" xfId="0" applyFont="1" applyFill="1" applyBorder="1" applyAlignment="1" applyProtection="1">
      <alignment horizontal="left" vertical="top" indent="2"/>
      <protection hidden="1"/>
    </xf>
    <xf numFmtId="0" fontId="151" fillId="2" borderId="0" xfId="0" applyNumberFormat="1" applyFont="1" applyFill="1" applyAlignment="1" applyProtection="1">
      <alignment horizontal="left" indent="2"/>
      <protection hidden="1"/>
    </xf>
    <xf numFmtId="0" fontId="151" fillId="2" borderId="0" xfId="0" applyFont="1" applyFill="1" applyAlignment="1" applyProtection="1">
      <alignment horizontal="left" indent="2"/>
      <protection hidden="1"/>
    </xf>
    <xf numFmtId="0" fontId="151" fillId="2" borderId="0" xfId="0" applyNumberFormat="1" applyFont="1" applyFill="1" applyAlignment="1" applyProtection="1">
      <alignment horizontal="left" vertical="top" indent="2"/>
      <protection hidden="1"/>
    </xf>
    <xf numFmtId="0" fontId="151" fillId="2" borderId="0" xfId="0" applyFont="1" applyFill="1" applyAlignment="1" applyProtection="1">
      <alignment horizontal="left" vertical="top" indent="2"/>
      <protection hidden="1"/>
    </xf>
    <xf numFmtId="168" fontId="8" fillId="2" borderId="0" xfId="0" applyNumberFormat="1" applyFont="1" applyFill="1" applyBorder="1" applyAlignment="1" applyProtection="1">
      <alignment horizontal="right" vertical="top"/>
      <protection hidden="1"/>
    </xf>
    <xf numFmtId="168" fontId="8" fillId="2" borderId="2" xfId="0" applyNumberFormat="1" applyFont="1" applyFill="1" applyBorder="1" applyAlignment="1" applyProtection="1">
      <alignment horizontal="right" vertical="top"/>
      <protection locked="0"/>
    </xf>
    <xf numFmtId="168" fontId="8" fillId="2" borderId="7" xfId="0" applyNumberFormat="1" applyFont="1" applyFill="1" applyBorder="1" applyAlignment="1" applyProtection="1">
      <alignment horizontal="right" vertical="top"/>
      <protection locked="0"/>
    </xf>
    <xf numFmtId="168" fontId="8" fillId="2" borderId="123" xfId="0" applyNumberFormat="1" applyFont="1" applyFill="1" applyBorder="1" applyAlignment="1" applyProtection="1">
      <alignment horizontal="right" vertical="top"/>
      <protection locked="0"/>
    </xf>
    <xf numFmtId="168" fontId="8" fillId="2" borderId="124" xfId="0" applyNumberFormat="1" applyFont="1" applyFill="1" applyBorder="1" applyAlignment="1" applyProtection="1">
      <alignment horizontal="right" vertical="top"/>
      <protection locked="0"/>
    </xf>
    <xf numFmtId="168" fontId="8" fillId="2" borderId="3" xfId="0" applyNumberFormat="1" applyFont="1" applyFill="1" applyBorder="1" applyAlignment="1" applyProtection="1">
      <alignment horizontal="right" vertical="top"/>
      <protection locked="0"/>
    </xf>
    <xf numFmtId="0" fontId="122" fillId="2" borderId="0" xfId="1" applyNumberFormat="1" applyFont="1" applyFill="1" applyAlignment="1" applyProtection="1">
      <alignment horizontal="center" vertical="center"/>
      <protection hidden="1"/>
    </xf>
    <xf numFmtId="0" fontId="17" fillId="2" borderId="1" xfId="0" applyFont="1" applyFill="1" applyBorder="1" applyAlignment="1" applyProtection="1">
      <alignment horizontal="center" vertical="top"/>
      <protection hidden="1"/>
    </xf>
    <xf numFmtId="0" fontId="17" fillId="2" borderId="0" xfId="0" applyFont="1" applyFill="1" applyBorder="1" applyAlignment="1" applyProtection="1">
      <alignment horizontal="center" vertical="top"/>
      <protection hidden="1"/>
    </xf>
    <xf numFmtId="168" fontId="14" fillId="2" borderId="0" xfId="0" applyNumberFormat="1" applyFont="1" applyFill="1" applyAlignment="1" applyProtection="1">
      <alignment horizontal="center"/>
      <protection hidden="1"/>
    </xf>
    <xf numFmtId="0" fontId="14" fillId="2" borderId="0" xfId="0" applyFont="1" applyFill="1" applyAlignment="1" applyProtection="1">
      <alignment horizontal="center"/>
      <protection hidden="1"/>
    </xf>
    <xf numFmtId="0" fontId="14" fillId="2" borderId="0" xfId="0" applyFont="1" applyFill="1" applyAlignment="1" applyProtection="1">
      <alignment horizontal="center" vertical="top"/>
      <protection hidden="1"/>
    </xf>
    <xf numFmtId="168" fontId="147" fillId="2" borderId="0" xfId="0" applyNumberFormat="1" applyFont="1" applyFill="1" applyBorder="1" applyAlignment="1" applyProtection="1">
      <alignment horizontal="center"/>
      <protection hidden="1"/>
    </xf>
    <xf numFmtId="168" fontId="18" fillId="3" borderId="5" xfId="0" applyNumberFormat="1" applyFont="1" applyFill="1" applyBorder="1" applyAlignment="1" applyProtection="1">
      <alignment horizontal="right" vertical="center"/>
      <protection hidden="1"/>
    </xf>
    <xf numFmtId="168" fontId="18" fillId="3" borderId="74" xfId="0" applyNumberFormat="1" applyFont="1" applyFill="1" applyBorder="1" applyAlignment="1" applyProtection="1">
      <alignment horizontal="right" vertical="center"/>
      <protection hidden="1"/>
    </xf>
    <xf numFmtId="168" fontId="18" fillId="3" borderId="50" xfId="0" applyNumberFormat="1" applyFont="1" applyFill="1" applyBorder="1" applyAlignment="1" applyProtection="1">
      <alignment horizontal="right" vertical="center"/>
      <protection hidden="1"/>
    </xf>
    <xf numFmtId="168" fontId="18" fillId="3" borderId="51" xfId="0" applyNumberFormat="1" applyFont="1" applyFill="1" applyBorder="1" applyAlignment="1" applyProtection="1">
      <alignment horizontal="right" vertical="center"/>
      <protection hidden="1"/>
    </xf>
    <xf numFmtId="168" fontId="18" fillId="3" borderId="85" xfId="0" applyNumberFormat="1" applyFont="1" applyFill="1" applyBorder="1" applyAlignment="1" applyProtection="1">
      <alignment horizontal="right" vertical="center"/>
      <protection hidden="1"/>
    </xf>
    <xf numFmtId="168" fontId="8" fillId="2" borderId="40" xfId="0" applyNumberFormat="1" applyFont="1" applyFill="1" applyBorder="1" applyAlignment="1" applyProtection="1">
      <alignment horizontal="right"/>
      <protection locked="0"/>
    </xf>
    <xf numFmtId="168" fontId="8" fillId="2" borderId="4" xfId="0" applyNumberFormat="1" applyFont="1" applyFill="1" applyBorder="1" applyAlignment="1" applyProtection="1">
      <alignment horizontal="right"/>
      <protection locked="0"/>
    </xf>
    <xf numFmtId="168" fontId="8" fillId="2" borderId="24" xfId="0" applyNumberFormat="1" applyFont="1" applyFill="1" applyBorder="1" applyAlignment="1" applyProtection="1">
      <alignment horizontal="right"/>
      <protection locked="0"/>
    </xf>
    <xf numFmtId="168" fontId="48" fillId="2" borderId="0" xfId="0" applyNumberFormat="1" applyFont="1" applyFill="1" applyAlignment="1" applyProtection="1">
      <alignment horizontal="right" vertical="center"/>
      <protection hidden="1"/>
    </xf>
    <xf numFmtId="0" fontId="128" fillId="4" borderId="62" xfId="2" applyFont="1" applyFill="1" applyBorder="1" applyAlignment="1" applyProtection="1">
      <alignment horizontal="center"/>
      <protection hidden="1"/>
    </xf>
    <xf numFmtId="0" fontId="128" fillId="4" borderId="68" xfId="2" applyFont="1" applyFill="1" applyBorder="1" applyAlignment="1" applyProtection="1">
      <alignment horizontal="center"/>
      <protection hidden="1"/>
    </xf>
    <xf numFmtId="0" fontId="128" fillId="4" borderId="65" xfId="2" applyFont="1" applyFill="1" applyBorder="1" applyAlignment="1" applyProtection="1">
      <alignment horizontal="center"/>
      <protection hidden="1"/>
    </xf>
    <xf numFmtId="0" fontId="128" fillId="4" borderId="61" xfId="2" applyFont="1" applyFill="1" applyBorder="1" applyAlignment="1" applyProtection="1">
      <alignment horizontal="center"/>
      <protection hidden="1"/>
    </xf>
    <xf numFmtId="0" fontId="128" fillId="4" borderId="17" xfId="2" applyFont="1" applyFill="1" applyBorder="1" applyAlignment="1" applyProtection="1">
      <alignment horizontal="center"/>
      <protection hidden="1"/>
    </xf>
    <xf numFmtId="0" fontId="128" fillId="4" borderId="64" xfId="2" applyFont="1" applyFill="1" applyBorder="1" applyAlignment="1" applyProtection="1">
      <alignment horizontal="center"/>
      <protection hidden="1"/>
    </xf>
    <xf numFmtId="0" fontId="17" fillId="2" borderId="0" xfId="0" applyFont="1" applyFill="1" applyAlignment="1" applyProtection="1">
      <alignment horizontal="distributed"/>
      <protection hidden="1"/>
    </xf>
    <xf numFmtId="0" fontId="79" fillId="2" borderId="0" xfId="0" applyFont="1" applyFill="1" applyAlignment="1" applyProtection="1">
      <alignment horizontal="center" vertical="center"/>
      <protection hidden="1"/>
    </xf>
    <xf numFmtId="4" fontId="14" fillId="2" borderId="67" xfId="0" applyNumberFormat="1" applyFont="1" applyFill="1" applyBorder="1" applyAlignment="1" applyProtection="1">
      <alignment horizontal="right" vertical="center" indent="1"/>
      <protection hidden="1"/>
    </xf>
    <xf numFmtId="4" fontId="14" fillId="2" borderId="68" xfId="0" applyNumberFormat="1" applyFont="1" applyFill="1" applyBorder="1" applyAlignment="1" applyProtection="1">
      <alignment horizontal="right" vertical="center" indent="1"/>
      <protection hidden="1"/>
    </xf>
    <xf numFmtId="4" fontId="14" fillId="2" borderId="73" xfId="0" applyNumberFormat="1" applyFont="1" applyFill="1" applyBorder="1" applyAlignment="1" applyProtection="1">
      <alignment horizontal="right" vertical="center" indent="1"/>
      <protection hidden="1"/>
    </xf>
    <xf numFmtId="4" fontId="14" fillId="2" borderId="65" xfId="0" applyNumberFormat="1" applyFont="1" applyFill="1" applyBorder="1" applyAlignment="1" applyProtection="1">
      <alignment horizontal="right" vertical="center" indent="1"/>
      <protection hidden="1"/>
    </xf>
    <xf numFmtId="4" fontId="14" fillId="2" borderId="205" xfId="0" applyNumberFormat="1" applyFont="1" applyFill="1" applyBorder="1" applyAlignment="1" applyProtection="1">
      <alignment horizontal="right" vertical="center" indent="1"/>
      <protection hidden="1"/>
    </xf>
    <xf numFmtId="168" fontId="18" fillId="2" borderId="7" xfId="0" applyNumberFormat="1" applyFont="1" applyFill="1" applyBorder="1" applyAlignment="1" applyProtection="1">
      <alignment horizontal="center" vertical="center"/>
      <protection hidden="1"/>
    </xf>
    <xf numFmtId="0" fontId="17" fillId="2" borderId="5" xfId="0" applyFont="1" applyFill="1" applyBorder="1" applyAlignment="1" applyProtection="1">
      <alignment horizontal="center" vertical="center"/>
      <protection hidden="1"/>
    </xf>
    <xf numFmtId="0" fontId="17" fillId="2" borderId="74" xfId="0" applyFont="1" applyFill="1" applyBorder="1" applyAlignment="1" applyProtection="1">
      <alignment horizontal="center" vertical="center"/>
      <protection hidden="1"/>
    </xf>
    <xf numFmtId="0" fontId="17" fillId="2" borderId="85" xfId="0" applyFont="1" applyFill="1" applyBorder="1" applyAlignment="1" applyProtection="1">
      <alignment horizontal="center" vertical="center"/>
      <protection hidden="1"/>
    </xf>
    <xf numFmtId="0" fontId="128" fillId="4" borderId="60" xfId="2" applyFont="1" applyFill="1" applyBorder="1" applyAlignment="1" applyProtection="1">
      <alignment horizontal="center"/>
      <protection hidden="1"/>
    </xf>
    <xf numFmtId="0" fontId="128" fillId="4" borderId="88" xfId="2" applyFont="1" applyFill="1" applyBorder="1" applyAlignment="1" applyProtection="1">
      <alignment horizontal="center"/>
      <protection hidden="1"/>
    </xf>
    <xf numFmtId="0" fontId="128" fillId="4" borderId="63" xfId="2" applyFont="1" applyFill="1" applyBorder="1" applyAlignment="1" applyProtection="1">
      <alignment horizontal="center"/>
      <protection hidden="1"/>
    </xf>
    <xf numFmtId="0" fontId="58" fillId="4" borderId="122" xfId="0" applyFont="1" applyFill="1" applyBorder="1" applyAlignment="1" applyProtection="1">
      <alignment horizontal="center" vertical="center"/>
      <protection locked="0"/>
    </xf>
    <xf numFmtId="0" fontId="58" fillId="4" borderId="121" xfId="0" applyFont="1" applyFill="1" applyBorder="1" applyAlignment="1" applyProtection="1">
      <alignment horizontal="center" vertical="center"/>
      <protection locked="0"/>
    </xf>
    <xf numFmtId="0" fontId="82" fillId="2" borderId="7" xfId="0" applyFont="1" applyFill="1" applyBorder="1" applyAlignment="1" applyProtection="1">
      <alignment horizontal="center" vertical="center"/>
      <protection hidden="1"/>
    </xf>
    <xf numFmtId="0" fontId="128" fillId="3" borderId="17" xfId="2" applyFont="1" applyFill="1" applyBorder="1" applyAlignment="1" applyProtection="1">
      <alignment horizontal="center"/>
      <protection hidden="1"/>
    </xf>
    <xf numFmtId="0" fontId="67" fillId="2" borderId="7" xfId="0" applyFont="1" applyFill="1" applyBorder="1" applyAlignment="1" applyProtection="1">
      <alignment horizontal="center" vertical="center"/>
      <protection hidden="1"/>
    </xf>
    <xf numFmtId="0" fontId="8" fillId="2" borderId="0" xfId="0" applyFont="1" applyFill="1" applyBorder="1" applyAlignment="1" applyProtection="1">
      <alignment horizontal="center" vertical="center"/>
      <protection hidden="1"/>
    </xf>
    <xf numFmtId="168" fontId="67" fillId="3" borderId="5" xfId="0" applyNumberFormat="1" applyFont="1" applyFill="1" applyBorder="1" applyAlignment="1" applyProtection="1">
      <alignment horizontal="right" vertical="center"/>
      <protection hidden="1"/>
    </xf>
    <xf numFmtId="168" fontId="67" fillId="3" borderId="74" xfId="0" applyNumberFormat="1" applyFont="1" applyFill="1" applyBorder="1" applyAlignment="1" applyProtection="1">
      <alignment horizontal="right" vertical="center"/>
      <protection hidden="1"/>
    </xf>
    <xf numFmtId="168" fontId="67" fillId="3" borderId="85" xfId="0" applyNumberFormat="1" applyFont="1" applyFill="1" applyBorder="1" applyAlignment="1" applyProtection="1">
      <alignment horizontal="right" vertical="center"/>
      <protection hidden="1"/>
    </xf>
    <xf numFmtId="168" fontId="67" fillId="4" borderId="5" xfId="0" applyNumberFormat="1" applyFont="1" applyFill="1" applyBorder="1" applyAlignment="1" applyProtection="1">
      <alignment horizontal="right" vertical="center"/>
      <protection hidden="1"/>
    </xf>
    <xf numFmtId="168" fontId="67" fillId="4" borderId="74" xfId="0" applyNumberFormat="1" applyFont="1" applyFill="1" applyBorder="1" applyAlignment="1" applyProtection="1">
      <alignment horizontal="right" vertical="center"/>
      <protection hidden="1"/>
    </xf>
    <xf numFmtId="168" fontId="67" fillId="4" borderId="85" xfId="0" applyNumberFormat="1" applyFont="1" applyFill="1" applyBorder="1" applyAlignment="1" applyProtection="1">
      <alignment horizontal="right" vertical="center"/>
      <protection hidden="1"/>
    </xf>
    <xf numFmtId="0" fontId="128" fillId="3" borderId="68" xfId="2" applyFont="1" applyFill="1" applyBorder="1" applyAlignment="1" applyProtection="1">
      <alignment horizontal="center"/>
      <protection hidden="1"/>
    </xf>
    <xf numFmtId="0" fontId="128" fillId="3" borderId="88" xfId="2" applyFont="1" applyFill="1" applyBorder="1" applyAlignment="1" applyProtection="1">
      <alignment horizontal="center"/>
      <protection hidden="1"/>
    </xf>
    <xf numFmtId="0" fontId="8" fillId="2" borderId="0" xfId="0" applyFont="1" applyFill="1" applyBorder="1" applyAlignment="1" applyProtection="1">
      <alignment horizontal="left" vertical="top"/>
      <protection hidden="1"/>
    </xf>
    <xf numFmtId="0" fontId="8" fillId="2" borderId="22" xfId="0" applyFont="1" applyFill="1" applyBorder="1" applyAlignment="1" applyProtection="1">
      <alignment horizontal="left" vertical="top"/>
      <protection hidden="1"/>
    </xf>
    <xf numFmtId="0" fontId="67" fillId="3" borderId="5" xfId="0" applyFont="1" applyFill="1" applyBorder="1" applyAlignment="1" applyProtection="1">
      <alignment horizontal="center" vertical="center"/>
      <protection hidden="1"/>
    </xf>
    <xf numFmtId="0" fontId="67" fillId="3" borderId="85" xfId="0" applyFont="1" applyFill="1" applyBorder="1" applyAlignment="1" applyProtection="1">
      <alignment horizontal="center" vertical="center"/>
      <protection hidden="1"/>
    </xf>
    <xf numFmtId="0" fontId="8" fillId="2" borderId="0" xfId="0" applyFont="1" applyFill="1" applyBorder="1" applyAlignment="1" applyProtection="1">
      <alignment horizontal="left"/>
      <protection hidden="1"/>
    </xf>
    <xf numFmtId="0" fontId="8" fillId="2" borderId="22" xfId="0" applyFont="1" applyFill="1" applyBorder="1" applyAlignment="1" applyProtection="1">
      <alignment horizontal="left"/>
      <protection hidden="1"/>
    </xf>
    <xf numFmtId="4" fontId="14" fillId="2" borderId="206" xfId="0" applyNumberFormat="1" applyFont="1" applyFill="1" applyBorder="1" applyAlignment="1" applyProtection="1">
      <alignment horizontal="right" vertical="center" indent="1"/>
      <protection hidden="1"/>
    </xf>
    <xf numFmtId="4" fontId="14" fillId="2" borderId="62" xfId="0" applyNumberFormat="1" applyFont="1" applyFill="1" applyBorder="1" applyAlignment="1" applyProtection="1">
      <alignment horizontal="right" vertical="center" indent="1"/>
      <protection hidden="1"/>
    </xf>
    <xf numFmtId="4" fontId="14" fillId="2" borderId="29" xfId="0" applyNumberFormat="1" applyFont="1" applyFill="1" applyBorder="1" applyAlignment="1" applyProtection="1">
      <alignment horizontal="right" vertical="center" indent="1"/>
      <protection hidden="1"/>
    </xf>
    <xf numFmtId="4" fontId="14" fillId="2" borderId="30" xfId="0" applyNumberFormat="1" applyFont="1" applyFill="1" applyBorder="1" applyAlignment="1" applyProtection="1">
      <alignment horizontal="right" vertical="center" indent="1"/>
      <protection hidden="1"/>
    </xf>
    <xf numFmtId="4" fontId="14" fillId="2" borderId="203" xfId="0" applyNumberFormat="1" applyFont="1" applyFill="1" applyBorder="1" applyAlignment="1" applyProtection="1">
      <alignment horizontal="right" vertical="center" indent="1"/>
      <protection hidden="1"/>
    </xf>
    <xf numFmtId="4" fontId="14" fillId="2" borderId="31" xfId="0" applyNumberFormat="1" applyFont="1" applyFill="1" applyBorder="1" applyAlignment="1" applyProtection="1">
      <alignment horizontal="right" vertical="center" indent="1"/>
      <protection hidden="1"/>
    </xf>
    <xf numFmtId="4" fontId="14" fillId="2" borderId="84" xfId="0" applyNumberFormat="1" applyFont="1" applyFill="1" applyBorder="1" applyAlignment="1" applyProtection="1">
      <alignment horizontal="right" vertical="center" indent="1"/>
      <protection hidden="1"/>
    </xf>
    <xf numFmtId="4" fontId="14" fillId="2" borderId="41" xfId="0" applyNumberFormat="1" applyFont="1" applyFill="1" applyBorder="1" applyAlignment="1" applyProtection="1">
      <alignment horizontal="right" vertical="center" indent="1"/>
      <protection hidden="1"/>
    </xf>
    <xf numFmtId="168" fontId="67" fillId="2" borderId="2" xfId="0" applyNumberFormat="1" applyFont="1" applyFill="1" applyBorder="1" applyAlignment="1" applyProtection="1">
      <alignment horizontal="right" vertical="top"/>
      <protection locked="0"/>
    </xf>
    <xf numFmtId="168" fontId="67" fillId="2" borderId="7" xfId="0" applyNumberFormat="1" applyFont="1" applyFill="1" applyBorder="1" applyAlignment="1" applyProtection="1">
      <alignment horizontal="right" vertical="top"/>
      <protection locked="0"/>
    </xf>
    <xf numFmtId="168" fontId="67" fillId="2" borderId="123" xfId="0" applyNumberFormat="1" applyFont="1" applyFill="1" applyBorder="1" applyAlignment="1" applyProtection="1">
      <alignment horizontal="right" vertical="top"/>
      <protection locked="0"/>
    </xf>
    <xf numFmtId="168" fontId="67" fillId="2" borderId="124" xfId="0" applyNumberFormat="1" applyFont="1" applyFill="1" applyBorder="1" applyAlignment="1" applyProtection="1">
      <alignment horizontal="right" vertical="top"/>
      <protection locked="0"/>
    </xf>
    <xf numFmtId="167" fontId="35" fillId="2" borderId="7" xfId="0" applyNumberFormat="1" applyFont="1" applyFill="1" applyBorder="1" applyAlignment="1" applyProtection="1">
      <alignment horizontal="center" vertical="center"/>
      <protection hidden="1"/>
    </xf>
    <xf numFmtId="0" fontId="14" fillId="3" borderId="129" xfId="0" applyFont="1" applyFill="1" applyBorder="1" applyAlignment="1" applyProtection="1">
      <alignment horizontal="center" vertical="center"/>
      <protection hidden="1"/>
    </xf>
    <xf numFmtId="0" fontId="14" fillId="3" borderId="88" xfId="0" applyFont="1" applyFill="1" applyBorder="1" applyAlignment="1" applyProtection="1">
      <alignment horizontal="center" vertical="center"/>
      <protection hidden="1"/>
    </xf>
    <xf numFmtId="0" fontId="17" fillId="3" borderId="51" xfId="0" applyFont="1" applyFill="1" applyBorder="1" applyAlignment="1" applyProtection="1">
      <alignment horizontal="center" vertical="center"/>
      <protection hidden="1"/>
    </xf>
    <xf numFmtId="0" fontId="17" fillId="3" borderId="74" xfId="0" applyFont="1" applyFill="1" applyBorder="1" applyAlignment="1" applyProtection="1">
      <alignment horizontal="center" vertical="center"/>
      <protection hidden="1"/>
    </xf>
    <xf numFmtId="0" fontId="17" fillId="3" borderId="85" xfId="0" applyFont="1" applyFill="1" applyBorder="1" applyAlignment="1" applyProtection="1">
      <alignment horizontal="center" vertical="center"/>
      <protection hidden="1"/>
    </xf>
    <xf numFmtId="0" fontId="17" fillId="3" borderId="5" xfId="0" applyFont="1" applyFill="1" applyBorder="1" applyAlignment="1" applyProtection="1">
      <alignment horizontal="center" vertical="center"/>
      <protection hidden="1"/>
    </xf>
    <xf numFmtId="0" fontId="14" fillId="3" borderId="51" xfId="0" applyFont="1" applyFill="1" applyBorder="1" applyAlignment="1" applyProtection="1">
      <alignment horizontal="center" vertical="center"/>
      <protection hidden="1"/>
    </xf>
    <xf numFmtId="0" fontId="14" fillId="3" borderId="74" xfId="0" applyFont="1" applyFill="1" applyBorder="1" applyAlignment="1" applyProtection="1">
      <alignment horizontal="center" vertical="center"/>
      <protection hidden="1"/>
    </xf>
    <xf numFmtId="0" fontId="17" fillId="3" borderId="204" xfId="0" applyFont="1" applyFill="1" applyBorder="1" applyAlignment="1" applyProtection="1">
      <alignment horizontal="center" vertical="center"/>
      <protection hidden="1"/>
    </xf>
    <xf numFmtId="0" fontId="48" fillId="2" borderId="30" xfId="0" applyFont="1" applyFill="1" applyBorder="1" applyAlignment="1" applyProtection="1">
      <alignment horizontal="center" vertical="center"/>
      <protection hidden="1"/>
    </xf>
    <xf numFmtId="168" fontId="67" fillId="2" borderId="3" xfId="0" applyNumberFormat="1" applyFont="1" applyFill="1" applyBorder="1" applyAlignment="1" applyProtection="1">
      <alignment horizontal="right" vertical="top"/>
      <protection locked="0"/>
    </xf>
    <xf numFmtId="0" fontId="85" fillId="2" borderId="4" xfId="0" applyFont="1" applyFill="1" applyBorder="1" applyAlignment="1" applyProtection="1">
      <alignment horizontal="center" vertical="center"/>
      <protection hidden="1"/>
    </xf>
    <xf numFmtId="168" fontId="67" fillId="2" borderId="40" xfId="0" applyNumberFormat="1" applyFont="1" applyFill="1" applyBorder="1" applyAlignment="1" applyProtection="1">
      <alignment horizontal="right"/>
      <protection locked="0"/>
    </xf>
    <xf numFmtId="168" fontId="67" fillId="2" borderId="4" xfId="0" applyNumberFormat="1" applyFont="1" applyFill="1" applyBorder="1" applyAlignment="1" applyProtection="1">
      <alignment horizontal="right"/>
      <protection locked="0"/>
    </xf>
    <xf numFmtId="168" fontId="67" fillId="2" borderId="24" xfId="0" applyNumberFormat="1" applyFont="1" applyFill="1" applyBorder="1" applyAlignment="1" applyProtection="1">
      <alignment horizontal="right"/>
      <protection locked="0"/>
    </xf>
    <xf numFmtId="168" fontId="67" fillId="4" borderId="42" xfId="0" applyNumberFormat="1" applyFont="1" applyFill="1" applyBorder="1" applyAlignment="1" applyProtection="1">
      <alignment horizontal="right" vertical="center"/>
      <protection hidden="1"/>
    </xf>
    <xf numFmtId="168" fontId="67" fillId="4" borderId="43" xfId="0" applyNumberFormat="1" applyFont="1" applyFill="1" applyBorder="1" applyAlignment="1" applyProtection="1">
      <alignment horizontal="right" vertical="center"/>
      <protection hidden="1"/>
    </xf>
    <xf numFmtId="168" fontId="67" fillId="4" borderId="51" xfId="0" applyNumberFormat="1" applyFont="1" applyFill="1" applyBorder="1" applyAlignment="1" applyProtection="1">
      <alignment horizontal="right" vertical="center"/>
      <protection hidden="1"/>
    </xf>
    <xf numFmtId="168" fontId="67" fillId="4" borderId="50" xfId="0" applyNumberFormat="1" applyFont="1" applyFill="1" applyBorder="1" applyAlignment="1" applyProtection="1">
      <alignment horizontal="right" vertical="center"/>
      <protection hidden="1"/>
    </xf>
    <xf numFmtId="168" fontId="67" fillId="2" borderId="36" xfId="0" applyNumberFormat="1" applyFont="1" applyFill="1" applyBorder="1" applyAlignment="1" applyProtection="1">
      <alignment horizontal="right"/>
      <protection locked="0"/>
    </xf>
    <xf numFmtId="168" fontId="67" fillId="2" borderId="92" xfId="0" applyNumberFormat="1" applyFont="1" applyFill="1" applyBorder="1" applyAlignment="1" applyProtection="1">
      <alignment horizontal="right"/>
      <protection locked="0"/>
    </xf>
    <xf numFmtId="0" fontId="82" fillId="4" borderId="5" xfId="0" applyFont="1" applyFill="1" applyBorder="1" applyAlignment="1" applyProtection="1">
      <alignment horizontal="center" vertical="center"/>
      <protection hidden="1"/>
    </xf>
    <xf numFmtId="0" fontId="82" fillId="4" borderId="85" xfId="0" applyFont="1" applyFill="1" applyBorder="1" applyAlignment="1" applyProtection="1">
      <alignment horizontal="center" vertical="center"/>
      <protection hidden="1"/>
    </xf>
    <xf numFmtId="0" fontId="125" fillId="2" borderId="4" xfId="0" applyFont="1" applyFill="1" applyBorder="1" applyAlignment="1" applyProtection="1">
      <alignment horizontal="center" vertical="center"/>
      <protection hidden="1"/>
    </xf>
    <xf numFmtId="0" fontId="160" fillId="2" borderId="4" xfId="0" applyFont="1" applyFill="1" applyBorder="1" applyAlignment="1" applyProtection="1">
      <alignment horizontal="center" vertical="center"/>
      <protection hidden="1"/>
    </xf>
    <xf numFmtId="168" fontId="67" fillId="3" borderId="51" xfId="0" applyNumberFormat="1" applyFont="1" applyFill="1" applyBorder="1" applyAlignment="1" applyProtection="1">
      <alignment horizontal="right" vertical="center"/>
      <protection hidden="1"/>
    </xf>
    <xf numFmtId="0" fontId="18" fillId="2" borderId="0" xfId="0" applyFont="1" applyFill="1" applyBorder="1" applyAlignment="1" applyProtection="1">
      <alignment horizontal="left"/>
      <protection hidden="1"/>
    </xf>
    <xf numFmtId="0" fontId="18" fillId="2" borderId="0" xfId="0" applyFont="1" applyFill="1" applyBorder="1" applyAlignment="1" applyProtection="1">
      <alignment horizontal="left" vertical="top"/>
      <protection hidden="1"/>
    </xf>
    <xf numFmtId="0" fontId="48" fillId="2" borderId="7" xfId="0" applyFont="1" applyFill="1" applyBorder="1" applyAlignment="1" applyProtection="1">
      <alignment horizontal="center" vertical="top"/>
      <protection hidden="1"/>
    </xf>
    <xf numFmtId="168" fontId="67" fillId="3" borderId="50" xfId="0" applyNumberFormat="1" applyFont="1" applyFill="1" applyBorder="1" applyAlignment="1" applyProtection="1">
      <alignment horizontal="right" vertical="center"/>
      <protection hidden="1"/>
    </xf>
    <xf numFmtId="0" fontId="14" fillId="3" borderId="17" xfId="0" applyFont="1" applyFill="1" applyBorder="1" applyAlignment="1" applyProtection="1">
      <alignment horizontal="center" vertical="center"/>
      <protection hidden="1"/>
    </xf>
    <xf numFmtId="0" fontId="14" fillId="3" borderId="18" xfId="0" applyFont="1" applyFill="1" applyBorder="1" applyAlignment="1" applyProtection="1">
      <alignment horizontal="center" vertical="center"/>
      <protection hidden="1"/>
    </xf>
    <xf numFmtId="0" fontId="48" fillId="2" borderId="4" xfId="0" applyFont="1" applyFill="1" applyBorder="1" applyAlignment="1" applyProtection="1">
      <alignment horizontal="center"/>
      <protection hidden="1"/>
    </xf>
    <xf numFmtId="0" fontId="48" fillId="2" borderId="24" xfId="0" applyFont="1" applyFill="1" applyBorder="1" applyAlignment="1" applyProtection="1">
      <alignment horizontal="center"/>
      <protection hidden="1"/>
    </xf>
    <xf numFmtId="0" fontId="48" fillId="2" borderId="36" xfId="0" applyFont="1" applyFill="1" applyBorder="1" applyAlignment="1" applyProtection="1">
      <alignment horizontal="center"/>
      <protection hidden="1"/>
    </xf>
    <xf numFmtId="0" fontId="14" fillId="3" borderId="63" xfId="0" applyFont="1" applyFill="1" applyBorder="1" applyAlignment="1" applyProtection="1">
      <alignment horizontal="center" vertical="center"/>
      <protection hidden="1"/>
    </xf>
    <xf numFmtId="0" fontId="125" fillId="2" borderId="0" xfId="0" applyFont="1" applyFill="1" applyBorder="1" applyAlignment="1" applyProtection="1">
      <alignment horizontal="center" vertical="center"/>
      <protection hidden="1"/>
    </xf>
    <xf numFmtId="0" fontId="14" fillId="3" borderId="60" xfId="0" applyFont="1" applyFill="1" applyBorder="1" applyAlignment="1" applyProtection="1">
      <alignment horizontal="center" vertical="center"/>
      <protection hidden="1"/>
    </xf>
    <xf numFmtId="168" fontId="67" fillId="3" borderId="42" xfId="0" applyNumberFormat="1" applyFont="1" applyFill="1" applyBorder="1" applyAlignment="1" applyProtection="1">
      <alignment horizontal="right" vertical="center"/>
      <protection hidden="1"/>
    </xf>
    <xf numFmtId="168" fontId="67" fillId="3" borderId="43" xfId="0" applyNumberFormat="1" applyFont="1" applyFill="1" applyBorder="1" applyAlignment="1" applyProtection="1">
      <alignment horizontal="right" vertical="center"/>
      <protection hidden="1"/>
    </xf>
    <xf numFmtId="0" fontId="69" fillId="2" borderId="0" xfId="0" applyNumberFormat="1" applyFont="1" applyFill="1" applyAlignment="1" applyProtection="1">
      <alignment horizontal="right" vertical="center"/>
      <protection hidden="1"/>
    </xf>
    <xf numFmtId="0" fontId="85" fillId="2" borderId="0" xfId="0" applyFont="1" applyFill="1" applyBorder="1" applyAlignment="1" applyProtection="1">
      <alignment horizontal="center" vertical="center"/>
      <protection hidden="1"/>
    </xf>
    <xf numFmtId="0" fontId="14" fillId="2" borderId="0" xfId="0" applyFont="1" applyFill="1" applyBorder="1" applyAlignment="1" applyProtection="1">
      <alignment horizontal="right" vertical="top" indent="1"/>
      <protection hidden="1"/>
    </xf>
    <xf numFmtId="0" fontId="17" fillId="2" borderId="7" xfId="0" applyFont="1" applyFill="1" applyBorder="1" applyAlignment="1" applyProtection="1">
      <alignment horizontal="right" vertical="center" indent="1"/>
      <protection hidden="1"/>
    </xf>
    <xf numFmtId="0" fontId="8" fillId="2" borderId="1" xfId="0" applyFont="1" applyFill="1" applyBorder="1" applyAlignment="1" applyProtection="1">
      <alignment horizontal="center"/>
      <protection hidden="1"/>
    </xf>
    <xf numFmtId="0" fontId="8" fillId="2" borderId="0" xfId="0" applyFont="1" applyFill="1" applyBorder="1" applyAlignment="1" applyProtection="1">
      <alignment horizontal="center"/>
      <protection hidden="1"/>
    </xf>
    <xf numFmtId="0" fontId="35" fillId="2" borderId="0" xfId="0" applyFont="1" applyFill="1" applyBorder="1" applyAlignment="1" applyProtection="1">
      <alignment horizontal="center" vertical="center"/>
      <protection hidden="1"/>
    </xf>
    <xf numFmtId="0" fontId="14" fillId="2" borderId="0" xfId="0" applyFont="1" applyFill="1" applyBorder="1" applyAlignment="1" applyProtection="1">
      <alignment horizontal="right" indent="1"/>
      <protection hidden="1"/>
    </xf>
    <xf numFmtId="168" fontId="8" fillId="2" borderId="36" xfId="0" applyNumberFormat="1" applyFont="1" applyFill="1" applyBorder="1" applyAlignment="1" applyProtection="1">
      <alignment horizontal="right"/>
      <protection locked="0"/>
    </xf>
    <xf numFmtId="168" fontId="8" fillId="2" borderId="92" xfId="0" applyNumberFormat="1" applyFont="1" applyFill="1" applyBorder="1" applyAlignment="1" applyProtection="1">
      <alignment horizontal="right"/>
      <protection locked="0"/>
    </xf>
    <xf numFmtId="168" fontId="8" fillId="2" borderId="36" xfId="0" applyNumberFormat="1" applyFont="1" applyFill="1" applyBorder="1" applyAlignment="1" applyProtection="1">
      <alignment horizontal="right"/>
      <protection hidden="1"/>
    </xf>
    <xf numFmtId="168" fontId="8" fillId="2" borderId="4" xfId="0" applyNumberFormat="1" applyFont="1" applyFill="1" applyBorder="1" applyAlignment="1" applyProtection="1">
      <alignment horizontal="right"/>
      <protection hidden="1"/>
    </xf>
    <xf numFmtId="168" fontId="8" fillId="2" borderId="92" xfId="0" applyNumberFormat="1" applyFont="1" applyFill="1" applyBorder="1" applyAlignment="1" applyProtection="1">
      <alignment horizontal="right"/>
      <protection hidden="1"/>
    </xf>
    <xf numFmtId="168" fontId="8" fillId="2" borderId="40" xfId="0" applyNumberFormat="1" applyFont="1" applyFill="1" applyBorder="1" applyAlignment="1" applyProtection="1">
      <alignment horizontal="right"/>
      <protection hidden="1"/>
    </xf>
    <xf numFmtId="168" fontId="8" fillId="2" borderId="24" xfId="0" applyNumberFormat="1" applyFont="1" applyFill="1" applyBorder="1" applyAlignment="1" applyProtection="1">
      <alignment horizontal="right"/>
      <protection hidden="1"/>
    </xf>
    <xf numFmtId="168" fontId="8" fillId="2" borderId="2" xfId="0" applyNumberFormat="1" applyFont="1" applyFill="1" applyBorder="1" applyAlignment="1" applyProtection="1">
      <alignment horizontal="right" vertical="top"/>
      <protection hidden="1"/>
    </xf>
    <xf numFmtId="168" fontId="8" fillId="2" borderId="7" xfId="0" applyNumberFormat="1" applyFont="1" applyFill="1" applyBorder="1" applyAlignment="1" applyProtection="1">
      <alignment horizontal="right" vertical="top"/>
      <protection hidden="1"/>
    </xf>
    <xf numFmtId="168" fontId="8" fillId="2" borderId="123" xfId="0" applyNumberFormat="1" applyFont="1" applyFill="1" applyBorder="1" applyAlignment="1" applyProtection="1">
      <alignment horizontal="right" vertical="top"/>
      <protection hidden="1"/>
    </xf>
    <xf numFmtId="168" fontId="8" fillId="2" borderId="124" xfId="0" applyNumberFormat="1" applyFont="1" applyFill="1" applyBorder="1" applyAlignment="1" applyProtection="1">
      <alignment horizontal="right" vertical="top"/>
      <protection hidden="1"/>
    </xf>
    <xf numFmtId="168" fontId="8" fillId="2" borderId="3" xfId="0" applyNumberFormat="1" applyFont="1" applyFill="1" applyBorder="1" applyAlignment="1" applyProtection="1">
      <alignment horizontal="right" vertical="top"/>
      <protection hidden="1"/>
    </xf>
    <xf numFmtId="2" fontId="87" fillId="2" borderId="0" xfId="0" applyNumberFormat="1" applyFont="1" applyFill="1" applyAlignment="1" applyProtection="1">
      <alignment horizontal="center" vertical="center"/>
      <protection hidden="1"/>
    </xf>
    <xf numFmtId="0" fontId="82" fillId="2" borderId="0" xfId="0" applyNumberFormat="1" applyFont="1" applyFill="1" applyAlignment="1" applyProtection="1">
      <alignment horizontal="left"/>
      <protection hidden="1"/>
    </xf>
    <xf numFmtId="0" fontId="102" fillId="2" borderId="0" xfId="0" applyNumberFormat="1" applyFont="1" applyFill="1" applyAlignment="1" applyProtection="1">
      <alignment horizontal="center" vertical="center"/>
      <protection hidden="1"/>
    </xf>
    <xf numFmtId="168" fontId="81" fillId="2" borderId="0" xfId="0" applyNumberFormat="1" applyFont="1" applyFill="1" applyBorder="1" applyAlignment="1" applyProtection="1">
      <alignment horizontal="center" vertical="top"/>
      <protection hidden="1"/>
    </xf>
    <xf numFmtId="0" fontId="78" fillId="2" borderId="105" xfId="2" applyFont="1" applyFill="1" applyBorder="1" applyAlignment="1" applyProtection="1">
      <alignment horizontal="left" indent="2"/>
      <protection hidden="1"/>
    </xf>
    <xf numFmtId="0" fontId="78" fillId="2" borderId="0" xfId="2" applyFont="1" applyFill="1" applyBorder="1" applyAlignment="1" applyProtection="1">
      <alignment horizontal="left" indent="2"/>
      <protection hidden="1"/>
    </xf>
    <xf numFmtId="0" fontId="137" fillId="2" borderId="0" xfId="0" applyFont="1" applyFill="1" applyAlignment="1" applyProtection="1">
      <alignment horizontal="center"/>
      <protection locked="0"/>
    </xf>
    <xf numFmtId="166" fontId="57" fillId="2" borderId="0" xfId="0" applyNumberFormat="1" applyFont="1" applyFill="1" applyAlignment="1" applyProtection="1">
      <alignment horizontal="left"/>
      <protection hidden="1"/>
    </xf>
  </cellXfs>
  <cellStyles count="6">
    <cellStyle name="Collegamento ipertestuale" xfId="1" builtinId="8"/>
    <cellStyle name="Normale" xfId="0" builtinId="0"/>
    <cellStyle name="Normale_CORRISPETTIVI Cassa 1 di 3" xfId="2"/>
    <cellStyle name="Normale_Sistema corrispettivi RIDOTTO" xfId="3"/>
    <cellStyle name="Normale_Sistema corrispettivi semplice" xfId="4"/>
    <cellStyle name="Normale_Sistema ridotto FOGLI PRESENZE" xfId="5"/>
  </cellStyles>
  <dxfs count="5661">
    <dxf>
      <font>
        <condense val="0"/>
        <extend val="0"/>
        <color indexed="9"/>
      </font>
    </dxf>
    <dxf>
      <font>
        <condense val="0"/>
        <extend val="0"/>
        <color indexed="9"/>
      </font>
    </dxf>
    <dxf>
      <font>
        <condense val="0"/>
        <extend val="0"/>
        <color indexed="9"/>
      </font>
    </dxf>
    <dxf>
      <font>
        <condense val="0"/>
        <extend val="0"/>
        <color indexed="63"/>
      </font>
      <fill>
        <patternFill>
          <bgColor indexed="63"/>
        </patternFill>
      </fill>
    </dxf>
    <dxf>
      <font>
        <condense val="0"/>
        <extend val="0"/>
        <color indexed="9"/>
      </font>
    </dxf>
    <dxf>
      <font>
        <condense val="0"/>
        <extend val="0"/>
        <color indexed="55"/>
      </font>
    </dxf>
    <dxf>
      <font>
        <b val="0"/>
        <i val="0"/>
        <condense val="0"/>
        <extend val="0"/>
        <color indexed="9"/>
      </font>
      <fill>
        <patternFill>
          <bgColor indexed="9"/>
        </patternFill>
      </fill>
    </dxf>
    <dxf>
      <font>
        <condense val="0"/>
        <extend val="0"/>
        <color indexed="9"/>
      </font>
      <fill>
        <patternFill>
          <bgColor indexed="9"/>
        </patternFill>
      </fill>
      <border>
        <left/>
        <right/>
        <top/>
        <bottom/>
      </border>
    </dxf>
    <dxf>
      <font>
        <condense val="0"/>
        <extend val="0"/>
        <color indexed="9"/>
      </font>
    </dxf>
    <dxf>
      <font>
        <condense val="0"/>
        <extend val="0"/>
        <color indexed="23"/>
      </font>
    </dxf>
    <dxf>
      <font>
        <condense val="0"/>
        <extend val="0"/>
        <color indexed="23"/>
      </font>
    </dxf>
    <dxf>
      <font>
        <condense val="0"/>
        <extend val="0"/>
        <color indexed="46"/>
      </font>
    </dxf>
    <dxf>
      <font>
        <condense val="0"/>
        <extend val="0"/>
        <color indexed="23"/>
      </font>
    </dxf>
    <dxf>
      <font>
        <condense val="0"/>
        <extend val="0"/>
        <color indexed="9"/>
      </font>
      <fill>
        <patternFill>
          <bgColor indexed="9"/>
        </patternFill>
      </fill>
    </dxf>
    <dxf>
      <font>
        <condense val="0"/>
        <extend val="0"/>
        <color indexed="23"/>
      </font>
    </dxf>
    <dxf>
      <font>
        <condense val="0"/>
        <extend val="0"/>
        <color indexed="10"/>
      </font>
    </dxf>
    <dxf>
      <font>
        <condense val="0"/>
        <extend val="0"/>
        <color indexed="10"/>
      </font>
    </dxf>
    <dxf>
      <font>
        <b/>
        <i/>
        <condense val="0"/>
        <extend val="0"/>
        <color indexed="10"/>
      </font>
      <fill>
        <patternFill>
          <bgColor indexed="9"/>
        </patternFill>
      </fill>
    </dxf>
    <dxf>
      <font>
        <condense val="0"/>
        <extend val="0"/>
        <color indexed="9"/>
      </font>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font>
        <condense val="0"/>
        <extend val="0"/>
        <color indexed="23"/>
      </font>
    </dxf>
    <dxf>
      <font>
        <condense val="0"/>
        <extend val="0"/>
        <color indexed="23"/>
      </font>
    </dxf>
    <dxf>
      <font>
        <b/>
        <i/>
        <condense val="0"/>
        <extend val="0"/>
        <color indexed="10"/>
      </font>
      <fill>
        <patternFill>
          <bgColor indexed="9"/>
        </patternFill>
      </fill>
    </dxf>
    <dxf>
      <font>
        <condense val="0"/>
        <extend val="0"/>
        <color indexed="9"/>
      </font>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ndense val="0"/>
        <extend val="0"/>
        <color indexed="9"/>
      </font>
      <fill>
        <patternFill>
          <bgColor indexed="9"/>
        </patternFill>
      </fill>
      <border>
        <left style="thin">
          <color indexed="16"/>
        </left>
        <right/>
        <top/>
        <bottom/>
      </border>
    </dxf>
    <dxf>
      <border>
        <right style="thin">
          <color indexed="16"/>
        </right>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style="thin">
          <color indexed="18"/>
        </right>
        <top/>
        <bottom/>
      </border>
    </dxf>
    <dxf>
      <border>
        <left style="thin">
          <color indexed="18"/>
        </left>
      </border>
    </dxf>
    <dxf>
      <font>
        <condense val="0"/>
        <extend val="0"/>
        <color indexed="9"/>
      </font>
      <fill>
        <patternFill>
          <bgColor indexed="9"/>
        </patternFill>
      </fill>
      <border>
        <left/>
        <right/>
        <top/>
        <bottom/>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ndense val="0"/>
        <extend val="0"/>
        <color indexed="9"/>
      </font>
      <fill>
        <patternFill>
          <bgColor indexed="9"/>
        </patternFill>
      </fill>
      <border>
        <left/>
        <right style="thin">
          <color indexed="18"/>
        </right>
        <top/>
        <bottom/>
      </border>
    </dxf>
    <dxf>
      <border>
        <left style="thin">
          <color indexed="18"/>
        </left>
      </border>
    </dxf>
    <dxf>
      <font>
        <condense val="0"/>
        <extend val="0"/>
        <color indexed="9"/>
      </font>
      <fill>
        <patternFill>
          <bgColor indexed="9"/>
        </patternFill>
      </fill>
      <border>
        <left/>
        <right/>
        <top/>
        <bottom/>
      </border>
    </dxf>
    <dxf>
      <font>
        <condense val="0"/>
        <extend val="0"/>
        <color indexed="9"/>
      </font>
      <fill>
        <patternFill>
          <bgColor indexed="9"/>
        </patternFill>
      </fill>
      <border>
        <left style="thin">
          <color indexed="16"/>
        </left>
        <right/>
        <top/>
        <bottom/>
      </border>
    </dxf>
    <dxf>
      <border>
        <right style="thin">
          <color indexed="16"/>
        </right>
      </border>
    </dxf>
    <dxf>
      <font>
        <condense val="0"/>
        <extend val="0"/>
        <color indexed="9"/>
      </font>
      <fill>
        <patternFill>
          <bgColor indexed="9"/>
        </patternFill>
      </fill>
      <border>
        <left/>
        <right/>
        <top/>
        <bottom/>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ndense val="0"/>
        <extend val="0"/>
        <color indexed="9"/>
      </font>
      <fill>
        <patternFill>
          <bgColor indexed="9"/>
        </patternFill>
      </fill>
      <border>
        <left style="thin">
          <color indexed="16"/>
        </left>
        <right/>
        <top/>
        <bottom/>
      </border>
    </dxf>
    <dxf>
      <border>
        <right style="thin">
          <color indexed="16"/>
        </right>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style="thin">
          <color indexed="18"/>
        </right>
        <top/>
        <bottom/>
      </border>
    </dxf>
    <dxf>
      <border>
        <left style="thin">
          <color indexed="18"/>
        </left>
      </border>
    </dxf>
    <dxf>
      <font>
        <condense val="0"/>
        <extend val="0"/>
        <color indexed="9"/>
      </font>
      <fill>
        <patternFill>
          <bgColor indexed="9"/>
        </patternFill>
      </fill>
      <border>
        <left/>
        <right/>
        <top/>
        <bottom/>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ndense val="0"/>
        <extend val="0"/>
        <color indexed="9"/>
      </font>
      <fill>
        <patternFill>
          <bgColor indexed="9"/>
        </patternFill>
      </fill>
      <border>
        <left/>
        <right style="thin">
          <color indexed="18"/>
        </right>
        <top/>
        <bottom/>
      </border>
    </dxf>
    <dxf>
      <border>
        <left style="thin">
          <color indexed="18"/>
        </left>
      </border>
    </dxf>
    <dxf>
      <font>
        <condense val="0"/>
        <extend val="0"/>
        <color indexed="9"/>
      </font>
      <fill>
        <patternFill>
          <bgColor indexed="9"/>
        </patternFill>
      </fill>
      <border>
        <left/>
        <right/>
        <top/>
        <bottom/>
      </border>
    </dxf>
    <dxf>
      <font>
        <condense val="0"/>
        <extend val="0"/>
        <color indexed="9"/>
      </font>
      <fill>
        <patternFill>
          <bgColor indexed="9"/>
        </patternFill>
      </fill>
      <border>
        <left style="thin">
          <color indexed="16"/>
        </left>
        <right/>
        <top/>
        <bottom/>
      </border>
    </dxf>
    <dxf>
      <border>
        <right style="thin">
          <color indexed="16"/>
        </right>
      </border>
    </dxf>
    <dxf>
      <font>
        <condense val="0"/>
        <extend val="0"/>
        <color indexed="9"/>
      </font>
      <fill>
        <patternFill>
          <bgColor indexed="9"/>
        </patternFill>
      </fill>
      <border>
        <left/>
        <right/>
        <top/>
        <bottom/>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ndense val="0"/>
        <extend val="0"/>
        <color indexed="9"/>
      </font>
    </dxf>
    <dxf>
      <font>
        <condense val="0"/>
        <extend val="0"/>
        <color indexed="9"/>
      </font>
    </dxf>
    <dxf>
      <font>
        <condense val="0"/>
        <extend val="0"/>
        <color indexed="9"/>
      </font>
    </dxf>
    <dxf>
      <font>
        <condense val="0"/>
        <extend val="0"/>
        <color indexed="55"/>
      </font>
      <fill>
        <patternFill patternType="mediumGray"/>
      </fill>
    </dxf>
    <dxf>
      <font>
        <condense val="0"/>
        <extend val="0"/>
        <color indexed="9"/>
      </font>
    </dxf>
    <dxf>
      <font>
        <condense val="0"/>
        <extend val="0"/>
        <color indexed="9"/>
      </font>
    </dxf>
    <dxf>
      <font>
        <condense val="0"/>
        <extend val="0"/>
        <color indexed="9"/>
      </font>
    </dxf>
    <dxf>
      <font>
        <condense val="0"/>
        <extend val="0"/>
        <color indexed="55"/>
      </font>
      <fill>
        <patternFill patternType="mediumGray"/>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bottom/>
      </border>
    </dxf>
    <dxf>
      <border>
        <top style="thin">
          <color indexed="10"/>
        </top>
      </border>
    </dxf>
    <dxf>
      <border>
        <top style="thin">
          <color indexed="10"/>
        </top>
      </border>
    </dxf>
    <dxf>
      <fill>
        <patternFill>
          <bgColor indexed="26"/>
        </patternFill>
      </fill>
      <border>
        <left style="thin">
          <color indexed="10"/>
        </left>
        <right style="thin">
          <color indexed="10"/>
        </right>
        <top style="thin">
          <color indexed="10"/>
        </top>
        <bottom style="thin">
          <color indexed="10"/>
        </bottom>
      </border>
    </dxf>
    <dxf>
      <font>
        <condense val="0"/>
        <extend val="0"/>
        <color indexed="10"/>
      </font>
      <fill>
        <patternFill>
          <bgColor indexed="26"/>
        </patternFill>
      </fill>
    </dxf>
    <dxf>
      <font>
        <condense val="0"/>
        <extend val="0"/>
        <color indexed="9"/>
      </font>
      <fill>
        <patternFill>
          <bgColor indexed="9"/>
        </patternFill>
      </fill>
      <border>
        <left/>
        <right/>
        <top/>
        <bottom/>
      </border>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55"/>
      </font>
    </dxf>
    <dxf>
      <font>
        <condense val="0"/>
        <extend val="0"/>
        <color indexed="55"/>
      </font>
      <fill>
        <patternFill>
          <bgColor indexed="9"/>
        </patternFill>
      </fill>
      <border>
        <left style="hair">
          <color indexed="23"/>
        </left>
        <right style="hair">
          <color indexed="23"/>
        </right>
        <top style="hair">
          <color indexed="23"/>
        </top>
        <bottom style="hair">
          <color indexed="23"/>
        </bottom>
      </border>
    </dxf>
    <dxf>
      <font>
        <condense val="0"/>
        <extend val="0"/>
        <color indexed="55"/>
      </font>
      <fill>
        <patternFill>
          <bgColor indexed="9"/>
        </patternFill>
      </fill>
      <border>
        <left style="hair">
          <color indexed="55"/>
        </left>
        <right style="hair">
          <color indexed="55"/>
        </right>
        <top style="hair">
          <color indexed="55"/>
        </top>
        <bottom style="hair">
          <color indexed="55"/>
        </bottom>
      </border>
    </dxf>
    <dxf>
      <font>
        <condense val="0"/>
        <extend val="0"/>
        <color indexed="10"/>
      </font>
      <fill>
        <patternFill>
          <bgColor indexed="26"/>
        </patternFill>
      </fill>
    </dxf>
    <dxf>
      <font>
        <condense val="0"/>
        <extend val="0"/>
        <color indexed="55"/>
      </font>
      <fill>
        <patternFill>
          <bgColor indexed="9"/>
        </patternFill>
      </fill>
      <border>
        <left style="hair">
          <color indexed="23"/>
        </left>
        <right style="hair">
          <color indexed="23"/>
        </right>
        <top style="hair">
          <color indexed="23"/>
        </top>
        <bottom style="hair">
          <color indexed="23"/>
        </bottom>
      </border>
    </dxf>
    <dxf>
      <font>
        <condense val="0"/>
        <extend val="0"/>
        <color indexed="55"/>
      </font>
      <fill>
        <patternFill>
          <bgColor indexed="9"/>
        </patternFill>
      </fill>
      <border>
        <left style="hair">
          <color indexed="55"/>
        </left>
        <right style="hair">
          <color indexed="55"/>
        </right>
        <top style="hair">
          <color indexed="55"/>
        </top>
        <bottom style="hair">
          <color indexed="55"/>
        </bottom>
      </border>
    </dxf>
    <dxf>
      <font>
        <condense val="0"/>
        <extend val="0"/>
        <color indexed="10"/>
      </font>
      <fill>
        <patternFill>
          <bgColor indexed="26"/>
        </patternFill>
      </fill>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border>
        <bottom/>
      </border>
    </dxf>
    <dxf>
      <font>
        <condense val="0"/>
        <extend val="0"/>
        <color indexed="9"/>
      </font>
      <border>
        <left/>
        <right/>
        <top/>
        <bottom/>
      </border>
    </dxf>
    <dxf>
      <font>
        <condense val="0"/>
        <extend val="0"/>
        <color indexed="55"/>
      </font>
      <fill>
        <patternFill patternType="mediumGray"/>
      </fill>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55"/>
      </font>
      <fill>
        <patternFill patternType="mediumGray"/>
      </fill>
    </dxf>
    <dxf>
      <font>
        <condense val="0"/>
        <extend val="0"/>
        <color indexed="23"/>
      </font>
    </dxf>
    <dxf>
      <font>
        <condense val="0"/>
        <extend val="0"/>
        <color indexed="46"/>
      </font>
    </dxf>
    <dxf>
      <font>
        <condense val="0"/>
        <extend val="0"/>
        <color indexed="55"/>
      </font>
      <fill>
        <patternFill patternType="mediumGray"/>
      </fill>
    </dxf>
    <dxf>
      <font>
        <condense val="0"/>
        <extend val="0"/>
        <color indexed="9"/>
      </font>
    </dxf>
    <dxf>
      <font>
        <condense val="0"/>
        <extend val="0"/>
        <color indexed="46"/>
      </font>
    </dxf>
    <dxf>
      <font>
        <condense val="0"/>
        <extend val="0"/>
        <color indexed="55"/>
      </font>
      <fill>
        <patternFill patternType="mediumGray"/>
      </fill>
    </dxf>
    <dxf>
      <font>
        <condense val="0"/>
        <extend val="0"/>
        <color indexed="46"/>
      </font>
    </dxf>
    <dxf>
      <font>
        <condense val="0"/>
        <extend val="0"/>
        <color indexed="55"/>
      </font>
      <fill>
        <patternFill patternType="mediumGray"/>
      </fill>
    </dxf>
    <dxf>
      <font>
        <condense val="0"/>
        <extend val="0"/>
        <color indexed="9"/>
      </font>
    </dxf>
    <dxf>
      <font>
        <condense val="0"/>
        <extend val="0"/>
        <color indexed="55"/>
      </font>
      <fill>
        <patternFill patternType="mediumGray"/>
      </fill>
    </dxf>
    <dxf>
      <font>
        <condense val="0"/>
        <extend val="0"/>
        <color indexed="55"/>
      </font>
      <fill>
        <patternFill patternType="mediumGray"/>
      </fill>
    </dxf>
    <dxf>
      <font>
        <condense val="0"/>
        <extend val="0"/>
        <color indexed="10"/>
      </font>
    </dxf>
    <dxf>
      <font>
        <condense val="0"/>
        <extend val="0"/>
        <color indexed="9"/>
      </font>
    </dxf>
    <dxf>
      <font>
        <condense val="0"/>
        <extend val="0"/>
        <color indexed="9"/>
      </font>
    </dxf>
    <dxf>
      <font>
        <condense val="0"/>
        <extend val="0"/>
        <color indexed="46"/>
      </font>
    </dxf>
    <dxf>
      <font>
        <condense val="0"/>
        <extend val="0"/>
        <color indexed="9"/>
      </font>
      <border>
        <bottom/>
      </border>
    </dxf>
    <dxf>
      <font>
        <condense val="0"/>
        <extend val="0"/>
        <color indexed="9"/>
      </font>
      <fill>
        <patternFill>
          <bgColor indexed="9"/>
        </patternFill>
      </fill>
      <border>
        <bottom style="thin">
          <color indexed="23"/>
        </bottom>
      </border>
    </dxf>
    <dxf>
      <font>
        <condense val="0"/>
        <extend val="0"/>
        <color indexed="9"/>
      </font>
      <border>
        <bottom/>
      </border>
    </dxf>
    <dxf>
      <font>
        <condense val="0"/>
        <extend val="0"/>
        <color indexed="9"/>
      </font>
      <fill>
        <patternFill>
          <bgColor indexed="9"/>
        </patternFill>
      </fill>
      <border>
        <bottom/>
      </border>
    </dxf>
    <dxf>
      <font>
        <condense val="0"/>
        <extend val="0"/>
        <color indexed="9"/>
      </font>
      <border>
        <bottom/>
      </border>
    </dxf>
    <dxf>
      <font>
        <condense val="0"/>
        <extend val="0"/>
        <color indexed="9"/>
      </font>
    </dxf>
    <dxf>
      <font>
        <condense val="0"/>
        <extend val="0"/>
        <color indexed="9"/>
      </font>
    </dxf>
    <dxf>
      <font>
        <condense val="0"/>
        <extend val="0"/>
        <color indexed="46"/>
      </font>
    </dxf>
    <dxf>
      <font>
        <condense val="0"/>
        <extend val="0"/>
        <color indexed="9"/>
      </font>
      <border>
        <bottom/>
      </border>
    </dxf>
    <dxf>
      <font>
        <condense val="0"/>
        <extend val="0"/>
        <color indexed="9"/>
      </font>
      <border>
        <bottom/>
      </border>
    </dxf>
    <dxf>
      <font>
        <condense val="0"/>
        <extend val="0"/>
        <color indexed="9"/>
      </font>
      <border>
        <bottom/>
      </border>
    </dxf>
    <dxf>
      <font>
        <condense val="0"/>
        <extend val="0"/>
        <color indexed="9"/>
      </font>
      <border>
        <bottom/>
      </border>
    </dxf>
    <dxf>
      <font>
        <condense val="0"/>
        <extend val="0"/>
        <color indexed="9"/>
      </font>
      <border>
        <bottom/>
      </border>
    </dxf>
    <dxf>
      <font>
        <condense val="0"/>
        <extend val="0"/>
        <color indexed="9"/>
      </font>
      <border>
        <bottom/>
      </border>
    </dxf>
    <dxf>
      <font>
        <condense val="0"/>
        <extend val="0"/>
        <color indexed="9"/>
      </font>
      <border>
        <bottom/>
      </border>
    </dxf>
    <dxf>
      <font>
        <condense val="0"/>
        <extend val="0"/>
        <color indexed="9"/>
      </font>
      <border>
        <bottom/>
      </border>
    </dxf>
    <dxf>
      <font>
        <condense val="0"/>
        <extend val="0"/>
        <color indexed="9"/>
      </font>
      <border>
        <bottom/>
      </border>
    </dxf>
    <dxf>
      <font>
        <condense val="0"/>
        <extend val="0"/>
        <color indexed="9"/>
      </font>
      <border>
        <bottom/>
      </border>
    </dxf>
    <dxf>
      <font>
        <condense val="0"/>
        <extend val="0"/>
        <color indexed="9"/>
      </font>
      <border>
        <bottom/>
      </border>
    </dxf>
    <dxf>
      <font>
        <condense val="0"/>
        <extend val="0"/>
        <color indexed="9"/>
      </font>
      <border>
        <bottom/>
      </border>
    </dxf>
    <dxf>
      <font>
        <condense val="0"/>
        <extend val="0"/>
        <color indexed="55"/>
      </font>
      <fill>
        <patternFill patternType="mediumGray"/>
      </fill>
    </dxf>
    <dxf>
      <font>
        <condense val="0"/>
        <extend val="0"/>
        <color indexed="9"/>
      </font>
    </dxf>
    <dxf>
      <font>
        <condense val="0"/>
        <extend val="0"/>
        <color indexed="46"/>
      </font>
    </dxf>
    <dxf>
      <font>
        <condense val="0"/>
        <extend val="0"/>
        <color indexed="9"/>
      </font>
    </dxf>
    <dxf>
      <font>
        <condense val="0"/>
        <extend val="0"/>
        <color indexed="55"/>
      </font>
      <fill>
        <patternFill patternType="mediumGray"/>
      </fill>
    </dxf>
    <dxf>
      <font>
        <condense val="0"/>
        <extend val="0"/>
        <color indexed="9"/>
      </font>
    </dxf>
    <dxf>
      <font>
        <condense val="0"/>
        <extend val="0"/>
        <color indexed="9"/>
      </font>
    </dxf>
    <dxf>
      <font>
        <condense val="0"/>
        <extend val="0"/>
        <color indexed="23"/>
      </font>
    </dxf>
    <dxf>
      <font>
        <condense val="0"/>
        <extend val="0"/>
        <color indexed="55"/>
      </font>
      <fill>
        <patternFill patternType="mediumGray"/>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10"/>
      </font>
      <fill>
        <patternFill>
          <bgColor indexed="26"/>
        </patternFill>
      </fill>
    </dxf>
    <dxf>
      <font>
        <condense val="0"/>
        <extend val="0"/>
        <color indexed="9"/>
      </font>
      <fill>
        <patternFill>
          <bgColor indexed="9"/>
        </patternFill>
      </fill>
      <border>
        <left/>
        <right/>
        <top/>
        <bottom/>
      </border>
    </dxf>
    <dxf>
      <font>
        <condense val="0"/>
        <extend val="0"/>
        <color indexed="46"/>
      </font>
    </dxf>
    <dxf>
      <font>
        <condense val="0"/>
        <extend val="0"/>
        <color indexed="9"/>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bottom/>
      </border>
    </dxf>
    <dxf>
      <font>
        <condense val="0"/>
        <extend val="0"/>
        <color indexed="23"/>
      </font>
    </dxf>
    <dxf>
      <font>
        <condense val="0"/>
        <extend val="0"/>
        <color indexed="9"/>
      </font>
    </dxf>
    <dxf>
      <font>
        <condense val="0"/>
        <extend val="0"/>
        <color indexed="9"/>
      </font>
    </dxf>
    <dxf>
      <font>
        <condense val="0"/>
        <extend val="0"/>
        <color indexed="9"/>
      </font>
      <border>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23"/>
      </font>
    </dxf>
    <dxf>
      <font>
        <condense val="0"/>
        <extend val="0"/>
        <color indexed="46"/>
      </font>
    </dxf>
    <dxf>
      <font>
        <condense val="0"/>
        <extend val="0"/>
        <color indexed="46"/>
      </font>
    </dxf>
    <dxf>
      <font>
        <condense val="0"/>
        <extend val="0"/>
        <color indexed="23"/>
      </font>
    </dxf>
    <dxf>
      <font>
        <condense val="0"/>
        <extend val="0"/>
        <color indexed="46"/>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55"/>
      </font>
      <fill>
        <patternFill patternType="mediumGray"/>
      </fill>
    </dxf>
    <dxf>
      <font>
        <condense val="0"/>
        <extend val="0"/>
        <color indexed="46"/>
      </font>
    </dxf>
    <dxf>
      <font>
        <condense val="0"/>
        <extend val="0"/>
        <color indexed="46"/>
      </font>
    </dxf>
    <dxf>
      <font>
        <condense val="0"/>
        <extend val="0"/>
        <color indexed="55"/>
      </font>
      <fill>
        <patternFill patternType="mediumGray"/>
      </fill>
    </dxf>
    <dxf>
      <font>
        <condense val="0"/>
        <extend val="0"/>
        <color indexed="46"/>
      </font>
    </dxf>
    <dxf>
      <font>
        <condense val="0"/>
        <extend val="0"/>
        <color indexed="46"/>
      </font>
    </dxf>
    <dxf>
      <font>
        <condense val="0"/>
        <extend val="0"/>
        <color indexed="55"/>
      </font>
      <fill>
        <patternFill patternType="mediumGray"/>
      </fill>
    </dxf>
    <dxf>
      <font>
        <condense val="0"/>
        <extend val="0"/>
        <color indexed="46"/>
      </font>
    </dxf>
    <dxf>
      <font>
        <condense val="0"/>
        <extend val="0"/>
        <color indexed="46"/>
      </font>
    </dxf>
    <dxf>
      <font>
        <condense val="0"/>
        <extend val="0"/>
        <color indexed="55"/>
      </font>
      <fill>
        <patternFill patternType="mediumGray"/>
      </fill>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23"/>
      </font>
    </dxf>
    <dxf>
      <font>
        <condense val="0"/>
        <extend val="0"/>
        <color indexed="10"/>
      </font>
    </dxf>
    <dxf>
      <font>
        <condense val="0"/>
        <extend val="0"/>
        <color indexed="46"/>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55"/>
      </font>
      <fill>
        <patternFill patternType="mediumGray"/>
      </fill>
    </dxf>
    <dxf>
      <font>
        <condense val="0"/>
        <extend val="0"/>
        <color indexed="9"/>
      </font>
    </dxf>
    <dxf>
      <font>
        <condense val="0"/>
        <extend val="0"/>
        <color indexed="9"/>
      </font>
    </dxf>
    <dxf>
      <font>
        <condense val="0"/>
        <extend val="0"/>
        <color indexed="55"/>
      </font>
      <fill>
        <patternFill patternType="mediumGray"/>
      </fill>
    </dxf>
    <dxf>
      <font>
        <condense val="0"/>
        <extend val="0"/>
        <color indexed="9"/>
      </font>
    </dxf>
    <dxf>
      <font>
        <condense val="0"/>
        <extend val="0"/>
        <color indexed="9"/>
      </font>
    </dxf>
    <dxf>
      <font>
        <condense val="0"/>
        <extend val="0"/>
        <color indexed="55"/>
      </font>
      <fill>
        <patternFill patternType="mediumGray"/>
      </fill>
    </dxf>
    <dxf>
      <font>
        <condense val="0"/>
        <extend val="0"/>
        <color indexed="9"/>
      </font>
    </dxf>
    <dxf>
      <font>
        <condense val="0"/>
        <extend val="0"/>
        <color indexed="9"/>
      </font>
    </dxf>
    <dxf>
      <font>
        <condense val="0"/>
        <extend val="0"/>
        <color indexed="55"/>
      </font>
      <fill>
        <patternFill patternType="mediumGray"/>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23"/>
      </font>
    </dxf>
    <dxf>
      <font>
        <condense val="0"/>
        <extend val="0"/>
        <color indexed="9"/>
      </font>
    </dxf>
    <dxf>
      <font>
        <condense val="0"/>
        <extend val="0"/>
        <color indexed="9"/>
      </font>
    </dxf>
    <dxf>
      <font>
        <condense val="0"/>
        <extend val="0"/>
        <u/>
        <color indexed="10"/>
      </font>
    </dxf>
    <dxf>
      <font>
        <condense val="0"/>
        <extend val="0"/>
        <color indexed="46"/>
      </font>
    </dxf>
    <dxf>
      <font>
        <condense val="0"/>
        <extend val="0"/>
        <color indexed="46"/>
      </font>
    </dxf>
    <dxf>
      <font>
        <condense val="0"/>
        <extend val="0"/>
        <color indexed="46"/>
      </font>
    </dxf>
    <dxf>
      <font>
        <condense val="0"/>
        <extend val="0"/>
        <color indexed="9"/>
      </font>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55"/>
      </font>
      <fill>
        <patternFill patternType="mediumGray"/>
      </fill>
    </dxf>
    <dxf>
      <font>
        <condense val="0"/>
        <extend val="0"/>
        <color indexed="9"/>
      </font>
    </dxf>
    <dxf>
      <font>
        <condense val="0"/>
        <extend val="0"/>
        <color indexed="55"/>
      </font>
      <fill>
        <patternFill patternType="mediumGray"/>
      </fill>
    </dxf>
    <dxf>
      <font>
        <condense val="0"/>
        <extend val="0"/>
        <color indexed="9"/>
      </font>
    </dxf>
    <dxf>
      <font>
        <condense val="0"/>
        <extend val="0"/>
        <color indexed="55"/>
      </font>
      <fill>
        <patternFill patternType="mediumGray"/>
      </fill>
    </dxf>
    <dxf>
      <font>
        <condense val="0"/>
        <extend val="0"/>
        <color indexed="9"/>
      </font>
    </dxf>
    <dxf>
      <font>
        <condense val="0"/>
        <extend val="0"/>
        <color indexed="55"/>
      </font>
      <fill>
        <patternFill patternType="mediumGray"/>
      </fill>
    </dxf>
    <dxf>
      <font>
        <condense val="0"/>
        <extend val="0"/>
        <color indexed="9"/>
      </font>
    </dxf>
    <dxf>
      <font>
        <condense val="0"/>
        <extend val="0"/>
        <color indexed="55"/>
      </font>
      <fill>
        <patternFill patternType="mediumGray"/>
      </fill>
    </dxf>
    <dxf>
      <font>
        <condense val="0"/>
        <extend val="0"/>
        <color indexed="9"/>
      </font>
    </dxf>
    <dxf>
      <font>
        <condense val="0"/>
        <extend val="0"/>
        <color indexed="55"/>
      </font>
      <fill>
        <patternFill patternType="mediumGray"/>
      </fill>
    </dxf>
    <dxf>
      <font>
        <condense val="0"/>
        <extend val="0"/>
        <color indexed="9"/>
      </font>
    </dxf>
    <dxf>
      <font>
        <condense val="0"/>
        <extend val="0"/>
        <color indexed="55"/>
      </font>
      <fill>
        <patternFill patternType="mediumGray"/>
      </fill>
    </dxf>
    <dxf>
      <font>
        <condense val="0"/>
        <extend val="0"/>
        <color indexed="9"/>
      </font>
    </dxf>
    <dxf>
      <font>
        <condense val="0"/>
        <extend val="0"/>
        <color indexed="55"/>
      </font>
      <fill>
        <patternFill patternType="mediumGray"/>
      </fill>
    </dxf>
    <dxf>
      <font>
        <condense val="0"/>
        <extend val="0"/>
        <color indexed="46"/>
      </font>
    </dxf>
    <dxf>
      <font>
        <condense val="0"/>
        <extend val="0"/>
        <color indexed="10"/>
      </font>
    </dxf>
    <dxf>
      <font>
        <condense val="0"/>
        <extend val="0"/>
        <color indexed="46"/>
      </font>
    </dxf>
    <dxf>
      <font>
        <b val="0"/>
        <i val="0"/>
        <condense val="0"/>
        <extend val="0"/>
        <color indexed="10"/>
      </font>
    </dxf>
    <dxf>
      <font>
        <condense val="0"/>
        <extend val="0"/>
        <color indexed="9"/>
      </font>
    </dxf>
    <dxf>
      <font>
        <condense val="0"/>
        <extend val="0"/>
        <color indexed="10"/>
      </font>
      <fill>
        <patternFill>
          <bgColor indexed="26"/>
        </patternFill>
      </fill>
    </dxf>
    <dxf>
      <font>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fill>
        <patternFill>
          <bgColor indexed="9"/>
        </patternFill>
      </fill>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46"/>
      </font>
    </dxf>
    <dxf>
      <font>
        <condense val="0"/>
        <extend val="0"/>
        <color indexed="9"/>
      </font>
      <fill>
        <patternFill>
          <bgColor indexed="9"/>
        </patternFill>
      </fill>
      <border>
        <left/>
        <right/>
        <top/>
        <bottom/>
      </border>
    </dxf>
    <dxf>
      <font>
        <condense val="0"/>
        <extend val="0"/>
        <color indexed="46"/>
      </font>
    </dxf>
    <dxf>
      <font>
        <condense val="0"/>
        <extend val="0"/>
        <color indexed="9"/>
      </font>
      <fill>
        <patternFill>
          <bgColor indexed="9"/>
        </patternFill>
      </fill>
      <border>
        <left/>
        <right/>
        <top/>
        <bottom/>
      </border>
    </dxf>
    <dxf>
      <font>
        <condense val="0"/>
        <extend val="0"/>
        <color indexed="46"/>
      </font>
    </dxf>
    <dxf>
      <font>
        <condense val="0"/>
        <extend val="0"/>
        <color indexed="9"/>
      </font>
      <fill>
        <patternFill>
          <bgColor indexed="9"/>
        </patternFill>
      </fill>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26"/>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fill>
        <patternFill patternType="none">
          <bgColor indexed="65"/>
        </patternFill>
      </fill>
      <border>
        <left/>
        <right/>
        <top/>
        <bottom/>
      </border>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9"/>
      </font>
      <fill>
        <patternFill patternType="none">
          <bgColor indexed="65"/>
        </patternFill>
      </fill>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23"/>
      </font>
    </dxf>
    <dxf>
      <font>
        <condense val="0"/>
        <extend val="0"/>
        <color indexed="55"/>
      </font>
    </dxf>
    <dxf>
      <font>
        <condense val="0"/>
        <extend val="0"/>
        <color indexed="55"/>
      </font>
    </dxf>
    <dxf>
      <font>
        <condense val="0"/>
        <extend val="0"/>
        <color indexed="63"/>
      </font>
    </dxf>
    <dxf>
      <font>
        <condense val="0"/>
        <extend val="0"/>
        <color indexed="9"/>
      </font>
    </dxf>
    <dxf>
      <font>
        <condense val="0"/>
        <extend val="0"/>
        <color indexed="16"/>
      </font>
    </dxf>
    <dxf>
      <font>
        <condense val="0"/>
        <extend val="0"/>
        <color indexed="9"/>
      </font>
    </dxf>
    <dxf>
      <font>
        <condense val="0"/>
        <extend val="0"/>
        <color indexed="16"/>
      </font>
    </dxf>
    <dxf>
      <font>
        <condense val="0"/>
        <extend val="0"/>
        <color indexed="23"/>
      </font>
      <fill>
        <patternFill patternType="darkUp"/>
      </fill>
    </dxf>
    <dxf>
      <font>
        <condense val="0"/>
        <extend val="0"/>
        <color indexed="9"/>
      </font>
    </dxf>
    <dxf>
      <font>
        <condense val="0"/>
        <extend val="0"/>
        <color indexed="9"/>
      </font>
    </dxf>
    <dxf>
      <font>
        <condense val="0"/>
        <extend val="0"/>
        <color indexed="9"/>
      </font>
    </dxf>
    <dxf>
      <font>
        <condense val="0"/>
        <extend val="0"/>
        <color indexed="23"/>
      </font>
      <fill>
        <patternFill patternType="darkUp"/>
      </fill>
    </dxf>
    <dxf>
      <font>
        <condense val="0"/>
        <extend val="0"/>
        <color indexed="46"/>
      </font>
    </dxf>
    <dxf>
      <font>
        <condense val="0"/>
        <extend val="0"/>
        <color indexed="23"/>
      </font>
      <fill>
        <patternFill patternType="darkUp"/>
      </fill>
    </dxf>
    <dxf>
      <font>
        <condense val="0"/>
        <extend val="0"/>
        <color indexed="46"/>
      </font>
    </dxf>
    <dxf>
      <font>
        <condense val="0"/>
        <extend val="0"/>
        <color indexed="23"/>
      </font>
      <fill>
        <patternFill patternType="darkUp"/>
      </fill>
    </dxf>
    <dxf>
      <font>
        <condense val="0"/>
        <extend val="0"/>
        <color indexed="9"/>
      </font>
    </dxf>
    <dxf>
      <font>
        <condense val="0"/>
        <extend val="0"/>
        <color indexed="9"/>
      </font>
    </dxf>
    <dxf>
      <font>
        <condense val="0"/>
        <extend val="0"/>
        <color indexed="9"/>
      </font>
    </dxf>
    <dxf>
      <fill>
        <patternFill>
          <bgColor indexed="26"/>
        </patternFill>
      </fill>
      <border>
        <left style="thin">
          <color indexed="10"/>
        </left>
        <right style="thin">
          <color indexed="10"/>
        </right>
        <top style="hair">
          <color indexed="10"/>
        </top>
        <bottom style="thin">
          <color indexed="10"/>
        </bottom>
      </border>
    </dxf>
    <dxf>
      <font>
        <condense val="0"/>
        <extend val="0"/>
        <color indexed="10"/>
      </font>
      <border>
        <left style="thin">
          <color indexed="10"/>
        </left>
        <right style="thin">
          <color indexed="10"/>
        </right>
        <top style="thin">
          <color indexed="10"/>
        </top>
        <bottom style="hair">
          <color indexed="10"/>
        </bottom>
      </border>
    </dxf>
    <dxf>
      <fill>
        <patternFill>
          <bgColor indexed="26"/>
        </patternFill>
      </fill>
      <border>
        <left style="thin">
          <color indexed="10"/>
        </left>
        <right style="thin">
          <color indexed="10"/>
        </right>
        <top style="hair">
          <color indexed="10"/>
        </top>
        <bottom style="thin">
          <color indexed="10"/>
        </bottom>
      </border>
    </dxf>
    <dxf>
      <font>
        <condense val="0"/>
        <extend val="0"/>
        <color indexed="10"/>
      </font>
      <border>
        <left style="thin">
          <color indexed="10"/>
        </left>
        <right style="thin">
          <color indexed="10"/>
        </right>
        <top style="thin">
          <color indexed="10"/>
        </top>
        <bottom style="hair">
          <color indexed="10"/>
        </bottom>
      </border>
    </dxf>
    <dxf>
      <fill>
        <patternFill>
          <bgColor indexed="26"/>
        </patternFill>
      </fill>
      <border>
        <left style="thin">
          <color indexed="10"/>
        </left>
        <right style="thin">
          <color indexed="10"/>
        </right>
        <top style="hair">
          <color indexed="10"/>
        </top>
        <bottom style="thin">
          <color indexed="10"/>
        </bottom>
      </border>
    </dxf>
    <dxf>
      <font>
        <condense val="0"/>
        <extend val="0"/>
        <color indexed="10"/>
      </font>
      <border>
        <left style="thin">
          <color indexed="10"/>
        </left>
        <right style="thin">
          <color indexed="10"/>
        </right>
        <top style="thin">
          <color indexed="10"/>
        </top>
        <bottom style="hair">
          <color indexed="10"/>
        </bottom>
      </border>
    </dxf>
    <dxf>
      <fill>
        <patternFill>
          <bgColor indexed="26"/>
        </patternFill>
      </fill>
      <border>
        <left style="thin">
          <color indexed="10"/>
        </left>
        <right style="thin">
          <color indexed="10"/>
        </right>
        <top style="hair">
          <color indexed="10"/>
        </top>
        <bottom style="thin">
          <color indexed="10"/>
        </bottom>
      </border>
    </dxf>
    <dxf>
      <font>
        <condense val="0"/>
        <extend val="0"/>
        <color indexed="10"/>
      </font>
      <border>
        <left style="thin">
          <color indexed="10"/>
        </left>
        <right style="thin">
          <color indexed="10"/>
        </right>
        <top style="thin">
          <color indexed="10"/>
        </top>
        <bottom style="hair">
          <color indexed="10"/>
        </bottom>
      </border>
    </dxf>
    <dxf>
      <fill>
        <patternFill>
          <bgColor indexed="26"/>
        </patternFill>
      </fill>
      <border>
        <left style="thin">
          <color indexed="10"/>
        </left>
        <right style="thin">
          <color indexed="10"/>
        </right>
        <top style="hair">
          <color indexed="10"/>
        </top>
        <bottom style="thin">
          <color indexed="10"/>
        </bottom>
      </border>
    </dxf>
    <dxf>
      <font>
        <condense val="0"/>
        <extend val="0"/>
        <color indexed="10"/>
      </font>
      <border>
        <left style="thin">
          <color indexed="10"/>
        </left>
        <right style="thin">
          <color indexed="10"/>
        </right>
        <top style="thin">
          <color indexed="10"/>
        </top>
        <bottom style="hair">
          <color indexed="10"/>
        </bottom>
      </border>
    </dxf>
    <dxf>
      <font>
        <condense val="0"/>
        <extend val="0"/>
        <color indexed="23"/>
      </font>
      <fill>
        <patternFill patternType="darkUp"/>
      </fill>
    </dxf>
    <dxf>
      <font>
        <condense val="0"/>
        <extend val="0"/>
        <color indexed="46"/>
      </font>
    </dxf>
    <dxf>
      <font>
        <condense val="0"/>
        <extend val="0"/>
        <color indexed="55"/>
      </font>
    </dxf>
    <dxf>
      <font>
        <condense val="0"/>
        <extend val="0"/>
        <color indexed="26"/>
      </font>
    </dxf>
    <dxf>
      <font>
        <condense val="0"/>
        <extend val="0"/>
        <color indexed="9"/>
      </font>
    </dxf>
    <dxf>
      <font>
        <condense val="0"/>
        <extend val="0"/>
        <color indexed="10"/>
      </font>
    </dxf>
    <dxf>
      <font>
        <condense val="0"/>
        <extend val="0"/>
        <color indexed="26"/>
      </font>
    </dxf>
    <dxf>
      <font>
        <condense val="0"/>
        <extend val="0"/>
        <color indexed="23"/>
      </font>
      <fill>
        <patternFill patternType="darkUp"/>
      </fill>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font>
        <condense val="0"/>
        <extend val="0"/>
        <color indexed="9"/>
      </font>
    </dxf>
    <dxf>
      <font>
        <condense val="0"/>
        <extend val="0"/>
        <color indexed="9"/>
      </font>
      <border>
        <left/>
        <right/>
        <top/>
        <bottom/>
      </border>
    </dxf>
    <dxf>
      <font>
        <condense val="0"/>
        <extend val="0"/>
        <color indexed="9"/>
      </font>
    </dxf>
    <dxf>
      <font>
        <condense val="0"/>
        <extend val="0"/>
        <color indexed="10"/>
      </font>
    </dxf>
    <dxf>
      <font>
        <condense val="0"/>
        <extend val="0"/>
        <color indexed="46"/>
      </font>
    </dxf>
    <dxf>
      <font>
        <condense val="0"/>
        <extend val="0"/>
        <color indexed="46"/>
      </font>
    </dxf>
    <dxf>
      <font>
        <condense val="0"/>
        <extend val="0"/>
        <color indexed="46"/>
      </font>
    </dxf>
    <dxf>
      <font>
        <condense val="0"/>
        <extend val="0"/>
        <color indexed="63"/>
      </font>
    </dxf>
    <dxf>
      <font>
        <condense val="0"/>
        <extend val="0"/>
        <color indexed="46"/>
      </font>
    </dxf>
    <dxf>
      <font>
        <condense val="0"/>
        <extend val="0"/>
        <color indexed="46"/>
      </font>
    </dxf>
    <dxf>
      <font>
        <condense val="0"/>
        <extend val="0"/>
        <color indexed="16"/>
      </font>
    </dxf>
    <dxf>
      <font>
        <condense val="0"/>
        <extend val="0"/>
        <color indexed="46"/>
      </font>
    </dxf>
    <dxf>
      <font>
        <condense val="0"/>
        <extend val="0"/>
        <color indexed="22"/>
      </font>
    </dxf>
    <dxf>
      <font>
        <condense val="0"/>
        <extend val="0"/>
        <color indexed="23"/>
      </font>
    </dxf>
    <dxf>
      <font>
        <condense val="0"/>
        <extend val="0"/>
        <color indexed="9"/>
      </font>
    </dxf>
    <dxf>
      <font>
        <condense val="0"/>
        <extend val="0"/>
        <color indexed="63"/>
      </font>
    </dxf>
    <dxf>
      <font>
        <condense val="0"/>
        <extend val="0"/>
        <color indexed="16"/>
      </font>
    </dxf>
    <dxf>
      <font>
        <condense val="0"/>
        <extend val="0"/>
        <color indexed="9"/>
      </font>
      <border>
        <top style="thin">
          <color indexed="23"/>
        </top>
        <bottom/>
      </border>
    </dxf>
    <dxf>
      <font>
        <condense val="0"/>
        <extend val="0"/>
        <color indexed="23"/>
      </font>
      <border>
        <top style="thin">
          <color indexed="23"/>
        </top>
        <bottom style="hair">
          <color indexed="23"/>
        </bottom>
      </border>
    </dxf>
    <dxf>
      <border>
        <bottom style="thin">
          <color indexed="23"/>
        </bottom>
      </border>
    </dxf>
    <dxf>
      <font>
        <condense val="0"/>
        <extend val="0"/>
        <color indexed="9"/>
      </font>
      <border>
        <top style="thin">
          <color indexed="23"/>
        </top>
        <bottom/>
      </border>
    </dxf>
    <dxf>
      <font>
        <condense val="0"/>
        <extend val="0"/>
        <color indexed="23"/>
      </font>
      <border>
        <top style="thin">
          <color indexed="23"/>
        </top>
        <bottom style="hair">
          <color indexed="23"/>
        </bottom>
      </border>
    </dxf>
    <dxf>
      <border>
        <bottom style="thin">
          <color indexed="23"/>
        </bottom>
      </border>
    </dxf>
    <dxf>
      <font>
        <condense val="0"/>
        <extend val="0"/>
        <color indexed="9"/>
      </font>
      <border>
        <top style="thin">
          <color indexed="23"/>
        </top>
        <bottom/>
      </border>
    </dxf>
    <dxf>
      <font>
        <condense val="0"/>
        <extend val="0"/>
        <color indexed="63"/>
      </font>
      <border>
        <bottom style="thin">
          <color indexed="23"/>
        </bottom>
      </border>
    </dxf>
    <dxf>
      <font>
        <condense val="0"/>
        <extend val="0"/>
        <color indexed="63"/>
      </font>
      <border>
        <bottom style="thin">
          <color indexed="23"/>
        </bottom>
      </border>
    </dxf>
    <dxf>
      <font>
        <condense val="0"/>
        <extend val="0"/>
        <color indexed="9"/>
      </font>
      <border>
        <top/>
        <bottom/>
      </border>
    </dxf>
    <dxf>
      <font>
        <condense val="0"/>
        <extend val="0"/>
        <color indexed="23"/>
      </font>
      <border>
        <top style="hair">
          <color indexed="23"/>
        </top>
        <bottom style="hair">
          <color indexed="23"/>
        </bottom>
      </border>
    </dxf>
    <dxf>
      <border>
        <bottom style="thin">
          <color indexed="23"/>
        </bottom>
      </border>
    </dxf>
    <dxf>
      <font>
        <condense val="0"/>
        <extend val="0"/>
        <color indexed="9"/>
      </font>
      <border>
        <top/>
        <bottom/>
      </border>
    </dxf>
    <dxf>
      <font>
        <condense val="0"/>
        <extend val="0"/>
        <color indexed="23"/>
      </font>
      <border>
        <top style="hair">
          <color indexed="23"/>
        </top>
        <bottom style="hair">
          <color indexed="23"/>
        </bottom>
      </border>
    </dxf>
    <dxf>
      <border>
        <bottom style="thin">
          <color indexed="23"/>
        </bottom>
      </border>
    </dxf>
    <dxf>
      <font>
        <condense val="0"/>
        <extend val="0"/>
        <color indexed="9"/>
      </font>
      <border>
        <top/>
        <bottom/>
      </border>
    </dxf>
    <dxf>
      <font>
        <condense val="0"/>
        <extend val="0"/>
        <color indexed="63"/>
      </font>
      <border>
        <bottom style="thin">
          <color indexed="23"/>
        </bottom>
      </border>
    </dxf>
    <dxf>
      <font>
        <condense val="0"/>
        <extend val="0"/>
        <color indexed="63"/>
      </font>
      <border>
        <bottom style="thin">
          <color indexed="23"/>
        </bottom>
      </border>
    </dxf>
    <dxf>
      <border>
        <bottom style="thin">
          <color indexed="23"/>
        </bottom>
      </border>
    </dxf>
    <dxf>
      <font>
        <condense val="0"/>
        <extend val="0"/>
        <color indexed="9"/>
      </font>
      <border>
        <bottom/>
      </border>
    </dxf>
    <dxf>
      <font>
        <condense val="0"/>
        <extend val="0"/>
        <color indexed="9"/>
      </font>
      <border>
        <bottom style="thin">
          <color indexed="23"/>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ill>
        <patternFill>
          <bgColor indexed="26"/>
        </patternFill>
      </fill>
      <border>
        <left style="thin">
          <color indexed="16"/>
        </left>
        <right style="thin">
          <color indexed="16"/>
        </right>
        <top style="thin">
          <color indexed="16"/>
        </top>
        <bottom style="thin">
          <color indexed="16"/>
        </bottom>
      </border>
    </dxf>
    <dxf>
      <font>
        <condense val="0"/>
        <extend val="0"/>
        <color indexed="23"/>
      </font>
    </dxf>
    <dxf>
      <font>
        <condense val="0"/>
        <extend val="0"/>
        <color indexed="9"/>
      </font>
    </dxf>
    <dxf>
      <font>
        <condense val="0"/>
        <extend val="0"/>
        <color indexed="23"/>
      </font>
    </dxf>
    <dxf>
      <font>
        <condense val="0"/>
        <extend val="0"/>
        <color indexed="9"/>
      </font>
    </dxf>
    <dxf>
      <border>
        <top/>
      </border>
    </dxf>
    <dxf>
      <font>
        <condense val="0"/>
        <extend val="0"/>
        <color indexed="9"/>
      </font>
      <border>
        <top/>
      </border>
    </dxf>
    <dxf>
      <font>
        <condense val="0"/>
        <extend val="0"/>
        <color indexed="9"/>
      </font>
      <border>
        <right/>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right/>
      </border>
    </dxf>
    <dxf>
      <font>
        <condense val="0"/>
        <extend val="0"/>
        <color indexed="9"/>
      </font>
      <border>
        <right/>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dxf>
    <dxf>
      <font>
        <condense val="0"/>
        <extend val="0"/>
      </font>
      <fill>
        <patternFill>
          <bgColor indexed="26"/>
        </patternFill>
      </fill>
    </dxf>
    <dxf>
      <font>
        <condense val="0"/>
        <extend val="0"/>
        <color indexed="9"/>
      </font>
      <border>
        <left/>
        <right/>
        <top/>
        <bottom/>
      </border>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16"/>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10"/>
      </font>
      <border>
        <bottom/>
      </border>
    </dxf>
    <dxf>
      <border>
        <top/>
      </border>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23"/>
      </font>
    </dxf>
    <dxf>
      <font>
        <condense val="0"/>
        <extend val="0"/>
        <color indexed="9"/>
      </font>
      <fill>
        <patternFill>
          <bgColor indexed="9"/>
        </patternFill>
      </fill>
      <border>
        <left/>
        <right/>
        <top/>
        <bottom/>
      </border>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condense val="0"/>
        <extend val="0"/>
        <color indexed="23"/>
      </font>
      <fill>
        <patternFill patternType="darkUp"/>
      </fill>
    </dxf>
    <dxf>
      <border>
        <left/>
      </border>
    </dxf>
    <dxf>
      <border>
        <left/>
        <top/>
        <bottom/>
      </border>
    </dxf>
    <dxf>
      <border>
        <left/>
      </border>
    </dxf>
    <dxf>
      <border>
        <left/>
        <top/>
        <bottom/>
      </border>
    </dxf>
    <dxf>
      <border>
        <right/>
      </border>
    </dxf>
    <dxf>
      <border>
        <right/>
        <top/>
        <bottom/>
      </border>
    </dxf>
    <dxf>
      <border>
        <right/>
      </border>
    </dxf>
    <dxf>
      <border>
        <right/>
        <top/>
        <bottom/>
      </border>
    </dxf>
    <dxf>
      <border>
        <right/>
      </border>
    </dxf>
    <dxf>
      <border>
        <right/>
        <top/>
        <bottom/>
      </border>
    </dxf>
    <dxf>
      <font>
        <condense val="0"/>
        <extend val="0"/>
        <color indexed="9"/>
      </font>
    </dxf>
    <dxf>
      <border>
        <bottom/>
      </border>
    </dxf>
    <dxf>
      <font>
        <condense val="0"/>
        <extend val="0"/>
        <color indexed="46"/>
      </font>
    </dxf>
    <dxf>
      <border>
        <bottom/>
      </border>
    </dxf>
    <dxf>
      <border>
        <bottom/>
      </border>
    </dxf>
    <dxf>
      <font>
        <condense val="0"/>
        <extend val="0"/>
        <color indexed="46"/>
      </font>
    </dxf>
    <dxf>
      <border>
        <bottom/>
      </border>
    </dxf>
    <dxf>
      <border>
        <bottom/>
      </border>
    </dxf>
    <dxf>
      <font>
        <condense val="0"/>
        <extend val="0"/>
        <color indexed="46"/>
      </font>
    </dxf>
    <dxf>
      <border>
        <bottom/>
      </border>
    </dxf>
    <dxf>
      <font>
        <condense val="0"/>
        <extend val="0"/>
        <color indexed="23"/>
      </font>
    </dxf>
    <dxf>
      <font>
        <condense val="0"/>
        <extend val="0"/>
        <color indexed="23"/>
      </font>
    </dxf>
    <dxf>
      <font>
        <condense val="0"/>
        <extend val="0"/>
        <color indexed="23"/>
      </font>
    </dxf>
    <dxf>
      <font>
        <condense val="0"/>
        <extend val="0"/>
        <color indexed="9"/>
      </font>
    </dxf>
    <dxf>
      <font>
        <condense val="0"/>
        <extend val="0"/>
        <color indexed="9"/>
      </font>
    </dxf>
    <dxf>
      <font>
        <condense val="0"/>
        <extend val="0"/>
        <color indexed="23"/>
      </font>
      <fill>
        <patternFill patternType="darkUp"/>
      </fill>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9"/>
      </font>
      <border>
        <left/>
        <right/>
        <top/>
      </border>
    </dxf>
    <dxf>
      <font>
        <condense val="0"/>
        <extend val="0"/>
        <color indexed="9"/>
      </font>
      <fill>
        <patternFill>
          <bgColor indexed="9"/>
        </patternFill>
      </fill>
      <border>
        <left/>
        <right/>
        <top/>
        <bottom/>
      </border>
    </dxf>
    <dxf>
      <border>
        <bottom style="thin">
          <color indexed="23"/>
        </bottom>
      </border>
    </dxf>
    <dxf>
      <border>
        <bottom style="thin">
          <color indexed="23"/>
        </bottom>
      </border>
    </dxf>
    <dxf>
      <font>
        <condense val="0"/>
        <extend val="0"/>
        <color indexed="23"/>
      </font>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9"/>
      </font>
    </dxf>
    <dxf>
      <font>
        <condense val="0"/>
        <extend val="0"/>
        <color indexed="9"/>
      </font>
    </dxf>
    <dxf>
      <font>
        <condense val="0"/>
        <extend val="0"/>
        <color indexed="9"/>
      </font>
      <border>
        <right/>
      </border>
    </dxf>
    <dxf>
      <font>
        <condense val="0"/>
        <extend val="0"/>
        <color indexed="10"/>
      </font>
    </dxf>
    <dxf>
      <font>
        <condense val="0"/>
        <extend val="0"/>
        <color indexed="23"/>
      </font>
    </dxf>
    <dxf>
      <font>
        <condense val="0"/>
        <extend val="0"/>
        <color indexed="46"/>
      </font>
    </dxf>
    <dxf>
      <font>
        <condense val="0"/>
        <extend val="0"/>
        <color indexed="9"/>
      </font>
    </dxf>
    <dxf>
      <font>
        <condense val="0"/>
        <extend val="0"/>
        <color indexed="46"/>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22"/>
      </font>
    </dxf>
    <dxf>
      <font>
        <condense val="0"/>
        <extend val="0"/>
        <color indexed="9"/>
      </font>
    </dxf>
    <dxf>
      <fill>
        <patternFill>
          <bgColor indexed="9"/>
        </patternFill>
      </fill>
      <border>
        <left/>
        <right/>
        <top/>
        <bottom/>
      </border>
    </dxf>
    <dxf>
      <border>
        <top/>
      </border>
    </dxf>
    <dxf>
      <font>
        <condense val="0"/>
        <extend val="0"/>
        <color indexed="9"/>
      </font>
    </dxf>
    <dxf>
      <font>
        <condense val="0"/>
        <extend val="0"/>
        <color indexed="23"/>
      </font>
      <fill>
        <patternFill patternType="darkUp"/>
      </fill>
    </dxf>
    <dxf>
      <font>
        <condense val="0"/>
        <extend val="0"/>
        <color indexed="10"/>
      </font>
    </dxf>
    <dxf>
      <font>
        <condense val="0"/>
        <extend val="0"/>
        <color indexed="9"/>
      </font>
      <fill>
        <patternFill>
          <bgColor indexed="9"/>
        </patternFill>
      </fill>
      <border>
        <left/>
        <right/>
        <top/>
        <bottom/>
      </border>
    </dxf>
    <dxf>
      <font>
        <condense val="0"/>
        <extend val="0"/>
        <color indexed="23"/>
      </font>
    </dxf>
    <dxf>
      <font>
        <condense val="0"/>
        <extend val="0"/>
        <color indexed="9"/>
      </font>
    </dxf>
    <dxf>
      <border>
        <left/>
      </border>
    </dxf>
    <dxf>
      <border>
        <left/>
        <right/>
        <top/>
        <bottom/>
      </border>
    </dxf>
    <dxf>
      <font>
        <condense val="0"/>
        <extend val="0"/>
        <color indexed="23"/>
      </font>
      <fill>
        <patternFill patternType="darkUp"/>
      </fill>
    </dxf>
    <dxf>
      <border>
        <left/>
        <right/>
        <top/>
        <bottom/>
      </border>
    </dxf>
    <dxf>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23"/>
      </font>
    </dxf>
    <dxf>
      <font>
        <condense val="0"/>
        <extend val="0"/>
        <color indexed="9"/>
      </font>
      <border>
        <left/>
        <right/>
        <top/>
        <bottom/>
      </border>
    </dxf>
    <dxf>
      <font>
        <condense val="0"/>
        <extend val="0"/>
        <color indexed="26"/>
      </font>
    </dxf>
    <dxf>
      <font>
        <condense val="0"/>
        <extend val="0"/>
        <color indexed="9"/>
      </font>
      <fill>
        <patternFill>
          <bgColor indexed="9"/>
        </patternFill>
      </fill>
      <border>
        <left/>
        <right/>
        <top/>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bgColor indexed="9"/>
        </patternFill>
      </fill>
      <border>
        <left/>
        <right/>
        <top/>
        <bottom/>
      </border>
    </dxf>
    <dxf>
      <font>
        <condense val="0"/>
        <extend val="0"/>
        <color indexed="23"/>
      </font>
    </dxf>
    <dxf>
      <font>
        <condense val="0"/>
        <extend val="0"/>
        <color indexed="9"/>
      </font>
      <fill>
        <patternFill>
          <bgColor indexed="9"/>
        </patternFill>
      </fill>
      <border>
        <left/>
        <right/>
        <top/>
        <bottom/>
      </border>
    </dxf>
    <dxf>
      <border>
        <left/>
        <right/>
        <top/>
        <bottom/>
      </border>
    </dxf>
    <dxf>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10"/>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border>
        <left/>
        <right/>
        <top/>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6"/>
      </font>
    </dxf>
    <dxf>
      <font>
        <condense val="0"/>
        <extend val="0"/>
        <color indexed="9"/>
      </font>
      <fill>
        <patternFill>
          <bgColor indexed="9"/>
        </patternFill>
      </fill>
      <border>
        <left/>
        <right/>
        <top/>
        <bottom/>
      </border>
    </dxf>
    <dxf>
      <font>
        <condense val="0"/>
        <extend val="0"/>
        <color indexed="9"/>
      </font>
      <border>
        <left/>
        <right/>
        <top/>
        <bottom/>
      </border>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fill>
        <patternFill>
          <bgColor indexed="9"/>
        </patternFill>
      </fill>
      <border>
        <left/>
        <right/>
        <top/>
        <bottom/>
      </border>
    </dxf>
    <dxf>
      <font>
        <condense val="0"/>
        <extend val="0"/>
        <color indexed="26"/>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ont>
        <condense val="0"/>
        <extend val="0"/>
        <color indexed="10"/>
      </font>
    </dxf>
    <dxf>
      <font>
        <condense val="0"/>
        <extend val="0"/>
        <color indexed="23"/>
      </font>
    </dxf>
    <dxf>
      <font>
        <condense val="0"/>
        <extend val="0"/>
        <color indexed="23"/>
      </font>
      <fill>
        <patternFill patternType="darkUp"/>
      </fill>
    </dxf>
    <dxf>
      <font>
        <condense val="0"/>
        <extend val="0"/>
        <color indexed="10"/>
      </font>
    </dxf>
    <dxf>
      <font>
        <condense val="0"/>
        <extend val="0"/>
        <color indexed="23"/>
      </font>
    </dxf>
    <dxf>
      <font>
        <condense val="0"/>
        <extend val="0"/>
        <color indexed="23"/>
      </font>
      <fill>
        <patternFill patternType="darkUp"/>
      </fill>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23"/>
      </font>
    </dxf>
    <dxf>
      <font>
        <condense val="0"/>
        <extend val="0"/>
        <color indexed="9"/>
      </font>
      <border>
        <left/>
        <right/>
        <top/>
        <bottom/>
      </border>
    </dxf>
    <dxf>
      <font>
        <condense val="0"/>
        <extend val="0"/>
        <color indexed="23"/>
      </font>
    </dxf>
    <dxf>
      <font>
        <condense val="0"/>
        <extend val="0"/>
        <color indexed="9"/>
      </font>
      <border>
        <left/>
        <right/>
        <top/>
        <bottom/>
      </border>
    </dxf>
    <dxf>
      <font>
        <condense val="0"/>
        <extend val="0"/>
        <color indexed="23"/>
      </font>
    </dxf>
    <dxf>
      <font>
        <condense val="0"/>
        <extend val="0"/>
        <color indexed="9"/>
      </font>
      <border>
        <left/>
        <right/>
        <top/>
        <bottom/>
      </border>
    </dxf>
    <dxf>
      <font>
        <condense val="0"/>
        <extend val="0"/>
        <color indexed="23"/>
      </font>
    </dxf>
    <dxf>
      <font>
        <condense val="0"/>
        <extend val="0"/>
        <color indexed="9"/>
      </font>
      <fill>
        <patternFill>
          <bgColor indexed="9"/>
        </patternFill>
      </fill>
      <border>
        <left/>
        <right/>
        <top/>
        <bottom/>
      </border>
    </dxf>
    <dxf>
      <font>
        <condense val="0"/>
        <extend val="0"/>
        <color indexed="23"/>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condense val="0"/>
        <extend val="0"/>
        <color indexed="26"/>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23"/>
      </font>
      <fill>
        <patternFill patternType="darkUp"/>
      </fill>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23"/>
      </font>
      <fill>
        <patternFill>
          <bgColor indexed="26"/>
        </patternFill>
      </fill>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10"/>
      </font>
      <border>
        <bottom/>
      </border>
    </dxf>
    <dxf>
      <border>
        <top/>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10"/>
      </font>
    </dxf>
    <dxf>
      <font>
        <condense val="0"/>
        <extend val="0"/>
        <color indexed="26"/>
      </font>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border>
        <left/>
        <right/>
        <top/>
        <bottom/>
      </border>
    </dxf>
    <dxf>
      <font>
        <condense val="0"/>
        <extend val="0"/>
        <color indexed="23"/>
      </font>
    </dxf>
    <dxf>
      <font>
        <condense val="0"/>
        <extend val="0"/>
        <color indexed="9"/>
      </font>
      <fill>
        <patternFill>
          <bgColor indexed="9"/>
        </patternFill>
      </fill>
      <border>
        <left/>
        <right/>
        <top/>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condense val="0"/>
        <extend val="0"/>
        <color indexed="23"/>
      </font>
      <fill>
        <patternFill patternType="darkUp"/>
      </fill>
    </dxf>
    <dxf>
      <border>
        <left/>
      </border>
    </dxf>
    <dxf>
      <border>
        <left/>
        <top/>
        <bottom/>
      </border>
    </dxf>
    <dxf>
      <border>
        <left/>
      </border>
    </dxf>
    <dxf>
      <border>
        <left/>
        <top/>
        <bottom/>
      </border>
    </dxf>
    <dxf>
      <border>
        <right/>
      </border>
    </dxf>
    <dxf>
      <border>
        <right/>
        <top/>
        <bottom/>
      </border>
    </dxf>
    <dxf>
      <border>
        <right/>
      </border>
    </dxf>
    <dxf>
      <border>
        <right/>
        <top/>
        <bottom/>
      </border>
    </dxf>
    <dxf>
      <border>
        <right/>
      </border>
    </dxf>
    <dxf>
      <border>
        <right/>
        <top/>
        <bottom/>
      </border>
    </dxf>
    <dxf>
      <font>
        <condense val="0"/>
        <extend val="0"/>
        <color indexed="9"/>
      </font>
    </dxf>
    <dxf>
      <border>
        <bottom/>
      </border>
    </dxf>
    <dxf>
      <font>
        <condense val="0"/>
        <extend val="0"/>
        <color indexed="46"/>
      </font>
    </dxf>
    <dxf>
      <border>
        <bottom/>
      </border>
    </dxf>
    <dxf>
      <border>
        <bottom/>
      </border>
    </dxf>
    <dxf>
      <font>
        <condense val="0"/>
        <extend val="0"/>
        <color indexed="46"/>
      </font>
    </dxf>
    <dxf>
      <border>
        <bottom/>
      </border>
    </dxf>
    <dxf>
      <border>
        <bottom/>
      </border>
    </dxf>
    <dxf>
      <font>
        <condense val="0"/>
        <extend val="0"/>
        <color indexed="46"/>
      </font>
    </dxf>
    <dxf>
      <border>
        <bottom/>
      </border>
    </dxf>
    <dxf>
      <font>
        <condense val="0"/>
        <extend val="0"/>
        <color indexed="23"/>
      </font>
    </dxf>
    <dxf>
      <font>
        <condense val="0"/>
        <extend val="0"/>
        <color indexed="23"/>
      </font>
    </dxf>
    <dxf>
      <font>
        <condense val="0"/>
        <extend val="0"/>
        <color indexed="23"/>
      </font>
    </dxf>
    <dxf>
      <font>
        <condense val="0"/>
        <extend val="0"/>
        <color indexed="9"/>
      </font>
    </dxf>
    <dxf>
      <font>
        <condense val="0"/>
        <extend val="0"/>
        <color indexed="9"/>
      </font>
    </dxf>
    <dxf>
      <font>
        <condense val="0"/>
        <extend val="0"/>
        <color indexed="23"/>
      </font>
      <fill>
        <patternFill patternType="darkUp"/>
      </fill>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9"/>
      </font>
      <border>
        <left/>
        <right/>
        <top/>
      </border>
    </dxf>
    <dxf>
      <font>
        <condense val="0"/>
        <extend val="0"/>
        <color indexed="9"/>
      </font>
      <fill>
        <patternFill>
          <bgColor indexed="9"/>
        </patternFill>
      </fill>
      <border>
        <left/>
        <right/>
        <top/>
        <bottom/>
      </border>
    </dxf>
    <dxf>
      <border>
        <bottom style="thin">
          <color indexed="23"/>
        </bottom>
      </border>
    </dxf>
    <dxf>
      <border>
        <bottom style="thin">
          <color indexed="23"/>
        </bottom>
      </border>
    </dxf>
    <dxf>
      <font>
        <condense val="0"/>
        <extend val="0"/>
        <color indexed="23"/>
      </font>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9"/>
      </font>
    </dxf>
    <dxf>
      <font>
        <condense val="0"/>
        <extend val="0"/>
        <color indexed="9"/>
      </font>
    </dxf>
    <dxf>
      <font>
        <condense val="0"/>
        <extend val="0"/>
        <color indexed="9"/>
      </font>
      <border>
        <right/>
      </border>
    </dxf>
    <dxf>
      <font>
        <condense val="0"/>
        <extend val="0"/>
        <color indexed="10"/>
      </font>
    </dxf>
    <dxf>
      <font>
        <condense val="0"/>
        <extend val="0"/>
        <color indexed="23"/>
      </font>
    </dxf>
    <dxf>
      <font>
        <condense val="0"/>
        <extend val="0"/>
        <color indexed="46"/>
      </font>
    </dxf>
    <dxf>
      <font>
        <condense val="0"/>
        <extend val="0"/>
        <color indexed="9"/>
      </font>
    </dxf>
    <dxf>
      <font>
        <condense val="0"/>
        <extend val="0"/>
        <color indexed="46"/>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22"/>
      </font>
    </dxf>
    <dxf>
      <font>
        <condense val="0"/>
        <extend val="0"/>
        <color indexed="9"/>
      </font>
    </dxf>
    <dxf>
      <fill>
        <patternFill>
          <bgColor indexed="9"/>
        </patternFill>
      </fill>
      <border>
        <left/>
        <right/>
        <top/>
        <bottom/>
      </border>
    </dxf>
    <dxf>
      <border>
        <top/>
      </border>
    </dxf>
    <dxf>
      <font>
        <condense val="0"/>
        <extend val="0"/>
        <color indexed="9"/>
      </font>
    </dxf>
    <dxf>
      <font>
        <condense val="0"/>
        <extend val="0"/>
        <color indexed="23"/>
      </font>
      <fill>
        <patternFill patternType="darkUp"/>
      </fill>
    </dxf>
    <dxf>
      <font>
        <condense val="0"/>
        <extend val="0"/>
        <color indexed="10"/>
      </font>
    </dxf>
    <dxf>
      <font>
        <condense val="0"/>
        <extend val="0"/>
        <color indexed="9"/>
      </font>
      <fill>
        <patternFill>
          <bgColor indexed="9"/>
        </patternFill>
      </fill>
      <border>
        <left/>
        <right/>
        <top/>
        <bottom/>
      </border>
    </dxf>
    <dxf>
      <font>
        <condense val="0"/>
        <extend val="0"/>
        <color indexed="23"/>
      </font>
    </dxf>
    <dxf>
      <font>
        <condense val="0"/>
        <extend val="0"/>
        <color indexed="9"/>
      </font>
    </dxf>
    <dxf>
      <border>
        <left/>
      </border>
    </dxf>
    <dxf>
      <border>
        <left/>
        <right/>
        <top/>
        <bottom/>
      </border>
    </dxf>
    <dxf>
      <font>
        <condense val="0"/>
        <extend val="0"/>
        <color indexed="23"/>
      </font>
      <fill>
        <patternFill patternType="darkUp"/>
      </fill>
    </dxf>
    <dxf>
      <border>
        <left/>
        <right/>
        <top/>
        <bottom/>
      </border>
    </dxf>
    <dxf>
      <border>
        <left/>
        <right/>
        <top/>
        <bottom/>
      </border>
    </dxf>
    <dxf>
      <font>
        <condense val="0"/>
        <extend val="0"/>
        <color indexed="9"/>
      </font>
      <border>
        <left/>
        <right/>
        <top/>
        <bottom/>
      </border>
    </dxf>
    <dxf>
      <font>
        <condense val="0"/>
        <extend val="0"/>
        <color indexed="9"/>
      </font>
    </dxf>
    <dxf>
      <fill>
        <patternFill>
          <bgColor indexed="26"/>
        </patternFill>
      </fill>
      <border>
        <left style="thin">
          <color indexed="16"/>
        </left>
        <right style="thin">
          <color indexed="16"/>
        </right>
        <top style="thin">
          <color indexed="16"/>
        </top>
        <bottom style="thin">
          <color indexed="16"/>
        </bottom>
      </border>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ont>
        <condense val="0"/>
        <extend val="0"/>
        <color indexed="10"/>
      </font>
    </dxf>
    <dxf>
      <font>
        <condense val="0"/>
        <extend val="0"/>
        <color indexed="23"/>
      </font>
    </dxf>
    <dxf>
      <font>
        <condense val="0"/>
        <extend val="0"/>
        <color indexed="23"/>
      </font>
      <fill>
        <patternFill patternType="darkUp"/>
      </fill>
    </dxf>
    <dxf>
      <font>
        <condense val="0"/>
        <extend val="0"/>
        <color indexed="10"/>
      </font>
    </dxf>
    <dxf>
      <font>
        <condense val="0"/>
        <extend val="0"/>
        <color indexed="23"/>
      </font>
    </dxf>
    <dxf>
      <font>
        <condense val="0"/>
        <extend val="0"/>
        <color indexed="23"/>
      </font>
      <fill>
        <patternFill patternType="darkUp"/>
      </fill>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condense val="0"/>
        <extend val="0"/>
        <color indexed="26"/>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23"/>
      </font>
      <fill>
        <patternFill patternType="darkUp"/>
      </fill>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23"/>
      </font>
      <fill>
        <patternFill>
          <bgColor indexed="26"/>
        </patternFill>
      </fill>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10"/>
      </font>
      <border>
        <bottom/>
      </border>
    </dxf>
    <dxf>
      <border>
        <top/>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10"/>
      </font>
    </dxf>
    <dxf>
      <font>
        <condense val="0"/>
        <extend val="0"/>
        <color indexed="26"/>
      </font>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border>
        <left/>
        <right/>
        <top/>
        <bottom/>
      </border>
    </dxf>
    <dxf>
      <font>
        <condense val="0"/>
        <extend val="0"/>
        <color indexed="23"/>
      </font>
    </dxf>
    <dxf>
      <font>
        <condense val="0"/>
        <extend val="0"/>
        <color indexed="9"/>
      </font>
      <fill>
        <patternFill>
          <bgColor indexed="9"/>
        </patternFill>
      </fill>
      <border>
        <left/>
        <right/>
        <top/>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condense val="0"/>
        <extend val="0"/>
        <color indexed="23"/>
      </font>
      <fill>
        <patternFill patternType="darkUp"/>
      </fill>
    </dxf>
    <dxf>
      <border>
        <left/>
      </border>
    </dxf>
    <dxf>
      <border>
        <left/>
        <top/>
        <bottom/>
      </border>
    </dxf>
    <dxf>
      <border>
        <left/>
      </border>
    </dxf>
    <dxf>
      <border>
        <left/>
        <top/>
        <bottom/>
      </border>
    </dxf>
    <dxf>
      <border>
        <right/>
      </border>
    </dxf>
    <dxf>
      <border>
        <right/>
        <top/>
        <bottom/>
      </border>
    </dxf>
    <dxf>
      <border>
        <right/>
      </border>
    </dxf>
    <dxf>
      <border>
        <right/>
        <top/>
        <bottom/>
      </border>
    </dxf>
    <dxf>
      <border>
        <right/>
      </border>
    </dxf>
    <dxf>
      <border>
        <right/>
        <top/>
        <bottom/>
      </border>
    </dxf>
    <dxf>
      <font>
        <condense val="0"/>
        <extend val="0"/>
        <color indexed="9"/>
      </font>
    </dxf>
    <dxf>
      <border>
        <bottom/>
      </border>
    </dxf>
    <dxf>
      <font>
        <condense val="0"/>
        <extend val="0"/>
        <color indexed="46"/>
      </font>
    </dxf>
    <dxf>
      <border>
        <bottom/>
      </border>
    </dxf>
    <dxf>
      <border>
        <bottom/>
      </border>
    </dxf>
    <dxf>
      <font>
        <condense val="0"/>
        <extend val="0"/>
        <color indexed="46"/>
      </font>
    </dxf>
    <dxf>
      <border>
        <bottom/>
      </border>
    </dxf>
    <dxf>
      <border>
        <bottom/>
      </border>
    </dxf>
    <dxf>
      <font>
        <condense val="0"/>
        <extend val="0"/>
        <color indexed="46"/>
      </font>
    </dxf>
    <dxf>
      <border>
        <bottom/>
      </border>
    </dxf>
    <dxf>
      <font>
        <condense val="0"/>
        <extend val="0"/>
        <color indexed="23"/>
      </font>
    </dxf>
    <dxf>
      <font>
        <condense val="0"/>
        <extend val="0"/>
        <color indexed="23"/>
      </font>
    </dxf>
    <dxf>
      <font>
        <condense val="0"/>
        <extend val="0"/>
        <color indexed="23"/>
      </font>
    </dxf>
    <dxf>
      <font>
        <condense val="0"/>
        <extend val="0"/>
        <color indexed="9"/>
      </font>
    </dxf>
    <dxf>
      <font>
        <condense val="0"/>
        <extend val="0"/>
        <color indexed="9"/>
      </font>
    </dxf>
    <dxf>
      <font>
        <condense val="0"/>
        <extend val="0"/>
        <color indexed="23"/>
      </font>
      <fill>
        <patternFill patternType="darkUp"/>
      </fill>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9"/>
      </font>
      <border>
        <left/>
        <right/>
        <top/>
      </border>
    </dxf>
    <dxf>
      <font>
        <condense val="0"/>
        <extend val="0"/>
        <color indexed="9"/>
      </font>
      <fill>
        <patternFill>
          <bgColor indexed="9"/>
        </patternFill>
      </fill>
      <border>
        <left/>
        <right/>
        <top/>
        <bottom/>
      </border>
    </dxf>
    <dxf>
      <border>
        <bottom style="thin">
          <color indexed="23"/>
        </bottom>
      </border>
    </dxf>
    <dxf>
      <border>
        <bottom style="thin">
          <color indexed="23"/>
        </bottom>
      </border>
    </dxf>
    <dxf>
      <font>
        <condense val="0"/>
        <extend val="0"/>
        <color indexed="23"/>
      </font>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9"/>
      </font>
    </dxf>
    <dxf>
      <font>
        <condense val="0"/>
        <extend val="0"/>
        <color indexed="9"/>
      </font>
    </dxf>
    <dxf>
      <font>
        <condense val="0"/>
        <extend val="0"/>
        <color indexed="9"/>
      </font>
      <border>
        <right/>
      </border>
    </dxf>
    <dxf>
      <font>
        <condense val="0"/>
        <extend val="0"/>
        <color indexed="10"/>
      </font>
    </dxf>
    <dxf>
      <font>
        <condense val="0"/>
        <extend val="0"/>
        <color indexed="23"/>
      </font>
    </dxf>
    <dxf>
      <font>
        <condense val="0"/>
        <extend val="0"/>
        <color indexed="46"/>
      </font>
    </dxf>
    <dxf>
      <font>
        <condense val="0"/>
        <extend val="0"/>
        <color indexed="9"/>
      </font>
    </dxf>
    <dxf>
      <font>
        <condense val="0"/>
        <extend val="0"/>
        <color indexed="46"/>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22"/>
      </font>
    </dxf>
    <dxf>
      <font>
        <condense val="0"/>
        <extend val="0"/>
        <color indexed="9"/>
      </font>
    </dxf>
    <dxf>
      <fill>
        <patternFill>
          <bgColor indexed="9"/>
        </patternFill>
      </fill>
      <border>
        <left/>
        <right/>
        <top/>
        <bottom/>
      </border>
    </dxf>
    <dxf>
      <border>
        <top/>
      </border>
    </dxf>
    <dxf>
      <font>
        <condense val="0"/>
        <extend val="0"/>
        <color indexed="9"/>
      </font>
    </dxf>
    <dxf>
      <font>
        <condense val="0"/>
        <extend val="0"/>
        <color indexed="23"/>
      </font>
      <fill>
        <patternFill patternType="darkUp"/>
      </fill>
    </dxf>
    <dxf>
      <font>
        <condense val="0"/>
        <extend val="0"/>
        <color indexed="10"/>
      </font>
    </dxf>
    <dxf>
      <font>
        <condense val="0"/>
        <extend val="0"/>
        <color indexed="9"/>
      </font>
      <fill>
        <patternFill>
          <bgColor indexed="9"/>
        </patternFill>
      </fill>
      <border>
        <left/>
        <right/>
        <top/>
        <bottom/>
      </border>
    </dxf>
    <dxf>
      <font>
        <condense val="0"/>
        <extend val="0"/>
        <color indexed="23"/>
      </font>
    </dxf>
    <dxf>
      <font>
        <condense val="0"/>
        <extend val="0"/>
        <color indexed="9"/>
      </font>
    </dxf>
    <dxf>
      <border>
        <left/>
      </border>
    </dxf>
    <dxf>
      <border>
        <left/>
        <right/>
        <top/>
        <bottom/>
      </border>
    </dxf>
    <dxf>
      <font>
        <condense val="0"/>
        <extend val="0"/>
        <color indexed="23"/>
      </font>
      <fill>
        <patternFill patternType="darkUp"/>
      </fill>
    </dxf>
    <dxf>
      <border>
        <left/>
        <right/>
        <top/>
        <bottom/>
      </border>
    </dxf>
    <dxf>
      <border>
        <left/>
        <right/>
        <top/>
        <bottom/>
      </border>
    </dxf>
    <dxf>
      <font>
        <condense val="0"/>
        <extend val="0"/>
        <color indexed="9"/>
      </font>
      <border>
        <left/>
        <right/>
        <top/>
        <bottom/>
      </border>
    </dxf>
    <dxf>
      <font>
        <condense val="0"/>
        <extend val="0"/>
        <color indexed="9"/>
      </font>
    </dxf>
    <dxf>
      <fill>
        <patternFill>
          <bgColor indexed="26"/>
        </patternFill>
      </fill>
      <border>
        <left style="thin">
          <color indexed="16"/>
        </left>
        <right style="thin">
          <color indexed="16"/>
        </right>
        <top style="thin">
          <color indexed="16"/>
        </top>
        <bottom style="thin">
          <color indexed="16"/>
        </bottom>
      </border>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ont>
        <condense val="0"/>
        <extend val="0"/>
        <color indexed="10"/>
      </font>
    </dxf>
    <dxf>
      <font>
        <condense val="0"/>
        <extend val="0"/>
        <color indexed="23"/>
      </font>
    </dxf>
    <dxf>
      <font>
        <condense val="0"/>
        <extend val="0"/>
        <color indexed="23"/>
      </font>
      <fill>
        <patternFill patternType="darkUp"/>
      </fill>
    </dxf>
    <dxf>
      <font>
        <condense val="0"/>
        <extend val="0"/>
        <color indexed="10"/>
      </font>
    </dxf>
    <dxf>
      <font>
        <condense val="0"/>
        <extend val="0"/>
        <color indexed="23"/>
      </font>
    </dxf>
    <dxf>
      <font>
        <condense val="0"/>
        <extend val="0"/>
        <color indexed="23"/>
      </font>
      <fill>
        <patternFill patternType="darkUp"/>
      </fill>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condense val="0"/>
        <extend val="0"/>
        <color indexed="26"/>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23"/>
      </font>
      <fill>
        <patternFill patternType="darkUp"/>
      </fill>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23"/>
      </font>
      <fill>
        <patternFill>
          <bgColor indexed="26"/>
        </patternFill>
      </fill>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10"/>
      </font>
      <border>
        <bottom/>
      </border>
    </dxf>
    <dxf>
      <border>
        <top/>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10"/>
      </font>
    </dxf>
    <dxf>
      <font>
        <condense val="0"/>
        <extend val="0"/>
        <color indexed="26"/>
      </font>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border>
        <left/>
        <right/>
        <top/>
        <bottom/>
      </border>
    </dxf>
    <dxf>
      <font>
        <condense val="0"/>
        <extend val="0"/>
        <color indexed="23"/>
      </font>
    </dxf>
    <dxf>
      <font>
        <condense val="0"/>
        <extend val="0"/>
        <color indexed="9"/>
      </font>
      <fill>
        <patternFill>
          <bgColor indexed="9"/>
        </patternFill>
      </fill>
      <border>
        <left/>
        <right/>
        <top/>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condense val="0"/>
        <extend val="0"/>
        <color indexed="23"/>
      </font>
      <fill>
        <patternFill patternType="darkUp"/>
      </fill>
    </dxf>
    <dxf>
      <border>
        <left/>
      </border>
    </dxf>
    <dxf>
      <border>
        <left/>
        <top/>
        <bottom/>
      </border>
    </dxf>
    <dxf>
      <border>
        <left/>
      </border>
    </dxf>
    <dxf>
      <border>
        <left/>
        <top/>
        <bottom/>
      </border>
    </dxf>
    <dxf>
      <border>
        <right/>
      </border>
    </dxf>
    <dxf>
      <border>
        <right/>
        <top/>
        <bottom/>
      </border>
    </dxf>
    <dxf>
      <border>
        <right/>
      </border>
    </dxf>
    <dxf>
      <border>
        <right/>
        <top/>
        <bottom/>
      </border>
    </dxf>
    <dxf>
      <border>
        <right/>
      </border>
    </dxf>
    <dxf>
      <border>
        <right/>
        <top/>
        <bottom/>
      </border>
    </dxf>
    <dxf>
      <font>
        <condense val="0"/>
        <extend val="0"/>
        <color indexed="9"/>
      </font>
    </dxf>
    <dxf>
      <border>
        <bottom/>
      </border>
    </dxf>
    <dxf>
      <font>
        <condense val="0"/>
        <extend val="0"/>
        <color indexed="46"/>
      </font>
    </dxf>
    <dxf>
      <border>
        <bottom/>
      </border>
    </dxf>
    <dxf>
      <border>
        <bottom/>
      </border>
    </dxf>
    <dxf>
      <font>
        <condense val="0"/>
        <extend val="0"/>
        <color indexed="46"/>
      </font>
    </dxf>
    <dxf>
      <border>
        <bottom/>
      </border>
    </dxf>
    <dxf>
      <border>
        <bottom/>
      </border>
    </dxf>
    <dxf>
      <font>
        <condense val="0"/>
        <extend val="0"/>
        <color indexed="46"/>
      </font>
    </dxf>
    <dxf>
      <border>
        <bottom/>
      </border>
    </dxf>
    <dxf>
      <font>
        <condense val="0"/>
        <extend val="0"/>
        <color indexed="23"/>
      </font>
    </dxf>
    <dxf>
      <font>
        <condense val="0"/>
        <extend val="0"/>
        <color indexed="23"/>
      </font>
    </dxf>
    <dxf>
      <font>
        <condense val="0"/>
        <extend val="0"/>
        <color indexed="23"/>
      </font>
    </dxf>
    <dxf>
      <font>
        <condense val="0"/>
        <extend val="0"/>
        <color indexed="9"/>
      </font>
    </dxf>
    <dxf>
      <font>
        <condense val="0"/>
        <extend val="0"/>
        <color indexed="9"/>
      </font>
    </dxf>
    <dxf>
      <font>
        <condense val="0"/>
        <extend val="0"/>
        <color indexed="23"/>
      </font>
      <fill>
        <patternFill patternType="darkUp"/>
      </fill>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9"/>
      </font>
      <border>
        <left/>
        <right/>
        <top/>
      </border>
    </dxf>
    <dxf>
      <font>
        <condense val="0"/>
        <extend val="0"/>
        <color indexed="9"/>
      </font>
      <fill>
        <patternFill>
          <bgColor indexed="9"/>
        </patternFill>
      </fill>
      <border>
        <left/>
        <right/>
        <top/>
        <bottom/>
      </border>
    </dxf>
    <dxf>
      <border>
        <bottom style="thin">
          <color indexed="23"/>
        </bottom>
      </border>
    </dxf>
    <dxf>
      <border>
        <bottom style="thin">
          <color indexed="23"/>
        </bottom>
      </border>
    </dxf>
    <dxf>
      <font>
        <condense val="0"/>
        <extend val="0"/>
        <color indexed="23"/>
      </font>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9"/>
      </font>
    </dxf>
    <dxf>
      <font>
        <condense val="0"/>
        <extend val="0"/>
        <color indexed="9"/>
      </font>
    </dxf>
    <dxf>
      <font>
        <condense val="0"/>
        <extend val="0"/>
        <color indexed="9"/>
      </font>
      <border>
        <right/>
      </border>
    </dxf>
    <dxf>
      <font>
        <condense val="0"/>
        <extend val="0"/>
        <color indexed="10"/>
      </font>
    </dxf>
    <dxf>
      <font>
        <condense val="0"/>
        <extend val="0"/>
        <color indexed="23"/>
      </font>
    </dxf>
    <dxf>
      <font>
        <condense val="0"/>
        <extend val="0"/>
        <color indexed="46"/>
      </font>
    </dxf>
    <dxf>
      <font>
        <condense val="0"/>
        <extend val="0"/>
        <color indexed="9"/>
      </font>
    </dxf>
    <dxf>
      <font>
        <condense val="0"/>
        <extend val="0"/>
        <color indexed="46"/>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22"/>
      </font>
    </dxf>
    <dxf>
      <font>
        <condense val="0"/>
        <extend val="0"/>
        <color indexed="9"/>
      </font>
    </dxf>
    <dxf>
      <fill>
        <patternFill>
          <bgColor indexed="9"/>
        </patternFill>
      </fill>
      <border>
        <left/>
        <right/>
        <top/>
        <bottom/>
      </border>
    </dxf>
    <dxf>
      <border>
        <top/>
      </border>
    </dxf>
    <dxf>
      <font>
        <condense val="0"/>
        <extend val="0"/>
        <color indexed="9"/>
      </font>
    </dxf>
    <dxf>
      <font>
        <condense val="0"/>
        <extend val="0"/>
        <color indexed="23"/>
      </font>
      <fill>
        <patternFill patternType="darkUp"/>
      </fill>
    </dxf>
    <dxf>
      <font>
        <condense val="0"/>
        <extend val="0"/>
        <color indexed="10"/>
      </font>
    </dxf>
    <dxf>
      <font>
        <condense val="0"/>
        <extend val="0"/>
        <color indexed="9"/>
      </font>
      <fill>
        <patternFill>
          <bgColor indexed="9"/>
        </patternFill>
      </fill>
      <border>
        <left/>
        <right/>
        <top/>
        <bottom/>
      </border>
    </dxf>
    <dxf>
      <font>
        <condense val="0"/>
        <extend val="0"/>
        <color indexed="23"/>
      </font>
    </dxf>
    <dxf>
      <font>
        <condense val="0"/>
        <extend val="0"/>
        <color indexed="9"/>
      </font>
    </dxf>
    <dxf>
      <border>
        <left/>
      </border>
    </dxf>
    <dxf>
      <border>
        <left/>
        <right/>
        <top/>
        <bottom/>
      </border>
    </dxf>
    <dxf>
      <font>
        <condense val="0"/>
        <extend val="0"/>
        <color indexed="23"/>
      </font>
      <fill>
        <patternFill patternType="darkUp"/>
      </fill>
    </dxf>
    <dxf>
      <border>
        <left/>
        <right/>
        <top/>
        <bottom/>
      </border>
    </dxf>
    <dxf>
      <border>
        <left/>
        <right/>
        <top/>
        <bottom/>
      </border>
    </dxf>
    <dxf>
      <font>
        <condense val="0"/>
        <extend val="0"/>
        <color indexed="9"/>
      </font>
      <border>
        <left/>
        <right/>
        <top/>
        <bottom/>
      </border>
    </dxf>
    <dxf>
      <font>
        <condense val="0"/>
        <extend val="0"/>
        <color indexed="9"/>
      </font>
    </dxf>
    <dxf>
      <fill>
        <patternFill>
          <bgColor indexed="26"/>
        </patternFill>
      </fill>
      <border>
        <left style="thin">
          <color indexed="16"/>
        </left>
        <right style="thin">
          <color indexed="16"/>
        </right>
        <top style="thin">
          <color indexed="16"/>
        </top>
        <bottom style="thin">
          <color indexed="16"/>
        </bottom>
      </border>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ont>
        <condense val="0"/>
        <extend val="0"/>
        <color indexed="10"/>
      </font>
    </dxf>
    <dxf>
      <font>
        <condense val="0"/>
        <extend val="0"/>
        <color indexed="23"/>
      </font>
    </dxf>
    <dxf>
      <font>
        <condense val="0"/>
        <extend val="0"/>
        <color indexed="23"/>
      </font>
      <fill>
        <patternFill patternType="darkUp"/>
      </fill>
    </dxf>
    <dxf>
      <font>
        <condense val="0"/>
        <extend val="0"/>
        <color indexed="10"/>
      </font>
    </dxf>
    <dxf>
      <font>
        <condense val="0"/>
        <extend val="0"/>
        <color indexed="23"/>
      </font>
    </dxf>
    <dxf>
      <font>
        <condense val="0"/>
        <extend val="0"/>
        <color indexed="23"/>
      </font>
      <fill>
        <patternFill patternType="darkUp"/>
      </fill>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condense val="0"/>
        <extend val="0"/>
        <color indexed="26"/>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23"/>
      </font>
      <fill>
        <patternFill patternType="darkUp"/>
      </fill>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23"/>
      </font>
      <fill>
        <patternFill>
          <bgColor indexed="26"/>
        </patternFill>
      </fill>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10"/>
      </font>
      <border>
        <bottom/>
      </border>
    </dxf>
    <dxf>
      <border>
        <top/>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10"/>
      </font>
    </dxf>
    <dxf>
      <font>
        <condense val="0"/>
        <extend val="0"/>
        <color indexed="26"/>
      </font>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border>
        <left/>
        <right/>
        <top/>
        <bottom/>
      </border>
    </dxf>
    <dxf>
      <font>
        <condense val="0"/>
        <extend val="0"/>
        <color indexed="23"/>
      </font>
    </dxf>
    <dxf>
      <font>
        <condense val="0"/>
        <extend val="0"/>
        <color indexed="9"/>
      </font>
      <fill>
        <patternFill>
          <bgColor indexed="9"/>
        </patternFill>
      </fill>
      <border>
        <left/>
        <right/>
        <top/>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condense val="0"/>
        <extend val="0"/>
        <color indexed="23"/>
      </font>
      <fill>
        <patternFill patternType="darkUp"/>
      </fill>
    </dxf>
    <dxf>
      <border>
        <left/>
      </border>
    </dxf>
    <dxf>
      <border>
        <left/>
        <top/>
        <bottom/>
      </border>
    </dxf>
    <dxf>
      <border>
        <left/>
      </border>
    </dxf>
    <dxf>
      <border>
        <left/>
        <top/>
        <bottom/>
      </border>
    </dxf>
    <dxf>
      <border>
        <right/>
      </border>
    </dxf>
    <dxf>
      <border>
        <right/>
        <top/>
        <bottom/>
      </border>
    </dxf>
    <dxf>
      <border>
        <right/>
      </border>
    </dxf>
    <dxf>
      <border>
        <right/>
        <top/>
        <bottom/>
      </border>
    </dxf>
    <dxf>
      <border>
        <right/>
      </border>
    </dxf>
    <dxf>
      <border>
        <right/>
        <top/>
        <bottom/>
      </border>
    </dxf>
    <dxf>
      <font>
        <condense val="0"/>
        <extend val="0"/>
        <color indexed="9"/>
      </font>
    </dxf>
    <dxf>
      <border>
        <bottom/>
      </border>
    </dxf>
    <dxf>
      <font>
        <condense val="0"/>
        <extend val="0"/>
        <color indexed="46"/>
      </font>
    </dxf>
    <dxf>
      <border>
        <bottom/>
      </border>
    </dxf>
    <dxf>
      <border>
        <bottom/>
      </border>
    </dxf>
    <dxf>
      <font>
        <condense val="0"/>
        <extend val="0"/>
        <color indexed="46"/>
      </font>
    </dxf>
    <dxf>
      <border>
        <bottom/>
      </border>
    </dxf>
    <dxf>
      <border>
        <bottom/>
      </border>
    </dxf>
    <dxf>
      <font>
        <condense val="0"/>
        <extend val="0"/>
        <color indexed="46"/>
      </font>
    </dxf>
    <dxf>
      <border>
        <bottom/>
      </border>
    </dxf>
    <dxf>
      <font>
        <condense val="0"/>
        <extend val="0"/>
        <color indexed="23"/>
      </font>
    </dxf>
    <dxf>
      <font>
        <condense val="0"/>
        <extend val="0"/>
        <color indexed="23"/>
      </font>
    </dxf>
    <dxf>
      <font>
        <condense val="0"/>
        <extend val="0"/>
        <color indexed="23"/>
      </font>
    </dxf>
    <dxf>
      <font>
        <condense val="0"/>
        <extend val="0"/>
        <color indexed="9"/>
      </font>
    </dxf>
    <dxf>
      <font>
        <condense val="0"/>
        <extend val="0"/>
        <color indexed="9"/>
      </font>
    </dxf>
    <dxf>
      <font>
        <condense val="0"/>
        <extend val="0"/>
        <color indexed="23"/>
      </font>
      <fill>
        <patternFill patternType="darkUp"/>
      </fill>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9"/>
      </font>
      <border>
        <left/>
        <right/>
        <top/>
      </border>
    </dxf>
    <dxf>
      <font>
        <condense val="0"/>
        <extend val="0"/>
        <color indexed="9"/>
      </font>
      <fill>
        <patternFill>
          <bgColor indexed="9"/>
        </patternFill>
      </fill>
      <border>
        <left/>
        <right/>
        <top/>
        <bottom/>
      </border>
    </dxf>
    <dxf>
      <border>
        <bottom style="thin">
          <color indexed="23"/>
        </bottom>
      </border>
    </dxf>
    <dxf>
      <border>
        <bottom style="thin">
          <color indexed="23"/>
        </bottom>
      </border>
    </dxf>
    <dxf>
      <font>
        <condense val="0"/>
        <extend val="0"/>
        <color indexed="23"/>
      </font>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9"/>
      </font>
    </dxf>
    <dxf>
      <font>
        <condense val="0"/>
        <extend val="0"/>
        <color indexed="9"/>
      </font>
    </dxf>
    <dxf>
      <font>
        <condense val="0"/>
        <extend val="0"/>
        <color indexed="9"/>
      </font>
      <border>
        <right/>
      </border>
    </dxf>
    <dxf>
      <font>
        <condense val="0"/>
        <extend val="0"/>
        <color indexed="10"/>
      </font>
    </dxf>
    <dxf>
      <font>
        <condense val="0"/>
        <extend val="0"/>
        <color indexed="23"/>
      </font>
    </dxf>
    <dxf>
      <font>
        <condense val="0"/>
        <extend val="0"/>
        <color indexed="46"/>
      </font>
    </dxf>
    <dxf>
      <font>
        <condense val="0"/>
        <extend val="0"/>
        <color indexed="9"/>
      </font>
    </dxf>
    <dxf>
      <font>
        <condense val="0"/>
        <extend val="0"/>
        <color indexed="46"/>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22"/>
      </font>
    </dxf>
    <dxf>
      <font>
        <condense val="0"/>
        <extend val="0"/>
        <color indexed="9"/>
      </font>
    </dxf>
    <dxf>
      <fill>
        <patternFill>
          <bgColor indexed="9"/>
        </patternFill>
      </fill>
      <border>
        <left/>
        <right/>
        <top/>
        <bottom/>
      </border>
    </dxf>
    <dxf>
      <border>
        <top/>
      </border>
    </dxf>
    <dxf>
      <font>
        <condense val="0"/>
        <extend val="0"/>
        <color indexed="9"/>
      </font>
    </dxf>
    <dxf>
      <font>
        <condense val="0"/>
        <extend val="0"/>
        <color indexed="23"/>
      </font>
      <fill>
        <patternFill patternType="darkUp"/>
      </fill>
    </dxf>
    <dxf>
      <font>
        <condense val="0"/>
        <extend val="0"/>
        <color indexed="10"/>
      </font>
    </dxf>
    <dxf>
      <font>
        <condense val="0"/>
        <extend val="0"/>
        <color indexed="9"/>
      </font>
      <fill>
        <patternFill>
          <bgColor indexed="9"/>
        </patternFill>
      </fill>
      <border>
        <left/>
        <right/>
        <top/>
        <bottom/>
      </border>
    </dxf>
    <dxf>
      <font>
        <condense val="0"/>
        <extend val="0"/>
        <color indexed="23"/>
      </font>
    </dxf>
    <dxf>
      <font>
        <condense val="0"/>
        <extend val="0"/>
        <color indexed="9"/>
      </font>
    </dxf>
    <dxf>
      <border>
        <left/>
      </border>
    </dxf>
    <dxf>
      <border>
        <left/>
        <right/>
        <top/>
        <bottom/>
      </border>
    </dxf>
    <dxf>
      <font>
        <condense val="0"/>
        <extend val="0"/>
        <color indexed="23"/>
      </font>
      <fill>
        <patternFill patternType="darkUp"/>
      </fill>
    </dxf>
    <dxf>
      <border>
        <left/>
        <right/>
        <top/>
        <bottom/>
      </border>
    </dxf>
    <dxf>
      <border>
        <left/>
        <right/>
        <top/>
        <bottom/>
      </border>
    </dxf>
    <dxf>
      <font>
        <condense val="0"/>
        <extend val="0"/>
        <color indexed="9"/>
      </font>
      <border>
        <left/>
        <right/>
        <top/>
        <bottom/>
      </border>
    </dxf>
    <dxf>
      <font>
        <condense val="0"/>
        <extend val="0"/>
        <color indexed="9"/>
      </font>
    </dxf>
    <dxf>
      <fill>
        <patternFill>
          <bgColor indexed="26"/>
        </patternFill>
      </fill>
      <border>
        <left style="thin">
          <color indexed="16"/>
        </left>
        <right style="thin">
          <color indexed="16"/>
        </right>
        <top style="thin">
          <color indexed="16"/>
        </top>
        <bottom style="thin">
          <color indexed="16"/>
        </bottom>
      </border>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ont>
        <condense val="0"/>
        <extend val="0"/>
        <color indexed="10"/>
      </font>
    </dxf>
    <dxf>
      <font>
        <condense val="0"/>
        <extend val="0"/>
        <color indexed="23"/>
      </font>
    </dxf>
    <dxf>
      <font>
        <condense val="0"/>
        <extend val="0"/>
        <color indexed="23"/>
      </font>
      <fill>
        <patternFill patternType="darkUp"/>
      </fill>
    </dxf>
    <dxf>
      <font>
        <condense val="0"/>
        <extend val="0"/>
        <color indexed="10"/>
      </font>
    </dxf>
    <dxf>
      <font>
        <condense val="0"/>
        <extend val="0"/>
        <color indexed="23"/>
      </font>
    </dxf>
    <dxf>
      <font>
        <condense val="0"/>
        <extend val="0"/>
        <color indexed="23"/>
      </font>
      <fill>
        <patternFill patternType="darkUp"/>
      </fill>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condense val="0"/>
        <extend val="0"/>
        <color indexed="26"/>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23"/>
      </font>
      <fill>
        <patternFill patternType="darkUp"/>
      </fill>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23"/>
      </font>
      <fill>
        <patternFill>
          <bgColor indexed="26"/>
        </patternFill>
      </fill>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10"/>
      </font>
      <border>
        <bottom/>
      </border>
    </dxf>
    <dxf>
      <border>
        <top/>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10"/>
      </font>
    </dxf>
    <dxf>
      <font>
        <condense val="0"/>
        <extend val="0"/>
        <color indexed="26"/>
      </font>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border>
        <left/>
        <right/>
        <top/>
        <bottom/>
      </border>
    </dxf>
    <dxf>
      <font>
        <condense val="0"/>
        <extend val="0"/>
        <color indexed="23"/>
      </font>
    </dxf>
    <dxf>
      <font>
        <condense val="0"/>
        <extend val="0"/>
        <color indexed="9"/>
      </font>
      <fill>
        <patternFill>
          <bgColor indexed="9"/>
        </patternFill>
      </fill>
      <border>
        <left/>
        <right/>
        <top/>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condense val="0"/>
        <extend val="0"/>
        <color indexed="23"/>
      </font>
      <fill>
        <patternFill patternType="darkUp"/>
      </fill>
    </dxf>
    <dxf>
      <border>
        <left/>
      </border>
    </dxf>
    <dxf>
      <border>
        <left/>
        <top/>
        <bottom/>
      </border>
    </dxf>
    <dxf>
      <border>
        <left/>
      </border>
    </dxf>
    <dxf>
      <border>
        <left/>
        <top/>
        <bottom/>
      </border>
    </dxf>
    <dxf>
      <border>
        <right/>
      </border>
    </dxf>
    <dxf>
      <border>
        <right/>
        <top/>
        <bottom/>
      </border>
    </dxf>
    <dxf>
      <border>
        <right/>
      </border>
    </dxf>
    <dxf>
      <border>
        <right/>
        <top/>
        <bottom/>
      </border>
    </dxf>
    <dxf>
      <border>
        <right/>
      </border>
    </dxf>
    <dxf>
      <border>
        <right/>
        <top/>
        <bottom/>
      </border>
    </dxf>
    <dxf>
      <font>
        <condense val="0"/>
        <extend val="0"/>
        <color indexed="9"/>
      </font>
    </dxf>
    <dxf>
      <border>
        <bottom/>
      </border>
    </dxf>
    <dxf>
      <font>
        <condense val="0"/>
        <extend val="0"/>
        <color indexed="46"/>
      </font>
    </dxf>
    <dxf>
      <border>
        <bottom/>
      </border>
    </dxf>
    <dxf>
      <border>
        <bottom/>
      </border>
    </dxf>
    <dxf>
      <font>
        <condense val="0"/>
        <extend val="0"/>
        <color indexed="46"/>
      </font>
    </dxf>
    <dxf>
      <border>
        <bottom/>
      </border>
    </dxf>
    <dxf>
      <border>
        <bottom/>
      </border>
    </dxf>
    <dxf>
      <font>
        <condense val="0"/>
        <extend val="0"/>
        <color indexed="46"/>
      </font>
    </dxf>
    <dxf>
      <border>
        <bottom/>
      </border>
    </dxf>
    <dxf>
      <font>
        <condense val="0"/>
        <extend val="0"/>
        <color indexed="23"/>
      </font>
    </dxf>
    <dxf>
      <font>
        <condense val="0"/>
        <extend val="0"/>
        <color indexed="23"/>
      </font>
    </dxf>
    <dxf>
      <font>
        <condense val="0"/>
        <extend val="0"/>
        <color indexed="23"/>
      </font>
    </dxf>
    <dxf>
      <font>
        <condense val="0"/>
        <extend val="0"/>
        <color indexed="9"/>
      </font>
    </dxf>
    <dxf>
      <font>
        <condense val="0"/>
        <extend val="0"/>
        <color indexed="9"/>
      </font>
    </dxf>
    <dxf>
      <font>
        <condense val="0"/>
        <extend val="0"/>
        <color indexed="23"/>
      </font>
      <fill>
        <patternFill patternType="darkUp"/>
      </fill>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9"/>
      </font>
      <border>
        <left/>
        <right/>
        <top/>
      </border>
    </dxf>
    <dxf>
      <font>
        <condense val="0"/>
        <extend val="0"/>
        <color indexed="9"/>
      </font>
      <fill>
        <patternFill>
          <bgColor indexed="9"/>
        </patternFill>
      </fill>
      <border>
        <left/>
        <right/>
        <top/>
        <bottom/>
      </border>
    </dxf>
    <dxf>
      <border>
        <bottom style="thin">
          <color indexed="23"/>
        </bottom>
      </border>
    </dxf>
    <dxf>
      <border>
        <bottom style="thin">
          <color indexed="23"/>
        </bottom>
      </border>
    </dxf>
    <dxf>
      <font>
        <condense val="0"/>
        <extend val="0"/>
        <color indexed="23"/>
      </font>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9"/>
      </font>
    </dxf>
    <dxf>
      <font>
        <condense val="0"/>
        <extend val="0"/>
        <color indexed="9"/>
      </font>
    </dxf>
    <dxf>
      <font>
        <condense val="0"/>
        <extend val="0"/>
        <color indexed="9"/>
      </font>
      <border>
        <right/>
      </border>
    </dxf>
    <dxf>
      <font>
        <condense val="0"/>
        <extend val="0"/>
        <color indexed="10"/>
      </font>
    </dxf>
    <dxf>
      <font>
        <condense val="0"/>
        <extend val="0"/>
        <color indexed="23"/>
      </font>
    </dxf>
    <dxf>
      <font>
        <condense val="0"/>
        <extend val="0"/>
        <color indexed="46"/>
      </font>
    </dxf>
    <dxf>
      <font>
        <condense val="0"/>
        <extend val="0"/>
        <color indexed="9"/>
      </font>
    </dxf>
    <dxf>
      <font>
        <condense val="0"/>
        <extend val="0"/>
        <color indexed="46"/>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22"/>
      </font>
    </dxf>
    <dxf>
      <font>
        <condense val="0"/>
        <extend val="0"/>
        <color indexed="9"/>
      </font>
    </dxf>
    <dxf>
      <fill>
        <patternFill>
          <bgColor indexed="9"/>
        </patternFill>
      </fill>
      <border>
        <left/>
        <right/>
        <top/>
        <bottom/>
      </border>
    </dxf>
    <dxf>
      <border>
        <top/>
      </border>
    </dxf>
    <dxf>
      <font>
        <condense val="0"/>
        <extend val="0"/>
        <color indexed="9"/>
      </font>
    </dxf>
    <dxf>
      <font>
        <condense val="0"/>
        <extend val="0"/>
        <color indexed="23"/>
      </font>
      <fill>
        <patternFill patternType="darkUp"/>
      </fill>
    </dxf>
    <dxf>
      <font>
        <condense val="0"/>
        <extend val="0"/>
        <color indexed="10"/>
      </font>
    </dxf>
    <dxf>
      <font>
        <condense val="0"/>
        <extend val="0"/>
        <color indexed="9"/>
      </font>
      <fill>
        <patternFill>
          <bgColor indexed="9"/>
        </patternFill>
      </fill>
      <border>
        <left/>
        <right/>
        <top/>
        <bottom/>
      </border>
    </dxf>
    <dxf>
      <font>
        <condense val="0"/>
        <extend val="0"/>
        <color indexed="23"/>
      </font>
    </dxf>
    <dxf>
      <font>
        <condense val="0"/>
        <extend val="0"/>
        <color indexed="9"/>
      </font>
    </dxf>
    <dxf>
      <border>
        <left/>
      </border>
    </dxf>
    <dxf>
      <border>
        <left/>
        <right/>
        <top/>
        <bottom/>
      </border>
    </dxf>
    <dxf>
      <font>
        <condense val="0"/>
        <extend val="0"/>
        <color indexed="23"/>
      </font>
      <fill>
        <patternFill patternType="darkUp"/>
      </fill>
    </dxf>
    <dxf>
      <border>
        <left/>
        <right/>
        <top/>
        <bottom/>
      </border>
    </dxf>
    <dxf>
      <border>
        <left/>
        <right/>
        <top/>
        <bottom/>
      </border>
    </dxf>
    <dxf>
      <font>
        <condense val="0"/>
        <extend val="0"/>
        <color indexed="9"/>
      </font>
      <border>
        <left/>
        <right/>
        <top/>
        <bottom/>
      </border>
    </dxf>
    <dxf>
      <font>
        <condense val="0"/>
        <extend val="0"/>
        <color indexed="9"/>
      </font>
    </dxf>
    <dxf>
      <fill>
        <patternFill>
          <bgColor indexed="26"/>
        </patternFill>
      </fill>
      <border>
        <left style="thin">
          <color indexed="16"/>
        </left>
        <right style="thin">
          <color indexed="16"/>
        </right>
        <top style="thin">
          <color indexed="16"/>
        </top>
        <bottom style="thin">
          <color indexed="16"/>
        </bottom>
      </border>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ont>
        <condense val="0"/>
        <extend val="0"/>
        <color indexed="10"/>
      </font>
    </dxf>
    <dxf>
      <font>
        <condense val="0"/>
        <extend val="0"/>
        <color indexed="23"/>
      </font>
    </dxf>
    <dxf>
      <font>
        <condense val="0"/>
        <extend val="0"/>
        <color indexed="23"/>
      </font>
      <fill>
        <patternFill patternType="darkUp"/>
      </fill>
    </dxf>
    <dxf>
      <font>
        <condense val="0"/>
        <extend val="0"/>
        <color indexed="10"/>
      </font>
    </dxf>
    <dxf>
      <font>
        <condense val="0"/>
        <extend val="0"/>
        <color indexed="23"/>
      </font>
    </dxf>
    <dxf>
      <font>
        <condense val="0"/>
        <extend val="0"/>
        <color indexed="23"/>
      </font>
      <fill>
        <patternFill patternType="darkUp"/>
      </fill>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condense val="0"/>
        <extend val="0"/>
        <color indexed="26"/>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23"/>
      </font>
      <fill>
        <patternFill patternType="darkUp"/>
      </fill>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23"/>
      </font>
      <fill>
        <patternFill>
          <bgColor indexed="26"/>
        </patternFill>
      </fill>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10"/>
      </font>
      <border>
        <bottom/>
      </border>
    </dxf>
    <dxf>
      <border>
        <top/>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10"/>
      </font>
    </dxf>
    <dxf>
      <font>
        <condense val="0"/>
        <extend val="0"/>
        <color indexed="26"/>
      </font>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border>
        <left/>
        <right/>
        <top/>
        <bottom/>
      </border>
    </dxf>
    <dxf>
      <font>
        <condense val="0"/>
        <extend val="0"/>
        <color indexed="23"/>
      </font>
    </dxf>
    <dxf>
      <font>
        <condense val="0"/>
        <extend val="0"/>
        <color indexed="9"/>
      </font>
      <fill>
        <patternFill>
          <bgColor indexed="9"/>
        </patternFill>
      </fill>
      <border>
        <left/>
        <right/>
        <top/>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condense val="0"/>
        <extend val="0"/>
        <color indexed="23"/>
      </font>
      <fill>
        <patternFill patternType="darkUp"/>
      </fill>
    </dxf>
    <dxf>
      <border>
        <left/>
      </border>
    </dxf>
    <dxf>
      <border>
        <left/>
        <top/>
        <bottom/>
      </border>
    </dxf>
    <dxf>
      <border>
        <left/>
      </border>
    </dxf>
    <dxf>
      <border>
        <left/>
        <top/>
        <bottom/>
      </border>
    </dxf>
    <dxf>
      <border>
        <right/>
      </border>
    </dxf>
    <dxf>
      <border>
        <right/>
        <top/>
        <bottom/>
      </border>
    </dxf>
    <dxf>
      <border>
        <right/>
      </border>
    </dxf>
    <dxf>
      <border>
        <right/>
        <top/>
        <bottom/>
      </border>
    </dxf>
    <dxf>
      <border>
        <right/>
      </border>
    </dxf>
    <dxf>
      <border>
        <right/>
        <top/>
        <bottom/>
      </border>
    </dxf>
    <dxf>
      <font>
        <condense val="0"/>
        <extend val="0"/>
        <color indexed="9"/>
      </font>
    </dxf>
    <dxf>
      <border>
        <bottom/>
      </border>
    </dxf>
    <dxf>
      <font>
        <condense val="0"/>
        <extend val="0"/>
        <color indexed="46"/>
      </font>
    </dxf>
    <dxf>
      <border>
        <bottom/>
      </border>
    </dxf>
    <dxf>
      <border>
        <bottom/>
      </border>
    </dxf>
    <dxf>
      <font>
        <condense val="0"/>
        <extend val="0"/>
        <color indexed="46"/>
      </font>
    </dxf>
    <dxf>
      <border>
        <bottom/>
      </border>
    </dxf>
    <dxf>
      <border>
        <bottom/>
      </border>
    </dxf>
    <dxf>
      <font>
        <condense val="0"/>
        <extend val="0"/>
        <color indexed="46"/>
      </font>
    </dxf>
    <dxf>
      <border>
        <bottom/>
      </border>
    </dxf>
    <dxf>
      <font>
        <condense val="0"/>
        <extend val="0"/>
        <color indexed="23"/>
      </font>
    </dxf>
    <dxf>
      <font>
        <condense val="0"/>
        <extend val="0"/>
        <color indexed="23"/>
      </font>
    </dxf>
    <dxf>
      <font>
        <condense val="0"/>
        <extend val="0"/>
        <color indexed="23"/>
      </font>
    </dxf>
    <dxf>
      <font>
        <condense val="0"/>
        <extend val="0"/>
        <color indexed="9"/>
      </font>
    </dxf>
    <dxf>
      <font>
        <condense val="0"/>
        <extend val="0"/>
        <color indexed="9"/>
      </font>
    </dxf>
    <dxf>
      <font>
        <condense val="0"/>
        <extend val="0"/>
        <color indexed="23"/>
      </font>
      <fill>
        <patternFill patternType="darkUp"/>
      </fill>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9"/>
      </font>
      <border>
        <left/>
        <right/>
        <top/>
      </border>
    </dxf>
    <dxf>
      <font>
        <condense val="0"/>
        <extend val="0"/>
        <color indexed="9"/>
      </font>
      <fill>
        <patternFill>
          <bgColor indexed="9"/>
        </patternFill>
      </fill>
      <border>
        <left/>
        <right/>
        <top/>
        <bottom/>
      </border>
    </dxf>
    <dxf>
      <border>
        <bottom style="thin">
          <color indexed="23"/>
        </bottom>
      </border>
    </dxf>
    <dxf>
      <border>
        <bottom style="thin">
          <color indexed="23"/>
        </bottom>
      </border>
    </dxf>
    <dxf>
      <font>
        <condense val="0"/>
        <extend val="0"/>
        <color indexed="23"/>
      </font>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9"/>
      </font>
    </dxf>
    <dxf>
      <font>
        <condense val="0"/>
        <extend val="0"/>
        <color indexed="9"/>
      </font>
    </dxf>
    <dxf>
      <font>
        <condense val="0"/>
        <extend val="0"/>
        <color indexed="9"/>
      </font>
      <border>
        <right/>
      </border>
    </dxf>
    <dxf>
      <font>
        <condense val="0"/>
        <extend val="0"/>
        <color indexed="10"/>
      </font>
    </dxf>
    <dxf>
      <font>
        <condense val="0"/>
        <extend val="0"/>
        <color indexed="23"/>
      </font>
    </dxf>
    <dxf>
      <font>
        <condense val="0"/>
        <extend val="0"/>
        <color indexed="46"/>
      </font>
    </dxf>
    <dxf>
      <font>
        <condense val="0"/>
        <extend val="0"/>
        <color indexed="9"/>
      </font>
    </dxf>
    <dxf>
      <font>
        <condense val="0"/>
        <extend val="0"/>
        <color indexed="46"/>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22"/>
      </font>
    </dxf>
    <dxf>
      <font>
        <condense val="0"/>
        <extend val="0"/>
        <color indexed="9"/>
      </font>
    </dxf>
    <dxf>
      <fill>
        <patternFill>
          <bgColor indexed="9"/>
        </patternFill>
      </fill>
      <border>
        <left/>
        <right/>
        <top/>
        <bottom/>
      </border>
    </dxf>
    <dxf>
      <border>
        <top/>
      </border>
    </dxf>
    <dxf>
      <font>
        <condense val="0"/>
        <extend val="0"/>
        <color indexed="9"/>
      </font>
    </dxf>
    <dxf>
      <font>
        <condense val="0"/>
        <extend val="0"/>
        <color indexed="23"/>
      </font>
      <fill>
        <patternFill patternType="darkUp"/>
      </fill>
    </dxf>
    <dxf>
      <font>
        <condense val="0"/>
        <extend val="0"/>
        <color indexed="10"/>
      </font>
    </dxf>
    <dxf>
      <font>
        <condense val="0"/>
        <extend val="0"/>
        <color indexed="9"/>
      </font>
      <fill>
        <patternFill>
          <bgColor indexed="9"/>
        </patternFill>
      </fill>
      <border>
        <left/>
        <right/>
        <top/>
        <bottom/>
      </border>
    </dxf>
    <dxf>
      <font>
        <condense val="0"/>
        <extend val="0"/>
        <color indexed="23"/>
      </font>
    </dxf>
    <dxf>
      <font>
        <condense val="0"/>
        <extend val="0"/>
        <color indexed="9"/>
      </font>
    </dxf>
    <dxf>
      <border>
        <left/>
      </border>
    </dxf>
    <dxf>
      <border>
        <left/>
        <right/>
        <top/>
        <bottom/>
      </border>
    </dxf>
    <dxf>
      <font>
        <condense val="0"/>
        <extend val="0"/>
        <color indexed="23"/>
      </font>
      <fill>
        <patternFill patternType="darkUp"/>
      </fill>
    </dxf>
    <dxf>
      <border>
        <left/>
        <right/>
        <top/>
        <bottom/>
      </border>
    </dxf>
    <dxf>
      <border>
        <left/>
        <right/>
        <top/>
        <bottom/>
      </border>
    </dxf>
    <dxf>
      <font>
        <condense val="0"/>
        <extend val="0"/>
        <color indexed="9"/>
      </font>
      <border>
        <left/>
        <right/>
        <top/>
        <bottom/>
      </border>
    </dxf>
    <dxf>
      <font>
        <condense val="0"/>
        <extend val="0"/>
        <color indexed="9"/>
      </font>
    </dxf>
    <dxf>
      <fill>
        <patternFill>
          <bgColor indexed="26"/>
        </patternFill>
      </fill>
      <border>
        <left style="thin">
          <color indexed="16"/>
        </left>
        <right style="thin">
          <color indexed="16"/>
        </right>
        <top style="thin">
          <color indexed="16"/>
        </top>
        <bottom style="thin">
          <color indexed="16"/>
        </bottom>
      </border>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ont>
        <condense val="0"/>
        <extend val="0"/>
        <color indexed="10"/>
      </font>
    </dxf>
    <dxf>
      <font>
        <condense val="0"/>
        <extend val="0"/>
        <color indexed="23"/>
      </font>
    </dxf>
    <dxf>
      <font>
        <condense val="0"/>
        <extend val="0"/>
        <color indexed="23"/>
      </font>
      <fill>
        <patternFill patternType="darkUp"/>
      </fill>
    </dxf>
    <dxf>
      <font>
        <condense val="0"/>
        <extend val="0"/>
        <color indexed="10"/>
      </font>
    </dxf>
    <dxf>
      <font>
        <condense val="0"/>
        <extend val="0"/>
        <color indexed="23"/>
      </font>
    </dxf>
    <dxf>
      <font>
        <condense val="0"/>
        <extend val="0"/>
        <color indexed="23"/>
      </font>
      <fill>
        <patternFill patternType="darkUp"/>
      </fill>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condense val="0"/>
        <extend val="0"/>
        <color indexed="26"/>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23"/>
      </font>
      <fill>
        <patternFill patternType="darkUp"/>
      </fill>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23"/>
      </font>
      <fill>
        <patternFill>
          <bgColor indexed="26"/>
        </patternFill>
      </fill>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10"/>
      </font>
      <border>
        <bottom/>
      </border>
    </dxf>
    <dxf>
      <border>
        <top/>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10"/>
      </font>
    </dxf>
    <dxf>
      <font>
        <condense val="0"/>
        <extend val="0"/>
        <color indexed="26"/>
      </font>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border>
        <left/>
        <right/>
        <top/>
        <bottom/>
      </border>
    </dxf>
    <dxf>
      <font>
        <condense val="0"/>
        <extend val="0"/>
        <color indexed="23"/>
      </font>
    </dxf>
    <dxf>
      <font>
        <condense val="0"/>
        <extend val="0"/>
        <color indexed="9"/>
      </font>
      <fill>
        <patternFill>
          <bgColor indexed="9"/>
        </patternFill>
      </fill>
      <border>
        <left/>
        <right/>
        <top/>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condense val="0"/>
        <extend val="0"/>
        <color indexed="23"/>
      </font>
      <fill>
        <patternFill patternType="darkUp"/>
      </fill>
    </dxf>
    <dxf>
      <border>
        <left/>
      </border>
    </dxf>
    <dxf>
      <border>
        <left/>
        <top/>
        <bottom/>
      </border>
    </dxf>
    <dxf>
      <border>
        <left/>
      </border>
    </dxf>
    <dxf>
      <border>
        <left/>
        <top/>
        <bottom/>
      </border>
    </dxf>
    <dxf>
      <border>
        <right/>
      </border>
    </dxf>
    <dxf>
      <border>
        <right/>
        <top/>
        <bottom/>
      </border>
    </dxf>
    <dxf>
      <border>
        <right/>
      </border>
    </dxf>
    <dxf>
      <border>
        <right/>
        <top/>
        <bottom/>
      </border>
    </dxf>
    <dxf>
      <border>
        <right/>
      </border>
    </dxf>
    <dxf>
      <border>
        <right/>
        <top/>
        <bottom/>
      </border>
    </dxf>
    <dxf>
      <font>
        <condense val="0"/>
        <extend val="0"/>
        <color indexed="9"/>
      </font>
    </dxf>
    <dxf>
      <border>
        <bottom/>
      </border>
    </dxf>
    <dxf>
      <font>
        <condense val="0"/>
        <extend val="0"/>
        <color indexed="46"/>
      </font>
    </dxf>
    <dxf>
      <border>
        <bottom/>
      </border>
    </dxf>
    <dxf>
      <border>
        <bottom/>
      </border>
    </dxf>
    <dxf>
      <font>
        <condense val="0"/>
        <extend val="0"/>
        <color indexed="46"/>
      </font>
    </dxf>
    <dxf>
      <border>
        <bottom/>
      </border>
    </dxf>
    <dxf>
      <border>
        <bottom/>
      </border>
    </dxf>
    <dxf>
      <font>
        <condense val="0"/>
        <extend val="0"/>
        <color indexed="46"/>
      </font>
    </dxf>
    <dxf>
      <border>
        <bottom/>
      </border>
    </dxf>
    <dxf>
      <font>
        <condense val="0"/>
        <extend val="0"/>
        <color indexed="23"/>
      </font>
    </dxf>
    <dxf>
      <font>
        <condense val="0"/>
        <extend val="0"/>
        <color indexed="23"/>
      </font>
    </dxf>
    <dxf>
      <font>
        <condense val="0"/>
        <extend val="0"/>
        <color indexed="23"/>
      </font>
    </dxf>
    <dxf>
      <font>
        <condense val="0"/>
        <extend val="0"/>
        <color indexed="9"/>
      </font>
    </dxf>
    <dxf>
      <font>
        <condense val="0"/>
        <extend val="0"/>
        <color indexed="9"/>
      </font>
    </dxf>
    <dxf>
      <font>
        <condense val="0"/>
        <extend val="0"/>
        <color indexed="23"/>
      </font>
      <fill>
        <patternFill patternType="darkUp"/>
      </fill>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9"/>
      </font>
      <border>
        <left/>
        <right/>
        <top/>
      </border>
    </dxf>
    <dxf>
      <font>
        <condense val="0"/>
        <extend val="0"/>
        <color indexed="9"/>
      </font>
      <fill>
        <patternFill>
          <bgColor indexed="9"/>
        </patternFill>
      </fill>
      <border>
        <left/>
        <right/>
        <top/>
        <bottom/>
      </border>
    </dxf>
    <dxf>
      <border>
        <bottom style="thin">
          <color indexed="23"/>
        </bottom>
      </border>
    </dxf>
    <dxf>
      <border>
        <bottom style="thin">
          <color indexed="23"/>
        </bottom>
      </border>
    </dxf>
    <dxf>
      <font>
        <condense val="0"/>
        <extend val="0"/>
        <color indexed="23"/>
      </font>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9"/>
      </font>
    </dxf>
    <dxf>
      <font>
        <condense val="0"/>
        <extend val="0"/>
        <color indexed="9"/>
      </font>
    </dxf>
    <dxf>
      <font>
        <condense val="0"/>
        <extend val="0"/>
        <color indexed="9"/>
      </font>
      <border>
        <right/>
      </border>
    </dxf>
    <dxf>
      <font>
        <condense val="0"/>
        <extend val="0"/>
        <color indexed="10"/>
      </font>
    </dxf>
    <dxf>
      <font>
        <condense val="0"/>
        <extend val="0"/>
        <color indexed="23"/>
      </font>
    </dxf>
    <dxf>
      <font>
        <condense val="0"/>
        <extend val="0"/>
        <color indexed="46"/>
      </font>
    </dxf>
    <dxf>
      <font>
        <condense val="0"/>
        <extend val="0"/>
        <color indexed="9"/>
      </font>
    </dxf>
    <dxf>
      <font>
        <condense val="0"/>
        <extend val="0"/>
        <color indexed="46"/>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22"/>
      </font>
    </dxf>
    <dxf>
      <font>
        <condense val="0"/>
        <extend val="0"/>
        <color indexed="9"/>
      </font>
    </dxf>
    <dxf>
      <fill>
        <patternFill>
          <bgColor indexed="9"/>
        </patternFill>
      </fill>
      <border>
        <left/>
        <right/>
        <top/>
        <bottom/>
      </border>
    </dxf>
    <dxf>
      <border>
        <top/>
      </border>
    </dxf>
    <dxf>
      <font>
        <condense val="0"/>
        <extend val="0"/>
        <color indexed="9"/>
      </font>
    </dxf>
    <dxf>
      <font>
        <condense val="0"/>
        <extend val="0"/>
        <color indexed="23"/>
      </font>
      <fill>
        <patternFill patternType="darkUp"/>
      </fill>
    </dxf>
    <dxf>
      <font>
        <condense val="0"/>
        <extend val="0"/>
        <color indexed="10"/>
      </font>
    </dxf>
    <dxf>
      <font>
        <condense val="0"/>
        <extend val="0"/>
        <color indexed="9"/>
      </font>
      <fill>
        <patternFill>
          <bgColor indexed="9"/>
        </patternFill>
      </fill>
      <border>
        <left/>
        <right/>
        <top/>
        <bottom/>
      </border>
    </dxf>
    <dxf>
      <font>
        <condense val="0"/>
        <extend val="0"/>
        <color indexed="23"/>
      </font>
    </dxf>
    <dxf>
      <font>
        <condense val="0"/>
        <extend val="0"/>
        <color indexed="9"/>
      </font>
    </dxf>
    <dxf>
      <border>
        <left/>
      </border>
    </dxf>
    <dxf>
      <border>
        <left/>
        <right/>
        <top/>
        <bottom/>
      </border>
    </dxf>
    <dxf>
      <font>
        <condense val="0"/>
        <extend val="0"/>
        <color indexed="23"/>
      </font>
      <fill>
        <patternFill patternType="darkUp"/>
      </fill>
    </dxf>
    <dxf>
      <border>
        <left/>
        <right/>
        <top/>
        <bottom/>
      </border>
    </dxf>
    <dxf>
      <border>
        <left/>
        <right/>
        <top/>
        <bottom/>
      </border>
    </dxf>
    <dxf>
      <font>
        <condense val="0"/>
        <extend val="0"/>
        <color indexed="9"/>
      </font>
      <border>
        <left/>
        <right/>
        <top/>
        <bottom/>
      </border>
    </dxf>
    <dxf>
      <font>
        <condense val="0"/>
        <extend val="0"/>
        <color indexed="9"/>
      </font>
    </dxf>
    <dxf>
      <fill>
        <patternFill>
          <bgColor indexed="26"/>
        </patternFill>
      </fill>
      <border>
        <left style="thin">
          <color indexed="16"/>
        </left>
        <right style="thin">
          <color indexed="16"/>
        </right>
        <top style="thin">
          <color indexed="16"/>
        </top>
        <bottom style="thin">
          <color indexed="16"/>
        </bottom>
      </border>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ont>
        <condense val="0"/>
        <extend val="0"/>
        <color indexed="10"/>
      </font>
    </dxf>
    <dxf>
      <font>
        <condense val="0"/>
        <extend val="0"/>
        <color indexed="23"/>
      </font>
    </dxf>
    <dxf>
      <font>
        <condense val="0"/>
        <extend val="0"/>
        <color indexed="23"/>
      </font>
      <fill>
        <patternFill patternType="darkUp"/>
      </fill>
    </dxf>
    <dxf>
      <font>
        <condense val="0"/>
        <extend val="0"/>
        <color indexed="10"/>
      </font>
    </dxf>
    <dxf>
      <font>
        <condense val="0"/>
        <extend val="0"/>
        <color indexed="23"/>
      </font>
    </dxf>
    <dxf>
      <font>
        <condense val="0"/>
        <extend val="0"/>
        <color indexed="23"/>
      </font>
      <fill>
        <patternFill patternType="darkUp"/>
      </fill>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condense val="0"/>
        <extend val="0"/>
        <color indexed="26"/>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23"/>
      </font>
      <fill>
        <patternFill patternType="darkUp"/>
      </fill>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23"/>
      </font>
      <fill>
        <patternFill>
          <bgColor indexed="26"/>
        </patternFill>
      </fill>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10"/>
      </font>
      <border>
        <bottom/>
      </border>
    </dxf>
    <dxf>
      <border>
        <top/>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10"/>
      </font>
    </dxf>
    <dxf>
      <font>
        <condense val="0"/>
        <extend val="0"/>
        <color indexed="26"/>
      </font>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border>
        <left/>
        <right/>
        <top/>
        <bottom/>
      </border>
    </dxf>
    <dxf>
      <font>
        <condense val="0"/>
        <extend val="0"/>
        <color indexed="23"/>
      </font>
    </dxf>
    <dxf>
      <font>
        <condense val="0"/>
        <extend val="0"/>
        <color indexed="9"/>
      </font>
      <fill>
        <patternFill>
          <bgColor indexed="9"/>
        </patternFill>
      </fill>
      <border>
        <left/>
        <right/>
        <top/>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condense val="0"/>
        <extend val="0"/>
        <color indexed="23"/>
      </font>
      <fill>
        <patternFill patternType="darkUp"/>
      </fill>
    </dxf>
    <dxf>
      <border>
        <left/>
      </border>
    </dxf>
    <dxf>
      <border>
        <left/>
        <top/>
        <bottom/>
      </border>
    </dxf>
    <dxf>
      <border>
        <left/>
      </border>
    </dxf>
    <dxf>
      <border>
        <left/>
        <top/>
        <bottom/>
      </border>
    </dxf>
    <dxf>
      <border>
        <right/>
      </border>
    </dxf>
    <dxf>
      <border>
        <right/>
        <top/>
        <bottom/>
      </border>
    </dxf>
    <dxf>
      <border>
        <right/>
      </border>
    </dxf>
    <dxf>
      <border>
        <right/>
        <top/>
        <bottom/>
      </border>
    </dxf>
    <dxf>
      <border>
        <right/>
      </border>
    </dxf>
    <dxf>
      <border>
        <right/>
        <top/>
        <bottom/>
      </border>
    </dxf>
    <dxf>
      <font>
        <condense val="0"/>
        <extend val="0"/>
        <color indexed="9"/>
      </font>
    </dxf>
    <dxf>
      <border>
        <bottom/>
      </border>
    </dxf>
    <dxf>
      <font>
        <condense val="0"/>
        <extend val="0"/>
        <color indexed="46"/>
      </font>
    </dxf>
    <dxf>
      <border>
        <bottom/>
      </border>
    </dxf>
    <dxf>
      <border>
        <bottom/>
      </border>
    </dxf>
    <dxf>
      <font>
        <condense val="0"/>
        <extend val="0"/>
        <color indexed="46"/>
      </font>
    </dxf>
    <dxf>
      <border>
        <bottom/>
      </border>
    </dxf>
    <dxf>
      <border>
        <bottom/>
      </border>
    </dxf>
    <dxf>
      <font>
        <condense val="0"/>
        <extend val="0"/>
        <color indexed="46"/>
      </font>
    </dxf>
    <dxf>
      <border>
        <bottom/>
      </border>
    </dxf>
    <dxf>
      <font>
        <condense val="0"/>
        <extend val="0"/>
        <color indexed="23"/>
      </font>
    </dxf>
    <dxf>
      <font>
        <condense val="0"/>
        <extend val="0"/>
        <color indexed="23"/>
      </font>
    </dxf>
    <dxf>
      <font>
        <condense val="0"/>
        <extend val="0"/>
        <color indexed="23"/>
      </font>
    </dxf>
    <dxf>
      <font>
        <condense val="0"/>
        <extend val="0"/>
        <color indexed="9"/>
      </font>
    </dxf>
    <dxf>
      <font>
        <condense val="0"/>
        <extend val="0"/>
        <color indexed="9"/>
      </font>
    </dxf>
    <dxf>
      <font>
        <condense val="0"/>
        <extend val="0"/>
        <color indexed="23"/>
      </font>
      <fill>
        <patternFill patternType="darkUp"/>
      </fill>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9"/>
      </font>
      <border>
        <left/>
        <right/>
        <top/>
      </border>
    </dxf>
    <dxf>
      <font>
        <condense val="0"/>
        <extend val="0"/>
        <color indexed="9"/>
      </font>
      <fill>
        <patternFill>
          <bgColor indexed="9"/>
        </patternFill>
      </fill>
      <border>
        <left/>
        <right/>
        <top/>
        <bottom/>
      </border>
    </dxf>
    <dxf>
      <border>
        <bottom style="thin">
          <color indexed="23"/>
        </bottom>
      </border>
    </dxf>
    <dxf>
      <border>
        <bottom style="thin">
          <color indexed="23"/>
        </bottom>
      </border>
    </dxf>
    <dxf>
      <font>
        <condense val="0"/>
        <extend val="0"/>
        <color indexed="23"/>
      </font>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9"/>
      </font>
    </dxf>
    <dxf>
      <font>
        <condense val="0"/>
        <extend val="0"/>
        <color indexed="9"/>
      </font>
    </dxf>
    <dxf>
      <font>
        <condense val="0"/>
        <extend val="0"/>
        <color indexed="9"/>
      </font>
      <border>
        <right/>
      </border>
    </dxf>
    <dxf>
      <font>
        <condense val="0"/>
        <extend val="0"/>
        <color indexed="10"/>
      </font>
    </dxf>
    <dxf>
      <font>
        <condense val="0"/>
        <extend val="0"/>
        <color indexed="23"/>
      </font>
    </dxf>
    <dxf>
      <font>
        <condense val="0"/>
        <extend val="0"/>
        <color indexed="46"/>
      </font>
    </dxf>
    <dxf>
      <font>
        <condense val="0"/>
        <extend val="0"/>
        <color indexed="9"/>
      </font>
    </dxf>
    <dxf>
      <font>
        <condense val="0"/>
        <extend val="0"/>
        <color indexed="46"/>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22"/>
      </font>
    </dxf>
    <dxf>
      <font>
        <condense val="0"/>
        <extend val="0"/>
        <color indexed="9"/>
      </font>
    </dxf>
    <dxf>
      <fill>
        <patternFill>
          <bgColor indexed="9"/>
        </patternFill>
      </fill>
      <border>
        <left/>
        <right/>
        <top/>
        <bottom/>
      </border>
    </dxf>
    <dxf>
      <border>
        <top/>
      </border>
    </dxf>
    <dxf>
      <font>
        <condense val="0"/>
        <extend val="0"/>
        <color indexed="9"/>
      </font>
    </dxf>
    <dxf>
      <font>
        <condense val="0"/>
        <extend val="0"/>
        <color indexed="23"/>
      </font>
      <fill>
        <patternFill patternType="darkUp"/>
      </fill>
    </dxf>
    <dxf>
      <font>
        <condense val="0"/>
        <extend val="0"/>
        <color indexed="10"/>
      </font>
    </dxf>
    <dxf>
      <font>
        <condense val="0"/>
        <extend val="0"/>
        <color indexed="9"/>
      </font>
      <fill>
        <patternFill>
          <bgColor indexed="9"/>
        </patternFill>
      </fill>
      <border>
        <left/>
        <right/>
        <top/>
        <bottom/>
      </border>
    </dxf>
    <dxf>
      <font>
        <condense val="0"/>
        <extend val="0"/>
        <color indexed="23"/>
      </font>
    </dxf>
    <dxf>
      <font>
        <condense val="0"/>
        <extend val="0"/>
        <color indexed="9"/>
      </font>
    </dxf>
    <dxf>
      <border>
        <left/>
      </border>
    </dxf>
    <dxf>
      <border>
        <left/>
        <right/>
        <top/>
        <bottom/>
      </border>
    </dxf>
    <dxf>
      <font>
        <condense val="0"/>
        <extend val="0"/>
        <color indexed="23"/>
      </font>
      <fill>
        <patternFill patternType="darkUp"/>
      </fill>
    </dxf>
    <dxf>
      <border>
        <left/>
        <right/>
        <top/>
        <bottom/>
      </border>
    </dxf>
    <dxf>
      <border>
        <left/>
        <right/>
        <top/>
        <bottom/>
      </border>
    </dxf>
    <dxf>
      <font>
        <condense val="0"/>
        <extend val="0"/>
        <color indexed="9"/>
      </font>
      <border>
        <left/>
        <right/>
        <top/>
        <bottom/>
      </border>
    </dxf>
    <dxf>
      <font>
        <condense val="0"/>
        <extend val="0"/>
        <color indexed="9"/>
      </font>
    </dxf>
    <dxf>
      <fill>
        <patternFill>
          <bgColor indexed="26"/>
        </patternFill>
      </fill>
      <border>
        <left style="thin">
          <color indexed="16"/>
        </left>
        <right style="thin">
          <color indexed="16"/>
        </right>
        <top style="thin">
          <color indexed="16"/>
        </top>
        <bottom style="thin">
          <color indexed="16"/>
        </bottom>
      </border>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ont>
        <condense val="0"/>
        <extend val="0"/>
        <color indexed="10"/>
      </font>
    </dxf>
    <dxf>
      <font>
        <condense val="0"/>
        <extend val="0"/>
        <color indexed="23"/>
      </font>
    </dxf>
    <dxf>
      <font>
        <condense val="0"/>
        <extend val="0"/>
        <color indexed="23"/>
      </font>
      <fill>
        <patternFill patternType="darkUp"/>
      </fill>
    </dxf>
    <dxf>
      <font>
        <condense val="0"/>
        <extend val="0"/>
        <color indexed="10"/>
      </font>
    </dxf>
    <dxf>
      <font>
        <condense val="0"/>
        <extend val="0"/>
        <color indexed="23"/>
      </font>
    </dxf>
    <dxf>
      <font>
        <condense val="0"/>
        <extend val="0"/>
        <color indexed="23"/>
      </font>
      <fill>
        <patternFill patternType="darkUp"/>
      </fill>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condense val="0"/>
        <extend val="0"/>
        <color indexed="26"/>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23"/>
      </font>
      <fill>
        <patternFill patternType="darkUp"/>
      </fill>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23"/>
      </font>
      <fill>
        <patternFill>
          <bgColor indexed="26"/>
        </patternFill>
      </fill>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10"/>
      </font>
      <border>
        <bottom/>
      </border>
    </dxf>
    <dxf>
      <border>
        <top/>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10"/>
      </font>
    </dxf>
    <dxf>
      <font>
        <condense val="0"/>
        <extend val="0"/>
        <color indexed="26"/>
      </font>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border>
        <left/>
        <right/>
        <top/>
        <bottom/>
      </border>
    </dxf>
    <dxf>
      <font>
        <condense val="0"/>
        <extend val="0"/>
        <color indexed="23"/>
      </font>
    </dxf>
    <dxf>
      <font>
        <condense val="0"/>
        <extend val="0"/>
        <color indexed="9"/>
      </font>
      <fill>
        <patternFill>
          <bgColor indexed="9"/>
        </patternFill>
      </fill>
      <border>
        <left/>
        <right/>
        <top/>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condense val="0"/>
        <extend val="0"/>
        <color indexed="23"/>
      </font>
      <fill>
        <patternFill patternType="darkUp"/>
      </fill>
    </dxf>
    <dxf>
      <border>
        <left/>
      </border>
    </dxf>
    <dxf>
      <border>
        <left/>
        <top/>
        <bottom/>
      </border>
    </dxf>
    <dxf>
      <border>
        <left/>
      </border>
    </dxf>
    <dxf>
      <border>
        <left/>
        <top/>
        <bottom/>
      </border>
    </dxf>
    <dxf>
      <border>
        <right/>
      </border>
    </dxf>
    <dxf>
      <border>
        <right/>
        <top/>
        <bottom/>
      </border>
    </dxf>
    <dxf>
      <border>
        <right/>
      </border>
    </dxf>
    <dxf>
      <border>
        <right/>
        <top/>
        <bottom/>
      </border>
    </dxf>
    <dxf>
      <border>
        <right/>
      </border>
    </dxf>
    <dxf>
      <border>
        <right/>
        <top/>
        <bottom/>
      </border>
    </dxf>
    <dxf>
      <font>
        <condense val="0"/>
        <extend val="0"/>
        <color indexed="9"/>
      </font>
    </dxf>
    <dxf>
      <border>
        <bottom/>
      </border>
    </dxf>
    <dxf>
      <font>
        <condense val="0"/>
        <extend val="0"/>
        <color indexed="46"/>
      </font>
    </dxf>
    <dxf>
      <border>
        <bottom/>
      </border>
    </dxf>
    <dxf>
      <border>
        <bottom/>
      </border>
    </dxf>
    <dxf>
      <font>
        <condense val="0"/>
        <extend val="0"/>
        <color indexed="46"/>
      </font>
    </dxf>
    <dxf>
      <border>
        <bottom/>
      </border>
    </dxf>
    <dxf>
      <border>
        <bottom/>
      </border>
    </dxf>
    <dxf>
      <font>
        <condense val="0"/>
        <extend val="0"/>
        <color indexed="46"/>
      </font>
    </dxf>
    <dxf>
      <border>
        <bottom/>
      </border>
    </dxf>
    <dxf>
      <font>
        <condense val="0"/>
        <extend val="0"/>
        <color indexed="23"/>
      </font>
    </dxf>
    <dxf>
      <font>
        <condense val="0"/>
        <extend val="0"/>
        <color indexed="23"/>
      </font>
    </dxf>
    <dxf>
      <font>
        <condense val="0"/>
        <extend val="0"/>
        <color indexed="23"/>
      </font>
    </dxf>
    <dxf>
      <font>
        <condense val="0"/>
        <extend val="0"/>
        <color indexed="9"/>
      </font>
    </dxf>
    <dxf>
      <font>
        <condense val="0"/>
        <extend val="0"/>
        <color indexed="9"/>
      </font>
    </dxf>
    <dxf>
      <font>
        <condense val="0"/>
        <extend val="0"/>
        <color indexed="23"/>
      </font>
      <fill>
        <patternFill patternType="darkUp"/>
      </fill>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9"/>
      </font>
      <border>
        <left/>
        <right/>
        <top/>
      </border>
    </dxf>
    <dxf>
      <font>
        <condense val="0"/>
        <extend val="0"/>
        <color indexed="9"/>
      </font>
      <fill>
        <patternFill>
          <bgColor indexed="9"/>
        </patternFill>
      </fill>
      <border>
        <left/>
        <right/>
        <top/>
        <bottom/>
      </border>
    </dxf>
    <dxf>
      <border>
        <bottom style="thin">
          <color indexed="23"/>
        </bottom>
      </border>
    </dxf>
    <dxf>
      <border>
        <bottom style="thin">
          <color indexed="23"/>
        </bottom>
      </border>
    </dxf>
    <dxf>
      <font>
        <condense val="0"/>
        <extend val="0"/>
        <color indexed="23"/>
      </font>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9"/>
      </font>
    </dxf>
    <dxf>
      <font>
        <condense val="0"/>
        <extend val="0"/>
        <color indexed="9"/>
      </font>
    </dxf>
    <dxf>
      <font>
        <condense val="0"/>
        <extend val="0"/>
        <color indexed="9"/>
      </font>
      <border>
        <right/>
      </border>
    </dxf>
    <dxf>
      <font>
        <condense val="0"/>
        <extend val="0"/>
        <color indexed="10"/>
      </font>
    </dxf>
    <dxf>
      <font>
        <condense val="0"/>
        <extend val="0"/>
        <color indexed="23"/>
      </font>
    </dxf>
    <dxf>
      <font>
        <condense val="0"/>
        <extend val="0"/>
        <color indexed="46"/>
      </font>
    </dxf>
    <dxf>
      <font>
        <condense val="0"/>
        <extend val="0"/>
        <color indexed="9"/>
      </font>
    </dxf>
    <dxf>
      <font>
        <condense val="0"/>
        <extend val="0"/>
        <color indexed="46"/>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22"/>
      </font>
    </dxf>
    <dxf>
      <font>
        <condense val="0"/>
        <extend val="0"/>
        <color indexed="9"/>
      </font>
    </dxf>
    <dxf>
      <fill>
        <patternFill>
          <bgColor indexed="9"/>
        </patternFill>
      </fill>
      <border>
        <left/>
        <right/>
        <top/>
        <bottom/>
      </border>
    </dxf>
    <dxf>
      <border>
        <top/>
      </border>
    </dxf>
    <dxf>
      <font>
        <condense val="0"/>
        <extend val="0"/>
        <color indexed="9"/>
      </font>
    </dxf>
    <dxf>
      <font>
        <condense val="0"/>
        <extend val="0"/>
        <color indexed="23"/>
      </font>
      <fill>
        <patternFill patternType="darkUp"/>
      </fill>
    </dxf>
    <dxf>
      <font>
        <condense val="0"/>
        <extend val="0"/>
        <color indexed="10"/>
      </font>
    </dxf>
    <dxf>
      <font>
        <condense val="0"/>
        <extend val="0"/>
        <color indexed="9"/>
      </font>
      <fill>
        <patternFill>
          <bgColor indexed="9"/>
        </patternFill>
      </fill>
      <border>
        <left/>
        <right/>
        <top/>
        <bottom/>
      </border>
    </dxf>
    <dxf>
      <font>
        <condense val="0"/>
        <extend val="0"/>
        <color indexed="23"/>
      </font>
    </dxf>
    <dxf>
      <font>
        <condense val="0"/>
        <extend val="0"/>
        <color indexed="9"/>
      </font>
    </dxf>
    <dxf>
      <border>
        <left/>
      </border>
    </dxf>
    <dxf>
      <border>
        <left/>
        <right/>
        <top/>
        <bottom/>
      </border>
    </dxf>
    <dxf>
      <font>
        <condense val="0"/>
        <extend val="0"/>
        <color indexed="23"/>
      </font>
      <fill>
        <patternFill patternType="darkUp"/>
      </fill>
    </dxf>
    <dxf>
      <border>
        <left/>
        <right/>
        <top/>
        <bottom/>
      </border>
    </dxf>
    <dxf>
      <border>
        <left/>
        <right/>
        <top/>
        <bottom/>
      </border>
    </dxf>
    <dxf>
      <font>
        <condense val="0"/>
        <extend val="0"/>
        <color indexed="9"/>
      </font>
      <border>
        <left/>
        <right/>
        <top/>
        <bottom/>
      </border>
    </dxf>
    <dxf>
      <font>
        <condense val="0"/>
        <extend val="0"/>
        <color indexed="9"/>
      </font>
    </dxf>
    <dxf>
      <fill>
        <patternFill>
          <bgColor indexed="26"/>
        </patternFill>
      </fill>
      <border>
        <left style="thin">
          <color indexed="16"/>
        </left>
        <right style="thin">
          <color indexed="16"/>
        </right>
        <top style="thin">
          <color indexed="16"/>
        </top>
        <bottom style="thin">
          <color indexed="16"/>
        </bottom>
      </border>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ont>
        <condense val="0"/>
        <extend val="0"/>
        <color indexed="10"/>
      </font>
    </dxf>
    <dxf>
      <font>
        <condense val="0"/>
        <extend val="0"/>
        <color indexed="23"/>
      </font>
    </dxf>
    <dxf>
      <font>
        <condense val="0"/>
        <extend val="0"/>
        <color indexed="23"/>
      </font>
      <fill>
        <patternFill patternType="darkUp"/>
      </fill>
    </dxf>
    <dxf>
      <font>
        <condense val="0"/>
        <extend val="0"/>
        <color indexed="10"/>
      </font>
    </dxf>
    <dxf>
      <font>
        <condense val="0"/>
        <extend val="0"/>
        <color indexed="23"/>
      </font>
    </dxf>
    <dxf>
      <font>
        <condense val="0"/>
        <extend val="0"/>
        <color indexed="23"/>
      </font>
      <fill>
        <patternFill patternType="darkUp"/>
      </fill>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condense val="0"/>
        <extend val="0"/>
        <color indexed="26"/>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23"/>
      </font>
      <fill>
        <patternFill patternType="darkUp"/>
      </fill>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23"/>
      </font>
      <fill>
        <patternFill>
          <bgColor indexed="26"/>
        </patternFill>
      </fill>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10"/>
      </font>
      <border>
        <bottom/>
      </border>
    </dxf>
    <dxf>
      <border>
        <top/>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10"/>
      </font>
    </dxf>
    <dxf>
      <font>
        <condense val="0"/>
        <extend val="0"/>
        <color indexed="26"/>
      </font>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border>
        <left/>
        <right/>
        <top/>
        <bottom/>
      </border>
    </dxf>
    <dxf>
      <font>
        <condense val="0"/>
        <extend val="0"/>
        <color indexed="23"/>
      </font>
    </dxf>
    <dxf>
      <font>
        <condense val="0"/>
        <extend val="0"/>
        <color indexed="9"/>
      </font>
      <fill>
        <patternFill>
          <bgColor indexed="9"/>
        </patternFill>
      </fill>
      <border>
        <left/>
        <right/>
        <top/>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condense val="0"/>
        <extend val="0"/>
        <color indexed="23"/>
      </font>
      <fill>
        <patternFill patternType="darkUp"/>
      </fill>
    </dxf>
    <dxf>
      <border>
        <left/>
      </border>
    </dxf>
    <dxf>
      <border>
        <left/>
        <top/>
        <bottom/>
      </border>
    </dxf>
    <dxf>
      <border>
        <left/>
      </border>
    </dxf>
    <dxf>
      <border>
        <left/>
        <top/>
        <bottom/>
      </border>
    </dxf>
    <dxf>
      <border>
        <right/>
      </border>
    </dxf>
    <dxf>
      <border>
        <right/>
        <top/>
        <bottom/>
      </border>
    </dxf>
    <dxf>
      <border>
        <right/>
      </border>
    </dxf>
    <dxf>
      <border>
        <right/>
        <top/>
        <bottom/>
      </border>
    </dxf>
    <dxf>
      <border>
        <right/>
      </border>
    </dxf>
    <dxf>
      <border>
        <right/>
        <top/>
        <bottom/>
      </border>
    </dxf>
    <dxf>
      <font>
        <condense val="0"/>
        <extend val="0"/>
        <color indexed="9"/>
      </font>
    </dxf>
    <dxf>
      <border>
        <bottom/>
      </border>
    </dxf>
    <dxf>
      <font>
        <condense val="0"/>
        <extend val="0"/>
        <color indexed="46"/>
      </font>
    </dxf>
    <dxf>
      <border>
        <bottom/>
      </border>
    </dxf>
    <dxf>
      <border>
        <bottom/>
      </border>
    </dxf>
    <dxf>
      <font>
        <condense val="0"/>
        <extend val="0"/>
        <color indexed="46"/>
      </font>
    </dxf>
    <dxf>
      <border>
        <bottom/>
      </border>
    </dxf>
    <dxf>
      <border>
        <bottom/>
      </border>
    </dxf>
    <dxf>
      <font>
        <condense val="0"/>
        <extend val="0"/>
        <color indexed="46"/>
      </font>
    </dxf>
    <dxf>
      <border>
        <bottom/>
      </border>
    </dxf>
    <dxf>
      <font>
        <condense val="0"/>
        <extend val="0"/>
        <color indexed="23"/>
      </font>
    </dxf>
    <dxf>
      <font>
        <condense val="0"/>
        <extend val="0"/>
        <color indexed="23"/>
      </font>
    </dxf>
    <dxf>
      <font>
        <condense val="0"/>
        <extend val="0"/>
        <color indexed="23"/>
      </font>
    </dxf>
    <dxf>
      <font>
        <condense val="0"/>
        <extend val="0"/>
        <color indexed="9"/>
      </font>
    </dxf>
    <dxf>
      <font>
        <condense val="0"/>
        <extend val="0"/>
        <color indexed="9"/>
      </font>
    </dxf>
    <dxf>
      <font>
        <condense val="0"/>
        <extend val="0"/>
        <color indexed="23"/>
      </font>
      <fill>
        <patternFill patternType="darkUp"/>
      </fill>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9"/>
      </font>
      <border>
        <left/>
        <right/>
        <top/>
      </border>
    </dxf>
    <dxf>
      <font>
        <condense val="0"/>
        <extend val="0"/>
        <color indexed="9"/>
      </font>
      <fill>
        <patternFill>
          <bgColor indexed="9"/>
        </patternFill>
      </fill>
      <border>
        <left/>
        <right/>
        <top/>
        <bottom/>
      </border>
    </dxf>
    <dxf>
      <border>
        <bottom style="thin">
          <color indexed="23"/>
        </bottom>
      </border>
    </dxf>
    <dxf>
      <border>
        <bottom style="thin">
          <color indexed="23"/>
        </bottom>
      </border>
    </dxf>
    <dxf>
      <font>
        <condense val="0"/>
        <extend val="0"/>
        <color indexed="23"/>
      </font>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9"/>
      </font>
    </dxf>
    <dxf>
      <font>
        <condense val="0"/>
        <extend val="0"/>
        <color indexed="9"/>
      </font>
    </dxf>
    <dxf>
      <font>
        <condense val="0"/>
        <extend val="0"/>
        <color indexed="9"/>
      </font>
      <border>
        <right/>
      </border>
    </dxf>
    <dxf>
      <font>
        <condense val="0"/>
        <extend val="0"/>
        <color indexed="10"/>
      </font>
    </dxf>
    <dxf>
      <font>
        <condense val="0"/>
        <extend val="0"/>
        <color indexed="23"/>
      </font>
    </dxf>
    <dxf>
      <font>
        <condense val="0"/>
        <extend val="0"/>
        <color indexed="46"/>
      </font>
    </dxf>
    <dxf>
      <font>
        <condense val="0"/>
        <extend val="0"/>
        <color indexed="9"/>
      </font>
    </dxf>
    <dxf>
      <font>
        <condense val="0"/>
        <extend val="0"/>
        <color indexed="46"/>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22"/>
      </font>
    </dxf>
    <dxf>
      <font>
        <condense val="0"/>
        <extend val="0"/>
        <color indexed="9"/>
      </font>
    </dxf>
    <dxf>
      <fill>
        <patternFill>
          <bgColor indexed="9"/>
        </patternFill>
      </fill>
      <border>
        <left/>
        <right/>
        <top/>
        <bottom/>
      </border>
    </dxf>
    <dxf>
      <border>
        <top/>
      </border>
    </dxf>
    <dxf>
      <font>
        <condense val="0"/>
        <extend val="0"/>
        <color indexed="9"/>
      </font>
    </dxf>
    <dxf>
      <font>
        <condense val="0"/>
        <extend val="0"/>
        <color indexed="23"/>
      </font>
      <fill>
        <patternFill patternType="darkUp"/>
      </fill>
    </dxf>
    <dxf>
      <font>
        <condense val="0"/>
        <extend val="0"/>
        <color indexed="10"/>
      </font>
    </dxf>
    <dxf>
      <font>
        <condense val="0"/>
        <extend val="0"/>
        <color indexed="9"/>
      </font>
      <fill>
        <patternFill>
          <bgColor indexed="9"/>
        </patternFill>
      </fill>
      <border>
        <left/>
        <right/>
        <top/>
        <bottom/>
      </border>
    </dxf>
    <dxf>
      <font>
        <condense val="0"/>
        <extend val="0"/>
        <color indexed="23"/>
      </font>
    </dxf>
    <dxf>
      <font>
        <condense val="0"/>
        <extend val="0"/>
        <color indexed="9"/>
      </font>
    </dxf>
    <dxf>
      <border>
        <left/>
      </border>
    </dxf>
    <dxf>
      <border>
        <left/>
        <right/>
        <top/>
        <bottom/>
      </border>
    </dxf>
    <dxf>
      <font>
        <condense val="0"/>
        <extend val="0"/>
        <color indexed="23"/>
      </font>
      <fill>
        <patternFill patternType="darkUp"/>
      </fill>
    </dxf>
    <dxf>
      <border>
        <left/>
        <right/>
        <top/>
        <bottom/>
      </border>
    </dxf>
    <dxf>
      <border>
        <left/>
        <right/>
        <top/>
        <bottom/>
      </border>
    </dxf>
    <dxf>
      <font>
        <condense val="0"/>
        <extend val="0"/>
        <color indexed="9"/>
      </font>
      <border>
        <left/>
        <right/>
        <top/>
        <bottom/>
      </border>
    </dxf>
    <dxf>
      <font>
        <condense val="0"/>
        <extend val="0"/>
        <color indexed="9"/>
      </font>
    </dxf>
    <dxf>
      <fill>
        <patternFill>
          <bgColor indexed="26"/>
        </patternFill>
      </fill>
      <border>
        <left style="thin">
          <color indexed="16"/>
        </left>
        <right style="thin">
          <color indexed="16"/>
        </right>
        <top style="thin">
          <color indexed="16"/>
        </top>
        <bottom style="thin">
          <color indexed="16"/>
        </bottom>
      </border>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auto="1"/>
      </font>
      <fill>
        <patternFill>
          <bgColor indexed="46"/>
        </patternFill>
      </fill>
      <border>
        <top style="thin">
          <color indexed="23"/>
        </top>
        <bottom style="hair">
          <color indexed="23"/>
        </bottom>
      </border>
    </dxf>
    <dxf>
      <fill>
        <patternFill>
          <bgColor indexed="46"/>
        </patternFill>
      </fill>
    </dxf>
    <dxf>
      <font>
        <condense val="0"/>
        <extend val="0"/>
        <color indexed="23"/>
      </font>
      <fill>
        <patternFill>
          <bgColor indexed="26"/>
        </patternFill>
      </fill>
    </dxf>
    <dxf>
      <font>
        <condense val="0"/>
        <extend val="0"/>
        <color indexed="10"/>
      </font>
    </dxf>
    <dxf>
      <font>
        <condense val="0"/>
        <extend val="0"/>
        <color indexed="23"/>
      </font>
    </dxf>
    <dxf>
      <font>
        <condense val="0"/>
        <extend val="0"/>
        <color indexed="23"/>
      </font>
      <fill>
        <patternFill patternType="darkUp"/>
      </fill>
    </dxf>
    <dxf>
      <font>
        <condense val="0"/>
        <extend val="0"/>
        <color indexed="10"/>
      </font>
    </dxf>
    <dxf>
      <font>
        <condense val="0"/>
        <extend val="0"/>
        <color indexed="23"/>
      </font>
    </dxf>
    <dxf>
      <font>
        <condense val="0"/>
        <extend val="0"/>
        <color indexed="23"/>
      </font>
      <fill>
        <patternFill patternType="darkUp"/>
      </fill>
    </dxf>
    <dxf>
      <border>
        <top style="thin">
          <color indexed="23"/>
        </top>
      </border>
    </dxf>
    <dxf>
      <fill>
        <patternFill>
          <bgColor indexed="9"/>
        </patternFill>
      </fill>
    </dxf>
    <dxf>
      <font>
        <condense val="0"/>
        <extend val="0"/>
        <color indexed="8"/>
      </font>
      <border>
        <left style="hair">
          <color indexed="23"/>
        </left>
      </border>
    </dxf>
    <dxf>
      <border>
        <top style="thin">
          <color indexed="23"/>
        </top>
        <bottom style="hair">
          <color indexed="23"/>
        </bottom>
      </border>
    </dxf>
    <dxf>
      <fill>
        <patternFill>
          <bgColor indexed="9"/>
        </patternFill>
      </fill>
    </dxf>
    <dxf>
      <font>
        <condense val="0"/>
        <extend val="0"/>
        <color indexed="8"/>
      </font>
      <border>
        <left style="hair">
          <color indexed="23"/>
        </left>
      </border>
    </dxf>
    <dxf>
      <border>
        <top style="thin">
          <color indexed="23"/>
        </top>
      </border>
    </dxf>
    <dxf>
      <fill>
        <patternFill>
          <bgColor indexed="9"/>
        </patternFill>
      </fill>
    </dxf>
    <dxf>
      <font>
        <condense val="0"/>
        <extend val="0"/>
        <color indexed="8"/>
      </font>
      <border>
        <right style="hair">
          <color indexed="23"/>
        </right>
      </border>
    </dxf>
    <dxf>
      <border>
        <top style="thin">
          <color indexed="23"/>
        </top>
        <bottom style="hair">
          <color indexed="23"/>
        </bottom>
      </border>
    </dxf>
    <dxf>
      <fill>
        <patternFill>
          <bgColor indexed="9"/>
        </patternFill>
      </fill>
    </dxf>
    <dxf>
      <font>
        <condense val="0"/>
        <extend val="0"/>
        <color indexed="8"/>
      </font>
      <border>
        <right style="hair">
          <color indexed="23"/>
        </right>
      </border>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condense val="0"/>
        <extend val="0"/>
        <color indexed="26"/>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23"/>
      </font>
      <fill>
        <patternFill patternType="darkUp"/>
      </fill>
    </dxf>
    <dxf>
      <fill>
        <patternFill>
          <bgColor indexed="46"/>
        </patternFill>
      </fill>
    </dxf>
    <dxf>
      <font>
        <condense val="0"/>
        <extend val="0"/>
        <color indexed="46"/>
      </font>
      <fill>
        <patternFill>
          <bgColor indexed="46"/>
        </patternFill>
      </fill>
    </dxf>
    <dxf>
      <font>
        <condense val="0"/>
        <extend val="0"/>
        <color indexed="46"/>
      </font>
      <fill>
        <patternFill patternType="solid">
          <bgColor indexed="46"/>
        </patternFill>
      </fill>
      <border>
        <top style="thin">
          <color indexed="23"/>
        </top>
        <bottom style="hair">
          <color indexed="23"/>
        </bottom>
      </border>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23"/>
      </font>
      <fill>
        <patternFill>
          <bgColor indexed="26"/>
        </patternFill>
      </fill>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10"/>
      </font>
      <border>
        <bottom/>
      </border>
    </dxf>
    <dxf>
      <border>
        <top/>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border>
        <left/>
        <right/>
        <top/>
        <bottom/>
      </border>
    </dxf>
    <dxf>
      <border>
        <bottom/>
      </border>
    </dxf>
    <dxf>
      <font>
        <condense val="0"/>
        <extend val="0"/>
        <color indexed="46"/>
      </font>
    </dxf>
    <dxf>
      <border>
        <bottom/>
      </border>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border>
        <bottom/>
      </border>
    </dxf>
    <dxf>
      <font>
        <condense val="0"/>
        <extend val="0"/>
        <color indexed="46"/>
      </font>
    </dxf>
    <dxf>
      <border>
        <bottom/>
      </border>
    </dxf>
    <dxf>
      <border>
        <bottom/>
      </border>
    </dxf>
    <dxf>
      <font>
        <condense val="0"/>
        <extend val="0"/>
        <color indexed="46"/>
      </font>
    </dxf>
    <dxf>
      <border>
        <bottom/>
      </border>
    </dxf>
    <dxf>
      <font>
        <condense val="0"/>
        <extend val="0"/>
        <color indexed="9"/>
      </font>
    </dxf>
    <dxf>
      <font>
        <condense val="0"/>
        <extend val="0"/>
        <color indexed="23"/>
      </font>
      <fill>
        <patternFill patternType="darkUp"/>
      </fill>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9"/>
      </font>
      <border>
        <left/>
        <right/>
        <top/>
      </border>
    </dxf>
    <dxf>
      <font>
        <condense val="0"/>
        <extend val="0"/>
        <color indexed="9"/>
      </font>
      <fill>
        <patternFill>
          <bgColor indexed="9"/>
        </patternFill>
      </fill>
      <border>
        <left/>
        <right/>
        <top/>
        <bottom/>
      </border>
    </dxf>
    <dxf>
      <border>
        <bottom style="thin">
          <color indexed="23"/>
        </bottom>
      </border>
    </dxf>
    <dxf>
      <border>
        <bottom style="thin">
          <color indexed="23"/>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10"/>
      </font>
    </dxf>
    <dxf>
      <font>
        <condense val="0"/>
        <extend val="0"/>
        <color indexed="26"/>
      </font>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border>
        <left/>
        <right/>
        <top/>
        <bottom/>
      </border>
    </dxf>
    <dxf>
      <font>
        <condense val="0"/>
        <extend val="0"/>
        <color indexed="23"/>
      </font>
    </dxf>
    <dxf>
      <font>
        <condense val="0"/>
        <extend val="0"/>
        <color indexed="9"/>
      </font>
      <fill>
        <patternFill>
          <bgColor indexed="9"/>
        </patternFill>
      </fill>
      <border>
        <left/>
        <right/>
        <top/>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condense val="0"/>
        <extend val="0"/>
        <color indexed="23"/>
      </font>
      <fill>
        <patternFill patternType="darkUp"/>
      </fill>
    </dxf>
    <dxf>
      <border>
        <left/>
      </border>
    </dxf>
    <dxf>
      <border>
        <left/>
        <top/>
        <bottom/>
      </border>
    </dxf>
    <dxf>
      <border>
        <left/>
      </border>
    </dxf>
    <dxf>
      <border>
        <left/>
        <top/>
        <bottom/>
      </border>
    </dxf>
    <dxf>
      <border>
        <right/>
      </border>
    </dxf>
    <dxf>
      <border>
        <right/>
        <top/>
        <bottom/>
      </border>
    </dxf>
    <dxf>
      <border>
        <right/>
      </border>
    </dxf>
    <dxf>
      <border>
        <right/>
        <top/>
        <bottom/>
      </border>
    </dxf>
    <dxf>
      <border>
        <right/>
      </border>
    </dxf>
    <dxf>
      <border>
        <right/>
        <top/>
        <bottom/>
      </border>
    </dxf>
    <dxf>
      <font>
        <condense val="0"/>
        <extend val="0"/>
        <color indexed="9"/>
      </font>
    </dxf>
    <dxf>
      <font>
        <condense val="0"/>
        <extend val="0"/>
        <color indexed="23"/>
      </font>
    </dxf>
    <dxf>
      <font>
        <condense val="0"/>
        <extend val="0"/>
        <color indexed="23"/>
      </font>
    </dxf>
    <dxf>
      <font>
        <condense val="0"/>
        <extend val="0"/>
        <color indexed="23"/>
      </font>
    </dxf>
    <dxf>
      <font>
        <condense val="0"/>
        <extend val="0"/>
        <color indexed="9"/>
      </font>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9"/>
      </font>
    </dxf>
    <dxf>
      <font>
        <condense val="0"/>
        <extend val="0"/>
        <color indexed="9"/>
      </font>
    </dxf>
    <dxf>
      <font>
        <condense val="0"/>
        <extend val="0"/>
        <color indexed="10"/>
      </font>
    </dxf>
    <dxf>
      <font>
        <condense val="0"/>
        <extend val="0"/>
        <color indexed="23"/>
      </font>
    </dxf>
    <dxf>
      <font>
        <condense val="0"/>
        <extend val="0"/>
        <color indexed="46"/>
      </font>
    </dxf>
    <dxf>
      <font>
        <condense val="0"/>
        <extend val="0"/>
        <color indexed="9"/>
      </font>
    </dxf>
    <dxf>
      <font>
        <condense val="0"/>
        <extend val="0"/>
        <color indexed="46"/>
      </font>
    </dxf>
    <dxf>
      <font>
        <condense val="0"/>
        <extend val="0"/>
        <color indexed="22"/>
      </font>
    </dxf>
    <dxf>
      <font>
        <condense val="0"/>
        <extend val="0"/>
        <color indexed="9"/>
      </font>
    </dxf>
    <dxf>
      <fill>
        <patternFill>
          <bgColor indexed="9"/>
        </patternFill>
      </fill>
      <border>
        <left/>
        <right/>
        <top/>
        <bottom/>
      </border>
    </dxf>
    <dxf>
      <border>
        <top/>
      </border>
    </dxf>
    <dxf>
      <font>
        <condense val="0"/>
        <extend val="0"/>
        <color indexed="9"/>
      </font>
    </dxf>
    <dxf>
      <font>
        <condense val="0"/>
        <extend val="0"/>
        <color indexed="23"/>
      </font>
      <fill>
        <patternFill patternType="darkUp"/>
      </fill>
    </dxf>
    <dxf>
      <font>
        <condense val="0"/>
        <extend val="0"/>
        <color indexed="10"/>
      </font>
    </dxf>
    <dxf>
      <font>
        <condense val="0"/>
        <extend val="0"/>
        <color indexed="9"/>
      </font>
      <fill>
        <patternFill>
          <bgColor indexed="9"/>
        </patternFill>
      </fill>
      <border>
        <left/>
        <right/>
        <top/>
        <bottom/>
      </border>
    </dxf>
    <dxf>
      <font>
        <condense val="0"/>
        <extend val="0"/>
        <color indexed="23"/>
      </font>
    </dxf>
    <dxf>
      <font>
        <condense val="0"/>
        <extend val="0"/>
        <color indexed="9"/>
      </font>
    </dxf>
    <dxf>
      <border>
        <left/>
      </border>
    </dxf>
    <dxf>
      <border>
        <left/>
        <right/>
        <top/>
        <bottom/>
      </border>
    </dxf>
    <dxf>
      <font>
        <condense val="0"/>
        <extend val="0"/>
        <color indexed="23"/>
      </font>
      <fill>
        <patternFill patternType="darkUp"/>
      </fill>
    </dxf>
    <dxf>
      <fill>
        <patternFill>
          <bgColor indexed="26"/>
        </patternFill>
      </fill>
      <border>
        <left style="thin">
          <color indexed="16"/>
        </left>
        <right style="thin">
          <color indexed="16"/>
        </right>
        <top style="thin">
          <color indexed="16"/>
        </top>
        <bottom style="thin">
          <color indexed="16"/>
        </bottom>
      </border>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ont>
        <condense val="0"/>
        <extend val="0"/>
        <color indexed="10"/>
      </font>
    </dxf>
    <dxf>
      <font>
        <condense val="0"/>
        <extend val="0"/>
        <color indexed="23"/>
      </font>
    </dxf>
    <dxf>
      <font>
        <condense val="0"/>
        <extend val="0"/>
        <color indexed="23"/>
      </font>
      <fill>
        <patternFill patternType="darkUp"/>
      </fill>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ndense val="0"/>
        <extend val="0"/>
        <color indexed="23"/>
      </font>
    </dxf>
    <dxf>
      <font>
        <condense val="0"/>
        <extend val="0"/>
        <color indexed="23"/>
      </font>
      <fill>
        <patternFill patternType="darkUp"/>
      </fill>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condense val="0"/>
        <extend val="0"/>
        <color indexed="26"/>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23"/>
      </font>
      <fill>
        <patternFill patternType="darkUp"/>
      </fill>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23"/>
      </font>
      <fill>
        <patternFill>
          <bgColor indexed="26"/>
        </patternFill>
      </fill>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font>
        <condense val="0"/>
        <extend val="0"/>
        <color indexed="23"/>
      </font>
    </dxf>
    <dxf>
      <font>
        <condense val="0"/>
        <extend val="0"/>
        <color indexed="23"/>
      </font>
    </dxf>
    <dxf>
      <font>
        <condense val="0"/>
        <extend val="0"/>
        <color indexed="9"/>
      </font>
      <border>
        <left/>
        <right/>
        <top/>
        <bottom/>
      </border>
    </dxf>
    <dxf>
      <fill>
        <patternFill>
          <bgColor indexed="26"/>
        </patternFill>
      </fill>
      <border>
        <left style="thin">
          <color indexed="10"/>
        </left>
        <right style="thin">
          <color indexed="10"/>
        </right>
        <top style="thin">
          <color indexed="10"/>
        </top>
        <bottom style="thin">
          <color indexed="10"/>
        </bottom>
      </border>
    </dxf>
    <dxf>
      <font>
        <condense val="0"/>
        <extend val="0"/>
        <color indexed="10"/>
      </font>
    </dxf>
    <dxf>
      <font>
        <condense val="0"/>
        <extend val="0"/>
        <color indexed="9"/>
      </font>
    </dxf>
    <dxf>
      <font>
        <condense val="0"/>
        <extend val="0"/>
        <color indexed="23"/>
      </font>
    </dxf>
    <dxf>
      <font>
        <condense val="0"/>
        <extend val="0"/>
        <color indexed="9"/>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dxf>
    <dxf>
      <font>
        <condense val="0"/>
        <extend val="0"/>
        <color indexed="18"/>
      </font>
    </dxf>
    <dxf>
      <font>
        <condense val="0"/>
        <extend val="0"/>
        <color indexed="18"/>
      </font>
    </dxf>
    <dxf>
      <font>
        <condense val="0"/>
        <extend val="0"/>
        <color indexed="9"/>
      </font>
    </dxf>
    <dxf>
      <font>
        <condense val="0"/>
        <extend val="0"/>
        <color indexed="10"/>
      </font>
      <fill>
        <patternFill>
          <bgColor indexed="26"/>
        </patternFill>
      </fill>
    </dxf>
    <dxf>
      <font>
        <condense val="0"/>
        <extend val="0"/>
        <color indexed="9"/>
      </font>
    </dxf>
    <dxf>
      <font>
        <condense val="0"/>
        <extend val="0"/>
        <color indexed="9"/>
      </font>
    </dxf>
    <dxf>
      <font>
        <condense val="0"/>
        <extend val="0"/>
        <color indexed="23"/>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16"/>
      </font>
    </dxf>
    <dxf>
      <font>
        <condense val="0"/>
        <extend val="0"/>
        <color indexed="10"/>
      </font>
    </dxf>
    <dxf>
      <font>
        <condense val="0"/>
        <extend val="0"/>
        <color indexed="23"/>
      </font>
    </dxf>
    <dxf>
      <font>
        <condense val="0"/>
        <extend val="0"/>
        <color indexed="9"/>
      </font>
      <border>
        <left/>
        <right/>
        <top/>
        <bottom/>
      </border>
    </dxf>
    <dxf>
      <font>
        <condense val="0"/>
        <extend val="0"/>
        <color indexed="9"/>
      </font>
      <border>
        <left/>
        <right/>
        <top/>
        <bottom/>
      </border>
    </dxf>
    <dxf>
      <font>
        <condense val="0"/>
        <extend val="0"/>
        <color indexed="23"/>
      </font>
    </dxf>
    <dxf>
      <font>
        <condense val="0"/>
        <extend val="0"/>
        <color indexed="9"/>
      </font>
      <border>
        <left/>
        <right/>
        <top/>
        <bottom/>
      </border>
    </dxf>
    <dxf>
      <font>
        <condense val="0"/>
        <extend val="0"/>
        <color indexed="9"/>
      </font>
      <border>
        <left/>
        <right/>
        <top/>
        <bottom/>
      </border>
    </dxf>
    <dxf>
      <font>
        <condense val="0"/>
        <extend val="0"/>
        <color indexed="16"/>
      </font>
      <fill>
        <patternFill>
          <bgColor indexed="26"/>
        </patternFill>
      </fill>
    </dxf>
    <dxf>
      <font>
        <condense val="0"/>
        <extend val="0"/>
        <color indexed="63"/>
      </font>
      <fill>
        <patternFill>
          <bgColor indexed="9"/>
        </patternFill>
      </fill>
    </dxf>
    <dxf>
      <font>
        <condense val="0"/>
        <extend val="0"/>
        <color indexed="23"/>
      </font>
    </dxf>
    <dxf>
      <font>
        <condense val="0"/>
        <extend val="0"/>
        <color indexed="23"/>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border>
        <left/>
        <right/>
        <top/>
        <bottom/>
      </border>
    </dxf>
    <dxf>
      <font>
        <condense val="0"/>
        <extend val="0"/>
        <color indexed="9"/>
      </font>
      <border>
        <left/>
        <right/>
        <top/>
        <bottom/>
      </border>
    </dxf>
    <dxf>
      <font>
        <condense val="0"/>
        <extend val="0"/>
        <color indexed="10"/>
      </font>
    </dxf>
    <dxf>
      <font>
        <condense val="0"/>
        <extend val="0"/>
        <color indexed="10"/>
      </font>
    </dxf>
    <dxf>
      <font>
        <condense val="0"/>
        <extend val="0"/>
        <color indexed="10"/>
      </font>
      <fill>
        <patternFill>
          <bgColor indexed="26"/>
        </patternFill>
      </fill>
    </dxf>
    <dxf>
      <font>
        <condense val="0"/>
        <extend val="0"/>
        <color indexed="10"/>
      </font>
      <fill>
        <patternFill>
          <bgColor indexed="26"/>
        </patternFill>
      </fill>
    </dxf>
    <dxf>
      <font>
        <condense val="0"/>
        <extend val="0"/>
        <color indexed="10"/>
      </font>
      <fill>
        <patternFill>
          <bgColor indexed="26"/>
        </patternFill>
      </fill>
    </dxf>
    <dxf>
      <font>
        <condense val="0"/>
        <extend val="0"/>
        <color indexed="10"/>
      </font>
      <fill>
        <patternFill>
          <bgColor indexed="26"/>
        </patternFill>
      </fill>
    </dxf>
    <dxf>
      <font>
        <condense val="0"/>
        <extend val="0"/>
        <color indexed="10"/>
      </font>
      <fill>
        <patternFill>
          <bgColor indexed="9"/>
        </patternFill>
      </fill>
    </dxf>
    <dxf>
      <font>
        <condense val="0"/>
        <extend val="0"/>
        <color indexed="10"/>
      </font>
      <fill>
        <patternFill>
          <bgColor indexed="9"/>
        </patternFill>
      </fill>
    </dxf>
    <dxf>
      <font>
        <condense val="0"/>
        <extend val="0"/>
        <color indexed="10"/>
      </font>
      <fill>
        <patternFill>
          <bgColor indexed="9"/>
        </patternFill>
      </fill>
    </dxf>
    <dxf>
      <font>
        <condense val="0"/>
        <extend val="0"/>
        <color indexed="10"/>
      </font>
      <fill>
        <patternFill>
          <bgColor indexed="9"/>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dxf>
    <dxf>
      <font>
        <condense val="0"/>
        <extend val="0"/>
        <color indexed="10"/>
      </font>
      <fill>
        <patternFill>
          <bgColor indexed="26"/>
        </patternFill>
      </fill>
    </dxf>
    <dxf>
      <font>
        <condense val="0"/>
        <extend val="0"/>
        <color indexed="10"/>
      </font>
      <fill>
        <patternFill>
          <bgColor indexed="26"/>
        </patternFill>
      </fill>
    </dxf>
    <dxf>
      <font>
        <condense val="0"/>
        <extend val="0"/>
        <color indexed="10"/>
      </font>
      <fill>
        <patternFill>
          <bgColor indexed="26"/>
        </patternFill>
      </fill>
    </dxf>
    <dxf>
      <font>
        <condense val="0"/>
        <extend val="0"/>
        <color indexed="10"/>
      </font>
      <fill>
        <patternFill>
          <bgColor indexed="26"/>
        </patternFill>
      </fill>
    </dxf>
    <dxf>
      <font>
        <condense val="0"/>
        <extend val="0"/>
        <color indexed="10"/>
      </font>
      <fill>
        <patternFill>
          <bgColor indexed="9"/>
        </patternFill>
      </fill>
    </dxf>
    <dxf>
      <font>
        <condense val="0"/>
        <extend val="0"/>
        <color indexed="10"/>
      </font>
      <fill>
        <patternFill>
          <bgColor indexed="9"/>
        </patternFill>
      </fill>
    </dxf>
    <dxf>
      <font>
        <condense val="0"/>
        <extend val="0"/>
        <color indexed="10"/>
      </font>
    </dxf>
    <dxf>
      <font>
        <condense val="0"/>
        <extend val="0"/>
        <color indexed="10"/>
      </font>
    </dxf>
    <dxf>
      <font>
        <condense val="0"/>
        <extend val="0"/>
        <color indexed="23"/>
      </font>
    </dxf>
    <dxf>
      <font>
        <condense val="0"/>
        <extend val="0"/>
        <color indexed="46"/>
      </font>
      <border>
        <left/>
        <top/>
      </border>
    </dxf>
    <dxf>
      <font>
        <condense val="0"/>
        <extend val="0"/>
        <color indexed="26"/>
      </font>
      <fill>
        <patternFill>
          <bgColor indexed="9"/>
        </patternFill>
      </fill>
      <border>
        <left/>
        <top/>
      </border>
    </dxf>
    <dxf>
      <font>
        <condense val="0"/>
        <extend val="0"/>
        <color indexed="46"/>
      </font>
      <border>
        <right/>
        <top/>
      </border>
    </dxf>
    <dxf>
      <font>
        <condense val="0"/>
        <extend val="0"/>
        <color indexed="26"/>
      </font>
      <fill>
        <patternFill>
          <bgColor indexed="9"/>
        </patternFill>
      </fill>
      <border>
        <right/>
        <top/>
      </border>
    </dxf>
    <dxf>
      <border>
        <bottom/>
      </border>
    </dxf>
    <dxf>
      <fill>
        <patternFill>
          <bgColor indexed="26"/>
        </patternFill>
      </fill>
      <border>
        <left style="thin">
          <color indexed="10"/>
        </left>
        <right style="thin">
          <color indexed="10"/>
        </right>
        <top style="thin">
          <color indexed="10"/>
        </top>
        <bottom style="thin">
          <color indexed="10"/>
        </bottom>
      </border>
    </dxf>
    <dxf>
      <font>
        <condense val="0"/>
        <extend val="0"/>
        <color indexed="46"/>
      </font>
      <border>
        <left/>
        <top/>
      </border>
    </dxf>
    <dxf>
      <font>
        <condense val="0"/>
        <extend val="0"/>
        <color indexed="26"/>
      </font>
      <fill>
        <patternFill>
          <bgColor indexed="9"/>
        </patternFill>
      </fill>
      <border>
        <left/>
        <top/>
      </border>
    </dxf>
    <dxf>
      <font>
        <condense val="0"/>
        <extend val="0"/>
        <color indexed="46"/>
      </font>
      <border>
        <right/>
        <top/>
      </border>
    </dxf>
    <dxf>
      <font>
        <condense val="0"/>
        <extend val="0"/>
        <color indexed="26"/>
      </font>
      <fill>
        <patternFill>
          <bgColor indexed="9"/>
        </patternFill>
      </fill>
      <border>
        <right/>
        <top/>
      </border>
    </dxf>
    <dxf>
      <border>
        <bottom/>
      </border>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border>
        <left/>
        <right/>
        <top/>
        <bottom/>
      </border>
    </dxf>
    <dxf>
      <font>
        <condense val="0"/>
        <extend val="0"/>
        <color indexed="46"/>
      </font>
      <border>
        <left/>
        <top/>
      </border>
    </dxf>
    <dxf>
      <font>
        <condense val="0"/>
        <extend val="0"/>
        <color indexed="26"/>
      </font>
      <fill>
        <patternFill>
          <bgColor indexed="9"/>
        </patternFill>
      </fill>
      <border>
        <left/>
        <top/>
      </border>
    </dxf>
    <dxf>
      <font>
        <condense val="0"/>
        <extend val="0"/>
        <color indexed="46"/>
      </font>
      <border>
        <right/>
        <top/>
      </border>
    </dxf>
    <dxf>
      <font>
        <condense val="0"/>
        <extend val="0"/>
        <color indexed="26"/>
      </font>
      <fill>
        <patternFill>
          <bgColor indexed="9"/>
        </patternFill>
      </fill>
      <border>
        <right/>
        <top/>
      </border>
    </dxf>
    <dxf>
      <border>
        <bottom/>
      </border>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dxf>
    <dxf>
      <font>
        <condense val="0"/>
        <extend val="0"/>
        <color indexed="55"/>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23"/>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10"/>
      </font>
    </dxf>
    <dxf>
      <font>
        <b/>
        <i val="0"/>
        <strike val="0"/>
        <condense val="0"/>
        <extend val="0"/>
        <u val="none"/>
        <color indexed="10"/>
      </font>
      <fill>
        <patternFill>
          <bgColor indexed="9"/>
        </patternFill>
      </fill>
    </dxf>
    <dxf>
      <font>
        <condense val="0"/>
        <extend val="0"/>
        <color indexed="23"/>
      </font>
    </dxf>
    <dxf>
      <font>
        <condense val="0"/>
        <extend val="0"/>
        <color indexed="55"/>
      </font>
    </dxf>
    <dxf>
      <font>
        <condense val="0"/>
        <extend val="0"/>
        <color indexed="23"/>
      </font>
    </dxf>
    <dxf>
      <font>
        <condense val="0"/>
        <extend val="0"/>
        <color indexed="55"/>
      </font>
    </dxf>
    <dxf>
      <font>
        <condense val="0"/>
        <extend val="0"/>
        <color indexed="9"/>
      </font>
    </dxf>
    <dxf>
      <font>
        <condense val="0"/>
        <extend val="0"/>
        <color indexed="9"/>
      </font>
      <fill>
        <patternFill>
          <bgColor indexed="26"/>
        </patternFill>
      </fill>
      <border>
        <left style="thin">
          <color indexed="10"/>
        </left>
        <right style="thin">
          <color indexed="10"/>
        </right>
        <top style="thin">
          <color indexed="10"/>
        </top>
        <bottom style="thin">
          <color indexed="10"/>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10"/>
      </font>
    </dxf>
    <dxf>
      <font>
        <condense val="0"/>
        <extend val="0"/>
        <color indexed="10"/>
      </font>
      <fill>
        <patternFill>
          <bgColor indexed="26"/>
        </patternFill>
      </fill>
    </dxf>
    <dxf>
      <font>
        <condense val="0"/>
        <extend val="0"/>
        <color indexed="10"/>
      </font>
      <fill>
        <patternFill>
          <bgColor indexed="26"/>
        </patternFill>
      </fill>
    </dxf>
    <dxf>
      <font>
        <condense val="0"/>
        <extend val="0"/>
        <color indexed="23"/>
      </font>
      <fill>
        <patternFill>
          <bgColor indexed="46"/>
        </patternFill>
      </fill>
    </dxf>
    <dxf>
      <fill>
        <patternFill>
          <bgColor indexed="46"/>
        </patternFill>
      </fill>
    </dxf>
    <dxf>
      <fill>
        <patternFill>
          <bgColor indexed="26"/>
        </patternFill>
      </fill>
    </dxf>
    <dxf>
      <font>
        <condense val="0"/>
        <extend val="0"/>
        <color auto="1"/>
      </font>
      <fill>
        <patternFill>
          <bgColor indexed="26"/>
        </patternFill>
      </fill>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border>
        <left style="thin">
          <color indexed="23"/>
        </left>
        <right style="thin">
          <color indexed="23"/>
        </right>
        <top style="thin">
          <color indexed="23"/>
        </top>
        <bottom style="thin">
          <color indexed="23"/>
        </bottom>
      </border>
    </dxf>
    <dxf>
      <font>
        <condense val="0"/>
        <extend val="0"/>
        <color indexed="23"/>
      </font>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9"/>
      </font>
      <fill>
        <patternFill>
          <bgColor indexed="9"/>
        </patternFill>
      </fill>
      <border>
        <left/>
        <right/>
        <top/>
        <bottom/>
      </border>
    </dxf>
    <dxf>
      <font>
        <b val="0"/>
        <i val="0"/>
        <condense val="0"/>
        <extend val="0"/>
        <color indexed="10"/>
      </font>
    </dxf>
    <dxf>
      <font>
        <condense val="0"/>
        <extend val="0"/>
        <color indexed="10"/>
      </font>
    </dxf>
    <dxf>
      <font>
        <condense val="0"/>
        <extend val="0"/>
        <color indexed="10"/>
      </font>
    </dxf>
    <dxf>
      <font>
        <condense val="0"/>
        <extend val="0"/>
        <color indexed="23"/>
      </font>
    </dxf>
    <dxf>
      <font>
        <condense val="0"/>
        <extend val="0"/>
        <color indexed="9"/>
      </font>
    </dxf>
    <dxf>
      <font>
        <condense val="0"/>
        <extend val="0"/>
        <color indexed="16"/>
      </font>
      <fill>
        <patternFill>
          <bgColor indexed="26"/>
        </patternFill>
      </fill>
    </dxf>
    <dxf>
      <font>
        <b val="0"/>
        <i val="0"/>
        <condense val="0"/>
        <extend val="0"/>
        <color indexed="10"/>
      </font>
    </dxf>
    <dxf>
      <font>
        <condense val="0"/>
        <extend val="0"/>
        <color indexed="9"/>
      </font>
      <border>
        <right/>
      </border>
    </dxf>
    <dxf>
      <font>
        <condense val="0"/>
        <extend val="0"/>
        <color indexed="10"/>
      </font>
      <border>
        <left/>
        <right/>
        <top/>
        <bottom/>
      </border>
    </dxf>
    <dxf>
      <font>
        <condense val="0"/>
        <extend val="0"/>
        <color indexed="9"/>
      </font>
      <border>
        <left/>
        <right/>
        <top/>
        <bottom/>
      </border>
    </dxf>
    <dxf>
      <font>
        <condense val="0"/>
        <extend val="0"/>
        <color indexed="23"/>
      </font>
    </dxf>
    <dxf>
      <font>
        <condense val="0"/>
        <extend val="0"/>
        <color indexed="10"/>
      </font>
    </dxf>
    <dxf>
      <font>
        <condense val="0"/>
        <extend val="0"/>
        <color indexed="9"/>
      </font>
    </dxf>
    <dxf>
      <font>
        <condense val="0"/>
        <extend val="0"/>
        <color indexed="23"/>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10"/>
      </font>
    </dxf>
    <dxf>
      <font>
        <condense val="0"/>
        <extend val="0"/>
        <color indexed="23"/>
      </font>
    </dxf>
    <dxf>
      <font>
        <condense val="0"/>
        <extend val="0"/>
        <color indexed="10"/>
      </font>
    </dxf>
    <dxf>
      <font>
        <condense val="0"/>
        <extend val="0"/>
        <color indexed="63"/>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EAEAEA"/>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hyperlink" Target="https://www.marcopiccoli.it/public/index.php?option=com_content&amp;view=article&amp;id=149&amp;Itemid=508" TargetMode="External"/><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hyperlink" Target="https://www.marcopiccoli.it/public/index.php?option=com_content&amp;view=article&amp;id=152&amp;Itemid=553"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drawing7.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image" Target="../media/image35.png"/><Relationship Id="rId18" Type="http://schemas.openxmlformats.org/officeDocument/2006/relationships/image" Target="../media/image40.png"/><Relationship Id="rId26" Type="http://schemas.openxmlformats.org/officeDocument/2006/relationships/image" Target="../media/image48.png"/><Relationship Id="rId3" Type="http://schemas.openxmlformats.org/officeDocument/2006/relationships/image" Target="../media/image25.png"/><Relationship Id="rId21" Type="http://schemas.openxmlformats.org/officeDocument/2006/relationships/image" Target="../media/image43.png"/><Relationship Id="rId7" Type="http://schemas.openxmlformats.org/officeDocument/2006/relationships/image" Target="../media/image29.png"/><Relationship Id="rId12" Type="http://schemas.openxmlformats.org/officeDocument/2006/relationships/image" Target="../media/image34.png"/><Relationship Id="rId17" Type="http://schemas.openxmlformats.org/officeDocument/2006/relationships/image" Target="../media/image39.png"/><Relationship Id="rId25" Type="http://schemas.openxmlformats.org/officeDocument/2006/relationships/image" Target="../media/image47.png"/><Relationship Id="rId2" Type="http://schemas.openxmlformats.org/officeDocument/2006/relationships/image" Target="../media/image24.png"/><Relationship Id="rId16" Type="http://schemas.openxmlformats.org/officeDocument/2006/relationships/image" Target="../media/image38.png"/><Relationship Id="rId20" Type="http://schemas.openxmlformats.org/officeDocument/2006/relationships/image" Target="../media/image42.png"/><Relationship Id="rId29" Type="http://schemas.openxmlformats.org/officeDocument/2006/relationships/image" Target="../media/image51.png"/><Relationship Id="rId1" Type="http://schemas.openxmlformats.org/officeDocument/2006/relationships/image" Target="../media/image23.png"/><Relationship Id="rId6" Type="http://schemas.openxmlformats.org/officeDocument/2006/relationships/image" Target="../media/image28.jpeg"/><Relationship Id="rId11" Type="http://schemas.openxmlformats.org/officeDocument/2006/relationships/image" Target="../media/image33.png"/><Relationship Id="rId24" Type="http://schemas.openxmlformats.org/officeDocument/2006/relationships/image" Target="../media/image46.png"/><Relationship Id="rId5" Type="http://schemas.openxmlformats.org/officeDocument/2006/relationships/image" Target="../media/image27.png"/><Relationship Id="rId15" Type="http://schemas.openxmlformats.org/officeDocument/2006/relationships/image" Target="../media/image37.png"/><Relationship Id="rId23" Type="http://schemas.openxmlformats.org/officeDocument/2006/relationships/image" Target="../media/image45.png"/><Relationship Id="rId28" Type="http://schemas.openxmlformats.org/officeDocument/2006/relationships/image" Target="../media/image50.png"/><Relationship Id="rId10" Type="http://schemas.openxmlformats.org/officeDocument/2006/relationships/image" Target="../media/image32.png"/><Relationship Id="rId19" Type="http://schemas.openxmlformats.org/officeDocument/2006/relationships/image" Target="../media/image41.png"/><Relationship Id="rId4" Type="http://schemas.openxmlformats.org/officeDocument/2006/relationships/image" Target="../media/image26.png"/><Relationship Id="rId9" Type="http://schemas.openxmlformats.org/officeDocument/2006/relationships/image" Target="../media/image31.png"/><Relationship Id="rId14" Type="http://schemas.openxmlformats.org/officeDocument/2006/relationships/image" Target="../media/image36.png"/><Relationship Id="rId22" Type="http://schemas.openxmlformats.org/officeDocument/2006/relationships/image" Target="../media/image44.png"/><Relationship Id="rId27" Type="http://schemas.openxmlformats.org/officeDocument/2006/relationships/image" Target="../media/image49.png"/></Relationships>
</file>

<file path=xl/drawings/drawing1.xml><?xml version="1.0" encoding="utf-8"?>
<xdr:wsDr xmlns:xdr="http://schemas.openxmlformats.org/drawingml/2006/spreadsheetDrawing" xmlns:a="http://schemas.openxmlformats.org/drawingml/2006/main">
  <xdr:twoCellAnchor editAs="oneCell">
    <xdr:from>
      <xdr:col>3</xdr:col>
      <xdr:colOff>295275</xdr:colOff>
      <xdr:row>21</xdr:row>
      <xdr:rowOff>85725</xdr:rowOff>
    </xdr:from>
    <xdr:to>
      <xdr:col>5</xdr:col>
      <xdr:colOff>133350</xdr:colOff>
      <xdr:row>24</xdr:row>
      <xdr:rowOff>95250</xdr:rowOff>
    </xdr:to>
    <xdr:pic>
      <xdr:nvPicPr>
        <xdr:cNvPr id="17417" name="Picture 9" descr="Copia di TAB"/>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7400" y="4914900"/>
          <a:ext cx="1076325"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238125</xdr:colOff>
      <xdr:row>89</xdr:row>
      <xdr:rowOff>0</xdr:rowOff>
    </xdr:from>
    <xdr:to>
      <xdr:col>9</xdr:col>
      <xdr:colOff>66675</xdr:colOff>
      <xdr:row>89</xdr:row>
      <xdr:rowOff>0</xdr:rowOff>
    </xdr:to>
    <xdr:sp macro="" textlink="">
      <xdr:nvSpPr>
        <xdr:cNvPr id="17423" name="Text Box 15"/>
        <xdr:cNvSpPr txBox="1">
          <a:spLocks noChangeArrowheads="1"/>
        </xdr:cNvSpPr>
      </xdr:nvSpPr>
      <xdr:spPr bwMode="auto">
        <a:xfrm>
          <a:off x="2619375" y="19050000"/>
          <a:ext cx="29241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0" rIns="0" bIns="18288" anchor="b" upright="1"/>
        <a:lstStyle/>
        <a:p>
          <a:pPr algn="l" rtl="0">
            <a:defRPr sz="1000"/>
          </a:pPr>
          <a:r>
            <a:rPr lang="it-IT" sz="900" b="0" i="0" u="none" strike="noStrike" baseline="0">
              <a:solidFill>
                <a:srgbClr val="333333"/>
              </a:solidFill>
              <a:latin typeface="Tahoma"/>
              <a:ea typeface="Tahoma"/>
              <a:cs typeface="Tahoma"/>
            </a:rPr>
            <a:t>Procedure contabili per le piccole e medie imprese</a:t>
          </a:r>
        </a:p>
      </xdr:txBody>
    </xdr:sp>
    <xdr:clientData/>
  </xdr:twoCellAnchor>
  <xdr:twoCellAnchor editAs="oneCell">
    <xdr:from>
      <xdr:col>10</xdr:col>
      <xdr:colOff>561975</xdr:colOff>
      <xdr:row>21</xdr:row>
      <xdr:rowOff>171450</xdr:rowOff>
    </xdr:from>
    <xdr:to>
      <xdr:col>12</xdr:col>
      <xdr:colOff>314325</xdr:colOff>
      <xdr:row>24</xdr:row>
      <xdr:rowOff>19050</xdr:rowOff>
    </xdr:to>
    <xdr:pic>
      <xdr:nvPicPr>
        <xdr:cNvPr id="18136" name="Picture 728" descr="tasto_canc_mac"/>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7975" y="5000625"/>
          <a:ext cx="990600"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314325</xdr:colOff>
      <xdr:row>5</xdr:row>
      <xdr:rowOff>76200</xdr:rowOff>
    </xdr:from>
    <xdr:to>
      <xdr:col>4</xdr:col>
      <xdr:colOff>171450</xdr:colOff>
      <xdr:row>5</xdr:row>
      <xdr:rowOff>419100</xdr:rowOff>
    </xdr:to>
    <xdr:pic>
      <xdr:nvPicPr>
        <xdr:cNvPr id="18321" name="Picture 913" descr="logo"/>
        <xdr:cNvPicPr preferRelativeResize="0">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57325" y="1228725"/>
          <a:ext cx="1095375"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238125</xdr:colOff>
      <xdr:row>5</xdr:row>
      <xdr:rowOff>123825</xdr:rowOff>
    </xdr:from>
    <xdr:to>
      <xdr:col>9</xdr:col>
      <xdr:colOff>66675</xdr:colOff>
      <xdr:row>5</xdr:row>
      <xdr:rowOff>390525</xdr:rowOff>
    </xdr:to>
    <xdr:sp macro="" textlink="">
      <xdr:nvSpPr>
        <xdr:cNvPr id="18322" name="Text Box 914"/>
        <xdr:cNvSpPr txBox="1">
          <a:spLocks noChangeArrowheads="1"/>
        </xdr:cNvSpPr>
      </xdr:nvSpPr>
      <xdr:spPr bwMode="auto">
        <a:xfrm>
          <a:off x="2619375" y="1276350"/>
          <a:ext cx="2924175" cy="266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0" rIns="0" bIns="18288" anchor="b" upright="1"/>
        <a:lstStyle/>
        <a:p>
          <a:pPr algn="l" rtl="0">
            <a:defRPr sz="1000"/>
          </a:pPr>
          <a:r>
            <a:rPr lang="it-IT" sz="900" b="0" i="0" u="none" strike="noStrike" baseline="0">
              <a:solidFill>
                <a:srgbClr val="333333"/>
              </a:solidFill>
              <a:latin typeface="Tahoma"/>
              <a:ea typeface="Tahoma"/>
              <a:cs typeface="Tahoma"/>
            </a:rPr>
            <a:t>Procedure contabili per le piccole e medie imprese</a:t>
          </a:r>
        </a:p>
      </xdr:txBody>
    </xdr:sp>
    <xdr:clientData/>
  </xdr:twoCellAnchor>
  <xdr:twoCellAnchor editAs="oneCell">
    <xdr:from>
      <xdr:col>11</xdr:col>
      <xdr:colOff>276225</xdr:colOff>
      <xdr:row>5</xdr:row>
      <xdr:rowOff>9525</xdr:rowOff>
    </xdr:from>
    <xdr:to>
      <xdr:col>12</xdr:col>
      <xdr:colOff>314325</xdr:colOff>
      <xdr:row>6</xdr:row>
      <xdr:rowOff>114300</xdr:rowOff>
    </xdr:to>
    <xdr:pic>
      <xdr:nvPicPr>
        <xdr:cNvPr id="18323" name="Picture 915" descr="Logo IWA"/>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991350" y="1162050"/>
          <a:ext cx="657225"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133350</xdr:colOff>
      <xdr:row>46</xdr:row>
      <xdr:rowOff>38100</xdr:rowOff>
    </xdr:from>
    <xdr:to>
      <xdr:col>19</xdr:col>
      <xdr:colOff>371475</xdr:colOff>
      <xdr:row>51</xdr:row>
      <xdr:rowOff>171450</xdr:rowOff>
    </xdr:to>
    <xdr:grpSp>
      <xdr:nvGrpSpPr>
        <xdr:cNvPr id="18355" name="Group 947"/>
        <xdr:cNvGrpSpPr>
          <a:grpSpLocks/>
        </xdr:cNvGrpSpPr>
      </xdr:nvGrpSpPr>
      <xdr:grpSpPr bwMode="auto">
        <a:xfrm>
          <a:off x="8724900" y="8667750"/>
          <a:ext cx="2066925" cy="1143000"/>
          <a:chOff x="916" y="1080"/>
          <a:chExt cx="238" cy="120"/>
        </a:xfrm>
      </xdr:grpSpPr>
      <xdr:grpSp>
        <xdr:nvGrpSpPr>
          <xdr:cNvPr id="18349" name="Group 941"/>
          <xdr:cNvGrpSpPr>
            <a:grpSpLocks noChangeAspect="1"/>
          </xdr:cNvGrpSpPr>
        </xdr:nvGrpSpPr>
        <xdr:grpSpPr bwMode="auto">
          <a:xfrm>
            <a:off x="916" y="1080"/>
            <a:ext cx="238" cy="120"/>
            <a:chOff x="882" y="1096"/>
            <a:chExt cx="215" cy="108"/>
          </a:xfrm>
        </xdr:grpSpPr>
        <xdr:pic>
          <xdr:nvPicPr>
            <xdr:cNvPr id="18350" name="Picture 942"/>
            <xdr:cNvPicPr preferRelativeResize="0">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82" y="1096"/>
              <a:ext cx="215" cy="10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8351" name="Text Box 943"/>
            <xdr:cNvSpPr txBox="1">
              <a:spLocks noChangeAspect="1" noChangeArrowheads="1"/>
            </xdr:cNvSpPr>
          </xdr:nvSpPr>
          <xdr:spPr bwMode="auto">
            <a:xfrm>
              <a:off x="898" y="1108"/>
              <a:ext cx="175"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808080" mc:Ignorable="a14" a14:legacySpreadsheetColorIndex="23"/>
                  </a:solidFill>
                  <a:miter lim="800000"/>
                  <a:headEnd/>
                  <a:tailEnd/>
                </a14:hiddenLine>
              </a:ext>
            </a:extLst>
          </xdr:spPr>
          <xdr:txBody>
            <a:bodyPr vertOverflow="clip" wrap="square" lIns="27432" tIns="22860" rIns="27432" bIns="22860" anchor="ctr" upright="1"/>
            <a:lstStyle/>
            <a:p>
              <a:pPr algn="ctr" rtl="0">
                <a:defRPr sz="1000"/>
              </a:pPr>
              <a:r>
                <a:rPr lang="it-IT" sz="1000" b="0" i="1" u="none" strike="noStrike" baseline="0">
                  <a:solidFill>
                    <a:srgbClr val="000080"/>
                  </a:solidFill>
                  <a:latin typeface="Corbel"/>
                </a:rPr>
                <a:t>Selezioni con menù a tendina</a:t>
              </a:r>
            </a:p>
          </xdr:txBody>
        </xdr:sp>
      </xdr:grpSp>
      <xdr:sp macro="" textlink="">
        <xdr:nvSpPr>
          <xdr:cNvPr id="18354" name="Freeform 946"/>
          <xdr:cNvSpPr>
            <a:spLocks noChangeAspect="1"/>
          </xdr:cNvSpPr>
        </xdr:nvSpPr>
        <xdr:spPr bwMode="auto">
          <a:xfrm>
            <a:off x="1141" y="1116"/>
            <a:ext cx="12" cy="17"/>
          </a:xfrm>
          <a:custGeom>
            <a:avLst/>
            <a:gdLst>
              <a:gd name="T0" fmla="*/ 0 w 189"/>
              <a:gd name="T1" fmla="*/ 0 h 274"/>
              <a:gd name="T2" fmla="*/ 0 w 189"/>
              <a:gd name="T3" fmla="*/ 216 h 274"/>
              <a:gd name="T4" fmla="*/ 65 w 189"/>
              <a:gd name="T5" fmla="*/ 167 h 274"/>
              <a:gd name="T6" fmla="*/ 134 w 189"/>
              <a:gd name="T7" fmla="*/ 274 h 274"/>
              <a:gd name="T8" fmla="*/ 176 w 189"/>
              <a:gd name="T9" fmla="*/ 250 h 274"/>
              <a:gd name="T10" fmla="*/ 109 w 189"/>
              <a:gd name="T11" fmla="*/ 145 h 274"/>
              <a:gd name="T12" fmla="*/ 189 w 189"/>
              <a:gd name="T13" fmla="*/ 122 h 274"/>
              <a:gd name="T14" fmla="*/ 0 w 189"/>
              <a:gd name="T15" fmla="*/ 0 h 27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89" h="274">
                <a:moveTo>
                  <a:pt x="0" y="0"/>
                </a:moveTo>
                <a:lnTo>
                  <a:pt x="0" y="216"/>
                </a:lnTo>
                <a:lnTo>
                  <a:pt x="65" y="167"/>
                </a:lnTo>
                <a:lnTo>
                  <a:pt x="134" y="274"/>
                </a:lnTo>
                <a:lnTo>
                  <a:pt x="176" y="250"/>
                </a:lnTo>
                <a:lnTo>
                  <a:pt x="109" y="145"/>
                </a:lnTo>
                <a:lnTo>
                  <a:pt x="189" y="122"/>
                </a:lnTo>
                <a:lnTo>
                  <a:pt x="0" y="0"/>
                </a:lnTo>
                <a:close/>
              </a:path>
            </a:pathLst>
          </a:custGeom>
          <a:solidFill>
            <a:srgbClr xmlns:mc="http://schemas.openxmlformats.org/markup-compatibility/2006" xmlns:a14="http://schemas.microsoft.com/office/drawing/2010/main" val="FFFFFF" mc:Ignorable="a14" a14:legacySpreadsheetColorIndex="65"/>
          </a:solidFill>
          <a:ln w="15875"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grpSp>
    <xdr:clientData fPrintsWithSheet="0"/>
  </xdr:twoCellAnchor>
  <xdr:twoCellAnchor>
    <xdr:from>
      <xdr:col>14</xdr:col>
      <xdr:colOff>76200</xdr:colOff>
      <xdr:row>37</xdr:row>
      <xdr:rowOff>28575</xdr:rowOff>
    </xdr:from>
    <xdr:to>
      <xdr:col>19</xdr:col>
      <xdr:colOff>428625</xdr:colOff>
      <xdr:row>45</xdr:row>
      <xdr:rowOff>152400</xdr:rowOff>
    </xdr:to>
    <xdr:grpSp>
      <xdr:nvGrpSpPr>
        <xdr:cNvPr id="18356" name="Group 948"/>
        <xdr:cNvGrpSpPr>
          <a:grpSpLocks/>
        </xdr:cNvGrpSpPr>
      </xdr:nvGrpSpPr>
      <xdr:grpSpPr bwMode="auto">
        <a:xfrm>
          <a:off x="8667750" y="6791325"/>
          <a:ext cx="2181225" cy="1724025"/>
          <a:chOff x="911" y="884"/>
          <a:chExt cx="225" cy="181"/>
        </a:xfrm>
      </xdr:grpSpPr>
      <xdr:pic>
        <xdr:nvPicPr>
          <xdr:cNvPr id="18357" name="Picture 949"/>
          <xdr:cNvPicPr preferRelativeResize="0">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25" y="912"/>
            <a:ext cx="111" cy="71"/>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8358" name="Line 950"/>
          <xdr:cNvSpPr>
            <a:spLocks noChangeAspect="1" noChangeShapeType="1"/>
          </xdr:cNvSpPr>
        </xdr:nvSpPr>
        <xdr:spPr bwMode="auto">
          <a:xfrm flipV="1">
            <a:off x="985" y="968"/>
            <a:ext cx="43" cy="0"/>
          </a:xfrm>
          <a:prstGeom prst="line">
            <a:avLst/>
          </a:prstGeom>
          <a:noFill/>
          <a:ln w="9525">
            <a:solidFill>
              <a:srgbClr xmlns:mc="http://schemas.openxmlformats.org/markup-compatibility/2006" xmlns:a14="http://schemas.microsoft.com/office/drawing/2010/main" val="800000" mc:Ignorable="a14" a14:legacySpreadsheetColorIndex="16"/>
            </a:solidFill>
            <a:round/>
            <a:headEnd/>
            <a:tailEnd type="triangle" w="med" len="med"/>
          </a:ln>
          <a:extLst>
            <a:ext uri="{909E8E84-426E-40DD-AFC4-6F175D3DCCD1}">
              <a14:hiddenFill xmlns:a14="http://schemas.microsoft.com/office/drawing/2010/main">
                <a:noFill/>
              </a14:hiddenFill>
            </a:ext>
          </a:extLst>
        </xdr:spPr>
      </xdr:sp>
      <xdr:pic>
        <xdr:nvPicPr>
          <xdr:cNvPr id="18359" name="Picture 951"/>
          <xdr:cNvPicPr preferRelativeResize="0">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50" y="898"/>
            <a:ext cx="64" cy="19"/>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18360" name="Picture 952"/>
          <xdr:cNvPicPr preferRelativeResize="0">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11" y="900"/>
            <a:ext cx="85" cy="16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8361" name="Text Box 953"/>
          <xdr:cNvSpPr txBox="1">
            <a:spLocks noChangeAspect="1" noChangeArrowheads="1"/>
          </xdr:cNvSpPr>
        </xdr:nvSpPr>
        <xdr:spPr bwMode="auto">
          <a:xfrm>
            <a:off x="916" y="884"/>
            <a:ext cx="80"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it-IT" sz="1000" b="0" i="1" u="none" strike="noStrike" baseline="0">
                <a:solidFill>
                  <a:srgbClr val="800000"/>
                </a:solidFill>
                <a:latin typeface="Corbel"/>
              </a:rPr>
              <a:t>Configuri così</a:t>
            </a:r>
          </a:p>
        </xdr:txBody>
      </xdr:sp>
      <xdr:sp macro="" textlink="">
        <xdr:nvSpPr>
          <xdr:cNvPr id="18362" name="Text Box 954"/>
          <xdr:cNvSpPr txBox="1">
            <a:spLocks noChangeAspect="1" noChangeArrowheads="1"/>
          </xdr:cNvSpPr>
        </xdr:nvSpPr>
        <xdr:spPr bwMode="auto">
          <a:xfrm>
            <a:off x="1039" y="884"/>
            <a:ext cx="80"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it-IT" sz="1000" b="0" i="1" u="none" strike="noStrike" baseline="0">
                <a:solidFill>
                  <a:srgbClr val="800000"/>
                </a:solidFill>
                <a:latin typeface="Corbel"/>
              </a:rPr>
              <a:t>il tuo registro</a:t>
            </a:r>
          </a:p>
        </xdr:txBody>
      </xdr:sp>
      <xdr:sp macro="" textlink="">
        <xdr:nvSpPr>
          <xdr:cNvPr id="18363" name="Line 955"/>
          <xdr:cNvSpPr>
            <a:spLocks noChangeAspect="1" noChangeShapeType="1"/>
          </xdr:cNvSpPr>
        </xdr:nvSpPr>
        <xdr:spPr bwMode="auto">
          <a:xfrm flipV="1">
            <a:off x="985" y="929"/>
            <a:ext cx="43" cy="0"/>
          </a:xfrm>
          <a:prstGeom prst="line">
            <a:avLst/>
          </a:prstGeom>
          <a:noFill/>
          <a:ln w="9525">
            <a:solidFill>
              <a:srgbClr xmlns:mc="http://schemas.openxmlformats.org/markup-compatibility/2006" xmlns:a14="http://schemas.microsoft.com/office/drawing/2010/main" val="800000" mc:Ignorable="a14" a14:legacySpreadsheetColorIndex="16"/>
            </a:solidFill>
            <a:round/>
            <a:headEnd/>
            <a:tailEnd type="triangle" w="med" len="med"/>
          </a:ln>
          <a:extLst>
            <a:ext uri="{909E8E84-426E-40DD-AFC4-6F175D3DCCD1}">
              <a14:hiddenFill xmlns:a14="http://schemas.microsoft.com/office/drawing/2010/main">
                <a:noFill/>
              </a14:hiddenFill>
            </a:ext>
          </a:extLst>
        </xdr:spPr>
      </xdr:sp>
      <xdr:sp macro="" textlink="">
        <xdr:nvSpPr>
          <xdr:cNvPr id="18364" name="Line 956"/>
          <xdr:cNvSpPr>
            <a:spLocks noChangeAspect="1" noChangeShapeType="1"/>
          </xdr:cNvSpPr>
        </xdr:nvSpPr>
        <xdr:spPr bwMode="auto">
          <a:xfrm flipV="1">
            <a:off x="985" y="948"/>
            <a:ext cx="43" cy="0"/>
          </a:xfrm>
          <a:prstGeom prst="line">
            <a:avLst/>
          </a:prstGeom>
          <a:noFill/>
          <a:ln w="9525">
            <a:solidFill>
              <a:srgbClr xmlns:mc="http://schemas.openxmlformats.org/markup-compatibility/2006" xmlns:a14="http://schemas.microsoft.com/office/drawing/2010/main" val="800000" mc:Ignorable="a14" a14:legacySpreadsheetColorIndex="16"/>
            </a:solidFill>
            <a:round/>
            <a:headEnd/>
            <a:tailEnd type="triangle" w="med" len="med"/>
          </a:ln>
          <a:extLst>
            <a:ext uri="{909E8E84-426E-40DD-AFC4-6F175D3DCCD1}">
              <a14:hiddenFill xmlns:a14="http://schemas.microsoft.com/office/drawing/2010/main">
                <a:noFill/>
              </a14:hiddenFill>
            </a:ext>
          </a:extLst>
        </xdr:spPr>
      </xdr:sp>
    </xdr:grpSp>
    <xdr:clientData fPrintsWithSheet="0"/>
  </xdr:twoCellAnchor>
  <xdr:twoCellAnchor>
    <xdr:from>
      <xdr:col>13</xdr:col>
      <xdr:colOff>609600</xdr:colOff>
      <xdr:row>58</xdr:row>
      <xdr:rowOff>161925</xdr:rowOff>
    </xdr:from>
    <xdr:to>
      <xdr:col>19</xdr:col>
      <xdr:colOff>590550</xdr:colOff>
      <xdr:row>63</xdr:row>
      <xdr:rowOff>238125</xdr:rowOff>
    </xdr:to>
    <xdr:grpSp>
      <xdr:nvGrpSpPr>
        <xdr:cNvPr id="18365" name="Group 957"/>
        <xdr:cNvGrpSpPr>
          <a:grpSpLocks noChangeAspect="1"/>
        </xdr:cNvGrpSpPr>
      </xdr:nvGrpSpPr>
      <xdr:grpSpPr bwMode="auto">
        <a:xfrm>
          <a:off x="8562975" y="11239500"/>
          <a:ext cx="2447925" cy="1028700"/>
          <a:chOff x="882" y="1250"/>
          <a:chExt cx="350" cy="144"/>
        </a:xfrm>
      </xdr:grpSpPr>
      <xdr:pic>
        <xdr:nvPicPr>
          <xdr:cNvPr id="18366" name="Picture 958"/>
          <xdr:cNvPicPr preferRelativeResize="0">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88" y="1250"/>
            <a:ext cx="339" cy="13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8367" name="Rectangle 959"/>
          <xdr:cNvSpPr>
            <a:spLocks noChangeAspect="1" noChangeArrowheads="1"/>
          </xdr:cNvSpPr>
        </xdr:nvSpPr>
        <xdr:spPr bwMode="auto">
          <a:xfrm>
            <a:off x="882" y="1383"/>
            <a:ext cx="350" cy="11"/>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fPrintsWithSheet="0"/>
  </xdr:twoCellAnchor>
  <xdr:twoCellAnchor>
    <xdr:from>
      <xdr:col>13</xdr:col>
      <xdr:colOff>552450</xdr:colOff>
      <xdr:row>13</xdr:row>
      <xdr:rowOff>95250</xdr:rowOff>
    </xdr:from>
    <xdr:to>
      <xdr:col>18</xdr:col>
      <xdr:colOff>533400</xdr:colOff>
      <xdr:row>17</xdr:row>
      <xdr:rowOff>38100</xdr:rowOff>
    </xdr:to>
    <xdr:sp macro="" textlink="">
      <xdr:nvSpPr>
        <xdr:cNvPr id="29" name="CasellaDiTesto 28"/>
        <xdr:cNvSpPr txBox="1"/>
      </xdr:nvSpPr>
      <xdr:spPr>
        <a:xfrm>
          <a:off x="8505825" y="3371850"/>
          <a:ext cx="1838325" cy="657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000" i="1">
              <a:solidFill>
                <a:schemeClr val="bg1">
                  <a:lumMod val="50000"/>
                </a:schemeClr>
              </a:solidFill>
              <a:latin typeface="Corbel" panose="020B0503020204020204" pitchFamily="34" charset="0"/>
            </a:rPr>
            <a:t>Questo file funziona in tutti i trimestri di qualsiasi anno, </a:t>
          </a:r>
        </a:p>
        <a:p>
          <a:r>
            <a:rPr lang="it-IT" sz="1000" i="1">
              <a:solidFill>
                <a:schemeClr val="bg1">
                  <a:lumMod val="50000"/>
                </a:schemeClr>
              </a:solidFill>
              <a:latin typeface="Corbel" panose="020B0503020204020204" pitchFamily="34" charset="0"/>
            </a:rPr>
            <a:t>per enne copie.</a:t>
          </a:r>
        </a:p>
      </xdr:txBody>
    </xdr:sp>
    <xdr:clientData/>
  </xdr:twoCellAnchor>
  <xdr:twoCellAnchor editAs="oneCell">
    <xdr:from>
      <xdr:col>1</xdr:col>
      <xdr:colOff>190500</xdr:colOff>
      <xdr:row>1</xdr:row>
      <xdr:rowOff>76200</xdr:rowOff>
    </xdr:from>
    <xdr:to>
      <xdr:col>1</xdr:col>
      <xdr:colOff>593675</xdr:colOff>
      <xdr:row>3</xdr:row>
      <xdr:rowOff>142821</xdr:rowOff>
    </xdr:to>
    <xdr:pic>
      <xdr:nvPicPr>
        <xdr:cNvPr id="32" name="Immagine 31"/>
        <xdr:cNvPicPr>
          <a:picLocks noChangeAspect="1"/>
        </xdr:cNvPicPr>
      </xdr:nvPicPr>
      <xdr:blipFill>
        <a:blip xmlns:r="http://schemas.openxmlformats.org/officeDocument/2006/relationships" r:embed="rId10"/>
        <a:stretch>
          <a:fillRect/>
        </a:stretch>
      </xdr:blipFill>
      <xdr:spPr>
        <a:xfrm>
          <a:off x="695325" y="228600"/>
          <a:ext cx="403175" cy="428571"/>
        </a:xfrm>
        <a:prstGeom prst="rect">
          <a:avLst/>
        </a:prstGeom>
      </xdr:spPr>
    </xdr:pic>
    <xdr:clientData/>
  </xdr:twoCellAnchor>
  <xdr:twoCellAnchor>
    <xdr:from>
      <xdr:col>0</xdr:col>
      <xdr:colOff>381000</xdr:colOff>
      <xdr:row>92</xdr:row>
      <xdr:rowOff>76200</xdr:rowOff>
    </xdr:from>
    <xdr:to>
      <xdr:col>14</xdr:col>
      <xdr:colOff>111700</xdr:colOff>
      <xdr:row>95</xdr:row>
      <xdr:rowOff>38100</xdr:rowOff>
    </xdr:to>
    <xdr:grpSp>
      <xdr:nvGrpSpPr>
        <xdr:cNvPr id="33" name="Gruppo 32"/>
        <xdr:cNvGrpSpPr/>
      </xdr:nvGrpSpPr>
      <xdr:grpSpPr>
        <a:xfrm>
          <a:off x="381000" y="18154650"/>
          <a:ext cx="8322250" cy="476250"/>
          <a:chOff x="504825" y="19688175"/>
          <a:chExt cx="8322250" cy="476250"/>
        </a:xfrm>
      </xdr:grpSpPr>
      <xdr:sp macro="" textlink="">
        <xdr:nvSpPr>
          <xdr:cNvPr id="34" name="Text Box 974"/>
          <xdr:cNvSpPr txBox="1">
            <a:spLocks noChangeArrowheads="1"/>
          </xdr:cNvSpPr>
        </xdr:nvSpPr>
        <xdr:spPr bwMode="auto">
          <a:xfrm>
            <a:off x="847725" y="19688175"/>
            <a:ext cx="7905750" cy="1428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it-IT" sz="800" b="0" i="0" u="none" strike="noStrike" baseline="0">
                <a:solidFill>
                  <a:srgbClr val="000080"/>
                </a:solidFill>
                <a:latin typeface="Tahoma"/>
                <a:ea typeface="Tahoma"/>
                <a:cs typeface="Tahoma"/>
              </a:rPr>
              <a:t>     1                        2                 3         4         5          6          7         8         9        10        11       12        13        14         15              16                17              18</a:t>
            </a:r>
          </a:p>
        </xdr:txBody>
      </xdr:sp>
      <xdr:grpSp>
        <xdr:nvGrpSpPr>
          <xdr:cNvPr id="35" name="Gruppo 34"/>
          <xdr:cNvGrpSpPr/>
        </xdr:nvGrpSpPr>
        <xdr:grpSpPr>
          <a:xfrm>
            <a:off x="504825" y="19821536"/>
            <a:ext cx="8322250" cy="342889"/>
            <a:chOff x="438150" y="31013411"/>
            <a:chExt cx="8322250" cy="342889"/>
          </a:xfrm>
        </xdr:grpSpPr>
        <xdr:grpSp>
          <xdr:nvGrpSpPr>
            <xdr:cNvPr id="36" name="Gruppo 35"/>
            <xdr:cNvGrpSpPr/>
          </xdr:nvGrpSpPr>
          <xdr:grpSpPr>
            <a:xfrm>
              <a:off x="504834" y="31013411"/>
              <a:ext cx="8255566" cy="292852"/>
              <a:chOff x="504834" y="31013411"/>
              <a:chExt cx="8255566" cy="292852"/>
            </a:xfrm>
          </xdr:grpSpPr>
          <xdr:pic>
            <xdr:nvPicPr>
              <xdr:cNvPr id="38" name="Immagine 37"/>
              <xdr:cNvPicPr>
                <a:picLocks noChangeAspect="1"/>
              </xdr:cNvPicPr>
            </xdr:nvPicPr>
            <xdr:blipFill>
              <a:blip xmlns:r="http://schemas.openxmlformats.org/officeDocument/2006/relationships" r:embed="rId11"/>
              <a:stretch>
                <a:fillRect/>
              </a:stretch>
            </xdr:blipFill>
            <xdr:spPr>
              <a:xfrm>
                <a:off x="504834" y="31013411"/>
                <a:ext cx="6442857" cy="292852"/>
              </a:xfrm>
              <a:prstGeom prst="rect">
                <a:avLst/>
              </a:prstGeom>
            </xdr:spPr>
          </xdr:pic>
          <xdr:pic>
            <xdr:nvPicPr>
              <xdr:cNvPr id="39" name="Immagine 38"/>
              <xdr:cNvPicPr>
                <a:picLocks noChangeAspect="1"/>
              </xdr:cNvPicPr>
            </xdr:nvPicPr>
            <xdr:blipFill rotWithShape="1">
              <a:blip xmlns:r="http://schemas.openxmlformats.org/officeDocument/2006/relationships" r:embed="rId12"/>
              <a:srcRect b="9290"/>
              <a:stretch/>
            </xdr:blipFill>
            <xdr:spPr>
              <a:xfrm>
                <a:off x="6938972" y="31020555"/>
                <a:ext cx="1821428" cy="278601"/>
              </a:xfrm>
              <a:prstGeom prst="rect">
                <a:avLst/>
              </a:prstGeom>
            </xdr:spPr>
          </xdr:pic>
        </xdr:grpSp>
        <xdr:sp macro="" textlink="">
          <xdr:nvSpPr>
            <xdr:cNvPr id="37" name="Rettangolo 36"/>
            <xdr:cNvSpPr/>
          </xdr:nvSpPr>
          <xdr:spPr>
            <a:xfrm>
              <a:off x="438150" y="31299150"/>
              <a:ext cx="6543675" cy="571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grpSp>
    </xdr:grpSp>
    <xdr:clientData/>
  </xdr:twoCellAnchor>
  <xdr:twoCellAnchor>
    <xdr:from>
      <xdr:col>13</xdr:col>
      <xdr:colOff>619125</xdr:colOff>
      <xdr:row>4</xdr:row>
      <xdr:rowOff>238125</xdr:rowOff>
    </xdr:from>
    <xdr:to>
      <xdr:col>19</xdr:col>
      <xdr:colOff>228600</xdr:colOff>
      <xdr:row>5</xdr:row>
      <xdr:rowOff>619125</xdr:rowOff>
    </xdr:to>
    <xdr:sp macro="" textlink="">
      <xdr:nvSpPr>
        <xdr:cNvPr id="40" name="Text Box 1">
          <a:hlinkClick xmlns:r="http://schemas.openxmlformats.org/officeDocument/2006/relationships" r:id="rId13"/>
        </xdr:cNvPr>
        <xdr:cNvSpPr txBox="1">
          <a:spLocks noChangeArrowheads="1"/>
        </xdr:cNvSpPr>
      </xdr:nvSpPr>
      <xdr:spPr bwMode="auto">
        <a:xfrm>
          <a:off x="8572500" y="1038225"/>
          <a:ext cx="2076450" cy="7334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1" u="none" strike="noStrike" baseline="0">
              <a:solidFill>
                <a:schemeClr val="tx1">
                  <a:lumMod val="75000"/>
                  <a:lumOff val="25000"/>
                </a:schemeClr>
              </a:solidFill>
              <a:latin typeface="Corbel" panose="020B0503020204020204" pitchFamily="34" charset="0"/>
              <a:cs typeface="Arial"/>
            </a:rPr>
            <a:t>Forse ti può interessare il sistema</a:t>
          </a:r>
        </a:p>
        <a:p>
          <a:pPr algn="l" rtl="0">
            <a:defRPr sz="1000"/>
          </a:pPr>
          <a:r>
            <a:rPr lang="it-IT" sz="1000" b="0" i="1" u="none" strike="noStrike" baseline="0">
              <a:solidFill>
                <a:srgbClr val="C00000"/>
              </a:solidFill>
              <a:latin typeface="Corbel" panose="020B0503020204020204" pitchFamily="34" charset="0"/>
              <a:cs typeface="Arial"/>
            </a:rPr>
            <a:t>Scadenzario Clienti / Fornitori</a:t>
          </a:r>
        </a:p>
        <a:p>
          <a:pPr algn="l" rtl="0">
            <a:defRPr sz="1000"/>
          </a:pPr>
          <a:r>
            <a:rPr lang="it-IT" sz="1000" b="0" i="1" u="none" strike="noStrike" baseline="0">
              <a:solidFill>
                <a:srgbClr val="C00000"/>
              </a:solidFill>
              <a:latin typeface="Corbel" panose="020B0503020204020204" pitchFamily="34" charset="0"/>
              <a:cs typeface="Arial"/>
            </a:rPr>
            <a:t>che trovi QUI.</a:t>
          </a:r>
        </a:p>
      </xdr:txBody>
    </xdr:sp>
    <xdr:clientData fLocksWithSheet="0" fPrintsWithSheet="0"/>
  </xdr:twoCellAnchor>
  <xdr:twoCellAnchor>
    <xdr:from>
      <xdr:col>14</xdr:col>
      <xdr:colOff>0</xdr:colOff>
      <xdr:row>2</xdr:row>
      <xdr:rowOff>0</xdr:rowOff>
    </xdr:from>
    <xdr:to>
      <xdr:col>19</xdr:col>
      <xdr:colOff>247650</xdr:colOff>
      <xdr:row>4</xdr:row>
      <xdr:rowOff>171450</xdr:rowOff>
    </xdr:to>
    <xdr:sp macro="" textlink="">
      <xdr:nvSpPr>
        <xdr:cNvPr id="41" name="Text Box 1">
          <a:hlinkClick xmlns:r="http://schemas.openxmlformats.org/officeDocument/2006/relationships" r:id="rId14"/>
        </xdr:cNvPr>
        <xdr:cNvSpPr txBox="1">
          <a:spLocks noChangeArrowheads="1"/>
        </xdr:cNvSpPr>
      </xdr:nvSpPr>
      <xdr:spPr bwMode="auto">
        <a:xfrm>
          <a:off x="8591550" y="352425"/>
          <a:ext cx="2076450" cy="6191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1" u="none" strike="noStrike" baseline="0">
              <a:solidFill>
                <a:schemeClr val="tx1">
                  <a:lumMod val="75000"/>
                  <a:lumOff val="25000"/>
                </a:schemeClr>
              </a:solidFill>
              <a:latin typeface="Corbel" panose="020B0503020204020204" pitchFamily="34" charset="0"/>
              <a:cs typeface="Arial"/>
            </a:rPr>
            <a:t>Forse ti può interessare il</a:t>
          </a:r>
        </a:p>
        <a:p>
          <a:pPr algn="l" rtl="0">
            <a:defRPr sz="1000"/>
          </a:pPr>
          <a:r>
            <a:rPr lang="it-IT" sz="1000" b="0" i="1" u="none" strike="noStrike" baseline="0">
              <a:solidFill>
                <a:srgbClr val="C00000"/>
              </a:solidFill>
              <a:latin typeface="Corbel" panose="020B0503020204020204" pitchFamily="34" charset="0"/>
              <a:cs typeface="Arial"/>
            </a:rPr>
            <a:t>Bilancio Aziendale in Excel</a:t>
          </a:r>
        </a:p>
        <a:p>
          <a:pPr algn="l" rtl="0">
            <a:defRPr sz="1000"/>
          </a:pPr>
          <a:r>
            <a:rPr lang="it-IT" sz="1000" b="0" i="1" u="none" strike="noStrike" baseline="0">
              <a:solidFill>
                <a:srgbClr val="C00000"/>
              </a:solidFill>
              <a:latin typeface="Corbel" panose="020B0503020204020204" pitchFamily="34" charset="0"/>
              <a:cs typeface="Arial"/>
            </a:rPr>
            <a:t>che trovi QUI.</a:t>
          </a:r>
        </a:p>
      </xdr:txBody>
    </xdr:sp>
    <xdr:clientData fLocksWithSheet="0" fPrintsWithSheet="0"/>
  </xdr:twoCellAnchor>
</xdr:wsDr>
</file>

<file path=xl/drawings/drawing2.xml><?xml version="1.0" encoding="utf-8"?>
<xdr:wsDr xmlns:xdr="http://schemas.openxmlformats.org/drawingml/2006/spreadsheetDrawing" xmlns:a="http://schemas.openxmlformats.org/drawingml/2006/main">
  <xdr:twoCellAnchor>
    <xdr:from>
      <xdr:col>8</xdr:col>
      <xdr:colOff>0</xdr:colOff>
      <xdr:row>17</xdr:row>
      <xdr:rowOff>152400</xdr:rowOff>
    </xdr:from>
    <xdr:to>
      <xdr:col>31</xdr:col>
      <xdr:colOff>276225</xdr:colOff>
      <xdr:row>22</xdr:row>
      <xdr:rowOff>76200</xdr:rowOff>
    </xdr:to>
    <xdr:sp macro="" textlink="">
      <xdr:nvSpPr>
        <xdr:cNvPr id="57865" name="Rectangle 9737"/>
        <xdr:cNvSpPr>
          <a:spLocks noChangeArrowheads="1"/>
        </xdr:cNvSpPr>
      </xdr:nvSpPr>
      <xdr:spPr bwMode="auto">
        <a:xfrm>
          <a:off x="2286000" y="3867150"/>
          <a:ext cx="6848475" cy="1066800"/>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fLocksWithSheet="0" fPrintsWithSheet="0"/>
  </xdr:twoCellAnchor>
  <xdr:twoCellAnchor>
    <xdr:from>
      <xdr:col>1</xdr:col>
      <xdr:colOff>142875</xdr:colOff>
      <xdr:row>51</xdr:row>
      <xdr:rowOff>0</xdr:rowOff>
    </xdr:from>
    <xdr:to>
      <xdr:col>16</xdr:col>
      <xdr:colOff>142875</xdr:colOff>
      <xdr:row>55</xdr:row>
      <xdr:rowOff>114300</xdr:rowOff>
    </xdr:to>
    <xdr:sp macro="" textlink="">
      <xdr:nvSpPr>
        <xdr:cNvPr id="57990" name="Rectangle 9862"/>
        <xdr:cNvSpPr>
          <a:spLocks noChangeArrowheads="1"/>
        </xdr:cNvSpPr>
      </xdr:nvSpPr>
      <xdr:spPr bwMode="auto">
        <a:xfrm>
          <a:off x="428625" y="10687050"/>
          <a:ext cx="4286250" cy="1123950"/>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fLocksWithSheet="0" fPrintsWithSheet="0"/>
  </xdr:twoCellAnchor>
  <xdr:twoCellAnchor editAs="oneCell">
    <xdr:from>
      <xdr:col>33</xdr:col>
      <xdr:colOff>142875</xdr:colOff>
      <xdr:row>18</xdr:row>
      <xdr:rowOff>19050</xdr:rowOff>
    </xdr:from>
    <xdr:to>
      <xdr:col>41</xdr:col>
      <xdr:colOff>266700</xdr:colOff>
      <xdr:row>19</xdr:row>
      <xdr:rowOff>190500</xdr:rowOff>
    </xdr:to>
    <xdr:pic>
      <xdr:nvPicPr>
        <xdr:cNvPr id="62482" name="Picture 10258" descr="Tasto TAB e descrizione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72625" y="3962400"/>
          <a:ext cx="2409825" cy="400050"/>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xdr:from>
      <xdr:col>33</xdr:col>
      <xdr:colOff>28575</xdr:colOff>
      <xdr:row>32</xdr:row>
      <xdr:rowOff>19050</xdr:rowOff>
    </xdr:from>
    <xdr:to>
      <xdr:col>43</xdr:col>
      <xdr:colOff>190500</xdr:colOff>
      <xdr:row>32</xdr:row>
      <xdr:rowOff>228600</xdr:rowOff>
    </xdr:to>
    <xdr:grpSp>
      <xdr:nvGrpSpPr>
        <xdr:cNvPr id="62484" name="Group 10260"/>
        <xdr:cNvGrpSpPr>
          <a:grpSpLocks/>
        </xdr:cNvGrpSpPr>
      </xdr:nvGrpSpPr>
      <xdr:grpSpPr bwMode="auto">
        <a:xfrm>
          <a:off x="9458325" y="6981825"/>
          <a:ext cx="3019425" cy="209550"/>
          <a:chOff x="675" y="711"/>
          <a:chExt cx="317" cy="22"/>
        </a:xfrm>
      </xdr:grpSpPr>
      <xdr:sp macro="" textlink="">
        <xdr:nvSpPr>
          <xdr:cNvPr id="62485" name="Line 10261"/>
          <xdr:cNvSpPr>
            <a:spLocks noChangeShapeType="1"/>
          </xdr:cNvSpPr>
        </xdr:nvSpPr>
        <xdr:spPr bwMode="auto">
          <a:xfrm>
            <a:off x="675" y="722"/>
            <a:ext cx="114" cy="0"/>
          </a:xfrm>
          <a:prstGeom prst="line">
            <a:avLst/>
          </a:prstGeom>
          <a:noFill/>
          <a:ln w="9525">
            <a:solidFill>
              <a:srgbClr xmlns:mc="http://schemas.openxmlformats.org/markup-compatibility/2006" xmlns:a14="http://schemas.microsoft.com/office/drawing/2010/main" val="333333" mc:Ignorable="a14" a14:legacySpreadsheetColorIndex="63"/>
            </a:solidFill>
            <a:round/>
            <a:headEnd type="triangle" w="med" len="med"/>
            <a:tailEnd/>
          </a:ln>
          <a:extLst>
            <a:ext uri="{909E8E84-426E-40DD-AFC4-6F175D3DCCD1}">
              <a14:hiddenFill xmlns:a14="http://schemas.microsoft.com/office/drawing/2010/main">
                <a:noFill/>
              </a14:hiddenFill>
            </a:ext>
          </a:extLst>
        </xdr:spPr>
      </xdr:sp>
      <xdr:sp macro="" textlink="">
        <xdr:nvSpPr>
          <xdr:cNvPr id="62486" name="Text Box 10262"/>
          <xdr:cNvSpPr txBox="1">
            <a:spLocks noChangeArrowheads="1"/>
          </xdr:cNvSpPr>
        </xdr:nvSpPr>
        <xdr:spPr bwMode="auto">
          <a:xfrm>
            <a:off x="739" y="711"/>
            <a:ext cx="253" cy="22"/>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333333" mc:Ignorable="a14" a14:legacySpreadsheetColorIndex="63"/>
                </a:solidFill>
                <a:miter lim="800000"/>
                <a:headEnd/>
                <a:tailEnd/>
              </a14:hiddenLine>
            </a:ext>
          </a:extLst>
        </xdr:spPr>
        <xdr:txBody>
          <a:bodyPr vertOverflow="clip" wrap="square" lIns="36000" tIns="0" rIns="0" bIns="0" anchor="ctr" upright="1"/>
          <a:lstStyle/>
          <a:p>
            <a:pPr algn="l" rtl="0">
              <a:defRPr sz="1000"/>
            </a:pPr>
            <a:r>
              <a:rPr lang="it-IT" sz="1000" b="0" i="1" u="none" strike="noStrike" baseline="0">
                <a:solidFill>
                  <a:srgbClr val="333333"/>
                </a:solidFill>
                <a:latin typeface="Corbel"/>
              </a:rPr>
              <a:t>Qui ESCLUDI una o più colonne dal totale</a:t>
            </a:r>
          </a:p>
        </xdr:txBody>
      </xdr:sp>
    </xdr:grpSp>
    <xdr:clientData fPrintsWithSheet="0"/>
  </xdr:twoCellAnchor>
  <xdr:twoCellAnchor>
    <xdr:from>
      <xdr:col>34</xdr:col>
      <xdr:colOff>0</xdr:colOff>
      <xdr:row>38</xdr:row>
      <xdr:rowOff>133350</xdr:rowOff>
    </xdr:from>
    <xdr:to>
      <xdr:col>41</xdr:col>
      <xdr:colOff>209550</xdr:colOff>
      <xdr:row>41</xdr:row>
      <xdr:rowOff>66675</xdr:rowOff>
    </xdr:to>
    <xdr:sp macro="" textlink="" fLocksText="0">
      <xdr:nvSpPr>
        <xdr:cNvPr id="62746" name="Text Box 10522"/>
        <xdr:cNvSpPr txBox="1">
          <a:spLocks noChangeArrowheads="1"/>
        </xdr:cNvSpPr>
      </xdr:nvSpPr>
      <xdr:spPr bwMode="auto">
        <a:xfrm>
          <a:off x="9715500" y="7972425"/>
          <a:ext cx="2209800" cy="6191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808080" mc:Ignorable="a14" a14:legacySpreadsheetColorIndex="23"/>
              </a:solidFill>
              <a:miter lim="800000"/>
              <a:headEnd/>
              <a:tailEnd/>
            </a14:hiddenLine>
          </a:ext>
        </a:extLst>
      </xdr:spPr>
      <xdr:txBody>
        <a:bodyPr vertOverflow="clip" wrap="square" lIns="72000" tIns="46800" rIns="90000" bIns="46800" anchor="t" upright="1"/>
        <a:lstStyle/>
        <a:p>
          <a:pPr algn="l" rtl="0">
            <a:defRPr sz="1000"/>
          </a:pPr>
          <a:r>
            <a:rPr lang="it-IT" sz="1000" b="0" i="1" u="none" strike="noStrike" baseline="0">
              <a:solidFill>
                <a:srgbClr val="808080"/>
              </a:solidFill>
              <a:latin typeface="Corbel"/>
            </a:rPr>
            <a:t>Il registro si convalida automaticamente, quando almeno una colonna è configurata correttamente. </a:t>
          </a:r>
        </a:p>
      </xdr:txBody>
    </xdr:sp>
    <xdr:clientData fLocksWithSheet="0" fPrintsWithSheet="0"/>
  </xdr:twoCellAnchor>
  <xdr:twoCellAnchor editAs="absolute">
    <xdr:from>
      <xdr:col>37</xdr:col>
      <xdr:colOff>95250</xdr:colOff>
      <xdr:row>21</xdr:row>
      <xdr:rowOff>47625</xdr:rowOff>
    </xdr:from>
    <xdr:to>
      <xdr:col>45</xdr:col>
      <xdr:colOff>9525</xdr:colOff>
      <xdr:row>25</xdr:row>
      <xdr:rowOff>219075</xdr:rowOff>
    </xdr:to>
    <xdr:sp macro="" textlink="" fLocksText="0">
      <xdr:nvSpPr>
        <xdr:cNvPr id="62748" name="Text Box 10524"/>
        <xdr:cNvSpPr txBox="1">
          <a:spLocks noChangeArrowheads="1"/>
        </xdr:cNvSpPr>
      </xdr:nvSpPr>
      <xdr:spPr bwMode="auto">
        <a:xfrm>
          <a:off x="10668000" y="4676775"/>
          <a:ext cx="2200275" cy="9810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FFFFFF" mc:Ignorable="a14" a14:legacySpreadsheetColorIndex="9"/>
          </a:solidFill>
          <a:miter lim="800000"/>
          <a:headEnd/>
          <a:tailEnd/>
        </a:ln>
      </xdr:spPr>
      <xdr:txBody>
        <a:bodyPr vertOverflow="clip" wrap="square" lIns="108000" tIns="46800" rIns="90000" bIns="46800" anchor="t" upright="1"/>
        <a:lstStyle/>
        <a:p>
          <a:pPr algn="l" rtl="0">
            <a:lnSpc>
              <a:spcPts val="1000"/>
            </a:lnSpc>
            <a:defRPr sz="1000"/>
          </a:pPr>
          <a:r>
            <a:rPr lang="it-IT" sz="1000" b="0" i="1" u="sng" strike="noStrike" baseline="0">
              <a:solidFill>
                <a:srgbClr val="FF0000"/>
              </a:solidFill>
              <a:latin typeface="Corbel"/>
            </a:rPr>
            <a:t>Alcuni esempi di configurazione</a:t>
          </a:r>
          <a:r>
            <a:rPr lang="it-IT" sz="1000" b="0" i="1" u="none" strike="noStrike" baseline="0">
              <a:solidFill>
                <a:srgbClr val="333333"/>
              </a:solidFill>
              <a:latin typeface="Corbel"/>
            </a:rPr>
            <a:t> li trovi on line ai link specificati nel foglio "Presentazione". Altre spiegazioni aggiuntive in coda, nei fogli SA., i fogli SA. possono essere rimossi liberamente.</a:t>
          </a:r>
        </a:p>
      </xdr:txBody>
    </xdr:sp>
    <xdr:clientData fLocksWithSheet="0" fPrintsWithSheet="0"/>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26</xdr:col>
          <xdr:colOff>114300</xdr:colOff>
          <xdr:row>2</xdr:row>
          <xdr:rowOff>285750</xdr:rowOff>
        </xdr:from>
        <xdr:to>
          <xdr:col>29</xdr:col>
          <xdr:colOff>200025</xdr:colOff>
          <xdr:row>4</xdr:row>
          <xdr:rowOff>266700</xdr:rowOff>
        </xdr:to>
        <xdr:sp macro="" textlink="">
          <xdr:nvSpPr>
            <xdr:cNvPr id="5149" name="Button 29" hidden="1">
              <a:extLst>
                <a:ext uri="{63B3BB69-23CF-44E3-9099-C40C66FF867C}">
                  <a14:compatExt spid="_x0000_s514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it-IT" sz="800" b="0" i="0" u="none" strike="noStrike" baseline="0">
                  <a:solidFill>
                    <a:srgbClr val="333333"/>
                  </a:solidFill>
                  <a:latin typeface="Tahoma"/>
                  <a:ea typeface="Tahoma"/>
                  <a:cs typeface="Tahoma"/>
                </a:rPr>
                <a:t>MACRO</a:t>
              </a:r>
              <a:endParaRPr lang="it-IT" sz="800" b="0" i="0" u="none" strike="noStrike" baseline="0">
                <a:solidFill>
                  <a:srgbClr val="FF0000"/>
                </a:solidFill>
                <a:latin typeface="Tahoma"/>
                <a:ea typeface="Tahoma"/>
                <a:cs typeface="Tahoma"/>
              </a:endParaRPr>
            </a:p>
            <a:p>
              <a:pPr algn="ctr" rtl="0">
                <a:defRPr sz="1000"/>
              </a:pPr>
              <a:r>
                <a:rPr lang="it-IT" sz="800" b="0" i="0" u="none" strike="noStrike" baseline="0">
                  <a:solidFill>
                    <a:srgbClr val="FF0000"/>
                  </a:solidFill>
                  <a:latin typeface="Tahoma"/>
                  <a:ea typeface="Tahoma"/>
                  <a:cs typeface="Tahoma"/>
                </a:rPr>
                <a:t>Cancella</a:t>
              </a:r>
            </a:p>
            <a:p>
              <a:pPr algn="ctr" rtl="0">
                <a:defRPr sz="1000"/>
              </a:pPr>
              <a:r>
                <a:rPr lang="it-IT" sz="800" b="0" i="0" u="none" strike="noStrike" baseline="0">
                  <a:solidFill>
                    <a:srgbClr val="FF0000"/>
                  </a:solidFill>
                  <a:latin typeface="Tahoma"/>
                  <a:ea typeface="Tahoma"/>
                  <a:cs typeface="Tahoma"/>
                </a:rPr>
                <a:t>Rapportino</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95250</xdr:colOff>
          <xdr:row>105</xdr:row>
          <xdr:rowOff>85725</xdr:rowOff>
        </xdr:from>
        <xdr:to>
          <xdr:col>8</xdr:col>
          <xdr:colOff>47625</xdr:colOff>
          <xdr:row>106</xdr:row>
          <xdr:rowOff>228600</xdr:rowOff>
        </xdr:to>
        <xdr:sp macro="" textlink="">
          <xdr:nvSpPr>
            <xdr:cNvPr id="53425" name="Button 7345" hidden="1">
              <a:extLst>
                <a:ext uri="{63B3BB69-23CF-44E3-9099-C40C66FF867C}">
                  <a14:compatExt spid="_x0000_s5342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it-IT" sz="800" b="0" i="0" u="none" strike="noStrike" baseline="0">
                  <a:solidFill>
                    <a:srgbClr val="333333"/>
                  </a:solidFill>
                  <a:latin typeface="Tahoma"/>
                  <a:ea typeface="Tahoma"/>
                  <a:cs typeface="Tahoma"/>
                </a:rPr>
                <a:t>MACRO </a:t>
              </a:r>
              <a:r>
                <a:rPr lang="it-IT" sz="800" b="0" i="0" u="none" strike="noStrike" baseline="0">
                  <a:solidFill>
                    <a:srgbClr val="FF0000"/>
                  </a:solidFill>
                  <a:latin typeface="Tahoma"/>
                  <a:ea typeface="Tahoma"/>
                  <a:cs typeface="Tahoma"/>
                </a:rPr>
                <a:t>Cancella Distinta</a:t>
              </a:r>
            </a:p>
          </xdr:txBody>
        </xdr:sp>
        <xdr:clientData fPrintsWithSheet="0"/>
      </xdr:twoCellAnchor>
    </mc:Choice>
    <mc:Fallback/>
  </mc:AlternateContent>
  <xdr:twoCellAnchor editAs="absolute">
    <xdr:from>
      <xdr:col>32</xdr:col>
      <xdr:colOff>171450</xdr:colOff>
      <xdr:row>1</xdr:row>
      <xdr:rowOff>76200</xdr:rowOff>
    </xdr:from>
    <xdr:to>
      <xdr:col>138</xdr:col>
      <xdr:colOff>390525</xdr:colOff>
      <xdr:row>2</xdr:row>
      <xdr:rowOff>285750</xdr:rowOff>
    </xdr:to>
    <xdr:pic>
      <xdr:nvPicPr>
        <xdr:cNvPr id="53445" name="Picture 7365" descr="Tasto TAB e descrizione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15350" y="171450"/>
          <a:ext cx="2543175" cy="40005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fPrintsWithSheet="0"/>
  </xdr:twoCellAnchor>
  <xdr:twoCellAnchor editAs="absolute">
    <xdr:from>
      <xdr:col>32</xdr:col>
      <xdr:colOff>200025</xdr:colOff>
      <xdr:row>3</xdr:row>
      <xdr:rowOff>57150</xdr:rowOff>
    </xdr:from>
    <xdr:to>
      <xdr:col>137</xdr:col>
      <xdr:colOff>285750</xdr:colOff>
      <xdr:row>6</xdr:row>
      <xdr:rowOff>47625</xdr:rowOff>
    </xdr:to>
    <xdr:sp macro="" textlink="" fLocksText="0">
      <xdr:nvSpPr>
        <xdr:cNvPr id="60471" name="Text Box 8247"/>
        <xdr:cNvSpPr txBox="1">
          <a:spLocks noChangeArrowheads="1"/>
        </xdr:cNvSpPr>
      </xdr:nvSpPr>
      <xdr:spPr bwMode="auto">
        <a:xfrm>
          <a:off x="8543925" y="704850"/>
          <a:ext cx="1800225" cy="5619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1" u="none" strike="noStrike" baseline="0">
              <a:solidFill>
                <a:srgbClr val="333333"/>
              </a:solidFill>
              <a:latin typeface="Corbel"/>
            </a:rPr>
            <a:t>Spiegazioni dettagliate sull' uso di questo modello le trovi in coda al sistema nel foglio ES.8</a:t>
          </a:r>
        </a:p>
      </xdr:txBody>
    </xdr:sp>
    <xdr:clientData fLocksWithSheet="0" fPrintsWithSheet="0"/>
  </xdr:twoCellAnchor>
  <xdr:twoCellAnchor editAs="absolute">
    <xdr:from>
      <xdr:col>31</xdr:col>
      <xdr:colOff>0</xdr:colOff>
      <xdr:row>9</xdr:row>
      <xdr:rowOff>57150</xdr:rowOff>
    </xdr:from>
    <xdr:to>
      <xdr:col>137</xdr:col>
      <xdr:colOff>66675</xdr:colOff>
      <xdr:row>11</xdr:row>
      <xdr:rowOff>152400</xdr:rowOff>
    </xdr:to>
    <xdr:sp macro="" textlink="" fLocksText="0">
      <xdr:nvSpPr>
        <xdr:cNvPr id="7" name="Text Box 9403"/>
        <xdr:cNvSpPr txBox="1">
          <a:spLocks noChangeArrowheads="1"/>
        </xdr:cNvSpPr>
      </xdr:nvSpPr>
      <xdr:spPr bwMode="auto">
        <a:xfrm>
          <a:off x="8105775" y="1876425"/>
          <a:ext cx="2019300" cy="5619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1" u="none" strike="noStrike" baseline="0">
              <a:solidFill>
                <a:srgbClr val="333333"/>
              </a:solidFill>
              <a:latin typeface="Corbel"/>
            </a:rPr>
            <a:t>&lt;--- Inserisci qui un importo qualsiasi. Premi il tasto INVIO per scorrere in basso velocemente.</a:t>
          </a:r>
        </a:p>
      </xdr:txBody>
    </xdr:sp>
    <xdr:clientData fLocksWithSheet="0" fPrintsWithSheet="0"/>
  </xdr:twoCellAnchor>
</xdr:wsDr>
</file>

<file path=xl/drawings/drawing4.xml><?xml version="1.0" encoding="utf-8"?>
<xdr:wsDr xmlns:xdr="http://schemas.openxmlformats.org/drawingml/2006/spreadsheetDrawing" xmlns:a="http://schemas.openxmlformats.org/drawingml/2006/main">
  <xdr:twoCellAnchor editAs="oneCell">
    <xdr:from>
      <xdr:col>10</xdr:col>
      <xdr:colOff>352425</xdr:colOff>
      <xdr:row>1</xdr:row>
      <xdr:rowOff>123825</xdr:rowOff>
    </xdr:from>
    <xdr:to>
      <xdr:col>40</xdr:col>
      <xdr:colOff>28575</xdr:colOff>
      <xdr:row>2</xdr:row>
      <xdr:rowOff>142875</xdr:rowOff>
    </xdr:to>
    <xdr:pic>
      <xdr:nvPicPr>
        <xdr:cNvPr id="54777" name="Picture 3577" descr="Tasto TAB e descrizione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63050" y="209550"/>
          <a:ext cx="2543175" cy="40005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fPrintsWithSheet="0"/>
  </xdr:twoCellAnchor>
  <xdr:twoCellAnchor>
    <xdr:from>
      <xdr:col>17</xdr:col>
      <xdr:colOff>19050</xdr:colOff>
      <xdr:row>3</xdr:row>
      <xdr:rowOff>209550</xdr:rowOff>
    </xdr:from>
    <xdr:to>
      <xdr:col>51</xdr:col>
      <xdr:colOff>28575</xdr:colOff>
      <xdr:row>9</xdr:row>
      <xdr:rowOff>104775</xdr:rowOff>
    </xdr:to>
    <xdr:sp macro="" textlink="" fLocksText="0">
      <xdr:nvSpPr>
        <xdr:cNvPr id="55074" name="Text Box 3874"/>
        <xdr:cNvSpPr txBox="1">
          <a:spLocks noChangeArrowheads="1"/>
        </xdr:cNvSpPr>
      </xdr:nvSpPr>
      <xdr:spPr bwMode="auto">
        <a:xfrm>
          <a:off x="9305925" y="1000125"/>
          <a:ext cx="3409950" cy="11334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72000" tIns="46800" rIns="90000" bIns="46800" anchor="t" upright="1"/>
        <a:lstStyle/>
        <a:p>
          <a:pPr algn="l" rtl="0">
            <a:defRPr sz="1000"/>
          </a:pPr>
          <a:r>
            <a:rPr lang="it-IT" sz="800" b="0" i="0" u="sng" strike="noStrike" baseline="0">
              <a:solidFill>
                <a:srgbClr val="333333"/>
              </a:solidFill>
              <a:latin typeface="Tahoma"/>
              <a:ea typeface="Tahoma"/>
              <a:cs typeface="Tahoma"/>
            </a:rPr>
            <a:t>Note per Grafico 1 e 2:</a:t>
          </a:r>
          <a:endParaRPr lang="it-IT" sz="800" b="0" i="0" u="none" strike="noStrike" baseline="0">
            <a:solidFill>
              <a:srgbClr val="333333"/>
            </a:solidFill>
            <a:latin typeface="Tahoma"/>
            <a:ea typeface="Tahoma"/>
            <a:cs typeface="Tahoma"/>
          </a:endParaRPr>
        </a:p>
        <a:p>
          <a:pPr algn="l" rtl="0">
            <a:defRPr sz="1000"/>
          </a:pPr>
          <a:endParaRPr lang="it-IT" sz="800" b="0" i="0" u="none" strike="noStrike" baseline="0">
            <a:solidFill>
              <a:srgbClr val="333333"/>
            </a:solidFill>
            <a:latin typeface="Tahoma"/>
            <a:ea typeface="Tahoma"/>
            <a:cs typeface="Tahoma"/>
          </a:endParaRPr>
        </a:p>
        <a:p>
          <a:pPr algn="l" rtl="0">
            <a:defRPr sz="1000"/>
          </a:pPr>
          <a:r>
            <a:rPr lang="it-IT" sz="800" b="0" i="0" u="none" strike="noStrike" baseline="0">
              <a:solidFill>
                <a:srgbClr val="808080"/>
              </a:solidFill>
              <a:latin typeface="Tahoma"/>
              <a:ea typeface="Tahoma"/>
              <a:cs typeface="Tahoma"/>
            </a:rPr>
            <a:t>Per unità di misura "</a:t>
          </a:r>
          <a:r>
            <a:rPr lang="it-IT" sz="800" b="0" i="0" u="none" strike="noStrike" baseline="0">
              <a:solidFill>
                <a:srgbClr val="333333"/>
              </a:solidFill>
              <a:latin typeface="Tahoma"/>
              <a:ea typeface="Tahoma"/>
              <a:cs typeface="Tahoma"/>
            </a:rPr>
            <a:t>FISSA</a:t>
          </a:r>
          <a:r>
            <a:rPr lang="it-IT" sz="800" b="0" i="0" u="none" strike="noStrike" baseline="0">
              <a:solidFill>
                <a:srgbClr val="808080"/>
              </a:solidFill>
              <a:latin typeface="Tahoma"/>
              <a:ea typeface="Tahoma"/>
              <a:cs typeface="Tahoma"/>
            </a:rPr>
            <a:t>" tutti i rettangoli costituiscono 1/10 dell' importo più grande visualizzabile in tutti i quadranti del foglio.</a:t>
          </a:r>
        </a:p>
        <a:p>
          <a:pPr algn="l" rtl="0">
            <a:defRPr sz="1000"/>
          </a:pPr>
          <a:endParaRPr lang="it-IT" sz="800" b="0" i="0" u="none" strike="noStrike" baseline="0">
            <a:solidFill>
              <a:srgbClr val="808080"/>
            </a:solidFill>
            <a:latin typeface="Tahoma"/>
            <a:ea typeface="Tahoma"/>
            <a:cs typeface="Tahoma"/>
          </a:endParaRPr>
        </a:p>
        <a:p>
          <a:pPr algn="l" rtl="0">
            <a:defRPr sz="1000"/>
          </a:pPr>
          <a:r>
            <a:rPr lang="it-IT" sz="800" b="0" i="0" u="none" strike="noStrike" baseline="0">
              <a:solidFill>
                <a:srgbClr val="808080"/>
              </a:solidFill>
              <a:latin typeface="Tahoma"/>
              <a:ea typeface="Tahoma"/>
              <a:cs typeface="Tahoma"/>
            </a:rPr>
            <a:t>Per unità di misura "</a:t>
          </a:r>
          <a:r>
            <a:rPr lang="it-IT" sz="800" b="0" i="0" u="none" strike="noStrike" baseline="0">
              <a:solidFill>
                <a:srgbClr val="333333"/>
              </a:solidFill>
              <a:latin typeface="Tahoma"/>
              <a:ea typeface="Tahoma"/>
              <a:cs typeface="Tahoma"/>
            </a:rPr>
            <a:t>RELATIVA</a:t>
          </a:r>
          <a:r>
            <a:rPr lang="it-IT" sz="800" b="0" i="0" u="none" strike="noStrike" baseline="0">
              <a:solidFill>
                <a:srgbClr val="808080"/>
              </a:solidFill>
              <a:latin typeface="Tahoma"/>
              <a:ea typeface="Tahoma"/>
              <a:cs typeface="Tahoma"/>
            </a:rPr>
            <a:t>" tutti i rettangoli costituiscono 1/10 dell' importo più grande visualizzabile nel singolo quadrante.</a:t>
          </a:r>
        </a:p>
      </xdr:txBody>
    </xdr:sp>
    <xdr:clientData fLocksWithSheet="0" fPrintsWithSheet="0"/>
  </xdr:twoCellAnchor>
</xdr:wsDr>
</file>

<file path=xl/drawings/drawing5.xml><?xml version="1.0" encoding="utf-8"?>
<xdr:wsDr xmlns:xdr="http://schemas.openxmlformats.org/drawingml/2006/spreadsheetDrawing" xmlns:a="http://schemas.openxmlformats.org/drawingml/2006/main">
  <xdr:twoCellAnchor editAs="oneCell">
    <xdr:from>
      <xdr:col>30</xdr:col>
      <xdr:colOff>152400</xdr:colOff>
      <xdr:row>0</xdr:row>
      <xdr:rowOff>104775</xdr:rowOff>
    </xdr:from>
    <xdr:to>
      <xdr:col>39</xdr:col>
      <xdr:colOff>238125</xdr:colOff>
      <xdr:row>2</xdr:row>
      <xdr:rowOff>161925</xdr:rowOff>
    </xdr:to>
    <xdr:pic>
      <xdr:nvPicPr>
        <xdr:cNvPr id="58373" name="Picture 1029" descr="Tasto TAB e descrizione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10650" y="104775"/>
          <a:ext cx="2657475" cy="428625"/>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xdr:from>
      <xdr:col>25</xdr:col>
      <xdr:colOff>114300</xdr:colOff>
      <xdr:row>149</xdr:row>
      <xdr:rowOff>95250</xdr:rowOff>
    </xdr:from>
    <xdr:to>
      <xdr:col>38</xdr:col>
      <xdr:colOff>76200</xdr:colOff>
      <xdr:row>200</xdr:row>
      <xdr:rowOff>38100</xdr:rowOff>
    </xdr:to>
    <xdr:sp macro="" textlink="">
      <xdr:nvSpPr>
        <xdr:cNvPr id="60030" name="Rectangle 2686"/>
        <xdr:cNvSpPr>
          <a:spLocks noChangeArrowheads="1"/>
        </xdr:cNvSpPr>
      </xdr:nvSpPr>
      <xdr:spPr bwMode="auto">
        <a:xfrm>
          <a:off x="7543800" y="14592300"/>
          <a:ext cx="36766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161925</xdr:colOff>
      <xdr:row>3</xdr:row>
      <xdr:rowOff>114300</xdr:rowOff>
    </xdr:from>
    <xdr:to>
      <xdr:col>14</xdr:col>
      <xdr:colOff>438150</xdr:colOff>
      <xdr:row>17</xdr:row>
      <xdr:rowOff>104775</xdr:rowOff>
    </xdr:to>
    <xdr:sp macro="" textlink="">
      <xdr:nvSpPr>
        <xdr:cNvPr id="67585" name="Text Box 1"/>
        <xdr:cNvSpPr txBox="1">
          <a:spLocks noChangeArrowheads="1"/>
        </xdr:cNvSpPr>
      </xdr:nvSpPr>
      <xdr:spPr bwMode="auto">
        <a:xfrm>
          <a:off x="771525" y="638175"/>
          <a:ext cx="8201025" cy="22574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ALIQUOTE DIVERSE è una </a:t>
          </a:r>
          <a:r>
            <a:rPr lang="it-IT" sz="1000" b="0" i="0" u="sng" strike="noStrike" baseline="0">
              <a:solidFill>
                <a:srgbClr val="333333"/>
              </a:solidFill>
              <a:latin typeface="Tahoma"/>
              <a:ea typeface="Tahoma"/>
              <a:cs typeface="Tahoma"/>
            </a:rPr>
            <a:t>particolare</a:t>
          </a:r>
          <a:r>
            <a:rPr lang="it-IT" sz="1000" b="0" i="0" u="none" strike="noStrike" baseline="0">
              <a:solidFill>
                <a:srgbClr val="333333"/>
              </a:solidFill>
              <a:latin typeface="Tahoma"/>
              <a:ea typeface="Tahoma"/>
              <a:cs typeface="Tahoma"/>
            </a:rPr>
            <a:t> "Operazione IVA" del sistema.</a:t>
          </a:r>
        </a:p>
        <a:p>
          <a:pPr algn="l" rtl="0">
            <a:defRPr sz="1000"/>
          </a:pPr>
          <a:r>
            <a:rPr lang="it-IT" sz="1000" b="0" i="0" u="sng" strike="noStrike" baseline="0">
              <a:solidFill>
                <a:srgbClr val="333333"/>
              </a:solidFill>
              <a:latin typeface="Tahoma"/>
              <a:ea typeface="Tahoma"/>
              <a:cs typeface="Tahoma"/>
            </a:rPr>
            <a:t>Sono DUE i casi in cui si usa</a:t>
          </a:r>
          <a:r>
            <a:rPr lang="it-IT" sz="1000" b="0" i="0" u="none" strike="noStrike" baseline="0">
              <a:solidFill>
                <a:srgbClr val="333333"/>
              </a:solidFill>
              <a:latin typeface="Tahoma"/>
              <a:ea typeface="Tahoma"/>
              <a:cs typeface="Tahoma"/>
            </a:rPr>
            <a:t>.</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1) Se effettui delle vendite in VENTILAZIONE: in questo caso l' IVA sulla singola vendita è ininfluente al momento dell' incasso perché verrà calcolata a fine periodo sul totale delle vendite in base agli acquisti del periodo. </a:t>
          </a:r>
          <a:r>
            <a:rPr lang="it-IT" sz="1000" b="0" i="0" u="sng" strike="noStrike" baseline="0">
              <a:solidFill>
                <a:srgbClr val="333333"/>
              </a:solidFill>
              <a:latin typeface="Tahoma"/>
              <a:ea typeface="Tahoma"/>
              <a:cs typeface="Tahoma"/>
            </a:rPr>
            <a:t>Lo scorporo è calcolato automaticamente dal sistema compilando il quadro "SEZIONE ACQUISTI" che trovi in ogni foglio mensile</a:t>
          </a:r>
          <a:r>
            <a:rPr lang="it-IT" sz="1000" b="0" i="0" u="none" strike="noStrike" baseline="0">
              <a:solidFill>
                <a:srgbClr val="333333"/>
              </a:solidFill>
              <a:latin typeface="Tahoma"/>
              <a:ea typeface="Tahoma"/>
              <a:cs typeface="Tahoma"/>
            </a:rPr>
            <a:t>.</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FF0000"/>
              </a:solidFill>
              <a:latin typeface="Tahoma"/>
              <a:ea typeface="Tahoma"/>
              <a:cs typeface="Tahoma"/>
            </a:rPr>
            <a:t>2) </a:t>
          </a:r>
          <a:r>
            <a:rPr lang="it-IT" sz="1000" b="0" i="0" u="none" strike="noStrike" baseline="0">
              <a:solidFill>
                <a:srgbClr val="333333"/>
              </a:solidFill>
              <a:latin typeface="Tahoma"/>
              <a:ea typeface="Tahoma"/>
              <a:cs typeface="Tahoma"/>
            </a:rPr>
            <a:t>Per esigenze di primanota: se desideri utilizzare UNA UNICA COLONNA IVA per vendite con più di una aliquota </a:t>
          </a:r>
          <a:r>
            <a:rPr lang="it-IT" sz="1000" b="0" i="0" u="sng" strike="noStrike" baseline="0">
              <a:solidFill>
                <a:srgbClr val="333333"/>
              </a:solidFill>
              <a:latin typeface="Tahoma"/>
              <a:ea typeface="Tahoma"/>
              <a:cs typeface="Tahoma"/>
            </a:rPr>
            <a:t>ed inserire lo scorporo SOLO a fine mese</a:t>
          </a:r>
          <a:r>
            <a:rPr lang="it-IT" sz="1000" b="0" i="0" u="none" strike="noStrike" baseline="0">
              <a:solidFill>
                <a:srgbClr val="333333"/>
              </a:solidFill>
              <a:latin typeface="Tahoma"/>
              <a:ea typeface="Tahoma"/>
              <a:cs typeface="Tahoma"/>
            </a:rPr>
            <a:t>. Ti ricordo che una copia di questo sistema, opportunamente configurata, può essere utilizzata anche per altre esigenze contabili, per gli acquisti o altri riepiloghi.</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sng" strike="noStrike" baseline="0">
              <a:solidFill>
                <a:srgbClr val="333333"/>
              </a:solidFill>
              <a:latin typeface="Tahoma"/>
              <a:ea typeface="Tahoma"/>
              <a:cs typeface="Tahoma"/>
            </a:rPr>
            <a:t>Solo quando si verifica il caso nr. 2, devi intervenire a fine periodo calcolando da solo lo scorporo.</a:t>
          </a: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Il sistema prevede questo messaggio di AVVISO:</a:t>
          </a:r>
        </a:p>
      </xdr:txBody>
    </xdr:sp>
    <xdr:clientData/>
  </xdr:twoCellAnchor>
  <xdr:twoCellAnchor>
    <xdr:from>
      <xdr:col>3</xdr:col>
      <xdr:colOff>133350</xdr:colOff>
      <xdr:row>17</xdr:row>
      <xdr:rowOff>57150</xdr:rowOff>
    </xdr:from>
    <xdr:to>
      <xdr:col>11</xdr:col>
      <xdr:colOff>533400</xdr:colOff>
      <xdr:row>19</xdr:row>
      <xdr:rowOff>28575</xdr:rowOff>
    </xdr:to>
    <xdr:pic>
      <xdr:nvPicPr>
        <xdr:cNvPr id="67586"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2150" y="2847975"/>
          <a:ext cx="5276850" cy="2952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161925</xdr:colOff>
      <xdr:row>80</xdr:row>
      <xdr:rowOff>38100</xdr:rowOff>
    </xdr:from>
    <xdr:to>
      <xdr:col>11</xdr:col>
      <xdr:colOff>133350</xdr:colOff>
      <xdr:row>82</xdr:row>
      <xdr:rowOff>0</xdr:rowOff>
    </xdr:to>
    <xdr:pic>
      <xdr:nvPicPr>
        <xdr:cNvPr id="67587"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46060" t="-3448"/>
        <a:stretch>
          <a:fillRect/>
        </a:stretch>
      </xdr:blipFill>
      <xdr:spPr bwMode="auto">
        <a:xfrm>
          <a:off x="2600325" y="13030200"/>
          <a:ext cx="4238625" cy="2857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3</xdr:col>
      <xdr:colOff>390525</xdr:colOff>
      <xdr:row>36</xdr:row>
      <xdr:rowOff>19050</xdr:rowOff>
    </xdr:from>
    <xdr:to>
      <xdr:col>12</xdr:col>
      <xdr:colOff>95250</xdr:colOff>
      <xdr:row>73</xdr:row>
      <xdr:rowOff>9525</xdr:rowOff>
    </xdr:to>
    <xdr:grpSp>
      <xdr:nvGrpSpPr>
        <xdr:cNvPr id="67588" name="Group 4"/>
        <xdr:cNvGrpSpPr>
          <a:grpSpLocks/>
        </xdr:cNvGrpSpPr>
      </xdr:nvGrpSpPr>
      <xdr:grpSpPr bwMode="auto">
        <a:xfrm>
          <a:off x="2219325" y="5886450"/>
          <a:ext cx="5191125" cy="5981700"/>
          <a:chOff x="189" y="9906"/>
          <a:chExt cx="545" cy="628"/>
        </a:xfrm>
      </xdr:grpSpPr>
      <xdr:grpSp>
        <xdr:nvGrpSpPr>
          <xdr:cNvPr id="67589" name="Group 5"/>
          <xdr:cNvGrpSpPr>
            <a:grpSpLocks/>
          </xdr:cNvGrpSpPr>
        </xdr:nvGrpSpPr>
        <xdr:grpSpPr bwMode="auto">
          <a:xfrm>
            <a:off x="189" y="9906"/>
            <a:ext cx="545" cy="294"/>
            <a:chOff x="189" y="9906"/>
            <a:chExt cx="545" cy="294"/>
          </a:xfrm>
        </xdr:grpSpPr>
        <xdr:grpSp>
          <xdr:nvGrpSpPr>
            <xdr:cNvPr id="67590" name="Group 6"/>
            <xdr:cNvGrpSpPr>
              <a:grpSpLocks/>
            </xdr:cNvGrpSpPr>
          </xdr:nvGrpSpPr>
          <xdr:grpSpPr bwMode="auto">
            <a:xfrm>
              <a:off x="189" y="9906"/>
              <a:ext cx="545" cy="151"/>
              <a:chOff x="189" y="9906"/>
              <a:chExt cx="545" cy="151"/>
            </a:xfrm>
          </xdr:grpSpPr>
          <xdr:grpSp>
            <xdr:nvGrpSpPr>
              <xdr:cNvPr id="67591" name="Group 7"/>
              <xdr:cNvGrpSpPr>
                <a:grpSpLocks/>
              </xdr:cNvGrpSpPr>
            </xdr:nvGrpSpPr>
            <xdr:grpSpPr bwMode="auto">
              <a:xfrm>
                <a:off x="189" y="9906"/>
                <a:ext cx="475" cy="151"/>
                <a:chOff x="189" y="9906"/>
                <a:chExt cx="475" cy="151"/>
              </a:xfrm>
            </xdr:grpSpPr>
            <xdr:pic>
              <xdr:nvPicPr>
                <xdr:cNvPr id="67592" name="Picture 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8" y="9957"/>
                  <a:ext cx="116" cy="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67593" name="Picture 9"/>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 y="9906"/>
                  <a:ext cx="358" cy="151"/>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7594" name="Rectangle 10"/>
                <xdr:cNvSpPr>
                  <a:spLocks noChangeArrowheads="1"/>
                </xdr:cNvSpPr>
              </xdr:nvSpPr>
              <xdr:spPr bwMode="auto">
                <a:xfrm>
                  <a:off x="189" y="9987"/>
                  <a:ext cx="154" cy="56"/>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sp macro="" textlink="">
            <xdr:nvSpPr>
              <xdr:cNvPr id="67595" name="Text Box 11"/>
              <xdr:cNvSpPr txBox="1">
                <a:spLocks noChangeArrowheads="1"/>
              </xdr:cNvSpPr>
            </xdr:nvSpPr>
            <xdr:spPr bwMode="auto">
              <a:xfrm>
                <a:off x="677" y="9932"/>
                <a:ext cx="57" cy="1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18288" rIns="27432" bIns="18288" anchor="ctr" upright="1"/>
              <a:lstStyle/>
              <a:p>
                <a:pPr algn="ctr" rtl="0">
                  <a:defRPr sz="1000"/>
                </a:pPr>
                <a:r>
                  <a:rPr lang="it-IT" sz="800" b="0" i="0" u="none" strike="noStrike" baseline="0">
                    <a:solidFill>
                      <a:srgbClr val="808080"/>
                    </a:solidFill>
                    <a:latin typeface="Tahoma"/>
                    <a:ea typeface="Tahoma"/>
                    <a:cs typeface="Tahoma"/>
                  </a:rPr>
                  <a:t>PRIMA</a:t>
                </a:r>
              </a:p>
            </xdr:txBody>
          </xdr:sp>
        </xdr:grpSp>
        <xdr:grpSp>
          <xdr:nvGrpSpPr>
            <xdr:cNvPr id="67596" name="Group 12"/>
            <xdr:cNvGrpSpPr>
              <a:grpSpLocks/>
            </xdr:cNvGrpSpPr>
          </xdr:nvGrpSpPr>
          <xdr:grpSpPr bwMode="auto">
            <a:xfrm>
              <a:off x="189" y="10055"/>
              <a:ext cx="545" cy="145"/>
              <a:chOff x="189" y="10055"/>
              <a:chExt cx="545" cy="145"/>
            </a:xfrm>
          </xdr:grpSpPr>
          <xdr:grpSp>
            <xdr:nvGrpSpPr>
              <xdr:cNvPr id="67597" name="Group 13"/>
              <xdr:cNvGrpSpPr>
                <a:grpSpLocks/>
              </xdr:cNvGrpSpPr>
            </xdr:nvGrpSpPr>
            <xdr:grpSpPr bwMode="auto">
              <a:xfrm>
                <a:off x="189" y="10055"/>
                <a:ext cx="475" cy="145"/>
                <a:chOff x="189" y="10055"/>
                <a:chExt cx="475" cy="145"/>
              </a:xfrm>
            </xdr:grpSpPr>
            <xdr:pic>
              <xdr:nvPicPr>
                <xdr:cNvPr id="67598" name="Picture 1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89" y="10055"/>
                  <a:ext cx="361" cy="14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67599" name="Picture 1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8" y="10101"/>
                  <a:ext cx="116" cy="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7600" name="Rectangle 16"/>
                <xdr:cNvSpPr>
                  <a:spLocks noChangeArrowheads="1"/>
                </xdr:cNvSpPr>
              </xdr:nvSpPr>
              <xdr:spPr bwMode="auto">
                <a:xfrm>
                  <a:off x="405" y="10127"/>
                  <a:ext cx="137" cy="56"/>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sp macro="" textlink="">
            <xdr:nvSpPr>
              <xdr:cNvPr id="67601" name="Text Box 17"/>
              <xdr:cNvSpPr txBox="1">
                <a:spLocks noChangeArrowheads="1"/>
              </xdr:cNvSpPr>
            </xdr:nvSpPr>
            <xdr:spPr bwMode="auto">
              <a:xfrm>
                <a:off x="677" y="10074"/>
                <a:ext cx="57" cy="1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18288" rIns="27432" bIns="18288" anchor="ctr" upright="1"/>
              <a:lstStyle/>
              <a:p>
                <a:pPr algn="ctr" rtl="0">
                  <a:defRPr sz="1000"/>
                </a:pPr>
                <a:r>
                  <a:rPr lang="it-IT" sz="800" b="0" i="0" u="none" strike="noStrike" baseline="0">
                    <a:solidFill>
                      <a:srgbClr val="808080"/>
                    </a:solidFill>
                    <a:latin typeface="Tahoma"/>
                    <a:ea typeface="Tahoma"/>
                    <a:cs typeface="Tahoma"/>
                  </a:rPr>
                  <a:t>DOPO</a:t>
                </a:r>
              </a:p>
            </xdr:txBody>
          </xdr:sp>
        </xdr:grpSp>
      </xdr:grpSp>
      <xdr:grpSp>
        <xdr:nvGrpSpPr>
          <xdr:cNvPr id="67602" name="Group 18"/>
          <xdr:cNvGrpSpPr>
            <a:grpSpLocks/>
          </xdr:cNvGrpSpPr>
        </xdr:nvGrpSpPr>
        <xdr:grpSpPr bwMode="auto">
          <a:xfrm>
            <a:off x="191" y="10266"/>
            <a:ext cx="543" cy="268"/>
            <a:chOff x="191" y="10266"/>
            <a:chExt cx="543" cy="268"/>
          </a:xfrm>
        </xdr:grpSpPr>
        <xdr:grpSp>
          <xdr:nvGrpSpPr>
            <xdr:cNvPr id="67603" name="Group 19"/>
            <xdr:cNvGrpSpPr>
              <a:grpSpLocks/>
            </xdr:cNvGrpSpPr>
          </xdr:nvGrpSpPr>
          <xdr:grpSpPr bwMode="auto">
            <a:xfrm>
              <a:off x="191" y="10266"/>
              <a:ext cx="543" cy="140"/>
              <a:chOff x="191" y="10266"/>
              <a:chExt cx="543" cy="140"/>
            </a:xfrm>
          </xdr:grpSpPr>
          <xdr:pic>
            <xdr:nvPicPr>
              <xdr:cNvPr id="67604" name="Picture 20"/>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1" y="10266"/>
                <a:ext cx="361" cy="14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7605" name="Text Box 21"/>
              <xdr:cNvSpPr txBox="1">
                <a:spLocks noChangeArrowheads="1"/>
              </xdr:cNvSpPr>
            </xdr:nvSpPr>
            <xdr:spPr bwMode="auto">
              <a:xfrm>
                <a:off x="677" y="10282"/>
                <a:ext cx="57" cy="1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18288" rIns="27432" bIns="18288" anchor="ctr" upright="1"/>
              <a:lstStyle/>
              <a:p>
                <a:pPr algn="ctr" rtl="0">
                  <a:defRPr sz="1000"/>
                </a:pPr>
                <a:r>
                  <a:rPr lang="it-IT" sz="800" b="0" i="0" u="none" strike="noStrike" baseline="0">
                    <a:solidFill>
                      <a:srgbClr val="808080"/>
                    </a:solidFill>
                    <a:latin typeface="Tahoma"/>
                    <a:ea typeface="Tahoma"/>
                    <a:cs typeface="Tahoma"/>
                  </a:rPr>
                  <a:t>PRIMA</a:t>
                </a:r>
              </a:p>
            </xdr:txBody>
          </xdr:sp>
        </xdr:grpSp>
        <xdr:grpSp>
          <xdr:nvGrpSpPr>
            <xdr:cNvPr id="67606" name="Group 22"/>
            <xdr:cNvGrpSpPr>
              <a:grpSpLocks/>
            </xdr:cNvGrpSpPr>
          </xdr:nvGrpSpPr>
          <xdr:grpSpPr bwMode="auto">
            <a:xfrm>
              <a:off x="191" y="10397"/>
              <a:ext cx="543" cy="137"/>
              <a:chOff x="191" y="10397"/>
              <a:chExt cx="543" cy="137"/>
            </a:xfrm>
          </xdr:grpSpPr>
          <xdr:pic>
            <xdr:nvPicPr>
              <xdr:cNvPr id="67607" name="Picture 23"/>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91" y="10397"/>
                <a:ext cx="355" cy="13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7608" name="Text Box 24"/>
              <xdr:cNvSpPr txBox="1">
                <a:spLocks noChangeArrowheads="1"/>
              </xdr:cNvSpPr>
            </xdr:nvSpPr>
            <xdr:spPr bwMode="auto">
              <a:xfrm>
                <a:off x="677" y="10418"/>
                <a:ext cx="57" cy="1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18288" rIns="27432" bIns="18288" anchor="ctr" upright="1"/>
              <a:lstStyle/>
              <a:p>
                <a:pPr algn="ctr" rtl="0">
                  <a:defRPr sz="1000"/>
                </a:pPr>
                <a:r>
                  <a:rPr lang="it-IT" sz="800" b="0" i="0" u="none" strike="noStrike" baseline="0">
                    <a:solidFill>
                      <a:srgbClr val="808080"/>
                    </a:solidFill>
                    <a:latin typeface="Tahoma"/>
                    <a:ea typeface="Tahoma"/>
                    <a:cs typeface="Tahoma"/>
                  </a:rPr>
                  <a:t>DOPO</a:t>
                </a:r>
              </a:p>
            </xdr:txBody>
          </xdr:sp>
        </xdr:grpSp>
      </xdr:grpSp>
    </xdr:grpSp>
    <xdr:clientData/>
  </xdr:twoCellAnchor>
  <xdr:twoCellAnchor>
    <xdr:from>
      <xdr:col>7</xdr:col>
      <xdr:colOff>0</xdr:colOff>
      <xdr:row>66</xdr:row>
      <xdr:rowOff>66675</xdr:rowOff>
    </xdr:from>
    <xdr:to>
      <xdr:col>9</xdr:col>
      <xdr:colOff>104775</xdr:colOff>
      <xdr:row>70</xdr:row>
      <xdr:rowOff>123825</xdr:rowOff>
    </xdr:to>
    <xdr:sp macro="" textlink="">
      <xdr:nvSpPr>
        <xdr:cNvPr id="67609" name="Rectangle 25"/>
        <xdr:cNvSpPr>
          <a:spLocks noChangeArrowheads="1"/>
        </xdr:cNvSpPr>
      </xdr:nvSpPr>
      <xdr:spPr bwMode="auto">
        <a:xfrm>
          <a:off x="4267200" y="10791825"/>
          <a:ext cx="1323975" cy="704850"/>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409575</xdr:colOff>
      <xdr:row>73</xdr:row>
      <xdr:rowOff>95250</xdr:rowOff>
    </xdr:from>
    <xdr:to>
      <xdr:col>13</xdr:col>
      <xdr:colOff>495300</xdr:colOff>
      <xdr:row>80</xdr:row>
      <xdr:rowOff>47625</xdr:rowOff>
    </xdr:to>
    <xdr:sp macro="" textlink="">
      <xdr:nvSpPr>
        <xdr:cNvPr id="67610" name="Text Box 26"/>
        <xdr:cNvSpPr txBox="1">
          <a:spLocks noChangeArrowheads="1"/>
        </xdr:cNvSpPr>
      </xdr:nvSpPr>
      <xdr:spPr bwMode="auto">
        <a:xfrm>
          <a:off x="1019175" y="11953875"/>
          <a:ext cx="7400925" cy="10858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Questo  è tutto.</a:t>
          </a:r>
        </a:p>
        <a:p>
          <a:pPr algn="l" rtl="0">
            <a:defRPr sz="1000"/>
          </a:pPr>
          <a:r>
            <a:rPr lang="it-IT" sz="1000" b="0" i="0" u="none" strike="noStrike" baseline="0">
              <a:solidFill>
                <a:srgbClr val="333333"/>
              </a:solidFill>
              <a:latin typeface="Tahoma"/>
              <a:ea typeface="Tahoma"/>
              <a:cs typeface="Tahoma"/>
            </a:rPr>
            <a:t>In questo modo intervieni manualmente sul sistema con TUOI CONTEGGI di fine periodo. </a:t>
          </a:r>
          <a:r>
            <a:rPr lang="it-IT" sz="1000" b="0" i="0" u="sng" strike="noStrike" baseline="0">
              <a:solidFill>
                <a:srgbClr val="333333"/>
              </a:solidFill>
              <a:latin typeface="Tahoma"/>
              <a:ea typeface="Tahoma"/>
              <a:cs typeface="Tahoma"/>
            </a:rPr>
            <a:t>Questo è l' unico modo per interagire con il sistema</a:t>
          </a:r>
          <a:r>
            <a:rPr lang="it-IT" sz="1000" b="0" i="0" u="none" strike="noStrike" baseline="0">
              <a:solidFill>
                <a:srgbClr val="333333"/>
              </a:solidFill>
              <a:latin typeface="Tahoma"/>
              <a:ea typeface="Tahoma"/>
              <a:cs typeface="Tahoma"/>
            </a:rPr>
            <a:t> che altrimenti, in tutti gli altri casi, esegue i conteggi di SCORPORO e VENTILAZIONE in modo AUTOMATICO.</a:t>
          </a:r>
        </a:p>
        <a:p>
          <a:pPr algn="l" rtl="0">
            <a:defRPr sz="1000"/>
          </a:pPr>
          <a:r>
            <a:rPr lang="it-IT" sz="1000" b="0" i="0" u="none" strike="noStrike" baseline="0">
              <a:solidFill>
                <a:srgbClr val="333333"/>
              </a:solidFill>
              <a:latin typeface="Tahoma"/>
              <a:ea typeface="Tahoma"/>
              <a:cs typeface="Tahoma"/>
            </a:rPr>
            <a:t>Contattami liberamente per altre informazioni.</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sng" strike="noStrike" baseline="0">
              <a:solidFill>
                <a:srgbClr val="333333"/>
              </a:solidFill>
              <a:latin typeface="Tahoma"/>
              <a:ea typeface="Tahoma"/>
              <a:cs typeface="Tahoma"/>
            </a:rPr>
            <a:t>Quando l' operazione è correttamente eseguita oppure quando non è necessaria, il sistema restituisce questo messaggio:</a:t>
          </a:r>
        </a:p>
      </xdr:txBody>
    </xdr:sp>
    <xdr:clientData/>
  </xdr:twoCellAnchor>
  <xdr:twoCellAnchor>
    <xdr:from>
      <xdr:col>1</xdr:col>
      <xdr:colOff>419100</xdr:colOff>
      <xdr:row>19</xdr:row>
      <xdr:rowOff>133350</xdr:rowOff>
    </xdr:from>
    <xdr:to>
      <xdr:col>14</xdr:col>
      <xdr:colOff>142875</xdr:colOff>
      <xdr:row>36</xdr:row>
      <xdr:rowOff>28575</xdr:rowOff>
    </xdr:to>
    <xdr:sp macro="" textlink="">
      <xdr:nvSpPr>
        <xdr:cNvPr id="67611" name="Text Box 27"/>
        <xdr:cNvSpPr txBox="1">
          <a:spLocks noChangeArrowheads="1"/>
        </xdr:cNvSpPr>
      </xdr:nvSpPr>
      <xdr:spPr bwMode="auto">
        <a:xfrm>
          <a:off x="1028700" y="3248025"/>
          <a:ext cx="7648575" cy="26479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sng" strike="noStrike" baseline="0">
              <a:solidFill>
                <a:srgbClr val="333333"/>
              </a:solidFill>
              <a:latin typeface="Tahoma"/>
              <a:ea typeface="Tahoma"/>
              <a:cs typeface="Tahoma"/>
            </a:rPr>
            <a:t>Un esempio per questo particolare caso:</a:t>
          </a:r>
        </a:p>
        <a:p>
          <a:pPr algn="l" rtl="0">
            <a:defRPr sz="1000"/>
          </a:pPr>
          <a:r>
            <a:rPr lang="it-IT" sz="1000" b="0" i="0" u="none" strike="noStrike" baseline="0">
              <a:solidFill>
                <a:srgbClr val="333333"/>
              </a:solidFill>
              <a:latin typeface="Tahoma"/>
              <a:ea typeface="Tahoma"/>
              <a:cs typeface="Tahoma"/>
            </a:rPr>
            <a:t>Stando alle registrazioni quotidiane, nelle quali avrai annotato l' IMPORTO LORDO, a fine periodo il sistema ti propone il TOTALE risultante e richiede </a:t>
          </a:r>
          <a:r>
            <a:rPr lang="it-IT" sz="1000" b="0" i="0" u="sng" strike="noStrike" baseline="0">
              <a:solidFill>
                <a:srgbClr val="333333"/>
              </a:solidFill>
              <a:latin typeface="Tahoma"/>
              <a:ea typeface="Tahoma"/>
              <a:cs typeface="Tahoma"/>
            </a:rPr>
            <a:t>DUE INFORMAZIONI</a:t>
          </a:r>
          <a:r>
            <a:rPr lang="it-IT" sz="1000" b="0" i="0" u="none" strike="noStrike" baseline="0">
              <a:solidFill>
                <a:srgbClr val="333333"/>
              </a:solidFill>
              <a:latin typeface="Tahoma"/>
              <a:ea typeface="Tahoma"/>
              <a:cs typeface="Tahoma"/>
            </a:rPr>
            <a:t>:</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1) Prima di tutto ti chiede di </a:t>
          </a:r>
          <a:r>
            <a:rPr lang="it-IT" sz="1000" b="0" i="0" u="none" strike="noStrike" baseline="0">
              <a:solidFill>
                <a:srgbClr val="FF0000"/>
              </a:solidFill>
              <a:latin typeface="Tahoma"/>
              <a:ea typeface="Tahoma"/>
              <a:cs typeface="Tahoma"/>
            </a:rPr>
            <a:t>SEPARARE</a:t>
          </a:r>
          <a:r>
            <a:rPr lang="it-IT" sz="1000" b="0" i="0" u="none" strike="noStrike" baseline="0">
              <a:solidFill>
                <a:srgbClr val="333333"/>
              </a:solidFill>
              <a:latin typeface="Tahoma"/>
              <a:ea typeface="Tahoma"/>
              <a:cs typeface="Tahoma"/>
            </a:rPr>
            <a:t> l' importo totale nelle 2 quote: </a:t>
          </a:r>
          <a:r>
            <a:rPr lang="it-IT" sz="1000" b="0" i="0" u="none" strike="noStrike" baseline="0">
              <a:solidFill>
                <a:srgbClr val="FF0000"/>
              </a:solidFill>
              <a:latin typeface="Tahoma"/>
              <a:ea typeface="Tahoma"/>
              <a:cs typeface="Tahoma"/>
            </a:rPr>
            <a:t>IMPONIBILE</a:t>
          </a:r>
          <a:r>
            <a:rPr lang="it-IT" sz="1000" b="0" i="0" u="none" strike="noStrike" baseline="0">
              <a:solidFill>
                <a:srgbClr val="333333"/>
              </a:solidFill>
              <a:latin typeface="Tahoma"/>
              <a:ea typeface="Tahoma"/>
              <a:cs typeface="Tahoma"/>
            </a:rPr>
            <a:t> e </a:t>
          </a:r>
          <a:r>
            <a:rPr lang="it-IT" sz="1000" b="0" i="0" u="none" strike="noStrike" baseline="0">
              <a:solidFill>
                <a:srgbClr val="FF0000"/>
              </a:solidFill>
              <a:latin typeface="Tahoma"/>
              <a:ea typeface="Tahoma"/>
              <a:cs typeface="Tahoma"/>
            </a:rPr>
            <a:t>IVA</a:t>
          </a:r>
          <a:r>
            <a:rPr lang="it-IT" sz="1000" b="0" i="0" u="none" strike="noStrike" baseline="0">
              <a:solidFill>
                <a:srgbClr val="333333"/>
              </a:solidFill>
              <a:latin typeface="Tahoma"/>
              <a:ea typeface="Tahoma"/>
              <a:cs typeface="Tahoma"/>
            </a:rPr>
            <a:t>.</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        In questo esempio annotiamo giorno per giorno VENDITE LORDE che a fine mese ci risultano per un totale di € 3.360,00.</a:t>
          </a:r>
        </a:p>
        <a:p>
          <a:pPr algn="l" rtl="0">
            <a:defRPr sz="1000"/>
          </a:pPr>
          <a:r>
            <a:rPr lang="it-IT" sz="1000" b="0" i="0" u="none" strike="noStrike" baseline="0">
              <a:solidFill>
                <a:srgbClr val="333333"/>
              </a:solidFill>
              <a:latin typeface="Tahoma"/>
              <a:ea typeface="Tahoma"/>
              <a:cs typeface="Tahoma"/>
            </a:rPr>
            <a:t>        Dai nostri conteggi le vendite risultano così composte:</a:t>
          </a:r>
        </a:p>
        <a:p>
          <a:pPr algn="l" rtl="0">
            <a:defRPr sz="1000"/>
          </a:pPr>
          <a:r>
            <a:rPr lang="it-IT" sz="1000" b="0" i="0" u="none" strike="noStrike" baseline="0">
              <a:solidFill>
                <a:srgbClr val="333333"/>
              </a:solidFill>
              <a:latin typeface="Tahoma"/>
              <a:ea typeface="Tahoma"/>
              <a:cs typeface="Tahoma"/>
            </a:rPr>
            <a:t>                € 1.220,00 con IVA al 22%</a:t>
          </a:r>
        </a:p>
        <a:p>
          <a:pPr algn="l" rtl="0">
            <a:defRPr sz="1000"/>
          </a:pPr>
          <a:r>
            <a:rPr lang="it-IT" sz="1000" b="0" i="0" u="none" strike="noStrike" baseline="0">
              <a:solidFill>
                <a:srgbClr val="333333"/>
              </a:solidFill>
              <a:latin typeface="Tahoma"/>
              <a:ea typeface="Tahoma"/>
              <a:cs typeface="Tahoma"/>
            </a:rPr>
            <a:t>                € 1.100,00 con IVA al 10%</a:t>
          </a:r>
        </a:p>
        <a:p>
          <a:pPr algn="l" rtl="0">
            <a:defRPr sz="1000"/>
          </a:pPr>
          <a:r>
            <a:rPr lang="it-IT" sz="1000" b="0" i="0" u="none" strike="noStrike" baseline="0">
              <a:solidFill>
                <a:srgbClr val="333333"/>
              </a:solidFill>
              <a:latin typeface="Tahoma"/>
              <a:ea typeface="Tahoma"/>
              <a:cs typeface="Tahoma"/>
            </a:rPr>
            <a:t>                € 1.040,00 con IVA al 4% </a:t>
          </a:r>
          <a:r>
            <a:rPr lang="it-IT" sz="1000" b="0" i="0" u="sng" strike="noStrike" baseline="0">
              <a:solidFill>
                <a:srgbClr val="333333"/>
              </a:solidFill>
              <a:latin typeface="Tahoma"/>
              <a:ea typeface="Tahoma"/>
              <a:cs typeface="Tahoma"/>
            </a:rPr>
            <a:t>annotate in una UNICA COLONNA del nostro Registro configurata con "Aliquote diverse"</a:t>
          </a:r>
          <a:r>
            <a:rPr lang="it-IT" sz="1000" b="0" i="0" u="none" strike="noStrike" baseline="0">
              <a:solidFill>
                <a:srgbClr val="333333"/>
              </a:solidFill>
              <a:latin typeface="Tahoma"/>
              <a:ea typeface="Tahoma"/>
              <a:cs typeface="Tahoma"/>
            </a:rPr>
            <a:t>.</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        A fine periodo il sistema propone il totale € 3.360,00 LORDO in questo prospetto che devi compilare in modo autonomo.</a:t>
          </a:r>
        </a:p>
        <a:p>
          <a:pPr algn="l" rtl="0">
            <a:defRPr sz="1000"/>
          </a:pPr>
          <a:r>
            <a:rPr lang="it-IT" sz="1000" b="0" i="0" u="none" strike="noStrike" baseline="0">
              <a:solidFill>
                <a:srgbClr val="333333"/>
              </a:solidFill>
              <a:latin typeface="Tahoma"/>
              <a:ea typeface="Tahoma"/>
              <a:cs typeface="Tahoma"/>
            </a:rPr>
            <a:t>       Qui il prima/dopo l' inserimento manuale.</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100" b="0" i="1" u="sng" strike="noStrike" baseline="0">
              <a:solidFill>
                <a:srgbClr val="808080"/>
              </a:solidFill>
              <a:latin typeface="Corbel"/>
            </a:rPr>
            <a:t>Quest' area si trova in fondo ad ogni singolo foglio del mese.</a:t>
          </a:r>
        </a:p>
      </xdr:txBody>
    </xdr:sp>
    <xdr:clientData/>
  </xdr:twoCellAnchor>
  <xdr:twoCellAnchor>
    <xdr:from>
      <xdr:col>1</xdr:col>
      <xdr:colOff>400050</xdr:colOff>
      <xdr:row>54</xdr:row>
      <xdr:rowOff>38100</xdr:rowOff>
    </xdr:from>
    <xdr:to>
      <xdr:col>13</xdr:col>
      <xdr:colOff>514350</xdr:colOff>
      <xdr:row>56</xdr:row>
      <xdr:rowOff>104775</xdr:rowOff>
    </xdr:to>
    <xdr:sp macro="" textlink="">
      <xdr:nvSpPr>
        <xdr:cNvPr id="67612" name="Text Box 28"/>
        <xdr:cNvSpPr txBox="1">
          <a:spLocks noChangeArrowheads="1"/>
        </xdr:cNvSpPr>
      </xdr:nvSpPr>
      <xdr:spPr bwMode="auto">
        <a:xfrm>
          <a:off x="1009650" y="8820150"/>
          <a:ext cx="7429500" cy="3905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lnSpc>
              <a:spcPts val="1100"/>
            </a:lnSpc>
            <a:defRPr sz="1000"/>
          </a:pPr>
          <a:r>
            <a:rPr lang="it-IT" sz="1000" b="0" i="0" u="none" strike="noStrike" baseline="0">
              <a:solidFill>
                <a:srgbClr val="333333"/>
              </a:solidFill>
              <a:latin typeface="Tahoma"/>
              <a:ea typeface="Tahoma"/>
              <a:cs typeface="Tahoma"/>
            </a:rPr>
            <a:t>2) Poi, relativamente all' importo IVA, ti chiede di separarlo nelle relative aliquote gestite dal sistema. Qui il prima/dopo l' inserimento manuale.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161925</xdr:colOff>
      <xdr:row>248</xdr:row>
      <xdr:rowOff>152400</xdr:rowOff>
    </xdr:from>
    <xdr:to>
      <xdr:col>10</xdr:col>
      <xdr:colOff>180975</xdr:colOff>
      <xdr:row>251</xdr:row>
      <xdr:rowOff>38100</xdr:rowOff>
    </xdr:to>
    <xdr:sp macro="" textlink="">
      <xdr:nvSpPr>
        <xdr:cNvPr id="70657" name="Text Box 1"/>
        <xdr:cNvSpPr txBox="1">
          <a:spLocks noChangeArrowheads="1"/>
        </xdr:cNvSpPr>
      </xdr:nvSpPr>
      <xdr:spPr bwMode="auto">
        <a:xfrm>
          <a:off x="771525" y="40347900"/>
          <a:ext cx="5505450" cy="3714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Per correggere il risultato dei conteggi del sistema (l' algoritmo) effettuo il cambio di</a:t>
          </a:r>
        </a:p>
        <a:p>
          <a:pPr algn="l" rtl="0">
            <a:lnSpc>
              <a:spcPts val="1100"/>
            </a:lnSpc>
            <a:defRPr sz="1000"/>
          </a:pPr>
          <a:r>
            <a:rPr lang="it-IT" sz="1000" b="0" i="0" u="none" strike="noStrike" baseline="0">
              <a:solidFill>
                <a:srgbClr val="333333"/>
              </a:solidFill>
              <a:latin typeface="Tahoma"/>
              <a:ea typeface="Tahoma"/>
              <a:cs typeface="Tahoma"/>
            </a:rPr>
            <a:t>UNA banconota da € 100,00 con 4 da € 20,00 (€ 80,00) + 4 da € 5,00 (€ 20,00).</a:t>
          </a:r>
        </a:p>
      </xdr:txBody>
    </xdr:sp>
    <xdr:clientData/>
  </xdr:twoCellAnchor>
  <xdr:twoCellAnchor>
    <xdr:from>
      <xdr:col>1</xdr:col>
      <xdr:colOff>257175</xdr:colOff>
      <xdr:row>46</xdr:row>
      <xdr:rowOff>66675</xdr:rowOff>
    </xdr:from>
    <xdr:to>
      <xdr:col>12</xdr:col>
      <xdr:colOff>9525</xdr:colOff>
      <xdr:row>69</xdr:row>
      <xdr:rowOff>38100</xdr:rowOff>
    </xdr:to>
    <xdr:grpSp>
      <xdr:nvGrpSpPr>
        <xdr:cNvPr id="70658" name="Group 2"/>
        <xdr:cNvGrpSpPr>
          <a:grpSpLocks/>
        </xdr:cNvGrpSpPr>
      </xdr:nvGrpSpPr>
      <xdr:grpSpPr bwMode="auto">
        <a:xfrm>
          <a:off x="866775" y="7553325"/>
          <a:ext cx="6457950" cy="3695700"/>
          <a:chOff x="91" y="820"/>
          <a:chExt cx="678" cy="388"/>
        </a:xfrm>
      </xdr:grpSpPr>
      <xdr:grpSp>
        <xdr:nvGrpSpPr>
          <xdr:cNvPr id="70659" name="Group 3"/>
          <xdr:cNvGrpSpPr>
            <a:grpSpLocks/>
          </xdr:cNvGrpSpPr>
        </xdr:nvGrpSpPr>
        <xdr:grpSpPr bwMode="auto">
          <a:xfrm>
            <a:off x="91" y="820"/>
            <a:ext cx="678" cy="373"/>
            <a:chOff x="91" y="820"/>
            <a:chExt cx="678" cy="373"/>
          </a:xfrm>
        </xdr:grpSpPr>
        <xdr:grpSp>
          <xdr:nvGrpSpPr>
            <xdr:cNvPr id="70660" name="Group 4"/>
            <xdr:cNvGrpSpPr>
              <a:grpSpLocks/>
            </xdr:cNvGrpSpPr>
          </xdr:nvGrpSpPr>
          <xdr:grpSpPr bwMode="auto">
            <a:xfrm>
              <a:off x="91" y="820"/>
              <a:ext cx="678" cy="373"/>
              <a:chOff x="91" y="820"/>
              <a:chExt cx="678" cy="373"/>
            </a:xfrm>
          </xdr:grpSpPr>
          <xdr:pic>
            <xdr:nvPicPr>
              <xdr:cNvPr id="70661" name="Picture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 y="820"/>
                <a:ext cx="678" cy="36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0662" name="Rectangle 6"/>
              <xdr:cNvSpPr>
                <a:spLocks noChangeArrowheads="1"/>
              </xdr:cNvSpPr>
            </xdr:nvSpPr>
            <xdr:spPr bwMode="auto">
              <a:xfrm>
                <a:off x="117" y="1172"/>
                <a:ext cx="187" cy="21"/>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pic>
          <xdr:nvPicPr>
            <xdr:cNvPr id="70663" name="Picture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 y="825"/>
              <a:ext cx="226" cy="31"/>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grpSp>
        <xdr:nvGrpSpPr>
          <xdr:cNvPr id="70664" name="Group 8"/>
          <xdr:cNvGrpSpPr>
            <a:grpSpLocks/>
          </xdr:cNvGrpSpPr>
        </xdr:nvGrpSpPr>
        <xdr:grpSpPr bwMode="auto">
          <a:xfrm>
            <a:off x="156" y="1160"/>
            <a:ext cx="522" cy="48"/>
            <a:chOff x="156" y="1160"/>
            <a:chExt cx="522" cy="48"/>
          </a:xfrm>
        </xdr:grpSpPr>
        <xdr:sp macro="" textlink="">
          <xdr:nvSpPr>
            <xdr:cNvPr id="70665" name="Line 9"/>
            <xdr:cNvSpPr>
              <a:spLocks noChangeShapeType="1"/>
            </xdr:cNvSpPr>
          </xdr:nvSpPr>
          <xdr:spPr bwMode="auto">
            <a:xfrm flipV="1">
              <a:off x="583" y="1165"/>
              <a:ext cx="95" cy="14"/>
            </a:xfrm>
            <a:prstGeom prst="line">
              <a:avLst/>
            </a:prstGeom>
            <a:noFill/>
            <a:ln w="9525">
              <a:solidFill>
                <a:srgbClr xmlns:mc="http://schemas.openxmlformats.org/markup-compatibility/2006" xmlns:a14="http://schemas.microsoft.com/office/drawing/2010/main" val="808080" mc:Ignorable="a14" a14:legacySpreadsheetColorIndex="23"/>
              </a:solidFill>
              <a:round/>
              <a:headEnd/>
              <a:tailEnd type="triangle" w="med" len="med"/>
            </a:ln>
            <a:extLst>
              <a:ext uri="{909E8E84-426E-40DD-AFC4-6F175D3DCCD1}">
                <a14:hiddenFill xmlns:a14="http://schemas.microsoft.com/office/drawing/2010/main">
                  <a:noFill/>
                </a14:hiddenFill>
              </a:ext>
            </a:extLst>
          </xdr:spPr>
        </xdr:sp>
        <xdr:sp macro="" textlink="">
          <xdr:nvSpPr>
            <xdr:cNvPr id="70666" name="Rectangle 10"/>
            <xdr:cNvSpPr>
              <a:spLocks noChangeArrowheads="1"/>
            </xdr:cNvSpPr>
          </xdr:nvSpPr>
          <xdr:spPr bwMode="auto">
            <a:xfrm>
              <a:off x="156" y="1160"/>
              <a:ext cx="432" cy="48"/>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22860" rIns="27432" bIns="22860" anchor="ctr" upright="1"/>
            <a:lstStyle/>
            <a:p>
              <a:pPr algn="ctr" rtl="0">
                <a:lnSpc>
                  <a:spcPts val="1100"/>
                </a:lnSpc>
                <a:defRPr sz="1000"/>
              </a:pPr>
              <a:r>
                <a:rPr lang="it-IT" sz="1000" b="0" i="0" u="none" strike="noStrike" baseline="0">
                  <a:solidFill>
                    <a:srgbClr val="808080"/>
                  </a:solidFill>
                  <a:latin typeface="Tahoma"/>
                  <a:ea typeface="Tahoma"/>
                  <a:cs typeface="Tahoma"/>
                </a:rPr>
                <a:t>Totale del giorno meno pagamenti documentati = CONTANTE ATTESO</a:t>
              </a:r>
            </a:p>
            <a:p>
              <a:pPr algn="ctr" rtl="0">
                <a:lnSpc>
                  <a:spcPts val="1100"/>
                </a:lnSpc>
                <a:defRPr sz="1000"/>
              </a:pPr>
              <a:r>
                <a:rPr lang="it-IT" sz="1000" b="0" i="0" u="none" strike="noStrike" baseline="0">
                  <a:solidFill>
                    <a:srgbClr val="808080"/>
                  </a:solidFill>
                  <a:latin typeface="Tahoma"/>
                  <a:ea typeface="Tahoma"/>
                  <a:cs typeface="Tahoma"/>
                </a:rPr>
                <a:t>(EUR 3.500,00 - 2.850,00 = 650,00)</a:t>
              </a:r>
            </a:p>
          </xdr:txBody>
        </xdr:sp>
      </xdr:grpSp>
      <xdr:grpSp>
        <xdr:nvGrpSpPr>
          <xdr:cNvPr id="70667" name="Group 11"/>
          <xdr:cNvGrpSpPr>
            <a:grpSpLocks/>
          </xdr:cNvGrpSpPr>
        </xdr:nvGrpSpPr>
        <xdr:grpSpPr bwMode="auto">
          <a:xfrm>
            <a:off x="119" y="998"/>
            <a:ext cx="100" cy="79"/>
            <a:chOff x="119" y="998"/>
            <a:chExt cx="100" cy="79"/>
          </a:xfrm>
        </xdr:grpSpPr>
        <xdr:sp macro="" textlink="">
          <xdr:nvSpPr>
            <xdr:cNvPr id="70668" name="Line 12"/>
            <xdr:cNvSpPr>
              <a:spLocks noChangeShapeType="1"/>
            </xdr:cNvSpPr>
          </xdr:nvSpPr>
          <xdr:spPr bwMode="auto">
            <a:xfrm flipV="1">
              <a:off x="169" y="998"/>
              <a:ext cx="0" cy="53"/>
            </a:xfrm>
            <a:prstGeom prst="line">
              <a:avLst/>
            </a:prstGeom>
            <a:noFill/>
            <a:ln w="9525">
              <a:solidFill>
                <a:srgbClr xmlns:mc="http://schemas.openxmlformats.org/markup-compatibility/2006" xmlns:a14="http://schemas.microsoft.com/office/drawing/2010/main" val="808080" mc:Ignorable="a14" a14:legacySpreadsheetColorIndex="23"/>
              </a:solidFill>
              <a:round/>
              <a:headEnd/>
              <a:tailEnd type="triangle" w="med" len="med"/>
            </a:ln>
            <a:extLst>
              <a:ext uri="{909E8E84-426E-40DD-AFC4-6F175D3DCCD1}">
                <a14:hiddenFill xmlns:a14="http://schemas.microsoft.com/office/drawing/2010/main">
                  <a:noFill/>
                </a14:hiddenFill>
              </a:ext>
            </a:extLst>
          </xdr:spPr>
        </xdr:sp>
        <xdr:sp macro="" textlink="">
          <xdr:nvSpPr>
            <xdr:cNvPr id="70669" name="Rectangle 13"/>
            <xdr:cNvSpPr>
              <a:spLocks noChangeArrowheads="1"/>
            </xdr:cNvSpPr>
          </xdr:nvSpPr>
          <xdr:spPr bwMode="auto">
            <a:xfrm>
              <a:off x="119" y="1038"/>
              <a:ext cx="100" cy="3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18288" rIns="27432" bIns="18288" anchor="ctr" upright="1"/>
            <a:lstStyle/>
            <a:p>
              <a:pPr algn="ctr" rtl="0">
                <a:lnSpc>
                  <a:spcPts val="900"/>
                </a:lnSpc>
                <a:defRPr sz="1000"/>
              </a:pPr>
              <a:r>
                <a:rPr lang="it-IT" sz="800" b="0" i="0" u="none" strike="noStrike" baseline="0">
                  <a:solidFill>
                    <a:srgbClr val="808080"/>
                  </a:solidFill>
                  <a:latin typeface="Tahoma"/>
                  <a:ea typeface="Tahoma"/>
                  <a:cs typeface="Tahoma"/>
                </a:rPr>
                <a:t>Carte di credito</a:t>
              </a:r>
            </a:p>
            <a:p>
              <a:pPr algn="ctr" rtl="0">
                <a:defRPr sz="1000"/>
              </a:pPr>
              <a:r>
                <a:rPr lang="it-IT" sz="800" b="0" i="0" u="none" strike="noStrike" baseline="0">
                  <a:solidFill>
                    <a:srgbClr val="808080"/>
                  </a:solidFill>
                  <a:latin typeface="Tahoma"/>
                  <a:ea typeface="Tahoma"/>
                  <a:cs typeface="Tahoma"/>
                </a:rPr>
                <a:t>o ALTRO</a:t>
              </a:r>
            </a:p>
          </xdr:txBody>
        </xdr:sp>
      </xdr:grpSp>
    </xdr:grpSp>
    <xdr:clientData/>
  </xdr:twoCellAnchor>
  <xdr:twoCellAnchor editAs="oneCell">
    <xdr:from>
      <xdr:col>1</xdr:col>
      <xdr:colOff>552450</xdr:colOff>
      <xdr:row>273</xdr:row>
      <xdr:rowOff>9525</xdr:rowOff>
    </xdr:from>
    <xdr:to>
      <xdr:col>13</xdr:col>
      <xdr:colOff>276225</xdr:colOff>
      <xdr:row>282</xdr:row>
      <xdr:rowOff>142875</xdr:rowOff>
    </xdr:to>
    <xdr:pic>
      <xdr:nvPicPr>
        <xdr:cNvPr id="70670" name="Picture 1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2050" y="44253150"/>
          <a:ext cx="7038975" cy="15906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3</xdr:col>
      <xdr:colOff>28575</xdr:colOff>
      <xdr:row>168</xdr:row>
      <xdr:rowOff>66675</xdr:rowOff>
    </xdr:from>
    <xdr:to>
      <xdr:col>12</xdr:col>
      <xdr:colOff>276225</xdr:colOff>
      <xdr:row>188</xdr:row>
      <xdr:rowOff>19050</xdr:rowOff>
    </xdr:to>
    <xdr:grpSp>
      <xdr:nvGrpSpPr>
        <xdr:cNvPr id="70671" name="Group 15"/>
        <xdr:cNvGrpSpPr>
          <a:grpSpLocks/>
        </xdr:cNvGrpSpPr>
      </xdr:nvGrpSpPr>
      <xdr:grpSpPr bwMode="auto">
        <a:xfrm>
          <a:off x="1857375" y="27308175"/>
          <a:ext cx="5734050" cy="3190875"/>
          <a:chOff x="195" y="2988"/>
          <a:chExt cx="602" cy="335"/>
        </a:xfrm>
      </xdr:grpSpPr>
      <xdr:pic>
        <xdr:nvPicPr>
          <xdr:cNvPr id="70672" name="Picture 1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4610" t="26373"/>
          <a:stretch>
            <a:fillRect/>
          </a:stretch>
        </xdr:blipFill>
        <xdr:spPr bwMode="auto">
          <a:xfrm>
            <a:off x="195" y="2988"/>
            <a:ext cx="602" cy="33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0673" name="Rectangle 17"/>
          <xdr:cNvSpPr>
            <a:spLocks noChangeArrowheads="1"/>
          </xdr:cNvSpPr>
        </xdr:nvSpPr>
        <xdr:spPr bwMode="auto">
          <a:xfrm>
            <a:off x="195" y="2988"/>
            <a:ext cx="76" cy="36"/>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xdr:twoCellAnchor>
    <xdr:from>
      <xdr:col>9</xdr:col>
      <xdr:colOff>190500</xdr:colOff>
      <xdr:row>70</xdr:row>
      <xdr:rowOff>9525</xdr:rowOff>
    </xdr:from>
    <xdr:to>
      <xdr:col>11</xdr:col>
      <xdr:colOff>142875</xdr:colOff>
      <xdr:row>86</xdr:row>
      <xdr:rowOff>38100</xdr:rowOff>
    </xdr:to>
    <xdr:sp macro="" textlink="">
      <xdr:nvSpPr>
        <xdr:cNvPr id="70674" name="Freeform 18"/>
        <xdr:cNvSpPr>
          <a:spLocks/>
        </xdr:cNvSpPr>
      </xdr:nvSpPr>
      <xdr:spPr bwMode="auto">
        <a:xfrm rot="21600000" flipH="1" flipV="1">
          <a:off x="5676900" y="11382375"/>
          <a:ext cx="1171575" cy="2619375"/>
        </a:xfrm>
        <a:custGeom>
          <a:avLst/>
          <a:gdLst>
            <a:gd name="T0" fmla="*/ 107 w 107"/>
            <a:gd name="T1" fmla="*/ 0 h 46"/>
            <a:gd name="T2" fmla="*/ 0 w 107"/>
            <a:gd name="T3" fmla="*/ 0 h 46"/>
            <a:gd name="T4" fmla="*/ 0 w 107"/>
            <a:gd name="T5" fmla="*/ 46 h 46"/>
          </a:gdLst>
          <a:ahLst/>
          <a:cxnLst>
            <a:cxn ang="0">
              <a:pos x="T0" y="T1"/>
            </a:cxn>
            <a:cxn ang="0">
              <a:pos x="T2" y="T3"/>
            </a:cxn>
            <a:cxn ang="0">
              <a:pos x="T4" y="T5"/>
            </a:cxn>
          </a:cxnLst>
          <a:rect l="0" t="0" r="r" b="b"/>
          <a:pathLst>
            <a:path w="107" h="46">
              <a:moveTo>
                <a:pt x="107" y="0"/>
              </a:moveTo>
              <a:lnTo>
                <a:pt x="0" y="0"/>
              </a:lnTo>
              <a:lnTo>
                <a:pt x="0" y="46"/>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161925</xdr:colOff>
      <xdr:row>4</xdr:row>
      <xdr:rowOff>47625</xdr:rowOff>
    </xdr:from>
    <xdr:to>
      <xdr:col>14</xdr:col>
      <xdr:colOff>438150</xdr:colOff>
      <xdr:row>12</xdr:row>
      <xdr:rowOff>114300</xdr:rowOff>
    </xdr:to>
    <xdr:sp macro="" textlink="">
      <xdr:nvSpPr>
        <xdr:cNvPr id="70675" name="Text Box 19"/>
        <xdr:cNvSpPr txBox="1">
          <a:spLocks noChangeArrowheads="1"/>
        </xdr:cNvSpPr>
      </xdr:nvSpPr>
      <xdr:spPr bwMode="auto">
        <a:xfrm>
          <a:off x="771525" y="733425"/>
          <a:ext cx="8201025" cy="13620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Il foglio CASSA è l' unico che contenga le MACRO:</a:t>
          </a:r>
        </a:p>
        <a:p>
          <a:pPr algn="l" rtl="0">
            <a:defRPr sz="1000"/>
          </a:pPr>
          <a:r>
            <a:rPr lang="it-IT" sz="1000" b="0" i="0" u="none" strike="noStrike" baseline="0">
              <a:solidFill>
                <a:srgbClr val="333333"/>
              </a:solidFill>
              <a:latin typeface="Tahoma"/>
              <a:ea typeface="Tahoma"/>
              <a:cs typeface="Tahoma"/>
            </a:rPr>
            <a:t>sono DUE PULSANTI (in alto a destra ed in basso a sinistra del foglio) che ti permettono di CANCELLARE il contenuto del foglio con un click.</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Il foglio dovrebbe essere usato quotidianamente, come chiusura serale; pertanto ogni giorno devi cancellare quanto scritto il giorno prima per poterlo compilare di nuovo. </a:t>
          </a:r>
          <a:r>
            <a:rPr lang="it-IT" sz="1000" b="0" i="0" u="sng" strike="noStrike" baseline="0">
              <a:solidFill>
                <a:srgbClr val="333333"/>
              </a:solidFill>
              <a:latin typeface="Tahoma"/>
              <a:ea typeface="Tahoma"/>
              <a:cs typeface="Tahoma"/>
            </a:rPr>
            <a:t>Il modulo è pensato per essere STAMPATO e raccolto poi in un ARCHIVIO CARTACEO per la CONTABILITA'</a:t>
          </a:r>
          <a:r>
            <a:rPr lang="it-IT" sz="1000" b="0" i="0" u="none" strike="noStrike" baseline="0">
              <a:solidFill>
                <a:srgbClr val="333333"/>
              </a:solidFill>
              <a:latin typeface="Tahoma"/>
              <a:ea typeface="Tahoma"/>
              <a:cs typeface="Tahoma"/>
            </a:rPr>
            <a:t>.</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Se le macro NON sono attivate, puoi cancellare il contenuto delle celle già compilate con il tasto "Canc" della tastiera o con doppio tasto per MAC.</a:t>
          </a:r>
        </a:p>
        <a:p>
          <a:pPr algn="l" rtl="0">
            <a:defRPr sz="1000"/>
          </a:pPr>
          <a:r>
            <a:rPr lang="it-IT" sz="1000" b="0" i="0" u="none" strike="noStrike" baseline="0">
              <a:solidFill>
                <a:srgbClr val="333333"/>
              </a:solidFill>
              <a:latin typeface="Tahoma"/>
              <a:ea typeface="Tahoma"/>
              <a:cs typeface="Tahoma"/>
            </a:rPr>
            <a:t>NON TAGLIARE LE CELLE.</a:t>
          </a:r>
        </a:p>
      </xdr:txBody>
    </xdr:sp>
    <xdr:clientData/>
  </xdr:twoCellAnchor>
  <xdr:twoCellAnchor>
    <xdr:from>
      <xdr:col>1</xdr:col>
      <xdr:colOff>161925</xdr:colOff>
      <xdr:row>17</xdr:row>
      <xdr:rowOff>0</xdr:rowOff>
    </xdr:from>
    <xdr:to>
      <xdr:col>14</xdr:col>
      <xdr:colOff>504825</xdr:colOff>
      <xdr:row>23</xdr:row>
      <xdr:rowOff>104775</xdr:rowOff>
    </xdr:to>
    <xdr:sp macro="" textlink="">
      <xdr:nvSpPr>
        <xdr:cNvPr id="70676" name="Text Box 20"/>
        <xdr:cNvSpPr txBox="1">
          <a:spLocks noChangeArrowheads="1"/>
        </xdr:cNvSpPr>
      </xdr:nvSpPr>
      <xdr:spPr bwMode="auto">
        <a:xfrm>
          <a:off x="771525" y="2790825"/>
          <a:ext cx="8267700" cy="10763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                                                                                                                                      </a:t>
          </a:r>
          <a:r>
            <a:rPr lang="it-IT" sz="1000" b="0" i="0" u="sng" strike="noStrike" baseline="0">
              <a:solidFill>
                <a:srgbClr val="333333"/>
              </a:solidFill>
              <a:latin typeface="Tahoma"/>
              <a:ea typeface="Tahoma"/>
              <a:cs typeface="Tahoma"/>
            </a:rPr>
            <a:t>Le MACRO si attivano all' APERTURA DEL FILE.</a:t>
          </a:r>
          <a:endParaRPr lang="it-IT" sz="1000" b="0" i="0" u="none" strike="noStrike" baseline="0">
            <a:solidFill>
              <a:srgbClr val="333333"/>
            </a:solidFill>
            <a:latin typeface="Tahoma"/>
            <a:ea typeface="Tahoma"/>
            <a:cs typeface="Tahoma"/>
          </a:endParaRPr>
        </a:p>
        <a:p>
          <a:pPr algn="l" rtl="0">
            <a:defRPr sz="1000"/>
          </a:pPr>
          <a:r>
            <a:rPr lang="it-IT" sz="1100" b="0" i="0" u="none" strike="noStrike" baseline="0">
              <a:solidFill>
                <a:srgbClr val="FF0000"/>
              </a:solidFill>
              <a:latin typeface="Tahoma"/>
              <a:ea typeface="Tahoma"/>
              <a:cs typeface="Tahoma"/>
            </a:rPr>
            <a:t>Procedura per l' utilizzo del foglio CASSA:</a:t>
          </a:r>
          <a:endParaRPr lang="it-IT" sz="1000" b="0" i="0" u="none" strike="noStrike" baseline="0">
            <a:solidFill>
              <a:srgbClr val="000000"/>
            </a:solidFill>
            <a:latin typeface="Tahoma"/>
            <a:ea typeface="Tahoma"/>
            <a:cs typeface="Tahoma"/>
          </a:endParaRPr>
        </a:p>
        <a:p>
          <a:pPr algn="l" rtl="0">
            <a:defRPr sz="1000"/>
          </a:pPr>
          <a:endParaRPr lang="it-IT" sz="1000" b="0" i="0" u="none" strike="noStrike" baseline="0">
            <a:solidFill>
              <a:srgbClr val="000000"/>
            </a:solidFill>
            <a:latin typeface="Tahoma"/>
            <a:ea typeface="Tahoma"/>
            <a:cs typeface="Tahoma"/>
          </a:endParaRPr>
        </a:p>
        <a:p>
          <a:pPr algn="l" rtl="0">
            <a:defRPr sz="1000"/>
          </a:pPr>
          <a:r>
            <a:rPr lang="it-IT" sz="1000" b="0" i="0" u="none" strike="noStrike" baseline="0">
              <a:solidFill>
                <a:srgbClr val="FF0000"/>
              </a:solidFill>
              <a:latin typeface="Tahoma"/>
              <a:ea typeface="Tahoma"/>
              <a:cs typeface="Tahoma"/>
            </a:rPr>
            <a:t>1)</a:t>
          </a:r>
          <a:r>
            <a:rPr lang="it-IT" sz="1000" b="0" i="0" u="none" strike="noStrike" baseline="0">
              <a:solidFill>
                <a:srgbClr val="000000"/>
              </a:solidFill>
              <a:latin typeface="Tahoma"/>
              <a:ea typeface="Tahoma"/>
              <a:cs typeface="Tahoma"/>
            </a:rPr>
            <a:t> Inserisci il giorno (dell' anno in corso) per il quale vuoi compilare il RAPPORTINO DI CHIUSURA. Assicurati di aver annotato correttamente gli importi nella riga giornaliera del tuo registro. Il valore iniziale del rapportino è il "Totale del giorno" per il quale, per sottrazione, arriveremo alla quadratura di questo importo fino al valore ZERO.</a:t>
          </a:r>
        </a:p>
      </xdr:txBody>
    </xdr:sp>
    <xdr:clientData/>
  </xdr:twoCellAnchor>
  <xdr:twoCellAnchor>
    <xdr:from>
      <xdr:col>10</xdr:col>
      <xdr:colOff>38100</xdr:colOff>
      <xdr:row>13</xdr:row>
      <xdr:rowOff>114300</xdr:rowOff>
    </xdr:from>
    <xdr:to>
      <xdr:col>12</xdr:col>
      <xdr:colOff>600075</xdr:colOff>
      <xdr:row>15</xdr:row>
      <xdr:rowOff>28575</xdr:rowOff>
    </xdr:to>
    <xdr:grpSp>
      <xdr:nvGrpSpPr>
        <xdr:cNvPr id="70677" name="Group 21"/>
        <xdr:cNvGrpSpPr>
          <a:grpSpLocks/>
        </xdr:cNvGrpSpPr>
      </xdr:nvGrpSpPr>
      <xdr:grpSpPr bwMode="auto">
        <a:xfrm>
          <a:off x="6134100" y="2257425"/>
          <a:ext cx="1781175" cy="238125"/>
          <a:chOff x="666" y="227"/>
          <a:chExt cx="187" cy="25"/>
        </a:xfrm>
      </xdr:grpSpPr>
      <xdr:sp macro="" textlink="">
        <xdr:nvSpPr>
          <xdr:cNvPr id="70678" name="Line 22"/>
          <xdr:cNvSpPr>
            <a:spLocks noChangeShapeType="1"/>
          </xdr:cNvSpPr>
        </xdr:nvSpPr>
        <xdr:spPr bwMode="auto">
          <a:xfrm flipH="1">
            <a:off x="666" y="240"/>
            <a:ext cx="169" cy="0"/>
          </a:xfrm>
          <a:prstGeom prst="line">
            <a:avLst/>
          </a:prstGeom>
          <a:noFill/>
          <a:ln w="9525">
            <a:solidFill>
              <a:srgbClr xmlns:mc="http://schemas.openxmlformats.org/markup-compatibility/2006" xmlns:a14="http://schemas.microsoft.com/office/drawing/2010/main" val="808080" mc:Ignorable="a14" a14:legacySpreadsheetColorIndex="23"/>
            </a:solidFill>
            <a:round/>
            <a:headEnd/>
            <a:tailEnd type="triangle" w="med" len="med"/>
          </a:ln>
          <a:extLst>
            <a:ext uri="{909E8E84-426E-40DD-AFC4-6F175D3DCCD1}">
              <a14:hiddenFill xmlns:a14="http://schemas.microsoft.com/office/drawing/2010/main">
                <a:noFill/>
              </a14:hiddenFill>
            </a:ext>
          </a:extLst>
        </xdr:spPr>
      </xdr:sp>
      <xdr:sp macro="" textlink="">
        <xdr:nvSpPr>
          <xdr:cNvPr id="70679" name="Text Box 23"/>
          <xdr:cNvSpPr txBox="1">
            <a:spLocks noChangeArrowheads="1"/>
          </xdr:cNvSpPr>
        </xdr:nvSpPr>
        <xdr:spPr bwMode="auto">
          <a:xfrm>
            <a:off x="713" y="227"/>
            <a:ext cx="140" cy="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0" tIns="0" rIns="0" bIns="0" anchor="ctr" upright="1"/>
          <a:lstStyle/>
          <a:p>
            <a:pPr algn="ctr" rtl="0">
              <a:defRPr sz="1000"/>
            </a:pPr>
            <a:r>
              <a:rPr lang="it-IT" sz="800" b="0" i="0" u="none" strike="noStrike" baseline="0">
                <a:solidFill>
                  <a:srgbClr val="808080"/>
                </a:solidFill>
                <a:latin typeface="Tahoma"/>
                <a:ea typeface="Tahoma"/>
                <a:cs typeface="Tahoma"/>
              </a:rPr>
              <a:t>CANCELLI con un CLICK</a:t>
            </a:r>
          </a:p>
        </xdr:txBody>
      </xdr:sp>
    </xdr:grpSp>
    <xdr:clientData/>
  </xdr:twoCellAnchor>
  <xdr:twoCellAnchor>
    <xdr:from>
      <xdr:col>5</xdr:col>
      <xdr:colOff>66675</xdr:colOff>
      <xdr:row>12</xdr:row>
      <xdr:rowOff>28575</xdr:rowOff>
    </xdr:from>
    <xdr:to>
      <xdr:col>6</xdr:col>
      <xdr:colOff>504825</xdr:colOff>
      <xdr:row>16</xdr:row>
      <xdr:rowOff>133350</xdr:rowOff>
    </xdr:to>
    <xdr:grpSp>
      <xdr:nvGrpSpPr>
        <xdr:cNvPr id="70680" name="Group 24"/>
        <xdr:cNvGrpSpPr>
          <a:grpSpLocks/>
        </xdr:cNvGrpSpPr>
      </xdr:nvGrpSpPr>
      <xdr:grpSpPr bwMode="auto">
        <a:xfrm>
          <a:off x="3114675" y="2009775"/>
          <a:ext cx="1047750" cy="752475"/>
          <a:chOff x="337" y="201"/>
          <a:chExt cx="110" cy="79"/>
        </a:xfrm>
      </xdr:grpSpPr>
      <xdr:pic>
        <xdr:nvPicPr>
          <xdr:cNvPr id="70681" name="Picture 2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7" y="201"/>
            <a:ext cx="110" cy="79"/>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70682" name="Picture 26" descr="ICONA MOUS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47876" t="13333" r="8109" b="10770"/>
          <a:stretch>
            <a:fillRect/>
          </a:stretch>
        </xdr:blipFill>
        <xdr:spPr bwMode="auto">
          <a:xfrm>
            <a:off x="422" y="258"/>
            <a:ext cx="17" cy="2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7</xdr:col>
      <xdr:colOff>0</xdr:colOff>
      <xdr:row>12</xdr:row>
      <xdr:rowOff>152400</xdr:rowOff>
    </xdr:from>
    <xdr:to>
      <xdr:col>9</xdr:col>
      <xdr:colOff>333375</xdr:colOff>
      <xdr:row>16</xdr:row>
      <xdr:rowOff>28575</xdr:rowOff>
    </xdr:to>
    <xdr:grpSp>
      <xdr:nvGrpSpPr>
        <xdr:cNvPr id="70683" name="Group 27"/>
        <xdr:cNvGrpSpPr>
          <a:grpSpLocks/>
        </xdr:cNvGrpSpPr>
      </xdr:nvGrpSpPr>
      <xdr:grpSpPr bwMode="auto">
        <a:xfrm>
          <a:off x="4267200" y="2133600"/>
          <a:ext cx="1552575" cy="523875"/>
          <a:chOff x="465" y="215"/>
          <a:chExt cx="163" cy="55"/>
        </a:xfrm>
      </xdr:grpSpPr>
      <xdr:pic>
        <xdr:nvPicPr>
          <xdr:cNvPr id="70684" name="Picture 28"/>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65" y="215"/>
            <a:ext cx="163" cy="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70685" name="Picture 29" descr="ICONA MOUS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47876" t="13333" r="8109" b="10770"/>
          <a:stretch>
            <a:fillRect/>
          </a:stretch>
        </xdr:blipFill>
        <xdr:spPr bwMode="auto">
          <a:xfrm>
            <a:off x="609" y="248"/>
            <a:ext cx="17" cy="2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190500</xdr:colOff>
      <xdr:row>23</xdr:row>
      <xdr:rowOff>152400</xdr:rowOff>
    </xdr:from>
    <xdr:to>
      <xdr:col>13</xdr:col>
      <xdr:colOff>152400</xdr:colOff>
      <xdr:row>36</xdr:row>
      <xdr:rowOff>66675</xdr:rowOff>
    </xdr:to>
    <xdr:grpSp>
      <xdr:nvGrpSpPr>
        <xdr:cNvPr id="70686" name="Group 30"/>
        <xdr:cNvGrpSpPr>
          <a:grpSpLocks/>
        </xdr:cNvGrpSpPr>
      </xdr:nvGrpSpPr>
      <xdr:grpSpPr bwMode="auto">
        <a:xfrm>
          <a:off x="800100" y="3914775"/>
          <a:ext cx="7277100" cy="2019300"/>
          <a:chOff x="84" y="426"/>
          <a:chExt cx="764" cy="212"/>
        </a:xfrm>
      </xdr:grpSpPr>
      <xdr:pic>
        <xdr:nvPicPr>
          <xdr:cNvPr id="70687" name="Picture 31"/>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4" y="426"/>
            <a:ext cx="701" cy="17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nvGrpSpPr>
          <xdr:cNvPr id="70688" name="Group 32"/>
          <xdr:cNvGrpSpPr>
            <a:grpSpLocks/>
          </xdr:cNvGrpSpPr>
        </xdr:nvGrpSpPr>
        <xdr:grpSpPr bwMode="auto">
          <a:xfrm>
            <a:off x="625" y="435"/>
            <a:ext cx="177" cy="37"/>
            <a:chOff x="625" y="435"/>
            <a:chExt cx="177" cy="37"/>
          </a:xfrm>
        </xdr:grpSpPr>
        <xdr:sp macro="" textlink="">
          <xdr:nvSpPr>
            <xdr:cNvPr id="70689" name="Line 33"/>
            <xdr:cNvSpPr>
              <a:spLocks noChangeShapeType="1"/>
            </xdr:cNvSpPr>
          </xdr:nvSpPr>
          <xdr:spPr bwMode="auto">
            <a:xfrm flipH="1">
              <a:off x="625" y="450"/>
              <a:ext cx="59" cy="2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70690" name="Rectangle 34"/>
            <xdr:cNvSpPr>
              <a:spLocks noChangeArrowheads="1"/>
            </xdr:cNvSpPr>
          </xdr:nvSpPr>
          <xdr:spPr bwMode="auto">
            <a:xfrm>
              <a:off x="665" y="435"/>
              <a:ext cx="137" cy="32"/>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22860" rIns="27432" bIns="22860" anchor="ctr" upright="1"/>
            <a:lstStyle/>
            <a:p>
              <a:pPr algn="ctr" rtl="0">
                <a:defRPr sz="1000"/>
              </a:pPr>
              <a:r>
                <a:rPr lang="it-IT" sz="1000" b="0" i="0" u="none" strike="noStrike" baseline="0">
                  <a:solidFill>
                    <a:srgbClr val="FF0000"/>
                  </a:solidFill>
                  <a:latin typeface="Tahoma"/>
                  <a:ea typeface="Tahoma"/>
                  <a:cs typeface="Tahoma"/>
                </a:rPr>
                <a:t>Inserisci la DATA</a:t>
              </a:r>
            </a:p>
          </xdr:txBody>
        </xdr:sp>
      </xdr:grpSp>
      <xdr:grpSp>
        <xdr:nvGrpSpPr>
          <xdr:cNvPr id="70691" name="Group 35"/>
          <xdr:cNvGrpSpPr>
            <a:grpSpLocks/>
          </xdr:cNvGrpSpPr>
        </xdr:nvGrpSpPr>
        <xdr:grpSpPr bwMode="auto">
          <a:xfrm>
            <a:off x="340" y="577"/>
            <a:ext cx="508" cy="61"/>
            <a:chOff x="340" y="577"/>
            <a:chExt cx="508" cy="61"/>
          </a:xfrm>
        </xdr:grpSpPr>
        <xdr:sp macro="" textlink="">
          <xdr:nvSpPr>
            <xdr:cNvPr id="70692" name="Line 36"/>
            <xdr:cNvSpPr>
              <a:spLocks noChangeShapeType="1"/>
            </xdr:cNvSpPr>
          </xdr:nvSpPr>
          <xdr:spPr bwMode="auto">
            <a:xfrm flipV="1">
              <a:off x="472" y="623"/>
              <a:ext cx="63" cy="0"/>
            </a:xfrm>
            <a:prstGeom prst="line">
              <a:avLst/>
            </a:prstGeom>
            <a:noFill/>
            <a:ln w="9525">
              <a:solidFill>
                <a:srgbClr xmlns:mc="http://schemas.openxmlformats.org/markup-compatibility/2006" xmlns:a14="http://schemas.microsoft.com/office/drawing/2010/main" val="808080" mc:Ignorable="a14" a14:legacySpreadsheetColorIndex="23"/>
              </a:solidFill>
              <a:round/>
              <a:headEnd/>
              <a:tailEnd type="triangle" w="med" len="med"/>
            </a:ln>
            <a:extLst>
              <a:ext uri="{909E8E84-426E-40DD-AFC4-6F175D3DCCD1}">
                <a14:hiddenFill xmlns:a14="http://schemas.microsoft.com/office/drawing/2010/main">
                  <a:noFill/>
                </a14:hiddenFill>
              </a:ext>
            </a:extLst>
          </xdr:spPr>
        </xdr:sp>
        <xdr:sp macro="" textlink="">
          <xdr:nvSpPr>
            <xdr:cNvPr id="70693" name="Line 37"/>
            <xdr:cNvSpPr>
              <a:spLocks noChangeShapeType="1"/>
            </xdr:cNvSpPr>
          </xdr:nvSpPr>
          <xdr:spPr bwMode="auto">
            <a:xfrm flipV="1">
              <a:off x="475" y="577"/>
              <a:ext cx="49" cy="41"/>
            </a:xfrm>
            <a:prstGeom prst="line">
              <a:avLst/>
            </a:prstGeom>
            <a:noFill/>
            <a:ln w="9525">
              <a:solidFill>
                <a:srgbClr xmlns:mc="http://schemas.openxmlformats.org/markup-compatibility/2006" xmlns:a14="http://schemas.microsoft.com/office/drawing/2010/main" val="808080" mc:Ignorable="a14" a14:legacySpreadsheetColorIndex="23"/>
              </a:solidFill>
              <a:round/>
              <a:headEnd/>
              <a:tailEnd type="triangle" w="med" len="med"/>
            </a:ln>
            <a:extLst>
              <a:ext uri="{909E8E84-426E-40DD-AFC4-6F175D3DCCD1}">
                <a14:hiddenFill xmlns:a14="http://schemas.microsoft.com/office/drawing/2010/main">
                  <a:noFill/>
                </a14:hiddenFill>
              </a:ext>
            </a:extLst>
          </xdr:spPr>
        </xdr:sp>
        <xdr:sp macro="" textlink="">
          <xdr:nvSpPr>
            <xdr:cNvPr id="70694" name="Rectangle 38"/>
            <xdr:cNvSpPr>
              <a:spLocks noChangeArrowheads="1"/>
            </xdr:cNvSpPr>
          </xdr:nvSpPr>
          <xdr:spPr bwMode="auto">
            <a:xfrm>
              <a:off x="340" y="602"/>
              <a:ext cx="137" cy="32"/>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22860" rIns="27432" bIns="22860" anchor="ctr" upright="1"/>
            <a:lstStyle/>
            <a:p>
              <a:pPr algn="ctr" rtl="0">
                <a:defRPr sz="1000"/>
              </a:pPr>
              <a:r>
                <a:rPr lang="it-IT" sz="1000" b="0" i="0" u="none" strike="noStrike" baseline="0">
                  <a:solidFill>
                    <a:srgbClr val="808080"/>
                  </a:solidFill>
                  <a:latin typeface="Tahoma"/>
                  <a:ea typeface="Tahoma"/>
                  <a:cs typeface="Tahoma"/>
                </a:rPr>
                <a:t>Totale registrato</a:t>
              </a:r>
            </a:p>
          </xdr:txBody>
        </xdr:sp>
        <xdr:sp macro="" textlink="">
          <xdr:nvSpPr>
            <xdr:cNvPr id="70695" name="Rectangle 39"/>
            <xdr:cNvSpPr>
              <a:spLocks noChangeArrowheads="1"/>
            </xdr:cNvSpPr>
          </xdr:nvSpPr>
          <xdr:spPr bwMode="auto">
            <a:xfrm>
              <a:off x="541" y="609"/>
              <a:ext cx="307" cy="2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22860" rIns="27432" bIns="22860" anchor="ctr" upright="1"/>
            <a:lstStyle/>
            <a:p>
              <a:pPr algn="ctr" rtl="0">
                <a:defRPr sz="1000"/>
              </a:pPr>
              <a:r>
                <a:rPr lang="it-IT" sz="1000" b="0" i="0" u="none" strike="noStrike" baseline="0">
                  <a:solidFill>
                    <a:srgbClr val="808080"/>
                  </a:solidFill>
                  <a:latin typeface="Tahoma"/>
                  <a:ea typeface="Tahoma"/>
                  <a:cs typeface="Tahoma"/>
                </a:rPr>
                <a:t>Così compili il rapportino per il </a:t>
              </a:r>
              <a:r>
                <a:rPr lang="it-IT" sz="1000" b="0" i="0" u="sng" strike="noStrike" baseline="0">
                  <a:solidFill>
                    <a:srgbClr val="808080"/>
                  </a:solidFill>
                  <a:latin typeface="Tahoma"/>
                  <a:ea typeface="Tahoma"/>
                  <a:cs typeface="Tahoma"/>
                </a:rPr>
                <a:t>TOTALE del giorno</a:t>
              </a:r>
            </a:p>
          </xdr:txBody>
        </xdr:sp>
      </xdr:grpSp>
    </xdr:grpSp>
    <xdr:clientData/>
  </xdr:twoCellAnchor>
  <xdr:twoCellAnchor>
    <xdr:from>
      <xdr:col>3</xdr:col>
      <xdr:colOff>409575</xdr:colOff>
      <xdr:row>32</xdr:row>
      <xdr:rowOff>114300</xdr:rowOff>
    </xdr:from>
    <xdr:to>
      <xdr:col>14</xdr:col>
      <xdr:colOff>523875</xdr:colOff>
      <xdr:row>44</xdr:row>
      <xdr:rowOff>152400</xdr:rowOff>
    </xdr:to>
    <xdr:grpSp>
      <xdr:nvGrpSpPr>
        <xdr:cNvPr id="70696" name="Group 40"/>
        <xdr:cNvGrpSpPr>
          <a:grpSpLocks/>
        </xdr:cNvGrpSpPr>
      </xdr:nvGrpSpPr>
      <xdr:grpSpPr bwMode="auto">
        <a:xfrm>
          <a:off x="2238375" y="5334000"/>
          <a:ext cx="6819900" cy="1981200"/>
          <a:chOff x="235" y="575"/>
          <a:chExt cx="716" cy="208"/>
        </a:xfrm>
      </xdr:grpSpPr>
      <xdr:grpSp>
        <xdr:nvGrpSpPr>
          <xdr:cNvPr id="70697" name="Group 41"/>
          <xdr:cNvGrpSpPr>
            <a:grpSpLocks/>
          </xdr:cNvGrpSpPr>
        </xdr:nvGrpSpPr>
        <xdr:grpSpPr bwMode="auto">
          <a:xfrm>
            <a:off x="411" y="665"/>
            <a:ext cx="540" cy="118"/>
            <a:chOff x="380" y="654"/>
            <a:chExt cx="540" cy="118"/>
          </a:xfrm>
        </xdr:grpSpPr>
        <xdr:grpSp>
          <xdr:nvGrpSpPr>
            <xdr:cNvPr id="70698" name="Group 42"/>
            <xdr:cNvGrpSpPr>
              <a:grpSpLocks/>
            </xdr:cNvGrpSpPr>
          </xdr:nvGrpSpPr>
          <xdr:grpSpPr bwMode="auto">
            <a:xfrm>
              <a:off x="380" y="654"/>
              <a:ext cx="540" cy="118"/>
              <a:chOff x="380" y="654"/>
              <a:chExt cx="540" cy="118"/>
            </a:xfrm>
          </xdr:grpSpPr>
          <xdr:grpSp>
            <xdr:nvGrpSpPr>
              <xdr:cNvPr id="70699" name="Group 43"/>
              <xdr:cNvGrpSpPr>
                <a:grpSpLocks/>
              </xdr:cNvGrpSpPr>
            </xdr:nvGrpSpPr>
            <xdr:grpSpPr bwMode="auto">
              <a:xfrm>
                <a:off x="380" y="654"/>
                <a:ext cx="540" cy="118"/>
                <a:chOff x="380" y="653"/>
                <a:chExt cx="540" cy="118"/>
              </a:xfrm>
            </xdr:grpSpPr>
            <xdr:sp macro="" textlink="">
              <xdr:nvSpPr>
                <xdr:cNvPr id="70700" name="Rectangle 44"/>
                <xdr:cNvSpPr>
                  <a:spLocks noChangeArrowheads="1"/>
                </xdr:cNvSpPr>
              </xdr:nvSpPr>
              <xdr:spPr bwMode="auto">
                <a:xfrm>
                  <a:off x="386" y="659"/>
                  <a:ext cx="534" cy="112"/>
                </a:xfrm>
                <a:prstGeom prst="rect">
                  <a:avLst/>
                </a:prstGeom>
                <a:solidFill>
                  <a:srgbClr xmlns:mc="http://schemas.openxmlformats.org/markup-compatibility/2006" xmlns:a14="http://schemas.microsoft.com/office/drawing/2010/main" val="333333" mc:Ignorable="a14" a14:legacySpreadsheetColorIndex="63"/>
                </a:solidFill>
                <a:ln w="9525">
                  <a:solidFill>
                    <a:srgbClr xmlns:mc="http://schemas.openxmlformats.org/markup-compatibility/2006" xmlns:a14="http://schemas.microsoft.com/office/drawing/2010/main" val="333333" mc:Ignorable="a14" a14:legacySpreadsheetColorIndex="63"/>
                  </a:solidFill>
                  <a:miter lim="800000"/>
                  <a:headEnd/>
                  <a:tailEnd/>
                </a:ln>
              </xdr:spPr>
            </xdr:sp>
            <xdr:sp macro="" textlink="">
              <xdr:nvSpPr>
                <xdr:cNvPr id="70701" name="Rectangle 45"/>
                <xdr:cNvSpPr>
                  <a:spLocks noChangeArrowheads="1"/>
                </xdr:cNvSpPr>
              </xdr:nvSpPr>
              <xdr:spPr bwMode="auto">
                <a:xfrm>
                  <a:off x="380" y="653"/>
                  <a:ext cx="534" cy="112"/>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333333" mc:Ignorable="a14" a14:legacySpreadsheetColorIndex="63"/>
                  </a:solidFill>
                  <a:miter lim="800000"/>
                  <a:headEnd/>
                  <a:tailEnd/>
                </a:ln>
              </xdr:spPr>
            </xdr:sp>
            <xdr:grpSp>
              <xdr:nvGrpSpPr>
                <xdr:cNvPr id="70702" name="Group 46"/>
                <xdr:cNvGrpSpPr>
                  <a:grpSpLocks/>
                </xdr:cNvGrpSpPr>
              </xdr:nvGrpSpPr>
              <xdr:grpSpPr bwMode="auto">
                <a:xfrm>
                  <a:off x="403" y="693"/>
                  <a:ext cx="506" cy="71"/>
                  <a:chOff x="403" y="693"/>
                  <a:chExt cx="506" cy="71"/>
                </a:xfrm>
              </xdr:grpSpPr>
              <xdr:pic>
                <xdr:nvPicPr>
                  <xdr:cNvPr id="70703" name="Picture 47"/>
                  <xdr:cNvPicPr preferRelativeResize="0">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03" y="693"/>
                    <a:ext cx="506" cy="71"/>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0704" name="Rectangle 48"/>
                  <xdr:cNvSpPr>
                    <a:spLocks noChangeAspect="1" noChangeArrowheads="1"/>
                  </xdr:cNvSpPr>
                </xdr:nvSpPr>
                <xdr:spPr bwMode="auto">
                  <a:xfrm>
                    <a:off x="412" y="745"/>
                    <a:ext cx="159" cy="19"/>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grpSp>
          <xdr:sp macro="" textlink="">
            <xdr:nvSpPr>
              <xdr:cNvPr id="70705" name="Rectangle 49"/>
              <xdr:cNvSpPr>
                <a:spLocks noChangeAspect="1" noChangeArrowheads="1"/>
              </xdr:cNvSpPr>
            </xdr:nvSpPr>
            <xdr:spPr bwMode="auto">
              <a:xfrm>
                <a:off x="413" y="689"/>
                <a:ext cx="395" cy="11"/>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sp macro="" textlink="">
          <xdr:nvSpPr>
            <xdr:cNvPr id="70706" name="Rectangle 50"/>
            <xdr:cNvSpPr>
              <a:spLocks noChangeArrowheads="1"/>
            </xdr:cNvSpPr>
          </xdr:nvSpPr>
          <xdr:spPr bwMode="auto">
            <a:xfrm>
              <a:off x="443" y="666"/>
              <a:ext cx="307" cy="29"/>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808080" mc:Ignorable="a14" a14:legacySpreadsheetColorIndex="23"/>
                  </a:solidFill>
                  <a:miter lim="800000"/>
                  <a:headEnd/>
                  <a:tailEnd/>
                </a14:hiddenLine>
              </a:ext>
            </a:extLst>
          </xdr:spPr>
          <xdr:txBody>
            <a:bodyPr vertOverflow="clip" wrap="square" lIns="27432" tIns="22860" rIns="27432" bIns="22860" anchor="ctr" upright="1"/>
            <a:lstStyle/>
            <a:p>
              <a:pPr algn="ctr" rtl="0">
                <a:defRPr sz="1000"/>
              </a:pPr>
              <a:r>
                <a:rPr lang="it-IT" sz="1000" b="0" i="0" u="none" strike="noStrike" baseline="0">
                  <a:solidFill>
                    <a:srgbClr val="FF0000"/>
                  </a:solidFill>
                  <a:latin typeface="Tahoma"/>
                  <a:ea typeface="Tahoma"/>
                  <a:cs typeface="Tahoma"/>
                </a:rPr>
                <a:t>Così compili PARZIALMENTE il rapportino</a:t>
              </a:r>
            </a:p>
          </xdr:txBody>
        </xdr:sp>
      </xdr:grpSp>
      <xdr:sp macro="" textlink="">
        <xdr:nvSpPr>
          <xdr:cNvPr id="70707" name="Freeform 51"/>
          <xdr:cNvSpPr>
            <a:spLocks/>
          </xdr:cNvSpPr>
        </xdr:nvSpPr>
        <xdr:spPr bwMode="auto">
          <a:xfrm>
            <a:off x="728" y="575"/>
            <a:ext cx="161" cy="120"/>
          </a:xfrm>
          <a:custGeom>
            <a:avLst/>
            <a:gdLst>
              <a:gd name="T0" fmla="*/ 0 w 156"/>
              <a:gd name="T1" fmla="*/ 0 h 107"/>
              <a:gd name="T2" fmla="*/ 156 w 156"/>
              <a:gd name="T3" fmla="*/ 0 h 107"/>
              <a:gd name="T4" fmla="*/ 156 w 156"/>
              <a:gd name="T5" fmla="*/ 107 h 107"/>
            </a:gdLst>
            <a:ahLst/>
            <a:cxnLst>
              <a:cxn ang="0">
                <a:pos x="T0" y="T1"/>
              </a:cxn>
              <a:cxn ang="0">
                <a:pos x="T2" y="T3"/>
              </a:cxn>
              <a:cxn ang="0">
                <a:pos x="T4" y="T5"/>
              </a:cxn>
            </a:cxnLst>
            <a:rect l="0" t="0" r="r" b="b"/>
            <a:pathLst>
              <a:path w="156" h="107">
                <a:moveTo>
                  <a:pt x="0" y="0"/>
                </a:moveTo>
                <a:lnTo>
                  <a:pt x="156" y="0"/>
                </a:lnTo>
                <a:lnTo>
                  <a:pt x="156" y="107"/>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oval"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70708" name="Text Box 52"/>
          <xdr:cNvSpPr txBox="1">
            <a:spLocks noChangeArrowheads="1"/>
          </xdr:cNvSpPr>
        </xdr:nvSpPr>
        <xdr:spPr bwMode="auto">
          <a:xfrm>
            <a:off x="235" y="673"/>
            <a:ext cx="154" cy="98"/>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72000" tIns="46800" rIns="90000" bIns="46800" anchor="t" upright="1"/>
          <a:lstStyle/>
          <a:p>
            <a:pPr algn="l" rtl="0">
              <a:defRPr sz="1000"/>
            </a:pPr>
            <a:r>
              <a:rPr lang="it-IT" sz="1000" b="0" i="1" u="none" strike="noStrike" baseline="0">
                <a:solidFill>
                  <a:srgbClr val="808080"/>
                </a:solidFill>
                <a:latin typeface="Corbel"/>
              </a:rPr>
              <a:t>Per esigenze particolari puoi "forzare" il totale del giorno e compilare anche più di un rapportino per lo stesso giorno.</a:t>
            </a:r>
          </a:p>
        </xdr:txBody>
      </xdr:sp>
    </xdr:grpSp>
    <xdr:clientData/>
  </xdr:twoCellAnchor>
  <xdr:twoCellAnchor>
    <xdr:from>
      <xdr:col>2</xdr:col>
      <xdr:colOff>85725</xdr:colOff>
      <xdr:row>33</xdr:row>
      <xdr:rowOff>85725</xdr:rowOff>
    </xdr:from>
    <xdr:to>
      <xdr:col>2</xdr:col>
      <xdr:colOff>85725</xdr:colOff>
      <xdr:row>46</xdr:row>
      <xdr:rowOff>114300</xdr:rowOff>
    </xdr:to>
    <xdr:sp macro="" textlink="">
      <xdr:nvSpPr>
        <xdr:cNvPr id="70709" name="Line 53"/>
        <xdr:cNvSpPr>
          <a:spLocks noChangeShapeType="1"/>
        </xdr:cNvSpPr>
      </xdr:nvSpPr>
      <xdr:spPr bwMode="auto">
        <a:xfrm flipH="1">
          <a:off x="1304925" y="5467350"/>
          <a:ext cx="0" cy="2133600"/>
        </a:xfrm>
        <a:prstGeom prst="line">
          <a:avLst/>
        </a:prstGeom>
        <a:noFill/>
        <a:ln w="9525">
          <a:solidFill>
            <a:srgbClr xmlns:mc="http://schemas.openxmlformats.org/markup-compatibility/2006" xmlns:a14="http://schemas.microsoft.com/office/drawing/2010/main" val="808080" mc:Ignorable="a14" a14:legacySpreadsheetColorIndex="23"/>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561975</xdr:colOff>
      <xdr:row>55</xdr:row>
      <xdr:rowOff>38100</xdr:rowOff>
    </xdr:from>
    <xdr:to>
      <xdr:col>11</xdr:col>
      <xdr:colOff>361950</xdr:colOff>
      <xdr:row>57</xdr:row>
      <xdr:rowOff>152400</xdr:rowOff>
    </xdr:to>
    <xdr:sp macro="" textlink="">
      <xdr:nvSpPr>
        <xdr:cNvPr id="70710" name="Freeform 54"/>
        <xdr:cNvSpPr>
          <a:spLocks/>
        </xdr:cNvSpPr>
      </xdr:nvSpPr>
      <xdr:spPr bwMode="auto">
        <a:xfrm>
          <a:off x="6048375" y="8982075"/>
          <a:ext cx="1019175" cy="438150"/>
        </a:xfrm>
        <a:custGeom>
          <a:avLst/>
          <a:gdLst>
            <a:gd name="T0" fmla="*/ 107 w 107"/>
            <a:gd name="T1" fmla="*/ 0 h 46"/>
            <a:gd name="T2" fmla="*/ 0 w 107"/>
            <a:gd name="T3" fmla="*/ 0 h 46"/>
            <a:gd name="T4" fmla="*/ 0 w 107"/>
            <a:gd name="T5" fmla="*/ 46 h 46"/>
          </a:gdLst>
          <a:ahLst/>
          <a:cxnLst>
            <a:cxn ang="0">
              <a:pos x="T0" y="T1"/>
            </a:cxn>
            <a:cxn ang="0">
              <a:pos x="T2" y="T3"/>
            </a:cxn>
            <a:cxn ang="0">
              <a:pos x="T4" y="T5"/>
            </a:cxn>
          </a:cxnLst>
          <a:rect l="0" t="0" r="r" b="b"/>
          <a:pathLst>
            <a:path w="107" h="46">
              <a:moveTo>
                <a:pt x="107" y="0"/>
              </a:moveTo>
              <a:lnTo>
                <a:pt x="0" y="0"/>
              </a:lnTo>
              <a:lnTo>
                <a:pt x="0" y="46"/>
              </a:lnTo>
            </a:path>
          </a:pathLst>
        </a:custGeom>
        <a:noFill/>
        <a:ln w="9525" cap="flat" cmpd="sng">
          <a:solidFill>
            <a:srgbClr xmlns:mc="http://schemas.openxmlformats.org/markup-compatibility/2006" xmlns:a14="http://schemas.microsoft.com/office/drawing/2010/main" val="808080" mc:Ignorable="a14" a14:legacySpreadsheetColorIndex="23"/>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11</xdr:col>
      <xdr:colOff>361950</xdr:colOff>
      <xdr:row>53</xdr:row>
      <xdr:rowOff>104775</xdr:rowOff>
    </xdr:from>
    <xdr:to>
      <xdr:col>14</xdr:col>
      <xdr:colOff>428625</xdr:colOff>
      <xdr:row>61</xdr:row>
      <xdr:rowOff>19050</xdr:rowOff>
    </xdr:to>
    <xdr:sp macro="" textlink="">
      <xdr:nvSpPr>
        <xdr:cNvPr id="70711" name="Text Box 55"/>
        <xdr:cNvSpPr txBox="1">
          <a:spLocks noChangeArrowheads="1"/>
        </xdr:cNvSpPr>
      </xdr:nvSpPr>
      <xdr:spPr bwMode="auto">
        <a:xfrm>
          <a:off x="7067550" y="8724900"/>
          <a:ext cx="1895475" cy="12096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FF0000"/>
              </a:solidFill>
              <a:latin typeface="Tahoma"/>
              <a:ea typeface="Tahoma"/>
              <a:cs typeface="Tahoma"/>
            </a:rPr>
            <a:t>3)</a:t>
          </a:r>
          <a:r>
            <a:rPr lang="it-IT" sz="1000" b="0" i="0" u="none" strike="noStrike" baseline="0">
              <a:solidFill>
                <a:srgbClr val="333333"/>
              </a:solidFill>
              <a:latin typeface="Tahoma"/>
              <a:ea typeface="Tahoma"/>
              <a:cs typeface="Tahoma"/>
            </a:rPr>
            <a:t> Per i c.d. "TITOLI" inserisci il nr. fisico dei pezzi cartacei.</a:t>
          </a:r>
        </a:p>
        <a:p>
          <a:pPr algn="l" rtl="0">
            <a:defRPr sz="1000"/>
          </a:pPr>
          <a:r>
            <a:rPr lang="it-IT" sz="1000" b="0" i="0" u="none" strike="noStrike" baseline="0">
              <a:solidFill>
                <a:srgbClr val="333333"/>
              </a:solidFill>
              <a:latin typeface="Tahoma"/>
              <a:ea typeface="Tahoma"/>
              <a:cs typeface="Tahoma"/>
            </a:rPr>
            <a:t>In seguito trovi una sezione dedicata a questi particolari incassi dove potrai annotare (se vuoi) anche riferimenti specifici</a:t>
          </a:r>
        </a:p>
        <a:p>
          <a:pPr algn="l" rtl="0">
            <a:defRPr sz="1000"/>
          </a:pPr>
          <a:r>
            <a:rPr lang="it-IT" sz="1000" b="0" i="0" u="none" strike="noStrike" baseline="0">
              <a:solidFill>
                <a:srgbClr val="333333"/>
              </a:solidFill>
              <a:latin typeface="Tahoma"/>
              <a:ea typeface="Tahoma"/>
              <a:cs typeface="Tahoma"/>
            </a:rPr>
            <a:t>(nr. Documento/Nome).</a:t>
          </a:r>
        </a:p>
      </xdr:txBody>
    </xdr:sp>
    <xdr:clientData/>
  </xdr:twoCellAnchor>
  <xdr:twoCellAnchor>
    <xdr:from>
      <xdr:col>10</xdr:col>
      <xdr:colOff>142875</xdr:colOff>
      <xdr:row>46</xdr:row>
      <xdr:rowOff>76200</xdr:rowOff>
    </xdr:from>
    <xdr:to>
      <xdr:col>14</xdr:col>
      <xdr:colOff>304800</xdr:colOff>
      <xdr:row>52</xdr:row>
      <xdr:rowOff>123825</xdr:rowOff>
    </xdr:to>
    <xdr:sp macro="" textlink="">
      <xdr:nvSpPr>
        <xdr:cNvPr id="70712" name="Text Box 56"/>
        <xdr:cNvSpPr txBox="1">
          <a:spLocks noChangeArrowheads="1"/>
        </xdr:cNvSpPr>
      </xdr:nvSpPr>
      <xdr:spPr bwMode="auto">
        <a:xfrm>
          <a:off x="6238875" y="7562850"/>
          <a:ext cx="2600325" cy="10191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lnSpc>
              <a:spcPts val="1100"/>
            </a:lnSpc>
            <a:defRPr sz="1000"/>
          </a:pPr>
          <a:r>
            <a:rPr lang="it-IT" sz="1000" b="0" i="0" u="none" strike="noStrike" baseline="0">
              <a:solidFill>
                <a:srgbClr val="FF0000"/>
              </a:solidFill>
              <a:latin typeface="Tahoma"/>
              <a:ea typeface="Tahoma"/>
              <a:cs typeface="Tahoma"/>
            </a:rPr>
            <a:t>2)</a:t>
          </a:r>
          <a:r>
            <a:rPr lang="it-IT" sz="1000" b="0" i="0" u="none" strike="noStrike" baseline="0">
              <a:solidFill>
                <a:srgbClr val="333333"/>
              </a:solidFill>
              <a:latin typeface="Tahoma"/>
              <a:ea typeface="Tahoma"/>
              <a:cs typeface="Tahoma"/>
            </a:rPr>
            <a:t> Inserisci la COMPOSIZIONE dei PAGAMENTI per le transazioni DOCUMENTATE.</a:t>
          </a:r>
        </a:p>
        <a:p>
          <a:pPr algn="l" rtl="0">
            <a:lnSpc>
              <a:spcPts val="1000"/>
            </a:lnSpc>
            <a:defRPr sz="1000"/>
          </a:pPr>
          <a:endParaRPr lang="it-IT" sz="1000" b="0" i="0" u="none" strike="noStrike" baseline="0">
            <a:solidFill>
              <a:srgbClr val="333333"/>
            </a:solidFill>
            <a:latin typeface="Tahoma"/>
            <a:ea typeface="Tahoma"/>
            <a:cs typeface="Tahoma"/>
          </a:endParaRPr>
        </a:p>
        <a:p>
          <a:pPr algn="l" rtl="0">
            <a:lnSpc>
              <a:spcPts val="1000"/>
            </a:lnSpc>
            <a:defRPr sz="1000"/>
          </a:pPr>
          <a:r>
            <a:rPr lang="it-IT" sz="1000" b="0" i="0" u="none" strike="noStrike" baseline="0">
              <a:solidFill>
                <a:srgbClr val="333333"/>
              </a:solidFill>
              <a:latin typeface="Tahoma"/>
              <a:ea typeface="Tahoma"/>
              <a:cs typeface="Tahoma"/>
            </a:rPr>
            <a:t>Modifica le diciture secondo le tue esigenze. Contattami liberamente in caso di necessità particolari.</a:t>
          </a:r>
        </a:p>
      </xdr:txBody>
    </xdr:sp>
    <xdr:clientData/>
  </xdr:twoCellAnchor>
  <xdr:twoCellAnchor>
    <xdr:from>
      <xdr:col>12</xdr:col>
      <xdr:colOff>428625</xdr:colOff>
      <xdr:row>62</xdr:row>
      <xdr:rowOff>0</xdr:rowOff>
    </xdr:from>
    <xdr:to>
      <xdr:col>14</xdr:col>
      <xdr:colOff>66675</xdr:colOff>
      <xdr:row>68</xdr:row>
      <xdr:rowOff>104775</xdr:rowOff>
    </xdr:to>
    <xdr:sp macro="" textlink="">
      <xdr:nvSpPr>
        <xdr:cNvPr id="70713" name="Rectangle 57"/>
        <xdr:cNvSpPr>
          <a:spLocks noChangeArrowheads="1"/>
        </xdr:cNvSpPr>
      </xdr:nvSpPr>
      <xdr:spPr bwMode="auto">
        <a:xfrm>
          <a:off x="7743825" y="10077450"/>
          <a:ext cx="857250" cy="10763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72000" tIns="46800" rIns="90000" bIns="46800" anchor="t" upright="1"/>
        <a:lstStyle/>
        <a:p>
          <a:pPr algn="l" rtl="0">
            <a:defRPr sz="1000"/>
          </a:pPr>
          <a:r>
            <a:rPr lang="it-IT" sz="800" b="0" i="0" u="none" strike="noStrike" baseline="0">
              <a:solidFill>
                <a:srgbClr val="808080"/>
              </a:solidFill>
              <a:latin typeface="Tahoma"/>
              <a:ea typeface="Tahoma"/>
              <a:cs typeface="Tahoma"/>
            </a:rPr>
            <a:t>EUR 520,00 +</a:t>
          </a:r>
        </a:p>
        <a:p>
          <a:pPr algn="l" rtl="0">
            <a:defRPr sz="1000"/>
          </a:pPr>
          <a:r>
            <a:rPr lang="it-IT" sz="800" b="0" i="0" u="none" strike="noStrike" baseline="0">
              <a:solidFill>
                <a:srgbClr val="808080"/>
              </a:solidFill>
              <a:latin typeface="Tahoma"/>
              <a:ea typeface="Tahoma"/>
              <a:cs typeface="Tahoma"/>
            </a:rPr>
            <a:t>        330,00 +</a:t>
          </a:r>
        </a:p>
        <a:p>
          <a:pPr algn="l" rtl="0">
            <a:defRPr sz="1000"/>
          </a:pPr>
          <a:r>
            <a:rPr lang="it-IT" sz="800" b="0" i="0" u="none" strike="noStrike" baseline="0">
              <a:solidFill>
                <a:srgbClr val="808080"/>
              </a:solidFill>
              <a:latin typeface="Tahoma"/>
              <a:ea typeface="Tahoma"/>
              <a:cs typeface="Tahoma"/>
            </a:rPr>
            <a:t>        170,00 +</a:t>
          </a:r>
        </a:p>
        <a:p>
          <a:pPr algn="l" rtl="0">
            <a:defRPr sz="1000"/>
          </a:pPr>
          <a:r>
            <a:rPr lang="it-IT" sz="800" b="0" i="0" u="none" strike="noStrike" baseline="0">
              <a:solidFill>
                <a:srgbClr val="808080"/>
              </a:solidFill>
              <a:latin typeface="Tahoma"/>
              <a:ea typeface="Tahoma"/>
              <a:cs typeface="Tahoma"/>
            </a:rPr>
            <a:t>        830,00 +</a:t>
          </a:r>
        </a:p>
        <a:p>
          <a:pPr algn="l" rtl="0">
            <a:defRPr sz="1000"/>
          </a:pPr>
          <a:r>
            <a:rPr lang="it-IT" sz="800" b="0" i="0" u="none" strike="noStrike" baseline="0">
              <a:solidFill>
                <a:srgbClr val="808080"/>
              </a:solidFill>
              <a:latin typeface="Tahoma"/>
              <a:ea typeface="Tahoma"/>
              <a:cs typeface="Tahoma"/>
            </a:rPr>
            <a:t>        300,00 +</a:t>
          </a:r>
        </a:p>
        <a:p>
          <a:pPr algn="l" rtl="0">
            <a:defRPr sz="1000"/>
          </a:pPr>
          <a:r>
            <a:rPr lang="it-IT" sz="800" b="0" i="0" u="none" strike="noStrike" baseline="0">
              <a:solidFill>
                <a:srgbClr val="808080"/>
              </a:solidFill>
              <a:latin typeface="Tahoma"/>
              <a:ea typeface="Tahoma"/>
              <a:cs typeface="Tahoma"/>
            </a:rPr>
            <a:t> </a:t>
          </a:r>
          <a:r>
            <a:rPr lang="it-IT" sz="800" b="0" i="0" u="sng" strike="noStrike" baseline="0">
              <a:solidFill>
                <a:srgbClr val="808080"/>
              </a:solidFill>
              <a:latin typeface="Tahoma"/>
              <a:ea typeface="Tahoma"/>
              <a:cs typeface="Tahoma"/>
            </a:rPr>
            <a:t>       700,00 =</a:t>
          </a:r>
          <a:endParaRPr lang="it-IT" sz="800" b="0" i="0" u="none" strike="noStrike" baseline="0">
            <a:solidFill>
              <a:srgbClr val="808080"/>
            </a:solidFill>
            <a:latin typeface="Tahoma"/>
            <a:ea typeface="Tahoma"/>
            <a:cs typeface="Tahoma"/>
          </a:endParaRPr>
        </a:p>
        <a:p>
          <a:pPr algn="l" rtl="0">
            <a:defRPr sz="1000"/>
          </a:pPr>
          <a:r>
            <a:rPr lang="it-IT" sz="800" b="0" i="0" u="none" strike="noStrike" baseline="0">
              <a:solidFill>
                <a:srgbClr val="808080"/>
              </a:solidFill>
              <a:latin typeface="Tahoma"/>
              <a:ea typeface="Tahoma"/>
              <a:cs typeface="Tahoma"/>
            </a:rPr>
            <a:t>      2.850,00</a:t>
          </a:r>
        </a:p>
      </xdr:txBody>
    </xdr:sp>
    <xdr:clientData/>
  </xdr:twoCellAnchor>
  <xdr:twoCellAnchor editAs="oneCell">
    <xdr:from>
      <xdr:col>1</xdr:col>
      <xdr:colOff>123825</xdr:colOff>
      <xdr:row>75</xdr:row>
      <xdr:rowOff>76200</xdr:rowOff>
    </xdr:from>
    <xdr:to>
      <xdr:col>9</xdr:col>
      <xdr:colOff>390525</xdr:colOff>
      <xdr:row>86</xdr:row>
      <xdr:rowOff>152400</xdr:rowOff>
    </xdr:to>
    <xdr:pic>
      <xdr:nvPicPr>
        <xdr:cNvPr id="70714" name="Picture 58"/>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33425" y="12258675"/>
          <a:ext cx="5143500" cy="18573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171450</xdr:colOff>
      <xdr:row>70</xdr:row>
      <xdr:rowOff>142875</xdr:rowOff>
    </xdr:from>
    <xdr:to>
      <xdr:col>10</xdr:col>
      <xdr:colOff>0</xdr:colOff>
      <xdr:row>73</xdr:row>
      <xdr:rowOff>66675</xdr:rowOff>
    </xdr:to>
    <xdr:sp macro="" textlink="">
      <xdr:nvSpPr>
        <xdr:cNvPr id="70715" name="Text Box 59"/>
        <xdr:cNvSpPr txBox="1">
          <a:spLocks noChangeArrowheads="1"/>
        </xdr:cNvSpPr>
      </xdr:nvSpPr>
      <xdr:spPr bwMode="auto">
        <a:xfrm>
          <a:off x="781050" y="11515725"/>
          <a:ext cx="5314950" cy="4095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lnSpc>
              <a:spcPts val="1100"/>
            </a:lnSpc>
            <a:defRPr sz="1000"/>
          </a:pPr>
          <a:r>
            <a:rPr lang="it-IT" sz="1000" b="0" i="0" u="none" strike="noStrike" baseline="0">
              <a:solidFill>
                <a:srgbClr val="FF0000"/>
              </a:solidFill>
              <a:latin typeface="Tahoma"/>
              <a:ea typeface="Tahoma"/>
              <a:cs typeface="Tahoma"/>
            </a:rPr>
            <a:t>4)</a:t>
          </a:r>
          <a:r>
            <a:rPr lang="it-IT" sz="1000" b="0" i="0" u="none" strike="noStrike" baseline="0">
              <a:solidFill>
                <a:srgbClr val="333333"/>
              </a:solidFill>
              <a:latin typeface="Tahoma"/>
              <a:ea typeface="Tahoma"/>
              <a:cs typeface="Tahoma"/>
            </a:rPr>
            <a:t> Inserisci il </a:t>
          </a:r>
          <a:r>
            <a:rPr lang="it-IT" sz="1000" b="0" i="0" u="sng" strike="noStrike" baseline="0">
              <a:solidFill>
                <a:srgbClr val="333333"/>
              </a:solidFill>
              <a:latin typeface="Tahoma"/>
              <a:ea typeface="Tahoma"/>
              <a:cs typeface="Tahoma"/>
            </a:rPr>
            <a:t>conteggio fisico dei pezzi</a:t>
          </a:r>
          <a:r>
            <a:rPr lang="it-IT" sz="1000" b="0" i="0" u="none" strike="noStrike" baseline="0">
              <a:solidFill>
                <a:srgbClr val="333333"/>
              </a:solidFill>
              <a:latin typeface="Tahoma"/>
              <a:ea typeface="Tahoma"/>
              <a:cs typeface="Tahoma"/>
            </a:rPr>
            <a:t> di banconote e monete presenti in CASSA, separate per valore nominale seguendo lo schema qui sotto.</a:t>
          </a:r>
        </a:p>
      </xdr:txBody>
    </xdr:sp>
    <xdr:clientData/>
  </xdr:twoCellAnchor>
  <xdr:twoCellAnchor>
    <xdr:from>
      <xdr:col>6</xdr:col>
      <xdr:colOff>600075</xdr:colOff>
      <xdr:row>74</xdr:row>
      <xdr:rowOff>85725</xdr:rowOff>
    </xdr:from>
    <xdr:to>
      <xdr:col>7</xdr:col>
      <xdr:colOff>371475</xdr:colOff>
      <xdr:row>79</xdr:row>
      <xdr:rowOff>104775</xdr:rowOff>
    </xdr:to>
    <xdr:sp macro="" textlink="">
      <xdr:nvSpPr>
        <xdr:cNvPr id="70716" name="Freeform 60"/>
        <xdr:cNvSpPr>
          <a:spLocks/>
        </xdr:cNvSpPr>
      </xdr:nvSpPr>
      <xdr:spPr bwMode="auto">
        <a:xfrm rot="5400000" flipH="1">
          <a:off x="4033837" y="12330113"/>
          <a:ext cx="828675" cy="381000"/>
        </a:xfrm>
        <a:custGeom>
          <a:avLst/>
          <a:gdLst>
            <a:gd name="T0" fmla="*/ 107 w 107"/>
            <a:gd name="T1" fmla="*/ 0 h 46"/>
            <a:gd name="T2" fmla="*/ 0 w 107"/>
            <a:gd name="T3" fmla="*/ 0 h 46"/>
            <a:gd name="T4" fmla="*/ 0 w 107"/>
            <a:gd name="T5" fmla="*/ 46 h 46"/>
          </a:gdLst>
          <a:ahLst/>
          <a:cxnLst>
            <a:cxn ang="0">
              <a:pos x="T0" y="T1"/>
            </a:cxn>
            <a:cxn ang="0">
              <a:pos x="T2" y="T3"/>
            </a:cxn>
            <a:cxn ang="0">
              <a:pos x="T4" y="T5"/>
            </a:cxn>
          </a:cxnLst>
          <a:rect l="0" t="0" r="r" b="b"/>
          <a:pathLst>
            <a:path w="107" h="46">
              <a:moveTo>
                <a:pt x="107" y="0"/>
              </a:moveTo>
              <a:lnTo>
                <a:pt x="0" y="0"/>
              </a:lnTo>
              <a:lnTo>
                <a:pt x="0" y="46"/>
              </a:lnTo>
            </a:path>
          </a:pathLst>
        </a:custGeom>
        <a:noFill/>
        <a:ln w="9525" cap="flat" cmpd="sng">
          <a:solidFill>
            <a:srgbClr xmlns:mc="http://schemas.openxmlformats.org/markup-compatibility/2006" xmlns:a14="http://schemas.microsoft.com/office/drawing/2010/main" val="808080" mc:Ignorable="a14" a14:legacySpreadsheetColorIndex="23"/>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523875</xdr:colOff>
      <xdr:row>73</xdr:row>
      <xdr:rowOff>57150</xdr:rowOff>
    </xdr:from>
    <xdr:to>
      <xdr:col>8</xdr:col>
      <xdr:colOff>257175</xdr:colOff>
      <xdr:row>75</xdr:row>
      <xdr:rowOff>104775</xdr:rowOff>
    </xdr:to>
    <xdr:sp macro="" textlink="">
      <xdr:nvSpPr>
        <xdr:cNvPr id="70717" name="Rectangle 61"/>
        <xdr:cNvSpPr>
          <a:spLocks noChangeArrowheads="1"/>
        </xdr:cNvSpPr>
      </xdr:nvSpPr>
      <xdr:spPr bwMode="auto">
        <a:xfrm>
          <a:off x="4181475" y="11915775"/>
          <a:ext cx="952500" cy="3714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18288" rIns="27432" bIns="18288" anchor="ctr" upright="1"/>
        <a:lstStyle/>
        <a:p>
          <a:pPr algn="ctr" rtl="0">
            <a:lnSpc>
              <a:spcPts val="900"/>
            </a:lnSpc>
            <a:defRPr sz="1000"/>
          </a:pPr>
          <a:r>
            <a:rPr lang="it-IT" sz="800" b="0" i="0" u="none" strike="noStrike" baseline="0">
              <a:solidFill>
                <a:srgbClr val="333333"/>
              </a:solidFill>
              <a:latin typeface="Tahoma"/>
              <a:ea typeface="Tahoma"/>
              <a:cs typeface="Tahoma"/>
            </a:rPr>
            <a:t>NR. BANCONOTE</a:t>
          </a:r>
          <a:endParaRPr lang="it-IT" sz="800" b="0" i="0" u="none" strike="noStrike" baseline="0">
            <a:solidFill>
              <a:srgbClr val="808080"/>
            </a:solidFill>
            <a:latin typeface="Tahoma"/>
            <a:ea typeface="Tahoma"/>
            <a:cs typeface="Tahoma"/>
          </a:endParaRPr>
        </a:p>
        <a:p>
          <a:pPr algn="ctr" rtl="0">
            <a:defRPr sz="1000"/>
          </a:pPr>
          <a:r>
            <a:rPr lang="it-IT" sz="800" b="0" i="0" u="none" strike="noStrike" baseline="0">
              <a:solidFill>
                <a:srgbClr val="808080"/>
              </a:solidFill>
              <a:latin typeface="Tahoma"/>
              <a:ea typeface="Tahoma"/>
              <a:cs typeface="Tahoma"/>
            </a:rPr>
            <a:t>DA EURO</a:t>
          </a:r>
        </a:p>
      </xdr:txBody>
    </xdr:sp>
    <xdr:clientData/>
  </xdr:twoCellAnchor>
  <xdr:twoCellAnchor>
    <xdr:from>
      <xdr:col>3</xdr:col>
      <xdr:colOff>342900</xdr:colOff>
      <xdr:row>84</xdr:row>
      <xdr:rowOff>76200</xdr:rowOff>
    </xdr:from>
    <xdr:to>
      <xdr:col>5</xdr:col>
      <xdr:colOff>295275</xdr:colOff>
      <xdr:row>87</xdr:row>
      <xdr:rowOff>57150</xdr:rowOff>
    </xdr:to>
    <xdr:sp macro="" textlink="">
      <xdr:nvSpPr>
        <xdr:cNvPr id="70718" name="Freeform 62"/>
        <xdr:cNvSpPr>
          <a:spLocks/>
        </xdr:cNvSpPr>
      </xdr:nvSpPr>
      <xdr:spPr bwMode="auto">
        <a:xfrm rot="21600000" flipH="1" flipV="1">
          <a:off x="2171700" y="13716000"/>
          <a:ext cx="1171575" cy="466725"/>
        </a:xfrm>
        <a:custGeom>
          <a:avLst/>
          <a:gdLst>
            <a:gd name="T0" fmla="*/ 107 w 107"/>
            <a:gd name="T1" fmla="*/ 0 h 46"/>
            <a:gd name="T2" fmla="*/ 0 w 107"/>
            <a:gd name="T3" fmla="*/ 0 h 46"/>
            <a:gd name="T4" fmla="*/ 0 w 107"/>
            <a:gd name="T5" fmla="*/ 46 h 46"/>
          </a:gdLst>
          <a:ahLst/>
          <a:cxnLst>
            <a:cxn ang="0">
              <a:pos x="T0" y="T1"/>
            </a:cxn>
            <a:cxn ang="0">
              <a:pos x="T2" y="T3"/>
            </a:cxn>
            <a:cxn ang="0">
              <a:pos x="T4" y="T5"/>
            </a:cxn>
          </a:cxnLst>
          <a:rect l="0" t="0" r="r" b="b"/>
          <a:pathLst>
            <a:path w="107" h="46">
              <a:moveTo>
                <a:pt x="107" y="0"/>
              </a:moveTo>
              <a:lnTo>
                <a:pt x="0" y="0"/>
              </a:lnTo>
              <a:lnTo>
                <a:pt x="0" y="46"/>
              </a:lnTo>
            </a:path>
          </a:pathLst>
        </a:custGeom>
        <a:noFill/>
        <a:ln w="9525" cap="flat" cmpd="sng">
          <a:solidFill>
            <a:srgbClr xmlns:mc="http://schemas.openxmlformats.org/markup-compatibility/2006" xmlns:a14="http://schemas.microsoft.com/office/drawing/2010/main" val="808080" mc:Ignorable="a14" a14:legacySpreadsheetColorIndex="23"/>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266700</xdr:colOff>
      <xdr:row>86</xdr:row>
      <xdr:rowOff>28575</xdr:rowOff>
    </xdr:from>
    <xdr:to>
      <xdr:col>4</xdr:col>
      <xdr:colOff>0</xdr:colOff>
      <xdr:row>88</xdr:row>
      <xdr:rowOff>76200</xdr:rowOff>
    </xdr:to>
    <xdr:sp macro="" textlink="">
      <xdr:nvSpPr>
        <xdr:cNvPr id="70719" name="Rectangle 63"/>
        <xdr:cNvSpPr>
          <a:spLocks noChangeArrowheads="1"/>
        </xdr:cNvSpPr>
      </xdr:nvSpPr>
      <xdr:spPr bwMode="auto">
        <a:xfrm>
          <a:off x="1485900" y="13992225"/>
          <a:ext cx="952500" cy="3714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18288" rIns="27432" bIns="18288" anchor="ctr" upright="1"/>
        <a:lstStyle/>
        <a:p>
          <a:pPr algn="ctr" rtl="0">
            <a:lnSpc>
              <a:spcPts val="900"/>
            </a:lnSpc>
            <a:defRPr sz="1000"/>
          </a:pPr>
          <a:r>
            <a:rPr lang="it-IT" sz="800" b="0" i="0" u="none" strike="noStrike" baseline="0">
              <a:solidFill>
                <a:srgbClr val="333333"/>
              </a:solidFill>
              <a:latin typeface="Tahoma"/>
              <a:ea typeface="Tahoma"/>
              <a:cs typeface="Tahoma"/>
            </a:rPr>
            <a:t>NR. MONETE</a:t>
          </a:r>
          <a:endParaRPr lang="it-IT" sz="800" b="0" i="0" u="none" strike="noStrike" baseline="0">
            <a:solidFill>
              <a:srgbClr val="808080"/>
            </a:solidFill>
            <a:latin typeface="Tahoma"/>
            <a:ea typeface="Tahoma"/>
            <a:cs typeface="Tahoma"/>
          </a:endParaRPr>
        </a:p>
        <a:p>
          <a:pPr algn="ctr" rtl="0">
            <a:defRPr sz="1000"/>
          </a:pPr>
          <a:r>
            <a:rPr lang="it-IT" sz="800" b="0" i="0" u="none" strike="noStrike" baseline="0">
              <a:solidFill>
                <a:srgbClr val="808080"/>
              </a:solidFill>
              <a:latin typeface="Tahoma"/>
              <a:ea typeface="Tahoma"/>
              <a:cs typeface="Tahoma"/>
            </a:rPr>
            <a:t>DA EURO</a:t>
          </a:r>
        </a:p>
      </xdr:txBody>
    </xdr:sp>
    <xdr:clientData/>
  </xdr:twoCellAnchor>
  <xdr:twoCellAnchor>
    <xdr:from>
      <xdr:col>6</xdr:col>
      <xdr:colOff>323850</xdr:colOff>
      <xdr:row>85</xdr:row>
      <xdr:rowOff>76200</xdr:rowOff>
    </xdr:from>
    <xdr:to>
      <xdr:col>9</xdr:col>
      <xdr:colOff>361950</xdr:colOff>
      <xdr:row>86</xdr:row>
      <xdr:rowOff>152400</xdr:rowOff>
    </xdr:to>
    <xdr:sp macro="" textlink="">
      <xdr:nvSpPr>
        <xdr:cNvPr id="70720" name="Rectangle 64"/>
        <xdr:cNvSpPr>
          <a:spLocks noChangeArrowheads="1"/>
        </xdr:cNvSpPr>
      </xdr:nvSpPr>
      <xdr:spPr bwMode="auto">
        <a:xfrm>
          <a:off x="3981450" y="13877925"/>
          <a:ext cx="1866900" cy="238125"/>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11</xdr:col>
      <xdr:colOff>457200</xdr:colOff>
      <xdr:row>77</xdr:row>
      <xdr:rowOff>142875</xdr:rowOff>
    </xdr:from>
    <xdr:to>
      <xdr:col>14</xdr:col>
      <xdr:colOff>523875</xdr:colOff>
      <xdr:row>82</xdr:row>
      <xdr:rowOff>47625</xdr:rowOff>
    </xdr:to>
    <xdr:sp macro="" textlink="">
      <xdr:nvSpPr>
        <xdr:cNvPr id="70721" name="Text Box 65"/>
        <xdr:cNvSpPr txBox="1">
          <a:spLocks noChangeArrowheads="1"/>
        </xdr:cNvSpPr>
      </xdr:nvSpPr>
      <xdr:spPr bwMode="auto">
        <a:xfrm>
          <a:off x="7162800" y="12649200"/>
          <a:ext cx="1895475" cy="7143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Il sistema </a:t>
          </a:r>
          <a:r>
            <a:rPr lang="it-IT" sz="1000" b="0" i="0" u="none" strike="noStrike" baseline="0">
              <a:solidFill>
                <a:srgbClr val="FF0000"/>
              </a:solidFill>
              <a:latin typeface="Tahoma"/>
              <a:ea typeface="Tahoma"/>
              <a:cs typeface="Tahoma"/>
            </a:rPr>
            <a:t>CONFRONTA</a:t>
          </a:r>
          <a:r>
            <a:rPr lang="it-IT" sz="1000" b="0" i="0" u="none" strike="noStrike" baseline="0">
              <a:solidFill>
                <a:srgbClr val="333333"/>
              </a:solidFill>
              <a:latin typeface="Tahoma"/>
              <a:ea typeface="Tahoma"/>
              <a:cs typeface="Tahoma"/>
            </a:rPr>
            <a:t> il contante che fisicamente risulta in cassa con il "Contante atteso" della giornata.</a:t>
          </a:r>
        </a:p>
        <a:p>
          <a:pPr algn="l" rtl="0">
            <a:defRPr sz="1000"/>
          </a:pPr>
          <a:endParaRPr lang="it-IT" sz="1000" b="0" i="0" u="none" strike="noStrike" baseline="0">
            <a:solidFill>
              <a:srgbClr val="333333"/>
            </a:solidFill>
            <a:latin typeface="Tahoma"/>
            <a:ea typeface="Tahoma"/>
            <a:cs typeface="Tahoma"/>
          </a:endParaRPr>
        </a:p>
      </xdr:txBody>
    </xdr:sp>
    <xdr:clientData/>
  </xdr:twoCellAnchor>
  <xdr:twoCellAnchor editAs="oneCell">
    <xdr:from>
      <xdr:col>12</xdr:col>
      <xdr:colOff>0</xdr:colOff>
      <xdr:row>82</xdr:row>
      <xdr:rowOff>28575</xdr:rowOff>
    </xdr:from>
    <xdr:to>
      <xdr:col>13</xdr:col>
      <xdr:colOff>523875</xdr:colOff>
      <xdr:row>86</xdr:row>
      <xdr:rowOff>9525</xdr:rowOff>
    </xdr:to>
    <xdr:pic>
      <xdr:nvPicPr>
        <xdr:cNvPr id="70722" name="Picture 66"/>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315200" y="13344525"/>
          <a:ext cx="1133475" cy="6286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xdr:col>
      <xdr:colOff>304800</xdr:colOff>
      <xdr:row>92</xdr:row>
      <xdr:rowOff>123825</xdr:rowOff>
    </xdr:from>
    <xdr:to>
      <xdr:col>12</xdr:col>
      <xdr:colOff>57150</xdr:colOff>
      <xdr:row>95</xdr:row>
      <xdr:rowOff>76200</xdr:rowOff>
    </xdr:to>
    <xdr:pic>
      <xdr:nvPicPr>
        <xdr:cNvPr id="70723" name="Picture 67"/>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14400" y="15059025"/>
          <a:ext cx="6457950" cy="4381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161925</xdr:colOff>
      <xdr:row>89</xdr:row>
      <xdr:rowOff>76200</xdr:rowOff>
    </xdr:from>
    <xdr:to>
      <xdr:col>10</xdr:col>
      <xdr:colOff>9525</xdr:colOff>
      <xdr:row>91</xdr:row>
      <xdr:rowOff>142875</xdr:rowOff>
    </xdr:to>
    <xdr:sp macro="" textlink="">
      <xdr:nvSpPr>
        <xdr:cNvPr id="70724" name="Text Box 68"/>
        <xdr:cNvSpPr txBox="1">
          <a:spLocks noChangeArrowheads="1"/>
        </xdr:cNvSpPr>
      </xdr:nvSpPr>
      <xdr:spPr bwMode="auto">
        <a:xfrm>
          <a:off x="771525" y="14525625"/>
          <a:ext cx="5334000" cy="3905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lnSpc>
              <a:spcPts val="1100"/>
            </a:lnSpc>
            <a:defRPr sz="1000"/>
          </a:pPr>
          <a:r>
            <a:rPr lang="it-IT" sz="1000" b="0" i="0" u="none" strike="noStrike" baseline="0">
              <a:solidFill>
                <a:srgbClr val="FF0000"/>
              </a:solidFill>
              <a:latin typeface="Tahoma"/>
              <a:ea typeface="Tahoma"/>
              <a:cs typeface="Tahoma"/>
            </a:rPr>
            <a:t>5)</a:t>
          </a:r>
          <a:r>
            <a:rPr lang="it-IT" sz="1000" b="0" i="0" u="none" strike="noStrike" baseline="0">
              <a:solidFill>
                <a:srgbClr val="333333"/>
              </a:solidFill>
              <a:latin typeface="Tahoma"/>
              <a:ea typeface="Tahoma"/>
              <a:cs typeface="Tahoma"/>
            </a:rPr>
            <a:t> Inserisci il valore del FONDO CASSA che forse usi. In questo ESEMPIO è € 100,00 ma nella realtà può anche essere ZERO (0), oppure puoi lasciare la cella vuota.</a:t>
          </a:r>
        </a:p>
      </xdr:txBody>
    </xdr:sp>
    <xdr:clientData/>
  </xdr:twoCellAnchor>
  <xdr:twoCellAnchor>
    <xdr:from>
      <xdr:col>12</xdr:col>
      <xdr:colOff>133350</xdr:colOff>
      <xdr:row>89</xdr:row>
      <xdr:rowOff>76200</xdr:rowOff>
    </xdr:from>
    <xdr:to>
      <xdr:col>14</xdr:col>
      <xdr:colOff>457200</xdr:colOff>
      <xdr:row>99</xdr:row>
      <xdr:rowOff>66675</xdr:rowOff>
    </xdr:to>
    <xdr:sp macro="" textlink="">
      <xdr:nvSpPr>
        <xdr:cNvPr id="70725" name="Text Box 69"/>
        <xdr:cNvSpPr txBox="1">
          <a:spLocks noChangeArrowheads="1"/>
        </xdr:cNvSpPr>
      </xdr:nvSpPr>
      <xdr:spPr bwMode="auto">
        <a:xfrm>
          <a:off x="7448550" y="14525625"/>
          <a:ext cx="1543050" cy="16097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La "differenza rilevata" non è altro che il f.do cassa di questo esempio.</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Dopo aver considerato anche il F.do cassa,</a:t>
          </a:r>
        </a:p>
        <a:p>
          <a:pPr algn="l" rtl="0">
            <a:defRPr sz="1000"/>
          </a:pPr>
          <a:r>
            <a:rPr lang="it-IT" sz="1000" b="0" i="0" u="none" strike="noStrike" baseline="0">
              <a:solidFill>
                <a:srgbClr val="333333"/>
              </a:solidFill>
              <a:latin typeface="Tahoma"/>
              <a:ea typeface="Tahoma"/>
              <a:cs typeface="Tahoma"/>
            </a:rPr>
            <a:t>il sistema segnala un </a:t>
          </a:r>
          <a:r>
            <a:rPr lang="it-IT" sz="1000" b="0" i="0" u="sng" strike="noStrike" baseline="0">
              <a:solidFill>
                <a:srgbClr val="333333"/>
              </a:solidFill>
              <a:latin typeface="Tahoma"/>
              <a:ea typeface="Tahoma"/>
              <a:cs typeface="Tahoma"/>
            </a:rPr>
            <a:t>effettivo ammanco</a:t>
          </a:r>
        </a:p>
        <a:p>
          <a:pPr algn="l" rtl="0">
            <a:defRPr sz="1000"/>
          </a:pPr>
          <a:r>
            <a:rPr lang="it-IT" sz="1000" b="0" i="0" u="none" strike="noStrike" baseline="0">
              <a:solidFill>
                <a:srgbClr val="333333"/>
              </a:solidFill>
              <a:latin typeface="Tahoma"/>
              <a:ea typeface="Tahoma"/>
              <a:cs typeface="Tahoma"/>
            </a:rPr>
            <a:t>di € 1,00</a:t>
          </a:r>
        </a:p>
      </xdr:txBody>
    </xdr:sp>
    <xdr:clientData/>
  </xdr:twoCellAnchor>
  <xdr:twoCellAnchor>
    <xdr:from>
      <xdr:col>2</xdr:col>
      <xdr:colOff>371475</xdr:colOff>
      <xdr:row>96</xdr:row>
      <xdr:rowOff>85725</xdr:rowOff>
    </xdr:from>
    <xdr:to>
      <xdr:col>11</xdr:col>
      <xdr:colOff>247650</xdr:colOff>
      <xdr:row>111</xdr:row>
      <xdr:rowOff>57150</xdr:rowOff>
    </xdr:to>
    <xdr:grpSp>
      <xdr:nvGrpSpPr>
        <xdr:cNvPr id="70726" name="Group 70"/>
        <xdr:cNvGrpSpPr>
          <a:grpSpLocks/>
        </xdr:cNvGrpSpPr>
      </xdr:nvGrpSpPr>
      <xdr:grpSpPr bwMode="auto">
        <a:xfrm>
          <a:off x="1590675" y="15668625"/>
          <a:ext cx="5362575" cy="2400300"/>
          <a:chOff x="135" y="1697"/>
          <a:chExt cx="563" cy="252"/>
        </a:xfrm>
      </xdr:grpSpPr>
      <xdr:grpSp>
        <xdr:nvGrpSpPr>
          <xdr:cNvPr id="70727" name="Group 71"/>
          <xdr:cNvGrpSpPr>
            <a:grpSpLocks/>
          </xdr:cNvGrpSpPr>
        </xdr:nvGrpSpPr>
        <xdr:grpSpPr bwMode="auto">
          <a:xfrm>
            <a:off x="135" y="1697"/>
            <a:ext cx="563" cy="252"/>
            <a:chOff x="135" y="1697"/>
            <a:chExt cx="563" cy="252"/>
          </a:xfrm>
        </xdr:grpSpPr>
        <xdr:sp macro="" textlink="">
          <xdr:nvSpPr>
            <xdr:cNvPr id="70728" name="Rectangle 72"/>
            <xdr:cNvSpPr>
              <a:spLocks noChangeArrowheads="1"/>
            </xdr:cNvSpPr>
          </xdr:nvSpPr>
          <xdr:spPr bwMode="auto">
            <a:xfrm>
              <a:off x="140" y="1702"/>
              <a:ext cx="558" cy="247"/>
            </a:xfrm>
            <a:prstGeom prst="rect">
              <a:avLst/>
            </a:prstGeom>
            <a:solidFill>
              <a:srgbClr xmlns:mc="http://schemas.openxmlformats.org/markup-compatibility/2006" xmlns:a14="http://schemas.microsoft.com/office/drawing/2010/main" val="333333" mc:Ignorable="a14" a14:legacySpreadsheetColorIndex="63"/>
            </a:solidFill>
            <a:ln w="9525">
              <a:solidFill>
                <a:srgbClr xmlns:mc="http://schemas.openxmlformats.org/markup-compatibility/2006" xmlns:a14="http://schemas.microsoft.com/office/drawing/2010/main" val="333333" mc:Ignorable="a14" a14:legacySpreadsheetColorIndex="63"/>
              </a:solidFill>
              <a:miter lim="800000"/>
              <a:headEnd/>
              <a:tailEnd/>
            </a:ln>
          </xdr:spPr>
        </xdr:sp>
        <xdr:sp macro="" textlink="">
          <xdr:nvSpPr>
            <xdr:cNvPr id="70729" name="Rectangle 73"/>
            <xdr:cNvSpPr>
              <a:spLocks noChangeArrowheads="1"/>
            </xdr:cNvSpPr>
          </xdr:nvSpPr>
          <xdr:spPr bwMode="auto">
            <a:xfrm>
              <a:off x="135" y="1697"/>
              <a:ext cx="558" cy="247"/>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333333" mc:Ignorable="a14" a14:legacySpreadsheetColorIndex="63"/>
              </a:solidFill>
              <a:miter lim="800000"/>
              <a:headEnd/>
              <a:tailEnd/>
            </a:ln>
          </xdr:spPr>
        </xdr:sp>
        <xdr:pic>
          <xdr:nvPicPr>
            <xdr:cNvPr id="70730" name="Picture 74"/>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t="35976"/>
            <a:stretch>
              <a:fillRect/>
            </a:stretch>
          </xdr:blipFill>
          <xdr:spPr bwMode="auto">
            <a:xfrm>
              <a:off x="138" y="1707"/>
              <a:ext cx="489" cy="10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70731" name="Picture 75"/>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t="37576"/>
            <a:stretch>
              <a:fillRect/>
            </a:stretch>
          </xdr:blipFill>
          <xdr:spPr bwMode="auto">
            <a:xfrm>
              <a:off x="201" y="1829"/>
              <a:ext cx="484" cy="10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sp macro="" textlink="">
        <xdr:nvSpPr>
          <xdr:cNvPr id="70732" name="Rectangle 76"/>
          <xdr:cNvSpPr>
            <a:spLocks noChangeArrowheads="1"/>
          </xdr:cNvSpPr>
        </xdr:nvSpPr>
        <xdr:spPr bwMode="auto">
          <a:xfrm>
            <a:off x="198" y="1741"/>
            <a:ext cx="23" cy="20"/>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70733" name="Rectangle 77"/>
          <xdr:cNvSpPr>
            <a:spLocks noChangeArrowheads="1"/>
          </xdr:cNvSpPr>
        </xdr:nvSpPr>
        <xdr:spPr bwMode="auto">
          <a:xfrm>
            <a:off x="261" y="1861"/>
            <a:ext cx="23" cy="20"/>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11</xdr:col>
      <xdr:colOff>523875</xdr:colOff>
      <xdr:row>101</xdr:row>
      <xdr:rowOff>104775</xdr:rowOff>
    </xdr:from>
    <xdr:to>
      <xdr:col>14</xdr:col>
      <xdr:colOff>342900</xdr:colOff>
      <xdr:row>106</xdr:row>
      <xdr:rowOff>85725</xdr:rowOff>
    </xdr:to>
    <xdr:sp macro="" textlink="">
      <xdr:nvSpPr>
        <xdr:cNvPr id="70734" name="Text Box 78"/>
        <xdr:cNvSpPr txBox="1">
          <a:spLocks noChangeArrowheads="1"/>
        </xdr:cNvSpPr>
      </xdr:nvSpPr>
      <xdr:spPr bwMode="auto">
        <a:xfrm>
          <a:off x="7229475" y="16497300"/>
          <a:ext cx="1647825" cy="7905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72000" tIns="46800" rIns="90000" bIns="46800" anchor="t" upright="1"/>
        <a:lstStyle/>
        <a:p>
          <a:pPr algn="l" rtl="0">
            <a:defRPr sz="1000"/>
          </a:pPr>
          <a:r>
            <a:rPr lang="it-IT" sz="1000" b="0" i="1" u="none" strike="noStrike" baseline="0">
              <a:solidFill>
                <a:srgbClr val="808080"/>
              </a:solidFill>
              <a:latin typeface="Corbel"/>
            </a:rPr>
            <a:t>Aumentando di UN EURO,</a:t>
          </a:r>
        </a:p>
        <a:p>
          <a:pPr algn="l" rtl="0">
            <a:defRPr sz="1000"/>
          </a:pPr>
          <a:r>
            <a:rPr lang="it-IT" sz="1000" b="0" i="1" u="none" strike="noStrike" baseline="0">
              <a:solidFill>
                <a:srgbClr val="808080"/>
              </a:solidFill>
              <a:latin typeface="Corbel"/>
            </a:rPr>
            <a:t>il sistema restituisce un pareggio esatto "OK" ed un avanzo.</a:t>
          </a:r>
        </a:p>
      </xdr:txBody>
    </xdr:sp>
    <xdr:clientData/>
  </xdr:twoCellAnchor>
  <xdr:twoCellAnchor>
    <xdr:from>
      <xdr:col>1</xdr:col>
      <xdr:colOff>161925</xdr:colOff>
      <xdr:row>113</xdr:row>
      <xdr:rowOff>57150</xdr:rowOff>
    </xdr:from>
    <xdr:to>
      <xdr:col>12</xdr:col>
      <xdr:colOff>371475</xdr:colOff>
      <xdr:row>127</xdr:row>
      <xdr:rowOff>9525</xdr:rowOff>
    </xdr:to>
    <xdr:grpSp>
      <xdr:nvGrpSpPr>
        <xdr:cNvPr id="70735" name="Group 79"/>
        <xdr:cNvGrpSpPr>
          <a:grpSpLocks/>
        </xdr:cNvGrpSpPr>
      </xdr:nvGrpSpPr>
      <xdr:grpSpPr bwMode="auto">
        <a:xfrm>
          <a:off x="771525" y="18392775"/>
          <a:ext cx="6915150" cy="2219325"/>
          <a:chOff x="96" y="1982"/>
          <a:chExt cx="726" cy="233"/>
        </a:xfrm>
      </xdr:grpSpPr>
      <xdr:pic>
        <xdr:nvPicPr>
          <xdr:cNvPr id="70736" name="Picture 80"/>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5727"/>
          <a:stretch>
            <a:fillRect/>
          </a:stretch>
        </xdr:blipFill>
        <xdr:spPr bwMode="auto">
          <a:xfrm>
            <a:off x="96" y="1990"/>
            <a:ext cx="675" cy="2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70737" name="Picture 81"/>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l="28767"/>
          <a:stretch>
            <a:fillRect/>
          </a:stretch>
        </xdr:blipFill>
        <xdr:spPr bwMode="auto">
          <a:xfrm>
            <a:off x="770" y="1982"/>
            <a:ext cx="52" cy="31"/>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twoCellAnchor>
    <xdr:from>
      <xdr:col>10</xdr:col>
      <xdr:colOff>266700</xdr:colOff>
      <xdr:row>116</xdr:row>
      <xdr:rowOff>104775</xdr:rowOff>
    </xdr:from>
    <xdr:to>
      <xdr:col>14</xdr:col>
      <xdr:colOff>400050</xdr:colOff>
      <xdr:row>130</xdr:row>
      <xdr:rowOff>38100</xdr:rowOff>
    </xdr:to>
    <xdr:sp macro="" textlink="">
      <xdr:nvSpPr>
        <xdr:cNvPr id="70738" name="Text Box 82"/>
        <xdr:cNvSpPr txBox="1">
          <a:spLocks noChangeArrowheads="1"/>
        </xdr:cNvSpPr>
      </xdr:nvSpPr>
      <xdr:spPr bwMode="auto">
        <a:xfrm>
          <a:off x="6362700" y="18926175"/>
          <a:ext cx="2571750" cy="22002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FF0000"/>
              </a:solidFill>
              <a:latin typeface="Tahoma"/>
              <a:ea typeface="Tahoma"/>
              <a:cs typeface="Tahoma"/>
            </a:rPr>
            <a:t>6)</a:t>
          </a:r>
          <a:r>
            <a:rPr lang="it-IT" sz="1000" b="0" i="0" u="none" strike="noStrike" baseline="0">
              <a:solidFill>
                <a:srgbClr val="333333"/>
              </a:solidFill>
              <a:latin typeface="Tahoma"/>
              <a:ea typeface="Tahoma"/>
              <a:cs typeface="Tahoma"/>
            </a:rPr>
            <a:t> Questa piccola sezione è stata pensata </a:t>
          </a:r>
          <a:r>
            <a:rPr lang="it-IT" sz="1000" b="0" i="0" u="sng" strike="noStrike" baseline="0">
              <a:solidFill>
                <a:srgbClr val="333333"/>
              </a:solidFill>
              <a:latin typeface="Tahoma"/>
              <a:ea typeface="Tahoma"/>
              <a:cs typeface="Tahoma"/>
            </a:rPr>
            <a:t>per il cassiere</a:t>
          </a:r>
          <a:r>
            <a:rPr lang="it-IT" sz="1000" b="0" i="0" u="none" strike="noStrike" baseline="0">
              <a:solidFill>
                <a:srgbClr val="333333"/>
              </a:solidFill>
              <a:latin typeface="Tahoma"/>
              <a:ea typeface="Tahoma"/>
              <a:cs typeface="Tahoma"/>
            </a:rPr>
            <a:t> che, dopo aver compilato il rapportino ed averlo stampato,</a:t>
          </a:r>
          <a:r>
            <a:rPr lang="it-IT" sz="1000" b="0" i="0" u="sng" strike="noStrike" baseline="0">
              <a:solidFill>
                <a:srgbClr val="333333"/>
              </a:solidFill>
              <a:latin typeface="Tahoma"/>
              <a:ea typeface="Tahoma"/>
              <a:cs typeface="Tahoma"/>
            </a:rPr>
            <a:t> consegna il tutto ad una suo referente </a:t>
          </a:r>
          <a:r>
            <a:rPr lang="it-IT" sz="1000" b="0" i="0" u="none" strike="noStrike" baseline="0">
              <a:solidFill>
                <a:srgbClr val="333333"/>
              </a:solidFill>
              <a:latin typeface="Tahoma"/>
              <a:ea typeface="Tahoma"/>
              <a:cs typeface="Tahoma"/>
            </a:rPr>
            <a:t>(ad esempio al titolare oppure ad un addetto della contabilità, che ritira l' incasso ed il rapportino di chiusura).</a:t>
          </a:r>
        </a:p>
        <a:p>
          <a:pPr algn="l" rtl="0">
            <a:defRPr sz="1000"/>
          </a:pPr>
          <a:r>
            <a:rPr lang="it-IT" sz="1000" b="0" i="0" u="none" strike="noStrike" baseline="0">
              <a:solidFill>
                <a:srgbClr val="333333"/>
              </a:solidFill>
              <a:latin typeface="Tahoma"/>
              <a:ea typeface="Tahoma"/>
              <a:cs typeface="Tahoma"/>
            </a:rPr>
            <a:t>I campi </a:t>
          </a:r>
          <a:r>
            <a:rPr lang="it-IT" sz="1000" b="0" i="0" u="none" strike="noStrike" baseline="0">
              <a:solidFill>
                <a:srgbClr val="FF0000"/>
              </a:solidFill>
              <a:latin typeface="Tahoma"/>
              <a:ea typeface="Tahoma"/>
              <a:cs typeface="Tahoma"/>
            </a:rPr>
            <a:t>1</a:t>
          </a:r>
          <a:r>
            <a:rPr lang="it-IT" sz="1000" b="0" i="0" u="none" strike="noStrike" baseline="0">
              <a:solidFill>
                <a:srgbClr val="333333"/>
              </a:solidFill>
              <a:latin typeface="Tahoma"/>
              <a:ea typeface="Tahoma"/>
              <a:cs typeface="Tahoma"/>
            </a:rPr>
            <a:t>, </a:t>
          </a:r>
          <a:r>
            <a:rPr lang="it-IT" sz="1000" b="0" i="0" u="none" strike="noStrike" baseline="0">
              <a:solidFill>
                <a:srgbClr val="FF0000"/>
              </a:solidFill>
              <a:latin typeface="Tahoma"/>
              <a:ea typeface="Tahoma"/>
              <a:cs typeface="Tahoma"/>
            </a:rPr>
            <a:t>2</a:t>
          </a:r>
          <a:r>
            <a:rPr lang="it-IT" sz="1000" b="0" i="0" u="none" strike="noStrike" baseline="0">
              <a:solidFill>
                <a:srgbClr val="333333"/>
              </a:solidFill>
              <a:latin typeface="Tahoma"/>
              <a:ea typeface="Tahoma"/>
              <a:cs typeface="Tahoma"/>
            </a:rPr>
            <a:t> e </a:t>
          </a:r>
          <a:r>
            <a:rPr lang="it-IT" sz="1000" b="0" i="0" u="none" strike="noStrike" baseline="0">
              <a:solidFill>
                <a:srgbClr val="FF0000"/>
              </a:solidFill>
              <a:latin typeface="Tahoma"/>
              <a:ea typeface="Tahoma"/>
              <a:cs typeface="Tahoma"/>
            </a:rPr>
            <a:t>3</a:t>
          </a:r>
          <a:r>
            <a:rPr lang="it-IT" sz="1000" b="0" i="0" u="none" strike="noStrike" baseline="0">
              <a:solidFill>
                <a:srgbClr val="333333"/>
              </a:solidFill>
              <a:latin typeface="Tahoma"/>
              <a:ea typeface="Tahoma"/>
              <a:cs typeface="Tahoma"/>
            </a:rPr>
            <a:t> sono appositamente predisposti per essere compilati SOLO A PENNA.</a:t>
          </a:r>
        </a:p>
        <a:p>
          <a:pPr algn="l" rtl="0">
            <a:defRPr sz="1000"/>
          </a:pPr>
          <a:r>
            <a:rPr lang="it-IT" sz="1000" b="0" i="0" u="none" strike="noStrike" baseline="0">
              <a:solidFill>
                <a:srgbClr val="333333"/>
              </a:solidFill>
              <a:latin typeface="Tahoma"/>
              <a:ea typeface="Tahoma"/>
              <a:cs typeface="Tahoma"/>
            </a:rPr>
            <a:t>Chi ritira l' incasso deve firmare "per ricevuta", </a:t>
          </a:r>
          <a:r>
            <a:rPr lang="it-IT" sz="1000" b="0" i="0" u="sng" strike="noStrike" baseline="0">
              <a:solidFill>
                <a:srgbClr val="333333"/>
              </a:solidFill>
              <a:latin typeface="Tahoma"/>
              <a:ea typeface="Tahoma"/>
              <a:cs typeface="Tahoma"/>
            </a:rPr>
            <a:t>il cassiere CONSERVA il foglietto e lo archivia in una area a sua disposizione</a:t>
          </a:r>
          <a:r>
            <a:rPr lang="it-IT" sz="1000" b="0" i="0" u="none" strike="noStrike" baseline="0">
              <a:solidFill>
                <a:srgbClr val="333333"/>
              </a:solidFill>
              <a:latin typeface="Tahoma"/>
              <a:ea typeface="Tahoma"/>
              <a:cs typeface="Tahoma"/>
            </a:rPr>
            <a:t>.</a:t>
          </a:r>
        </a:p>
      </xdr:txBody>
    </xdr:sp>
    <xdr:clientData/>
  </xdr:twoCellAnchor>
  <xdr:twoCellAnchor editAs="oneCell">
    <xdr:from>
      <xdr:col>2</xdr:col>
      <xdr:colOff>504825</xdr:colOff>
      <xdr:row>126</xdr:row>
      <xdr:rowOff>133350</xdr:rowOff>
    </xdr:from>
    <xdr:to>
      <xdr:col>9</xdr:col>
      <xdr:colOff>600075</xdr:colOff>
      <xdr:row>129</xdr:row>
      <xdr:rowOff>38100</xdr:rowOff>
    </xdr:to>
    <xdr:pic>
      <xdr:nvPicPr>
        <xdr:cNvPr id="70739" name="Picture 83"/>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4025" y="20574000"/>
          <a:ext cx="4362450" cy="3905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228600</xdr:colOff>
      <xdr:row>118</xdr:row>
      <xdr:rowOff>66675</xdr:rowOff>
    </xdr:from>
    <xdr:to>
      <xdr:col>4</xdr:col>
      <xdr:colOff>514350</xdr:colOff>
      <xdr:row>120</xdr:row>
      <xdr:rowOff>28575</xdr:rowOff>
    </xdr:to>
    <xdr:sp macro="" textlink="">
      <xdr:nvSpPr>
        <xdr:cNvPr id="70740" name="Text Box 84"/>
        <xdr:cNvSpPr txBox="1">
          <a:spLocks noChangeAspect="1" noChangeArrowheads="1"/>
        </xdr:cNvSpPr>
      </xdr:nvSpPr>
      <xdr:spPr bwMode="auto">
        <a:xfrm>
          <a:off x="2667000" y="19211925"/>
          <a:ext cx="285750" cy="285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22860" rIns="27432" bIns="22860" anchor="ctr" upright="1"/>
        <a:lstStyle/>
        <a:p>
          <a:pPr algn="ctr" rtl="0">
            <a:defRPr sz="1000"/>
          </a:pPr>
          <a:r>
            <a:rPr lang="it-IT" sz="1100" b="0" i="0" u="none" strike="noStrike" baseline="0">
              <a:solidFill>
                <a:srgbClr val="FF0000"/>
              </a:solidFill>
              <a:latin typeface="Tahoma"/>
              <a:ea typeface="Tahoma"/>
              <a:cs typeface="Tahoma"/>
            </a:rPr>
            <a:t>1</a:t>
          </a:r>
        </a:p>
      </xdr:txBody>
    </xdr:sp>
    <xdr:clientData/>
  </xdr:twoCellAnchor>
  <xdr:twoCellAnchor>
    <xdr:from>
      <xdr:col>5</xdr:col>
      <xdr:colOff>57150</xdr:colOff>
      <xdr:row>121</xdr:row>
      <xdr:rowOff>9525</xdr:rowOff>
    </xdr:from>
    <xdr:to>
      <xdr:col>5</xdr:col>
      <xdr:colOff>342900</xdr:colOff>
      <xdr:row>122</xdr:row>
      <xdr:rowOff>133350</xdr:rowOff>
    </xdr:to>
    <xdr:sp macro="" textlink="">
      <xdr:nvSpPr>
        <xdr:cNvPr id="70741" name="Text Box 85"/>
        <xdr:cNvSpPr txBox="1">
          <a:spLocks noChangeAspect="1" noChangeArrowheads="1"/>
        </xdr:cNvSpPr>
      </xdr:nvSpPr>
      <xdr:spPr bwMode="auto">
        <a:xfrm>
          <a:off x="3105150" y="19640550"/>
          <a:ext cx="285750" cy="285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22860" rIns="27432" bIns="22860" anchor="ctr" upright="1"/>
        <a:lstStyle/>
        <a:p>
          <a:pPr algn="ctr" rtl="0">
            <a:defRPr sz="1000"/>
          </a:pPr>
          <a:r>
            <a:rPr lang="it-IT" sz="1100" b="0" i="0" u="none" strike="noStrike" baseline="0">
              <a:solidFill>
                <a:srgbClr val="FF0000"/>
              </a:solidFill>
              <a:latin typeface="Tahoma"/>
              <a:ea typeface="Tahoma"/>
              <a:cs typeface="Tahoma"/>
            </a:rPr>
            <a:t>2</a:t>
          </a:r>
        </a:p>
      </xdr:txBody>
    </xdr:sp>
    <xdr:clientData/>
  </xdr:twoCellAnchor>
  <xdr:twoCellAnchor>
    <xdr:from>
      <xdr:col>5</xdr:col>
      <xdr:colOff>523875</xdr:colOff>
      <xdr:row>123</xdr:row>
      <xdr:rowOff>85725</xdr:rowOff>
    </xdr:from>
    <xdr:to>
      <xdr:col>6</xdr:col>
      <xdr:colOff>200025</xdr:colOff>
      <xdr:row>125</xdr:row>
      <xdr:rowOff>47625</xdr:rowOff>
    </xdr:to>
    <xdr:sp macro="" textlink="">
      <xdr:nvSpPr>
        <xdr:cNvPr id="70742" name="Text Box 86"/>
        <xdr:cNvSpPr txBox="1">
          <a:spLocks noChangeAspect="1" noChangeArrowheads="1"/>
        </xdr:cNvSpPr>
      </xdr:nvSpPr>
      <xdr:spPr bwMode="auto">
        <a:xfrm>
          <a:off x="3571875" y="20040600"/>
          <a:ext cx="285750" cy="285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22860" rIns="27432" bIns="22860" anchor="ctr" upright="1"/>
        <a:lstStyle/>
        <a:p>
          <a:pPr algn="ctr" rtl="0">
            <a:defRPr sz="1000"/>
          </a:pPr>
          <a:r>
            <a:rPr lang="it-IT" sz="1100" b="0" i="0" u="none" strike="noStrike" baseline="0">
              <a:solidFill>
                <a:srgbClr val="FF0000"/>
              </a:solidFill>
              <a:latin typeface="Tahoma"/>
              <a:ea typeface="Tahoma"/>
              <a:cs typeface="Tahoma"/>
            </a:rPr>
            <a:t>3</a:t>
          </a:r>
        </a:p>
      </xdr:txBody>
    </xdr:sp>
    <xdr:clientData/>
  </xdr:twoCellAnchor>
  <xdr:twoCellAnchor>
    <xdr:from>
      <xdr:col>1</xdr:col>
      <xdr:colOff>190500</xdr:colOff>
      <xdr:row>131</xdr:row>
      <xdr:rowOff>66675</xdr:rowOff>
    </xdr:from>
    <xdr:to>
      <xdr:col>2</xdr:col>
      <xdr:colOff>504825</xdr:colOff>
      <xdr:row>132</xdr:row>
      <xdr:rowOff>152400</xdr:rowOff>
    </xdr:to>
    <xdr:sp macro="" textlink="">
      <xdr:nvSpPr>
        <xdr:cNvPr id="70743" name="Text Box 87"/>
        <xdr:cNvSpPr txBox="1">
          <a:spLocks noChangeArrowheads="1"/>
        </xdr:cNvSpPr>
      </xdr:nvSpPr>
      <xdr:spPr bwMode="auto">
        <a:xfrm>
          <a:off x="800100" y="21316950"/>
          <a:ext cx="923925" cy="2476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22860" rIns="27432" bIns="22860" anchor="ctr" upright="1"/>
        <a:lstStyle/>
        <a:p>
          <a:pPr algn="ctr" rtl="0">
            <a:defRPr sz="1000"/>
          </a:pPr>
          <a:r>
            <a:rPr lang="it-IT" sz="1000" b="0" i="0" u="none" strike="noStrike" baseline="0">
              <a:solidFill>
                <a:srgbClr val="808080"/>
              </a:solidFill>
              <a:latin typeface="Tahoma"/>
              <a:ea typeface="Tahoma"/>
              <a:cs typeface="Tahoma"/>
            </a:rPr>
            <a:t>Fine pagina 1</a:t>
          </a:r>
        </a:p>
      </xdr:txBody>
    </xdr:sp>
    <xdr:clientData/>
  </xdr:twoCellAnchor>
  <xdr:twoCellAnchor>
    <xdr:from>
      <xdr:col>1</xdr:col>
      <xdr:colOff>161925</xdr:colOff>
      <xdr:row>133</xdr:row>
      <xdr:rowOff>123825</xdr:rowOff>
    </xdr:from>
    <xdr:to>
      <xdr:col>13</xdr:col>
      <xdr:colOff>504825</xdr:colOff>
      <xdr:row>136</xdr:row>
      <xdr:rowOff>28575</xdr:rowOff>
    </xdr:to>
    <xdr:sp macro="" textlink="">
      <xdr:nvSpPr>
        <xdr:cNvPr id="70744" name="Text Box 88"/>
        <xdr:cNvSpPr txBox="1">
          <a:spLocks noChangeArrowheads="1"/>
        </xdr:cNvSpPr>
      </xdr:nvSpPr>
      <xdr:spPr bwMode="auto">
        <a:xfrm>
          <a:off x="771525" y="21697950"/>
          <a:ext cx="7658100" cy="3905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1" u="none" strike="noStrike" baseline="0">
              <a:solidFill>
                <a:srgbClr val="333333"/>
              </a:solidFill>
              <a:latin typeface="Corbel"/>
            </a:rPr>
            <a:t>Usare quotidianamente il foglio CASSA non è obbligatorio per il corretto funzionamento del sistema. Questa procedura è una opzione libera.</a:t>
          </a:r>
        </a:p>
        <a:p>
          <a:pPr algn="l" rtl="0">
            <a:lnSpc>
              <a:spcPts val="1100"/>
            </a:lnSpc>
            <a:defRPr sz="1000"/>
          </a:pPr>
          <a:r>
            <a:rPr lang="it-IT" sz="1000" b="0" i="1" u="none" strike="noStrike" baseline="0">
              <a:solidFill>
                <a:srgbClr val="333333"/>
              </a:solidFill>
              <a:latin typeface="Corbel"/>
            </a:rPr>
            <a:t>A richiesta il modello può anche essere modificato. Contattami liberamente per informazioni o chiarimenti: info@marcopiccoli.it</a:t>
          </a:r>
        </a:p>
      </xdr:txBody>
    </xdr:sp>
    <xdr:clientData/>
  </xdr:twoCellAnchor>
  <xdr:twoCellAnchor>
    <xdr:from>
      <xdr:col>1</xdr:col>
      <xdr:colOff>190500</xdr:colOff>
      <xdr:row>137</xdr:row>
      <xdr:rowOff>0</xdr:rowOff>
    </xdr:from>
    <xdr:to>
      <xdr:col>2</xdr:col>
      <xdr:colOff>504825</xdr:colOff>
      <xdr:row>138</xdr:row>
      <xdr:rowOff>85725</xdr:rowOff>
    </xdr:to>
    <xdr:sp macro="" textlink="">
      <xdr:nvSpPr>
        <xdr:cNvPr id="70745" name="Text Box 89"/>
        <xdr:cNvSpPr txBox="1">
          <a:spLocks noChangeArrowheads="1"/>
        </xdr:cNvSpPr>
      </xdr:nvSpPr>
      <xdr:spPr bwMode="auto">
        <a:xfrm>
          <a:off x="800100" y="22221825"/>
          <a:ext cx="923925" cy="2476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22860" rIns="27432" bIns="22860" anchor="ctr" upright="1"/>
        <a:lstStyle/>
        <a:p>
          <a:pPr algn="ctr" rtl="0">
            <a:defRPr sz="1000"/>
          </a:pPr>
          <a:r>
            <a:rPr lang="it-IT" sz="1000" b="0" i="0" u="none" strike="noStrike" baseline="0">
              <a:solidFill>
                <a:srgbClr val="808080"/>
              </a:solidFill>
              <a:latin typeface="Tahoma"/>
              <a:ea typeface="Tahoma"/>
              <a:cs typeface="Tahoma"/>
            </a:rPr>
            <a:t>Pagina 2</a:t>
          </a:r>
        </a:p>
      </xdr:txBody>
    </xdr:sp>
    <xdr:clientData/>
  </xdr:twoCellAnchor>
  <xdr:twoCellAnchor editAs="oneCell">
    <xdr:from>
      <xdr:col>11</xdr:col>
      <xdr:colOff>104775</xdr:colOff>
      <xdr:row>137</xdr:row>
      <xdr:rowOff>66675</xdr:rowOff>
    </xdr:from>
    <xdr:to>
      <xdr:col>14</xdr:col>
      <xdr:colOff>390525</xdr:colOff>
      <xdr:row>143</xdr:row>
      <xdr:rowOff>104775</xdr:rowOff>
    </xdr:to>
    <xdr:pic>
      <xdr:nvPicPr>
        <xdr:cNvPr id="70746" name="Picture 90"/>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6810375" y="22288500"/>
          <a:ext cx="2114550" cy="10096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161925</xdr:colOff>
      <xdr:row>139</xdr:row>
      <xdr:rowOff>76200</xdr:rowOff>
    </xdr:from>
    <xdr:to>
      <xdr:col>10</xdr:col>
      <xdr:colOff>581025</xdr:colOff>
      <xdr:row>149</xdr:row>
      <xdr:rowOff>152400</xdr:rowOff>
    </xdr:to>
    <xdr:sp macro="" textlink="">
      <xdr:nvSpPr>
        <xdr:cNvPr id="70747" name="Text Box 91"/>
        <xdr:cNvSpPr txBox="1">
          <a:spLocks noChangeArrowheads="1"/>
        </xdr:cNvSpPr>
      </xdr:nvSpPr>
      <xdr:spPr bwMode="auto">
        <a:xfrm>
          <a:off x="771525" y="22621875"/>
          <a:ext cx="5905500" cy="16954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FF0000"/>
              </a:solidFill>
              <a:latin typeface="Tahoma"/>
              <a:ea typeface="Tahoma"/>
              <a:cs typeface="Tahoma"/>
            </a:rPr>
            <a:t>7)</a:t>
          </a:r>
          <a:r>
            <a:rPr lang="it-IT" sz="1000" b="0" i="0" u="none" strike="noStrike" baseline="0">
              <a:solidFill>
                <a:srgbClr val="333333"/>
              </a:solidFill>
              <a:latin typeface="Tahoma"/>
              <a:ea typeface="Tahoma"/>
              <a:cs typeface="Tahoma"/>
            </a:rPr>
            <a:t> La pagina 2 del foglio CASSA può essere attivata completamente, disattivata completamente, oppure attivata solo nella sezione dedicata ai "TITOLI" (che abbiamo visto precedentemente).</a:t>
          </a:r>
        </a:p>
        <a:p>
          <a:pPr algn="l" rtl="0">
            <a:defRPr sz="1000"/>
          </a:pPr>
          <a:r>
            <a:rPr lang="it-IT" sz="1000" b="0" i="0" u="sng" strike="noStrike" baseline="0">
              <a:solidFill>
                <a:srgbClr val="333333"/>
              </a:solidFill>
              <a:latin typeface="Tahoma"/>
              <a:ea typeface="Tahoma"/>
              <a:cs typeface="Tahoma"/>
            </a:rPr>
            <a:t>Agisci con il menù a tendina per impostare quello che sarà l' utilizzo della pagina.</a:t>
          </a:r>
          <a:endParaRPr lang="it-IT" sz="1000" b="0" i="0" u="none" strike="noStrike" baseline="0">
            <a:solidFill>
              <a:srgbClr val="333333"/>
            </a:solidFill>
            <a:latin typeface="Tahoma"/>
            <a:ea typeface="Tahoma"/>
            <a:cs typeface="Tahoma"/>
          </a:endParaRP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Si compone di 2 sezioni:</a:t>
          </a:r>
        </a:p>
        <a:p>
          <a:pPr algn="l" rtl="0">
            <a:defRPr sz="1000"/>
          </a:pPr>
          <a:r>
            <a:rPr lang="it-IT" sz="1000" b="0" i="0" u="sng" strike="noStrike" baseline="0">
              <a:solidFill>
                <a:srgbClr val="333333"/>
              </a:solidFill>
              <a:latin typeface="Tahoma"/>
              <a:ea typeface="Tahoma"/>
              <a:cs typeface="Tahoma"/>
            </a:rPr>
            <a:t>la sezione superiore serve per INDIVIDUARE la PEZZATURA da mantenere in cassa per RICOSTITUIRE il fondo cassa del il giorno successivo</a:t>
          </a:r>
          <a:r>
            <a:rPr lang="it-IT" sz="1000" b="0" i="0" u="none" strike="noStrike" baseline="0">
              <a:solidFill>
                <a:srgbClr val="333333"/>
              </a:solidFill>
              <a:latin typeface="Tahoma"/>
              <a:ea typeface="Tahoma"/>
              <a:cs typeface="Tahoma"/>
            </a:rPr>
            <a:t>; </a:t>
          </a:r>
          <a:r>
            <a:rPr lang="it-IT" sz="1000" b="0" i="0" u="sng" strike="noStrike" baseline="0">
              <a:solidFill>
                <a:srgbClr val="333333"/>
              </a:solidFill>
              <a:latin typeface="Tahoma"/>
              <a:ea typeface="Tahoma"/>
              <a:cs typeface="Tahoma"/>
            </a:rPr>
            <a:t>la sezione inferiore prevede 30 RIGHE per annotare informazioni aggiuntive e specifiche sui TITOLI incassati</a:t>
          </a:r>
          <a:r>
            <a:rPr lang="it-IT" sz="1000" b="0" i="0" u="none" strike="noStrike" baseline="0">
              <a:solidFill>
                <a:srgbClr val="333333"/>
              </a:solidFill>
              <a:latin typeface="Tahoma"/>
              <a:ea typeface="Tahoma"/>
              <a:cs typeface="Tahoma"/>
            </a:rPr>
            <a:t>.</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Proseguo con lo stesso ESEMPIO dopo aver ATTIVATO la distinta. </a:t>
          </a:r>
          <a:r>
            <a:rPr lang="it-IT" sz="1000" b="0" i="0" u="sng" strike="noStrike" baseline="0">
              <a:solidFill>
                <a:srgbClr val="333333"/>
              </a:solidFill>
              <a:latin typeface="Tahoma"/>
              <a:ea typeface="Tahoma"/>
              <a:cs typeface="Tahoma"/>
            </a:rPr>
            <a:t>Sezione superiore</a:t>
          </a:r>
          <a:r>
            <a:rPr lang="it-IT" sz="1000" b="0" i="0" u="none" strike="noStrike" baseline="0">
              <a:solidFill>
                <a:srgbClr val="333333"/>
              </a:solidFill>
              <a:latin typeface="Tahoma"/>
              <a:ea typeface="Tahoma"/>
              <a:cs typeface="Tahoma"/>
            </a:rPr>
            <a:t>:</a:t>
          </a:r>
        </a:p>
      </xdr:txBody>
    </xdr:sp>
    <xdr:clientData/>
  </xdr:twoCellAnchor>
  <xdr:twoCellAnchor>
    <xdr:from>
      <xdr:col>1</xdr:col>
      <xdr:colOff>161925</xdr:colOff>
      <xdr:row>161</xdr:row>
      <xdr:rowOff>19050</xdr:rowOff>
    </xdr:from>
    <xdr:to>
      <xdr:col>14</xdr:col>
      <xdr:colOff>438150</xdr:colOff>
      <xdr:row>168</xdr:row>
      <xdr:rowOff>95250</xdr:rowOff>
    </xdr:to>
    <xdr:sp macro="" textlink="">
      <xdr:nvSpPr>
        <xdr:cNvPr id="70748" name="Text Box 92"/>
        <xdr:cNvSpPr txBox="1">
          <a:spLocks noChangeArrowheads="1"/>
        </xdr:cNvSpPr>
      </xdr:nvSpPr>
      <xdr:spPr bwMode="auto">
        <a:xfrm>
          <a:off x="771525" y="26127075"/>
          <a:ext cx="8201025" cy="12096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FF0000"/>
              </a:solidFill>
              <a:latin typeface="Tahoma"/>
              <a:ea typeface="Tahoma"/>
              <a:cs typeface="Tahoma"/>
            </a:rPr>
            <a:t>N.B.)</a:t>
          </a:r>
          <a:r>
            <a:rPr lang="it-IT" sz="1000" b="0" i="0" u="none" strike="noStrike" baseline="0">
              <a:solidFill>
                <a:srgbClr val="333333"/>
              </a:solidFill>
              <a:latin typeface="Tahoma"/>
              <a:ea typeface="Tahoma"/>
              <a:cs typeface="Tahoma"/>
            </a:rPr>
            <a:t> Qui devi focalizzare sulle 2 colonne: "CASSA" e "VERSA".</a:t>
          </a:r>
        </a:p>
        <a:p>
          <a:pPr algn="l" rtl="0">
            <a:defRPr sz="1000"/>
          </a:pPr>
          <a:r>
            <a:rPr lang="it-IT" sz="1000" b="0" i="0" u="sng" strike="noStrike" baseline="0">
              <a:solidFill>
                <a:srgbClr val="333333"/>
              </a:solidFill>
              <a:latin typeface="Tahoma"/>
              <a:ea typeface="Tahoma"/>
              <a:cs typeface="Tahoma"/>
            </a:rPr>
            <a:t>Il sistema determina e ti propone la combinazione minima per la pezzatura adatta a RICOSTITUIRE la somma di € 100,00</a:t>
          </a:r>
          <a:r>
            <a:rPr lang="it-IT" sz="1000" b="0" i="0" u="none" strike="noStrike" baseline="0">
              <a:solidFill>
                <a:srgbClr val="333333"/>
              </a:solidFill>
              <a:latin typeface="Tahoma"/>
              <a:ea typeface="Tahoma"/>
              <a:cs typeface="Tahoma"/>
            </a:rPr>
            <a:t>.</a:t>
          </a:r>
        </a:p>
        <a:p>
          <a:pPr algn="l" rtl="0">
            <a:defRPr sz="1000"/>
          </a:pPr>
          <a:r>
            <a:rPr lang="it-IT" sz="1000" b="0" i="0" u="none" strike="noStrike" baseline="0">
              <a:solidFill>
                <a:srgbClr val="333333"/>
              </a:solidFill>
              <a:latin typeface="Tahoma"/>
              <a:ea typeface="Tahoma"/>
              <a:cs typeface="Tahoma"/>
            </a:rPr>
            <a:t>Parte dalle monete, poi considera le banconote dal taglio più piccolo al più grande.</a:t>
          </a:r>
        </a:p>
        <a:p>
          <a:pPr algn="l" rtl="0">
            <a:defRPr sz="1000"/>
          </a:pPr>
          <a:r>
            <a:rPr lang="it-IT" sz="1000" b="0" i="0" u="none" strike="noStrike" baseline="0">
              <a:solidFill>
                <a:srgbClr val="333333"/>
              </a:solidFill>
              <a:latin typeface="Tahoma"/>
              <a:ea typeface="Tahoma"/>
              <a:cs typeface="Tahoma"/>
            </a:rPr>
            <a:t>La colonna "CASSA" indica il contante da mantenere in cassa.</a:t>
          </a:r>
        </a:p>
        <a:p>
          <a:pPr algn="l" rtl="0">
            <a:defRPr sz="1000"/>
          </a:pPr>
          <a:r>
            <a:rPr lang="it-IT" sz="1000" b="0" i="0" u="none" strike="noStrike" baseline="0">
              <a:solidFill>
                <a:srgbClr val="333333"/>
              </a:solidFill>
              <a:latin typeface="Tahoma"/>
              <a:ea typeface="Tahoma"/>
              <a:cs typeface="Tahoma"/>
            </a:rPr>
            <a:t>La colonna "VERSA" indica il contante del giorno che si può TOGLIERE dalla cassa e versare. Il termine "VERSA" NON indica espressamente che la somma sarà versata in banca. Si intende piuttosto un versamento nella cassa aziendale principale; il versamento in banca infatti può essere anche cumulativo, di più giorni.</a:t>
          </a:r>
        </a:p>
      </xdr:txBody>
    </xdr:sp>
    <xdr:clientData/>
  </xdr:twoCellAnchor>
  <xdr:twoCellAnchor editAs="oneCell">
    <xdr:from>
      <xdr:col>1</xdr:col>
      <xdr:colOff>266700</xdr:colOff>
      <xdr:row>151</xdr:row>
      <xdr:rowOff>114300</xdr:rowOff>
    </xdr:from>
    <xdr:to>
      <xdr:col>12</xdr:col>
      <xdr:colOff>276225</xdr:colOff>
      <xdr:row>158</xdr:row>
      <xdr:rowOff>85725</xdr:rowOff>
    </xdr:to>
    <xdr:pic>
      <xdr:nvPicPr>
        <xdr:cNvPr id="70749" name="Picture 93"/>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876300" y="24603075"/>
          <a:ext cx="6715125" cy="11049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9</xdr:col>
      <xdr:colOff>381000</xdr:colOff>
      <xdr:row>151</xdr:row>
      <xdr:rowOff>57150</xdr:rowOff>
    </xdr:from>
    <xdr:to>
      <xdr:col>11</xdr:col>
      <xdr:colOff>0</xdr:colOff>
      <xdr:row>153</xdr:row>
      <xdr:rowOff>66675</xdr:rowOff>
    </xdr:to>
    <xdr:sp macro="" textlink="">
      <xdr:nvSpPr>
        <xdr:cNvPr id="70750" name="Line 94"/>
        <xdr:cNvSpPr>
          <a:spLocks noChangeShapeType="1"/>
        </xdr:cNvSpPr>
      </xdr:nvSpPr>
      <xdr:spPr bwMode="auto">
        <a:xfrm flipH="1">
          <a:off x="5867400" y="24545925"/>
          <a:ext cx="838200" cy="333375"/>
        </a:xfrm>
        <a:prstGeom prst="line">
          <a:avLst/>
        </a:prstGeom>
        <a:noFill/>
        <a:ln w="9525">
          <a:solidFill>
            <a:srgbClr xmlns:mc="http://schemas.openxmlformats.org/markup-compatibility/2006" xmlns:a14="http://schemas.microsoft.com/office/drawing/2010/main" val="808080" mc:Ignorable="a14" a14:legacySpreadsheetColorIndex="23"/>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419100</xdr:colOff>
      <xdr:row>150</xdr:row>
      <xdr:rowOff>66675</xdr:rowOff>
    </xdr:from>
    <xdr:to>
      <xdr:col>14</xdr:col>
      <xdr:colOff>28575</xdr:colOff>
      <xdr:row>154</xdr:row>
      <xdr:rowOff>38100</xdr:rowOff>
    </xdr:to>
    <xdr:sp macro="" textlink="">
      <xdr:nvSpPr>
        <xdr:cNvPr id="70751" name="Rectangle 95"/>
        <xdr:cNvSpPr>
          <a:spLocks noChangeArrowheads="1"/>
        </xdr:cNvSpPr>
      </xdr:nvSpPr>
      <xdr:spPr bwMode="auto">
        <a:xfrm>
          <a:off x="6515100" y="24393525"/>
          <a:ext cx="2047875" cy="6191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72000" tIns="46800" rIns="90000" bIns="46800" anchor="t" upright="1"/>
        <a:lstStyle/>
        <a:p>
          <a:pPr algn="l" rtl="0">
            <a:defRPr sz="1000"/>
          </a:pPr>
          <a:r>
            <a:rPr lang="it-IT" sz="1000" b="0" i="0" u="none" strike="noStrike" baseline="0">
              <a:solidFill>
                <a:srgbClr val="808080"/>
              </a:solidFill>
              <a:latin typeface="Tahoma"/>
              <a:ea typeface="Tahoma"/>
              <a:cs typeface="Tahoma"/>
            </a:rPr>
            <a:t>Fondo cassa impostato precedentemente nella pagina 1.</a:t>
          </a:r>
        </a:p>
        <a:p>
          <a:pPr algn="l" rtl="0">
            <a:defRPr sz="1000"/>
          </a:pPr>
          <a:r>
            <a:rPr lang="it-IT" sz="1000" b="0" i="0" u="sng" strike="noStrike" baseline="0">
              <a:solidFill>
                <a:srgbClr val="808080"/>
              </a:solidFill>
              <a:latin typeface="Tahoma"/>
              <a:ea typeface="Tahoma"/>
              <a:cs typeface="Tahoma"/>
            </a:rPr>
            <a:t>Non si può cambiare da qui</a:t>
          </a:r>
          <a:r>
            <a:rPr lang="it-IT" sz="1000" b="0" i="0" u="none" strike="noStrike" baseline="0">
              <a:solidFill>
                <a:srgbClr val="808080"/>
              </a:solidFill>
              <a:latin typeface="Tahoma"/>
              <a:ea typeface="Tahoma"/>
              <a:cs typeface="Tahoma"/>
            </a:rPr>
            <a:t>.</a:t>
          </a:r>
        </a:p>
      </xdr:txBody>
    </xdr:sp>
    <xdr:clientData/>
  </xdr:twoCellAnchor>
  <xdr:twoCellAnchor>
    <xdr:from>
      <xdr:col>7</xdr:col>
      <xdr:colOff>295275</xdr:colOff>
      <xdr:row>158</xdr:row>
      <xdr:rowOff>142875</xdr:rowOff>
    </xdr:from>
    <xdr:to>
      <xdr:col>9</xdr:col>
      <xdr:colOff>304800</xdr:colOff>
      <xdr:row>160</xdr:row>
      <xdr:rowOff>66675</xdr:rowOff>
    </xdr:to>
    <xdr:sp macro="" textlink="">
      <xdr:nvSpPr>
        <xdr:cNvPr id="70752" name="Rectangle 96"/>
        <xdr:cNvSpPr>
          <a:spLocks noChangeArrowheads="1"/>
        </xdr:cNvSpPr>
      </xdr:nvSpPr>
      <xdr:spPr bwMode="auto">
        <a:xfrm>
          <a:off x="4562475" y="25765125"/>
          <a:ext cx="1228725" cy="2476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22860" rIns="27432" bIns="22860" anchor="ctr" upright="1"/>
        <a:lstStyle/>
        <a:p>
          <a:pPr algn="ctr" rtl="0">
            <a:defRPr sz="1000"/>
          </a:pPr>
          <a:r>
            <a:rPr lang="it-IT" sz="1000" b="0" i="0" u="none" strike="noStrike" baseline="0">
              <a:solidFill>
                <a:srgbClr val="FF0000"/>
              </a:solidFill>
              <a:latin typeface="Tahoma"/>
              <a:ea typeface="Tahoma"/>
              <a:cs typeface="Tahoma"/>
            </a:rPr>
            <a:t>Colonna "CASSA"</a:t>
          </a:r>
        </a:p>
      </xdr:txBody>
    </xdr:sp>
    <xdr:clientData/>
  </xdr:twoCellAnchor>
  <xdr:twoCellAnchor>
    <xdr:from>
      <xdr:col>9</xdr:col>
      <xdr:colOff>571500</xdr:colOff>
      <xdr:row>158</xdr:row>
      <xdr:rowOff>142875</xdr:rowOff>
    </xdr:from>
    <xdr:to>
      <xdr:col>11</xdr:col>
      <xdr:colOff>581025</xdr:colOff>
      <xdr:row>160</xdr:row>
      <xdr:rowOff>66675</xdr:rowOff>
    </xdr:to>
    <xdr:sp macro="" textlink="">
      <xdr:nvSpPr>
        <xdr:cNvPr id="70753" name="Rectangle 97"/>
        <xdr:cNvSpPr>
          <a:spLocks noChangeArrowheads="1"/>
        </xdr:cNvSpPr>
      </xdr:nvSpPr>
      <xdr:spPr bwMode="auto">
        <a:xfrm>
          <a:off x="6057900" y="25765125"/>
          <a:ext cx="1228725" cy="2476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22860" rIns="27432" bIns="22860" anchor="ctr" upright="1"/>
        <a:lstStyle/>
        <a:p>
          <a:pPr algn="ctr" rtl="0">
            <a:defRPr sz="1000"/>
          </a:pPr>
          <a:r>
            <a:rPr lang="it-IT" sz="1000" b="0" i="0" u="none" strike="noStrike" baseline="0">
              <a:solidFill>
                <a:srgbClr val="FF0000"/>
              </a:solidFill>
              <a:latin typeface="Tahoma"/>
              <a:ea typeface="Tahoma"/>
              <a:cs typeface="Tahoma"/>
            </a:rPr>
            <a:t>Colonna "VERSA"</a:t>
          </a:r>
        </a:p>
      </xdr:txBody>
    </xdr:sp>
    <xdr:clientData/>
  </xdr:twoCellAnchor>
  <xdr:twoCellAnchor>
    <xdr:from>
      <xdr:col>1</xdr:col>
      <xdr:colOff>485775</xdr:colOff>
      <xdr:row>183</xdr:row>
      <xdr:rowOff>152400</xdr:rowOff>
    </xdr:from>
    <xdr:to>
      <xdr:col>5</xdr:col>
      <xdr:colOff>247650</xdr:colOff>
      <xdr:row>189</xdr:row>
      <xdr:rowOff>95250</xdr:rowOff>
    </xdr:to>
    <xdr:grpSp>
      <xdr:nvGrpSpPr>
        <xdr:cNvPr id="70754" name="Group 98"/>
        <xdr:cNvGrpSpPr>
          <a:grpSpLocks/>
        </xdr:cNvGrpSpPr>
      </xdr:nvGrpSpPr>
      <xdr:grpSpPr bwMode="auto">
        <a:xfrm>
          <a:off x="1095375" y="29822775"/>
          <a:ext cx="2200275" cy="914400"/>
          <a:chOff x="115" y="3265"/>
          <a:chExt cx="231" cy="96"/>
        </a:xfrm>
      </xdr:grpSpPr>
      <xdr:sp macro="" textlink="">
        <xdr:nvSpPr>
          <xdr:cNvPr id="70755" name="Rectangle 99"/>
          <xdr:cNvSpPr>
            <a:spLocks noChangeArrowheads="1"/>
          </xdr:cNvSpPr>
        </xdr:nvSpPr>
        <xdr:spPr bwMode="auto">
          <a:xfrm>
            <a:off x="158" y="3320"/>
            <a:ext cx="179" cy="41"/>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808080" mc:Ignorable="a14" a14:legacySpreadsheetColorIndex="23"/>
                </a:solidFill>
                <a:miter lim="800000"/>
                <a:headEnd/>
                <a:tailEnd/>
              </a14:hiddenLine>
            </a:ext>
          </a:extLst>
        </xdr:spPr>
        <xdr:txBody>
          <a:bodyPr vertOverflow="clip" wrap="square" lIns="0" tIns="22860" rIns="27432" bIns="0" anchor="t" upright="1"/>
          <a:lstStyle/>
          <a:p>
            <a:pPr algn="r" rtl="0">
              <a:defRPr sz="1000"/>
            </a:pPr>
            <a:r>
              <a:rPr lang="it-IT" sz="1000" b="0" i="1" u="none" strike="noStrike" baseline="0">
                <a:solidFill>
                  <a:srgbClr val="333333"/>
                </a:solidFill>
                <a:latin typeface="Corbel"/>
              </a:rPr>
              <a:t>così nel Rapportino di chiusura</a:t>
            </a:r>
          </a:p>
          <a:p>
            <a:pPr algn="r" rtl="0">
              <a:lnSpc>
                <a:spcPts val="1100"/>
              </a:lnSpc>
              <a:defRPr sz="1000"/>
            </a:pPr>
            <a:r>
              <a:rPr lang="it-IT" sz="1000" b="0" i="1" u="none" strike="noStrike" baseline="0">
                <a:solidFill>
                  <a:srgbClr val="333333"/>
                </a:solidFill>
                <a:latin typeface="Corbel"/>
              </a:rPr>
              <a:t>di pagina 1</a:t>
            </a:r>
          </a:p>
        </xdr:txBody>
      </xdr:sp>
      <xdr:pic>
        <xdr:nvPicPr>
          <xdr:cNvPr id="70756" name="Picture 100"/>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15" y="3265"/>
            <a:ext cx="231" cy="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twoCellAnchor>
    <xdr:from>
      <xdr:col>1</xdr:col>
      <xdr:colOff>466725</xdr:colOff>
      <xdr:row>172</xdr:row>
      <xdr:rowOff>47625</xdr:rowOff>
    </xdr:from>
    <xdr:to>
      <xdr:col>5</xdr:col>
      <xdr:colOff>295275</xdr:colOff>
      <xdr:row>189</xdr:row>
      <xdr:rowOff>85725</xdr:rowOff>
    </xdr:to>
    <xdr:grpSp>
      <xdr:nvGrpSpPr>
        <xdr:cNvPr id="70757" name="Group 101"/>
        <xdr:cNvGrpSpPr>
          <a:grpSpLocks/>
        </xdr:cNvGrpSpPr>
      </xdr:nvGrpSpPr>
      <xdr:grpSpPr bwMode="auto">
        <a:xfrm>
          <a:off x="1076325" y="27936825"/>
          <a:ext cx="2266950" cy="2790825"/>
          <a:chOff x="113" y="3069"/>
          <a:chExt cx="238" cy="293"/>
        </a:xfrm>
      </xdr:grpSpPr>
      <xdr:sp macro="" textlink="">
        <xdr:nvSpPr>
          <xdr:cNvPr id="70758" name="Freeform 102"/>
          <xdr:cNvSpPr>
            <a:spLocks/>
          </xdr:cNvSpPr>
        </xdr:nvSpPr>
        <xdr:spPr bwMode="auto">
          <a:xfrm rot="5400000" flipV="1">
            <a:off x="79" y="3131"/>
            <a:ext cx="191" cy="67"/>
          </a:xfrm>
          <a:custGeom>
            <a:avLst/>
            <a:gdLst>
              <a:gd name="T0" fmla="*/ 107 w 107"/>
              <a:gd name="T1" fmla="*/ 0 h 46"/>
              <a:gd name="T2" fmla="*/ 0 w 107"/>
              <a:gd name="T3" fmla="*/ 0 h 46"/>
              <a:gd name="T4" fmla="*/ 0 w 107"/>
              <a:gd name="T5" fmla="*/ 46 h 46"/>
            </a:gdLst>
            <a:ahLst/>
            <a:cxnLst>
              <a:cxn ang="0">
                <a:pos x="T0" y="T1"/>
              </a:cxn>
              <a:cxn ang="0">
                <a:pos x="T2" y="T3"/>
              </a:cxn>
              <a:cxn ang="0">
                <a:pos x="T4" y="T5"/>
              </a:cxn>
            </a:cxnLst>
            <a:rect l="0" t="0" r="r" b="b"/>
            <a:pathLst>
              <a:path w="107" h="46">
                <a:moveTo>
                  <a:pt x="107" y="0"/>
                </a:moveTo>
                <a:lnTo>
                  <a:pt x="0" y="0"/>
                </a:lnTo>
                <a:lnTo>
                  <a:pt x="0" y="46"/>
                </a:lnTo>
              </a:path>
            </a:pathLst>
          </a:custGeom>
          <a:noFill/>
          <a:ln w="9525" cap="flat" cmpd="sng">
            <a:solidFill>
              <a:srgbClr xmlns:mc="http://schemas.openxmlformats.org/markup-compatibility/2006" xmlns:a14="http://schemas.microsoft.com/office/drawing/2010/main" val="808080" mc:Ignorable="a14" a14:legacySpreadsheetColorIndex="23"/>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70759" name="Rectangle 103"/>
          <xdr:cNvSpPr>
            <a:spLocks noChangeArrowheads="1"/>
          </xdr:cNvSpPr>
        </xdr:nvSpPr>
        <xdr:spPr bwMode="auto">
          <a:xfrm>
            <a:off x="113" y="3260"/>
            <a:ext cx="238" cy="102"/>
          </a:xfrm>
          <a:prstGeom prst="rect">
            <a:avLst/>
          </a:prstGeom>
          <a:noFill/>
          <a:ln w="9525">
            <a:solidFill>
              <a:srgbClr xmlns:mc="http://schemas.openxmlformats.org/markup-compatibility/2006" xmlns:a14="http://schemas.microsoft.com/office/drawing/2010/main" val="808080" mc:Ignorable="a14" a14:legacySpreadsheetColorIndex="2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6</xdr:col>
      <xdr:colOff>180975</xdr:colOff>
      <xdr:row>188</xdr:row>
      <xdr:rowOff>123825</xdr:rowOff>
    </xdr:from>
    <xdr:to>
      <xdr:col>14</xdr:col>
      <xdr:colOff>228600</xdr:colOff>
      <xdr:row>202</xdr:row>
      <xdr:rowOff>85725</xdr:rowOff>
    </xdr:to>
    <xdr:sp macro="" textlink="">
      <xdr:nvSpPr>
        <xdr:cNvPr id="70760" name="Text Box 104"/>
        <xdr:cNvSpPr txBox="1">
          <a:spLocks noChangeArrowheads="1"/>
        </xdr:cNvSpPr>
      </xdr:nvSpPr>
      <xdr:spPr bwMode="auto">
        <a:xfrm>
          <a:off x="3838575" y="30603825"/>
          <a:ext cx="4924425" cy="22288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FF0000"/>
              </a:solidFill>
              <a:latin typeface="Tahoma"/>
              <a:ea typeface="Tahoma"/>
              <a:cs typeface="Tahoma"/>
            </a:rPr>
            <a:t>8)</a:t>
          </a:r>
          <a:r>
            <a:rPr lang="it-IT" sz="1000" b="0" i="0" u="none" strike="noStrike" baseline="0">
              <a:solidFill>
                <a:srgbClr val="333333"/>
              </a:solidFill>
              <a:latin typeface="Tahoma"/>
              <a:ea typeface="Tahoma"/>
              <a:cs typeface="Tahoma"/>
            </a:rPr>
            <a:t> Dopo aver considerato le monete (€ 25,00 CASSA / € 4,00 VERSA per un totale di € 29,00 registrate nel Rapportino di chiusura della pagina 1) il sistema individua la suddivisione corretta per le banconote.</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Qui € 75,00 (5 pezzi da € 5,00 e 5 pezzi da € 10,00) sommati ai precedenti € 25,00 in moneta, costituiscono il Fondo cassa di € 100,00.</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Tutto il resto (€ 645,00) si può togliere dalla cassa ed assieme ai 4 euro di moneta precedenti costituiscono il "versamento" in contanti (liquidità) di € 649,00 nella cassa principale.</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1" u="none" strike="noStrike" baseline="0">
              <a:solidFill>
                <a:srgbClr val="808080"/>
              </a:solidFill>
              <a:latin typeface="Corbel"/>
            </a:rPr>
            <a:t>A mio avviso questo prospetto è un aiuto oggettivo per calcoli semplici ma insidiosi quando si fanno in chiusura serale. Contattami per esigenze particolari.</a:t>
          </a:r>
        </a:p>
      </xdr:txBody>
    </xdr:sp>
    <xdr:clientData/>
  </xdr:twoCellAnchor>
  <xdr:twoCellAnchor>
    <xdr:from>
      <xdr:col>1</xdr:col>
      <xdr:colOff>161925</xdr:colOff>
      <xdr:row>202</xdr:row>
      <xdr:rowOff>152400</xdr:rowOff>
    </xdr:from>
    <xdr:to>
      <xdr:col>14</xdr:col>
      <xdr:colOff>28575</xdr:colOff>
      <xdr:row>207</xdr:row>
      <xdr:rowOff>95250</xdr:rowOff>
    </xdr:to>
    <xdr:sp macro="" textlink="">
      <xdr:nvSpPr>
        <xdr:cNvPr id="70761" name="Text Box 105"/>
        <xdr:cNvSpPr txBox="1">
          <a:spLocks noChangeArrowheads="1"/>
        </xdr:cNvSpPr>
      </xdr:nvSpPr>
      <xdr:spPr bwMode="auto">
        <a:xfrm>
          <a:off x="771525" y="32899350"/>
          <a:ext cx="7791450" cy="7524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sng" strike="noStrike" baseline="0">
              <a:solidFill>
                <a:srgbClr val="333333"/>
              </a:solidFill>
              <a:latin typeface="Tahoma"/>
              <a:ea typeface="Tahoma"/>
              <a:cs typeface="Tahoma"/>
            </a:rPr>
            <a:t>C'è un' ultima annotazione importante per questa particolare funzione del sistema</a:t>
          </a:r>
          <a:r>
            <a:rPr lang="it-IT" sz="1000" b="0" i="0" u="none" strike="noStrike" baseline="0">
              <a:solidFill>
                <a:srgbClr val="333333"/>
              </a:solidFill>
              <a:latin typeface="Tahoma"/>
              <a:ea typeface="Tahoma"/>
              <a:cs typeface="Tahoma"/>
            </a:rPr>
            <a:t>:</a:t>
          </a:r>
        </a:p>
        <a:p>
          <a:pPr algn="l" rtl="0">
            <a:defRPr sz="1000"/>
          </a:pPr>
          <a:r>
            <a:rPr lang="it-IT" sz="1000" b="0" i="0" u="none" strike="noStrike" baseline="0">
              <a:solidFill>
                <a:srgbClr val="333333"/>
              </a:solidFill>
              <a:latin typeface="Tahoma"/>
              <a:ea typeface="Tahoma"/>
              <a:cs typeface="Tahoma"/>
            </a:rPr>
            <a:t>il fondo cassa NON SEMPRE si può ricondurre ad una determinata somma, così come da noi impostato, </a:t>
          </a:r>
          <a:r>
            <a:rPr lang="it-IT" sz="1000" b="0" i="0" u="sng" strike="noStrike" baseline="0">
              <a:solidFill>
                <a:srgbClr val="333333"/>
              </a:solidFill>
              <a:latin typeface="Tahoma"/>
              <a:ea typeface="Tahoma"/>
              <a:cs typeface="Tahoma"/>
            </a:rPr>
            <a:t>con il contante in nostro possesso</a:t>
          </a:r>
          <a:r>
            <a:rPr lang="it-IT" sz="1000" b="0" i="0" u="none" strike="noStrike" baseline="0">
              <a:solidFill>
                <a:srgbClr val="333333"/>
              </a:solidFill>
              <a:latin typeface="Tahoma"/>
              <a:ea typeface="Tahoma"/>
              <a:cs typeface="Tahoma"/>
            </a:rPr>
            <a:t>;</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Osserva una variabile dell' ESEMPIO precedente:</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        </a:t>
          </a:r>
        </a:p>
      </xdr:txBody>
    </xdr:sp>
    <xdr:clientData/>
  </xdr:twoCellAnchor>
  <xdr:twoCellAnchor>
    <xdr:from>
      <xdr:col>1</xdr:col>
      <xdr:colOff>161925</xdr:colOff>
      <xdr:row>266</xdr:row>
      <xdr:rowOff>152400</xdr:rowOff>
    </xdr:from>
    <xdr:to>
      <xdr:col>8</xdr:col>
      <xdr:colOff>285750</xdr:colOff>
      <xdr:row>270</xdr:row>
      <xdr:rowOff>47625</xdr:rowOff>
    </xdr:to>
    <xdr:sp macro="" textlink="">
      <xdr:nvSpPr>
        <xdr:cNvPr id="70762" name="Text Box 106"/>
        <xdr:cNvSpPr txBox="1">
          <a:spLocks noChangeArrowheads="1"/>
        </xdr:cNvSpPr>
      </xdr:nvSpPr>
      <xdr:spPr bwMode="auto">
        <a:xfrm>
          <a:off x="771525" y="43262550"/>
          <a:ext cx="4391025" cy="5429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FF0000"/>
              </a:solidFill>
              <a:latin typeface="Tahoma"/>
              <a:ea typeface="Tahoma"/>
              <a:cs typeface="Tahoma"/>
            </a:rPr>
            <a:t>10)</a:t>
          </a:r>
          <a:r>
            <a:rPr lang="it-IT" sz="1000" b="0" i="0" u="none" strike="noStrike" baseline="0">
              <a:solidFill>
                <a:srgbClr val="333333"/>
              </a:solidFill>
              <a:latin typeface="Tahoma"/>
              <a:ea typeface="Tahoma"/>
              <a:cs typeface="Tahoma"/>
            </a:rPr>
            <a:t> Con riferimento alla sezione "TITOLI" del Rapportino di chiusura compilato in precedenza, il foglio CASSA propone qui uno spazio (30 righe al massimo) dove puoi inserire i dettagli per queste transazioni documentate.</a:t>
          </a:r>
        </a:p>
      </xdr:txBody>
    </xdr:sp>
    <xdr:clientData/>
  </xdr:twoCellAnchor>
  <xdr:twoCellAnchor>
    <xdr:from>
      <xdr:col>9</xdr:col>
      <xdr:colOff>342900</xdr:colOff>
      <xdr:row>265</xdr:row>
      <xdr:rowOff>104775</xdr:rowOff>
    </xdr:from>
    <xdr:to>
      <xdr:col>14</xdr:col>
      <xdr:colOff>304800</xdr:colOff>
      <xdr:row>272</xdr:row>
      <xdr:rowOff>95250</xdr:rowOff>
    </xdr:to>
    <xdr:grpSp>
      <xdr:nvGrpSpPr>
        <xdr:cNvPr id="70763" name="Group 107"/>
        <xdr:cNvGrpSpPr>
          <a:grpSpLocks/>
        </xdr:cNvGrpSpPr>
      </xdr:nvGrpSpPr>
      <xdr:grpSpPr bwMode="auto">
        <a:xfrm>
          <a:off x="5829300" y="43053000"/>
          <a:ext cx="3009900" cy="1123950"/>
          <a:chOff x="627" y="3634"/>
          <a:chExt cx="316" cy="118"/>
        </a:xfrm>
      </xdr:grpSpPr>
      <xdr:pic>
        <xdr:nvPicPr>
          <xdr:cNvPr id="70764" name="Picture 108"/>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t="3159"/>
          <a:stretch>
            <a:fillRect/>
          </a:stretch>
        </xdr:blipFill>
        <xdr:spPr bwMode="auto">
          <a:xfrm>
            <a:off x="627" y="3634"/>
            <a:ext cx="316" cy="7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0765" name="Text Box 109"/>
          <xdr:cNvSpPr txBox="1">
            <a:spLocks noChangeArrowheads="1"/>
          </xdr:cNvSpPr>
        </xdr:nvSpPr>
        <xdr:spPr bwMode="auto">
          <a:xfrm>
            <a:off x="719" y="3711"/>
            <a:ext cx="186" cy="41"/>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22860" rIns="27432" bIns="22860" anchor="ctr" upright="1"/>
          <a:lstStyle/>
          <a:p>
            <a:pPr algn="r" rtl="0">
              <a:lnSpc>
                <a:spcPts val="1100"/>
              </a:lnSpc>
              <a:defRPr sz="1000"/>
            </a:pPr>
            <a:r>
              <a:rPr lang="it-IT" sz="1000" b="0" i="1" u="none" strike="noStrike" baseline="0">
                <a:solidFill>
                  <a:srgbClr val="000000"/>
                </a:solidFill>
                <a:latin typeface="Corbel"/>
              </a:rPr>
              <a:t>così nel Rapportino di chiusura</a:t>
            </a:r>
          </a:p>
          <a:p>
            <a:pPr algn="r" rtl="0">
              <a:lnSpc>
                <a:spcPts val="1000"/>
              </a:lnSpc>
              <a:defRPr sz="1000"/>
            </a:pPr>
            <a:r>
              <a:rPr lang="it-IT" sz="1000" b="0" i="1" u="none" strike="noStrike" baseline="0">
                <a:solidFill>
                  <a:srgbClr val="000000"/>
                </a:solidFill>
                <a:latin typeface="Corbel"/>
              </a:rPr>
              <a:t>di pagina 1</a:t>
            </a:r>
          </a:p>
        </xdr:txBody>
      </xdr:sp>
    </xdr:grpSp>
    <xdr:clientData/>
  </xdr:twoCellAnchor>
  <xdr:twoCellAnchor>
    <xdr:from>
      <xdr:col>9</xdr:col>
      <xdr:colOff>323850</xdr:colOff>
      <xdr:row>264</xdr:row>
      <xdr:rowOff>123825</xdr:rowOff>
    </xdr:from>
    <xdr:to>
      <xdr:col>14</xdr:col>
      <xdr:colOff>314325</xdr:colOff>
      <xdr:row>275</xdr:row>
      <xdr:rowOff>152400</xdr:rowOff>
    </xdr:to>
    <xdr:grpSp>
      <xdr:nvGrpSpPr>
        <xdr:cNvPr id="70766" name="Group 110"/>
        <xdr:cNvGrpSpPr>
          <a:grpSpLocks/>
        </xdr:cNvGrpSpPr>
      </xdr:nvGrpSpPr>
      <xdr:grpSpPr bwMode="auto">
        <a:xfrm>
          <a:off x="5810250" y="42910125"/>
          <a:ext cx="3038475" cy="1809750"/>
          <a:chOff x="610" y="3519"/>
          <a:chExt cx="319" cy="190"/>
        </a:xfrm>
      </xdr:grpSpPr>
      <xdr:sp macro="" textlink="">
        <xdr:nvSpPr>
          <xdr:cNvPr id="70767" name="Freeform 111"/>
          <xdr:cNvSpPr>
            <a:spLocks/>
          </xdr:cNvSpPr>
        </xdr:nvSpPr>
        <xdr:spPr bwMode="auto">
          <a:xfrm rot="16200000" flipV="1">
            <a:off x="834" y="3637"/>
            <a:ext cx="54" cy="89"/>
          </a:xfrm>
          <a:custGeom>
            <a:avLst/>
            <a:gdLst>
              <a:gd name="T0" fmla="*/ 107 w 107"/>
              <a:gd name="T1" fmla="*/ 0 h 46"/>
              <a:gd name="T2" fmla="*/ 0 w 107"/>
              <a:gd name="T3" fmla="*/ 0 h 46"/>
              <a:gd name="T4" fmla="*/ 0 w 107"/>
              <a:gd name="T5" fmla="*/ 46 h 46"/>
            </a:gdLst>
            <a:ahLst/>
            <a:cxnLst>
              <a:cxn ang="0">
                <a:pos x="T0" y="T1"/>
              </a:cxn>
              <a:cxn ang="0">
                <a:pos x="T2" y="T3"/>
              </a:cxn>
              <a:cxn ang="0">
                <a:pos x="T4" y="T5"/>
              </a:cxn>
            </a:cxnLst>
            <a:rect l="0" t="0" r="r" b="b"/>
            <a:pathLst>
              <a:path w="107" h="46">
                <a:moveTo>
                  <a:pt x="107" y="0"/>
                </a:moveTo>
                <a:lnTo>
                  <a:pt x="0" y="0"/>
                </a:lnTo>
                <a:lnTo>
                  <a:pt x="0" y="46"/>
                </a:lnTo>
              </a:path>
            </a:pathLst>
          </a:custGeom>
          <a:noFill/>
          <a:ln w="9525" cap="flat" cmpd="sng">
            <a:solidFill>
              <a:srgbClr xmlns:mc="http://schemas.openxmlformats.org/markup-compatibility/2006" xmlns:a14="http://schemas.microsoft.com/office/drawing/2010/main" val="808080" mc:Ignorable="a14" a14:legacySpreadsheetColorIndex="23"/>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70768" name="Rectangle 112"/>
          <xdr:cNvSpPr>
            <a:spLocks noChangeArrowheads="1"/>
          </xdr:cNvSpPr>
        </xdr:nvSpPr>
        <xdr:spPr bwMode="auto">
          <a:xfrm>
            <a:off x="610" y="3519"/>
            <a:ext cx="319" cy="136"/>
          </a:xfrm>
          <a:prstGeom prst="rect">
            <a:avLst/>
          </a:prstGeom>
          <a:noFill/>
          <a:ln w="9525">
            <a:solidFill>
              <a:srgbClr xmlns:mc="http://schemas.openxmlformats.org/markup-compatibility/2006" xmlns:a14="http://schemas.microsoft.com/office/drawing/2010/main" val="808080" mc:Ignorable="a14" a14:legacySpreadsheetColorIndex="2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1</xdr:col>
      <xdr:colOff>161925</xdr:colOff>
      <xdr:row>283</xdr:row>
      <xdr:rowOff>142875</xdr:rowOff>
    </xdr:from>
    <xdr:to>
      <xdr:col>14</xdr:col>
      <xdr:colOff>152400</xdr:colOff>
      <xdr:row>287</xdr:row>
      <xdr:rowOff>38100</xdr:rowOff>
    </xdr:to>
    <xdr:sp macro="" textlink="">
      <xdr:nvSpPr>
        <xdr:cNvPr id="70769" name="Text Box 113"/>
        <xdr:cNvSpPr txBox="1">
          <a:spLocks noChangeArrowheads="1"/>
        </xdr:cNvSpPr>
      </xdr:nvSpPr>
      <xdr:spPr bwMode="auto">
        <a:xfrm>
          <a:off x="771525" y="46005750"/>
          <a:ext cx="7915275" cy="5429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Il sistema crea tante righe quante necessarie (3+1+2= 6 righe create nel Rapportino di chiusura) e verifica che le somme di ogni tipologia (p.es. A/Banc. € 280,00 + 150,00 + 400,00 = € 830,00) corrispondono a quanto già registrato nel Rapportino di chiusura.</a:t>
          </a:r>
        </a:p>
        <a:p>
          <a:pPr algn="l" rtl="0">
            <a:defRPr sz="1000"/>
          </a:pPr>
          <a:r>
            <a:rPr lang="it-IT" sz="1000" b="0" i="0" u="none" strike="noStrike" baseline="0">
              <a:solidFill>
                <a:srgbClr val="333333"/>
              </a:solidFill>
              <a:latin typeface="Tahoma"/>
              <a:ea typeface="Tahoma"/>
              <a:cs typeface="Tahoma"/>
            </a:rPr>
            <a:t>Il sistema restituisce "OK" oppure "ERROR".</a:t>
          </a:r>
        </a:p>
      </xdr:txBody>
    </xdr:sp>
    <xdr:clientData/>
  </xdr:twoCellAnchor>
  <xdr:twoCellAnchor>
    <xdr:from>
      <xdr:col>1</xdr:col>
      <xdr:colOff>161925</xdr:colOff>
      <xdr:row>288</xdr:row>
      <xdr:rowOff>85725</xdr:rowOff>
    </xdr:from>
    <xdr:to>
      <xdr:col>8</xdr:col>
      <xdr:colOff>390525</xdr:colOff>
      <xdr:row>290</xdr:row>
      <xdr:rowOff>133350</xdr:rowOff>
    </xdr:to>
    <xdr:sp macro="" textlink="">
      <xdr:nvSpPr>
        <xdr:cNvPr id="70770" name="Text Box 114"/>
        <xdr:cNvSpPr txBox="1">
          <a:spLocks noChangeArrowheads="1"/>
        </xdr:cNvSpPr>
      </xdr:nvSpPr>
      <xdr:spPr bwMode="auto">
        <a:xfrm>
          <a:off x="771525" y="46758225"/>
          <a:ext cx="4495800" cy="3714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Contattami liberamente per maggiori informazioni e per casi particolari.</a:t>
          </a:r>
        </a:p>
        <a:p>
          <a:pPr algn="l" rtl="0">
            <a:lnSpc>
              <a:spcPts val="1100"/>
            </a:lnSpc>
            <a:defRPr sz="1000"/>
          </a:pPr>
          <a:r>
            <a:rPr lang="it-IT" sz="1000" b="0" i="0" u="none" strike="noStrike" baseline="0">
              <a:solidFill>
                <a:srgbClr val="808080"/>
              </a:solidFill>
              <a:latin typeface="Tahoma"/>
              <a:ea typeface="Tahoma"/>
              <a:cs typeface="Tahoma"/>
            </a:rPr>
            <a:t>info@marcopiccoli.it</a:t>
          </a:r>
        </a:p>
      </xdr:txBody>
    </xdr:sp>
    <xdr:clientData/>
  </xdr:twoCellAnchor>
  <xdr:twoCellAnchor>
    <xdr:from>
      <xdr:col>12</xdr:col>
      <xdr:colOff>504825</xdr:colOff>
      <xdr:row>42</xdr:row>
      <xdr:rowOff>9525</xdr:rowOff>
    </xdr:from>
    <xdr:to>
      <xdr:col>13</xdr:col>
      <xdr:colOff>190500</xdr:colOff>
      <xdr:row>42</xdr:row>
      <xdr:rowOff>9525</xdr:rowOff>
    </xdr:to>
    <xdr:sp macro="" textlink="">
      <xdr:nvSpPr>
        <xdr:cNvPr id="70771" name="Line 115"/>
        <xdr:cNvSpPr>
          <a:spLocks noChangeShapeType="1"/>
        </xdr:cNvSpPr>
      </xdr:nvSpPr>
      <xdr:spPr bwMode="auto">
        <a:xfrm flipH="1">
          <a:off x="7820025" y="6848475"/>
          <a:ext cx="295275" cy="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8</xdr:col>
      <xdr:colOff>533400</xdr:colOff>
      <xdr:row>238</xdr:row>
      <xdr:rowOff>152400</xdr:rowOff>
    </xdr:from>
    <xdr:to>
      <xdr:col>14</xdr:col>
      <xdr:colOff>152400</xdr:colOff>
      <xdr:row>243</xdr:row>
      <xdr:rowOff>38100</xdr:rowOff>
    </xdr:to>
    <xdr:pic>
      <xdr:nvPicPr>
        <xdr:cNvPr id="70772" name="Picture 116"/>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410200" y="38728650"/>
          <a:ext cx="3276600" cy="6953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3</xdr:col>
      <xdr:colOff>133350</xdr:colOff>
      <xdr:row>213</xdr:row>
      <xdr:rowOff>38100</xdr:rowOff>
    </xdr:from>
    <xdr:to>
      <xdr:col>10</xdr:col>
      <xdr:colOff>361950</xdr:colOff>
      <xdr:row>226</xdr:row>
      <xdr:rowOff>66675</xdr:rowOff>
    </xdr:to>
    <xdr:pic>
      <xdr:nvPicPr>
        <xdr:cNvPr id="70773" name="Picture 117"/>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962150" y="34566225"/>
          <a:ext cx="4495800" cy="21336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495300</xdr:colOff>
      <xdr:row>207</xdr:row>
      <xdr:rowOff>95250</xdr:rowOff>
    </xdr:from>
    <xdr:to>
      <xdr:col>14</xdr:col>
      <xdr:colOff>133350</xdr:colOff>
      <xdr:row>218</xdr:row>
      <xdr:rowOff>104775</xdr:rowOff>
    </xdr:to>
    <xdr:grpSp>
      <xdr:nvGrpSpPr>
        <xdr:cNvPr id="70774" name="Group 118"/>
        <xdr:cNvGrpSpPr>
          <a:grpSpLocks/>
        </xdr:cNvGrpSpPr>
      </xdr:nvGrpSpPr>
      <xdr:grpSpPr bwMode="auto">
        <a:xfrm>
          <a:off x="1104900" y="33651825"/>
          <a:ext cx="7562850" cy="1790700"/>
          <a:chOff x="116" y="3533"/>
          <a:chExt cx="794" cy="188"/>
        </a:xfrm>
      </xdr:grpSpPr>
      <xdr:pic>
        <xdr:nvPicPr>
          <xdr:cNvPr id="70775" name="Picture 119"/>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4" y="3537"/>
            <a:ext cx="411" cy="6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0776" name="Rectangle 120"/>
          <xdr:cNvSpPr>
            <a:spLocks noChangeArrowheads="1"/>
          </xdr:cNvSpPr>
        </xdr:nvSpPr>
        <xdr:spPr bwMode="auto">
          <a:xfrm>
            <a:off x="116" y="3533"/>
            <a:ext cx="794" cy="82"/>
          </a:xfrm>
          <a:prstGeom prst="rect">
            <a:avLst/>
          </a:prstGeom>
          <a:noFill/>
          <a:ln w="9525">
            <a:solidFill>
              <a:srgbClr xmlns:mc="http://schemas.openxmlformats.org/markup-compatibility/2006" xmlns:a14="http://schemas.microsoft.com/office/drawing/2010/main" val="808080" mc:Ignorable="a14" a14:legacySpreadsheetColorIndex="2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70777" name="Text Box 121"/>
          <xdr:cNvSpPr txBox="1">
            <a:spLocks noChangeArrowheads="1"/>
          </xdr:cNvSpPr>
        </xdr:nvSpPr>
        <xdr:spPr bwMode="auto">
          <a:xfrm>
            <a:off x="748" y="3540"/>
            <a:ext cx="154" cy="46"/>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808080" mc:Ignorable="a14" a14:legacySpreadsheetColorIndex="23"/>
                </a:solidFill>
                <a:miter lim="800000"/>
                <a:headEnd/>
                <a:tailEnd/>
              </a14:hiddenLine>
            </a:ext>
          </a:extLst>
        </xdr:spPr>
        <xdr:txBody>
          <a:bodyPr vertOverflow="clip" wrap="square" lIns="0" tIns="22860" rIns="27432" bIns="0" anchor="t" upright="1"/>
          <a:lstStyle/>
          <a:p>
            <a:pPr algn="r" rtl="0">
              <a:defRPr sz="1000"/>
            </a:pPr>
            <a:r>
              <a:rPr lang="it-IT" sz="1000" b="0" i="1" u="none" strike="noStrike" baseline="0">
                <a:solidFill>
                  <a:srgbClr val="333333"/>
                </a:solidFill>
                <a:latin typeface="Corbel"/>
              </a:rPr>
              <a:t>Rapportino di chiusura</a:t>
            </a:r>
          </a:p>
          <a:p>
            <a:pPr algn="r" rtl="0">
              <a:defRPr sz="1000"/>
            </a:pPr>
            <a:r>
              <a:rPr lang="it-IT" sz="1000" b="0" i="1" u="none" strike="noStrike" baseline="0">
                <a:solidFill>
                  <a:srgbClr val="333333"/>
                </a:solidFill>
                <a:latin typeface="Corbel"/>
              </a:rPr>
              <a:t>esempio precedente</a:t>
            </a:r>
          </a:p>
          <a:p>
            <a:pPr algn="r" rtl="0">
              <a:defRPr sz="1000"/>
            </a:pPr>
            <a:endParaRPr lang="it-IT" sz="1000" b="0" i="1" u="none" strike="noStrike" baseline="0">
              <a:solidFill>
                <a:srgbClr val="333333"/>
              </a:solidFill>
              <a:latin typeface="Corbel"/>
            </a:endParaRPr>
          </a:p>
        </xdr:txBody>
      </xdr:sp>
      <xdr:sp macro="" textlink="">
        <xdr:nvSpPr>
          <xdr:cNvPr id="70778" name="Text Box 122"/>
          <xdr:cNvSpPr txBox="1">
            <a:spLocks noChangeArrowheads="1"/>
          </xdr:cNvSpPr>
        </xdr:nvSpPr>
        <xdr:spPr bwMode="auto">
          <a:xfrm>
            <a:off x="546" y="3555"/>
            <a:ext cx="242" cy="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it-IT" sz="800" b="0" i="0" u="none" strike="noStrike" baseline="0">
                <a:solidFill>
                  <a:srgbClr val="800000"/>
                </a:solidFill>
                <a:latin typeface="Tahoma"/>
                <a:ea typeface="Tahoma"/>
                <a:cs typeface="Tahoma"/>
              </a:rPr>
              <a:t>€ 720,00 composti da tante banconote</a:t>
            </a:r>
          </a:p>
          <a:p>
            <a:pPr algn="l" rtl="0">
              <a:defRPr sz="1000"/>
            </a:pPr>
            <a:r>
              <a:rPr lang="it-IT" sz="800" b="0" i="0" u="none" strike="noStrike" baseline="0">
                <a:solidFill>
                  <a:srgbClr val="800000"/>
                </a:solidFill>
                <a:latin typeface="Tahoma"/>
                <a:ea typeface="Tahoma"/>
                <a:cs typeface="Tahoma"/>
              </a:rPr>
              <a:t>di taglio diverso facilitano la ricomposizione</a:t>
            </a:r>
          </a:p>
          <a:p>
            <a:pPr algn="l" rtl="0">
              <a:defRPr sz="1000"/>
            </a:pPr>
            <a:r>
              <a:rPr lang="it-IT" sz="800" b="0" i="0" u="none" strike="noStrike" baseline="0">
                <a:solidFill>
                  <a:srgbClr val="800000"/>
                </a:solidFill>
                <a:latin typeface="Tahoma"/>
                <a:ea typeface="Tahoma"/>
                <a:cs typeface="Tahoma"/>
              </a:rPr>
              <a:t>della somma ricercata (€ 75,00).</a:t>
            </a:r>
          </a:p>
        </xdr:txBody>
      </xdr:sp>
      <xdr:sp macro="" textlink="">
        <xdr:nvSpPr>
          <xdr:cNvPr id="70779" name="Freeform 123"/>
          <xdr:cNvSpPr>
            <a:spLocks/>
          </xdr:cNvSpPr>
        </xdr:nvSpPr>
        <xdr:spPr bwMode="auto">
          <a:xfrm>
            <a:off x="170" y="3615"/>
            <a:ext cx="34" cy="106"/>
          </a:xfrm>
          <a:custGeom>
            <a:avLst/>
            <a:gdLst>
              <a:gd name="T0" fmla="*/ 0 w 126"/>
              <a:gd name="T1" fmla="*/ 0 h 192"/>
              <a:gd name="T2" fmla="*/ 0 w 126"/>
              <a:gd name="T3" fmla="*/ 192 h 192"/>
              <a:gd name="T4" fmla="*/ 126 w 126"/>
              <a:gd name="T5" fmla="*/ 192 h 192"/>
            </a:gdLst>
            <a:ahLst/>
            <a:cxnLst>
              <a:cxn ang="0">
                <a:pos x="T0" y="T1"/>
              </a:cxn>
              <a:cxn ang="0">
                <a:pos x="T2" y="T3"/>
              </a:cxn>
              <a:cxn ang="0">
                <a:pos x="T4" y="T5"/>
              </a:cxn>
            </a:cxnLst>
            <a:rect l="0" t="0" r="r" b="b"/>
            <a:pathLst>
              <a:path w="126" h="192">
                <a:moveTo>
                  <a:pt x="0" y="0"/>
                </a:moveTo>
                <a:lnTo>
                  <a:pt x="0" y="192"/>
                </a:lnTo>
                <a:lnTo>
                  <a:pt x="126" y="192"/>
                </a:lnTo>
              </a:path>
            </a:pathLst>
          </a:custGeom>
          <a:noFill/>
          <a:ln w="9525" cap="flat" cmpd="sng">
            <a:solidFill>
              <a:srgbClr xmlns:mc="http://schemas.openxmlformats.org/markup-compatibility/2006" xmlns:a14="http://schemas.microsoft.com/office/drawing/2010/main" val="808080" mc:Ignorable="a14" a14:legacySpreadsheetColorIndex="23"/>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1</xdr:col>
      <xdr:colOff>161925</xdr:colOff>
      <xdr:row>227</xdr:row>
      <xdr:rowOff>66675</xdr:rowOff>
    </xdr:from>
    <xdr:to>
      <xdr:col>14</xdr:col>
      <xdr:colOff>28575</xdr:colOff>
      <xdr:row>229</xdr:row>
      <xdr:rowOff>114300</xdr:rowOff>
    </xdr:to>
    <xdr:sp macro="" textlink="">
      <xdr:nvSpPr>
        <xdr:cNvPr id="70780" name="Text Box 124"/>
        <xdr:cNvSpPr txBox="1">
          <a:spLocks noChangeArrowheads="1"/>
        </xdr:cNvSpPr>
      </xdr:nvSpPr>
      <xdr:spPr bwMode="auto">
        <a:xfrm>
          <a:off x="771525" y="36861750"/>
          <a:ext cx="7791450" cy="3714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In questa variabile la stessa somma incassata prima in banconote (€ 720,00) viene suddivisa in pezzature diverse di taglio alto;</a:t>
          </a:r>
        </a:p>
        <a:p>
          <a:pPr algn="l" rtl="0">
            <a:defRPr sz="1000"/>
          </a:pPr>
          <a:r>
            <a:rPr lang="it-IT" sz="1000" b="0" i="0" u="none" strike="noStrike" baseline="0">
              <a:solidFill>
                <a:srgbClr val="333333"/>
              </a:solidFill>
              <a:latin typeface="Tahoma"/>
              <a:ea typeface="Tahoma"/>
              <a:cs typeface="Tahoma"/>
            </a:rPr>
            <a:t>ad esempio così:</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        </a:t>
          </a:r>
        </a:p>
      </xdr:txBody>
    </xdr:sp>
    <xdr:clientData/>
  </xdr:twoCellAnchor>
  <xdr:twoCellAnchor>
    <xdr:from>
      <xdr:col>9</xdr:col>
      <xdr:colOff>285750</xdr:colOff>
      <xdr:row>235</xdr:row>
      <xdr:rowOff>142875</xdr:rowOff>
    </xdr:from>
    <xdr:to>
      <xdr:col>13</xdr:col>
      <xdr:colOff>485775</xdr:colOff>
      <xdr:row>238</xdr:row>
      <xdr:rowOff>19050</xdr:rowOff>
    </xdr:to>
    <xdr:sp macro="" textlink="">
      <xdr:nvSpPr>
        <xdr:cNvPr id="70781" name="Text Box 125"/>
        <xdr:cNvSpPr txBox="1">
          <a:spLocks noChangeArrowheads="1"/>
        </xdr:cNvSpPr>
      </xdr:nvSpPr>
      <xdr:spPr bwMode="auto">
        <a:xfrm>
          <a:off x="5772150" y="38233350"/>
          <a:ext cx="2638425" cy="3619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lnSpc>
              <a:spcPts val="900"/>
            </a:lnSpc>
            <a:defRPr sz="1000"/>
          </a:pPr>
          <a:r>
            <a:rPr lang="it-IT" sz="800" b="0" i="0" u="none" strike="noStrike" baseline="0">
              <a:solidFill>
                <a:srgbClr val="800000"/>
              </a:solidFill>
              <a:latin typeface="Tahoma"/>
              <a:ea typeface="Tahoma"/>
              <a:cs typeface="Tahoma"/>
            </a:rPr>
            <a:t>Il sistema SEGNALA COSI' l' impossibilità a ricostituire correttamente il fondo cassa per il giorno successivo.</a:t>
          </a:r>
        </a:p>
      </xdr:txBody>
    </xdr:sp>
    <xdr:clientData/>
  </xdr:twoCellAnchor>
  <xdr:twoCellAnchor>
    <xdr:from>
      <xdr:col>9</xdr:col>
      <xdr:colOff>285750</xdr:colOff>
      <xdr:row>244</xdr:row>
      <xdr:rowOff>66675</xdr:rowOff>
    </xdr:from>
    <xdr:to>
      <xdr:col>13</xdr:col>
      <xdr:colOff>485775</xdr:colOff>
      <xdr:row>246</xdr:row>
      <xdr:rowOff>104775</xdr:rowOff>
    </xdr:to>
    <xdr:sp macro="" textlink="">
      <xdr:nvSpPr>
        <xdr:cNvPr id="70782" name="Text Box 126"/>
        <xdr:cNvSpPr txBox="1">
          <a:spLocks noChangeArrowheads="1"/>
        </xdr:cNvSpPr>
      </xdr:nvSpPr>
      <xdr:spPr bwMode="auto">
        <a:xfrm>
          <a:off x="5772150" y="39614475"/>
          <a:ext cx="2638425" cy="3619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lnSpc>
              <a:spcPts val="900"/>
            </a:lnSpc>
            <a:defRPr sz="1000"/>
          </a:pPr>
          <a:r>
            <a:rPr lang="it-IT" sz="800" b="0" i="0" u="none" strike="noStrike" baseline="0">
              <a:solidFill>
                <a:srgbClr val="800000"/>
              </a:solidFill>
              <a:latin typeface="Tahoma"/>
              <a:ea typeface="Tahoma"/>
              <a:cs typeface="Tahoma"/>
            </a:rPr>
            <a:t>Mancano banconote da € 20,00 e da € 5,00.</a:t>
          </a:r>
        </a:p>
        <a:p>
          <a:pPr algn="l" rtl="0">
            <a:lnSpc>
              <a:spcPts val="900"/>
            </a:lnSpc>
            <a:defRPr sz="1000"/>
          </a:pPr>
          <a:r>
            <a:rPr lang="it-IT" sz="800" b="0" i="0" u="none" strike="noStrike" baseline="0">
              <a:solidFill>
                <a:srgbClr val="800000"/>
              </a:solidFill>
              <a:latin typeface="Tahoma"/>
              <a:ea typeface="Tahoma"/>
              <a:cs typeface="Tahoma"/>
            </a:rPr>
            <a:t>Devi effettuare UN CAMBIO di banconote.</a:t>
          </a:r>
        </a:p>
      </xdr:txBody>
    </xdr:sp>
    <xdr:clientData/>
  </xdr:twoCellAnchor>
  <xdr:twoCellAnchor>
    <xdr:from>
      <xdr:col>1</xdr:col>
      <xdr:colOff>495300</xdr:colOff>
      <xdr:row>251</xdr:row>
      <xdr:rowOff>114300</xdr:rowOff>
    </xdr:from>
    <xdr:to>
      <xdr:col>14</xdr:col>
      <xdr:colOff>133350</xdr:colOff>
      <xdr:row>256</xdr:row>
      <xdr:rowOff>85725</xdr:rowOff>
    </xdr:to>
    <xdr:grpSp>
      <xdr:nvGrpSpPr>
        <xdr:cNvPr id="70783" name="Group 127"/>
        <xdr:cNvGrpSpPr>
          <a:grpSpLocks/>
        </xdr:cNvGrpSpPr>
      </xdr:nvGrpSpPr>
      <xdr:grpSpPr bwMode="auto">
        <a:xfrm>
          <a:off x="1104900" y="40795575"/>
          <a:ext cx="7562850" cy="781050"/>
          <a:chOff x="116" y="4283"/>
          <a:chExt cx="794" cy="82"/>
        </a:xfrm>
      </xdr:grpSpPr>
      <xdr:sp macro="" textlink="">
        <xdr:nvSpPr>
          <xdr:cNvPr id="70784" name="Rectangle 128"/>
          <xdr:cNvSpPr>
            <a:spLocks noChangeArrowheads="1"/>
          </xdr:cNvSpPr>
        </xdr:nvSpPr>
        <xdr:spPr bwMode="auto">
          <a:xfrm>
            <a:off x="116" y="4283"/>
            <a:ext cx="794" cy="82"/>
          </a:xfrm>
          <a:prstGeom prst="rect">
            <a:avLst/>
          </a:prstGeom>
          <a:noFill/>
          <a:ln w="9525">
            <a:solidFill>
              <a:srgbClr xmlns:mc="http://schemas.openxmlformats.org/markup-compatibility/2006" xmlns:a14="http://schemas.microsoft.com/office/drawing/2010/main" val="808080" mc:Ignorable="a14" a14:legacySpreadsheetColorIndex="2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70785" name="Text Box 129"/>
          <xdr:cNvSpPr txBox="1">
            <a:spLocks noChangeArrowheads="1"/>
          </xdr:cNvSpPr>
        </xdr:nvSpPr>
        <xdr:spPr bwMode="auto">
          <a:xfrm>
            <a:off x="748" y="4290"/>
            <a:ext cx="154" cy="4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808080" mc:Ignorable="a14" a14:legacySpreadsheetColorIndex="23"/>
                </a:solidFill>
                <a:miter lim="800000"/>
                <a:headEnd/>
                <a:tailEnd/>
              </a14:hiddenLine>
            </a:ext>
          </a:extLst>
        </xdr:spPr>
        <xdr:txBody>
          <a:bodyPr vertOverflow="clip" wrap="square" lIns="0" tIns="22860" rIns="27432" bIns="0" anchor="t" upright="1"/>
          <a:lstStyle/>
          <a:p>
            <a:pPr algn="r" rtl="0">
              <a:defRPr sz="1000"/>
            </a:pPr>
            <a:r>
              <a:rPr lang="it-IT" sz="1000" b="0" i="1" u="none" strike="noStrike" baseline="0">
                <a:solidFill>
                  <a:srgbClr val="333333"/>
                </a:solidFill>
                <a:latin typeface="Corbel"/>
              </a:rPr>
              <a:t>Rapportino di chiusura</a:t>
            </a:r>
          </a:p>
          <a:p>
            <a:pPr algn="r" rtl="0">
              <a:lnSpc>
                <a:spcPts val="1100"/>
              </a:lnSpc>
              <a:defRPr sz="1000"/>
            </a:pPr>
            <a:r>
              <a:rPr lang="it-IT" sz="1000" b="0" i="1" u="none" strike="noStrike" baseline="0">
                <a:solidFill>
                  <a:srgbClr val="333333"/>
                </a:solidFill>
                <a:latin typeface="Corbel"/>
              </a:rPr>
              <a:t>dopo il cambio</a:t>
            </a:r>
          </a:p>
        </xdr:txBody>
      </xdr:sp>
      <xdr:sp macro="" textlink="">
        <xdr:nvSpPr>
          <xdr:cNvPr id="70786" name="Text Box 130"/>
          <xdr:cNvSpPr txBox="1">
            <a:spLocks noChangeArrowheads="1"/>
          </xdr:cNvSpPr>
        </xdr:nvSpPr>
        <xdr:spPr bwMode="auto">
          <a:xfrm>
            <a:off x="546" y="4305"/>
            <a:ext cx="242" cy="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it-IT" sz="800" b="0" i="0" u="none" strike="noStrike" baseline="0">
                <a:solidFill>
                  <a:srgbClr val="800000"/>
                </a:solidFill>
                <a:latin typeface="Tahoma"/>
                <a:ea typeface="Tahoma"/>
                <a:cs typeface="Tahoma"/>
              </a:rPr>
              <a:t>€ 720,00 così composti risultano idonei</a:t>
            </a:r>
          </a:p>
          <a:p>
            <a:pPr algn="l" rtl="0">
              <a:defRPr sz="1000"/>
            </a:pPr>
            <a:r>
              <a:rPr lang="it-IT" sz="800" b="0" i="0" u="none" strike="noStrike" baseline="0">
                <a:solidFill>
                  <a:srgbClr val="800000"/>
                </a:solidFill>
                <a:latin typeface="Tahoma"/>
                <a:ea typeface="Tahoma"/>
                <a:cs typeface="Tahoma"/>
              </a:rPr>
              <a:t>(senza errori) alla ricomposizione della</a:t>
            </a:r>
          </a:p>
          <a:p>
            <a:pPr algn="l" rtl="0">
              <a:defRPr sz="1000"/>
            </a:pPr>
            <a:r>
              <a:rPr lang="it-IT" sz="800" b="0" i="0" u="none" strike="noStrike" baseline="0">
                <a:solidFill>
                  <a:srgbClr val="800000"/>
                </a:solidFill>
                <a:latin typeface="Tahoma"/>
                <a:ea typeface="Tahoma"/>
                <a:cs typeface="Tahoma"/>
              </a:rPr>
              <a:t>somma ricercata (€ 75,00).</a:t>
            </a:r>
          </a:p>
        </xdr:txBody>
      </xdr:sp>
      <xdr:pic>
        <xdr:nvPicPr>
          <xdr:cNvPr id="70787" name="Picture 131"/>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29" y="4289"/>
            <a:ext cx="402" cy="6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0788" name="Rectangle 132"/>
          <xdr:cNvSpPr>
            <a:spLocks noChangeArrowheads="1"/>
          </xdr:cNvSpPr>
        </xdr:nvSpPr>
        <xdr:spPr bwMode="auto">
          <a:xfrm>
            <a:off x="233" y="4328"/>
            <a:ext cx="19" cy="19"/>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editAs="oneCell">
    <xdr:from>
      <xdr:col>10</xdr:col>
      <xdr:colOff>57150</xdr:colOff>
      <xdr:row>257</xdr:row>
      <xdr:rowOff>104775</xdr:rowOff>
    </xdr:from>
    <xdr:to>
      <xdr:col>13</xdr:col>
      <xdr:colOff>333375</xdr:colOff>
      <xdr:row>263</xdr:row>
      <xdr:rowOff>95250</xdr:rowOff>
    </xdr:to>
    <xdr:pic>
      <xdr:nvPicPr>
        <xdr:cNvPr id="70789" name="Picture 133"/>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6153150" y="41757600"/>
          <a:ext cx="2105025" cy="9620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171450</xdr:colOff>
      <xdr:row>258</xdr:row>
      <xdr:rowOff>0</xdr:rowOff>
    </xdr:from>
    <xdr:to>
      <xdr:col>9</xdr:col>
      <xdr:colOff>523875</xdr:colOff>
      <xdr:row>262</xdr:row>
      <xdr:rowOff>66675</xdr:rowOff>
    </xdr:to>
    <xdr:sp macro="" textlink="">
      <xdr:nvSpPr>
        <xdr:cNvPr id="70790" name="Text Box 134"/>
        <xdr:cNvSpPr txBox="1">
          <a:spLocks noChangeArrowheads="1"/>
        </xdr:cNvSpPr>
      </xdr:nvSpPr>
      <xdr:spPr bwMode="auto">
        <a:xfrm>
          <a:off x="1390650" y="41814750"/>
          <a:ext cx="4619625" cy="7143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I conteggi visti ai punti 7 ed 8 (ricomposizione del fondo cassa per il giorno dopo) vengono bypassati selezionando "Solo TITOLI" dal menù a tendina.</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Proseguo con l' ultima parte dell' ESEMPIO: </a:t>
          </a:r>
          <a:r>
            <a:rPr lang="it-IT" sz="1000" b="0" i="0" u="sng" strike="noStrike" baseline="0">
              <a:solidFill>
                <a:srgbClr val="333333"/>
              </a:solidFill>
              <a:latin typeface="Tahoma"/>
              <a:ea typeface="Tahoma"/>
              <a:cs typeface="Tahoma"/>
            </a:rPr>
            <a:t>la sezione inferiore</a:t>
          </a:r>
          <a:r>
            <a:rPr lang="it-IT" sz="1000" b="0" i="0" u="none" strike="noStrike" baseline="0">
              <a:solidFill>
                <a:srgbClr val="333333"/>
              </a:solidFill>
              <a:latin typeface="Tahoma"/>
              <a:ea typeface="Tahoma"/>
              <a:cs typeface="Tahoma"/>
            </a:rPr>
            <a:t>:</a:t>
          </a:r>
        </a:p>
      </xdr:txBody>
    </xdr:sp>
    <xdr:clientData/>
  </xdr:twoCellAnchor>
  <xdr:twoCellAnchor>
    <xdr:from>
      <xdr:col>3</xdr:col>
      <xdr:colOff>28575</xdr:colOff>
      <xdr:row>234</xdr:row>
      <xdr:rowOff>142875</xdr:rowOff>
    </xdr:from>
    <xdr:to>
      <xdr:col>8</xdr:col>
      <xdr:colOff>219075</xdr:colOff>
      <xdr:row>248</xdr:row>
      <xdr:rowOff>38100</xdr:rowOff>
    </xdr:to>
    <xdr:grpSp>
      <xdr:nvGrpSpPr>
        <xdr:cNvPr id="70791" name="Group 135"/>
        <xdr:cNvGrpSpPr>
          <a:grpSpLocks/>
        </xdr:cNvGrpSpPr>
      </xdr:nvGrpSpPr>
      <xdr:grpSpPr bwMode="auto">
        <a:xfrm>
          <a:off x="1857375" y="38071425"/>
          <a:ext cx="3238500" cy="2162175"/>
          <a:chOff x="195" y="3997"/>
          <a:chExt cx="340" cy="227"/>
        </a:xfrm>
      </xdr:grpSpPr>
      <xdr:grpSp>
        <xdr:nvGrpSpPr>
          <xdr:cNvPr id="70792" name="Group 136"/>
          <xdr:cNvGrpSpPr>
            <a:grpSpLocks noChangeAspect="1"/>
          </xdr:cNvGrpSpPr>
        </xdr:nvGrpSpPr>
        <xdr:grpSpPr bwMode="auto">
          <a:xfrm>
            <a:off x="195" y="3997"/>
            <a:ext cx="180" cy="210"/>
            <a:chOff x="206" y="4052"/>
            <a:chExt cx="240" cy="280"/>
          </a:xfrm>
        </xdr:grpSpPr>
        <xdr:pic>
          <xdr:nvPicPr>
            <xdr:cNvPr id="70793" name="Picture 137"/>
            <xdr:cNvPicPr preferRelativeResize="0">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06" y="4052"/>
              <a:ext cx="240" cy="2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0794" name="Rectangle 138"/>
            <xdr:cNvSpPr>
              <a:spLocks noChangeAspect="1" noChangeArrowheads="1"/>
            </xdr:cNvSpPr>
          </xdr:nvSpPr>
          <xdr:spPr bwMode="auto">
            <a:xfrm>
              <a:off x="342" y="4134"/>
              <a:ext cx="94" cy="164"/>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pic>
        <xdr:nvPicPr>
          <xdr:cNvPr id="70795" name="Picture 139"/>
          <xdr:cNvPicPr preferRelativeResize="0">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412" y="4018"/>
            <a:ext cx="123" cy="20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twoCellAnchor>
    <xdr:from>
      <xdr:col>1</xdr:col>
      <xdr:colOff>495300</xdr:colOff>
      <xdr:row>230</xdr:row>
      <xdr:rowOff>9525</xdr:rowOff>
    </xdr:from>
    <xdr:to>
      <xdr:col>14</xdr:col>
      <xdr:colOff>133350</xdr:colOff>
      <xdr:row>234</xdr:row>
      <xdr:rowOff>142875</xdr:rowOff>
    </xdr:to>
    <xdr:grpSp>
      <xdr:nvGrpSpPr>
        <xdr:cNvPr id="70796" name="Group 140"/>
        <xdr:cNvGrpSpPr>
          <a:grpSpLocks/>
        </xdr:cNvGrpSpPr>
      </xdr:nvGrpSpPr>
      <xdr:grpSpPr bwMode="auto">
        <a:xfrm>
          <a:off x="1104900" y="37290375"/>
          <a:ext cx="7562850" cy="781050"/>
          <a:chOff x="116" y="3915"/>
          <a:chExt cx="794" cy="82"/>
        </a:xfrm>
      </xdr:grpSpPr>
      <xdr:pic>
        <xdr:nvPicPr>
          <xdr:cNvPr id="70797" name="Picture 141"/>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26" y="3923"/>
            <a:ext cx="407" cy="6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0798" name="Rectangle 142"/>
          <xdr:cNvSpPr>
            <a:spLocks noChangeArrowheads="1"/>
          </xdr:cNvSpPr>
        </xdr:nvSpPr>
        <xdr:spPr bwMode="auto">
          <a:xfrm>
            <a:off x="116" y="3915"/>
            <a:ext cx="794" cy="82"/>
          </a:xfrm>
          <a:prstGeom prst="rect">
            <a:avLst/>
          </a:prstGeom>
          <a:noFill/>
          <a:ln w="9525">
            <a:solidFill>
              <a:srgbClr xmlns:mc="http://schemas.openxmlformats.org/markup-compatibility/2006" xmlns:a14="http://schemas.microsoft.com/office/drawing/2010/main" val="808080" mc:Ignorable="a14" a14:legacySpreadsheetColorIndex="2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70799" name="Text Box 143"/>
          <xdr:cNvSpPr txBox="1">
            <a:spLocks noChangeArrowheads="1"/>
          </xdr:cNvSpPr>
        </xdr:nvSpPr>
        <xdr:spPr bwMode="auto">
          <a:xfrm>
            <a:off x="748" y="3922"/>
            <a:ext cx="154" cy="4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808080" mc:Ignorable="a14" a14:legacySpreadsheetColorIndex="23"/>
                </a:solidFill>
                <a:miter lim="800000"/>
                <a:headEnd/>
                <a:tailEnd/>
              </a14:hiddenLine>
            </a:ext>
          </a:extLst>
        </xdr:spPr>
        <xdr:txBody>
          <a:bodyPr vertOverflow="clip" wrap="square" lIns="0" tIns="22860" rIns="27432" bIns="0" anchor="t" upright="1"/>
          <a:lstStyle/>
          <a:p>
            <a:pPr algn="r" rtl="0">
              <a:defRPr sz="1000"/>
            </a:pPr>
            <a:r>
              <a:rPr lang="it-IT" sz="1000" b="0" i="1" u="none" strike="noStrike" baseline="0">
                <a:solidFill>
                  <a:srgbClr val="333333"/>
                </a:solidFill>
                <a:latin typeface="Corbel"/>
              </a:rPr>
              <a:t>Rapportino di chiusura</a:t>
            </a:r>
          </a:p>
          <a:p>
            <a:pPr algn="r" rtl="0">
              <a:lnSpc>
                <a:spcPts val="1100"/>
              </a:lnSpc>
              <a:defRPr sz="1000"/>
            </a:pPr>
            <a:r>
              <a:rPr lang="it-IT" sz="1000" b="0" i="1" u="none" strike="noStrike" baseline="0">
                <a:solidFill>
                  <a:srgbClr val="333333"/>
                </a:solidFill>
                <a:latin typeface="Corbel"/>
              </a:rPr>
              <a:t>variabile</a:t>
            </a:r>
          </a:p>
        </xdr:txBody>
      </xdr:sp>
      <xdr:sp macro="" textlink="">
        <xdr:nvSpPr>
          <xdr:cNvPr id="70800" name="Text Box 144"/>
          <xdr:cNvSpPr txBox="1">
            <a:spLocks noChangeArrowheads="1"/>
          </xdr:cNvSpPr>
        </xdr:nvSpPr>
        <xdr:spPr bwMode="auto">
          <a:xfrm>
            <a:off x="546" y="3937"/>
            <a:ext cx="242" cy="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it-IT" sz="800" b="0" i="0" u="none" strike="noStrike" baseline="0">
                <a:solidFill>
                  <a:srgbClr val="800000"/>
                </a:solidFill>
                <a:latin typeface="Tahoma"/>
                <a:ea typeface="Tahoma"/>
                <a:cs typeface="Tahoma"/>
              </a:rPr>
              <a:t>€ 720,00 così composti rendono</a:t>
            </a:r>
          </a:p>
          <a:p>
            <a:pPr algn="l" rtl="0">
              <a:defRPr sz="1000"/>
            </a:pPr>
            <a:r>
              <a:rPr lang="it-IT" sz="800" b="0" i="0" u="none" strike="noStrike" baseline="0">
                <a:solidFill>
                  <a:srgbClr val="800000"/>
                </a:solidFill>
                <a:latin typeface="Tahoma"/>
                <a:ea typeface="Tahoma"/>
                <a:cs typeface="Tahoma"/>
              </a:rPr>
              <a:t>IMPOSSIBILE la ricomposizione della</a:t>
            </a:r>
          </a:p>
          <a:p>
            <a:pPr algn="l" rtl="0">
              <a:defRPr sz="1000"/>
            </a:pPr>
            <a:r>
              <a:rPr lang="it-IT" sz="800" b="0" i="0" u="none" strike="noStrike" baseline="0">
                <a:solidFill>
                  <a:srgbClr val="800000"/>
                </a:solidFill>
                <a:latin typeface="Tahoma"/>
                <a:ea typeface="Tahoma"/>
                <a:cs typeface="Tahoma"/>
              </a:rPr>
              <a:t>somma ricercata (€ 75,00).</a:t>
            </a:r>
          </a:p>
        </xdr:txBody>
      </xdr:sp>
      <xdr:sp macro="" textlink="">
        <xdr:nvSpPr>
          <xdr:cNvPr id="70801" name="Rectangle 145"/>
          <xdr:cNvSpPr>
            <a:spLocks noChangeArrowheads="1"/>
          </xdr:cNvSpPr>
        </xdr:nvSpPr>
        <xdr:spPr bwMode="auto">
          <a:xfrm>
            <a:off x="233" y="3962"/>
            <a:ext cx="19" cy="19"/>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5</xdr:col>
      <xdr:colOff>9525</xdr:colOff>
      <xdr:row>233</xdr:row>
      <xdr:rowOff>76200</xdr:rowOff>
    </xdr:from>
    <xdr:to>
      <xdr:col>7</xdr:col>
      <xdr:colOff>247650</xdr:colOff>
      <xdr:row>240</xdr:row>
      <xdr:rowOff>85725</xdr:rowOff>
    </xdr:to>
    <xdr:sp macro="" textlink="">
      <xdr:nvSpPr>
        <xdr:cNvPr id="70802" name="Line 146"/>
        <xdr:cNvSpPr>
          <a:spLocks noChangeShapeType="1"/>
        </xdr:cNvSpPr>
      </xdr:nvSpPr>
      <xdr:spPr bwMode="auto">
        <a:xfrm flipH="1" flipV="1">
          <a:off x="3057525" y="37842825"/>
          <a:ext cx="1457325" cy="1143000"/>
        </a:xfrm>
        <a:prstGeom prst="line">
          <a:avLst/>
        </a:prstGeom>
        <a:noFill/>
        <a:ln w="9525">
          <a:solidFill>
            <a:srgbClr xmlns:mc="http://schemas.openxmlformats.org/markup-compatibility/2006" xmlns:a14="http://schemas.microsoft.com/office/drawing/2010/main" val="800000" mc:Ignorable="a14" a14:legacySpreadsheetColorIndex="16"/>
          </a:solidFill>
          <a:prstDash val="dash"/>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104775</xdr:colOff>
      <xdr:row>233</xdr:row>
      <xdr:rowOff>57150</xdr:rowOff>
    </xdr:from>
    <xdr:to>
      <xdr:col>7</xdr:col>
      <xdr:colOff>238125</xdr:colOff>
      <xdr:row>237</xdr:row>
      <xdr:rowOff>123825</xdr:rowOff>
    </xdr:to>
    <xdr:sp macro="" textlink="">
      <xdr:nvSpPr>
        <xdr:cNvPr id="70803" name="Line 147"/>
        <xdr:cNvSpPr>
          <a:spLocks noChangeShapeType="1"/>
        </xdr:cNvSpPr>
      </xdr:nvSpPr>
      <xdr:spPr bwMode="auto">
        <a:xfrm flipH="1" flipV="1">
          <a:off x="3762375" y="37823775"/>
          <a:ext cx="742950" cy="714375"/>
        </a:xfrm>
        <a:prstGeom prst="line">
          <a:avLst/>
        </a:prstGeom>
        <a:noFill/>
        <a:ln w="9525">
          <a:solidFill>
            <a:srgbClr xmlns:mc="http://schemas.openxmlformats.org/markup-compatibility/2006" xmlns:a14="http://schemas.microsoft.com/office/drawing/2010/main" val="800000" mc:Ignorable="a14" a14:legacySpreadsheetColorIndex="16"/>
          </a:solidFill>
          <a:prstDash val="dash"/>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marcopiccoli.it/public/index.php?option=com_content&amp;view=article&amp;id=81&amp;Itemid=260" TargetMode="External"/><Relationship Id="rId13" Type="http://schemas.openxmlformats.org/officeDocument/2006/relationships/hyperlink" Target="mailto:info@marcopiccoli.it" TargetMode="External"/><Relationship Id="rId3" Type="http://schemas.openxmlformats.org/officeDocument/2006/relationships/hyperlink" Target="http://www.marcopiccoli.it/public/index.php?option=com_phocadownload&amp;view=category&amp;id=11&amp;Itemid=285" TargetMode="External"/><Relationship Id="rId7" Type="http://schemas.openxmlformats.org/officeDocument/2006/relationships/hyperlink" Target="https://www.marcopiccoli.it/public/index.php?option=com_content&amp;view=article&amp;id=110&amp;Itemid=320" TargetMode="External"/><Relationship Id="rId12" Type="http://schemas.openxmlformats.org/officeDocument/2006/relationships/hyperlink" Target="mailto:mpiccoli@marcopiccoli.it" TargetMode="External"/><Relationship Id="rId17" Type="http://schemas.openxmlformats.org/officeDocument/2006/relationships/drawing" Target="../drawings/drawing1.xml"/><Relationship Id="rId2" Type="http://schemas.openxmlformats.org/officeDocument/2006/relationships/hyperlink" Target="http://www.marcopiccoli.it/" TargetMode="External"/><Relationship Id="rId16" Type="http://schemas.openxmlformats.org/officeDocument/2006/relationships/printerSettings" Target="../printerSettings/printerSettings1.bin"/><Relationship Id="rId1" Type="http://schemas.openxmlformats.org/officeDocument/2006/relationships/hyperlink" Target="mailto:info@marcopiccoli.it" TargetMode="External"/><Relationship Id="rId6" Type="http://schemas.openxmlformats.org/officeDocument/2006/relationships/hyperlink" Target="https://www.marcopiccoli.it/public/index.php?option=com_content&amp;view=article&amp;id=22&amp;Itemid=133" TargetMode="External"/><Relationship Id="rId11" Type="http://schemas.openxmlformats.org/officeDocument/2006/relationships/hyperlink" Target="https://www.marcopiccoli.it/public/index.php?option=com_content&amp;view=article&amp;id=120&amp;Itemid=145" TargetMode="External"/><Relationship Id="rId5" Type="http://schemas.openxmlformats.org/officeDocument/2006/relationships/hyperlink" Target="mailto:info@marcopiccoli.it" TargetMode="External"/><Relationship Id="rId15" Type="http://schemas.openxmlformats.org/officeDocument/2006/relationships/hyperlink" Target="https://support.office.com/it-IT/article/Introduzione-alle-macro-a39c2a26-e745-4957-8d06-89e0b435aac3" TargetMode="External"/><Relationship Id="rId10" Type="http://schemas.openxmlformats.org/officeDocument/2006/relationships/hyperlink" Target="https://www.marcopiccoli.it/public/index.php?option=com_content&amp;view=article&amp;id=135&amp;Itemid=399" TargetMode="External"/><Relationship Id="rId4" Type="http://schemas.openxmlformats.org/officeDocument/2006/relationships/hyperlink" Target="https://www.marcopiccoli.it/public/index.php?option=com_phocadownload&amp;view=category&amp;id=29&amp;Itemid=396" TargetMode="External"/><Relationship Id="rId9" Type="http://schemas.openxmlformats.org/officeDocument/2006/relationships/hyperlink" Target="https://www.marcopiccoli.it/public/index.php?option=com_content&amp;view=article&amp;id=21&amp;Itemid=142" TargetMode="External"/><Relationship Id="rId14" Type="http://schemas.openxmlformats.org/officeDocument/2006/relationships/hyperlink" Target="https://account.microsoft.com/account"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15.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mailto:info@marcopiccoli.it" TargetMode="External"/><Relationship Id="rId2" Type="http://schemas.openxmlformats.org/officeDocument/2006/relationships/hyperlink" Target="https://www.marcopiccoli.it/public/index.php?option=com_content&amp;view=article&amp;id=135&amp;Itemid=399" TargetMode="External"/><Relationship Id="rId1" Type="http://schemas.openxmlformats.org/officeDocument/2006/relationships/hyperlink" Target="http://www.marcopiccoli.it/public/index.php?option=com_phocadownload&amp;view=category&amp;id=11&amp;Itemid=285"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
  <dimension ref="A1:DE182"/>
  <sheetViews>
    <sheetView showGridLines="0" showRowColHeaders="0" tabSelected="1" zoomScaleNormal="100" workbookViewId="0"/>
  </sheetViews>
  <sheetFormatPr defaultRowHeight="12.75" x14ac:dyDescent="0.2"/>
  <cols>
    <col min="1" max="1" width="7.5703125" style="33" customWidth="1"/>
    <col min="2" max="2" width="9.5703125" style="33" customWidth="1"/>
    <col min="3" max="13" width="9.28515625" style="33" customWidth="1"/>
    <col min="14" max="14" width="9.5703125" style="33" customWidth="1"/>
    <col min="15" max="16" width="9.140625" style="33"/>
    <col min="17" max="18" width="0" style="33" hidden="1" customWidth="1"/>
    <col min="19" max="21" width="9.140625" style="33"/>
    <col min="22" max="108" width="0" style="33" hidden="1" customWidth="1"/>
    <col min="109" max="16384" width="9.140625" style="33"/>
  </cols>
  <sheetData>
    <row r="1" spans="1:19" ht="12" customHeight="1" x14ac:dyDescent="0.2">
      <c r="A1" s="181"/>
      <c r="B1" s="1"/>
      <c r="C1" s="1451"/>
      <c r="D1" s="1451"/>
      <c r="E1" s="1451"/>
      <c r="F1" s="1451"/>
      <c r="G1" s="1451"/>
      <c r="H1" s="1451"/>
      <c r="I1" s="1451"/>
      <c r="J1" s="1452"/>
      <c r="K1" s="1453"/>
      <c r="L1" s="1453"/>
      <c r="M1" s="1"/>
      <c r="N1" s="1"/>
      <c r="O1" s="914"/>
      <c r="P1" s="54"/>
      <c r="Q1" s="54"/>
      <c r="R1" s="54"/>
      <c r="S1" s="54"/>
    </row>
    <row r="2" spans="1:19" ht="15.75" customHeight="1" x14ac:dyDescent="0.2">
      <c r="A2" s="181"/>
      <c r="B2" s="1"/>
      <c r="C2" s="1484" t="s">
        <v>865</v>
      </c>
      <c r="D2" s="1484"/>
      <c r="E2" s="1484"/>
      <c r="F2" s="1484"/>
      <c r="G2" s="1484"/>
      <c r="H2" s="1484"/>
      <c r="I2" s="1484"/>
      <c r="J2" s="1484"/>
      <c r="K2" s="1484"/>
      <c r="L2" s="1484"/>
      <c r="M2" s="1484"/>
      <c r="N2" s="1"/>
      <c r="O2" s="1"/>
      <c r="P2" s="54"/>
      <c r="Q2" s="54"/>
      <c r="R2" s="54"/>
    </row>
    <row r="3" spans="1:19" ht="12.75" customHeight="1" x14ac:dyDescent="0.2">
      <c r="A3" s="181"/>
      <c r="B3" s="1"/>
      <c r="C3" s="1489" t="s">
        <v>866</v>
      </c>
      <c r="D3" s="1489"/>
      <c r="E3" s="1489"/>
      <c r="F3" s="1489"/>
      <c r="G3" s="1489"/>
      <c r="H3" s="1489"/>
      <c r="I3" s="1489"/>
      <c r="J3" s="1489"/>
      <c r="K3" s="1489"/>
      <c r="L3" s="1489"/>
      <c r="M3" s="1489"/>
      <c r="N3" s="32"/>
      <c r="O3" s="1"/>
      <c r="P3" s="54"/>
      <c r="Q3" s="1269"/>
      <c r="R3" s="54"/>
    </row>
    <row r="4" spans="1:19" ht="22.5" customHeight="1" x14ac:dyDescent="0.2">
      <c r="A4" s="181"/>
      <c r="B4" s="1"/>
      <c r="C4" s="1509" t="s">
        <v>867</v>
      </c>
      <c r="D4" s="1509"/>
      <c r="E4" s="1509"/>
      <c r="F4" s="1509"/>
      <c r="G4" s="1509"/>
      <c r="H4" s="1509"/>
      <c r="I4" s="1509"/>
      <c r="J4" s="1509"/>
      <c r="K4" s="1509"/>
      <c r="L4" s="1509"/>
      <c r="M4" s="1285" t="s">
        <v>823</v>
      </c>
      <c r="N4" s="1380"/>
      <c r="O4" s="1"/>
      <c r="P4" s="54"/>
      <c r="Q4" s="1269"/>
      <c r="R4" s="54"/>
    </row>
    <row r="5" spans="1:19" ht="27.75" customHeight="1" x14ac:dyDescent="0.2">
      <c r="A5" s="487"/>
      <c r="B5" s="32"/>
      <c r="C5" s="1250" t="s">
        <v>33</v>
      </c>
      <c r="D5" s="642"/>
      <c r="E5" s="642"/>
      <c r="F5" s="642"/>
      <c r="G5" s="642"/>
      <c r="H5" s="642"/>
      <c r="I5" s="642"/>
      <c r="J5" s="642"/>
      <c r="K5" s="642"/>
      <c r="L5" s="642"/>
      <c r="M5" s="1251"/>
      <c r="N5" s="32"/>
      <c r="O5" s="32"/>
      <c r="P5" s="54"/>
      <c r="Q5" s="54"/>
      <c r="R5" s="54"/>
    </row>
    <row r="6" spans="1:19" s="80" customFormat="1" ht="50.25" customHeight="1" x14ac:dyDescent="0.2">
      <c r="A6" s="643"/>
      <c r="B6" s="48"/>
      <c r="C6" s="1522" t="s">
        <v>868</v>
      </c>
      <c r="D6" s="1522"/>
      <c r="E6" s="1522"/>
      <c r="F6" s="1522"/>
      <c r="G6" s="1522"/>
      <c r="H6" s="1522"/>
      <c r="I6" s="1522"/>
      <c r="J6" s="1522"/>
      <c r="K6" s="1522"/>
      <c r="L6" s="1522"/>
      <c r="M6" s="1522"/>
      <c r="N6" s="81"/>
      <c r="O6" s="81"/>
      <c r="P6" s="54"/>
      <c r="Q6" s="54"/>
      <c r="R6" s="54"/>
    </row>
    <row r="7" spans="1:19" s="80" customFormat="1" ht="15" customHeight="1" x14ac:dyDescent="0.2">
      <c r="A7" s="643"/>
      <c r="B7" s="48"/>
      <c r="C7" s="1485" t="s">
        <v>671</v>
      </c>
      <c r="D7" s="1485"/>
      <c r="E7" s="1485"/>
      <c r="F7" s="1485"/>
      <c r="G7" s="1485"/>
      <c r="H7" s="48"/>
      <c r="I7" s="48"/>
      <c r="J7" s="48"/>
      <c r="K7" s="82"/>
      <c r="L7" s="82"/>
      <c r="M7" s="1252"/>
      <c r="N7" s="82"/>
      <c r="O7" s="82"/>
      <c r="P7" s="33"/>
      <c r="Q7" s="33"/>
      <c r="R7" s="33"/>
    </row>
    <row r="8" spans="1:19" s="80" customFormat="1" ht="19.5" customHeight="1" x14ac:dyDescent="0.2">
      <c r="A8" s="643"/>
      <c r="B8" s="48"/>
      <c r="C8" s="1438"/>
      <c r="D8" s="1249"/>
      <c r="E8" s="1249"/>
      <c r="F8" s="1249"/>
      <c r="G8" s="1249"/>
      <c r="H8" s="48"/>
      <c r="I8" s="48"/>
      <c r="J8" s="48"/>
      <c r="K8" s="82"/>
      <c r="L8" s="82"/>
      <c r="M8" s="1252" t="s">
        <v>570</v>
      </c>
      <c r="N8" s="82"/>
      <c r="O8" s="82"/>
      <c r="P8" s="54"/>
      <c r="Q8" s="54"/>
      <c r="R8" s="54"/>
      <c r="S8" s="481"/>
    </row>
    <row r="9" spans="1:19" ht="19.5" customHeight="1" x14ac:dyDescent="0.2">
      <c r="A9" s="1314"/>
      <c r="B9" s="1"/>
      <c r="C9" s="1280" t="s">
        <v>26</v>
      </c>
      <c r="D9" s="1253"/>
      <c r="E9" s="1253"/>
      <c r="F9" s="1253"/>
      <c r="G9" s="1253"/>
      <c r="H9" s="1253"/>
      <c r="I9" s="1253"/>
      <c r="J9" s="1253"/>
      <c r="K9" s="1253"/>
      <c r="L9" s="1253"/>
      <c r="M9" s="1253"/>
      <c r="N9" s="52"/>
      <c r="O9" s="52"/>
      <c r="P9" s="54"/>
      <c r="Q9" s="54"/>
      <c r="R9" s="54"/>
      <c r="S9" s="54"/>
    </row>
    <row r="10" spans="1:19" ht="19.5" customHeight="1" x14ac:dyDescent="0.2">
      <c r="A10" s="1315"/>
      <c r="B10" s="1"/>
      <c r="C10" s="1258" t="s">
        <v>824</v>
      </c>
      <c r="D10" s="1254"/>
      <c r="E10" s="1254"/>
      <c r="F10" s="1254"/>
      <c r="G10" s="1254"/>
      <c r="H10" s="1254"/>
      <c r="I10" s="1425"/>
      <c r="J10" s="1425"/>
      <c r="K10" s="1523" t="s">
        <v>825</v>
      </c>
      <c r="L10" s="1523"/>
      <c r="M10" s="1523"/>
      <c r="N10" s="32"/>
      <c r="O10" s="175"/>
      <c r="P10" s="1255"/>
      <c r="Q10" s="54"/>
      <c r="R10" s="54"/>
      <c r="S10" s="54"/>
    </row>
    <row r="11" spans="1:19" ht="9" customHeight="1" x14ac:dyDescent="0.2">
      <c r="A11" s="487"/>
      <c r="B11" s="32"/>
      <c r="C11" s="163"/>
      <c r="D11" s="163"/>
      <c r="E11" s="163"/>
      <c r="F11" s="163"/>
      <c r="G11" s="163"/>
      <c r="H11" s="163"/>
      <c r="I11" s="163"/>
      <c r="J11" s="163"/>
      <c r="K11" s="163"/>
      <c r="L11" s="163"/>
      <c r="M11" s="163"/>
      <c r="N11" s="32"/>
      <c r="O11" s="32"/>
      <c r="P11" s="54"/>
      <c r="Q11" s="54"/>
      <c r="R11" s="54"/>
      <c r="S11" s="54"/>
    </row>
    <row r="12" spans="1:19" ht="15" customHeight="1" x14ac:dyDescent="0.2">
      <c r="A12" s="181"/>
      <c r="B12" s="1"/>
      <c r="C12" s="1280" t="s">
        <v>845</v>
      </c>
      <c r="D12" s="32"/>
      <c r="E12" s="32"/>
      <c r="F12" s="32"/>
      <c r="G12" s="32"/>
      <c r="H12" s="578"/>
      <c r="I12" s="578"/>
      <c r="J12" s="578"/>
      <c r="K12" s="578"/>
      <c r="L12" s="578"/>
      <c r="M12" s="579"/>
      <c r="N12" s="1"/>
      <c r="O12" s="1"/>
      <c r="Q12" s="1468" t="s">
        <v>826</v>
      </c>
      <c r="R12" s="1468"/>
    </row>
    <row r="13" spans="1:19" ht="19.5" customHeight="1" x14ac:dyDescent="0.2">
      <c r="A13" s="1314"/>
      <c r="B13" s="1"/>
      <c r="C13" s="1481" t="str">
        <f>I106</f>
        <v>1° TRIMESTRE</v>
      </c>
      <c r="D13" s="1481"/>
      <c r="E13" s="1481"/>
      <c r="F13" s="32"/>
      <c r="G13" s="32"/>
      <c r="H13" s="1470" t="str">
        <f ca="1">IF(J161="",IF(E160=1,B157,""),J161)</f>
        <v/>
      </c>
      <c r="I13" s="1470"/>
      <c r="J13" s="1470"/>
      <c r="K13" s="1470"/>
      <c r="L13" s="1470"/>
      <c r="M13" s="1470"/>
      <c r="N13" s="574"/>
      <c r="O13" s="1436" t="s">
        <v>572</v>
      </c>
      <c r="P13" s="1437" t="s">
        <v>874</v>
      </c>
      <c r="Q13" s="895">
        <f>IF(I106="",F177,VLOOKUP(I106,C177:F180,4,FALSE))</f>
        <v>45292</v>
      </c>
      <c r="R13" s="895">
        <f>IF(I106="",G177,VLOOKUP(I106,C177:G180,5,FALSE))</f>
        <v>45382</v>
      </c>
    </row>
    <row r="14" spans="1:19" ht="9" customHeight="1" x14ac:dyDescent="0.2">
      <c r="A14" s="487"/>
      <c r="B14" s="32"/>
      <c r="C14" s="1469"/>
      <c r="D14" s="1469"/>
      <c r="E14" s="1469"/>
      <c r="F14" s="1469"/>
      <c r="G14" s="1469"/>
      <c r="H14" s="1469"/>
      <c r="I14" s="1469"/>
      <c r="J14" s="1469"/>
      <c r="K14" s="1469"/>
      <c r="L14" s="1469"/>
      <c r="M14" s="1469"/>
      <c r="N14" s="32"/>
      <c r="O14" s="32"/>
      <c r="P14" s="54"/>
      <c r="Q14" s="54"/>
      <c r="R14" s="54"/>
      <c r="S14" s="54"/>
    </row>
    <row r="15" spans="1:19" ht="15" customHeight="1" x14ac:dyDescent="0.2">
      <c r="A15" s="181"/>
      <c r="B15" s="1"/>
      <c r="C15" s="1490" t="s">
        <v>871</v>
      </c>
      <c r="D15" s="1490"/>
      <c r="E15" s="1490"/>
      <c r="F15" s="1490"/>
      <c r="G15" s="1490"/>
      <c r="H15" s="1490"/>
      <c r="I15" s="1490"/>
      <c r="J15" s="1490"/>
      <c r="K15" s="1490"/>
      <c r="L15" s="1490"/>
      <c r="M15" s="1490"/>
      <c r="N15" s="1"/>
      <c r="O15" s="1"/>
      <c r="P15" s="54"/>
      <c r="Q15" s="54"/>
      <c r="R15" s="54"/>
      <c r="S15" s="54"/>
    </row>
    <row r="16" spans="1:19" ht="12.75" customHeight="1" x14ac:dyDescent="0.2">
      <c r="A16" s="181"/>
      <c r="B16" s="1"/>
      <c r="C16" s="1491" t="s">
        <v>872</v>
      </c>
      <c r="D16" s="1491"/>
      <c r="E16" s="1491"/>
      <c r="F16" s="1491"/>
      <c r="G16" s="1491"/>
      <c r="H16" s="1491"/>
      <c r="I16" s="1491"/>
      <c r="J16" s="1491"/>
      <c r="K16" s="1491"/>
      <c r="L16" s="1491"/>
      <c r="M16" s="1491"/>
      <c r="N16" s="1"/>
      <c r="O16" s="750"/>
      <c r="P16" s="54"/>
      <c r="Q16" s="54"/>
      <c r="R16" s="54"/>
      <c r="S16" s="54"/>
    </row>
    <row r="17" spans="1:19" ht="19.5" customHeight="1" x14ac:dyDescent="0.2">
      <c r="A17" s="181"/>
      <c r="B17" s="1"/>
      <c r="C17" s="1473" t="str">
        <f>IF(K83=J165,B148,B147)</f>
        <v>Richiedi via mail il TUO CODICE di PROPRIETA'</v>
      </c>
      <c r="D17" s="1473"/>
      <c r="E17" s="1473"/>
      <c r="F17" s="1473"/>
      <c r="G17" s="1473"/>
      <c r="H17" s="1473"/>
      <c r="I17" s="1473"/>
      <c r="J17" s="1471" t="s">
        <v>571</v>
      </c>
      <c r="K17" s="1472"/>
      <c r="L17" s="1472"/>
      <c r="M17" s="1"/>
      <c r="N17" s="1"/>
      <c r="O17" s="914"/>
      <c r="P17" s="54"/>
      <c r="Q17" s="54"/>
      <c r="R17" s="54"/>
      <c r="S17" s="54"/>
    </row>
    <row r="18" spans="1:19" ht="22.5" customHeight="1" x14ac:dyDescent="0.2">
      <c r="A18" s="1315"/>
      <c r="B18" s="1"/>
      <c r="C18" s="1542" t="s">
        <v>569</v>
      </c>
      <c r="D18" s="1542"/>
      <c r="E18" s="1542"/>
      <c r="F18" s="1542"/>
      <c r="G18" s="1542"/>
      <c r="H18" s="1542"/>
      <c r="I18" s="898"/>
      <c r="J18" s="898"/>
      <c r="K18" s="898"/>
      <c r="L18" s="898"/>
      <c r="M18" s="898"/>
      <c r="N18" s="175"/>
      <c r="O18" s="175"/>
    </row>
    <row r="19" spans="1:19" ht="18" customHeight="1" x14ac:dyDescent="0.2">
      <c r="A19" s="487"/>
      <c r="B19" s="32"/>
      <c r="C19" s="1540" t="s">
        <v>406</v>
      </c>
      <c r="D19" s="1540"/>
      <c r="E19" s="1540"/>
      <c r="F19" s="1540"/>
      <c r="G19" s="1540"/>
      <c r="H19" s="173"/>
      <c r="I19" s="1480" t="s">
        <v>408</v>
      </c>
      <c r="J19" s="1480"/>
      <c r="K19" s="1480"/>
      <c r="L19" s="1480"/>
      <c r="M19" s="1480"/>
      <c r="N19" s="32"/>
      <c r="O19" s="32"/>
    </row>
    <row r="20" spans="1:19" ht="12.75" customHeight="1" x14ac:dyDescent="0.2">
      <c r="A20" s="487"/>
      <c r="B20" s="32"/>
      <c r="C20" s="1466" t="s">
        <v>827</v>
      </c>
      <c r="D20" s="1466"/>
      <c r="E20" s="1466"/>
      <c r="F20" s="1466"/>
      <c r="G20" s="1466"/>
      <c r="H20" s="170"/>
      <c r="I20" s="1487" t="s">
        <v>149</v>
      </c>
      <c r="J20" s="1487"/>
      <c r="K20" s="1487"/>
      <c r="L20" s="1487"/>
      <c r="M20" s="1487"/>
      <c r="N20" s="32"/>
      <c r="O20" s="32"/>
    </row>
    <row r="21" spans="1:19" ht="12.75" customHeight="1" x14ac:dyDescent="0.2">
      <c r="A21" s="487"/>
      <c r="B21" s="32"/>
      <c r="C21" s="1541" t="s">
        <v>407</v>
      </c>
      <c r="D21" s="1541"/>
      <c r="E21" s="1541"/>
      <c r="F21" s="1541"/>
      <c r="G21" s="1541"/>
      <c r="H21" s="170"/>
      <c r="I21" s="1464" t="s">
        <v>828</v>
      </c>
      <c r="J21" s="1464"/>
      <c r="K21" s="1464"/>
      <c r="L21" s="1464"/>
      <c r="M21" s="1464"/>
      <c r="N21" s="32"/>
      <c r="O21" s="32"/>
    </row>
    <row r="22" spans="1:19" ht="16.5" customHeight="1" x14ac:dyDescent="0.2">
      <c r="A22" s="487"/>
      <c r="B22" s="32"/>
      <c r="C22" s="1486"/>
      <c r="D22" s="1486"/>
      <c r="E22" s="1486"/>
      <c r="F22" s="1486"/>
      <c r="G22" s="1486"/>
      <c r="H22" s="1486"/>
      <c r="I22" s="1486"/>
      <c r="J22" s="1486"/>
      <c r="K22" s="1486"/>
      <c r="L22" s="1486"/>
      <c r="M22" s="1486"/>
      <c r="N22" s="32"/>
      <c r="O22" s="32"/>
    </row>
    <row r="23" spans="1:19" ht="16.5" customHeight="1" x14ac:dyDescent="0.2">
      <c r="A23" s="487"/>
      <c r="B23" s="32"/>
      <c r="C23" s="174"/>
      <c r="D23" s="174"/>
      <c r="E23" s="174"/>
      <c r="F23" s="174"/>
      <c r="G23" s="1427" t="s">
        <v>863</v>
      </c>
      <c r="H23" s="1428"/>
      <c r="I23" s="1428"/>
      <c r="J23" s="1428"/>
      <c r="K23" s="174"/>
      <c r="L23" s="174"/>
      <c r="M23" s="174"/>
      <c r="N23" s="32"/>
      <c r="O23" s="32"/>
    </row>
    <row r="24" spans="1:19" ht="16.5" customHeight="1" x14ac:dyDescent="0.2">
      <c r="A24" s="487"/>
      <c r="B24" s="32"/>
      <c r="C24" s="548"/>
      <c r="D24" s="548"/>
      <c r="E24" s="548"/>
      <c r="F24" s="548"/>
      <c r="G24" s="1429" t="s">
        <v>864</v>
      </c>
      <c r="H24" s="1425"/>
      <c r="I24" s="1430"/>
      <c r="J24" s="1430"/>
      <c r="K24" s="548"/>
      <c r="L24" s="548"/>
      <c r="M24" s="548"/>
      <c r="N24" s="32"/>
      <c r="O24" s="32"/>
    </row>
    <row r="25" spans="1:19" ht="16.5" customHeight="1" x14ac:dyDescent="0.2">
      <c r="A25" s="487"/>
      <c r="B25" s="32"/>
      <c r="C25" s="548"/>
      <c r="D25" s="548"/>
      <c r="E25" s="548"/>
      <c r="F25" s="548"/>
      <c r="G25" s="548"/>
      <c r="H25" s="548"/>
      <c r="I25" s="548"/>
      <c r="J25" s="548"/>
      <c r="K25" s="548"/>
      <c r="L25" s="548"/>
      <c r="M25" s="548"/>
      <c r="N25" s="32"/>
      <c r="O25" s="32"/>
    </row>
    <row r="26" spans="1:19" ht="19.5" hidden="1" customHeight="1" x14ac:dyDescent="0.2">
      <c r="A26" s="181"/>
      <c r="B26" s="1"/>
      <c r="C26" s="1465" t="s">
        <v>721</v>
      </c>
      <c r="D26" s="1465"/>
      <c r="E26" s="1465"/>
      <c r="F26" s="1465"/>
      <c r="G26" s="1465"/>
      <c r="H26" s="1465"/>
      <c r="I26" s="1465"/>
      <c r="J26" s="1465"/>
      <c r="K26" s="1465"/>
      <c r="L26" s="1465"/>
      <c r="M26" s="1465"/>
      <c r="N26" s="1"/>
      <c r="O26" s="1"/>
    </row>
    <row r="27" spans="1:19" ht="7.5" hidden="1" customHeight="1" x14ac:dyDescent="0.2">
      <c r="A27" s="181"/>
      <c r="B27" s="1"/>
      <c r="C27" s="177"/>
      <c r="D27" s="177"/>
      <c r="E27" s="177"/>
      <c r="F27" s="177"/>
      <c r="G27" s="177"/>
      <c r="H27" s="177"/>
      <c r="I27" s="177"/>
      <c r="J27" s="177"/>
      <c r="K27" s="177"/>
      <c r="L27" s="177"/>
      <c r="M27" s="177"/>
      <c r="N27" s="1"/>
      <c r="O27" s="1"/>
    </row>
    <row r="28" spans="1:19" ht="15" hidden="1" x14ac:dyDescent="0.2">
      <c r="A28" s="181"/>
      <c r="B28" s="1"/>
      <c r="C28" s="178" t="s">
        <v>249</v>
      </c>
      <c r="D28" s="1456" t="s">
        <v>830</v>
      </c>
      <c r="E28" s="1456"/>
      <c r="F28" s="1456"/>
      <c r="G28" s="1456"/>
      <c r="H28" s="1456"/>
      <c r="I28" s="1456"/>
      <c r="J28" s="1456"/>
      <c r="K28" s="1456"/>
      <c r="L28" s="1456"/>
      <c r="M28" s="1456"/>
      <c r="N28" s="1"/>
      <c r="O28" s="1"/>
    </row>
    <row r="29" spans="1:19" ht="15" hidden="1" x14ac:dyDescent="0.2">
      <c r="A29" s="181"/>
      <c r="B29" s="1"/>
      <c r="C29" s="178" t="s">
        <v>249</v>
      </c>
      <c r="D29" s="1456" t="s">
        <v>410</v>
      </c>
      <c r="E29" s="1456"/>
      <c r="F29" s="1456"/>
      <c r="G29" s="1456"/>
      <c r="H29" s="1456"/>
      <c r="I29" s="1456"/>
      <c r="J29" s="1456"/>
      <c r="K29" s="1456"/>
      <c r="L29" s="1456"/>
      <c r="M29" s="1456"/>
      <c r="N29" s="1"/>
      <c r="O29" s="1"/>
    </row>
    <row r="30" spans="1:19" ht="15" hidden="1" x14ac:dyDescent="0.25">
      <c r="A30" s="181"/>
      <c r="B30" s="1"/>
      <c r="C30" s="180" t="s">
        <v>249</v>
      </c>
      <c r="D30" s="1467" t="s">
        <v>411</v>
      </c>
      <c r="E30" s="1467"/>
      <c r="F30" s="1467"/>
      <c r="G30" s="1467"/>
      <c r="H30" s="1467"/>
      <c r="I30" s="1467"/>
      <c r="J30" s="1467"/>
      <c r="K30" s="1467"/>
      <c r="L30" s="1467"/>
      <c r="M30" s="1467"/>
      <c r="N30" s="1"/>
      <c r="O30" s="1"/>
    </row>
    <row r="31" spans="1:19" ht="15" hidden="1" x14ac:dyDescent="0.2">
      <c r="A31" s="181"/>
      <c r="B31" s="1"/>
      <c r="C31" s="179"/>
      <c r="D31" s="1477" t="s">
        <v>831</v>
      </c>
      <c r="E31" s="1477"/>
      <c r="F31" s="1477"/>
      <c r="G31" s="1477"/>
      <c r="H31" s="1477"/>
      <c r="I31" s="1477"/>
      <c r="J31" s="1477"/>
      <c r="K31" s="1477"/>
      <c r="L31" s="1477"/>
      <c r="M31" s="1477"/>
      <c r="N31" s="1"/>
      <c r="O31" s="1"/>
    </row>
    <row r="32" spans="1:19" ht="15" hidden="1" x14ac:dyDescent="0.25">
      <c r="A32" s="181"/>
      <c r="B32" s="1"/>
      <c r="C32" s="180" t="s">
        <v>249</v>
      </c>
      <c r="D32" s="1467" t="s">
        <v>74</v>
      </c>
      <c r="E32" s="1467"/>
      <c r="F32" s="1467"/>
      <c r="G32" s="1467"/>
      <c r="H32" s="1467"/>
      <c r="I32" s="1467"/>
      <c r="J32" s="1467"/>
      <c r="K32" s="1467"/>
      <c r="L32" s="1467"/>
      <c r="M32" s="1467"/>
      <c r="N32" s="1"/>
      <c r="O32" s="1"/>
    </row>
    <row r="33" spans="1:15" ht="15" hidden="1" x14ac:dyDescent="0.2">
      <c r="A33" s="181"/>
      <c r="B33" s="1"/>
      <c r="C33" s="179"/>
      <c r="D33" s="1477" t="s">
        <v>412</v>
      </c>
      <c r="E33" s="1477"/>
      <c r="F33" s="1477"/>
      <c r="G33" s="1477"/>
      <c r="H33" s="1477"/>
      <c r="I33" s="1477"/>
      <c r="J33" s="1477"/>
      <c r="K33" s="1477"/>
      <c r="L33" s="1477"/>
      <c r="M33" s="1477"/>
      <c r="N33" s="1"/>
      <c r="O33" s="1"/>
    </row>
    <row r="34" spans="1:15" ht="22.5" customHeight="1" x14ac:dyDescent="0.25">
      <c r="A34" s="487"/>
      <c r="B34" s="32"/>
      <c r="C34" s="174"/>
      <c r="D34" s="174"/>
      <c r="E34" s="174"/>
      <c r="F34" s="174"/>
      <c r="G34" s="174"/>
      <c r="H34" s="174"/>
      <c r="I34" s="174"/>
      <c r="J34" s="1475" t="s">
        <v>424</v>
      </c>
      <c r="K34" s="1475"/>
      <c r="L34" s="1475"/>
      <c r="M34" s="1475"/>
      <c r="N34" s="32"/>
      <c r="O34" s="32"/>
    </row>
    <row r="35" spans="1:15" ht="20.25" customHeight="1" x14ac:dyDescent="0.2">
      <c r="A35" s="487"/>
      <c r="B35" s="32"/>
      <c r="C35" s="1454" t="s">
        <v>842</v>
      </c>
      <c r="D35" s="1454"/>
      <c r="E35" s="1454"/>
      <c r="F35" s="1454"/>
      <c r="G35" s="1455" t="s">
        <v>860</v>
      </c>
      <c r="H35" s="1455"/>
      <c r="I35" s="1455"/>
      <c r="J35" s="1455"/>
      <c r="K35" s="1455"/>
      <c r="L35" s="1455"/>
      <c r="M35" s="1455"/>
      <c r="N35" s="32"/>
      <c r="O35" s="32"/>
    </row>
    <row r="36" spans="1:15" ht="21" customHeight="1" x14ac:dyDescent="0.2">
      <c r="A36" s="181"/>
      <c r="B36" s="1"/>
      <c r="C36" s="1478"/>
      <c r="D36" s="1478"/>
      <c r="E36" s="1478"/>
      <c r="F36" s="1478"/>
      <c r="G36" s="1478"/>
      <c r="H36" s="1478"/>
      <c r="I36" s="1478"/>
      <c r="J36" s="1478"/>
      <c r="K36" s="1478"/>
      <c r="L36" s="1478"/>
      <c r="M36" s="1478"/>
      <c r="N36" s="1"/>
      <c r="O36" s="1"/>
    </row>
    <row r="37" spans="1:15" ht="22.5" customHeight="1" x14ac:dyDescent="0.2">
      <c r="A37" s="181"/>
      <c r="B37" s="1"/>
      <c r="C37" s="1476" t="s">
        <v>413</v>
      </c>
      <c r="D37" s="1476"/>
      <c r="E37" s="1476"/>
      <c r="F37" s="1476"/>
      <c r="G37" s="1476"/>
      <c r="H37" s="1476"/>
      <c r="I37" s="1476"/>
      <c r="J37" s="1476"/>
      <c r="K37" s="1476"/>
      <c r="L37" s="1476"/>
      <c r="M37" s="1476"/>
      <c r="N37" s="1"/>
      <c r="O37" s="1"/>
    </row>
    <row r="38" spans="1:15" ht="15" customHeight="1" x14ac:dyDescent="0.2">
      <c r="A38" s="181"/>
      <c r="B38" s="1"/>
      <c r="C38" s="1263" t="s">
        <v>414</v>
      </c>
      <c r="D38" s="1462" t="s">
        <v>125</v>
      </c>
      <c r="E38" s="1462"/>
      <c r="F38" s="1462"/>
      <c r="G38" s="1462"/>
      <c r="H38" s="1462"/>
      <c r="I38" s="1462"/>
      <c r="J38" s="1462"/>
      <c r="K38" s="1462"/>
      <c r="L38" s="1462"/>
      <c r="M38" s="1462"/>
      <c r="N38" s="1"/>
      <c r="O38" s="1"/>
    </row>
    <row r="39" spans="1:15" ht="15" customHeight="1" x14ac:dyDescent="0.2">
      <c r="A39" s="181"/>
      <c r="B39" s="1"/>
      <c r="C39" s="1259"/>
      <c r="D39" s="197" t="s">
        <v>115</v>
      </c>
      <c r="E39" s="197"/>
      <c r="F39" s="197"/>
      <c r="G39" s="197"/>
      <c r="H39" s="197"/>
      <c r="I39" s="197"/>
      <c r="J39" s="197"/>
      <c r="K39" s="197"/>
      <c r="L39" s="197"/>
      <c r="M39" s="197"/>
      <c r="N39" s="1"/>
      <c r="O39" s="1"/>
    </row>
    <row r="40" spans="1:15" ht="15" customHeight="1" x14ac:dyDescent="0.2">
      <c r="A40" s="181"/>
      <c r="B40" s="1"/>
      <c r="C40" s="1259"/>
      <c r="D40" s="1462" t="s">
        <v>121</v>
      </c>
      <c r="E40" s="1461"/>
      <c r="F40" s="1461"/>
      <c r="G40" s="1461"/>
      <c r="H40" s="1461"/>
      <c r="I40" s="1461"/>
      <c r="J40" s="1461"/>
      <c r="K40" s="1461"/>
      <c r="L40" s="1461"/>
      <c r="M40" s="1461"/>
      <c r="N40" s="1"/>
      <c r="O40" s="1"/>
    </row>
    <row r="41" spans="1:15" ht="15" customHeight="1" x14ac:dyDescent="0.2">
      <c r="A41" s="181"/>
      <c r="B41" s="1"/>
      <c r="C41" s="1259"/>
      <c r="D41" s="1479" t="s">
        <v>122</v>
      </c>
      <c r="E41" s="1479"/>
      <c r="F41" s="1479"/>
      <c r="G41" s="1479"/>
      <c r="H41" s="1479"/>
      <c r="I41" s="1479"/>
      <c r="J41" s="1479"/>
      <c r="K41" s="1479"/>
      <c r="L41" s="1479"/>
      <c r="M41" s="1479"/>
      <c r="N41" s="1"/>
      <c r="O41" s="1"/>
    </row>
    <row r="42" spans="1:15" s="182" customFormat="1" ht="15" customHeight="1" x14ac:dyDescent="0.2">
      <c r="A42" s="181"/>
      <c r="B42" s="1"/>
      <c r="C42" s="644"/>
      <c r="D42" s="1461" t="s">
        <v>150</v>
      </c>
      <c r="E42" s="1461"/>
      <c r="F42" s="1461"/>
      <c r="G42" s="1461"/>
      <c r="H42" s="1461"/>
      <c r="I42" s="1461"/>
      <c r="J42" s="1461"/>
      <c r="K42" s="1461"/>
      <c r="L42" s="1461"/>
      <c r="M42" s="1461"/>
      <c r="N42" s="1"/>
      <c r="O42" s="1"/>
    </row>
    <row r="43" spans="1:15" s="182" customFormat="1" ht="18" customHeight="1" x14ac:dyDescent="0.2">
      <c r="A43" s="181"/>
      <c r="B43" s="1"/>
      <c r="C43" s="176"/>
      <c r="D43" s="1524" t="s">
        <v>151</v>
      </c>
      <c r="E43" s="1524"/>
      <c r="F43" s="1524"/>
      <c r="G43" s="1524"/>
      <c r="H43" s="1524"/>
      <c r="I43" s="1459"/>
      <c r="J43" s="1459"/>
      <c r="K43" s="1459"/>
      <c r="L43" s="1459"/>
      <c r="M43" s="1459"/>
      <c r="N43" s="1"/>
      <c r="O43" s="1"/>
    </row>
    <row r="44" spans="1:15" ht="15" customHeight="1" x14ac:dyDescent="0.2">
      <c r="A44" s="181"/>
      <c r="B44" s="1"/>
      <c r="C44" s="644" t="s">
        <v>415</v>
      </c>
      <c r="D44" s="1461" t="s">
        <v>123</v>
      </c>
      <c r="E44" s="1461"/>
      <c r="F44" s="1461"/>
      <c r="G44" s="1461"/>
      <c r="H44" s="1461"/>
      <c r="I44" s="1461"/>
      <c r="J44" s="1461"/>
      <c r="K44" s="1461"/>
      <c r="L44" s="1461"/>
      <c r="M44" s="1461"/>
      <c r="N44" s="911" t="s">
        <v>572</v>
      </c>
      <c r="O44" s="1"/>
    </row>
    <row r="45" spans="1:15" ht="18" customHeight="1" x14ac:dyDescent="0.2">
      <c r="A45" s="181"/>
      <c r="B45" s="1"/>
      <c r="C45" s="644"/>
      <c r="D45" s="1463"/>
      <c r="E45" s="1463"/>
      <c r="F45" s="1463"/>
      <c r="G45" s="1463"/>
      <c r="H45" s="1463"/>
      <c r="I45" s="1463"/>
      <c r="J45" s="1463"/>
      <c r="K45" s="1463"/>
      <c r="L45" s="1463"/>
      <c r="M45" s="1463"/>
      <c r="N45" s="1435"/>
      <c r="O45" s="1"/>
    </row>
    <row r="46" spans="1:15" ht="21" customHeight="1" x14ac:dyDescent="0.2">
      <c r="A46" s="181"/>
      <c r="B46" s="1"/>
      <c r="C46" s="1262"/>
      <c r="D46" s="1361" t="s">
        <v>117</v>
      </c>
      <c r="E46" s="1257"/>
      <c r="F46" s="1257"/>
      <c r="G46" s="1257"/>
      <c r="H46" s="1257"/>
      <c r="I46" s="1257"/>
      <c r="J46" s="1257"/>
      <c r="K46" s="1257"/>
      <c r="L46" s="1257"/>
      <c r="M46" s="1257"/>
      <c r="N46" s="1"/>
      <c r="O46" s="1"/>
    </row>
    <row r="47" spans="1:15" ht="15" customHeight="1" x14ac:dyDescent="0.2">
      <c r="A47" s="181"/>
      <c r="B47" s="1"/>
      <c r="C47" s="1263" t="s">
        <v>416</v>
      </c>
      <c r="D47" s="1462" t="s">
        <v>832</v>
      </c>
      <c r="E47" s="1461"/>
      <c r="F47" s="1461"/>
      <c r="G47" s="1461"/>
      <c r="H47" s="1461"/>
      <c r="I47" s="1461"/>
      <c r="J47" s="1461"/>
      <c r="K47" s="1461"/>
      <c r="L47" s="1461"/>
      <c r="M47" s="1461"/>
      <c r="N47" s="1"/>
      <c r="O47" s="1"/>
    </row>
    <row r="48" spans="1:15" ht="16.5" customHeight="1" x14ac:dyDescent="0.2">
      <c r="A48" s="181"/>
      <c r="B48" s="1"/>
      <c r="C48" s="176"/>
      <c r="D48" s="1461" t="s">
        <v>833</v>
      </c>
      <c r="E48" s="1461"/>
      <c r="F48" s="1461"/>
      <c r="G48" s="1461"/>
      <c r="H48" s="1461"/>
      <c r="I48" s="1461"/>
      <c r="J48" s="1461"/>
      <c r="K48" s="1461"/>
      <c r="L48" s="1461"/>
      <c r="M48" s="1461"/>
      <c r="N48" s="1"/>
      <c r="O48" s="1"/>
    </row>
    <row r="49" spans="1:15" ht="16.5" customHeight="1" x14ac:dyDescent="0.2">
      <c r="A49" s="181"/>
      <c r="B49" s="1"/>
      <c r="C49" s="176"/>
      <c r="D49" s="1257" t="s">
        <v>834</v>
      </c>
      <c r="E49" s="1256"/>
      <c r="F49" s="1256"/>
      <c r="G49" s="1256"/>
      <c r="H49" s="1256"/>
      <c r="I49" s="1256"/>
      <c r="J49" s="1256"/>
      <c r="K49" s="1256"/>
      <c r="L49" s="1256"/>
      <c r="M49" s="1256"/>
      <c r="N49" s="1"/>
      <c r="O49" s="1"/>
    </row>
    <row r="50" spans="1:15" ht="16.5" customHeight="1" x14ac:dyDescent="0.2">
      <c r="A50" s="181"/>
      <c r="B50" s="1"/>
      <c r="C50" s="176"/>
      <c r="D50" s="1493" t="s">
        <v>697</v>
      </c>
      <c r="E50" s="1493"/>
      <c r="F50" s="1493"/>
      <c r="G50" s="1493"/>
      <c r="H50" s="1493"/>
      <c r="I50" s="1493"/>
      <c r="J50" s="1493"/>
      <c r="K50" s="1493"/>
      <c r="L50" s="1493"/>
      <c r="M50" s="1493"/>
      <c r="N50" s="1"/>
      <c r="O50" s="1"/>
    </row>
    <row r="51" spans="1:15" ht="15" customHeight="1" x14ac:dyDescent="0.2">
      <c r="A51" s="181"/>
      <c r="B51" s="1"/>
      <c r="C51" s="644" t="s">
        <v>415</v>
      </c>
      <c r="D51" s="1458" t="s">
        <v>835</v>
      </c>
      <c r="E51" s="1458"/>
      <c r="F51" s="1458"/>
      <c r="G51" s="1458"/>
      <c r="H51" s="1458"/>
      <c r="I51" s="1458"/>
      <c r="J51" s="1458"/>
      <c r="K51" s="1458"/>
      <c r="L51" s="1458"/>
      <c r="M51" s="1458"/>
      <c r="N51" s="1"/>
      <c r="O51" s="1"/>
    </row>
    <row r="52" spans="1:15" ht="19.5" customHeight="1" x14ac:dyDescent="0.2">
      <c r="A52" s="181"/>
      <c r="B52" s="1"/>
      <c r="C52" s="1262"/>
      <c r="D52" s="1463" t="s">
        <v>152</v>
      </c>
      <c r="E52" s="1463"/>
      <c r="F52" s="1463"/>
      <c r="G52" s="1463"/>
      <c r="H52" s="1463"/>
      <c r="I52" s="1463"/>
      <c r="J52" s="1463"/>
      <c r="K52" s="1463"/>
      <c r="L52" s="1463"/>
      <c r="M52" s="1463"/>
      <c r="N52" s="1"/>
      <c r="O52" s="1"/>
    </row>
    <row r="53" spans="1:15" ht="15" customHeight="1" x14ac:dyDescent="0.2">
      <c r="A53" s="181"/>
      <c r="B53" s="1"/>
      <c r="C53" s="1263" t="s">
        <v>417</v>
      </c>
      <c r="D53" s="1458" t="s">
        <v>159</v>
      </c>
      <c r="E53" s="1458"/>
      <c r="F53" s="1458"/>
      <c r="G53" s="1458"/>
      <c r="H53" s="1458"/>
      <c r="I53" s="1458"/>
      <c r="J53" s="1458"/>
      <c r="K53" s="1458"/>
      <c r="L53" s="1458"/>
      <c r="M53" s="1458"/>
      <c r="N53" s="1"/>
      <c r="O53" s="1"/>
    </row>
    <row r="54" spans="1:15" ht="13.5" customHeight="1" x14ac:dyDescent="0.2">
      <c r="A54" s="181"/>
      <c r="B54" s="1"/>
      <c r="C54" s="1261"/>
      <c r="D54" s="1459" t="s">
        <v>836</v>
      </c>
      <c r="E54" s="1459"/>
      <c r="F54" s="1459"/>
      <c r="G54" s="1459"/>
      <c r="H54" s="1459"/>
      <c r="I54" s="1459"/>
      <c r="J54" s="1459"/>
      <c r="K54" s="1459"/>
      <c r="L54" s="1459"/>
      <c r="M54" s="1459"/>
      <c r="N54" s="81"/>
      <c r="O54" s="1"/>
    </row>
    <row r="55" spans="1:15" ht="13.5" customHeight="1" x14ac:dyDescent="0.2">
      <c r="A55" s="181"/>
      <c r="B55" s="1"/>
      <c r="C55" s="1261"/>
      <c r="D55" s="1459" t="s">
        <v>160</v>
      </c>
      <c r="E55" s="1459"/>
      <c r="F55" s="1459"/>
      <c r="G55" s="1459"/>
      <c r="H55" s="1459"/>
      <c r="I55" s="1459"/>
      <c r="J55" s="1459"/>
      <c r="K55" s="1459"/>
      <c r="L55" s="1459"/>
      <c r="M55" s="1459"/>
      <c r="N55" s="81"/>
      <c r="O55" s="1"/>
    </row>
    <row r="56" spans="1:15" ht="14.25" x14ac:dyDescent="0.2">
      <c r="A56" s="181"/>
      <c r="B56" s="1"/>
      <c r="C56" s="1261"/>
      <c r="D56" s="1463" t="s">
        <v>161</v>
      </c>
      <c r="E56" s="1463"/>
      <c r="F56" s="1463"/>
      <c r="G56" s="1463"/>
      <c r="H56" s="1463"/>
      <c r="I56" s="1463"/>
      <c r="J56" s="1463"/>
      <c r="K56" s="1463"/>
      <c r="L56" s="1463"/>
      <c r="M56" s="1463"/>
      <c r="N56" s="81"/>
      <c r="O56" s="1"/>
    </row>
    <row r="57" spans="1:15" ht="22.5" customHeight="1" x14ac:dyDescent="0.2">
      <c r="A57" s="181"/>
      <c r="B57" s="1"/>
      <c r="C57" s="1261"/>
      <c r="D57" s="1371" t="s">
        <v>843</v>
      </c>
      <c r="E57" s="1260"/>
      <c r="F57" s="1260"/>
      <c r="G57" s="1260"/>
      <c r="H57" s="1260"/>
      <c r="I57" s="1260"/>
      <c r="J57" s="1260"/>
      <c r="K57" s="1260"/>
      <c r="L57" s="1260"/>
      <c r="M57" s="1260"/>
      <c r="N57" s="81"/>
      <c r="O57" s="1"/>
    </row>
    <row r="58" spans="1:15" ht="15" customHeight="1" x14ac:dyDescent="0.2">
      <c r="A58" s="181"/>
      <c r="B58" s="1"/>
      <c r="C58" s="1263" t="s">
        <v>418</v>
      </c>
      <c r="D58" s="1462" t="s">
        <v>162</v>
      </c>
      <c r="E58" s="1462"/>
      <c r="F58" s="1462"/>
      <c r="G58" s="1462"/>
      <c r="H58" s="1462"/>
      <c r="I58" s="1462"/>
      <c r="J58" s="1462"/>
      <c r="K58" s="1462"/>
      <c r="L58" s="1462"/>
      <c r="M58" s="1462"/>
      <c r="N58" s="1"/>
      <c r="O58" s="1"/>
    </row>
    <row r="59" spans="1:15" ht="19.5" customHeight="1" x14ac:dyDescent="0.2">
      <c r="A59" s="181"/>
      <c r="B59" s="1"/>
      <c r="C59" s="1261"/>
      <c r="D59" s="1474" t="s">
        <v>837</v>
      </c>
      <c r="E59" s="1474"/>
      <c r="F59" s="1474"/>
      <c r="G59" s="1474"/>
      <c r="H59" s="1474"/>
      <c r="I59" s="1474"/>
      <c r="J59" s="1474"/>
      <c r="K59" s="1474"/>
      <c r="L59" s="1474"/>
      <c r="M59" s="1474"/>
      <c r="N59" s="81"/>
      <c r="O59" s="1"/>
    </row>
    <row r="60" spans="1:15" ht="15" customHeight="1" x14ac:dyDescent="0.2">
      <c r="A60" s="181"/>
      <c r="B60" s="1"/>
      <c r="C60" s="1263" t="s">
        <v>565</v>
      </c>
      <c r="D60" s="1461" t="s">
        <v>163</v>
      </c>
      <c r="E60" s="1461"/>
      <c r="F60" s="1461"/>
      <c r="G60" s="1461"/>
      <c r="H60" s="1461"/>
      <c r="I60" s="1461"/>
      <c r="J60" s="1461"/>
      <c r="K60" s="1461"/>
      <c r="L60" s="1461"/>
      <c r="M60" s="1461"/>
      <c r="N60" s="81"/>
      <c r="O60" s="1"/>
    </row>
    <row r="61" spans="1:15" ht="13.5" customHeight="1" x14ac:dyDescent="0.2">
      <c r="A61" s="181"/>
      <c r="B61" s="1"/>
      <c r="C61" s="1261"/>
      <c r="D61" s="1459" t="s">
        <v>5</v>
      </c>
      <c r="E61" s="1459"/>
      <c r="F61" s="1459"/>
      <c r="G61" s="1459"/>
      <c r="H61" s="1459"/>
      <c r="I61" s="1459"/>
      <c r="J61" s="1459"/>
      <c r="K61" s="1459"/>
      <c r="L61" s="1459"/>
      <c r="M61" s="1459"/>
      <c r="N61" s="81"/>
      <c r="O61" s="1"/>
    </row>
    <row r="62" spans="1:15" ht="13.5" customHeight="1" x14ac:dyDescent="0.2">
      <c r="A62" s="181"/>
      <c r="B62" s="1"/>
      <c r="C62" s="1261"/>
      <c r="D62" s="1459" t="s">
        <v>118</v>
      </c>
      <c r="E62" s="1459"/>
      <c r="F62" s="1459"/>
      <c r="G62" s="1459"/>
      <c r="H62" s="1459"/>
      <c r="I62" s="1459"/>
      <c r="J62" s="1459"/>
      <c r="K62" s="1459"/>
      <c r="L62" s="1459"/>
      <c r="M62" s="1459"/>
      <c r="N62" s="81"/>
      <c r="O62" s="1"/>
    </row>
    <row r="63" spans="1:15" ht="13.5" customHeight="1" x14ac:dyDescent="0.2">
      <c r="A63" s="181"/>
      <c r="B63" s="1"/>
      <c r="C63" s="1261"/>
      <c r="D63" s="1459" t="s">
        <v>119</v>
      </c>
      <c r="E63" s="1459"/>
      <c r="F63" s="1459"/>
      <c r="G63" s="1459"/>
      <c r="H63" s="1459"/>
      <c r="I63" s="1459"/>
      <c r="J63" s="1459"/>
      <c r="K63" s="1459"/>
      <c r="L63" s="1459"/>
      <c r="M63" s="1459"/>
      <c r="N63" s="81"/>
      <c r="O63" s="1"/>
    </row>
    <row r="64" spans="1:15" ht="19.5" customHeight="1" x14ac:dyDescent="0.2">
      <c r="A64" s="181"/>
      <c r="B64" s="1"/>
      <c r="C64" s="1261"/>
      <c r="D64" s="1463" t="s">
        <v>168</v>
      </c>
      <c r="E64" s="1463"/>
      <c r="F64" s="1463"/>
      <c r="G64" s="1463"/>
      <c r="H64" s="1463"/>
      <c r="I64" s="1463"/>
      <c r="J64" s="1463"/>
      <c r="K64" s="1463"/>
      <c r="L64" s="1463"/>
      <c r="M64" s="1463"/>
      <c r="N64" s="81"/>
      <c r="O64" s="1"/>
    </row>
    <row r="65" spans="1:15" ht="15" customHeight="1" x14ac:dyDescent="0.2">
      <c r="A65" s="181"/>
      <c r="B65" s="1"/>
      <c r="C65" s="1263" t="s">
        <v>593</v>
      </c>
      <c r="D65" s="1458" t="s">
        <v>6</v>
      </c>
      <c r="E65" s="1458"/>
      <c r="F65" s="1458"/>
      <c r="G65" s="1458"/>
      <c r="H65" s="1458"/>
      <c r="I65" s="1458"/>
      <c r="J65" s="1458"/>
      <c r="K65" s="1458"/>
      <c r="L65" s="1458"/>
      <c r="M65" s="1458"/>
      <c r="N65" s="81"/>
      <c r="O65" s="1"/>
    </row>
    <row r="66" spans="1:15" ht="13.5" customHeight="1" x14ac:dyDescent="0.2">
      <c r="A66" s="181"/>
      <c r="B66" s="1"/>
      <c r="C66" s="1261"/>
      <c r="D66" s="176" t="s">
        <v>169</v>
      </c>
      <c r="E66" s="176"/>
      <c r="F66" s="176"/>
      <c r="G66" s="176"/>
      <c r="H66" s="176"/>
      <c r="I66" s="176"/>
      <c r="J66" s="176"/>
      <c r="K66" s="176"/>
      <c r="L66" s="176"/>
      <c r="M66" s="176"/>
      <c r="N66" s="81"/>
      <c r="O66" s="1"/>
    </row>
    <row r="67" spans="1:15" ht="15.75" customHeight="1" x14ac:dyDescent="0.2">
      <c r="A67" s="181"/>
      <c r="B67" s="1"/>
      <c r="C67" s="1261"/>
      <c r="D67" s="1474" t="s">
        <v>12</v>
      </c>
      <c r="E67" s="1474"/>
      <c r="F67" s="1474"/>
      <c r="G67" s="1474"/>
      <c r="H67" s="1474"/>
      <c r="I67" s="1474"/>
      <c r="J67" s="1474"/>
      <c r="K67" s="1474"/>
      <c r="L67" s="1474"/>
      <c r="M67" s="1474"/>
      <c r="N67" s="81"/>
      <c r="O67" s="1"/>
    </row>
    <row r="68" spans="1:15" ht="15.75" customHeight="1" x14ac:dyDescent="0.2">
      <c r="A68" s="181"/>
      <c r="B68" s="1"/>
      <c r="C68" s="644" t="s">
        <v>415</v>
      </c>
      <c r="D68" s="1458" t="s">
        <v>7</v>
      </c>
      <c r="E68" s="1458"/>
      <c r="F68" s="1458"/>
      <c r="G68" s="1458"/>
      <c r="H68" s="1458"/>
      <c r="I68" s="1458"/>
      <c r="J68" s="1458"/>
      <c r="K68" s="1458"/>
      <c r="L68" s="1458"/>
      <c r="M68" s="1458"/>
      <c r="N68" s="1"/>
      <c r="O68" s="1"/>
    </row>
    <row r="69" spans="1:15" ht="26.25" customHeight="1" x14ac:dyDescent="0.2">
      <c r="A69" s="487"/>
      <c r="B69" s="32"/>
      <c r="C69" s="32"/>
      <c r="D69" s="197" t="s">
        <v>8</v>
      </c>
      <c r="E69" s="32"/>
      <c r="F69" s="32"/>
      <c r="G69" s="32"/>
      <c r="H69" s="32"/>
      <c r="I69" s="32"/>
      <c r="J69" s="32"/>
      <c r="K69" s="32"/>
      <c r="L69" s="1399" t="s">
        <v>9</v>
      </c>
      <c r="M69" s="1400" t="s">
        <v>572</v>
      </c>
      <c r="N69" s="32"/>
      <c r="O69" s="32"/>
    </row>
    <row r="70" spans="1:15" ht="26.25" customHeight="1" x14ac:dyDescent="0.2">
      <c r="A70" s="487"/>
      <c r="B70" s="32"/>
      <c r="C70" s="1391"/>
      <c r="D70" s="1392" t="str">
        <f ca="1">IF(H159=1,H13,IF(ISERROR(K159),I156,I155))</f>
        <v>Questo file risulta al momento completamente funzionante ed il sistema rileva tutti i suoi fogli.</v>
      </c>
      <c r="E70" s="32"/>
      <c r="F70" s="32"/>
      <c r="G70" s="32"/>
      <c r="H70" s="32"/>
      <c r="I70" s="32"/>
      <c r="J70" s="32"/>
      <c r="K70" s="32"/>
      <c r="L70" s="32"/>
      <c r="M70" s="32"/>
      <c r="N70" s="32"/>
      <c r="O70" s="32"/>
    </row>
    <row r="71" spans="1:15" ht="15.75" customHeight="1" x14ac:dyDescent="0.2">
      <c r="A71" s="487"/>
      <c r="B71" s="32"/>
      <c r="C71" s="1469"/>
      <c r="D71" s="1469"/>
      <c r="E71" s="1469"/>
      <c r="F71" s="1469"/>
      <c r="G71" s="1469"/>
      <c r="H71" s="1469"/>
      <c r="I71" s="1469"/>
      <c r="J71" s="1469"/>
      <c r="K71" s="1469"/>
      <c r="L71" s="1469"/>
      <c r="M71" s="1469"/>
      <c r="N71" s="32"/>
      <c r="O71" s="32"/>
    </row>
    <row r="72" spans="1:15" ht="16.5" customHeight="1" x14ac:dyDescent="0.2">
      <c r="A72" s="181"/>
      <c r="B72" s="1"/>
      <c r="C72" s="1460" t="s">
        <v>34</v>
      </c>
      <c r="D72" s="1460"/>
      <c r="E72" s="1460"/>
      <c r="F72" s="1460"/>
      <c r="G72" s="1286"/>
      <c r="H72" s="1286"/>
      <c r="I72" s="1286"/>
      <c r="J72" s="1286"/>
      <c r="K72" s="1286"/>
      <c r="L72" s="1287" t="s">
        <v>35</v>
      </c>
      <c r="M72" s="1266" t="s">
        <v>572</v>
      </c>
      <c r="N72" s="1"/>
      <c r="O72" s="1"/>
    </row>
    <row r="73" spans="1:15" ht="16.5" customHeight="1" x14ac:dyDescent="0.2">
      <c r="A73" s="181"/>
      <c r="B73" s="1"/>
      <c r="C73" s="1457" t="s">
        <v>846</v>
      </c>
      <c r="D73" s="1457"/>
      <c r="E73" s="1457"/>
      <c r="F73" s="1457"/>
      <c r="G73" s="1457"/>
      <c r="H73" s="1457"/>
      <c r="I73" s="1457"/>
      <c r="J73" s="1457"/>
      <c r="K73" s="1457"/>
      <c r="L73" s="1457"/>
      <c r="M73" s="1457"/>
      <c r="N73" s="1"/>
      <c r="O73" s="1"/>
    </row>
    <row r="74" spans="1:15" ht="12.75" customHeight="1" x14ac:dyDescent="0.2">
      <c r="A74" s="181"/>
      <c r="B74" s="1"/>
      <c r="C74" s="1492" t="s">
        <v>847</v>
      </c>
      <c r="D74" s="1492"/>
      <c r="E74" s="1492"/>
      <c r="F74" s="1492"/>
      <c r="G74" s="1492"/>
      <c r="H74" s="1492"/>
      <c r="I74" s="1492"/>
      <c r="J74" s="1492"/>
      <c r="K74" s="1492"/>
      <c r="L74" s="1492"/>
      <c r="M74" s="1492"/>
      <c r="N74" s="1"/>
      <c r="O74" s="1"/>
    </row>
    <row r="75" spans="1:15" ht="16.5" customHeight="1" x14ac:dyDescent="0.2">
      <c r="A75" s="181"/>
      <c r="B75" s="1"/>
      <c r="C75" s="1482" t="s">
        <v>848</v>
      </c>
      <c r="D75" s="1483"/>
      <c r="E75" s="1483"/>
      <c r="F75" s="1483"/>
      <c r="G75" s="1483"/>
      <c r="H75" s="1483"/>
      <c r="I75" s="1483"/>
      <c r="J75" s="1483"/>
      <c r="K75" s="1483"/>
      <c r="L75" s="1483"/>
      <c r="M75" s="1483"/>
      <c r="N75" s="1"/>
      <c r="O75" s="1"/>
    </row>
    <row r="76" spans="1:15" s="168" customFormat="1" ht="19.5" customHeight="1" x14ac:dyDescent="0.2">
      <c r="A76" s="1316"/>
      <c r="B76" s="167"/>
      <c r="C76" s="167"/>
      <c r="D76" s="167"/>
      <c r="E76" s="167"/>
      <c r="F76" s="1508" t="str">
        <f>IF(K83=J165,B157,"")</f>
        <v/>
      </c>
      <c r="G76" s="1508"/>
      <c r="H76" s="1508"/>
      <c r="I76" s="1508"/>
      <c r="J76" s="1508"/>
      <c r="K76" s="1508"/>
      <c r="L76" s="1508"/>
      <c r="M76" s="1508"/>
      <c r="N76" s="167"/>
      <c r="O76" s="167"/>
    </row>
    <row r="77" spans="1:15" s="168" customFormat="1" ht="18.75" customHeight="1" x14ac:dyDescent="0.2">
      <c r="A77" s="1316"/>
      <c r="B77" s="167"/>
      <c r="C77" s="167"/>
      <c r="D77" s="1539" t="s">
        <v>395</v>
      </c>
      <c r="E77" s="1539"/>
      <c r="F77" s="1497" t="str">
        <f>IMPOSTAZIONI!C73</f>
        <v>Inserisci la tua Ragione Sociale</v>
      </c>
      <c r="G77" s="1498"/>
      <c r="H77" s="1498"/>
      <c r="I77" s="1498"/>
      <c r="J77" s="1498"/>
      <c r="K77" s="1498"/>
      <c r="L77" s="1498"/>
      <c r="M77" s="1499"/>
      <c r="N77" s="167"/>
      <c r="O77" s="167"/>
    </row>
    <row r="78" spans="1:15" s="168" customFormat="1" ht="4.5" customHeight="1" x14ac:dyDescent="0.2">
      <c r="A78" s="1316"/>
      <c r="B78" s="167"/>
      <c r="C78" s="167"/>
      <c r="D78" s="167"/>
      <c r="E78" s="167"/>
      <c r="F78" s="167"/>
      <c r="G78" s="167"/>
      <c r="H78" s="167"/>
      <c r="I78" s="167"/>
      <c r="J78" s="167"/>
      <c r="K78" s="167"/>
      <c r="L78" s="167"/>
      <c r="M78" s="167"/>
      <c r="N78" s="167"/>
      <c r="O78" s="167"/>
    </row>
    <row r="79" spans="1:15" s="168" customFormat="1" ht="18.75" customHeight="1" x14ac:dyDescent="0.2">
      <c r="A79" s="1316"/>
      <c r="B79" s="167"/>
      <c r="C79" s="167"/>
      <c r="D79" s="167"/>
      <c r="E79" s="167"/>
      <c r="F79" s="167"/>
      <c r="G79" s="167"/>
      <c r="H79" s="167"/>
      <c r="I79" s="1504" t="s">
        <v>397</v>
      </c>
      <c r="J79" s="1505"/>
      <c r="K79" s="1501" t="str">
        <f>IMPOSTAZIONI!O73</f>
        <v>01234567891</v>
      </c>
      <c r="L79" s="1502"/>
      <c r="M79" s="1503"/>
      <c r="N79" s="167"/>
      <c r="O79" s="169"/>
    </row>
    <row r="80" spans="1:15" s="168" customFormat="1" ht="4.5" customHeight="1" x14ac:dyDescent="0.2">
      <c r="A80" s="1316"/>
      <c r="B80" s="167"/>
      <c r="C80" s="167"/>
      <c r="D80" s="167"/>
      <c r="E80" s="167"/>
      <c r="F80" s="167"/>
      <c r="G80" s="167"/>
      <c r="H80" s="167"/>
      <c r="I80" s="167"/>
      <c r="J80" s="167"/>
      <c r="K80" s="167"/>
      <c r="L80" s="167"/>
      <c r="M80" s="167"/>
      <c r="N80" s="167"/>
      <c r="O80" s="167"/>
    </row>
    <row r="81" spans="1:109" s="168" customFormat="1" ht="18.75" customHeight="1" x14ac:dyDescent="0.2">
      <c r="A81" s="1316"/>
      <c r="B81" s="167"/>
      <c r="C81" s="167"/>
      <c r="D81" s="1500" t="s">
        <v>396</v>
      </c>
      <c r="E81" s="1500"/>
      <c r="F81" s="1507" t="str">
        <f>CONCATENATE(IMPOSTAZIONI!C75," - ",IMPOSTAZIONI!M75," - ",IMPOSTAZIONI!O75," - ",IMPOSTAZIONI!V75)</f>
        <v xml:space="preserve">Indirizzo per esteso -  -  - </v>
      </c>
      <c r="G81" s="1507"/>
      <c r="H81" s="1507"/>
      <c r="I81" s="1507"/>
      <c r="J81" s="1507"/>
      <c r="K81" s="1507"/>
      <c r="L81" s="1507"/>
      <c r="M81" s="1507"/>
      <c r="N81" s="167"/>
      <c r="O81" s="167"/>
    </row>
    <row r="82" spans="1:109" s="168" customFormat="1" ht="11.25" customHeight="1" x14ac:dyDescent="0.2">
      <c r="A82" s="1316"/>
      <c r="B82" s="167"/>
      <c r="C82" s="167"/>
      <c r="D82" s="167"/>
      <c r="E82" s="167"/>
      <c r="F82" s="167"/>
      <c r="G82" s="167"/>
      <c r="H82" s="167"/>
      <c r="I82" s="167"/>
      <c r="J82" s="167"/>
      <c r="K82" s="167"/>
      <c r="L82" s="167"/>
      <c r="M82" s="167"/>
      <c r="N82" s="167"/>
      <c r="O82" s="167"/>
    </row>
    <row r="83" spans="1:109" s="168" customFormat="1" ht="18.75" customHeight="1" x14ac:dyDescent="0.2">
      <c r="A83" s="1316"/>
      <c r="B83" s="167"/>
      <c r="C83" s="911" t="s">
        <v>572</v>
      </c>
      <c r="D83" s="167"/>
      <c r="E83" s="167"/>
      <c r="F83" s="167"/>
      <c r="G83" s="1506" t="s">
        <v>574</v>
      </c>
      <c r="H83" s="1506"/>
      <c r="I83" s="1506"/>
      <c r="J83" s="1506"/>
      <c r="K83" s="1494"/>
      <c r="L83" s="1495"/>
      <c r="M83" s="1496"/>
      <c r="N83" s="557">
        <f>IF(ISBLANK(K83),0,1)</f>
        <v>0</v>
      </c>
      <c r="O83" s="167"/>
      <c r="P83" s="549"/>
      <c r="DE83" s="549"/>
    </row>
    <row r="84" spans="1:109" s="168" customFormat="1" ht="15.75" customHeight="1" x14ac:dyDescent="0.2">
      <c r="A84" s="1316"/>
      <c r="B84" s="167"/>
      <c r="C84" s="1416" t="str">
        <f>IF($K$83=$J$165,"ora è disattivato","cambi trimestre")</f>
        <v>cambi trimestre</v>
      </c>
      <c r="D84" s="167"/>
      <c r="E84" s="167"/>
      <c r="F84" s="167"/>
      <c r="G84" s="167"/>
      <c r="H84" s="167"/>
      <c r="I84" s="167"/>
      <c r="J84" s="167"/>
      <c r="K84" s="1488"/>
      <c r="L84" s="1488"/>
      <c r="M84" s="1488"/>
      <c r="N84" s="557"/>
      <c r="O84" s="167"/>
    </row>
    <row r="85" spans="1:109" ht="21.75" customHeight="1" x14ac:dyDescent="0.2">
      <c r="A85" s="1317"/>
      <c r="B85" s="32"/>
      <c r="C85" s="1395">
        <f ca="1">D172</f>
        <v>0</v>
      </c>
      <c r="D85" s="1396" t="s">
        <v>250</v>
      </c>
      <c r="E85" s="1396" t="s">
        <v>678</v>
      </c>
      <c r="F85" s="165"/>
      <c r="G85" s="1397"/>
      <c r="H85" s="896"/>
      <c r="I85" s="1538" t="str">
        <f>IF(K83="","",IF(J165=K83,B155,B156))</f>
        <v/>
      </c>
      <c r="J85" s="1538"/>
      <c r="K85" s="1538"/>
      <c r="L85" s="1538"/>
      <c r="M85" s="1538"/>
      <c r="N85" s="171"/>
      <c r="O85" s="167"/>
      <c r="P85" s="168"/>
      <c r="Q85" s="168"/>
      <c r="R85" s="168"/>
      <c r="S85" s="168"/>
      <c r="T85" s="168"/>
      <c r="U85" s="168"/>
      <c r="V85" s="168"/>
      <c r="W85" s="168"/>
      <c r="X85" s="168"/>
      <c r="Y85" s="54"/>
      <c r="Z85" s="54"/>
      <c r="AA85" s="54"/>
      <c r="AB85" s="54"/>
      <c r="AC85" s="54"/>
      <c r="AD85" s="54"/>
      <c r="AE85" s="54"/>
      <c r="AF85" s="54"/>
      <c r="AG85" s="54"/>
      <c r="AH85" s="54"/>
      <c r="AI85" s="54"/>
      <c r="AJ85" s="54"/>
      <c r="AK85" s="54"/>
      <c r="AL85" s="54"/>
    </row>
    <row r="86" spans="1:109" ht="21.75" customHeight="1" x14ac:dyDescent="0.25">
      <c r="A86" s="487"/>
      <c r="B86" s="1534" t="str">
        <f ca="1">IF(K83=Presentazione!J165,B151,IF(I85=B156,B152,IF(C85&lt;0,"","")))</f>
        <v/>
      </c>
      <c r="C86" s="1534"/>
      <c r="D86" s="1534"/>
      <c r="E86" s="1534"/>
      <c r="F86" s="1534"/>
      <c r="G86" s="1534"/>
      <c r="H86" s="1534"/>
      <c r="I86" s="1534"/>
      <c r="J86" s="1534"/>
      <c r="K86" s="1534"/>
      <c r="L86" s="1534"/>
      <c r="M86" s="1534"/>
      <c r="N86" s="1279" t="s">
        <v>23</v>
      </c>
      <c r="O86" s="1270" t="str">
        <f>IF(K83=J165,I151,H147)</f>
        <v>Il codice che hai inserito nel sistema non è stato riconosciuto.</v>
      </c>
      <c r="P86" s="168"/>
      <c r="Q86" s="168"/>
      <c r="R86" s="168"/>
      <c r="S86" s="168"/>
      <c r="T86" s="168"/>
      <c r="U86" s="168"/>
      <c r="V86" s="168"/>
      <c r="W86" s="168"/>
      <c r="X86" s="168"/>
      <c r="Y86" s="54"/>
      <c r="Z86" s="54"/>
      <c r="AA86" s="54"/>
      <c r="AB86" s="54"/>
      <c r="AC86" s="54"/>
      <c r="AD86" s="54"/>
      <c r="AE86" s="54"/>
      <c r="AF86" s="54"/>
      <c r="AG86" s="54"/>
      <c r="AH86" s="54"/>
      <c r="AI86" s="54"/>
      <c r="AJ86" s="54"/>
      <c r="AK86" s="54"/>
    </row>
    <row r="87" spans="1:109" ht="20.25" customHeight="1" x14ac:dyDescent="0.2">
      <c r="A87" s="487"/>
      <c r="B87" s="32"/>
      <c r="C87" s="1533" t="s">
        <v>670</v>
      </c>
      <c r="D87" s="1533"/>
      <c r="E87" s="1533"/>
      <c r="F87" s="1533"/>
      <c r="G87" s="1533"/>
      <c r="H87" s="1532" t="s">
        <v>36</v>
      </c>
      <c r="I87" s="1532"/>
      <c r="J87" s="1532"/>
      <c r="K87" s="1532"/>
      <c r="L87" s="1532"/>
      <c r="M87" s="1532"/>
      <c r="N87" s="32"/>
      <c r="O87" s="1271" t="str">
        <f>IF(K83=J165,I152,H148)</f>
        <v>Le cause possono essere le seguenti:</v>
      </c>
    </row>
    <row r="88" spans="1:109" ht="18" customHeight="1" x14ac:dyDescent="0.2">
      <c r="A88" s="487"/>
      <c r="B88" s="32"/>
      <c r="C88" s="1536" t="str">
        <f>$G$35</f>
        <v>Registro dei Corrispettivi 5.2.4 3txt - per EXCEL .xlsm</v>
      </c>
      <c r="D88" s="1536"/>
      <c r="E88" s="1536"/>
      <c r="F88" s="1536"/>
      <c r="G88" s="1536"/>
      <c r="H88" s="1536"/>
      <c r="I88" s="1536"/>
      <c r="J88" s="1536"/>
      <c r="K88" s="1536"/>
      <c r="L88" s="1537" t="s">
        <v>253</v>
      </c>
      <c r="M88" s="1537"/>
      <c r="N88" s="32"/>
      <c r="O88" s="32"/>
    </row>
    <row r="89" spans="1:109" ht="13.5" customHeight="1" x14ac:dyDescent="0.2">
      <c r="A89" s="487"/>
      <c r="B89" s="32"/>
      <c r="C89" s="184"/>
      <c r="D89" s="184"/>
      <c r="E89" s="184"/>
      <c r="F89" s="184"/>
      <c r="G89" s="184"/>
      <c r="H89" s="184"/>
      <c r="I89" s="184"/>
      <c r="J89" s="184"/>
      <c r="K89" s="184"/>
      <c r="L89" s="184"/>
      <c r="M89" s="184"/>
      <c r="N89" s="32"/>
      <c r="O89" s="1272" t="s">
        <v>616</v>
      </c>
    </row>
    <row r="90" spans="1:109" ht="13.5" customHeight="1" x14ac:dyDescent="0.2">
      <c r="A90" s="487"/>
      <c r="B90" s="32"/>
      <c r="C90" s="1535" t="s">
        <v>409</v>
      </c>
      <c r="D90" s="1535"/>
      <c r="E90" s="1535"/>
      <c r="F90" s="1535"/>
      <c r="G90" s="1535"/>
      <c r="H90" s="1535"/>
      <c r="I90" s="1535"/>
      <c r="J90" s="1535"/>
      <c r="K90" s="1535"/>
      <c r="L90" s="1535"/>
      <c r="M90" s="1535"/>
      <c r="N90" s="32"/>
      <c r="O90" s="1273" t="s">
        <v>558</v>
      </c>
    </row>
    <row r="91" spans="1:109" ht="13.5" customHeight="1" x14ac:dyDescent="0.2">
      <c r="A91" s="487"/>
      <c r="B91" s="32"/>
      <c r="C91" s="1516" t="s">
        <v>37</v>
      </c>
      <c r="D91" s="1516"/>
      <c r="E91" s="1516"/>
      <c r="F91" s="1516"/>
      <c r="G91" s="1516"/>
      <c r="H91" s="1516"/>
      <c r="I91" s="1516"/>
      <c r="J91" s="1516"/>
      <c r="K91" s="1516"/>
      <c r="L91" s="1516"/>
      <c r="M91" s="1516"/>
      <c r="N91" s="32"/>
      <c r="O91" s="1274" t="s">
        <v>617</v>
      </c>
    </row>
    <row r="92" spans="1:109" ht="13.5" customHeight="1" x14ac:dyDescent="0.2">
      <c r="A92" s="487"/>
      <c r="B92" s="32"/>
      <c r="C92" s="1530" t="s">
        <v>363</v>
      </c>
      <c r="D92" s="1531"/>
      <c r="E92" s="1531"/>
      <c r="F92" s="1531"/>
      <c r="G92" s="1531"/>
      <c r="H92" s="1531"/>
      <c r="I92" s="1531"/>
      <c r="J92" s="1531"/>
      <c r="K92" s="1531"/>
      <c r="L92" s="1531"/>
      <c r="M92" s="1531"/>
      <c r="N92" s="32"/>
      <c r="O92" s="1275" t="s">
        <v>699</v>
      </c>
    </row>
    <row r="93" spans="1:109" ht="13.5" customHeight="1" x14ac:dyDescent="0.2">
      <c r="A93" s="487"/>
      <c r="B93" s="32"/>
      <c r="C93" s="32"/>
      <c r="D93" s="32"/>
      <c r="E93" s="32"/>
      <c r="F93" s="32"/>
      <c r="G93" s="32"/>
      <c r="H93" s="32"/>
      <c r="I93" s="32"/>
      <c r="J93" s="32"/>
      <c r="K93" s="32"/>
      <c r="L93" s="32"/>
      <c r="M93" s="32"/>
      <c r="N93" s="32"/>
      <c r="O93" s="1275" t="s">
        <v>614</v>
      </c>
    </row>
    <row r="94" spans="1:109" ht="13.5" customHeight="1" x14ac:dyDescent="0.2">
      <c r="A94" s="487"/>
      <c r="B94" s="32"/>
      <c r="C94" s="32"/>
      <c r="D94" s="32"/>
      <c r="E94" s="32"/>
      <c r="F94" s="32"/>
      <c r="G94" s="32"/>
      <c r="H94" s="32"/>
      <c r="I94" s="32"/>
      <c r="J94" s="32"/>
      <c r="K94" s="32"/>
      <c r="L94" s="32"/>
      <c r="M94" s="32"/>
      <c r="N94" s="32"/>
      <c r="O94" s="1273" t="s">
        <v>615</v>
      </c>
    </row>
    <row r="95" spans="1:109" ht="13.5" customHeight="1" x14ac:dyDescent="0.2">
      <c r="A95" s="487"/>
      <c r="B95" s="32"/>
      <c r="C95" s="32"/>
      <c r="D95" s="32"/>
      <c r="E95" s="32"/>
      <c r="F95" s="32"/>
      <c r="G95" s="32"/>
      <c r="H95" s="32"/>
      <c r="I95" s="32"/>
      <c r="J95" s="32"/>
      <c r="K95" s="32"/>
      <c r="L95" s="32"/>
      <c r="M95" s="32"/>
      <c r="N95" s="32"/>
      <c r="O95" s="1274" t="s">
        <v>557</v>
      </c>
    </row>
    <row r="96" spans="1:109" ht="13.5" customHeight="1" x14ac:dyDescent="0.2">
      <c r="A96" s="487"/>
      <c r="B96" s="32"/>
      <c r="C96" s="32"/>
      <c r="D96" s="32"/>
      <c r="E96" s="32"/>
      <c r="F96" s="32"/>
      <c r="G96" s="32"/>
      <c r="H96" s="32"/>
      <c r="I96" s="32"/>
      <c r="J96" s="32"/>
      <c r="K96" s="32"/>
      <c r="L96" s="32"/>
      <c r="M96" s="32"/>
      <c r="N96" s="32"/>
      <c r="O96" s="1275" t="s">
        <v>24</v>
      </c>
    </row>
    <row r="97" spans="1:15" ht="13.5" customHeight="1" x14ac:dyDescent="0.2">
      <c r="A97" s="487"/>
      <c r="B97" s="32"/>
      <c r="C97" s="1526" t="s">
        <v>849</v>
      </c>
      <c r="D97" s="1526"/>
      <c r="E97" s="1526"/>
      <c r="F97" s="1526"/>
      <c r="G97" s="1526"/>
      <c r="H97" s="1526"/>
      <c r="I97" s="1526"/>
      <c r="J97" s="1526"/>
      <c r="K97" s="1526"/>
      <c r="L97" s="1526"/>
      <c r="M97" s="1526"/>
      <c r="N97" s="32"/>
      <c r="O97" s="1273" t="s">
        <v>90</v>
      </c>
    </row>
    <row r="98" spans="1:15" ht="13.5" customHeight="1" x14ac:dyDescent="0.2">
      <c r="A98" s="487"/>
      <c r="B98" s="32"/>
      <c r="C98" s="1528" t="s">
        <v>854</v>
      </c>
      <c r="D98" s="1528"/>
      <c r="E98" s="1528"/>
      <c r="F98" s="1528"/>
      <c r="G98" s="1528"/>
      <c r="H98" s="1528"/>
      <c r="I98" s="1528"/>
      <c r="J98" s="1528"/>
      <c r="K98" s="1528"/>
      <c r="L98" s="1528"/>
      <c r="M98" s="1528"/>
      <c r="N98" s="32"/>
      <c r="O98" s="32"/>
    </row>
    <row r="99" spans="1:15" ht="13.5" customHeight="1" x14ac:dyDescent="0.2">
      <c r="A99" s="487"/>
      <c r="B99" s="32"/>
      <c r="C99" s="32"/>
      <c r="D99" s="32"/>
      <c r="E99" s="32"/>
      <c r="F99" s="32"/>
      <c r="G99" s="32"/>
      <c r="H99" s="32"/>
      <c r="I99" s="32"/>
      <c r="J99" s="32"/>
      <c r="K99" s="32"/>
      <c r="L99" s="1529" t="s">
        <v>571</v>
      </c>
      <c r="M99" s="1529"/>
      <c r="N99" s="32"/>
      <c r="O99" s="1276" t="s">
        <v>25</v>
      </c>
    </row>
    <row r="100" spans="1:15" ht="13.5" customHeight="1" x14ac:dyDescent="0.25">
      <c r="A100" s="487"/>
      <c r="B100" s="32"/>
      <c r="C100" s="1362" t="s">
        <v>362</v>
      </c>
      <c r="D100" s="32"/>
      <c r="E100" s="1281"/>
      <c r="F100" s="1283" t="s">
        <v>861</v>
      </c>
      <c r="G100" s="32"/>
      <c r="H100" s="1283" t="s">
        <v>27</v>
      </c>
      <c r="I100" s="32"/>
      <c r="J100" s="32"/>
      <c r="K100" s="1283" t="s">
        <v>29</v>
      </c>
      <c r="L100" s="1363"/>
      <c r="M100" s="1363"/>
      <c r="N100" s="32"/>
      <c r="O100" s="32"/>
    </row>
    <row r="101" spans="1:15" ht="13.5" customHeight="1" x14ac:dyDescent="0.25">
      <c r="A101" s="487"/>
      <c r="B101" s="32"/>
      <c r="C101" s="1364" t="s">
        <v>572</v>
      </c>
      <c r="D101" s="32"/>
      <c r="E101" s="1282"/>
      <c r="F101" s="1284" t="s">
        <v>572</v>
      </c>
      <c r="G101" s="32"/>
      <c r="H101" s="1284" t="s">
        <v>573</v>
      </c>
      <c r="I101" s="1284" t="s">
        <v>28</v>
      </c>
      <c r="J101" s="32"/>
      <c r="K101" s="580" t="s">
        <v>696</v>
      </c>
      <c r="L101" s="32"/>
      <c r="M101" s="1368"/>
      <c r="N101" s="32"/>
      <c r="O101" s="32"/>
    </row>
    <row r="102" spans="1:15" x14ac:dyDescent="0.2">
      <c r="A102" s="487"/>
      <c r="B102" s="32"/>
      <c r="C102" s="32"/>
      <c r="D102" s="32"/>
      <c r="E102" s="1426" t="s">
        <v>862</v>
      </c>
      <c r="F102" s="32"/>
      <c r="G102" s="32"/>
      <c r="H102" s="32"/>
      <c r="I102" s="32"/>
      <c r="J102" s="32"/>
      <c r="K102" s="32"/>
      <c r="L102" s="32"/>
      <c r="M102" s="32"/>
      <c r="N102" s="32"/>
      <c r="O102" s="32"/>
    </row>
    <row r="103" spans="1:15" x14ac:dyDescent="0.2">
      <c r="A103" s="487"/>
      <c r="B103" s="32"/>
      <c r="C103" s="32"/>
      <c r="D103" s="32"/>
      <c r="E103" s="32"/>
      <c r="F103" s="32"/>
      <c r="G103" s="32"/>
      <c r="H103" s="32"/>
      <c r="I103" s="32"/>
      <c r="J103" s="32"/>
      <c r="K103" s="32"/>
      <c r="L103" s="32"/>
      <c r="M103" s="32"/>
      <c r="N103" s="32"/>
      <c r="O103" s="32"/>
    </row>
    <row r="104" spans="1:15" ht="15" x14ac:dyDescent="0.25">
      <c r="A104" s="32"/>
      <c r="B104" s="32"/>
      <c r="C104" s="1412"/>
      <c r="D104" s="1413" t="s">
        <v>0</v>
      </c>
      <c r="E104" s="1412"/>
      <c r="F104" s="1412"/>
      <c r="G104" s="1412"/>
      <c r="H104" s="1412"/>
      <c r="I104" s="1412"/>
      <c r="J104" s="1412"/>
      <c r="K104" s="1412"/>
      <c r="L104" s="1412"/>
      <c r="M104" s="1412"/>
      <c r="N104" s="32"/>
      <c r="O104" s="32"/>
    </row>
    <row r="105" spans="1:15" x14ac:dyDescent="0.2">
      <c r="A105" s="32"/>
      <c r="B105" s="32"/>
      <c r="C105" s="1295"/>
      <c r="D105" s="1295" t="s">
        <v>873</v>
      </c>
      <c r="E105" s="1295"/>
      <c r="F105" s="1295"/>
      <c r="G105" s="1295"/>
      <c r="H105" s="1295"/>
      <c r="I105" s="1295"/>
      <c r="J105" s="1295"/>
      <c r="K105" s="1295"/>
      <c r="L105" s="1295"/>
      <c r="M105" s="1295"/>
      <c r="N105" s="32"/>
      <c r="O105" s="32"/>
    </row>
    <row r="106" spans="1:15" ht="18" customHeight="1" x14ac:dyDescent="0.2">
      <c r="A106" s="32"/>
      <c r="B106" s="32"/>
      <c r="C106" s="1282"/>
      <c r="D106" s="1282"/>
      <c r="E106" s="1282"/>
      <c r="F106" s="1282"/>
      <c r="G106" s="1282"/>
      <c r="H106" s="1414" t="s">
        <v>1</v>
      </c>
      <c r="I106" s="1519" t="s">
        <v>844</v>
      </c>
      <c r="J106" s="1520"/>
      <c r="K106" s="1521"/>
      <c r="L106" s="1282"/>
      <c r="M106" s="1282"/>
      <c r="N106" s="32"/>
      <c r="O106" s="32"/>
    </row>
    <row r="107" spans="1:15" x14ac:dyDescent="0.2">
      <c r="A107" s="487"/>
      <c r="B107" s="32"/>
      <c r="C107" s="32"/>
      <c r="D107" s="32"/>
      <c r="E107" s="32"/>
      <c r="F107" s="32"/>
      <c r="G107" s="32"/>
      <c r="H107" s="32"/>
      <c r="I107" s="32"/>
      <c r="J107" s="32"/>
      <c r="K107" s="32"/>
      <c r="L107" s="32"/>
      <c r="M107" s="32"/>
      <c r="N107" s="32"/>
      <c r="O107" s="32"/>
    </row>
    <row r="108" spans="1:15" x14ac:dyDescent="0.2">
      <c r="A108" s="487"/>
      <c r="B108" s="32"/>
      <c r="C108" s="521"/>
      <c r="D108" s="521"/>
      <c r="E108" s="521"/>
      <c r="F108" s="521"/>
      <c r="G108" s="521"/>
      <c r="H108" s="521"/>
      <c r="I108" s="521"/>
      <c r="J108" s="521"/>
      <c r="K108" s="521"/>
      <c r="L108" s="521"/>
      <c r="M108" s="521"/>
      <c r="N108" s="32"/>
      <c r="O108" s="32"/>
    </row>
    <row r="109" spans="1:15" ht="12" customHeight="1" x14ac:dyDescent="0.2">
      <c r="A109" s="487"/>
      <c r="B109" s="32"/>
      <c r="C109" s="163"/>
      <c r="D109" s="32"/>
      <c r="E109" s="32"/>
      <c r="F109" s="32"/>
      <c r="G109" s="551"/>
      <c r="H109" s="32"/>
      <c r="I109" s="584"/>
      <c r="J109" s="32"/>
      <c r="K109" s="1393" t="s">
        <v>255</v>
      </c>
      <c r="L109" s="1442" t="s">
        <v>227</v>
      </c>
      <c r="M109" s="32"/>
      <c r="N109" s="32"/>
      <c r="O109" s="32"/>
    </row>
    <row r="110" spans="1:15" ht="16.5" customHeight="1" x14ac:dyDescent="0.2">
      <c r="A110" s="487"/>
      <c r="B110" s="32"/>
      <c r="C110" s="163"/>
      <c r="D110" s="1527" t="s">
        <v>561</v>
      </c>
      <c r="E110" s="1527"/>
      <c r="F110" s="1527"/>
      <c r="H110" s="32"/>
      <c r="I110" s="163"/>
      <c r="J110" s="32"/>
      <c r="K110" s="1394" t="s">
        <v>256</v>
      </c>
      <c r="L110" s="1443"/>
      <c r="M110" s="32"/>
      <c r="N110" s="32"/>
      <c r="O110" s="32"/>
    </row>
    <row r="111" spans="1:15" ht="15.75" customHeight="1" x14ac:dyDescent="0.2">
      <c r="A111" s="487"/>
      <c r="B111" s="32"/>
      <c r="C111" s="163"/>
      <c r="D111" s="1444" t="s">
        <v>13</v>
      </c>
      <c r="E111" s="1444"/>
      <c r="F111" s="1444"/>
      <c r="G111" s="1444"/>
      <c r="H111" s="551"/>
      <c r="I111" s="163"/>
      <c r="J111" s="163"/>
      <c r="K111" s="163"/>
      <c r="L111" s="163"/>
      <c r="M111" s="32"/>
      <c r="N111" s="32"/>
      <c r="O111" s="32"/>
    </row>
    <row r="112" spans="1:15" ht="18" customHeight="1" x14ac:dyDescent="0.2">
      <c r="A112" s="487"/>
      <c r="B112" s="32"/>
      <c r="C112" s="163"/>
      <c r="D112" s="1445" t="s">
        <v>679</v>
      </c>
      <c r="E112" s="1445"/>
      <c r="F112" s="1445"/>
      <c r="G112" s="1445"/>
      <c r="H112" s="1445"/>
      <c r="I112" s="1445"/>
      <c r="J112" s="1445"/>
      <c r="K112" s="1445"/>
      <c r="L112" s="163"/>
      <c r="M112" s="32"/>
      <c r="N112" s="32"/>
      <c r="O112" s="32"/>
    </row>
    <row r="113" spans="1:15" ht="14.25" x14ac:dyDescent="0.2">
      <c r="A113" s="487"/>
      <c r="B113" s="32"/>
      <c r="C113" s="163"/>
      <c r="D113" s="1445" t="s">
        <v>680</v>
      </c>
      <c r="E113" s="1445"/>
      <c r="F113" s="1445"/>
      <c r="G113" s="1445"/>
      <c r="H113" s="1445"/>
      <c r="I113" s="1445"/>
      <c r="J113" s="1445"/>
      <c r="K113" s="1445"/>
      <c r="L113" s="163"/>
      <c r="M113" s="32"/>
      <c r="N113" s="32"/>
      <c r="O113" s="32"/>
    </row>
    <row r="114" spans="1:15" ht="18" customHeight="1" x14ac:dyDescent="0.2">
      <c r="A114" s="487"/>
      <c r="B114" s="32"/>
      <c r="C114" s="163"/>
      <c r="D114" s="1446" t="s">
        <v>681</v>
      </c>
      <c r="E114" s="1446"/>
      <c r="F114" s="1446"/>
      <c r="G114" s="1446"/>
      <c r="H114" s="1446"/>
      <c r="I114" s="1446"/>
      <c r="J114" s="1446"/>
      <c r="K114" s="1446"/>
      <c r="L114" s="163"/>
      <c r="M114" s="32"/>
      <c r="N114" s="32"/>
      <c r="O114" s="32"/>
    </row>
    <row r="115" spans="1:15" ht="18" customHeight="1" x14ac:dyDescent="0.2">
      <c r="A115" s="487"/>
      <c r="B115" s="32"/>
      <c r="C115" s="163"/>
      <c r="D115" s="1445" t="s">
        <v>855</v>
      </c>
      <c r="E115" s="1445"/>
      <c r="F115" s="1445"/>
      <c r="G115" s="1445"/>
      <c r="H115" s="1445"/>
      <c r="I115" s="1445"/>
      <c r="J115" s="1445"/>
      <c r="K115" s="1445"/>
      <c r="L115" s="163"/>
      <c r="M115" s="32"/>
      <c r="N115" s="32"/>
      <c r="O115" s="32"/>
    </row>
    <row r="116" spans="1:15" ht="14.25" customHeight="1" x14ac:dyDescent="0.2">
      <c r="A116" s="487"/>
      <c r="B116" s="32"/>
      <c r="C116" s="163"/>
      <c r="D116" s="1525" t="s">
        <v>856</v>
      </c>
      <c r="E116" s="1525"/>
      <c r="F116" s="1525"/>
      <c r="G116" s="1525"/>
      <c r="H116" s="1525"/>
      <c r="I116" s="1525"/>
      <c r="J116" s="1525"/>
      <c r="K116" s="1525"/>
      <c r="L116" s="163"/>
      <c r="M116" s="32"/>
      <c r="N116" s="32"/>
      <c r="O116" s="32"/>
    </row>
    <row r="117" spans="1:15" ht="18" customHeight="1" x14ac:dyDescent="0.2">
      <c r="A117" s="487"/>
      <c r="B117" s="32"/>
      <c r="C117" s="163"/>
      <c r="D117" s="1450" t="s">
        <v>857</v>
      </c>
      <c r="E117" s="1450"/>
      <c r="F117" s="1450"/>
      <c r="G117" s="1391"/>
      <c r="H117" s="1391"/>
      <c r="I117" s="1391"/>
      <c r="J117" s="1391"/>
      <c r="K117" s="1391"/>
      <c r="L117" s="163"/>
      <c r="M117" s="32"/>
      <c r="N117" s="32"/>
      <c r="O117" s="32"/>
    </row>
    <row r="118" spans="1:15" ht="18" customHeight="1" x14ac:dyDescent="0.2">
      <c r="A118" s="487"/>
      <c r="B118" s="32"/>
      <c r="C118" s="163"/>
      <c r="D118" s="1445" t="s">
        <v>15</v>
      </c>
      <c r="E118" s="1445"/>
      <c r="F118" s="1445"/>
      <c r="G118" s="1445"/>
      <c r="H118" s="1445"/>
      <c r="I118" s="1445"/>
      <c r="J118" s="1445"/>
      <c r="K118" s="1445"/>
      <c r="L118" s="163"/>
      <c r="M118" s="32"/>
      <c r="N118" s="32"/>
      <c r="O118" s="32"/>
    </row>
    <row r="119" spans="1:15" ht="18" customHeight="1" x14ac:dyDescent="0.2">
      <c r="A119" s="487"/>
      <c r="B119" s="32"/>
      <c r="C119" s="163"/>
      <c r="D119" s="1511" t="s">
        <v>16</v>
      </c>
      <c r="E119" s="1511"/>
      <c r="F119" s="1511"/>
      <c r="G119" s="1511"/>
      <c r="H119" s="1511"/>
      <c r="I119" s="1511"/>
      <c r="J119" s="1511"/>
      <c r="K119" s="1511"/>
      <c r="L119" s="1267" t="s">
        <v>572</v>
      </c>
      <c r="M119" s="32"/>
      <c r="N119" s="32"/>
      <c r="O119" s="32"/>
    </row>
    <row r="120" spans="1:15" ht="18" customHeight="1" x14ac:dyDescent="0.2">
      <c r="A120" s="487"/>
      <c r="B120" s="32"/>
      <c r="C120" s="163"/>
      <c r="D120" s="1512" t="s">
        <v>17</v>
      </c>
      <c r="E120" s="1512"/>
      <c r="F120" s="1512"/>
      <c r="G120" s="1512"/>
      <c r="H120" s="1512"/>
      <c r="I120" s="1512"/>
      <c r="J120" s="1512"/>
      <c r="K120" s="1512"/>
      <c r="L120" s="163"/>
      <c r="M120" s="32"/>
      <c r="N120" s="32"/>
      <c r="O120" s="32"/>
    </row>
    <row r="121" spans="1:15" ht="33" customHeight="1" x14ac:dyDescent="0.25">
      <c r="A121" s="487"/>
      <c r="B121" s="32"/>
      <c r="C121" s="1420" t="s">
        <v>222</v>
      </c>
      <c r="D121" s="1421" t="s">
        <v>18</v>
      </c>
      <c r="E121" s="749"/>
      <c r="F121" s="749"/>
      <c r="G121" s="749"/>
      <c r="H121" s="749"/>
      <c r="I121" s="749"/>
      <c r="J121" s="749"/>
      <c r="K121" s="749"/>
      <c r="L121" s="163"/>
      <c r="M121" s="32"/>
      <c r="N121" s="32"/>
      <c r="O121" s="32"/>
    </row>
    <row r="122" spans="1:15" ht="18" customHeight="1" x14ac:dyDescent="0.25">
      <c r="A122" s="487"/>
      <c r="B122" s="32"/>
      <c r="C122" s="163"/>
      <c r="D122" s="1422" t="s">
        <v>120</v>
      </c>
      <c r="E122" s="750"/>
      <c r="F122" s="750"/>
      <c r="G122" s="750"/>
      <c r="H122" s="750"/>
      <c r="I122" s="750"/>
      <c r="J122" s="750"/>
      <c r="K122" s="750"/>
      <c r="L122" s="163"/>
      <c r="M122" s="32"/>
      <c r="N122" s="32"/>
      <c r="O122" s="32"/>
    </row>
    <row r="123" spans="1:15" ht="15" x14ac:dyDescent="0.2">
      <c r="A123" s="487"/>
      <c r="B123" s="32"/>
      <c r="C123" s="163"/>
      <c r="D123" s="1423" t="s">
        <v>840</v>
      </c>
      <c r="E123" s="750"/>
      <c r="F123" s="750"/>
      <c r="G123" s="750"/>
      <c r="H123" s="750"/>
      <c r="I123" s="750"/>
      <c r="J123" s="750"/>
      <c r="K123" s="750"/>
      <c r="L123" s="163"/>
      <c r="M123" s="32"/>
      <c r="N123" s="32"/>
      <c r="O123" s="32"/>
    </row>
    <row r="124" spans="1:15" ht="18" customHeight="1" x14ac:dyDescent="0.2">
      <c r="A124" s="487"/>
      <c r="B124" s="32"/>
      <c r="C124" s="163"/>
      <c r="D124" s="1424" t="s">
        <v>841</v>
      </c>
      <c r="E124" s="750"/>
      <c r="F124" s="750"/>
      <c r="G124" s="750"/>
      <c r="H124" s="750"/>
      <c r="I124" s="750"/>
      <c r="J124" s="750"/>
      <c r="K124" s="750"/>
      <c r="L124" s="163"/>
      <c r="M124" s="32"/>
      <c r="N124" s="32"/>
      <c r="O124" s="32"/>
    </row>
    <row r="125" spans="1:15" ht="18" customHeight="1" x14ac:dyDescent="0.25">
      <c r="A125" s="487"/>
      <c r="B125" s="32"/>
      <c r="C125" s="163"/>
      <c r="D125" s="1421" t="s">
        <v>19</v>
      </c>
      <c r="E125" s="751"/>
      <c r="F125" s="751"/>
      <c r="G125" s="751"/>
      <c r="H125" s="751"/>
      <c r="I125" s="751"/>
      <c r="J125" s="751"/>
      <c r="K125" s="751"/>
      <c r="L125" s="163"/>
      <c r="M125" s="32"/>
      <c r="N125" s="32"/>
      <c r="O125" s="32"/>
    </row>
    <row r="126" spans="1:15" ht="18" customHeight="1" x14ac:dyDescent="0.2">
      <c r="A126" s="487"/>
      <c r="B126" s="32"/>
      <c r="C126" s="163"/>
      <c r="D126" s="1424" t="s">
        <v>20</v>
      </c>
      <c r="E126" s="751"/>
      <c r="F126" s="751"/>
      <c r="G126" s="751"/>
      <c r="H126" s="751"/>
      <c r="I126" s="751"/>
      <c r="J126" s="751"/>
      <c r="K126" s="751"/>
      <c r="L126" s="163"/>
      <c r="M126" s="32"/>
      <c r="N126" s="32"/>
      <c r="O126" s="32"/>
    </row>
    <row r="127" spans="1:15" ht="15.75" customHeight="1" x14ac:dyDescent="0.2">
      <c r="A127" s="487"/>
      <c r="B127" s="32"/>
      <c r="D127" s="1265"/>
      <c r="E127" s="1265"/>
      <c r="F127" s="1265"/>
      <c r="G127" s="1265"/>
      <c r="H127" s="1265"/>
      <c r="I127" s="1265"/>
      <c r="J127" s="1265"/>
      <c r="K127" s="1265"/>
      <c r="L127" s="1265"/>
      <c r="M127" s="1265"/>
      <c r="N127" s="32"/>
      <c r="O127" s="32"/>
    </row>
    <row r="128" spans="1:15" ht="18.75" customHeight="1" x14ac:dyDescent="0.2">
      <c r="A128" s="487"/>
      <c r="B128" s="32"/>
      <c r="C128" s="1448" t="str">
        <f>CONCATENATE(G35,"   /   Sistema originale, nessuna riproduzione è permessa.")</f>
        <v>Registro dei Corrispettivi 5.2.4 3txt - per EXCEL .xlsm   /   Sistema originale, nessuna riproduzione è permessa.</v>
      </c>
      <c r="D128" s="1448"/>
      <c r="E128" s="1448"/>
      <c r="F128" s="1448"/>
      <c r="G128" s="1448"/>
      <c r="H128" s="1448"/>
      <c r="I128" s="1448"/>
      <c r="J128" s="1448"/>
      <c r="K128" s="1448"/>
      <c r="L128" s="1448"/>
      <c r="M128" s="1448"/>
      <c r="N128" s="32"/>
      <c r="O128" s="32"/>
    </row>
    <row r="129" spans="1:15" ht="15.75" customHeight="1" x14ac:dyDescent="0.2">
      <c r="A129" s="487"/>
      <c r="B129" s="32"/>
      <c r="C129" s="1514" t="s">
        <v>21</v>
      </c>
      <c r="D129" s="1514"/>
      <c r="E129" s="1514"/>
      <c r="F129" s="1514"/>
      <c r="G129" s="1514"/>
      <c r="H129" s="1514"/>
      <c r="I129" s="1514"/>
      <c r="J129" s="1514"/>
      <c r="K129" s="1514"/>
      <c r="L129" s="1514"/>
      <c r="M129" s="1514"/>
      <c r="N129" s="32"/>
      <c r="O129" s="32"/>
    </row>
    <row r="130" spans="1:15" ht="12.75" customHeight="1" x14ac:dyDescent="0.2">
      <c r="A130" s="487"/>
      <c r="B130" s="32"/>
      <c r="C130" s="1449" t="s">
        <v>164</v>
      </c>
      <c r="D130" s="1449"/>
      <c r="E130" s="1449"/>
      <c r="F130" s="1449"/>
      <c r="G130" s="1449"/>
      <c r="H130" s="1449"/>
      <c r="I130" s="1449"/>
      <c r="J130" s="1449"/>
      <c r="K130" s="1449"/>
      <c r="L130" s="1449"/>
      <c r="M130" s="1449"/>
      <c r="N130" s="32"/>
      <c r="O130" s="32"/>
    </row>
    <row r="131" spans="1:15" ht="15.75" customHeight="1" x14ac:dyDescent="0.2">
      <c r="A131" s="487"/>
      <c r="B131" s="32"/>
      <c r="C131" s="1447" t="s">
        <v>165</v>
      </c>
      <c r="D131" s="1447"/>
      <c r="E131" s="1447"/>
      <c r="F131" s="1447"/>
      <c r="G131" s="1447"/>
      <c r="H131" s="1447"/>
      <c r="I131" s="1447"/>
      <c r="J131" s="1447"/>
      <c r="K131" s="1447"/>
      <c r="L131" s="1447"/>
      <c r="M131" s="1447"/>
      <c r="N131" s="32"/>
      <c r="O131" s="32"/>
    </row>
    <row r="132" spans="1:15" ht="15.75" customHeight="1" x14ac:dyDescent="0.2">
      <c r="A132" s="487"/>
      <c r="B132" s="32"/>
      <c r="C132" s="1514"/>
      <c r="D132" s="1514"/>
      <c r="E132" s="1514"/>
      <c r="F132" s="1514"/>
      <c r="G132" s="1514"/>
      <c r="H132" s="1514"/>
      <c r="I132" s="1514"/>
      <c r="J132" s="1514"/>
      <c r="K132" s="1514"/>
      <c r="L132" s="1514"/>
      <c r="M132" s="1514"/>
      <c r="N132" s="32"/>
      <c r="O132" s="32"/>
    </row>
    <row r="133" spans="1:15" ht="18" customHeight="1" x14ac:dyDescent="0.2">
      <c r="A133" s="487"/>
      <c r="B133" s="32"/>
      <c r="C133" s="1447"/>
      <c r="D133" s="1447"/>
      <c r="E133" s="1447"/>
      <c r="F133" s="1447"/>
      <c r="G133" s="1447"/>
      <c r="H133" s="1447"/>
      <c r="I133" s="1447"/>
      <c r="J133" s="1447"/>
      <c r="K133" s="1447"/>
      <c r="L133" s="1447"/>
      <c r="M133" s="1447"/>
      <c r="N133" s="32"/>
      <c r="O133" s="32"/>
    </row>
    <row r="134" spans="1:15" ht="15.75" customHeight="1" x14ac:dyDescent="0.2">
      <c r="A134" s="487"/>
      <c r="B134" s="32"/>
      <c r="C134" s="32"/>
      <c r="D134" s="32"/>
      <c r="E134" s="32"/>
      <c r="F134" s="32"/>
      <c r="G134" s="32"/>
      <c r="H134" s="32"/>
      <c r="I134" s="32"/>
      <c r="J134" s="32"/>
      <c r="K134" s="32"/>
      <c r="L134" s="32"/>
      <c r="M134" s="32"/>
      <c r="N134" s="32"/>
      <c r="O134" s="32"/>
    </row>
    <row r="135" spans="1:15" ht="15" customHeight="1" x14ac:dyDescent="0.2">
      <c r="A135" s="487"/>
      <c r="B135" s="32"/>
      <c r="C135" s="1268"/>
      <c r="D135" s="1268"/>
      <c r="E135" s="1268"/>
      <c r="F135" s="1268"/>
      <c r="G135" s="1268"/>
      <c r="H135" s="1268"/>
      <c r="I135" s="1268"/>
      <c r="J135" s="1268"/>
      <c r="K135" s="1268"/>
      <c r="L135" s="1268"/>
      <c r="M135" s="1268"/>
      <c r="N135" s="32"/>
      <c r="O135" s="32"/>
    </row>
    <row r="136" spans="1:15" ht="15" customHeight="1" x14ac:dyDescent="0.2">
      <c r="A136" s="487"/>
      <c r="B136" s="32"/>
      <c r="C136" s="521"/>
      <c r="D136" s="521"/>
      <c r="E136" s="521"/>
      <c r="F136" s="521"/>
      <c r="G136" s="521"/>
      <c r="H136" s="521"/>
      <c r="I136" s="521"/>
      <c r="J136" s="521"/>
      <c r="K136" s="521"/>
      <c r="L136" s="521"/>
      <c r="M136" s="521"/>
      <c r="N136" s="32"/>
      <c r="O136" s="32"/>
    </row>
    <row r="137" spans="1:15" ht="18.75" customHeight="1" x14ac:dyDescent="0.2">
      <c r="A137" s="487"/>
      <c r="B137" s="32"/>
      <c r="C137" s="1493" t="s">
        <v>551</v>
      </c>
      <c r="D137" s="1493"/>
      <c r="E137" s="1493"/>
      <c r="F137" s="1493"/>
      <c r="G137" s="1493"/>
      <c r="H137" s="1493"/>
      <c r="I137" s="1493"/>
      <c r="J137" s="1493"/>
      <c r="K137" s="1493"/>
      <c r="L137" s="1493"/>
      <c r="M137" s="1493"/>
      <c r="N137" s="32"/>
      <c r="O137" s="32"/>
    </row>
    <row r="138" spans="1:15" ht="13.5" customHeight="1" x14ac:dyDescent="0.2">
      <c r="A138" s="487"/>
      <c r="B138" s="32"/>
      <c r="C138" s="1516" t="s">
        <v>553</v>
      </c>
      <c r="D138" s="1516"/>
      <c r="E138" s="1516"/>
      <c r="F138" s="1516"/>
      <c r="G138" s="1516"/>
      <c r="H138" s="1516"/>
      <c r="I138" s="1516"/>
      <c r="J138" s="1516"/>
      <c r="K138" s="1516"/>
      <c r="L138" s="1516"/>
      <c r="M138" s="1516"/>
      <c r="N138" s="32"/>
      <c r="O138" s="32"/>
    </row>
    <row r="139" spans="1:15" ht="13.5" customHeight="1" x14ac:dyDescent="0.2">
      <c r="A139" s="487"/>
      <c r="B139" s="32"/>
      <c r="C139" s="1517" t="s">
        <v>552</v>
      </c>
      <c r="D139" s="1517"/>
      <c r="E139" s="1517"/>
      <c r="F139" s="1517"/>
      <c r="G139" s="1517"/>
      <c r="H139" s="1517"/>
      <c r="I139" s="1517"/>
      <c r="J139" s="1517"/>
      <c r="K139" s="1517"/>
      <c r="L139" s="1517"/>
      <c r="M139" s="1517"/>
      <c r="N139" s="32"/>
      <c r="O139" s="32"/>
    </row>
    <row r="140" spans="1:15" ht="13.5" customHeight="1" x14ac:dyDescent="0.2">
      <c r="A140" s="487"/>
      <c r="B140" s="32"/>
      <c r="C140" s="1518" t="s">
        <v>695</v>
      </c>
      <c r="D140" s="1518"/>
      <c r="E140" s="1518"/>
      <c r="F140" s="1518"/>
      <c r="G140" s="1518"/>
      <c r="H140" s="32"/>
      <c r="I140" s="32"/>
      <c r="J140" s="32"/>
      <c r="K140" s="32"/>
      <c r="L140" s="32"/>
      <c r="M140" s="32"/>
      <c r="N140" s="32"/>
      <c r="O140" s="32"/>
    </row>
    <row r="141" spans="1:15" ht="13.5" customHeight="1" x14ac:dyDescent="0.2">
      <c r="A141" s="487"/>
      <c r="B141" s="32"/>
      <c r="C141" s="1515" t="s">
        <v>571</v>
      </c>
      <c r="D141" s="1515"/>
      <c r="E141" s="575"/>
      <c r="F141" s="521"/>
      <c r="G141" s="521"/>
      <c r="H141" s="32"/>
      <c r="I141" s="32"/>
      <c r="J141" s="32"/>
      <c r="K141" s="550"/>
      <c r="L141" s="550"/>
      <c r="M141" s="550"/>
      <c r="N141" s="32"/>
      <c r="O141" s="1365" t="s">
        <v>620</v>
      </c>
    </row>
    <row r="142" spans="1:15" ht="15" customHeight="1" x14ac:dyDescent="0.2">
      <c r="A142" s="487"/>
      <c r="B142" s="32"/>
      <c r="C142" s="1366"/>
      <c r="D142" s="1366"/>
      <c r="E142" s="575"/>
      <c r="F142" s="521"/>
      <c r="G142" s="521"/>
      <c r="H142" s="32"/>
      <c r="I142" s="32"/>
      <c r="J142" s="32"/>
      <c r="K142" s="550"/>
      <c r="L142" s="550"/>
      <c r="M142" s="550"/>
      <c r="N142" s="32"/>
      <c r="O142" s="1367"/>
    </row>
    <row r="143" spans="1:15" ht="15" customHeight="1" x14ac:dyDescent="0.2">
      <c r="A143" s="487"/>
      <c r="B143" s="32"/>
      <c r="C143" s="1366"/>
      <c r="D143" s="1366"/>
      <c r="E143" s="575"/>
      <c r="F143" s="521"/>
      <c r="G143" s="521"/>
      <c r="H143" s="32"/>
      <c r="I143" s="32"/>
      <c r="J143" s="32"/>
      <c r="K143" s="550"/>
      <c r="L143" s="550"/>
      <c r="M143" s="550"/>
      <c r="N143" s="32"/>
      <c r="O143" s="1367"/>
    </row>
    <row r="144" spans="1:15" ht="18" customHeight="1" x14ac:dyDescent="0.2">
      <c r="A144" s="487"/>
      <c r="B144" s="32"/>
      <c r="C144" s="1513" t="str">
        <f>$G$35</f>
        <v>Registro dei Corrispettivi 5.2.4 3txt - per EXCEL .xlsm</v>
      </c>
      <c r="D144" s="1513"/>
      <c r="E144" s="1513"/>
      <c r="F144" s="1513"/>
      <c r="G144" s="1513"/>
      <c r="H144" s="1513"/>
      <c r="I144" s="1513"/>
      <c r="J144" s="1513"/>
      <c r="K144" s="1513"/>
      <c r="L144" s="1510" t="s">
        <v>253</v>
      </c>
      <c r="M144" s="1510"/>
      <c r="N144" s="32"/>
      <c r="O144" s="32"/>
    </row>
    <row r="145" spans="1:109" ht="22.5" customHeight="1" x14ac:dyDescent="0.2">
      <c r="A145" s="32"/>
      <c r="B145" s="164"/>
      <c r="C145" s="164"/>
      <c r="D145" s="164"/>
      <c r="E145" s="164"/>
      <c r="F145" s="164"/>
      <c r="G145" s="164"/>
      <c r="H145" s="164"/>
      <c r="I145" s="164"/>
      <c r="J145" s="164"/>
      <c r="K145" s="164"/>
      <c r="L145" s="164"/>
      <c r="M145" s="164"/>
      <c r="N145" s="53"/>
      <c r="O145" s="53"/>
      <c r="P145" s="168"/>
      <c r="Q145" s="168"/>
      <c r="R145" s="168"/>
      <c r="S145" s="168"/>
      <c r="T145" s="168"/>
      <c r="U145" s="168"/>
      <c r="V145" s="168"/>
      <c r="W145" s="168"/>
      <c r="X145" s="168"/>
      <c r="Y145" s="54"/>
      <c r="Z145" s="54"/>
      <c r="AA145" s="54"/>
      <c r="AB145" s="54"/>
      <c r="AC145" s="54"/>
      <c r="AD145" s="54"/>
      <c r="AE145" s="54"/>
      <c r="AF145" s="54"/>
      <c r="AG145" s="54"/>
      <c r="AH145" s="54"/>
      <c r="AI145" s="54"/>
      <c r="AJ145" s="54"/>
      <c r="AK145" s="54"/>
      <c r="DE145" s="1317"/>
    </row>
    <row r="146" spans="1:109" s="645" customFormat="1" ht="12.75" hidden="1" customHeight="1" x14ac:dyDescent="0.2">
      <c r="B146" s="646"/>
      <c r="C146" s="647"/>
      <c r="D146" s="647"/>
      <c r="E146" s="647"/>
      <c r="F146" s="647"/>
      <c r="G146" s="647"/>
      <c r="H146" s="647"/>
      <c r="I146" s="647"/>
      <c r="J146" s="647"/>
      <c r="K146" s="647"/>
      <c r="L146" s="647"/>
      <c r="M146" s="647"/>
      <c r="N146" s="647"/>
      <c r="O146" s="647"/>
      <c r="P146" s="648"/>
      <c r="Q146" s="648"/>
      <c r="R146" s="648"/>
      <c r="S146" s="648"/>
      <c r="T146" s="648"/>
      <c r="U146" s="648"/>
      <c r="V146" s="648"/>
      <c r="W146" s="648"/>
      <c r="X146" s="648"/>
    </row>
    <row r="147" spans="1:109" s="645" customFormat="1" ht="12.75" hidden="1" customHeight="1" x14ac:dyDescent="0.2">
      <c r="B147" s="646" t="s">
        <v>829</v>
      </c>
      <c r="C147" s="647"/>
      <c r="D147" s="647"/>
      <c r="E147" s="647"/>
      <c r="F147" s="647"/>
      <c r="G147" s="647"/>
      <c r="H147" s="647" t="s">
        <v>546</v>
      </c>
      <c r="I147" s="647"/>
      <c r="J147" s="647"/>
      <c r="K147" s="647"/>
      <c r="L147" s="647"/>
      <c r="M147" s="647"/>
      <c r="N147" s="647"/>
      <c r="O147" s="647"/>
      <c r="P147" s="648"/>
      <c r="Q147" s="648"/>
      <c r="R147" s="648"/>
      <c r="S147" s="648"/>
      <c r="T147" s="648"/>
      <c r="U147" s="648"/>
      <c r="V147" s="648"/>
      <c r="W147" s="648"/>
      <c r="X147" s="648"/>
    </row>
    <row r="148" spans="1:109" s="645" customFormat="1" ht="12.75" hidden="1" customHeight="1" x14ac:dyDescent="0.2">
      <c r="B148" s="646" t="s">
        <v>420</v>
      </c>
      <c r="C148" s="647"/>
      <c r="D148" s="647"/>
      <c r="E148" s="647"/>
      <c r="F148" s="647"/>
      <c r="G148" s="647"/>
      <c r="H148" s="647" t="s">
        <v>547</v>
      </c>
      <c r="I148" s="647"/>
      <c r="J148" s="647"/>
      <c r="K148" s="647"/>
      <c r="L148" s="647"/>
      <c r="M148" s="647"/>
      <c r="N148" s="647"/>
      <c r="O148" s="647"/>
      <c r="P148" s="648"/>
      <c r="Q148" s="648"/>
      <c r="R148" s="648"/>
      <c r="S148" s="648"/>
      <c r="T148" s="648"/>
      <c r="U148" s="648"/>
      <c r="V148" s="648"/>
      <c r="W148" s="648"/>
      <c r="X148" s="648"/>
    </row>
    <row r="149" spans="1:109" s="645" customFormat="1" ht="12.75" hidden="1" customHeight="1" x14ac:dyDescent="0.2">
      <c r="B149" s="646" t="s">
        <v>419</v>
      </c>
      <c r="C149" s="647"/>
      <c r="D149" s="647"/>
      <c r="E149" s="647"/>
      <c r="F149" s="647"/>
      <c r="G149" s="647"/>
      <c r="H149" s="647"/>
      <c r="I149" s="647"/>
      <c r="J149" s="647"/>
      <c r="K149" s="647"/>
      <c r="L149" s="647"/>
      <c r="M149" s="647"/>
      <c r="N149" s="647"/>
      <c r="O149" s="647"/>
      <c r="P149" s="648"/>
      <c r="Q149" s="648"/>
      <c r="R149" s="648"/>
      <c r="S149" s="648"/>
      <c r="T149" s="648"/>
      <c r="U149" s="648"/>
      <c r="V149" s="648"/>
      <c r="W149" s="648"/>
      <c r="X149" s="648"/>
    </row>
    <row r="150" spans="1:109" s="645" customFormat="1" ht="12.75" hidden="1" customHeight="1" x14ac:dyDescent="0.2">
      <c r="B150" s="646" t="s">
        <v>421</v>
      </c>
      <c r="C150" s="647"/>
      <c r="D150" s="647"/>
      <c r="E150" s="647"/>
      <c r="F150" s="647"/>
      <c r="G150" s="647"/>
      <c r="H150" s="647"/>
      <c r="I150" s="647"/>
      <c r="J150" s="647"/>
      <c r="K150" s="647" t="s">
        <v>875</v>
      </c>
      <c r="L150" s="647"/>
      <c r="M150" s="647"/>
      <c r="N150" s="647"/>
      <c r="O150" s="647"/>
      <c r="P150" s="648"/>
      <c r="Q150" s="648"/>
      <c r="R150" s="648"/>
      <c r="S150" s="648"/>
      <c r="T150" s="648"/>
      <c r="U150" s="648"/>
      <c r="V150" s="648"/>
      <c r="W150" s="648"/>
      <c r="X150" s="648"/>
    </row>
    <row r="151" spans="1:109" s="645" customFormat="1" ht="12.75" hidden="1" customHeight="1" x14ac:dyDescent="0.2">
      <c r="B151" s="646" t="s">
        <v>422</v>
      </c>
      <c r="C151" s="647"/>
      <c r="D151" s="647"/>
      <c r="E151" s="647"/>
      <c r="F151" s="647"/>
      <c r="G151" s="647"/>
      <c r="H151" s="647"/>
      <c r="I151" s="647" t="s">
        <v>559</v>
      </c>
      <c r="J151" s="647"/>
      <c r="K151" s="647"/>
      <c r="L151" s="647"/>
      <c r="M151" s="647"/>
      <c r="N151" s="647"/>
      <c r="O151" s="647"/>
      <c r="P151" s="648"/>
      <c r="Q151" s="648"/>
      <c r="R151" s="648"/>
      <c r="S151" s="648"/>
      <c r="T151" s="648"/>
      <c r="U151" s="648"/>
      <c r="V151" s="648"/>
      <c r="W151" s="648"/>
      <c r="X151" s="648"/>
    </row>
    <row r="152" spans="1:109" s="645" customFormat="1" ht="12.75" hidden="1" customHeight="1" x14ac:dyDescent="0.2">
      <c r="B152" s="646" t="s">
        <v>22</v>
      </c>
      <c r="C152" s="647"/>
      <c r="D152" s="647"/>
      <c r="E152" s="647"/>
      <c r="F152" s="647"/>
      <c r="G152" s="647"/>
      <c r="H152" s="647"/>
      <c r="I152" s="647" t="s">
        <v>560</v>
      </c>
      <c r="J152" s="647"/>
      <c r="K152" s="647"/>
      <c r="L152" s="647"/>
      <c r="M152" s="647"/>
      <c r="N152" s="647"/>
      <c r="O152" s="647"/>
      <c r="P152" s="648"/>
      <c r="Q152" s="648"/>
      <c r="R152" s="648"/>
      <c r="S152" s="648"/>
      <c r="T152" s="648"/>
      <c r="U152" s="648"/>
      <c r="V152" s="648"/>
      <c r="W152" s="648"/>
      <c r="X152" s="648"/>
    </row>
    <row r="153" spans="1:109" s="645" customFormat="1" ht="12.75" hidden="1" customHeight="1" x14ac:dyDescent="0.2">
      <c r="B153" s="646"/>
      <c r="C153" s="647"/>
      <c r="D153" s="647"/>
      <c r="E153" s="647"/>
      <c r="F153" s="647"/>
      <c r="G153" s="647"/>
      <c r="H153" s="647"/>
      <c r="I153" s="647"/>
      <c r="J153" s="647"/>
      <c r="K153" s="647"/>
      <c r="L153" s="647"/>
      <c r="M153" s="647"/>
      <c r="N153" s="647"/>
      <c r="O153" s="647"/>
      <c r="P153" s="648"/>
      <c r="Q153" s="648"/>
      <c r="R153" s="648"/>
      <c r="S153" s="648"/>
      <c r="T153" s="648"/>
      <c r="U153" s="648"/>
      <c r="V153" s="648"/>
      <c r="W153" s="648"/>
      <c r="X153" s="648"/>
    </row>
    <row r="154" spans="1:109" s="645" customFormat="1" ht="12.75" hidden="1" customHeight="1" x14ac:dyDescent="0.2">
      <c r="B154" s="646"/>
      <c r="C154" s="647"/>
      <c r="D154" s="647"/>
      <c r="E154" s="647"/>
      <c r="F154" s="647"/>
      <c r="G154" s="647"/>
      <c r="H154" s="647"/>
      <c r="I154" s="647"/>
      <c r="J154" s="647"/>
      <c r="K154" s="647"/>
      <c r="L154" s="647"/>
      <c r="M154" s="647"/>
      <c r="N154" s="647"/>
      <c r="O154" s="647"/>
      <c r="P154" s="648"/>
      <c r="Q154" s="648"/>
      <c r="R154" s="648"/>
      <c r="S154" s="648"/>
      <c r="T154" s="648"/>
      <c r="U154" s="648"/>
      <c r="V154" s="648"/>
      <c r="W154" s="648"/>
      <c r="X154" s="648"/>
    </row>
    <row r="155" spans="1:109" s="645" customFormat="1" ht="12.75" hidden="1" customHeight="1" x14ac:dyDescent="0.2">
      <c r="B155" s="646" t="s">
        <v>402</v>
      </c>
      <c r="C155" s="647"/>
      <c r="D155" s="647"/>
      <c r="E155" s="647" t="s">
        <v>227</v>
      </c>
      <c r="F155" s="647" t="s">
        <v>343</v>
      </c>
      <c r="G155" s="647"/>
      <c r="H155" s="647"/>
      <c r="I155" s="647" t="s">
        <v>254</v>
      </c>
      <c r="J155" s="647"/>
      <c r="K155" s="647"/>
      <c r="L155" s="647"/>
      <c r="M155" s="647"/>
      <c r="N155" s="647"/>
      <c r="O155" s="647"/>
      <c r="P155" s="648"/>
      <c r="Q155" s="648"/>
      <c r="R155" s="648"/>
      <c r="S155" s="648"/>
      <c r="T155" s="648"/>
      <c r="U155" s="648"/>
      <c r="V155" s="648"/>
      <c r="W155" s="648"/>
      <c r="X155" s="648"/>
    </row>
    <row r="156" spans="1:109" s="645" customFormat="1" ht="12.75" hidden="1" customHeight="1" x14ac:dyDescent="0.2">
      <c r="B156" s="646" t="s">
        <v>404</v>
      </c>
      <c r="C156" s="647"/>
      <c r="D156" s="647"/>
      <c r="E156" s="647" t="s">
        <v>669</v>
      </c>
      <c r="F156" s="647" t="b">
        <f>IF(L109=E155,TRUE,FALSE)</f>
        <v>1</v>
      </c>
      <c r="G156" s="647"/>
      <c r="H156" s="647"/>
      <c r="I156" s="647" t="s">
        <v>403</v>
      </c>
      <c r="J156" s="647"/>
      <c r="K156" s="647"/>
      <c r="L156" s="647"/>
      <c r="M156" s="647"/>
      <c r="N156" s="647"/>
      <c r="O156" s="647"/>
      <c r="P156" s="648"/>
      <c r="Q156" s="648"/>
      <c r="R156" s="648"/>
      <c r="S156" s="648"/>
      <c r="T156" s="648"/>
      <c r="U156" s="648"/>
      <c r="V156" s="648"/>
      <c r="W156" s="648"/>
      <c r="X156" s="648"/>
    </row>
    <row r="157" spans="1:109" s="645" customFormat="1" ht="12.75" hidden="1" customHeight="1" x14ac:dyDescent="0.2">
      <c r="B157" s="646" t="s">
        <v>423</v>
      </c>
      <c r="C157" s="647"/>
      <c r="D157" s="647"/>
      <c r="E157" s="647"/>
      <c r="F157" s="647"/>
      <c r="G157" s="647"/>
      <c r="H157" s="647"/>
      <c r="I157" s="647" t="str">
        <f ca="1">IF(D172=0,"Sistema parzialmente attivato. Inserisci il tuo CODICE di PROPRIETA' nel foglio Presentazione.",CONCATENATE("Sistema attivato dal ",TEXT(Q13,"GG/MM")," al ",TEXT(R13,"GG/MM"),". Modifica il trimestre dal foglio Presentazione."))</f>
        <v>Sistema parzialmente attivato. Inserisci il tuo CODICE di PROPRIETA' nel foglio Presentazione.</v>
      </c>
      <c r="J157" s="647"/>
      <c r="K157" s="647"/>
      <c r="L157" s="647"/>
      <c r="M157" s="647"/>
      <c r="N157" s="647"/>
      <c r="O157" s="647"/>
      <c r="P157" s="648"/>
      <c r="Q157" s="648"/>
      <c r="R157" s="648"/>
      <c r="S157" s="648"/>
      <c r="T157" s="648"/>
      <c r="U157" s="648"/>
      <c r="V157" s="648"/>
      <c r="W157" s="648"/>
      <c r="X157" s="648"/>
    </row>
    <row r="158" spans="1:109" s="645" customFormat="1" ht="12.75" hidden="1" customHeight="1" x14ac:dyDescent="0.2">
      <c r="B158" s="646"/>
      <c r="C158" s="647"/>
      <c r="D158" s="647"/>
      <c r="E158" s="647"/>
      <c r="F158" s="647"/>
      <c r="G158" s="647"/>
      <c r="H158" s="647"/>
      <c r="I158" s="647"/>
      <c r="J158" s="647"/>
      <c r="K158" s="647"/>
      <c r="L158" s="647"/>
      <c r="M158" s="647"/>
      <c r="N158" s="647"/>
      <c r="O158" s="647"/>
      <c r="P158" s="648"/>
      <c r="Q158" s="648"/>
      <c r="R158" s="648"/>
      <c r="S158" s="648"/>
      <c r="T158" s="648"/>
      <c r="U158" s="648"/>
      <c r="V158" s="648"/>
      <c r="W158" s="648"/>
      <c r="X158" s="648"/>
    </row>
    <row r="159" spans="1:109" s="645" customFormat="1" ht="12.75" hidden="1" customHeight="1" x14ac:dyDescent="0.2">
      <c r="B159" s="646">
        <v>1</v>
      </c>
      <c r="C159" s="647" t="s">
        <v>398</v>
      </c>
      <c r="D159" s="647"/>
      <c r="E159" s="647">
        <f>IF(AND(F156=TRUE,K83=J165),1,0)</f>
        <v>0</v>
      </c>
      <c r="F159" s="647" t="s">
        <v>399</v>
      </c>
      <c r="G159" s="647"/>
      <c r="H159" s="647">
        <f ca="1">IF(H13=Presentazione!F155,1,0)</f>
        <v>0</v>
      </c>
      <c r="I159" s="647" t="s">
        <v>400</v>
      </c>
      <c r="J159" s="647"/>
      <c r="K159" s="647">
        <f>B159+IMPOSTAZIONI!U387+GEN!N163+FEB!N163+MAR!N163+APR!N163+MAG!N163+GIU!N163+LUG!N163+AGO!N163+SET!N163+OTT!N163+NOV!N163+DIC!N163+CASSA!V503+VERIFICA!C116+VERIFICA!C116+STORICO!V142</f>
        <v>18</v>
      </c>
      <c r="L159" s="647" t="s">
        <v>401</v>
      </c>
      <c r="M159" s="647"/>
      <c r="N159" s="647"/>
      <c r="O159" s="647"/>
      <c r="P159" s="648"/>
      <c r="Q159" s="648"/>
      <c r="R159" s="648"/>
      <c r="S159" s="648"/>
      <c r="T159" s="648"/>
      <c r="U159" s="648"/>
      <c r="V159" s="648"/>
      <c r="W159" s="648"/>
      <c r="X159" s="648"/>
    </row>
    <row r="160" spans="1:109" s="645" customFormat="1" ht="12.75" hidden="1" customHeight="1" x14ac:dyDescent="0.2">
      <c r="B160" s="646"/>
      <c r="C160" s="647"/>
      <c r="D160" s="647"/>
      <c r="E160" s="647">
        <f>IF(K83=J165,1,0)</f>
        <v>0</v>
      </c>
      <c r="F160" s="647" t="s">
        <v>399</v>
      </c>
      <c r="G160" s="647"/>
      <c r="H160" s="647"/>
      <c r="I160" s="647"/>
      <c r="J160" s="647"/>
      <c r="K160" s="647"/>
      <c r="L160" s="647"/>
      <c r="M160" s="647"/>
      <c r="N160" s="647"/>
      <c r="O160" s="647"/>
      <c r="P160" s="648"/>
      <c r="Q160" s="648"/>
      <c r="R160" s="648"/>
      <c r="S160" s="648"/>
      <c r="T160" s="648"/>
      <c r="U160" s="648"/>
      <c r="V160" s="648"/>
      <c r="W160" s="648"/>
      <c r="X160" s="648"/>
    </row>
    <row r="161" spans="2:107" s="645" customFormat="1" ht="12.75" hidden="1" customHeight="1" x14ac:dyDescent="0.2">
      <c r="B161" s="646"/>
      <c r="C161" s="647"/>
      <c r="D161" s="647"/>
      <c r="E161" s="647"/>
      <c r="F161" s="647"/>
      <c r="G161" s="647"/>
      <c r="H161" s="647"/>
      <c r="I161" s="647"/>
      <c r="J161" s="647" t="str">
        <f ca="1">IF(F156=FALSE,"ERRORE: manca l' OK sulle regole di utilizzo del file.",IF(K83=Presentazione!J165,"",IF(C85&lt;0,Presentazione!F155,"")))</f>
        <v/>
      </c>
      <c r="K161" s="647"/>
      <c r="L161" s="647"/>
      <c r="M161" s="647"/>
      <c r="N161" s="647"/>
      <c r="O161" s="647"/>
      <c r="P161" s="648"/>
      <c r="Q161" s="648"/>
      <c r="R161" s="648"/>
      <c r="S161" s="648"/>
      <c r="T161" s="648"/>
      <c r="U161" s="648"/>
      <c r="V161" s="648"/>
      <c r="W161" s="648"/>
      <c r="X161" s="648"/>
    </row>
    <row r="162" spans="2:107" s="645" customFormat="1" ht="12.75" hidden="1" customHeight="1" x14ac:dyDescent="0.2">
      <c r="B162" s="646"/>
      <c r="C162" s="647"/>
      <c r="D162" s="647"/>
      <c r="E162" s="647"/>
      <c r="F162" s="647"/>
      <c r="G162" s="647"/>
      <c r="H162" s="647"/>
      <c r="I162" s="647"/>
      <c r="J162" s="647"/>
      <c r="K162" s="647"/>
      <c r="L162" s="647"/>
      <c r="M162" s="647"/>
      <c r="N162" s="647"/>
      <c r="O162" s="647"/>
      <c r="P162" s="648"/>
      <c r="Q162" s="648"/>
      <c r="R162" s="648"/>
      <c r="S162" s="648"/>
      <c r="T162" s="648"/>
      <c r="U162" s="648"/>
      <c r="V162" s="648"/>
      <c r="W162" s="648"/>
      <c r="X162" s="648"/>
    </row>
    <row r="163" spans="2:107" s="645" customFormat="1" ht="12.75" hidden="1" customHeight="1" x14ac:dyDescent="0.2">
      <c r="B163" s="646" t="s">
        <v>257</v>
      </c>
      <c r="C163" s="647"/>
      <c r="D163" s="647"/>
      <c r="E163" s="647"/>
      <c r="F163" s="647"/>
      <c r="G163" s="647" t="s">
        <v>258</v>
      </c>
      <c r="H163" s="647"/>
      <c r="I163" s="647"/>
      <c r="J163" s="647"/>
      <c r="K163" s="647"/>
      <c r="L163" s="647"/>
      <c r="M163" s="647">
        <v>1</v>
      </c>
      <c r="N163" s="647">
        <v>2</v>
      </c>
      <c r="O163" s="647">
        <v>3</v>
      </c>
      <c r="P163" s="648">
        <v>4</v>
      </c>
      <c r="Q163" s="648">
        <v>5</v>
      </c>
      <c r="R163" s="648">
        <v>6</v>
      </c>
      <c r="S163" s="648">
        <v>7</v>
      </c>
      <c r="T163" s="648">
        <v>8</v>
      </c>
      <c r="U163" s="648">
        <v>9</v>
      </c>
      <c r="V163" s="648">
        <v>10</v>
      </c>
      <c r="W163" s="648">
        <v>11</v>
      </c>
      <c r="X163" s="648"/>
      <c r="Z163" s="645">
        <f>M165</f>
        <v>0</v>
      </c>
      <c r="AA163" s="645">
        <f>ROUND((Z163+AC163)*3,1)</f>
        <v>3</v>
      </c>
      <c r="AB163" s="645">
        <v>61</v>
      </c>
      <c r="AC163" s="645">
        <f>N165</f>
        <v>1</v>
      </c>
      <c r="AD163" s="645">
        <f>ROUND((AC163+AF163)*3,1)</f>
        <v>9</v>
      </c>
      <c r="AE163" s="645">
        <f>AB163-5</f>
        <v>56</v>
      </c>
      <c r="AF163" s="645">
        <f>O165</f>
        <v>2</v>
      </c>
      <c r="AG163" s="645">
        <f>ROUND((AF163+AI163)*3,1)</f>
        <v>15</v>
      </c>
      <c r="AH163" s="645">
        <f>AE163-5</f>
        <v>51</v>
      </c>
      <c r="AI163" s="645">
        <f>P165</f>
        <v>3</v>
      </c>
      <c r="AJ163" s="645">
        <f>ROUND((AI163+AL163)*3,1)</f>
        <v>21</v>
      </c>
      <c r="AK163" s="645">
        <f>AH163-5</f>
        <v>46</v>
      </c>
      <c r="AL163" s="645">
        <f>Q165</f>
        <v>4</v>
      </c>
      <c r="AM163" s="645">
        <f>ROUND((AL163+AO163)*3,1)</f>
        <v>27</v>
      </c>
      <c r="AN163" s="645">
        <f>AK163-5</f>
        <v>41</v>
      </c>
      <c r="AO163" s="645">
        <f>R165</f>
        <v>5</v>
      </c>
      <c r="AP163" s="645">
        <f>ROUND((AO163+AR163)*3,1)</f>
        <v>33</v>
      </c>
      <c r="AQ163" s="645">
        <f>AN163-5</f>
        <v>36</v>
      </c>
      <c r="AR163" s="645">
        <f>S165</f>
        <v>6</v>
      </c>
      <c r="AS163" s="645">
        <f>ROUND((AR163+AU163)*3,1)</f>
        <v>39</v>
      </c>
      <c r="AT163" s="645">
        <f>AQ163-5</f>
        <v>31</v>
      </c>
      <c r="AU163" s="645">
        <f>T165</f>
        <v>7</v>
      </c>
      <c r="AV163" s="645">
        <f>ROUND((AU163+AX163)*3,1)</f>
        <v>45</v>
      </c>
      <c r="AW163" s="645">
        <f>AT163-5</f>
        <v>26</v>
      </c>
      <c r="AX163" s="645">
        <f>U165</f>
        <v>8</v>
      </c>
      <c r="AY163" s="645">
        <f>ROUND((AX163+BA163)*3,1)</f>
        <v>51</v>
      </c>
      <c r="AZ163" s="645">
        <f>AW163-5</f>
        <v>21</v>
      </c>
      <c r="BA163" s="645">
        <f>V165</f>
        <v>9</v>
      </c>
      <c r="BB163" s="645">
        <f>ROUND((BA163+BD163)*3,1)</f>
        <v>30</v>
      </c>
      <c r="BC163" s="645">
        <f>AZ163-5</f>
        <v>16</v>
      </c>
      <c r="BD163" s="645">
        <f>W165</f>
        <v>1</v>
      </c>
      <c r="BE163" s="645">
        <f>ROUND((BD163+Z163)*3,1)</f>
        <v>3</v>
      </c>
      <c r="BF163" s="645">
        <f>BC163-5</f>
        <v>11</v>
      </c>
      <c r="BI163" s="645" t="s">
        <v>259</v>
      </c>
      <c r="BJ163" s="645" t="s">
        <v>260</v>
      </c>
      <c r="BK163" s="645" t="s">
        <v>261</v>
      </c>
      <c r="BL163" s="645" t="s">
        <v>262</v>
      </c>
      <c r="BM163" s="645" t="s">
        <v>190</v>
      </c>
      <c r="BN163" s="645" t="s">
        <v>263</v>
      </c>
      <c r="BO163" s="645" t="s">
        <v>171</v>
      </c>
      <c r="BP163" s="645" t="s">
        <v>264</v>
      </c>
      <c r="BQ163" s="645" t="s">
        <v>265</v>
      </c>
      <c r="BR163" s="645" t="s">
        <v>267</v>
      </c>
      <c r="BS163" s="645" t="s">
        <v>266</v>
      </c>
      <c r="BT163" s="645" t="s">
        <v>270</v>
      </c>
      <c r="BU163" s="645" t="s">
        <v>268</v>
      </c>
      <c r="BV163" s="645" t="s">
        <v>269</v>
      </c>
      <c r="BW163" s="645" t="s">
        <v>213</v>
      </c>
      <c r="BX163" s="645" t="s">
        <v>271</v>
      </c>
      <c r="BY163" s="645" t="s">
        <v>274</v>
      </c>
      <c r="BZ163" s="645" t="s">
        <v>272</v>
      </c>
      <c r="CA163" s="645" t="s">
        <v>273</v>
      </c>
      <c r="CB163" s="645" t="s">
        <v>276</v>
      </c>
      <c r="CC163" s="645" t="s">
        <v>275</v>
      </c>
      <c r="CD163" s="645" t="s">
        <v>279</v>
      </c>
      <c r="CE163" s="645" t="s">
        <v>277</v>
      </c>
      <c r="CF163" s="645" t="s">
        <v>278</v>
      </c>
      <c r="CG163" s="645" t="s">
        <v>281</v>
      </c>
      <c r="CH163" s="645" t="s">
        <v>280</v>
      </c>
      <c r="CI163" s="645" t="s">
        <v>284</v>
      </c>
      <c r="CJ163" s="645" t="s">
        <v>282</v>
      </c>
      <c r="CK163" s="645" t="s">
        <v>283</v>
      </c>
      <c r="CL163" s="645" t="s">
        <v>330</v>
      </c>
      <c r="CM163" s="645" t="s">
        <v>285</v>
      </c>
      <c r="CN163" s="645" t="s">
        <v>287</v>
      </c>
      <c r="CO163" s="645" t="s">
        <v>286</v>
      </c>
      <c r="CP163" s="645" t="s">
        <v>331</v>
      </c>
      <c r="CQ163" s="645" t="s">
        <v>207</v>
      </c>
      <c r="CR163" s="645" t="s">
        <v>188</v>
      </c>
      <c r="CS163" s="645" t="s">
        <v>334</v>
      </c>
      <c r="CT163" s="645" t="s">
        <v>332</v>
      </c>
      <c r="CU163" s="645" t="s">
        <v>333</v>
      </c>
      <c r="CV163" s="645" t="s">
        <v>336</v>
      </c>
      <c r="CW163" s="645" t="s">
        <v>335</v>
      </c>
      <c r="CX163" s="645" t="s">
        <v>339</v>
      </c>
      <c r="CY163" s="645" t="s">
        <v>337</v>
      </c>
      <c r="CZ163" s="645" t="s">
        <v>338</v>
      </c>
      <c r="DA163" s="645" t="s">
        <v>341</v>
      </c>
      <c r="DB163" s="645" t="s">
        <v>340</v>
      </c>
      <c r="DC163" s="645" t="s">
        <v>288</v>
      </c>
    </row>
    <row r="164" spans="2:107" s="645" customFormat="1" ht="12.75" hidden="1" customHeight="1" x14ac:dyDescent="0.2">
      <c r="B164" s="646"/>
      <c r="C164" s="647"/>
      <c r="D164" s="647"/>
      <c r="E164" s="647"/>
      <c r="F164" s="647"/>
      <c r="G164" s="647"/>
      <c r="H164" s="647"/>
      <c r="I164" s="647"/>
      <c r="J164" s="647"/>
      <c r="K164" s="647"/>
      <c r="L164" s="647"/>
      <c r="M164" s="647"/>
      <c r="N164" s="647"/>
      <c r="O164" s="647"/>
      <c r="P164" s="648"/>
      <c r="Q164" s="648"/>
      <c r="R164" s="648"/>
      <c r="S164" s="648"/>
      <c r="T164" s="648"/>
      <c r="U164" s="648"/>
      <c r="V164" s="648"/>
      <c r="W164" s="648"/>
      <c r="X164" s="648"/>
    </row>
    <row r="165" spans="2:107" s="645" customFormat="1" ht="12.75" hidden="1" customHeight="1" x14ac:dyDescent="0.2">
      <c r="B165" s="646" t="str">
        <f>F77</f>
        <v>Inserisci la tua Ragione Sociale</v>
      </c>
      <c r="C165" s="647"/>
      <c r="D165" s="647"/>
      <c r="E165" s="647"/>
      <c r="F165" s="647"/>
      <c r="G165" s="647" t="str">
        <f>K79</f>
        <v>01234567891</v>
      </c>
      <c r="H165" s="647"/>
      <c r="I165" s="647"/>
      <c r="J165" s="647" t="str">
        <f>CONCATENATE(J169,"-",J170,"-",J171)</f>
        <v>744-KGCOB-082</v>
      </c>
      <c r="K165" s="647"/>
      <c r="L165" s="647"/>
      <c r="M165" s="647">
        <f t="shared" ref="M165:W165" si="0">IF(ISERROR(VALUE(MID($G165,M163,1))),M163,IF(M163&lt;($H166+1),VALUE(MID($G165,M163,1)),0))</f>
        <v>0</v>
      </c>
      <c r="N165" s="647">
        <f t="shared" si="0"/>
        <v>1</v>
      </c>
      <c r="O165" s="647">
        <f t="shared" si="0"/>
        <v>2</v>
      </c>
      <c r="P165" s="648">
        <f t="shared" si="0"/>
        <v>3</v>
      </c>
      <c r="Q165" s="648">
        <f t="shared" si="0"/>
        <v>4</v>
      </c>
      <c r="R165" s="648">
        <f t="shared" si="0"/>
        <v>5</v>
      </c>
      <c r="S165" s="648">
        <f t="shared" si="0"/>
        <v>6</v>
      </c>
      <c r="T165" s="648">
        <f t="shared" si="0"/>
        <v>7</v>
      </c>
      <c r="U165" s="648">
        <f t="shared" si="0"/>
        <v>8</v>
      </c>
      <c r="V165" s="648">
        <f t="shared" si="0"/>
        <v>9</v>
      </c>
      <c r="W165" s="648">
        <f t="shared" si="0"/>
        <v>1</v>
      </c>
      <c r="X165" s="648"/>
      <c r="Z165" s="645" t="e">
        <f t="shared" ref="Z165:BF165" si="1">HLOOKUP(MID($B165,Z163,1),$BI163:$DC165,3,FALSE)</f>
        <v>#VALUE!</v>
      </c>
      <c r="AA165" s="645">
        <f t="shared" si="1"/>
        <v>17</v>
      </c>
      <c r="AB165" s="645">
        <f t="shared" si="1"/>
        <v>33</v>
      </c>
      <c r="AC165" s="645">
        <f t="shared" si="1"/>
        <v>7</v>
      </c>
      <c r="AD165" s="645">
        <f t="shared" si="1"/>
        <v>7</v>
      </c>
      <c r="AE165" s="645">
        <f t="shared" si="1"/>
        <v>33</v>
      </c>
      <c r="AF165" s="645">
        <f t="shared" si="1"/>
        <v>12</v>
      </c>
      <c r="AG165" s="645">
        <f t="shared" si="1"/>
        <v>20</v>
      </c>
      <c r="AH165" s="645">
        <f t="shared" si="1"/>
        <v>33</v>
      </c>
      <c r="AI165" s="645">
        <f t="shared" si="1"/>
        <v>17</v>
      </c>
      <c r="AJ165" s="645">
        <f t="shared" si="1"/>
        <v>7</v>
      </c>
      <c r="AK165" s="645">
        <f t="shared" si="1"/>
        <v>33</v>
      </c>
      <c r="AL165" s="645">
        <f t="shared" si="1"/>
        <v>6</v>
      </c>
      <c r="AM165" s="645">
        <f t="shared" si="1"/>
        <v>16</v>
      </c>
      <c r="AN165" s="645">
        <f t="shared" si="1"/>
        <v>33</v>
      </c>
      <c r="AO165" s="645">
        <f t="shared" si="1"/>
        <v>19</v>
      </c>
      <c r="AP165" s="645">
        <f t="shared" si="1"/>
        <v>33</v>
      </c>
      <c r="AQ165" s="645">
        <f t="shared" si="1"/>
        <v>33</v>
      </c>
      <c r="AR165" s="645">
        <f t="shared" si="1"/>
        <v>7</v>
      </c>
      <c r="AS165" s="645">
        <f t="shared" si="1"/>
        <v>33</v>
      </c>
      <c r="AT165" s="645">
        <f t="shared" si="1"/>
        <v>13</v>
      </c>
      <c r="AU165" s="645">
        <f t="shared" si="1"/>
        <v>17</v>
      </c>
      <c r="AV165" s="645">
        <f t="shared" si="1"/>
        <v>33</v>
      </c>
      <c r="AW165" s="645">
        <f t="shared" si="1"/>
        <v>17</v>
      </c>
      <c r="AX165" s="645">
        <f t="shared" si="1"/>
        <v>3</v>
      </c>
      <c r="AY165" s="645">
        <f t="shared" si="1"/>
        <v>33</v>
      </c>
      <c r="AZ165" s="645">
        <f t="shared" si="1"/>
        <v>7</v>
      </c>
      <c r="BA165" s="645">
        <f t="shared" si="1"/>
        <v>7</v>
      </c>
      <c r="BB165" s="645">
        <f t="shared" si="1"/>
        <v>1</v>
      </c>
      <c r="BC165" s="645">
        <f t="shared" si="1"/>
        <v>1</v>
      </c>
      <c r="BD165" s="645">
        <f t="shared" si="1"/>
        <v>7</v>
      </c>
      <c r="BE165" s="645">
        <f t="shared" si="1"/>
        <v>17</v>
      </c>
      <c r="BF165" s="645">
        <f t="shared" si="1"/>
        <v>13</v>
      </c>
      <c r="BI165" s="645">
        <v>1</v>
      </c>
      <c r="BJ165" s="645">
        <v>2</v>
      </c>
      <c r="BK165" s="645">
        <v>3</v>
      </c>
      <c r="BL165" s="645">
        <v>4</v>
      </c>
      <c r="BM165" s="645">
        <v>5</v>
      </c>
      <c r="BN165" s="645">
        <v>6</v>
      </c>
      <c r="BO165" s="645">
        <v>7</v>
      </c>
      <c r="BP165" s="645">
        <v>8</v>
      </c>
      <c r="BQ165" s="645">
        <v>9</v>
      </c>
      <c r="BR165" s="645">
        <v>10</v>
      </c>
      <c r="BS165" s="645">
        <v>11</v>
      </c>
      <c r="BT165" s="645">
        <v>12</v>
      </c>
      <c r="BU165" s="645">
        <v>13</v>
      </c>
      <c r="BV165" s="645">
        <v>14</v>
      </c>
      <c r="BW165" s="645">
        <v>15</v>
      </c>
      <c r="BX165" s="645">
        <v>16</v>
      </c>
      <c r="BY165" s="645">
        <v>17</v>
      </c>
      <c r="BZ165" s="645">
        <v>18</v>
      </c>
      <c r="CA165" s="645">
        <v>19</v>
      </c>
      <c r="CB165" s="645">
        <v>20</v>
      </c>
      <c r="CC165" s="645">
        <v>21</v>
      </c>
      <c r="CD165" s="645">
        <v>22</v>
      </c>
      <c r="CE165" s="645">
        <v>23</v>
      </c>
      <c r="CF165" s="645">
        <v>24</v>
      </c>
      <c r="CG165" s="645">
        <v>25</v>
      </c>
      <c r="CH165" s="645">
        <v>26</v>
      </c>
      <c r="CI165" s="645">
        <v>27</v>
      </c>
      <c r="CJ165" s="645">
        <v>28</v>
      </c>
      <c r="CK165" s="645">
        <v>29</v>
      </c>
      <c r="CL165" s="645">
        <v>30</v>
      </c>
      <c r="CM165" s="645">
        <v>31</v>
      </c>
      <c r="CN165" s="645">
        <v>32</v>
      </c>
      <c r="CO165" s="645">
        <v>33</v>
      </c>
      <c r="CP165" s="645">
        <v>34</v>
      </c>
      <c r="CQ165" s="645">
        <v>35</v>
      </c>
      <c r="CR165" s="645">
        <v>36</v>
      </c>
      <c r="CS165" s="645">
        <v>37</v>
      </c>
      <c r="CT165" s="645">
        <v>38</v>
      </c>
      <c r="CU165" s="645">
        <v>39</v>
      </c>
      <c r="CV165" s="645">
        <v>40</v>
      </c>
      <c r="CW165" s="645">
        <v>41</v>
      </c>
      <c r="CX165" s="645">
        <v>42</v>
      </c>
      <c r="CY165" s="645">
        <v>43</v>
      </c>
      <c r="CZ165" s="645">
        <v>44</v>
      </c>
      <c r="DA165" s="645">
        <v>45</v>
      </c>
      <c r="DB165" s="645">
        <v>46</v>
      </c>
      <c r="DC165" s="645">
        <v>47</v>
      </c>
    </row>
    <row r="166" spans="2:107" s="645" customFormat="1" ht="12.75" hidden="1" customHeight="1" x14ac:dyDescent="0.2">
      <c r="B166" s="646"/>
      <c r="C166" s="647"/>
      <c r="D166" s="647"/>
      <c r="E166" s="647"/>
      <c r="F166" s="647"/>
      <c r="G166" s="647" t="s">
        <v>342</v>
      </c>
      <c r="H166" s="647">
        <f>LEN(G165)</f>
        <v>11</v>
      </c>
      <c r="I166" s="647"/>
      <c r="J166" s="647"/>
      <c r="K166" s="647"/>
      <c r="L166" s="647"/>
      <c r="M166" s="647"/>
      <c r="N166" s="647"/>
      <c r="O166" s="647"/>
      <c r="P166" s="648"/>
      <c r="Q166" s="648"/>
      <c r="R166" s="648"/>
      <c r="S166" s="648"/>
      <c r="T166" s="648"/>
      <c r="U166" s="648"/>
      <c r="V166" s="648"/>
      <c r="W166" s="648"/>
      <c r="X166" s="648"/>
      <c r="BI166" s="645" t="s">
        <v>259</v>
      </c>
      <c r="BJ166" s="645" t="s">
        <v>260</v>
      </c>
      <c r="BK166" s="645" t="s">
        <v>261</v>
      </c>
      <c r="BL166" s="645" t="s">
        <v>262</v>
      </c>
      <c r="BM166" s="645" t="s">
        <v>263</v>
      </c>
      <c r="BN166" s="645" t="s">
        <v>190</v>
      </c>
      <c r="BO166" s="645" t="s">
        <v>264</v>
      </c>
      <c r="BP166" s="645" t="s">
        <v>265</v>
      </c>
      <c r="BQ166" s="645" t="s">
        <v>171</v>
      </c>
      <c r="BR166" s="645" t="s">
        <v>266</v>
      </c>
      <c r="BS166" s="645" t="s">
        <v>267</v>
      </c>
      <c r="BT166" s="645" t="s">
        <v>268</v>
      </c>
      <c r="BU166" s="645" t="s">
        <v>269</v>
      </c>
      <c r="BV166" s="645" t="s">
        <v>270</v>
      </c>
      <c r="BW166" s="645" t="s">
        <v>271</v>
      </c>
      <c r="BX166" s="645" t="s">
        <v>213</v>
      </c>
      <c r="BY166" s="645" t="s">
        <v>272</v>
      </c>
      <c r="BZ166" s="645" t="s">
        <v>273</v>
      </c>
      <c r="CA166" s="645" t="s">
        <v>274</v>
      </c>
      <c r="CB166" s="645" t="s">
        <v>275</v>
      </c>
      <c r="CC166" s="645" t="s">
        <v>276</v>
      </c>
      <c r="CD166" s="645" t="s">
        <v>277</v>
      </c>
      <c r="CE166" s="645" t="s">
        <v>278</v>
      </c>
      <c r="CF166" s="645" t="s">
        <v>279</v>
      </c>
      <c r="CG166" s="645" t="s">
        <v>280</v>
      </c>
      <c r="CH166" s="645" t="s">
        <v>281</v>
      </c>
      <c r="CS166" s="645">
        <f t="shared" ref="CS166:DB166" si="2">COUNTIF($Z163:$BF163,CS163)</f>
        <v>3</v>
      </c>
      <c r="CT166" s="645">
        <f t="shared" si="2"/>
        <v>2</v>
      </c>
      <c r="CU166" s="645">
        <f t="shared" si="2"/>
        <v>1</v>
      </c>
      <c r="CV166" s="645">
        <f t="shared" si="2"/>
        <v>1</v>
      </c>
      <c r="CW166" s="645">
        <f t="shared" si="2"/>
        <v>1</v>
      </c>
      <c r="CX166" s="645">
        <f t="shared" si="2"/>
        <v>1</v>
      </c>
      <c r="CY166" s="645">
        <f t="shared" si="2"/>
        <v>1</v>
      </c>
      <c r="CZ166" s="645">
        <f t="shared" si="2"/>
        <v>1</v>
      </c>
      <c r="DA166" s="645">
        <f t="shared" si="2"/>
        <v>1</v>
      </c>
      <c r="DB166" s="645">
        <f t="shared" si="2"/>
        <v>2</v>
      </c>
      <c r="DC166" s="645" t="s">
        <v>288</v>
      </c>
    </row>
    <row r="167" spans="2:107" s="645" customFormat="1" ht="12.75" hidden="1" customHeight="1" x14ac:dyDescent="0.2">
      <c r="B167" s="646">
        <v>44</v>
      </c>
      <c r="C167" s="647"/>
      <c r="D167" s="647"/>
      <c r="E167" s="647"/>
      <c r="F167" s="647"/>
      <c r="G167" s="647"/>
      <c r="H167" s="647"/>
      <c r="I167" s="647"/>
      <c r="J167" s="647"/>
      <c r="K167" s="647"/>
      <c r="L167" s="647"/>
      <c r="M167" s="647"/>
      <c r="N167" s="647"/>
      <c r="O167" s="647"/>
      <c r="P167" s="648"/>
      <c r="Q167" s="648"/>
      <c r="R167" s="648"/>
      <c r="S167" s="648"/>
      <c r="T167" s="648"/>
      <c r="U167" s="648"/>
      <c r="V167" s="648"/>
      <c r="W167" s="648"/>
      <c r="X167" s="648">
        <f>IF(X170&lt;0,X170*-1,X170)</f>
        <v>899</v>
      </c>
      <c r="BG167" s="645">
        <f>IF(BG170&lt;0,BG170*-1,BG170)</f>
        <v>10592</v>
      </c>
      <c r="CQ167" s="645">
        <v>15</v>
      </c>
      <c r="CS167" s="645" t="str">
        <f>IF(ISERROR(HLOOKUP(SMALL($Z163:$BF163,CS163),$BI165:$CH166,2,FALSE)),HLOOKUP(SMALL($Z163:$BF163,CS163),$BI165:$CH166,2,TRUE),HLOOKUP(SMALL($Z163:$BF163,CS163),$BI165:$CH166,2,FALSE))</f>
        <v>A</v>
      </c>
      <c r="CT167" s="645" t="str">
        <f>IF(ISERROR(HLOOKUP(SMALL($Z163:$BF163,CT163+SUM($CS166:CS166)),$BI165:$CH166,2,FALSE)),HLOOKUP(SMALL($Z163:$BF163,CT163+SUM($CS166:CS166)),$BI165:$CH166,2,TRUE),HLOOKUP(SMALL($Z163:$BF163,CT163+SUM($CS166:CS166)),$BI165:$CH166,2,FALSE))</f>
        <v>B</v>
      </c>
      <c r="CU167" s="645" t="str">
        <f>IF(ISERROR(HLOOKUP(SMALL($Z163:$BF163,CU163+SUM($CS166:CT166)),$BI165:$CH166,2,FALSE)),HLOOKUP(SMALL($Z163:$BF163,CU163+SUM($CS166:CT166)),$BI165:$CH166,2,TRUE),HLOOKUP(SMALL($Z163:$BF163,CU163+SUM($CS166:CT166)),$BI165:$CH166,2,FALSE))</f>
        <v>C</v>
      </c>
      <c r="CV167" s="645" t="str">
        <f>IF(ISERROR(HLOOKUP(SMALL($Z163:$BF163,CV163+SUM($CS166:CU166)),$BI165:$CH166,2,FALSE)),HLOOKUP(SMALL($Z163:$BF163,CV163+SUM($CS166:CU166)),$BI165:$CH166,2,TRUE),HLOOKUP(SMALL($Z163:$BF163,CV163+SUM($CS166:CU166)),$BI165:$CH166,2,FALSE))</f>
        <v>G</v>
      </c>
      <c r="CW167" s="645" t="str">
        <f>IF(ISERROR(HLOOKUP(SMALL($Z163:$BF163,CW163+SUM($CS166:CV166)),$BI165:$CH166,2,FALSE)),HLOOKUP(SMALL($Z163:$BF163,CW163+SUM($CS166:CV166)),$BI165:$CH166,2,TRUE),HLOOKUP(SMALL($Z163:$BF163,CW163+SUM($CS166:CV166)),$BI165:$CH166,2,FALSE))</f>
        <v>G</v>
      </c>
      <c r="CX167" s="645" t="str">
        <f>IF(ISERROR(HLOOKUP(SMALL($Z163:$BF163,CX163+SUM($CS166:CW166)),$BI165:$CH166,2,FALSE)),HLOOKUP(SMALL($Z163:$BF163,CX163+SUM($CS166:CW166)),$BI165:$CH166,2,TRUE),HLOOKUP(SMALL($Z163:$BF163,CX163+SUM($CS166:CW166)),$BI165:$CH166,2,FALSE))</f>
        <v>O</v>
      </c>
      <c r="CY167" s="645" t="str">
        <f>IF(ISERROR(HLOOKUP(SMALL($Z163:$BF163,CY163+SUM($CS166:CX166)),$BI165:$CH166,2,FALSE)),HLOOKUP(SMALL($Z163:$BF163,CY163+SUM($CS166:CX166)),$BI165:$CH166,2,TRUE),HLOOKUP(SMALL($Z163:$BF163,CY163+SUM($CS166:CX166)),$BI165:$CH166,2,FALSE))</f>
        <v>K</v>
      </c>
      <c r="CZ167" s="645" t="str">
        <f>IF(ISERROR(HLOOKUP(SMALL($Z163:$BF163,CZ163+SUM($CS166:CY166)),$BI165:$CH166,2,FALSE)),HLOOKUP(SMALL($Z163:$BF163,CZ163+SUM($CS166:CY166)),$BI165:$CH166,2,TRUE),HLOOKUP(SMALL($Z163:$BF163,CZ163+SUM($CS166:CY166)),$BI165:$CH166,2,FALSE))</f>
        <v>P</v>
      </c>
      <c r="DA167" s="645" t="str">
        <f>IF(ISERROR(HLOOKUP(SMALL($Z163:$BF163,DA163+SUM($CS166:CZ166)),$BI165:$CH166,2,FALSE)),HLOOKUP(SMALL($Z163:$BF163,DA163+SUM($CS166:CZ166)),$BI165:$CH166,2,TRUE),HLOOKUP(SMALL($Z163:$BF163,DA163+SUM($CS166:CZ166)),$BI165:$CH166,2,FALSE))</f>
        <v>G</v>
      </c>
      <c r="DB167" s="645" t="str">
        <f>IF(ISERROR(HLOOKUP(SMALL($Z163:$BF163,CQ167),$BI165:$CH166,2,FALSE)),HLOOKUP(SMALL($Z163:$BF163,CQ167),$BI165:$CH166,2,TRUE),HLOOKUP(SMALL($Z163:$BF163,CQ167),$BI165:$CH166,2,FALSE))</f>
        <v>K</v>
      </c>
    </row>
    <row r="168" spans="2:107" s="645" customFormat="1" ht="12.75" hidden="1" customHeight="1" x14ac:dyDescent="0.2">
      <c r="B168" s="646"/>
      <c r="C168" s="647"/>
      <c r="D168" s="647"/>
      <c r="E168" s="647"/>
      <c r="F168" s="647"/>
      <c r="G168" s="647"/>
      <c r="H168" s="647"/>
      <c r="I168" s="647"/>
      <c r="J168" s="647"/>
      <c r="K168" s="647"/>
      <c r="L168" s="647"/>
      <c r="M168" s="647">
        <f>M165*$B167</f>
        <v>0</v>
      </c>
      <c r="N168" s="647"/>
      <c r="O168" s="647">
        <f>O165*$B167</f>
        <v>88</v>
      </c>
      <c r="P168" s="648"/>
      <c r="Q168" s="648">
        <f>Q165*$B167</f>
        <v>176</v>
      </c>
      <c r="R168" s="648"/>
      <c r="S168" s="648">
        <f>S165*$B167</f>
        <v>264</v>
      </c>
      <c r="T168" s="648"/>
      <c r="U168" s="648">
        <f>U165*$B167</f>
        <v>352</v>
      </c>
      <c r="V168" s="648"/>
      <c r="W168" s="648">
        <f>W165*$B167</f>
        <v>44</v>
      </c>
      <c r="X168" s="648">
        <f>IF(X171&lt;0,X171*-1,X171)</f>
        <v>1080</v>
      </c>
      <c r="Z168" s="645" t="e">
        <f>Z165*$B167</f>
        <v>#VALUE!</v>
      </c>
      <c r="AB168" s="645">
        <f>AB165*$B167</f>
        <v>1452</v>
      </c>
      <c r="AD168" s="645">
        <f>AD165*$B167</f>
        <v>308</v>
      </c>
      <c r="AF168" s="645">
        <f>AF165*$B167</f>
        <v>528</v>
      </c>
      <c r="AH168" s="645">
        <f>AH165*$B167</f>
        <v>1452</v>
      </c>
      <c r="AJ168" s="645">
        <f>AJ165*$B167</f>
        <v>308</v>
      </c>
      <c r="AL168" s="645">
        <f>AL165*$B167</f>
        <v>264</v>
      </c>
      <c r="AN168" s="645">
        <f>AN165*$B167</f>
        <v>1452</v>
      </c>
      <c r="AP168" s="645">
        <f>AP165*$B167</f>
        <v>1452</v>
      </c>
      <c r="AR168" s="645">
        <f>AR165*$B167</f>
        <v>308</v>
      </c>
      <c r="AT168" s="645">
        <f>AT165*$B167</f>
        <v>572</v>
      </c>
      <c r="AV168" s="645">
        <f>AV165*$B167</f>
        <v>1452</v>
      </c>
      <c r="AX168" s="645">
        <f>AX165*$B167</f>
        <v>132</v>
      </c>
      <c r="AZ168" s="645">
        <f>AZ165*$B167</f>
        <v>308</v>
      </c>
      <c r="BB168" s="645">
        <f>BB165*$B167</f>
        <v>44</v>
      </c>
      <c r="BD168" s="645">
        <f>BD165*$B167</f>
        <v>308</v>
      </c>
      <c r="BF168" s="645">
        <f>BF165*$B167</f>
        <v>572</v>
      </c>
      <c r="BG168" s="645">
        <f>IF(BG171&lt;0,BG171*-1,BG171)</f>
        <v>13832</v>
      </c>
      <c r="CS168" s="645" t="str">
        <f t="shared" ref="CS168:DB168" si="3">IF(ISERROR(CS167),0,CS167)</f>
        <v>A</v>
      </c>
      <c r="CT168" s="645" t="str">
        <f t="shared" si="3"/>
        <v>B</v>
      </c>
      <c r="CU168" s="645" t="str">
        <f t="shared" si="3"/>
        <v>C</v>
      </c>
      <c r="CV168" s="645" t="str">
        <f t="shared" si="3"/>
        <v>G</v>
      </c>
      <c r="CW168" s="645" t="str">
        <f t="shared" si="3"/>
        <v>G</v>
      </c>
      <c r="CX168" s="645" t="str">
        <f t="shared" si="3"/>
        <v>O</v>
      </c>
      <c r="CY168" s="645" t="str">
        <f t="shared" si="3"/>
        <v>K</v>
      </c>
      <c r="CZ168" s="645" t="str">
        <f t="shared" si="3"/>
        <v>P</v>
      </c>
      <c r="DA168" s="645" t="str">
        <f t="shared" si="3"/>
        <v>G</v>
      </c>
      <c r="DB168" s="645" t="str">
        <f t="shared" si="3"/>
        <v>K</v>
      </c>
    </row>
    <row r="169" spans="2:107" s="645" customFormat="1" ht="12.75" hidden="1" customHeight="1" x14ac:dyDescent="0.2">
      <c r="B169" s="646"/>
      <c r="C169" s="647">
        <f>DAY(F169)</f>
        <v>31</v>
      </c>
      <c r="D169" s="647">
        <f>MONTH(F169)</f>
        <v>3</v>
      </c>
      <c r="E169" s="647">
        <f>YEAR(F169)</f>
        <v>2024</v>
      </c>
      <c r="F169" s="647">
        <f>Presentazione!R13</f>
        <v>45382</v>
      </c>
      <c r="G169" s="647"/>
      <c r="H169" s="647"/>
      <c r="I169" s="647"/>
      <c r="J169" s="647" t="str">
        <f>CONCATENATE(AE174,AF174,AG174)</f>
        <v>744</v>
      </c>
      <c r="K169" s="647"/>
      <c r="L169" s="647"/>
      <c r="M169" s="647"/>
      <c r="N169" s="647">
        <f>N165*$B167</f>
        <v>44</v>
      </c>
      <c r="O169" s="647"/>
      <c r="P169" s="648">
        <f>P165*$B167</f>
        <v>132</v>
      </c>
      <c r="Q169" s="648"/>
      <c r="R169" s="648">
        <f>R165*$B167</f>
        <v>220</v>
      </c>
      <c r="S169" s="648"/>
      <c r="T169" s="648">
        <f>T165*$B167</f>
        <v>308</v>
      </c>
      <c r="U169" s="648"/>
      <c r="V169" s="648">
        <f>V165*$B167</f>
        <v>396</v>
      </c>
      <c r="W169" s="648"/>
      <c r="X169" s="648">
        <f>IF(X172&lt;0,X172*-1,X172)</f>
        <v>4049</v>
      </c>
      <c r="AA169" s="645">
        <f>AA165*$B167</f>
        <v>748</v>
      </c>
      <c r="AC169" s="645">
        <f>AC165*$B167</f>
        <v>308</v>
      </c>
      <c r="AE169" s="645">
        <f>AE165*$B167</f>
        <v>1452</v>
      </c>
      <c r="AG169" s="645">
        <f>AG165*$B167</f>
        <v>880</v>
      </c>
      <c r="AI169" s="645">
        <f>AI165*$B167</f>
        <v>748</v>
      </c>
      <c r="AK169" s="645">
        <f>AK165*$B167</f>
        <v>1452</v>
      </c>
      <c r="AM169" s="645">
        <f>AM165*$B167</f>
        <v>704</v>
      </c>
      <c r="AO169" s="645">
        <f>AO165*$B167</f>
        <v>836</v>
      </c>
      <c r="AQ169" s="645">
        <f>AQ165*$B167</f>
        <v>1452</v>
      </c>
      <c r="AS169" s="645">
        <f>AS165*$B167</f>
        <v>1452</v>
      </c>
      <c r="AU169" s="645">
        <f>AU165*$B167</f>
        <v>748</v>
      </c>
      <c r="AW169" s="645">
        <f>AW165*$B167</f>
        <v>748</v>
      </c>
      <c r="AY169" s="645">
        <f>AY165*$B167</f>
        <v>1452</v>
      </c>
      <c r="BA169" s="645">
        <f>BA165*$B167</f>
        <v>308</v>
      </c>
      <c r="BC169" s="645">
        <f>BC165*$B167</f>
        <v>44</v>
      </c>
      <c r="BE169" s="645">
        <f>BE165*$B167</f>
        <v>748</v>
      </c>
      <c r="BG169" s="645">
        <f>IF(BG172&lt;0,BG172*-1,BG172)</f>
        <v>49984</v>
      </c>
    </row>
    <row r="170" spans="2:107" s="645" customFormat="1" ht="12.75" hidden="1" customHeight="1" x14ac:dyDescent="0.2">
      <c r="B170" s="646"/>
      <c r="C170" s="647">
        <f ca="1">DAY(F170)</f>
        <v>28</v>
      </c>
      <c r="D170" s="647">
        <f ca="1">MONTH(F170)</f>
        <v>12</v>
      </c>
      <c r="E170" s="647">
        <f>YEAR(F169)</f>
        <v>2024</v>
      </c>
      <c r="F170" s="647">
        <f ca="1">TODAY()</f>
        <v>45288</v>
      </c>
      <c r="G170" s="647"/>
      <c r="H170" s="647"/>
      <c r="I170" s="647"/>
      <c r="J170" s="647" t="str">
        <f>CONCATENATE(R174,S174,T174,U174,V174)</f>
        <v>KGCOB</v>
      </c>
      <c r="K170" s="647"/>
      <c r="L170" s="647"/>
      <c r="M170" s="647">
        <f>M168-N165</f>
        <v>-1</v>
      </c>
      <c r="N170" s="647"/>
      <c r="O170" s="647">
        <f>O168-P165</f>
        <v>85</v>
      </c>
      <c r="P170" s="648"/>
      <c r="Q170" s="648">
        <f>Q168-R165</f>
        <v>171</v>
      </c>
      <c r="R170" s="648"/>
      <c r="S170" s="648">
        <f>S168-T165</f>
        <v>257</v>
      </c>
      <c r="T170" s="648"/>
      <c r="U170" s="648">
        <f>U168-V165</f>
        <v>343</v>
      </c>
      <c r="V170" s="648"/>
      <c r="W170" s="648">
        <f>W168-M165</f>
        <v>44</v>
      </c>
      <c r="X170" s="648">
        <f>SUM(M170:W170)</f>
        <v>899</v>
      </c>
      <c r="Z170" s="645" t="e">
        <f>Z168-BF165</f>
        <v>#VALUE!</v>
      </c>
      <c r="AB170" s="645">
        <f>AB168-AA165</f>
        <v>1435</v>
      </c>
      <c r="AD170" s="645">
        <f>AD168-AC165</f>
        <v>301</v>
      </c>
      <c r="AF170" s="645">
        <f>AF168-AE165</f>
        <v>495</v>
      </c>
      <c r="AH170" s="645">
        <f>AH168-AG165</f>
        <v>1432</v>
      </c>
      <c r="AJ170" s="645">
        <f>AJ168-AI165</f>
        <v>291</v>
      </c>
      <c r="AL170" s="645">
        <f>AL168-AK165</f>
        <v>231</v>
      </c>
      <c r="AN170" s="645">
        <f>AN168-AM165</f>
        <v>1436</v>
      </c>
      <c r="AP170" s="645">
        <f>AP168-AO165</f>
        <v>1433</v>
      </c>
      <c r="AR170" s="645">
        <f>AR168-AQ165</f>
        <v>275</v>
      </c>
      <c r="AT170" s="645">
        <f>AT168-AS165</f>
        <v>539</v>
      </c>
      <c r="AV170" s="645">
        <f>AV168-AU165</f>
        <v>1435</v>
      </c>
      <c r="AX170" s="645">
        <f>AX168-AW165</f>
        <v>115</v>
      </c>
      <c r="AZ170" s="645">
        <f>AZ168-AY165</f>
        <v>275</v>
      </c>
      <c r="BB170" s="645">
        <f>BB168-BA165</f>
        <v>37</v>
      </c>
      <c r="BD170" s="645">
        <f>BD168-BC165</f>
        <v>307</v>
      </c>
      <c r="BF170" s="645">
        <f>BF168-BE165</f>
        <v>555</v>
      </c>
      <c r="BG170" s="645">
        <f>SUMIF(Z170:BF170,"&gt;0")</f>
        <v>10592</v>
      </c>
      <c r="CS170" s="645" t="s">
        <v>259</v>
      </c>
      <c r="CT170" s="645" t="s">
        <v>262</v>
      </c>
      <c r="CU170" s="645" t="s">
        <v>263</v>
      </c>
      <c r="CV170" s="645" t="s">
        <v>264</v>
      </c>
      <c r="CW170" s="645" t="s">
        <v>271</v>
      </c>
      <c r="CX170" s="645" t="s">
        <v>213</v>
      </c>
      <c r="CY170" s="645" t="s">
        <v>273</v>
      </c>
      <c r="CZ170" s="645" t="s">
        <v>273</v>
      </c>
      <c r="DA170" s="645" t="s">
        <v>274</v>
      </c>
      <c r="DB170" s="645" t="s">
        <v>276</v>
      </c>
    </row>
    <row r="171" spans="2:107" s="645" customFormat="1" ht="12.75" hidden="1" customHeight="1" x14ac:dyDescent="0.2">
      <c r="B171" s="646"/>
      <c r="C171" s="647"/>
      <c r="D171" s="647"/>
      <c r="E171" s="647"/>
      <c r="F171" s="647"/>
      <c r="G171" s="647"/>
      <c r="H171" s="647"/>
      <c r="I171" s="647"/>
      <c r="J171" s="647" t="str">
        <f>CONCATENATE(AH174,AI174,AJ174)</f>
        <v>082</v>
      </c>
      <c r="K171" s="647"/>
      <c r="L171" s="647"/>
      <c r="M171" s="647"/>
      <c r="N171" s="647">
        <f>N169-M165</f>
        <v>44</v>
      </c>
      <c r="O171" s="647"/>
      <c r="P171" s="648">
        <f>P169-O165</f>
        <v>130</v>
      </c>
      <c r="Q171" s="648"/>
      <c r="R171" s="648">
        <f>R169-Q165</f>
        <v>216</v>
      </c>
      <c r="S171" s="648"/>
      <c r="T171" s="648">
        <f>T169-S165</f>
        <v>302</v>
      </c>
      <c r="U171" s="648"/>
      <c r="V171" s="648">
        <f>V169-U165</f>
        <v>388</v>
      </c>
      <c r="W171" s="648"/>
      <c r="X171" s="648">
        <f>SUM(M171:W171)</f>
        <v>1080</v>
      </c>
      <c r="AA171" s="645">
        <f>AA169-AB165</f>
        <v>715</v>
      </c>
      <c r="AC171" s="645">
        <f>AC169-AD165</f>
        <v>301</v>
      </c>
      <c r="AE171" s="645">
        <f>AE169-AF165</f>
        <v>1440</v>
      </c>
      <c r="AG171" s="645">
        <f>AG169-AH165</f>
        <v>847</v>
      </c>
      <c r="AI171" s="645">
        <f>AI169-AJ165</f>
        <v>741</v>
      </c>
      <c r="AK171" s="645">
        <f>AK169-AL165</f>
        <v>1446</v>
      </c>
      <c r="AM171" s="645">
        <f>AM169-AN165</f>
        <v>671</v>
      </c>
      <c r="AO171" s="645">
        <f>AO169-AP165</f>
        <v>803</v>
      </c>
      <c r="AQ171" s="645">
        <f>AQ169-AR165</f>
        <v>1445</v>
      </c>
      <c r="AS171" s="645">
        <f>AS169-AT165</f>
        <v>1439</v>
      </c>
      <c r="AU171" s="645">
        <f>AU169-AV165</f>
        <v>715</v>
      </c>
      <c r="AW171" s="645">
        <f>AW169-AX165</f>
        <v>745</v>
      </c>
      <c r="AY171" s="645">
        <f>AY169-AZ165</f>
        <v>1445</v>
      </c>
      <c r="BA171" s="645">
        <f>BA169-BB165</f>
        <v>307</v>
      </c>
      <c r="BC171" s="645">
        <f>BC169-BD165</f>
        <v>37</v>
      </c>
      <c r="BE171" s="645">
        <f>BE169-BF165</f>
        <v>735</v>
      </c>
      <c r="BG171" s="645">
        <f>SUMIF(Z171:BF171,"&gt;0")</f>
        <v>13832</v>
      </c>
      <c r="CS171" s="645" t="str">
        <f t="shared" ref="CS171:DB171" si="4">IF(CS168=0,CS170,CS167)</f>
        <v>A</v>
      </c>
      <c r="CT171" s="645" t="str">
        <f t="shared" si="4"/>
        <v>B</v>
      </c>
      <c r="CU171" s="645" t="str">
        <f t="shared" si="4"/>
        <v>C</v>
      </c>
      <c r="CV171" s="645" t="str">
        <f t="shared" si="4"/>
        <v>G</v>
      </c>
      <c r="CW171" s="645" t="str">
        <f t="shared" si="4"/>
        <v>G</v>
      </c>
      <c r="CX171" s="645" t="str">
        <f t="shared" si="4"/>
        <v>O</v>
      </c>
      <c r="CY171" s="645" t="str">
        <f t="shared" si="4"/>
        <v>K</v>
      </c>
      <c r="CZ171" s="645" t="str">
        <f t="shared" si="4"/>
        <v>P</v>
      </c>
      <c r="DA171" s="645" t="str">
        <f t="shared" si="4"/>
        <v>G</v>
      </c>
      <c r="DB171" s="645" t="str">
        <f t="shared" si="4"/>
        <v>K</v>
      </c>
    </row>
    <row r="172" spans="2:107" s="645" customFormat="1" ht="12.75" hidden="1" customHeight="1" x14ac:dyDescent="0.2">
      <c r="B172" s="646"/>
      <c r="C172" s="647">
        <f>DATE(E169,D169,C169)</f>
        <v>45382</v>
      </c>
      <c r="D172" s="647">
        <f ca="1">IF((C172-C173)&lt;0,0,C172-C173)</f>
        <v>0</v>
      </c>
      <c r="E172" s="647"/>
      <c r="F172" s="647"/>
      <c r="G172" s="647"/>
      <c r="H172" s="647"/>
      <c r="I172" s="647"/>
      <c r="J172" s="647"/>
      <c r="K172" s="647"/>
      <c r="L172" s="647"/>
      <c r="M172" s="647">
        <f>M165+M168+M170</f>
        <v>-1</v>
      </c>
      <c r="N172" s="647">
        <f>N165+N169+N171</f>
        <v>89</v>
      </c>
      <c r="O172" s="647">
        <f>O165+O168+O170</f>
        <v>175</v>
      </c>
      <c r="P172" s="648">
        <f>P165+P169+P171</f>
        <v>265</v>
      </c>
      <c r="Q172" s="648">
        <f>Q165+Q168+Q170</f>
        <v>351</v>
      </c>
      <c r="R172" s="648">
        <f>R165+R169+R171</f>
        <v>441</v>
      </c>
      <c r="S172" s="648">
        <f>S165+S168+S170</f>
        <v>527</v>
      </c>
      <c r="T172" s="648">
        <f>T165+T169+T171</f>
        <v>617</v>
      </c>
      <c r="U172" s="648">
        <f>U165+U168+U170</f>
        <v>703</v>
      </c>
      <c r="V172" s="648">
        <f>V165+V169+V171</f>
        <v>793</v>
      </c>
      <c r="W172" s="648">
        <f>W165+W168+W170</f>
        <v>89</v>
      </c>
      <c r="X172" s="648">
        <f>SUM(M172:W172)</f>
        <v>4049</v>
      </c>
      <c r="Z172" s="645" t="e">
        <f>Z165+Z168+Z170</f>
        <v>#VALUE!</v>
      </c>
      <c r="AA172" s="645">
        <f>AA165+AA169+AA171</f>
        <v>1480</v>
      </c>
      <c r="AB172" s="645">
        <f>AB165+AB168+AB170</f>
        <v>2920</v>
      </c>
      <c r="AC172" s="645">
        <f>AC165+AC169+AC171</f>
        <v>616</v>
      </c>
      <c r="AD172" s="645">
        <f>AD165+AD168+AD170</f>
        <v>616</v>
      </c>
      <c r="AE172" s="645">
        <f>AE165+AE169+AE171</f>
        <v>2925</v>
      </c>
      <c r="AF172" s="645">
        <f>AF165+AF168+AF170</f>
        <v>1035</v>
      </c>
      <c r="AG172" s="645">
        <f>AG165+AG169+AG171</f>
        <v>1747</v>
      </c>
      <c r="AH172" s="645">
        <f>AH165+AH168+AH170</f>
        <v>2917</v>
      </c>
      <c r="AI172" s="645">
        <f>AI165+AI169+AI171</f>
        <v>1506</v>
      </c>
      <c r="AJ172" s="645">
        <f>AJ165+AJ168+AJ170</f>
        <v>606</v>
      </c>
      <c r="AK172" s="645">
        <f>AK165+AK169+AK171</f>
        <v>2931</v>
      </c>
      <c r="AL172" s="645">
        <f>AL165+AL168+AL170</f>
        <v>501</v>
      </c>
      <c r="AM172" s="645">
        <f>AM165+AM169+AM171</f>
        <v>1391</v>
      </c>
      <c r="AN172" s="645">
        <f>AN165+AN168+AN170</f>
        <v>2921</v>
      </c>
      <c r="AO172" s="645">
        <f>AO165+AO169+AO171</f>
        <v>1658</v>
      </c>
      <c r="AP172" s="645">
        <f>AP165+AP168+AP170</f>
        <v>2918</v>
      </c>
      <c r="AQ172" s="645">
        <f>AQ165+AQ169+AQ171</f>
        <v>2930</v>
      </c>
      <c r="AR172" s="645">
        <f>AR165+AR168+AR170</f>
        <v>590</v>
      </c>
      <c r="AS172" s="645">
        <f>AS165+AS169+AS171</f>
        <v>2924</v>
      </c>
      <c r="AT172" s="645">
        <f>AT165+AT168+AT170</f>
        <v>1124</v>
      </c>
      <c r="AU172" s="645">
        <f>AU165+AU169+AU171</f>
        <v>1480</v>
      </c>
      <c r="AV172" s="645">
        <f>AV165+AV168+AV170</f>
        <v>2920</v>
      </c>
      <c r="AW172" s="645">
        <f>AW165+AW169+AW171</f>
        <v>1510</v>
      </c>
      <c r="AX172" s="645">
        <f>AX165+AX168+AX170</f>
        <v>250</v>
      </c>
      <c r="AY172" s="645">
        <f>AY165+AY169+AY171</f>
        <v>2930</v>
      </c>
      <c r="AZ172" s="645">
        <f>AZ165+AZ168+AZ170</f>
        <v>590</v>
      </c>
      <c r="BA172" s="645">
        <f>BA165+BA169+BA171</f>
        <v>622</v>
      </c>
      <c r="BB172" s="645">
        <f>BB165+BB168+BB170</f>
        <v>82</v>
      </c>
      <c r="BC172" s="645">
        <f>BC165+BC169+BC171</f>
        <v>82</v>
      </c>
      <c r="BD172" s="645">
        <f>BD165+BD168+BD170</f>
        <v>622</v>
      </c>
      <c r="BE172" s="645">
        <f>BE165+BE169+BE171</f>
        <v>1500</v>
      </c>
      <c r="BF172" s="645">
        <f>BF165+BF168+BF170</f>
        <v>1140</v>
      </c>
      <c r="BG172" s="645">
        <f>SUMIF(Z172:BF172,"&gt;0")</f>
        <v>49984</v>
      </c>
    </row>
    <row r="173" spans="2:107" s="645" customFormat="1" ht="12.75" hidden="1" customHeight="1" x14ac:dyDescent="0.2">
      <c r="B173" s="646"/>
      <c r="C173" s="647">
        <f ca="1">DATE(E170,D170,C170)</f>
        <v>45654</v>
      </c>
      <c r="D173" s="647"/>
      <c r="E173" s="647"/>
      <c r="F173" s="647"/>
      <c r="G173" s="647"/>
      <c r="H173" s="647"/>
      <c r="I173" s="647"/>
      <c r="J173" s="647"/>
      <c r="K173" s="647"/>
      <c r="L173" s="647"/>
      <c r="M173" s="647"/>
      <c r="N173" s="647"/>
      <c r="O173" s="647"/>
      <c r="P173" s="648"/>
      <c r="Q173" s="648"/>
      <c r="R173" s="648"/>
      <c r="S173" s="648"/>
      <c r="T173" s="648"/>
      <c r="U173" s="648"/>
      <c r="V173" s="648"/>
      <c r="W173" s="648"/>
      <c r="X173" s="648"/>
    </row>
    <row r="174" spans="2:107" s="645" customFormat="1" ht="12.75" hidden="1" customHeight="1" x14ac:dyDescent="0.2">
      <c r="B174" s="646"/>
      <c r="C174" s="647"/>
      <c r="D174" s="647"/>
      <c r="E174" s="647"/>
      <c r="F174" s="647"/>
      <c r="G174" s="647"/>
      <c r="H174" s="647"/>
      <c r="I174" s="647"/>
      <c r="J174" s="647"/>
      <c r="K174" s="647"/>
      <c r="L174" s="647"/>
      <c r="M174" s="647">
        <f>SUM(X170:X172)</f>
        <v>6028</v>
      </c>
      <c r="N174" s="647"/>
      <c r="O174" s="647"/>
      <c r="P174" s="648"/>
      <c r="Q174" s="648">
        <f>LEN(TEXT(M174,"@"))</f>
        <v>4</v>
      </c>
      <c r="R174" s="648" t="str">
        <f>IF(Q174&gt;0,HLOOKUP(MID(TEXT($M174,"@"),1,1),$CS163:$DB171,9,FALSE),"")</f>
        <v>K</v>
      </c>
      <c r="S174" s="648" t="str">
        <f>IF($Q174&gt;1,HLOOKUP(MID(TEXT($M174,"@"),2,1),$CS163:$DB171,9,FALSE),HLOOKUP(MID(TEXT($X174,"@"),1,1),$CS163:$DB171,9,FALSE))</f>
        <v>G</v>
      </c>
      <c r="T174" s="648" t="str">
        <f>IF($Q174&gt;2,HLOOKUP(MID(TEXT($M174,"@"),3,1),$CS163:$DB171,9,FALSE),HLOOKUP(MID(TEXT($X174,"@"),2,1),$CS163:$DB171,9,FALSE))</f>
        <v>C</v>
      </c>
      <c r="U174" s="648" t="str">
        <f>IF($Q174&gt;3,HLOOKUP(MID(TEXT($M174,"@"),4,1),$CS163:$DB171,9,FALSE),HLOOKUP(MID(TEXT($X174,"@"),3,1),$CS163:$DB171,9,FALSE))</f>
        <v>O</v>
      </c>
      <c r="V174" s="648" t="str">
        <f>IF($Q174&gt;4,HLOOKUP(MID(TEXT($M174,"@"),5,1),$CS163:$DB171,9,FALSE),HLOOKUP(MID(TEXT($X174,"@"),4,1),$CS163:$DB171,9,FALSE))</f>
        <v>B</v>
      </c>
      <c r="W174" s="648">
        <f>LEN(TEXT(CONCATENATE(TEXT(X167,"@"),TEXT(X168,"@"),TEXT(X169,"@")),"@"))</f>
        <v>11</v>
      </c>
      <c r="X174" s="648" t="str">
        <f>IF(W174&lt;4,CONCATENATE(TEXT(CQ167,"@"),TEXT(X167,"@"),TEXT(X168,"@"),TEXT(X169,"@")),CONCATENATE(TEXT(X167,"@"),TEXT(X168,"@"),TEXT(X169,"@")))</f>
        <v>89910804049</v>
      </c>
      <c r="Z174" s="645">
        <f>SUM(BG170:BG172)</f>
        <v>74408</v>
      </c>
      <c r="AD174" s="645">
        <f>LEN(TEXT(Z174,"@"))</f>
        <v>5</v>
      </c>
      <c r="AE174" s="645" t="str">
        <f>IF(AD174&gt;0,MID(TEXT($Z174,"@"),1,1),"")</f>
        <v>7</v>
      </c>
      <c r="AF174" s="645" t="str">
        <f>IF($AD174&gt;1,MID(TEXT($Z174,"@"),2,1),MID(TEXT($BG174,"@"),1,1))</f>
        <v>4</v>
      </c>
      <c r="AG174" s="645" t="str">
        <f>IF($AD174&gt;2,MID(TEXT($Z174,"@"),3,1),MID(TEXT($BG174,"@"),2,1))</f>
        <v>4</v>
      </c>
      <c r="AH174" s="645" t="str">
        <f>IF($AD174&gt;3,MID(TEXT($Z174,"@"),4,1),MID(TEXT($BG174,"@"),3,1))</f>
        <v>0</v>
      </c>
      <c r="AI174" s="645" t="str">
        <f>IF($AD174&gt;4,MID(TEXT($Z174,"@"),5,1),MID(TEXT($BG174,"@"),4,1))</f>
        <v>8</v>
      </c>
      <c r="AJ174" s="645" t="str">
        <f>IF($AD174&gt;5,MID(TEXT($Z174,"@"),6,1),MID(TEXT($BG174,"@"),5,1))</f>
        <v>2</v>
      </c>
      <c r="AK174" s="645">
        <f>LEN(TEXT(CONCATENATE(TEXT(BG167,"@"),TEXT(BG168,"@")),"@"))</f>
        <v>10</v>
      </c>
      <c r="BG174" s="645" t="str">
        <f>IF(AK174&lt;5,CONCATENATE(TEXT(BG169,"@"),TEXT(BG167,"@"),TEXT(BG168,"@")),CONCATENATE(TEXT(BG167,"@"),TEXT(BG168,"@")))</f>
        <v>1059213832</v>
      </c>
    </row>
    <row r="175" spans="2:107" s="645" customFormat="1" ht="12.75" hidden="1" customHeight="1" x14ac:dyDescent="0.2">
      <c r="B175" s="646"/>
      <c r="C175" s="647"/>
      <c r="D175" s="647"/>
      <c r="E175" s="647"/>
      <c r="F175" s="647"/>
      <c r="G175" s="647"/>
      <c r="H175" s="647"/>
      <c r="I175" s="647"/>
      <c r="J175" s="647"/>
      <c r="K175" s="647"/>
      <c r="L175" s="647"/>
      <c r="M175" s="647"/>
      <c r="N175" s="647"/>
      <c r="O175" s="647"/>
      <c r="P175" s="648"/>
      <c r="Q175" s="648"/>
      <c r="R175" s="648"/>
      <c r="S175" s="648"/>
      <c r="T175" s="648"/>
      <c r="U175" s="648"/>
      <c r="V175" s="648"/>
      <c r="W175" s="648"/>
      <c r="X175" s="648"/>
    </row>
    <row r="176" spans="2:107" s="1404" customFormat="1" ht="12.75" hidden="1" customHeight="1" x14ac:dyDescent="0.2">
      <c r="C176" s="1407"/>
      <c r="D176" s="1407"/>
      <c r="E176" s="1407"/>
      <c r="F176" s="1408" t="s">
        <v>175</v>
      </c>
      <c r="G176" s="1408">
        <f>IMPOSTAZIONI!AH52</f>
        <v>2024</v>
      </c>
    </row>
    <row r="177" spans="1:19" s="1406" customFormat="1" hidden="1" x14ac:dyDescent="0.2">
      <c r="A177" s="1405"/>
      <c r="B177" s="1405"/>
      <c r="C177" s="1409" t="s">
        <v>844</v>
      </c>
      <c r="D177" s="1409"/>
      <c r="E177" s="1408">
        <v>1</v>
      </c>
      <c r="F177" s="1410">
        <f>DATE($G$176,$E177,1)</f>
        <v>45292</v>
      </c>
      <c r="G177" s="1410">
        <f>F178-1</f>
        <v>45382</v>
      </c>
      <c r="H177" s="1405"/>
      <c r="I177" s="1405"/>
      <c r="J177" s="1405"/>
      <c r="K177" s="1405"/>
      <c r="L177" s="1405"/>
      <c r="M177" s="1405"/>
      <c r="N177" s="1405"/>
      <c r="O177" s="1405"/>
      <c r="P177" s="1405"/>
      <c r="Q177" s="1405"/>
      <c r="R177" s="1405"/>
      <c r="S177" s="1405"/>
    </row>
    <row r="178" spans="1:19" s="1406" customFormat="1" hidden="1" x14ac:dyDescent="0.2">
      <c r="A178" s="1405"/>
      <c r="B178" s="1405"/>
      <c r="C178" s="1409" t="s">
        <v>2</v>
      </c>
      <c r="D178" s="1409"/>
      <c r="E178" s="1408">
        <v>4</v>
      </c>
      <c r="F178" s="1410">
        <f>DATE($G$176,$E178,1)</f>
        <v>45383</v>
      </c>
      <c r="G178" s="1410">
        <f>F179-1</f>
        <v>45473</v>
      </c>
      <c r="H178" s="1405"/>
      <c r="I178" s="1405"/>
      <c r="J178" s="1405"/>
      <c r="K178" s="1405"/>
      <c r="L178" s="1405"/>
      <c r="M178" s="1405"/>
      <c r="N178" s="1405"/>
      <c r="O178" s="1405"/>
      <c r="P178" s="1405"/>
      <c r="Q178" s="1405"/>
      <c r="R178" s="1405"/>
      <c r="S178" s="1405"/>
    </row>
    <row r="179" spans="1:19" hidden="1" x14ac:dyDescent="0.2">
      <c r="C179" s="1409" t="s">
        <v>3</v>
      </c>
      <c r="D179" s="1409"/>
      <c r="E179" s="1408">
        <v>7</v>
      </c>
      <c r="F179" s="1410">
        <f>DATE($G$176,$E179,1)</f>
        <v>45474</v>
      </c>
      <c r="G179" s="1410">
        <f>F180-1</f>
        <v>45565</v>
      </c>
    </row>
    <row r="180" spans="1:19" hidden="1" x14ac:dyDescent="0.2">
      <c r="C180" s="1409" t="s">
        <v>4</v>
      </c>
      <c r="D180" s="1409"/>
      <c r="E180" s="1408">
        <v>10</v>
      </c>
      <c r="F180" s="1410">
        <f>DATE($G$176,$E180,1)</f>
        <v>45566</v>
      </c>
      <c r="G180" s="1410">
        <f>DATE($G$176,E181,31)</f>
        <v>45657</v>
      </c>
    </row>
    <row r="181" spans="1:19" hidden="1" x14ac:dyDescent="0.2">
      <c r="C181" s="1411"/>
      <c r="D181" s="1411"/>
      <c r="E181" s="1408">
        <v>12</v>
      </c>
      <c r="F181" s="1410"/>
      <c r="G181" s="1411"/>
    </row>
    <row r="182" spans="1:19" hidden="1" x14ac:dyDescent="0.2"/>
  </sheetData>
  <sheetProtection algorithmName="SHA-512" hashValue="YAHuhfZw/nmAjGRigXg06XEaZK211dDHp6oWq00s5p3GKStqZYTOkHorjnRgN3tghLwyPt2kSMJut7CKb91ZkA==" saltValue="T1SSuTcQxV4v5x6S+Fw3LQ==" spinCount="100000" sheet="1" objects="1" scenarios="1" selectLockedCells="1"/>
  <mergeCells count="116">
    <mergeCell ref="I106:K106"/>
    <mergeCell ref="C6:M6"/>
    <mergeCell ref="K10:M10"/>
    <mergeCell ref="D43:H43"/>
    <mergeCell ref="D116:K116"/>
    <mergeCell ref="D115:K115"/>
    <mergeCell ref="C97:M97"/>
    <mergeCell ref="D110:F110"/>
    <mergeCell ref="C98:M98"/>
    <mergeCell ref="L99:M99"/>
    <mergeCell ref="C92:M92"/>
    <mergeCell ref="H87:M87"/>
    <mergeCell ref="C87:G87"/>
    <mergeCell ref="B86:M86"/>
    <mergeCell ref="C90:M90"/>
    <mergeCell ref="C88:K88"/>
    <mergeCell ref="C91:M91"/>
    <mergeCell ref="L88:M88"/>
    <mergeCell ref="I85:M85"/>
    <mergeCell ref="D61:M61"/>
    <mergeCell ref="D77:E77"/>
    <mergeCell ref="C19:G19"/>
    <mergeCell ref="C21:G21"/>
    <mergeCell ref="C18:H18"/>
    <mergeCell ref="L144:M144"/>
    <mergeCell ref="D119:K119"/>
    <mergeCell ref="D120:K120"/>
    <mergeCell ref="D118:K118"/>
    <mergeCell ref="C144:K144"/>
    <mergeCell ref="C132:M132"/>
    <mergeCell ref="C141:D141"/>
    <mergeCell ref="C137:M137"/>
    <mergeCell ref="C138:M138"/>
    <mergeCell ref="C139:M139"/>
    <mergeCell ref="C129:M129"/>
    <mergeCell ref="C140:G140"/>
    <mergeCell ref="C75:M75"/>
    <mergeCell ref="C2:M2"/>
    <mergeCell ref="C7:G7"/>
    <mergeCell ref="C22:M22"/>
    <mergeCell ref="I20:M20"/>
    <mergeCell ref="K84:M84"/>
    <mergeCell ref="C3:M3"/>
    <mergeCell ref="C15:M15"/>
    <mergeCell ref="C16:M16"/>
    <mergeCell ref="C71:M71"/>
    <mergeCell ref="C74:M74"/>
    <mergeCell ref="D54:M54"/>
    <mergeCell ref="D50:M50"/>
    <mergeCell ref="K83:M83"/>
    <mergeCell ref="F77:M77"/>
    <mergeCell ref="D81:E81"/>
    <mergeCell ref="K79:M79"/>
    <mergeCell ref="I79:J79"/>
    <mergeCell ref="G83:J83"/>
    <mergeCell ref="F81:M81"/>
    <mergeCell ref="F76:M76"/>
    <mergeCell ref="C4:L4"/>
    <mergeCell ref="Q12:R12"/>
    <mergeCell ref="D32:M32"/>
    <mergeCell ref="C14:M14"/>
    <mergeCell ref="H13:M13"/>
    <mergeCell ref="J17:L17"/>
    <mergeCell ref="C17:I17"/>
    <mergeCell ref="D55:M55"/>
    <mergeCell ref="D56:M56"/>
    <mergeCell ref="D67:M67"/>
    <mergeCell ref="D59:M59"/>
    <mergeCell ref="J34:M34"/>
    <mergeCell ref="C37:M37"/>
    <mergeCell ref="D31:M31"/>
    <mergeCell ref="C36:M36"/>
    <mergeCell ref="D33:M33"/>
    <mergeCell ref="D41:M41"/>
    <mergeCell ref="D42:M42"/>
    <mergeCell ref="D52:M52"/>
    <mergeCell ref="D48:M48"/>
    <mergeCell ref="D65:M65"/>
    <mergeCell ref="D53:M53"/>
    <mergeCell ref="D60:M60"/>
    <mergeCell ref="I19:M19"/>
    <mergeCell ref="C13:E13"/>
    <mergeCell ref="C1:I1"/>
    <mergeCell ref="J1:L1"/>
    <mergeCell ref="C35:F35"/>
    <mergeCell ref="G35:M35"/>
    <mergeCell ref="D28:M28"/>
    <mergeCell ref="D29:M29"/>
    <mergeCell ref="C73:M73"/>
    <mergeCell ref="D68:M68"/>
    <mergeCell ref="I43:M43"/>
    <mergeCell ref="C72:F72"/>
    <mergeCell ref="D44:M44"/>
    <mergeCell ref="D47:M47"/>
    <mergeCell ref="D51:M51"/>
    <mergeCell ref="D58:M58"/>
    <mergeCell ref="D45:M45"/>
    <mergeCell ref="D64:M64"/>
    <mergeCell ref="D62:M62"/>
    <mergeCell ref="D63:M63"/>
    <mergeCell ref="I21:M21"/>
    <mergeCell ref="D40:M40"/>
    <mergeCell ref="C26:M26"/>
    <mergeCell ref="C20:G20"/>
    <mergeCell ref="D38:M38"/>
    <mergeCell ref="D30:M30"/>
    <mergeCell ref="L109:L110"/>
    <mergeCell ref="D111:G111"/>
    <mergeCell ref="D112:K112"/>
    <mergeCell ref="D114:K114"/>
    <mergeCell ref="C131:M131"/>
    <mergeCell ref="C128:M128"/>
    <mergeCell ref="C130:M130"/>
    <mergeCell ref="D113:K113"/>
    <mergeCell ref="C133:M133"/>
    <mergeCell ref="D117:F117"/>
  </mergeCells>
  <phoneticPr fontId="4" type="noConversion"/>
  <conditionalFormatting sqref="D127:M127 O89:O97">
    <cfRule type="expression" dxfId="5660" priority="5" stopIfTrue="1">
      <formula>$I$85=$B$156</formula>
    </cfRule>
  </conditionalFormatting>
  <conditionalFormatting sqref="O99">
    <cfRule type="expression" dxfId="5659" priority="6" stopIfTrue="1">
      <formula>$I$85=$B$156</formula>
    </cfRule>
  </conditionalFormatting>
  <conditionalFormatting sqref="D111 D118:K120 D115:D117 G115:K117 E115:F116">
    <cfRule type="expression" dxfId="5658" priority="7" stopIfTrue="1">
      <formula>$F$156=FALSE</formula>
    </cfRule>
  </conditionalFormatting>
  <conditionalFormatting sqref="K109:K110 D112:K114 I109 E121:K126">
    <cfRule type="expression" dxfId="5657" priority="8" stopIfTrue="1">
      <formula>$F$156=FALSE</formula>
    </cfRule>
  </conditionalFormatting>
  <conditionalFormatting sqref="B145:O145 C146:O175">
    <cfRule type="expression" dxfId="5656" priority="9" stopIfTrue="1">
      <formula>#REF!=#REF!</formula>
    </cfRule>
  </conditionalFormatting>
  <conditionalFormatting sqref="L109:L110">
    <cfRule type="expression" dxfId="5655" priority="10" stopIfTrue="1">
      <formula>$L$109=$E$155</formula>
    </cfRule>
  </conditionalFormatting>
  <conditionalFormatting sqref="C87:G87 D85 H85 C97:M98 D104:D105 H106">
    <cfRule type="expression" dxfId="5654" priority="11" stopIfTrue="1">
      <formula>$K$83=$J$165</formula>
    </cfRule>
  </conditionalFormatting>
  <conditionalFormatting sqref="O86:O87">
    <cfRule type="expression" dxfId="5653" priority="12" stopIfTrue="1">
      <formula>$I$85=$B$156</formula>
    </cfRule>
    <cfRule type="expression" dxfId="5652" priority="13" stopIfTrue="1">
      <formula>$K$83=$J$165</formula>
    </cfRule>
  </conditionalFormatting>
  <conditionalFormatting sqref="C85">
    <cfRule type="expression" dxfId="5651" priority="14" stopIfTrue="1">
      <formula>$K$83=$J$165</formula>
    </cfRule>
    <cfRule type="cellIs" dxfId="5650" priority="15" stopIfTrue="1" operator="lessThan">
      <formula>0</formula>
    </cfRule>
  </conditionalFormatting>
  <conditionalFormatting sqref="E85">
    <cfRule type="expression" dxfId="5649" priority="16" stopIfTrue="1">
      <formula>$K$83=$J$165</formula>
    </cfRule>
  </conditionalFormatting>
  <conditionalFormatting sqref="B86:M86">
    <cfRule type="expression" dxfId="5648" priority="17" stopIfTrue="1">
      <formula>$I$85=$B$156</formula>
    </cfRule>
  </conditionalFormatting>
  <conditionalFormatting sqref="F77:M77 K79:M79">
    <cfRule type="expression" dxfId="5647" priority="18" stopIfTrue="1">
      <formula>$K$83=$J$165</formula>
    </cfRule>
    <cfRule type="cellIs" dxfId="5646" priority="19" stopIfTrue="1" operator="equal">
      <formula>0</formula>
    </cfRule>
  </conditionalFormatting>
  <conditionalFormatting sqref="G83">
    <cfRule type="expression" dxfId="5645" priority="20" stopIfTrue="1">
      <formula>$K$83=$J$165</formula>
    </cfRule>
    <cfRule type="expression" dxfId="5644" priority="21" stopIfTrue="1">
      <formula>AND($N$83=1,$K$83&lt;&gt;$J$165)</formula>
    </cfRule>
  </conditionalFormatting>
  <conditionalFormatting sqref="N86">
    <cfRule type="expression" dxfId="5643" priority="22" stopIfTrue="1">
      <formula>$B$86=$B$152</formula>
    </cfRule>
  </conditionalFormatting>
  <conditionalFormatting sqref="D70">
    <cfRule type="expression" dxfId="5642" priority="23" stopIfTrue="1">
      <formula>$D$70&lt;&gt;$I$155</formula>
    </cfRule>
  </conditionalFormatting>
  <conditionalFormatting sqref="Q13:R13">
    <cfRule type="expression" dxfId="5641" priority="24" stopIfTrue="1">
      <formula>$E$159=1</formula>
    </cfRule>
  </conditionalFormatting>
  <conditionalFormatting sqref="Q12:R12">
    <cfRule type="expression" dxfId="5640" priority="25" stopIfTrue="1">
      <formula>$E$159=1</formula>
    </cfRule>
  </conditionalFormatting>
  <conditionalFormatting sqref="C1:I1">
    <cfRule type="expression" dxfId="5639" priority="27" stopIfTrue="1">
      <formula>#REF!=1</formula>
    </cfRule>
  </conditionalFormatting>
  <conditionalFormatting sqref="C12 C13:E13">
    <cfRule type="expression" dxfId="5638" priority="28" stopIfTrue="1">
      <formula>$E$159=1</formula>
    </cfRule>
    <cfRule type="cellIs" dxfId="5637" priority="29" stopIfTrue="1" operator="equal">
      <formula>0</formula>
    </cfRule>
  </conditionalFormatting>
  <conditionalFormatting sqref="E104:M105 C104:C105">
    <cfRule type="expression" dxfId="5636" priority="30" stopIfTrue="1">
      <formula>$I$72=$J$145</formula>
    </cfRule>
  </conditionalFormatting>
  <conditionalFormatting sqref="I106:K106">
    <cfRule type="expression" dxfId="5635" priority="31" stopIfTrue="1">
      <formula>$K$83=$J$165</formula>
    </cfRule>
  </conditionalFormatting>
  <conditionalFormatting sqref="C83">
    <cfRule type="expression" dxfId="5634" priority="32" stopIfTrue="1">
      <formula>$K$83=$J$165</formula>
    </cfRule>
  </conditionalFormatting>
  <conditionalFormatting sqref="K83:M83">
    <cfRule type="expression" dxfId="5633" priority="33" stopIfTrue="1">
      <formula>$K$83=$J$165</formula>
    </cfRule>
    <cfRule type="expression" dxfId="5632" priority="34" stopIfTrue="1">
      <formula>AND($N$83=1,$K$83&lt;&gt;$J$165)</formula>
    </cfRule>
  </conditionalFormatting>
  <conditionalFormatting sqref="C15:M16">
    <cfRule type="expression" dxfId="5631" priority="4" stopIfTrue="1">
      <formula>$E$159=1</formula>
    </cfRule>
  </conditionalFormatting>
  <conditionalFormatting sqref="O13">
    <cfRule type="expression" dxfId="5630" priority="3" stopIfTrue="1">
      <formula>$K$83=$J$165</formula>
    </cfRule>
  </conditionalFormatting>
  <conditionalFormatting sqref="P13">
    <cfRule type="expression" dxfId="5629" priority="1" stopIfTrue="1">
      <formula>$E$159=1</formula>
    </cfRule>
    <cfRule type="cellIs" dxfId="5628" priority="2" stopIfTrue="1" operator="equal">
      <formula>0</formula>
    </cfRule>
  </conditionalFormatting>
  <dataValidations count="2">
    <dataValidation type="list" allowBlank="1" showInputMessage="1" showErrorMessage="1" sqref="L109:L110">
      <formula1>$E$155:$E$156</formula1>
    </dataValidation>
    <dataValidation type="list" allowBlank="1" showInputMessage="1" showErrorMessage="1" sqref="I106">
      <formula1>$C$176:$C$180</formula1>
    </dataValidation>
  </dataValidations>
  <hyperlinks>
    <hyperlink ref="C141" r:id="rId1"/>
    <hyperlink ref="O141" location="Presentazione!A1" display="Torna su"/>
    <hyperlink ref="L119" location="IMPOSTAZIONI!C73:R73" display="QUI"/>
    <hyperlink ref="N44" location="IMPOSTAZIONI!I33:P33" display="QUI"/>
    <hyperlink ref="M72" location="IMPOSTAZIONI!C73:R73" display="QUI"/>
    <hyperlink ref="K10" r:id="rId2" display="homepage"/>
    <hyperlink ref="K10:L10" r:id="rId3" display="Area Download xlsm"/>
    <hyperlink ref="K10:M10" r:id="rId4" display="Area Download .xlsx / .xlsm"/>
    <hyperlink ref="L99" r:id="rId5"/>
    <hyperlink ref="C101" r:id="rId6"/>
    <hyperlink ref="H101" r:id="rId7"/>
    <hyperlink ref="K101" r:id="rId8"/>
    <hyperlink ref="I101" r:id="rId9"/>
    <hyperlink ref="M69" r:id="rId10"/>
    <hyperlink ref="D43:H43" r:id="rId11" display="Qui le versioni da 2 / 3 / 4 / 5 / 6 / 7 e 10 COLONNE."/>
    <hyperlink ref="J17" r:id="rId12" display="mpiccoli@marcopiccoli.it"/>
    <hyperlink ref="J17:L17" r:id="rId13" display="info@marcopiccoli.it"/>
    <hyperlink ref="C83" location="Presentazione!I106" display="QUI"/>
    <hyperlink ref="F101" r:id="rId14"/>
    <hyperlink ref="M4" r:id="rId15" display="MACRO ?"/>
    <hyperlink ref="O13" location="Presentazione!I106" display="QUI"/>
  </hyperlinks>
  <pageMargins left="0.39370078740157483" right="0.19685039370078741" top="0.39370078740157483" bottom="0.59055118110236227" header="0.51181102362204722" footer="0.51181102362204722"/>
  <pageSetup paperSize="9" scale="80" orientation="portrait" r:id="rId16"/>
  <headerFooter alignWithMargins="0"/>
  <rowBreaks count="2" manualBreakCount="2">
    <brk id="35" max="16383" man="1"/>
    <brk id="88" max="16383" man="1"/>
  </rowBreaks>
  <drawing r:id="rId1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3">
    <pageSetUpPr autoPageBreaks="0"/>
  </sheetPr>
  <dimension ref="A1:BB231"/>
  <sheetViews>
    <sheetView showGridLines="0" showRowColHeaders="0" topLeftCell="A2" zoomScaleNormal="100" workbookViewId="0">
      <selection activeCell="G8" sqref="G8"/>
    </sheetView>
  </sheetViews>
  <sheetFormatPr defaultRowHeight="12.75" x14ac:dyDescent="0.2"/>
  <cols>
    <col min="1" max="2" width="2.85546875" style="4" customWidth="1"/>
    <col min="3" max="4" width="5" style="4" customWidth="1"/>
    <col min="5" max="5" width="15.7109375" style="4" customWidth="1"/>
    <col min="6" max="6" width="1.42578125" style="4" customWidth="1"/>
    <col min="7" max="8" width="15.7109375" style="4" customWidth="1"/>
    <col min="9" max="10" width="7.85546875" style="4" customWidth="1"/>
    <col min="11" max="11" width="15.7109375" style="4" customWidth="1"/>
    <col min="12" max="13" width="7.85546875" style="4" customWidth="1"/>
    <col min="14" max="14" width="15.7109375" style="4" customWidth="1"/>
    <col min="15" max="16" width="7.85546875" style="4" customWidth="1"/>
    <col min="17" max="17" width="2.140625" style="4" customWidth="1"/>
    <col min="18" max="31" width="11" style="4" hidden="1" customWidth="1"/>
    <col min="32" max="32" width="6.42578125" style="4" hidden="1" customWidth="1"/>
    <col min="33" max="37" width="11" style="4" hidden="1" customWidth="1"/>
    <col min="38" max="38" width="6.42578125" style="4" hidden="1" customWidth="1"/>
    <col min="39" max="43" width="11" style="4" hidden="1" customWidth="1"/>
    <col min="44" max="44" width="6.42578125" style="4" hidden="1" customWidth="1"/>
    <col min="45" max="49" width="11" style="4" hidden="1" customWidth="1"/>
    <col min="50" max="50" width="6.42578125" style="4" hidden="1" customWidth="1"/>
    <col min="51" max="51" width="11" style="4" hidden="1" customWidth="1"/>
    <col min="52" max="52" width="35.7109375" style="4" customWidth="1"/>
    <col min="53" max="16384" width="9.140625" style="4"/>
  </cols>
  <sheetData>
    <row r="1" spans="1:53" ht="15" hidden="1" customHeight="1" x14ac:dyDescent="0.2">
      <c r="A1" s="540"/>
      <c r="B1" s="2"/>
      <c r="C1" s="2"/>
      <c r="D1" s="2"/>
      <c r="E1" s="2"/>
      <c r="F1" s="2"/>
      <c r="G1" s="252" t="str">
        <f>CONCATENATE(IMPOSTAZIONI!F214,"-",IMPOSTAZIONI!F215,"-",IMPOSTAZIONI!F216)</f>
        <v>--</v>
      </c>
      <c r="H1" s="252" t="str">
        <f>CONCATENATE(IMPOSTAZIONI!K214,"-",IMPOSTAZIONI!K215,"-",IMPOSTAZIONI!K216)</f>
        <v>--</v>
      </c>
      <c r="I1" s="252"/>
      <c r="J1" s="252"/>
      <c r="K1" s="252" t="str">
        <f>CONCATENATE(IMPOSTAZIONI!P214,"-",IMPOSTAZIONI!P215,"-",IMPOSTAZIONI!P216)</f>
        <v>--</v>
      </c>
      <c r="L1" s="252"/>
      <c r="M1" s="252"/>
      <c r="N1" s="252" t="str">
        <f>CONCATENATE(IMPOSTAZIONI!U214,"-",IMPOSTAZIONI!U215,"-",IMPOSTAZIONI!U216)</f>
        <v>--</v>
      </c>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591"/>
    </row>
    <row r="2" spans="1:53" ht="18" customHeight="1" x14ac:dyDescent="0.2">
      <c r="A2" s="540"/>
      <c r="B2" s="2"/>
      <c r="C2" s="2057" t="str">
        <f>CONCATENATE(IMPOSTAZIONI!C73," - P.I. ",IMPOSTAZIONI!O73)</f>
        <v>Inserisci la tua Ragione Sociale - P.I. 01234567891</v>
      </c>
      <c r="D2" s="2057"/>
      <c r="E2" s="2057"/>
      <c r="F2" s="2057"/>
      <c r="G2" s="2057"/>
      <c r="H2" s="2057"/>
      <c r="I2" s="2057"/>
      <c r="J2" s="2058" t="str">
        <f>CONCATENATE(IMPOSTAZIONI!C75," - ",IMPOSTAZIONI!M75," - ",IMPOSTAZIONI!O75," - ",IMPOSTAZIONI!V75)</f>
        <v xml:space="preserve">Indirizzo per esteso -  -  - </v>
      </c>
      <c r="K2" s="2058"/>
      <c r="L2" s="2058"/>
      <c r="M2" s="2058"/>
      <c r="N2" s="2058"/>
      <c r="O2" s="2058"/>
      <c r="P2" s="2058"/>
      <c r="Q2" s="3"/>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row>
    <row r="3" spans="1:53" ht="24.75" customHeight="1" x14ac:dyDescent="0.2">
      <c r="A3" s="2"/>
      <c r="B3" s="5"/>
      <c r="C3" s="2222" t="s">
        <v>98</v>
      </c>
      <c r="D3" s="2222"/>
      <c r="E3" s="2223" t="s">
        <v>312</v>
      </c>
      <c r="F3" s="2223"/>
      <c r="G3" s="2223"/>
      <c r="H3" s="2073" t="str">
        <f>IF(I163=0,IMPOSTAZIONI!Y384,"")</f>
        <v>Devi convalidare il foglio IMPOSTAZIONI</v>
      </c>
      <c r="I3" s="2073"/>
      <c r="J3" s="2073"/>
      <c r="K3" s="2073"/>
      <c r="L3" s="2073"/>
      <c r="M3" s="2072" t="s">
        <v>543</v>
      </c>
      <c r="N3" s="2072"/>
      <c r="O3" s="2072"/>
      <c r="P3" s="2072"/>
      <c r="Q3" s="3"/>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row>
    <row r="4" spans="1:53" ht="18" customHeight="1" x14ac:dyDescent="0.2">
      <c r="A4" s="2"/>
      <c r="B4" s="2"/>
      <c r="C4" s="2147" t="s">
        <v>175</v>
      </c>
      <c r="D4" s="2148"/>
      <c r="E4" s="2170" t="str">
        <f>IMPOSTAZIONI!E24</f>
        <v>TOTALE</v>
      </c>
      <c r="F4" s="2171"/>
      <c r="G4" s="291" t="str">
        <f>IF($I$163=0,"",IMPOSTAZIONI!G214)</f>
        <v/>
      </c>
      <c r="H4" s="291" t="str">
        <f>IF($I$163=0,"",IMPOSTAZIONI!L214)</f>
        <v/>
      </c>
      <c r="I4" s="2164">
        <f>IMPOSTAZIONI!Q25</f>
        <v>0</v>
      </c>
      <c r="J4" s="2165"/>
      <c r="K4" s="291" t="str">
        <f>IF($I$163=0,"",IMPOSTAZIONI!Q214)</f>
        <v/>
      </c>
      <c r="L4" s="2164">
        <f>IMPOSTAZIONI!Y25</f>
        <v>0</v>
      </c>
      <c r="M4" s="2165"/>
      <c r="N4" s="291" t="str">
        <f>IF($I$163=0,"",IMPOSTAZIONI!V214)</f>
        <v/>
      </c>
      <c r="O4" s="2164">
        <f>IMPOSTAZIONI!AG25</f>
        <v>0</v>
      </c>
      <c r="P4" s="2165"/>
      <c r="Q4" s="83"/>
      <c r="R4" s="2"/>
      <c r="S4" s="2"/>
      <c r="T4" s="2"/>
      <c r="U4" s="2"/>
      <c r="V4" s="251" t="str">
        <f>CONCATENATE(L131,"  ")</f>
        <v xml:space="preserve">attiva trim.  </v>
      </c>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row>
    <row r="5" spans="1:53" ht="18" customHeight="1" x14ac:dyDescent="0.2">
      <c r="A5" s="2"/>
      <c r="B5" s="2"/>
      <c r="C5" s="2149"/>
      <c r="D5" s="2150"/>
      <c r="E5" s="2172"/>
      <c r="F5" s="2173"/>
      <c r="G5" s="292" t="str">
        <f>IF($I$163=0,"",IMPOSTAZIONI!G215)</f>
        <v/>
      </c>
      <c r="H5" s="292" t="str">
        <f>IF($I$163=0,"",IMPOSTAZIONI!L215)</f>
        <v/>
      </c>
      <c r="I5" s="2166"/>
      <c r="J5" s="2167"/>
      <c r="K5" s="292" t="str">
        <f>IF($I$163=0,"",IMPOSTAZIONI!Q215)</f>
        <v/>
      </c>
      <c r="L5" s="2166"/>
      <c r="M5" s="2167"/>
      <c r="N5" s="292" t="str">
        <f>IF($I$163=0,"",IMPOSTAZIONI!V215)</f>
        <v/>
      </c>
      <c r="O5" s="2166"/>
      <c r="P5" s="2167"/>
      <c r="Q5" s="83"/>
      <c r="R5" s="2"/>
      <c r="S5" s="2"/>
      <c r="T5" s="2"/>
      <c r="U5" s="2"/>
      <c r="V5" s="257"/>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row>
    <row r="6" spans="1:53" ht="18" customHeight="1" x14ac:dyDescent="0.2">
      <c r="A6" s="2"/>
      <c r="B6" s="2"/>
      <c r="C6" s="2151">
        <f>IMPOSTAZIONI!$AH$52</f>
        <v>2024</v>
      </c>
      <c r="D6" s="2152"/>
      <c r="E6" s="2153">
        <f>IMPOSTAZIONI!E25</f>
        <v>0</v>
      </c>
      <c r="F6" s="2154"/>
      <c r="G6" s="55" t="str">
        <f>IF($I$163=0,"",IMPOSTAZIONI!G216)</f>
        <v/>
      </c>
      <c r="H6" s="55" t="str">
        <f>IF($I$163=0,"",IMPOSTAZIONI!L216)</f>
        <v/>
      </c>
      <c r="I6" s="834" t="str">
        <f>IMPOSTAZIONI!Q26</f>
        <v>DAL</v>
      </c>
      <c r="J6" s="835" t="str">
        <f>IMPOSTAZIONI!S26</f>
        <v>AL</v>
      </c>
      <c r="K6" s="55" t="str">
        <f>IF($I$163=0,"",IMPOSTAZIONI!Q216)</f>
        <v/>
      </c>
      <c r="L6" s="834" t="str">
        <f>IMPOSTAZIONI!Y26</f>
        <v>DAL</v>
      </c>
      <c r="M6" s="835" t="str">
        <f>IMPOSTAZIONI!AA26</f>
        <v>AL</v>
      </c>
      <c r="N6" s="55" t="str">
        <f>IF($I$163=0,"",IMPOSTAZIONI!V216)</f>
        <v/>
      </c>
      <c r="O6" s="834" t="str">
        <f>IMPOSTAZIONI!AG26</f>
        <v>DAL</v>
      </c>
      <c r="P6" s="835" t="str">
        <f>IMPOSTAZIONI!AI26</f>
        <v>AL</v>
      </c>
      <c r="Q6" s="83"/>
      <c r="R6" s="2"/>
      <c r="S6" s="2"/>
      <c r="T6" s="2"/>
      <c r="U6" s="2"/>
      <c r="V6" s="2"/>
      <c r="W6" s="2"/>
      <c r="X6" s="2"/>
      <c r="Y6" s="501" t="str">
        <f>CASSA!W484</f>
        <v>F</v>
      </c>
      <c r="Z6" s="502" t="str">
        <f>CASSA!W485</f>
        <v>C</v>
      </c>
      <c r="AA6" s="2"/>
      <c r="AB6" s="2"/>
      <c r="AC6" s="2"/>
      <c r="AD6" s="2"/>
      <c r="AE6" s="2"/>
      <c r="AF6" s="2"/>
      <c r="AG6" s="148">
        <f>IF(SUM(G152:J152)&gt;0,1,0)</f>
        <v>0</v>
      </c>
      <c r="AH6" s="1096" t="str">
        <f>$C101</f>
        <v>Aliquota 22 %</v>
      </c>
      <c r="AI6" s="1096" t="str">
        <f>$C102</f>
        <v>Aliquota 10 %</v>
      </c>
      <c r="AJ6" s="1096" t="str">
        <f>$C103</f>
        <v>Aliquota 4 %</v>
      </c>
      <c r="AK6" s="1096" t="str">
        <f>$C104</f>
        <v/>
      </c>
      <c r="AL6" s="2"/>
      <c r="AM6" s="1097" t="s">
        <v>537</v>
      </c>
      <c r="AN6" s="2204" t="s">
        <v>782</v>
      </c>
      <c r="AO6" s="2204"/>
      <c r="AP6" s="2204"/>
      <c r="AQ6" s="2204"/>
      <c r="AR6" s="2"/>
      <c r="AS6" s="148"/>
      <c r="AT6" s="1096" t="str">
        <f>$C101</f>
        <v>Aliquota 22 %</v>
      </c>
      <c r="AU6" s="1096" t="str">
        <f>$C102</f>
        <v>Aliquota 10 %</v>
      </c>
      <c r="AV6" s="1096" t="str">
        <f>$C103</f>
        <v>Aliquota 4 %</v>
      </c>
      <c r="AW6" s="1096" t="str">
        <f>$C104</f>
        <v/>
      </c>
      <c r="AX6" s="2"/>
      <c r="AY6" s="1097" t="s">
        <v>537</v>
      </c>
      <c r="AZ6" s="1382" t="s">
        <v>14</v>
      </c>
      <c r="BA6" s="2"/>
    </row>
    <row r="7" spans="1:53" ht="20.25" customHeight="1" x14ac:dyDescent="0.2">
      <c r="A7" s="2"/>
      <c r="B7" s="2"/>
      <c r="C7" s="2242" t="s">
        <v>177</v>
      </c>
      <c r="D7" s="2243"/>
      <c r="E7" s="2175">
        <f>IMPOSTAZIONI!V265</f>
        <v>0</v>
      </c>
      <c r="F7" s="2176"/>
      <c r="G7" s="1439">
        <f>IMPOSTAZIONI!$K276</f>
        <v>0</v>
      </c>
      <c r="H7" s="1439">
        <f>IMPOSTAZIONI!$K277</f>
        <v>0</v>
      </c>
      <c r="I7" s="832"/>
      <c r="J7" s="833"/>
      <c r="K7" s="1439">
        <f>IMPOSTAZIONI!$K278</f>
        <v>0</v>
      </c>
      <c r="L7" s="832"/>
      <c r="M7" s="833"/>
      <c r="N7" s="1439">
        <f>IMPOSTAZIONI!$K279</f>
        <v>0</v>
      </c>
      <c r="O7" s="832"/>
      <c r="P7" s="833"/>
      <c r="Q7" s="83"/>
      <c r="R7" s="552" t="s">
        <v>195</v>
      </c>
      <c r="S7" s="552"/>
      <c r="T7" s="552"/>
      <c r="U7" s="552"/>
      <c r="V7" s="507">
        <f>V8-1</f>
        <v>45504</v>
      </c>
      <c r="W7" s="2"/>
      <c r="X7" s="2"/>
      <c r="Y7" s="2"/>
      <c r="Z7" s="2"/>
      <c r="AA7" s="2"/>
      <c r="AB7" s="2021" t="s">
        <v>739</v>
      </c>
      <c r="AC7" s="2021"/>
      <c r="AD7" s="2021"/>
      <c r="AE7" s="2021"/>
      <c r="AF7" s="2"/>
      <c r="AG7" s="2021" t="s">
        <v>781</v>
      </c>
      <c r="AH7" s="2021"/>
      <c r="AI7" s="2021"/>
      <c r="AJ7" s="2021"/>
      <c r="AK7" s="2021"/>
      <c r="AL7" s="2"/>
      <c r="AM7" s="2"/>
      <c r="AN7" s="2"/>
      <c r="AO7" s="2"/>
      <c r="AP7" s="2"/>
      <c r="AQ7" s="2"/>
      <c r="AR7" s="2"/>
      <c r="AS7" s="2021" t="s">
        <v>784</v>
      </c>
      <c r="AT7" s="2021"/>
      <c r="AU7" s="2021"/>
      <c r="AV7" s="2021"/>
      <c r="AW7" s="2021"/>
      <c r="AX7" s="2"/>
      <c r="AY7" s="1097" t="s">
        <v>739</v>
      </c>
      <c r="AZ7" s="1383"/>
      <c r="BA7" s="2"/>
    </row>
    <row r="8" spans="1:53" ht="20.25" customHeight="1" x14ac:dyDescent="0.2">
      <c r="A8" s="2"/>
      <c r="B8" s="18">
        <v>1</v>
      </c>
      <c r="C8" s="234">
        <f>B8</f>
        <v>1</v>
      </c>
      <c r="D8" s="235">
        <v>8</v>
      </c>
      <c r="E8" s="2168" t="str">
        <f t="shared" ref="E8:E38" si="0">IF(AND(L$163=0,OR(V8&lt;B$162,V8&gt;B$163)),CONCATENATE(L$131,"  "),IF(AND((SUM(G8:H8)+K8+N8)&lt;&gt;0,AA8=Z$6),E$163,IF(AND((SUM(G8:H8)+K8+N8)=0,AA8=Z$6),E$162,IF(ISERROR($H$163),0,SUM(G8:H8)+K8+N8-SUMIF(G$42:N$42,K$134,G8:N8)))))</f>
        <v xml:space="preserve">attiva trim.  </v>
      </c>
      <c r="F8" s="2169"/>
      <c r="G8" s="304"/>
      <c r="H8" s="304"/>
      <c r="I8" s="830"/>
      <c r="J8" s="831"/>
      <c r="K8" s="304"/>
      <c r="L8" s="830"/>
      <c r="M8" s="831"/>
      <c r="N8" s="304"/>
      <c r="O8" s="830"/>
      <c r="P8" s="831"/>
      <c r="Q8" s="83"/>
      <c r="R8" s="1050">
        <f>IF(G$62=$L$134,0,IF(AND($L$163=0,$V8&gt;$B$163),0,IF(G$155="X",0,ROUND((G8*G$155)/(100+G$155),2))))</f>
        <v>0</v>
      </c>
      <c r="S8" s="1051">
        <f t="shared" ref="S8:S38" si="1">IF(H$62=$L$134,0,IF(AND($L$163=0,$V8&gt;$B$163),0,IF(H$155="X",0,ROUND((H8*H$155)/(100+H$155),2))))</f>
        <v>0</v>
      </c>
      <c r="T8" s="1051">
        <f>IF(K$62=$L$134,0,IF(AND($L$163=0,$V8&gt;$B$163),0,IF(I$155="X",0,ROUND((K8*I$155)/(100+I$155),2))))</f>
        <v>0</v>
      </c>
      <c r="U8" s="1052">
        <f>IF(N$62=$L$134,0,IF(AND($L$163=0,$V8&gt;$B$163),0,IF(J$155="X",0,ROUND((N8*J$155)/(100+J$155),2))))</f>
        <v>0</v>
      </c>
      <c r="V8" s="231">
        <f>DATE(C$6,D8,C8)</f>
        <v>45505</v>
      </c>
      <c r="W8" s="1050">
        <f t="shared" ref="W8:W38" si="2">IF(AND($L$163=0,$V8&gt;$B$163),0,G8-R8)</f>
        <v>0</v>
      </c>
      <c r="X8" s="1051">
        <f t="shared" ref="X8:X38" si="3">IF(AND($L$163=0,$V8&gt;$B$163),0,H8-S8)</f>
        <v>0</v>
      </c>
      <c r="Y8" s="1051">
        <f t="shared" ref="Y8:Y38" si="4">IF(AND($L$163=0,$V8&gt;$B$163),0,K8-T8)</f>
        <v>0</v>
      </c>
      <c r="Z8" s="1052">
        <f t="shared" ref="Z8:Z38" si="5">IF(AND($L$163=0,$V8&gt;$B$163),0,N8-U8)</f>
        <v>0</v>
      </c>
      <c r="AA8" s="822">
        <f>VLOOKUP(V8,CASSA!$B$114:$C$479,2,FALSE)</f>
        <v>0</v>
      </c>
      <c r="AB8" s="1050">
        <f>IF(AND(G$62=$L$134,$L$78&lt;&gt;0),$L$78/$G$65*G8,0)</f>
        <v>0</v>
      </c>
      <c r="AC8" s="1051">
        <f>IF(AND(H$62=$L$134,$L$78&lt;&gt;0),$L$78/$G$65*H8,0)</f>
        <v>0</v>
      </c>
      <c r="AD8" s="1051">
        <f>IF(AND(K$62=$L$134,$L$78&lt;&gt;0),$L$78/$G$65*K8,0)</f>
        <v>0</v>
      </c>
      <c r="AE8" s="1052">
        <f>IF(AND(N$62=$L$134,$L$78&lt;&gt;0),$L$78/$G$65*N8,0)</f>
        <v>0</v>
      </c>
      <c r="AF8" s="2"/>
      <c r="AG8" s="1087">
        <f>SUMIF($G$152:$J$152,1,W8:Z8)-SUM(AH8:AK8)</f>
        <v>0</v>
      </c>
      <c r="AH8" s="1088">
        <f>IF(AND($AG$6=1,$R$101&lt;&gt;0),$R$101/$R$96*SUMIF($G$152:$J$152,1,$W8:$Z8),0)</f>
        <v>0</v>
      </c>
      <c r="AI8" s="1051">
        <f>IF(AND($AG$6=1,$R$102&lt;&gt;0),$R$102/$R$96*SUMIF($G$152:$J$152,1,$W8:$Z8),0)</f>
        <v>0</v>
      </c>
      <c r="AJ8" s="1051">
        <f>IF(AND($AG$6=1,$R$103&lt;&gt;0),$R$103/$R$96*SUMIF($G$152:$J$152,1,$W8:$Z8),0)</f>
        <v>0</v>
      </c>
      <c r="AK8" s="1089">
        <f t="shared" ref="AK8:AK38" si="6">IF(AND($AG$6=1,$R$104&lt;&gt;0),$R$104/$R$96*SUMIF($G$152:$J$152,1,$W8:$Z8),0)</f>
        <v>0</v>
      </c>
      <c r="AL8" s="2"/>
      <c r="AM8" s="1087">
        <f t="shared" ref="AM8:AM38" si="7">SUMIF($G$42:$N$42,$K$134,$G8:$N8)</f>
        <v>0</v>
      </c>
      <c r="AN8" s="1104">
        <f>IF(G$42=$K$134,R8,0)</f>
        <v>0</v>
      </c>
      <c r="AO8" s="1051">
        <f>IF(H$42=$K$134,S8,0)</f>
        <v>0</v>
      </c>
      <c r="AP8" s="1051">
        <f>IF(K$42=$K$134,T8,0)</f>
        <v>0</v>
      </c>
      <c r="AQ8" s="1089">
        <f>IF(N$42=$K$134,U8,0)</f>
        <v>0</v>
      </c>
      <c r="AR8" s="2"/>
      <c r="AS8" s="1087">
        <f>IF(AG8&lt;&gt;0,AG8*$T$97/100,0)</f>
        <v>0</v>
      </c>
      <c r="AT8" s="1088">
        <f>IF(AH8&lt;&gt;0,AH8*$T$101/100,0)</f>
        <v>0</v>
      </c>
      <c r="AU8" s="1051">
        <f>IF(AI8&lt;&gt;0,AI8*$T$102/100,0)</f>
        <v>0</v>
      </c>
      <c r="AV8" s="1051">
        <f>IF(AJ8&lt;&gt;0,AJ8*$T$103/100,0)</f>
        <v>0</v>
      </c>
      <c r="AW8" s="1089">
        <f>IF(AK8&lt;&gt;0,AK8*$T$104/100,0)</f>
        <v>0</v>
      </c>
      <c r="AX8" s="2"/>
      <c r="AY8" s="1087">
        <f>IF(SUM(AB8:AE8)=0,0,SUM(AB8:AE8)*U$90/100)</f>
        <v>0</v>
      </c>
      <c r="AZ8" s="1384" t="s">
        <v>850</v>
      </c>
      <c r="BA8" s="2"/>
    </row>
    <row r="9" spans="1:53" ht="20.25" customHeight="1" x14ac:dyDescent="0.2">
      <c r="A9" s="2"/>
      <c r="B9" s="18">
        <v>2</v>
      </c>
      <c r="C9" s="234">
        <f>IF(D9="--","--",C8+1)</f>
        <v>2</v>
      </c>
      <c r="D9" s="235">
        <f t="shared" ref="D9:D38" si="8">IF(MONTH(V9)=D$8,D8,"--")</f>
        <v>8</v>
      </c>
      <c r="E9" s="2159" t="str">
        <f t="shared" si="0"/>
        <v xml:space="preserve">attiva trim.  </v>
      </c>
      <c r="F9" s="2160"/>
      <c r="G9" s="237"/>
      <c r="H9" s="237"/>
      <c r="I9" s="828"/>
      <c r="J9" s="829"/>
      <c r="K9" s="237"/>
      <c r="L9" s="828"/>
      <c r="M9" s="829"/>
      <c r="N9" s="237"/>
      <c r="O9" s="828"/>
      <c r="P9" s="829"/>
      <c r="Q9" s="83"/>
      <c r="R9" s="1053">
        <f t="shared" ref="R9:R38" si="9">IF(G$62=$L$134,0,IF(AND($L$163=0,$V9&gt;$B$163),0,IF(G$155="X",0,ROUND((G9*G$155)/(100+G$155),2))))</f>
        <v>0</v>
      </c>
      <c r="S9" s="1054">
        <f t="shared" si="1"/>
        <v>0</v>
      </c>
      <c r="T9" s="1054">
        <f t="shared" ref="T9:T38" si="10">IF(K$62=$L$134,0,IF(AND($L$163=0,$V9&gt;$B$163),0,IF(I$155="X",0,ROUND((K9*I$155)/(100+I$155),2))))</f>
        <v>0</v>
      </c>
      <c r="U9" s="1055">
        <f t="shared" ref="U9:U38" si="11">IF(N$62=$L$134,0,IF(AND($L$163=0,$V9&gt;$B$163),0,IF(J$155="X",0,ROUND((N9*J$155)/(100+J$155),2))))</f>
        <v>0</v>
      </c>
      <c r="V9" s="231">
        <f>V8+1</f>
        <v>45506</v>
      </c>
      <c r="W9" s="1053">
        <f t="shared" si="2"/>
        <v>0</v>
      </c>
      <c r="X9" s="1054">
        <f t="shared" si="3"/>
        <v>0</v>
      </c>
      <c r="Y9" s="1054">
        <f t="shared" si="4"/>
        <v>0</v>
      </c>
      <c r="Z9" s="1055">
        <f t="shared" si="5"/>
        <v>0</v>
      </c>
      <c r="AA9" s="822">
        <f>VLOOKUP(V9,CASSA!$B$114:$C$479,2,FALSE)</f>
        <v>0</v>
      </c>
      <c r="AB9" s="1053">
        <f t="shared" ref="AB9:AB38" si="12">IF(AND(G$62=$L$134,$L$78&lt;&gt;0),$L$78/$G$65*G9,0)</f>
        <v>0</v>
      </c>
      <c r="AC9" s="1054">
        <f t="shared" ref="AC9:AC38" si="13">IF(AND(H$62=$L$134,$L$78&lt;&gt;0),$L$78/$G$65*H9,0)</f>
        <v>0</v>
      </c>
      <c r="AD9" s="1054">
        <f t="shared" ref="AD9:AD38" si="14">IF(AND(K$62=$L$134,$L$78&lt;&gt;0),$L$78/$G$65*K9,0)</f>
        <v>0</v>
      </c>
      <c r="AE9" s="1055">
        <f t="shared" ref="AE9:AE38" si="15">IF(AND(N$62=$L$134,$L$78&lt;&gt;0),$L$78/$G$65*N9,0)</f>
        <v>0</v>
      </c>
      <c r="AF9" s="2"/>
      <c r="AG9" s="1090">
        <f t="shared" ref="AG9:AG38" si="16">SUMIF($G$152:$J$152,1,W9:Z9)-SUM(AH9:AK9)</f>
        <v>0</v>
      </c>
      <c r="AH9" s="1091">
        <f t="shared" ref="AH9:AH38" si="17">IF(AND($AG$6=1,$R$101&lt;&gt;0),$R$101/$R$96*SUMIF($G$152:$J$152,1,$W9:$Z9),0)</f>
        <v>0</v>
      </c>
      <c r="AI9" s="1054">
        <f t="shared" ref="AI9:AI38" si="18">IF(AND($AG$6=1,$R$102&lt;&gt;0),$R$102/$R$96*SUMIF($G$152:$J$152,1,$W9:$Z9),0)</f>
        <v>0</v>
      </c>
      <c r="AJ9" s="1054">
        <f t="shared" ref="AJ9:AJ38" si="19">IF(AND($AG$6=1,$R$103&lt;&gt;0),$R$103/$R$96*SUMIF($G$152:$J$152,1,$W9:$Z9),0)</f>
        <v>0</v>
      </c>
      <c r="AK9" s="1092">
        <f t="shared" si="6"/>
        <v>0</v>
      </c>
      <c r="AL9" s="2"/>
      <c r="AM9" s="1090">
        <f t="shared" si="7"/>
        <v>0</v>
      </c>
      <c r="AN9" s="1105">
        <f t="shared" ref="AN9:AN38" si="20">IF(G$42=$K$134,R9,0)</f>
        <v>0</v>
      </c>
      <c r="AO9" s="1054">
        <f t="shared" ref="AO9:AO38" si="21">IF(H$42=$K$134,S9,0)</f>
        <v>0</v>
      </c>
      <c r="AP9" s="1054">
        <f t="shared" ref="AP9:AP38" si="22">IF(K$42=$K$134,T9,0)</f>
        <v>0</v>
      </c>
      <c r="AQ9" s="1092">
        <f t="shared" ref="AQ9:AQ38" si="23">IF(N$42=$K$134,U9,0)</f>
        <v>0</v>
      </c>
      <c r="AR9" s="2"/>
      <c r="AS9" s="1090">
        <f t="shared" ref="AS9:AS38" si="24">IF(AG9&lt;&gt;0,AG9*$T$97/100,0)</f>
        <v>0</v>
      </c>
      <c r="AT9" s="1091">
        <f t="shared" ref="AT9:AT38" si="25">IF(AH9&lt;&gt;0,AH9*$T$101/100,0)</f>
        <v>0</v>
      </c>
      <c r="AU9" s="1054">
        <f t="shared" ref="AU9:AU38" si="26">IF(AI9&lt;&gt;0,AI9*$T$102/100,0)</f>
        <v>0</v>
      </c>
      <c r="AV9" s="1054">
        <f t="shared" ref="AV9:AV38" si="27">IF(AJ9&lt;&gt;0,AJ9*$T$103/100,0)</f>
        <v>0</v>
      </c>
      <c r="AW9" s="1092">
        <f t="shared" ref="AW9:AW38" si="28">IF(AK9&lt;&gt;0,AK9*$T$104/100,0)</f>
        <v>0</v>
      </c>
      <c r="AX9" s="2"/>
      <c r="AY9" s="1090">
        <f t="shared" ref="AY9:AY38" si="29">IF(SUM(AB9:AE9)=0,0,SUM(AB9:AE9)*U$90/100)</f>
        <v>0</v>
      </c>
      <c r="AZ9" s="1385" t="s">
        <v>851</v>
      </c>
      <c r="BA9" s="2"/>
    </row>
    <row r="10" spans="1:53" ht="20.25" customHeight="1" x14ac:dyDescent="0.2">
      <c r="A10" s="2"/>
      <c r="B10" s="18">
        <v>3</v>
      </c>
      <c r="C10" s="234">
        <f t="shared" ref="C10:C38" si="30">IF(D10="--","--",C9+1)</f>
        <v>3</v>
      </c>
      <c r="D10" s="235">
        <f t="shared" si="8"/>
        <v>8</v>
      </c>
      <c r="E10" s="2159" t="str">
        <f t="shared" si="0"/>
        <v xml:space="preserve">attiva trim.  </v>
      </c>
      <c r="F10" s="2160"/>
      <c r="G10" s="237"/>
      <c r="H10" s="237"/>
      <c r="I10" s="828"/>
      <c r="J10" s="829"/>
      <c r="K10" s="237"/>
      <c r="L10" s="828"/>
      <c r="M10" s="829"/>
      <c r="N10" s="237"/>
      <c r="O10" s="828"/>
      <c r="P10" s="829"/>
      <c r="Q10" s="83"/>
      <c r="R10" s="1053">
        <f t="shared" si="9"/>
        <v>0</v>
      </c>
      <c r="S10" s="1054">
        <f t="shared" si="1"/>
        <v>0</v>
      </c>
      <c r="T10" s="1054">
        <f t="shared" si="10"/>
        <v>0</v>
      </c>
      <c r="U10" s="1055">
        <f t="shared" si="11"/>
        <v>0</v>
      </c>
      <c r="V10" s="231">
        <f t="shared" ref="V10:V38" si="31">V9+1</f>
        <v>45507</v>
      </c>
      <c r="W10" s="1053">
        <f t="shared" si="2"/>
        <v>0</v>
      </c>
      <c r="X10" s="1054">
        <f t="shared" si="3"/>
        <v>0</v>
      </c>
      <c r="Y10" s="1054">
        <f t="shared" si="4"/>
        <v>0</v>
      </c>
      <c r="Z10" s="1055">
        <f t="shared" si="5"/>
        <v>0</v>
      </c>
      <c r="AA10" s="822">
        <f>VLOOKUP(V10,CASSA!$B$114:$C$479,2,FALSE)</f>
        <v>0</v>
      </c>
      <c r="AB10" s="1053">
        <f t="shared" si="12"/>
        <v>0</v>
      </c>
      <c r="AC10" s="1054">
        <f t="shared" si="13"/>
        <v>0</v>
      </c>
      <c r="AD10" s="1054">
        <f t="shared" si="14"/>
        <v>0</v>
      </c>
      <c r="AE10" s="1055">
        <f t="shared" si="15"/>
        <v>0</v>
      </c>
      <c r="AF10" s="2"/>
      <c r="AG10" s="1090">
        <f t="shared" si="16"/>
        <v>0</v>
      </c>
      <c r="AH10" s="1091">
        <f t="shared" si="17"/>
        <v>0</v>
      </c>
      <c r="AI10" s="1054">
        <f t="shared" si="18"/>
        <v>0</v>
      </c>
      <c r="AJ10" s="1054">
        <f t="shared" si="19"/>
        <v>0</v>
      </c>
      <c r="AK10" s="1092">
        <f t="shared" si="6"/>
        <v>0</v>
      </c>
      <c r="AL10" s="2"/>
      <c r="AM10" s="1090">
        <f t="shared" si="7"/>
        <v>0</v>
      </c>
      <c r="AN10" s="1105">
        <f t="shared" si="20"/>
        <v>0</v>
      </c>
      <c r="AO10" s="1054">
        <f t="shared" si="21"/>
        <v>0</v>
      </c>
      <c r="AP10" s="1054">
        <f t="shared" si="22"/>
        <v>0</v>
      </c>
      <c r="AQ10" s="1092">
        <f t="shared" si="23"/>
        <v>0</v>
      </c>
      <c r="AR10" s="2"/>
      <c r="AS10" s="1090">
        <f t="shared" si="24"/>
        <v>0</v>
      </c>
      <c r="AT10" s="1091">
        <f t="shared" si="25"/>
        <v>0</v>
      </c>
      <c r="AU10" s="1054">
        <f t="shared" si="26"/>
        <v>0</v>
      </c>
      <c r="AV10" s="1054">
        <f t="shared" si="27"/>
        <v>0</v>
      </c>
      <c r="AW10" s="1092">
        <f t="shared" si="28"/>
        <v>0</v>
      </c>
      <c r="AX10" s="2"/>
      <c r="AY10" s="1090">
        <f t="shared" si="29"/>
        <v>0</v>
      </c>
      <c r="AZ10" s="1385" t="s">
        <v>852</v>
      </c>
      <c r="BA10" s="2"/>
    </row>
    <row r="11" spans="1:53" ht="20.25" customHeight="1" x14ac:dyDescent="0.2">
      <c r="A11" s="2"/>
      <c r="B11" s="18">
        <v>4</v>
      </c>
      <c r="C11" s="234">
        <f t="shared" si="30"/>
        <v>4</v>
      </c>
      <c r="D11" s="235">
        <f t="shared" si="8"/>
        <v>8</v>
      </c>
      <c r="E11" s="2159" t="str">
        <f t="shared" si="0"/>
        <v xml:space="preserve">attiva trim.  </v>
      </c>
      <c r="F11" s="2160"/>
      <c r="G11" s="237"/>
      <c r="H11" s="237"/>
      <c r="I11" s="828"/>
      <c r="J11" s="829"/>
      <c r="K11" s="237"/>
      <c r="L11" s="828"/>
      <c r="M11" s="829"/>
      <c r="N11" s="237"/>
      <c r="O11" s="828"/>
      <c r="P11" s="829"/>
      <c r="Q11" s="6"/>
      <c r="R11" s="1053">
        <f t="shared" si="9"/>
        <v>0</v>
      </c>
      <c r="S11" s="1054">
        <f t="shared" si="1"/>
        <v>0</v>
      </c>
      <c r="T11" s="1054">
        <f t="shared" si="10"/>
        <v>0</v>
      </c>
      <c r="U11" s="1055">
        <f t="shared" si="11"/>
        <v>0</v>
      </c>
      <c r="V11" s="231">
        <f t="shared" si="31"/>
        <v>45508</v>
      </c>
      <c r="W11" s="1053">
        <f t="shared" si="2"/>
        <v>0</v>
      </c>
      <c r="X11" s="1054">
        <f t="shared" si="3"/>
        <v>0</v>
      </c>
      <c r="Y11" s="1054">
        <f t="shared" si="4"/>
        <v>0</v>
      </c>
      <c r="Z11" s="1055">
        <f t="shared" si="5"/>
        <v>0</v>
      </c>
      <c r="AA11" s="822">
        <f>VLOOKUP(V11,CASSA!$B$114:$C$479,2,FALSE)</f>
        <v>0</v>
      </c>
      <c r="AB11" s="1053">
        <f t="shared" si="12"/>
        <v>0</v>
      </c>
      <c r="AC11" s="1054">
        <f t="shared" si="13"/>
        <v>0</v>
      </c>
      <c r="AD11" s="1054">
        <f t="shared" si="14"/>
        <v>0</v>
      </c>
      <c r="AE11" s="1055">
        <f t="shared" si="15"/>
        <v>0</v>
      </c>
      <c r="AF11" s="2"/>
      <c r="AG11" s="1090">
        <f t="shared" si="16"/>
        <v>0</v>
      </c>
      <c r="AH11" s="1091">
        <f t="shared" si="17"/>
        <v>0</v>
      </c>
      <c r="AI11" s="1054">
        <f t="shared" si="18"/>
        <v>0</v>
      </c>
      <c r="AJ11" s="1054">
        <f t="shared" si="19"/>
        <v>0</v>
      </c>
      <c r="AK11" s="1092">
        <f t="shared" si="6"/>
        <v>0</v>
      </c>
      <c r="AL11" s="2"/>
      <c r="AM11" s="1090">
        <f t="shared" si="7"/>
        <v>0</v>
      </c>
      <c r="AN11" s="1105">
        <f t="shared" si="20"/>
        <v>0</v>
      </c>
      <c r="AO11" s="1054">
        <f t="shared" si="21"/>
        <v>0</v>
      </c>
      <c r="AP11" s="1054">
        <f t="shared" si="22"/>
        <v>0</v>
      </c>
      <c r="AQ11" s="1092">
        <f t="shared" si="23"/>
        <v>0</v>
      </c>
      <c r="AR11" s="2"/>
      <c r="AS11" s="1090">
        <f t="shared" si="24"/>
        <v>0</v>
      </c>
      <c r="AT11" s="1091">
        <f t="shared" si="25"/>
        <v>0</v>
      </c>
      <c r="AU11" s="1054">
        <f t="shared" si="26"/>
        <v>0</v>
      </c>
      <c r="AV11" s="1054">
        <f t="shared" si="27"/>
        <v>0</v>
      </c>
      <c r="AW11" s="1092">
        <f t="shared" si="28"/>
        <v>0</v>
      </c>
      <c r="AX11" s="2"/>
      <c r="AY11" s="1090">
        <f t="shared" si="29"/>
        <v>0</v>
      </c>
      <c r="AZ11" s="1385" t="s">
        <v>853</v>
      </c>
      <c r="BA11" s="2"/>
    </row>
    <row r="12" spans="1:53" ht="20.25" customHeight="1" x14ac:dyDescent="0.2">
      <c r="A12" s="2"/>
      <c r="B12" s="18">
        <v>5</v>
      </c>
      <c r="C12" s="234">
        <f t="shared" si="30"/>
        <v>5</v>
      </c>
      <c r="D12" s="235">
        <f t="shared" si="8"/>
        <v>8</v>
      </c>
      <c r="E12" s="2159" t="str">
        <f t="shared" si="0"/>
        <v xml:space="preserve">attiva trim.  </v>
      </c>
      <c r="F12" s="2160"/>
      <c r="G12" s="237"/>
      <c r="H12" s="237"/>
      <c r="I12" s="828"/>
      <c r="J12" s="829"/>
      <c r="K12" s="237"/>
      <c r="L12" s="828"/>
      <c r="M12" s="829"/>
      <c r="N12" s="237"/>
      <c r="O12" s="828"/>
      <c r="P12" s="829"/>
      <c r="Q12" s="6"/>
      <c r="R12" s="1053">
        <f t="shared" si="9"/>
        <v>0</v>
      </c>
      <c r="S12" s="1054">
        <f t="shared" si="1"/>
        <v>0</v>
      </c>
      <c r="T12" s="1054">
        <f t="shared" si="10"/>
        <v>0</v>
      </c>
      <c r="U12" s="1055">
        <f t="shared" si="11"/>
        <v>0</v>
      </c>
      <c r="V12" s="231">
        <f t="shared" si="31"/>
        <v>45509</v>
      </c>
      <c r="W12" s="1053">
        <f t="shared" si="2"/>
        <v>0</v>
      </c>
      <c r="X12" s="1054">
        <f t="shared" si="3"/>
        <v>0</v>
      </c>
      <c r="Y12" s="1054">
        <f t="shared" si="4"/>
        <v>0</v>
      </c>
      <c r="Z12" s="1055">
        <f t="shared" si="5"/>
        <v>0</v>
      </c>
      <c r="AA12" s="822">
        <f>VLOOKUP(V12,CASSA!$B$114:$C$479,2,FALSE)</f>
        <v>0</v>
      </c>
      <c r="AB12" s="1053">
        <f t="shared" si="12"/>
        <v>0</v>
      </c>
      <c r="AC12" s="1054">
        <f t="shared" si="13"/>
        <v>0</v>
      </c>
      <c r="AD12" s="1054">
        <f t="shared" si="14"/>
        <v>0</v>
      </c>
      <c r="AE12" s="1055">
        <f t="shared" si="15"/>
        <v>0</v>
      </c>
      <c r="AF12" s="2"/>
      <c r="AG12" s="1090">
        <f t="shared" si="16"/>
        <v>0</v>
      </c>
      <c r="AH12" s="1091">
        <f t="shared" si="17"/>
        <v>0</v>
      </c>
      <c r="AI12" s="1054">
        <f t="shared" si="18"/>
        <v>0</v>
      </c>
      <c r="AJ12" s="1054">
        <f t="shared" si="19"/>
        <v>0</v>
      </c>
      <c r="AK12" s="1092">
        <f t="shared" si="6"/>
        <v>0</v>
      </c>
      <c r="AL12" s="2"/>
      <c r="AM12" s="1090">
        <f t="shared" si="7"/>
        <v>0</v>
      </c>
      <c r="AN12" s="1105">
        <f t="shared" si="20"/>
        <v>0</v>
      </c>
      <c r="AO12" s="1054">
        <f t="shared" si="21"/>
        <v>0</v>
      </c>
      <c r="AP12" s="1054">
        <f t="shared" si="22"/>
        <v>0</v>
      </c>
      <c r="AQ12" s="1092">
        <f t="shared" si="23"/>
        <v>0</v>
      </c>
      <c r="AR12" s="2"/>
      <c r="AS12" s="1090">
        <f t="shared" si="24"/>
        <v>0</v>
      </c>
      <c r="AT12" s="1091">
        <f t="shared" si="25"/>
        <v>0</v>
      </c>
      <c r="AU12" s="1054">
        <f t="shared" si="26"/>
        <v>0</v>
      </c>
      <c r="AV12" s="1054">
        <f t="shared" si="27"/>
        <v>0</v>
      </c>
      <c r="AW12" s="1092">
        <f t="shared" si="28"/>
        <v>0</v>
      </c>
      <c r="AX12" s="2"/>
      <c r="AY12" s="1090">
        <f t="shared" si="29"/>
        <v>0</v>
      </c>
      <c r="AZ12" s="1385"/>
      <c r="BA12" s="2"/>
    </row>
    <row r="13" spans="1:53" ht="20.25" customHeight="1" x14ac:dyDescent="0.2">
      <c r="A13" s="2"/>
      <c r="B13" s="18">
        <v>6</v>
      </c>
      <c r="C13" s="234">
        <f t="shared" si="30"/>
        <v>6</v>
      </c>
      <c r="D13" s="235">
        <f t="shared" si="8"/>
        <v>8</v>
      </c>
      <c r="E13" s="2159" t="str">
        <f t="shared" si="0"/>
        <v xml:space="preserve">attiva trim.  </v>
      </c>
      <c r="F13" s="2160"/>
      <c r="G13" s="237"/>
      <c r="H13" s="237"/>
      <c r="I13" s="828"/>
      <c r="J13" s="829"/>
      <c r="K13" s="237"/>
      <c r="L13" s="828"/>
      <c r="M13" s="829"/>
      <c r="N13" s="237"/>
      <c r="O13" s="828"/>
      <c r="P13" s="829"/>
      <c r="Q13" s="6"/>
      <c r="R13" s="1053">
        <f t="shared" si="9"/>
        <v>0</v>
      </c>
      <c r="S13" s="1054">
        <f t="shared" si="1"/>
        <v>0</v>
      </c>
      <c r="T13" s="1054">
        <f t="shared" si="10"/>
        <v>0</v>
      </c>
      <c r="U13" s="1055">
        <f t="shared" si="11"/>
        <v>0</v>
      </c>
      <c r="V13" s="231">
        <f t="shared" si="31"/>
        <v>45510</v>
      </c>
      <c r="W13" s="1053">
        <f t="shared" si="2"/>
        <v>0</v>
      </c>
      <c r="X13" s="1054">
        <f t="shared" si="3"/>
        <v>0</v>
      </c>
      <c r="Y13" s="1054">
        <f t="shared" si="4"/>
        <v>0</v>
      </c>
      <c r="Z13" s="1055">
        <f t="shared" si="5"/>
        <v>0</v>
      </c>
      <c r="AA13" s="822">
        <f>VLOOKUP(V13,CASSA!$B$114:$C$479,2,FALSE)</f>
        <v>0</v>
      </c>
      <c r="AB13" s="1053">
        <f t="shared" si="12"/>
        <v>0</v>
      </c>
      <c r="AC13" s="1054">
        <f t="shared" si="13"/>
        <v>0</v>
      </c>
      <c r="AD13" s="1054">
        <f t="shared" si="14"/>
        <v>0</v>
      </c>
      <c r="AE13" s="1055">
        <f t="shared" si="15"/>
        <v>0</v>
      </c>
      <c r="AF13" s="2"/>
      <c r="AG13" s="1090">
        <f t="shared" si="16"/>
        <v>0</v>
      </c>
      <c r="AH13" s="1091">
        <f t="shared" si="17"/>
        <v>0</v>
      </c>
      <c r="AI13" s="1054">
        <f t="shared" si="18"/>
        <v>0</v>
      </c>
      <c r="AJ13" s="1054">
        <f t="shared" si="19"/>
        <v>0</v>
      </c>
      <c r="AK13" s="1092">
        <f t="shared" si="6"/>
        <v>0</v>
      </c>
      <c r="AL13" s="2"/>
      <c r="AM13" s="1090">
        <f t="shared" si="7"/>
        <v>0</v>
      </c>
      <c r="AN13" s="1105">
        <f t="shared" si="20"/>
        <v>0</v>
      </c>
      <c r="AO13" s="1054">
        <f t="shared" si="21"/>
        <v>0</v>
      </c>
      <c r="AP13" s="1054">
        <f t="shared" si="22"/>
        <v>0</v>
      </c>
      <c r="AQ13" s="1092">
        <f t="shared" si="23"/>
        <v>0</v>
      </c>
      <c r="AR13" s="2"/>
      <c r="AS13" s="1090">
        <f t="shared" si="24"/>
        <v>0</v>
      </c>
      <c r="AT13" s="1091">
        <f t="shared" si="25"/>
        <v>0</v>
      </c>
      <c r="AU13" s="1054">
        <f t="shared" si="26"/>
        <v>0</v>
      </c>
      <c r="AV13" s="1054">
        <f t="shared" si="27"/>
        <v>0</v>
      </c>
      <c r="AW13" s="1092">
        <f t="shared" si="28"/>
        <v>0</v>
      </c>
      <c r="AX13" s="2"/>
      <c r="AY13" s="1090">
        <f t="shared" si="29"/>
        <v>0</v>
      </c>
      <c r="AZ13" s="1385"/>
      <c r="BA13" s="2"/>
    </row>
    <row r="14" spans="1:53" ht="20.25" customHeight="1" x14ac:dyDescent="0.2">
      <c r="A14" s="2"/>
      <c r="B14" s="18">
        <v>7</v>
      </c>
      <c r="C14" s="234">
        <f t="shared" si="30"/>
        <v>7</v>
      </c>
      <c r="D14" s="235">
        <f t="shared" si="8"/>
        <v>8</v>
      </c>
      <c r="E14" s="2159" t="str">
        <f t="shared" si="0"/>
        <v xml:space="preserve">attiva trim.  </v>
      </c>
      <c r="F14" s="2160"/>
      <c r="G14" s="237"/>
      <c r="H14" s="237"/>
      <c r="I14" s="828"/>
      <c r="J14" s="829"/>
      <c r="K14" s="237"/>
      <c r="L14" s="828"/>
      <c r="M14" s="829"/>
      <c r="N14" s="237"/>
      <c r="O14" s="828"/>
      <c r="P14" s="829"/>
      <c r="Q14" s="6"/>
      <c r="R14" s="1053">
        <f t="shared" si="9"/>
        <v>0</v>
      </c>
      <c r="S14" s="1054">
        <f t="shared" si="1"/>
        <v>0</v>
      </c>
      <c r="T14" s="1054">
        <f t="shared" si="10"/>
        <v>0</v>
      </c>
      <c r="U14" s="1055">
        <f t="shared" si="11"/>
        <v>0</v>
      </c>
      <c r="V14" s="231">
        <f t="shared" si="31"/>
        <v>45511</v>
      </c>
      <c r="W14" s="1053">
        <f t="shared" si="2"/>
        <v>0</v>
      </c>
      <c r="X14" s="1054">
        <f t="shared" si="3"/>
        <v>0</v>
      </c>
      <c r="Y14" s="1054">
        <f t="shared" si="4"/>
        <v>0</v>
      </c>
      <c r="Z14" s="1055">
        <f t="shared" si="5"/>
        <v>0</v>
      </c>
      <c r="AA14" s="822">
        <f>VLOOKUP(V14,CASSA!$B$114:$C$479,2,FALSE)</f>
        <v>0</v>
      </c>
      <c r="AB14" s="1053">
        <f t="shared" si="12"/>
        <v>0</v>
      </c>
      <c r="AC14" s="1054">
        <f t="shared" si="13"/>
        <v>0</v>
      </c>
      <c r="AD14" s="1054">
        <f t="shared" si="14"/>
        <v>0</v>
      </c>
      <c r="AE14" s="1055">
        <f t="shared" si="15"/>
        <v>0</v>
      </c>
      <c r="AF14" s="2"/>
      <c r="AG14" s="1090">
        <f t="shared" si="16"/>
        <v>0</v>
      </c>
      <c r="AH14" s="1091">
        <f t="shared" si="17"/>
        <v>0</v>
      </c>
      <c r="AI14" s="1054">
        <f t="shared" si="18"/>
        <v>0</v>
      </c>
      <c r="AJ14" s="1054">
        <f t="shared" si="19"/>
        <v>0</v>
      </c>
      <c r="AK14" s="1092">
        <f t="shared" si="6"/>
        <v>0</v>
      </c>
      <c r="AL14" s="2"/>
      <c r="AM14" s="1090">
        <f t="shared" si="7"/>
        <v>0</v>
      </c>
      <c r="AN14" s="1105">
        <f t="shared" si="20"/>
        <v>0</v>
      </c>
      <c r="AO14" s="1054">
        <f t="shared" si="21"/>
        <v>0</v>
      </c>
      <c r="AP14" s="1054">
        <f t="shared" si="22"/>
        <v>0</v>
      </c>
      <c r="AQ14" s="1092">
        <f t="shared" si="23"/>
        <v>0</v>
      </c>
      <c r="AR14" s="2"/>
      <c r="AS14" s="1090">
        <f t="shared" si="24"/>
        <v>0</v>
      </c>
      <c r="AT14" s="1091">
        <f t="shared" si="25"/>
        <v>0</v>
      </c>
      <c r="AU14" s="1054">
        <f t="shared" si="26"/>
        <v>0</v>
      </c>
      <c r="AV14" s="1054">
        <f t="shared" si="27"/>
        <v>0</v>
      </c>
      <c r="AW14" s="1092">
        <f t="shared" si="28"/>
        <v>0</v>
      </c>
      <c r="AX14" s="2"/>
      <c r="AY14" s="1090">
        <f t="shared" si="29"/>
        <v>0</v>
      </c>
      <c r="AZ14" s="1385"/>
      <c r="BA14" s="2"/>
    </row>
    <row r="15" spans="1:53" ht="20.25" customHeight="1" x14ac:dyDescent="0.2">
      <c r="A15" s="2"/>
      <c r="B15" s="18">
        <v>8</v>
      </c>
      <c r="C15" s="234">
        <f t="shared" si="30"/>
        <v>8</v>
      </c>
      <c r="D15" s="235">
        <f t="shared" si="8"/>
        <v>8</v>
      </c>
      <c r="E15" s="2159" t="str">
        <f t="shared" si="0"/>
        <v xml:space="preserve">attiva trim.  </v>
      </c>
      <c r="F15" s="2160"/>
      <c r="G15" s="237"/>
      <c r="H15" s="237"/>
      <c r="I15" s="828"/>
      <c r="J15" s="829"/>
      <c r="K15" s="237"/>
      <c r="L15" s="828"/>
      <c r="M15" s="829"/>
      <c r="N15" s="237"/>
      <c r="O15" s="828"/>
      <c r="P15" s="829"/>
      <c r="Q15" s="6"/>
      <c r="R15" s="1053">
        <f t="shared" si="9"/>
        <v>0</v>
      </c>
      <c r="S15" s="1054">
        <f t="shared" si="1"/>
        <v>0</v>
      </c>
      <c r="T15" s="1054">
        <f t="shared" si="10"/>
        <v>0</v>
      </c>
      <c r="U15" s="1055">
        <f t="shared" si="11"/>
        <v>0</v>
      </c>
      <c r="V15" s="231">
        <f t="shared" si="31"/>
        <v>45512</v>
      </c>
      <c r="W15" s="1053">
        <f t="shared" si="2"/>
        <v>0</v>
      </c>
      <c r="X15" s="1054">
        <f t="shared" si="3"/>
        <v>0</v>
      </c>
      <c r="Y15" s="1054">
        <f t="shared" si="4"/>
        <v>0</v>
      </c>
      <c r="Z15" s="1055">
        <f t="shared" si="5"/>
        <v>0</v>
      </c>
      <c r="AA15" s="822">
        <f>VLOOKUP(V15,CASSA!$B$114:$C$479,2,FALSE)</f>
        <v>0</v>
      </c>
      <c r="AB15" s="1053">
        <f t="shared" si="12"/>
        <v>0</v>
      </c>
      <c r="AC15" s="1054">
        <f t="shared" si="13"/>
        <v>0</v>
      </c>
      <c r="AD15" s="1054">
        <f t="shared" si="14"/>
        <v>0</v>
      </c>
      <c r="AE15" s="1055">
        <f t="shared" si="15"/>
        <v>0</v>
      </c>
      <c r="AF15" s="2"/>
      <c r="AG15" s="1090">
        <f t="shared" si="16"/>
        <v>0</v>
      </c>
      <c r="AH15" s="1091">
        <f t="shared" si="17"/>
        <v>0</v>
      </c>
      <c r="AI15" s="1054">
        <f t="shared" si="18"/>
        <v>0</v>
      </c>
      <c r="AJ15" s="1054">
        <f t="shared" si="19"/>
        <v>0</v>
      </c>
      <c r="AK15" s="1092">
        <f t="shared" si="6"/>
        <v>0</v>
      </c>
      <c r="AL15" s="2"/>
      <c r="AM15" s="1090">
        <f t="shared" si="7"/>
        <v>0</v>
      </c>
      <c r="AN15" s="1105">
        <f t="shared" si="20"/>
        <v>0</v>
      </c>
      <c r="AO15" s="1054">
        <f t="shared" si="21"/>
        <v>0</v>
      </c>
      <c r="AP15" s="1054">
        <f t="shared" si="22"/>
        <v>0</v>
      </c>
      <c r="AQ15" s="1092">
        <f t="shared" si="23"/>
        <v>0</v>
      </c>
      <c r="AR15" s="2"/>
      <c r="AS15" s="1090">
        <f t="shared" si="24"/>
        <v>0</v>
      </c>
      <c r="AT15" s="1091">
        <f t="shared" si="25"/>
        <v>0</v>
      </c>
      <c r="AU15" s="1054">
        <f t="shared" si="26"/>
        <v>0</v>
      </c>
      <c r="AV15" s="1054">
        <f t="shared" si="27"/>
        <v>0</v>
      </c>
      <c r="AW15" s="1092">
        <f t="shared" si="28"/>
        <v>0</v>
      </c>
      <c r="AX15" s="2"/>
      <c r="AY15" s="1090">
        <f t="shared" si="29"/>
        <v>0</v>
      </c>
      <c r="AZ15" s="1385"/>
      <c r="BA15" s="2"/>
    </row>
    <row r="16" spans="1:53" ht="20.25" customHeight="1" x14ac:dyDescent="0.2">
      <c r="A16" s="2"/>
      <c r="B16" s="18">
        <v>9</v>
      </c>
      <c r="C16" s="234">
        <f t="shared" si="30"/>
        <v>9</v>
      </c>
      <c r="D16" s="235">
        <f t="shared" si="8"/>
        <v>8</v>
      </c>
      <c r="E16" s="2159" t="str">
        <f t="shared" si="0"/>
        <v xml:space="preserve">attiva trim.  </v>
      </c>
      <c r="F16" s="2160"/>
      <c r="G16" s="237"/>
      <c r="H16" s="237"/>
      <c r="I16" s="828"/>
      <c r="J16" s="829"/>
      <c r="K16" s="237"/>
      <c r="L16" s="828"/>
      <c r="M16" s="829"/>
      <c r="N16" s="237"/>
      <c r="O16" s="828"/>
      <c r="P16" s="829"/>
      <c r="Q16" s="6"/>
      <c r="R16" s="1053">
        <f t="shared" si="9"/>
        <v>0</v>
      </c>
      <c r="S16" s="1054">
        <f t="shared" si="1"/>
        <v>0</v>
      </c>
      <c r="T16" s="1054">
        <f t="shared" si="10"/>
        <v>0</v>
      </c>
      <c r="U16" s="1055">
        <f t="shared" si="11"/>
        <v>0</v>
      </c>
      <c r="V16" s="231">
        <f t="shared" si="31"/>
        <v>45513</v>
      </c>
      <c r="W16" s="1053">
        <f t="shared" si="2"/>
        <v>0</v>
      </c>
      <c r="X16" s="1054">
        <f t="shared" si="3"/>
        <v>0</v>
      </c>
      <c r="Y16" s="1054">
        <f t="shared" si="4"/>
        <v>0</v>
      </c>
      <c r="Z16" s="1055">
        <f t="shared" si="5"/>
        <v>0</v>
      </c>
      <c r="AA16" s="822">
        <f>VLOOKUP(V16,CASSA!$B$114:$C$479,2,FALSE)</f>
        <v>0</v>
      </c>
      <c r="AB16" s="1053">
        <f t="shared" si="12"/>
        <v>0</v>
      </c>
      <c r="AC16" s="1054">
        <f t="shared" si="13"/>
        <v>0</v>
      </c>
      <c r="AD16" s="1054">
        <f t="shared" si="14"/>
        <v>0</v>
      </c>
      <c r="AE16" s="1055">
        <f t="shared" si="15"/>
        <v>0</v>
      </c>
      <c r="AF16" s="2"/>
      <c r="AG16" s="1090">
        <f t="shared" si="16"/>
        <v>0</v>
      </c>
      <c r="AH16" s="1091">
        <f t="shared" si="17"/>
        <v>0</v>
      </c>
      <c r="AI16" s="1054">
        <f t="shared" si="18"/>
        <v>0</v>
      </c>
      <c r="AJ16" s="1054">
        <f t="shared" si="19"/>
        <v>0</v>
      </c>
      <c r="AK16" s="1092">
        <f t="shared" si="6"/>
        <v>0</v>
      </c>
      <c r="AL16" s="2"/>
      <c r="AM16" s="1090">
        <f t="shared" si="7"/>
        <v>0</v>
      </c>
      <c r="AN16" s="1105">
        <f t="shared" si="20"/>
        <v>0</v>
      </c>
      <c r="AO16" s="1054">
        <f t="shared" si="21"/>
        <v>0</v>
      </c>
      <c r="AP16" s="1054">
        <f t="shared" si="22"/>
        <v>0</v>
      </c>
      <c r="AQ16" s="1092">
        <f t="shared" si="23"/>
        <v>0</v>
      </c>
      <c r="AR16" s="2"/>
      <c r="AS16" s="1090">
        <f t="shared" si="24"/>
        <v>0</v>
      </c>
      <c r="AT16" s="1091">
        <f t="shared" si="25"/>
        <v>0</v>
      </c>
      <c r="AU16" s="1054">
        <f t="shared" si="26"/>
        <v>0</v>
      </c>
      <c r="AV16" s="1054">
        <f t="shared" si="27"/>
        <v>0</v>
      </c>
      <c r="AW16" s="1092">
        <f t="shared" si="28"/>
        <v>0</v>
      </c>
      <c r="AX16" s="2"/>
      <c r="AY16" s="1090">
        <f t="shared" si="29"/>
        <v>0</v>
      </c>
      <c r="AZ16" s="1385"/>
      <c r="BA16" s="2"/>
    </row>
    <row r="17" spans="1:53" ht="20.25" customHeight="1" x14ac:dyDescent="0.2">
      <c r="A17" s="2"/>
      <c r="B17" s="18">
        <v>10</v>
      </c>
      <c r="C17" s="234">
        <f t="shared" si="30"/>
        <v>10</v>
      </c>
      <c r="D17" s="235">
        <f t="shared" si="8"/>
        <v>8</v>
      </c>
      <c r="E17" s="2159" t="str">
        <f t="shared" si="0"/>
        <v xml:space="preserve">attiva trim.  </v>
      </c>
      <c r="F17" s="2160"/>
      <c r="G17" s="237"/>
      <c r="H17" s="237"/>
      <c r="I17" s="828"/>
      <c r="J17" s="829"/>
      <c r="K17" s="237"/>
      <c r="L17" s="828"/>
      <c r="M17" s="829"/>
      <c r="N17" s="237"/>
      <c r="O17" s="828"/>
      <c r="P17" s="829"/>
      <c r="Q17" s="6"/>
      <c r="R17" s="1053">
        <f t="shared" si="9"/>
        <v>0</v>
      </c>
      <c r="S17" s="1054">
        <f t="shared" si="1"/>
        <v>0</v>
      </c>
      <c r="T17" s="1054">
        <f t="shared" si="10"/>
        <v>0</v>
      </c>
      <c r="U17" s="1055">
        <f t="shared" si="11"/>
        <v>0</v>
      </c>
      <c r="V17" s="231">
        <f t="shared" si="31"/>
        <v>45514</v>
      </c>
      <c r="W17" s="1053">
        <f t="shared" si="2"/>
        <v>0</v>
      </c>
      <c r="X17" s="1054">
        <f t="shared" si="3"/>
        <v>0</v>
      </c>
      <c r="Y17" s="1054">
        <f t="shared" si="4"/>
        <v>0</v>
      </c>
      <c r="Z17" s="1055">
        <f t="shared" si="5"/>
        <v>0</v>
      </c>
      <c r="AA17" s="822">
        <f>VLOOKUP(V17,CASSA!$B$114:$C$479,2,FALSE)</f>
        <v>0</v>
      </c>
      <c r="AB17" s="1053">
        <f t="shared" si="12"/>
        <v>0</v>
      </c>
      <c r="AC17" s="1054">
        <f t="shared" si="13"/>
        <v>0</v>
      </c>
      <c r="AD17" s="1054">
        <f t="shared" si="14"/>
        <v>0</v>
      </c>
      <c r="AE17" s="1055">
        <f t="shared" si="15"/>
        <v>0</v>
      </c>
      <c r="AF17" s="2"/>
      <c r="AG17" s="1090">
        <f t="shared" si="16"/>
        <v>0</v>
      </c>
      <c r="AH17" s="1091">
        <f t="shared" si="17"/>
        <v>0</v>
      </c>
      <c r="AI17" s="1054">
        <f t="shared" si="18"/>
        <v>0</v>
      </c>
      <c r="AJ17" s="1054">
        <f t="shared" si="19"/>
        <v>0</v>
      </c>
      <c r="AK17" s="1092">
        <f t="shared" si="6"/>
        <v>0</v>
      </c>
      <c r="AL17" s="2"/>
      <c r="AM17" s="1090">
        <f t="shared" si="7"/>
        <v>0</v>
      </c>
      <c r="AN17" s="1105">
        <f t="shared" si="20"/>
        <v>0</v>
      </c>
      <c r="AO17" s="1054">
        <f t="shared" si="21"/>
        <v>0</v>
      </c>
      <c r="AP17" s="1054">
        <f t="shared" si="22"/>
        <v>0</v>
      </c>
      <c r="AQ17" s="1092">
        <f t="shared" si="23"/>
        <v>0</v>
      </c>
      <c r="AR17" s="2"/>
      <c r="AS17" s="1090">
        <f t="shared" si="24"/>
        <v>0</v>
      </c>
      <c r="AT17" s="1091">
        <f t="shared" si="25"/>
        <v>0</v>
      </c>
      <c r="AU17" s="1054">
        <f t="shared" si="26"/>
        <v>0</v>
      </c>
      <c r="AV17" s="1054">
        <f t="shared" si="27"/>
        <v>0</v>
      </c>
      <c r="AW17" s="1092">
        <f t="shared" si="28"/>
        <v>0</v>
      </c>
      <c r="AX17" s="2"/>
      <c r="AY17" s="1090">
        <f t="shared" si="29"/>
        <v>0</v>
      </c>
      <c r="AZ17" s="1385"/>
      <c r="BA17" s="2"/>
    </row>
    <row r="18" spans="1:53" ht="20.25" customHeight="1" x14ac:dyDescent="0.2">
      <c r="A18" s="2"/>
      <c r="B18" s="18">
        <v>11</v>
      </c>
      <c r="C18" s="234">
        <f t="shared" si="30"/>
        <v>11</v>
      </c>
      <c r="D18" s="235">
        <f t="shared" si="8"/>
        <v>8</v>
      </c>
      <c r="E18" s="2159" t="str">
        <f t="shared" si="0"/>
        <v xml:space="preserve">attiva trim.  </v>
      </c>
      <c r="F18" s="2160"/>
      <c r="G18" s="237"/>
      <c r="H18" s="237"/>
      <c r="I18" s="828"/>
      <c r="J18" s="829"/>
      <c r="K18" s="237"/>
      <c r="L18" s="828"/>
      <c r="M18" s="829"/>
      <c r="N18" s="237"/>
      <c r="O18" s="828"/>
      <c r="P18" s="829"/>
      <c r="Q18" s="6"/>
      <c r="R18" s="1053">
        <f t="shared" si="9"/>
        <v>0</v>
      </c>
      <c r="S18" s="1054">
        <f t="shared" si="1"/>
        <v>0</v>
      </c>
      <c r="T18" s="1054">
        <f t="shared" si="10"/>
        <v>0</v>
      </c>
      <c r="U18" s="1055">
        <f t="shared" si="11"/>
        <v>0</v>
      </c>
      <c r="V18" s="231">
        <f t="shared" si="31"/>
        <v>45515</v>
      </c>
      <c r="W18" s="1053">
        <f t="shared" si="2"/>
        <v>0</v>
      </c>
      <c r="X18" s="1054">
        <f t="shared" si="3"/>
        <v>0</v>
      </c>
      <c r="Y18" s="1054">
        <f t="shared" si="4"/>
        <v>0</v>
      </c>
      <c r="Z18" s="1055">
        <f t="shared" si="5"/>
        <v>0</v>
      </c>
      <c r="AA18" s="822">
        <f>VLOOKUP(V18,CASSA!$B$114:$C$479,2,FALSE)</f>
        <v>0</v>
      </c>
      <c r="AB18" s="1053">
        <f t="shared" si="12"/>
        <v>0</v>
      </c>
      <c r="AC18" s="1054">
        <f t="shared" si="13"/>
        <v>0</v>
      </c>
      <c r="AD18" s="1054">
        <f t="shared" si="14"/>
        <v>0</v>
      </c>
      <c r="AE18" s="1055">
        <f t="shared" si="15"/>
        <v>0</v>
      </c>
      <c r="AF18" s="2"/>
      <c r="AG18" s="1090">
        <f t="shared" si="16"/>
        <v>0</v>
      </c>
      <c r="AH18" s="1091">
        <f t="shared" si="17"/>
        <v>0</v>
      </c>
      <c r="AI18" s="1054">
        <f t="shared" si="18"/>
        <v>0</v>
      </c>
      <c r="AJ18" s="1054">
        <f t="shared" si="19"/>
        <v>0</v>
      </c>
      <c r="AK18" s="1092">
        <f t="shared" si="6"/>
        <v>0</v>
      </c>
      <c r="AL18" s="2"/>
      <c r="AM18" s="1090">
        <f t="shared" si="7"/>
        <v>0</v>
      </c>
      <c r="AN18" s="1105">
        <f t="shared" si="20"/>
        <v>0</v>
      </c>
      <c r="AO18" s="1054">
        <f t="shared" si="21"/>
        <v>0</v>
      </c>
      <c r="AP18" s="1054">
        <f t="shared" si="22"/>
        <v>0</v>
      </c>
      <c r="AQ18" s="1092">
        <f t="shared" si="23"/>
        <v>0</v>
      </c>
      <c r="AR18" s="2"/>
      <c r="AS18" s="1090">
        <f t="shared" si="24"/>
        <v>0</v>
      </c>
      <c r="AT18" s="1091">
        <f t="shared" si="25"/>
        <v>0</v>
      </c>
      <c r="AU18" s="1054">
        <f t="shared" si="26"/>
        <v>0</v>
      </c>
      <c r="AV18" s="1054">
        <f t="shared" si="27"/>
        <v>0</v>
      </c>
      <c r="AW18" s="1092">
        <f t="shared" si="28"/>
        <v>0</v>
      </c>
      <c r="AX18" s="2"/>
      <c r="AY18" s="1090">
        <f t="shared" si="29"/>
        <v>0</v>
      </c>
      <c r="AZ18" s="1385"/>
      <c r="BA18" s="2"/>
    </row>
    <row r="19" spans="1:53" ht="20.25" customHeight="1" x14ac:dyDescent="0.2">
      <c r="A19" s="2"/>
      <c r="B19" s="18">
        <v>12</v>
      </c>
      <c r="C19" s="234">
        <f t="shared" si="30"/>
        <v>12</v>
      </c>
      <c r="D19" s="235">
        <f t="shared" si="8"/>
        <v>8</v>
      </c>
      <c r="E19" s="2159" t="str">
        <f t="shared" si="0"/>
        <v xml:space="preserve">attiva trim.  </v>
      </c>
      <c r="F19" s="2160"/>
      <c r="G19" s="237"/>
      <c r="H19" s="237"/>
      <c r="I19" s="828"/>
      <c r="J19" s="829"/>
      <c r="K19" s="237"/>
      <c r="L19" s="828"/>
      <c r="M19" s="829"/>
      <c r="N19" s="237"/>
      <c r="O19" s="828"/>
      <c r="P19" s="829"/>
      <c r="Q19" s="6"/>
      <c r="R19" s="1053">
        <f t="shared" si="9"/>
        <v>0</v>
      </c>
      <c r="S19" s="1054">
        <f t="shared" si="1"/>
        <v>0</v>
      </c>
      <c r="T19" s="1054">
        <f t="shared" si="10"/>
        <v>0</v>
      </c>
      <c r="U19" s="1055">
        <f t="shared" si="11"/>
        <v>0</v>
      </c>
      <c r="V19" s="231">
        <f t="shared" si="31"/>
        <v>45516</v>
      </c>
      <c r="W19" s="1053">
        <f t="shared" si="2"/>
        <v>0</v>
      </c>
      <c r="X19" s="1054">
        <f t="shared" si="3"/>
        <v>0</v>
      </c>
      <c r="Y19" s="1054">
        <f t="shared" si="4"/>
        <v>0</v>
      </c>
      <c r="Z19" s="1055">
        <f t="shared" si="5"/>
        <v>0</v>
      </c>
      <c r="AA19" s="822">
        <f>VLOOKUP(V19,CASSA!$B$114:$C$479,2,FALSE)</f>
        <v>0</v>
      </c>
      <c r="AB19" s="1053">
        <f t="shared" si="12"/>
        <v>0</v>
      </c>
      <c r="AC19" s="1054">
        <f t="shared" si="13"/>
        <v>0</v>
      </c>
      <c r="AD19" s="1054">
        <f t="shared" si="14"/>
        <v>0</v>
      </c>
      <c r="AE19" s="1055">
        <f t="shared" si="15"/>
        <v>0</v>
      </c>
      <c r="AF19" s="2"/>
      <c r="AG19" s="1090">
        <f t="shared" si="16"/>
        <v>0</v>
      </c>
      <c r="AH19" s="1091">
        <f t="shared" si="17"/>
        <v>0</v>
      </c>
      <c r="AI19" s="1054">
        <f t="shared" si="18"/>
        <v>0</v>
      </c>
      <c r="AJ19" s="1054">
        <f t="shared" si="19"/>
        <v>0</v>
      </c>
      <c r="AK19" s="1092">
        <f t="shared" si="6"/>
        <v>0</v>
      </c>
      <c r="AL19" s="2"/>
      <c r="AM19" s="1090">
        <f t="shared" si="7"/>
        <v>0</v>
      </c>
      <c r="AN19" s="1105">
        <f t="shared" si="20"/>
        <v>0</v>
      </c>
      <c r="AO19" s="1054">
        <f t="shared" si="21"/>
        <v>0</v>
      </c>
      <c r="AP19" s="1054">
        <f t="shared" si="22"/>
        <v>0</v>
      </c>
      <c r="AQ19" s="1092">
        <f t="shared" si="23"/>
        <v>0</v>
      </c>
      <c r="AR19" s="2"/>
      <c r="AS19" s="1090">
        <f t="shared" si="24"/>
        <v>0</v>
      </c>
      <c r="AT19" s="1091">
        <f t="shared" si="25"/>
        <v>0</v>
      </c>
      <c r="AU19" s="1054">
        <f t="shared" si="26"/>
        <v>0</v>
      </c>
      <c r="AV19" s="1054">
        <f t="shared" si="27"/>
        <v>0</v>
      </c>
      <c r="AW19" s="1092">
        <f t="shared" si="28"/>
        <v>0</v>
      </c>
      <c r="AX19" s="2"/>
      <c r="AY19" s="1090">
        <f t="shared" si="29"/>
        <v>0</v>
      </c>
      <c r="AZ19" s="1385"/>
      <c r="BA19" s="2"/>
    </row>
    <row r="20" spans="1:53" ht="20.25" customHeight="1" x14ac:dyDescent="0.2">
      <c r="A20" s="2"/>
      <c r="B20" s="18">
        <v>13</v>
      </c>
      <c r="C20" s="234">
        <f t="shared" si="30"/>
        <v>13</v>
      </c>
      <c r="D20" s="235">
        <f t="shared" si="8"/>
        <v>8</v>
      </c>
      <c r="E20" s="2159" t="str">
        <f t="shared" si="0"/>
        <v xml:space="preserve">attiva trim.  </v>
      </c>
      <c r="F20" s="2160"/>
      <c r="G20" s="237"/>
      <c r="H20" s="237"/>
      <c r="I20" s="828"/>
      <c r="J20" s="829"/>
      <c r="K20" s="237"/>
      <c r="L20" s="828"/>
      <c r="M20" s="829"/>
      <c r="N20" s="237"/>
      <c r="O20" s="828"/>
      <c r="P20" s="829"/>
      <c r="Q20" s="6"/>
      <c r="R20" s="1053">
        <f t="shared" si="9"/>
        <v>0</v>
      </c>
      <c r="S20" s="1054">
        <f t="shared" si="1"/>
        <v>0</v>
      </c>
      <c r="T20" s="1054">
        <f t="shared" si="10"/>
        <v>0</v>
      </c>
      <c r="U20" s="1055">
        <f t="shared" si="11"/>
        <v>0</v>
      </c>
      <c r="V20" s="231">
        <f t="shared" si="31"/>
        <v>45517</v>
      </c>
      <c r="W20" s="1053">
        <f t="shared" si="2"/>
        <v>0</v>
      </c>
      <c r="X20" s="1054">
        <f t="shared" si="3"/>
        <v>0</v>
      </c>
      <c r="Y20" s="1054">
        <f t="shared" si="4"/>
        <v>0</v>
      </c>
      <c r="Z20" s="1055">
        <f t="shared" si="5"/>
        <v>0</v>
      </c>
      <c r="AA20" s="822">
        <f>VLOOKUP(V20,CASSA!$B$114:$C$479,2,FALSE)</f>
        <v>0</v>
      </c>
      <c r="AB20" s="1053">
        <f t="shared" si="12"/>
        <v>0</v>
      </c>
      <c r="AC20" s="1054">
        <f t="shared" si="13"/>
        <v>0</v>
      </c>
      <c r="AD20" s="1054">
        <f t="shared" si="14"/>
        <v>0</v>
      </c>
      <c r="AE20" s="1055">
        <f t="shared" si="15"/>
        <v>0</v>
      </c>
      <c r="AF20" s="2"/>
      <c r="AG20" s="1090">
        <f t="shared" si="16"/>
        <v>0</v>
      </c>
      <c r="AH20" s="1091">
        <f t="shared" si="17"/>
        <v>0</v>
      </c>
      <c r="AI20" s="1054">
        <f t="shared" si="18"/>
        <v>0</v>
      </c>
      <c r="AJ20" s="1054">
        <f t="shared" si="19"/>
        <v>0</v>
      </c>
      <c r="AK20" s="1092">
        <f t="shared" si="6"/>
        <v>0</v>
      </c>
      <c r="AL20" s="2"/>
      <c r="AM20" s="1090">
        <f t="shared" si="7"/>
        <v>0</v>
      </c>
      <c r="AN20" s="1105">
        <f t="shared" si="20"/>
        <v>0</v>
      </c>
      <c r="AO20" s="1054">
        <f t="shared" si="21"/>
        <v>0</v>
      </c>
      <c r="AP20" s="1054">
        <f t="shared" si="22"/>
        <v>0</v>
      </c>
      <c r="AQ20" s="1092">
        <f t="shared" si="23"/>
        <v>0</v>
      </c>
      <c r="AR20" s="2"/>
      <c r="AS20" s="1090">
        <f t="shared" si="24"/>
        <v>0</v>
      </c>
      <c r="AT20" s="1091">
        <f t="shared" si="25"/>
        <v>0</v>
      </c>
      <c r="AU20" s="1054">
        <f t="shared" si="26"/>
        <v>0</v>
      </c>
      <c r="AV20" s="1054">
        <f t="shared" si="27"/>
        <v>0</v>
      </c>
      <c r="AW20" s="1092">
        <f t="shared" si="28"/>
        <v>0</v>
      </c>
      <c r="AX20" s="2"/>
      <c r="AY20" s="1090">
        <f t="shared" si="29"/>
        <v>0</v>
      </c>
      <c r="AZ20" s="1385"/>
      <c r="BA20" s="2"/>
    </row>
    <row r="21" spans="1:53" ht="20.25" customHeight="1" x14ac:dyDescent="0.2">
      <c r="A21" s="2"/>
      <c r="B21" s="18">
        <v>14</v>
      </c>
      <c r="C21" s="234">
        <f t="shared" si="30"/>
        <v>14</v>
      </c>
      <c r="D21" s="235">
        <f t="shared" si="8"/>
        <v>8</v>
      </c>
      <c r="E21" s="2159" t="str">
        <f t="shared" si="0"/>
        <v xml:space="preserve">attiva trim.  </v>
      </c>
      <c r="F21" s="2160"/>
      <c r="G21" s="237"/>
      <c r="H21" s="237"/>
      <c r="I21" s="828"/>
      <c r="J21" s="829"/>
      <c r="K21" s="237"/>
      <c r="L21" s="828"/>
      <c r="M21" s="829"/>
      <c r="N21" s="237"/>
      <c r="O21" s="828"/>
      <c r="P21" s="829"/>
      <c r="Q21" s="6"/>
      <c r="R21" s="1053">
        <f t="shared" si="9"/>
        <v>0</v>
      </c>
      <c r="S21" s="1054">
        <f t="shared" si="1"/>
        <v>0</v>
      </c>
      <c r="T21" s="1054">
        <f t="shared" si="10"/>
        <v>0</v>
      </c>
      <c r="U21" s="1055">
        <f t="shared" si="11"/>
        <v>0</v>
      </c>
      <c r="V21" s="231">
        <f t="shared" si="31"/>
        <v>45518</v>
      </c>
      <c r="W21" s="1053">
        <f t="shared" si="2"/>
        <v>0</v>
      </c>
      <c r="X21" s="1054">
        <f t="shared" si="3"/>
        <v>0</v>
      </c>
      <c r="Y21" s="1054">
        <f t="shared" si="4"/>
        <v>0</v>
      </c>
      <c r="Z21" s="1055">
        <f t="shared" si="5"/>
        <v>0</v>
      </c>
      <c r="AA21" s="822">
        <f>VLOOKUP(V21,CASSA!$B$114:$C$479,2,FALSE)</f>
        <v>0</v>
      </c>
      <c r="AB21" s="1053">
        <f t="shared" si="12"/>
        <v>0</v>
      </c>
      <c r="AC21" s="1054">
        <f t="shared" si="13"/>
        <v>0</v>
      </c>
      <c r="AD21" s="1054">
        <f t="shared" si="14"/>
        <v>0</v>
      </c>
      <c r="AE21" s="1055">
        <f t="shared" si="15"/>
        <v>0</v>
      </c>
      <c r="AF21" s="2"/>
      <c r="AG21" s="1090">
        <f t="shared" si="16"/>
        <v>0</v>
      </c>
      <c r="AH21" s="1091">
        <f t="shared" si="17"/>
        <v>0</v>
      </c>
      <c r="AI21" s="1054">
        <f t="shared" si="18"/>
        <v>0</v>
      </c>
      <c r="AJ21" s="1054">
        <f t="shared" si="19"/>
        <v>0</v>
      </c>
      <c r="AK21" s="1092">
        <f t="shared" si="6"/>
        <v>0</v>
      </c>
      <c r="AL21" s="2"/>
      <c r="AM21" s="1090">
        <f t="shared" si="7"/>
        <v>0</v>
      </c>
      <c r="AN21" s="1105">
        <f t="shared" si="20"/>
        <v>0</v>
      </c>
      <c r="AO21" s="1054">
        <f t="shared" si="21"/>
        <v>0</v>
      </c>
      <c r="AP21" s="1054">
        <f t="shared" si="22"/>
        <v>0</v>
      </c>
      <c r="AQ21" s="1092">
        <f t="shared" si="23"/>
        <v>0</v>
      </c>
      <c r="AR21" s="2"/>
      <c r="AS21" s="1090">
        <f t="shared" si="24"/>
        <v>0</v>
      </c>
      <c r="AT21" s="1091">
        <f t="shared" si="25"/>
        <v>0</v>
      </c>
      <c r="AU21" s="1054">
        <f t="shared" si="26"/>
        <v>0</v>
      </c>
      <c r="AV21" s="1054">
        <f t="shared" si="27"/>
        <v>0</v>
      </c>
      <c r="AW21" s="1092">
        <f t="shared" si="28"/>
        <v>0</v>
      </c>
      <c r="AX21" s="2"/>
      <c r="AY21" s="1090">
        <f t="shared" si="29"/>
        <v>0</v>
      </c>
      <c r="AZ21" s="1385"/>
      <c r="BA21" s="2"/>
    </row>
    <row r="22" spans="1:53" ht="20.25" customHeight="1" x14ac:dyDescent="0.2">
      <c r="A22" s="2"/>
      <c r="B22" s="18">
        <v>15</v>
      </c>
      <c r="C22" s="234">
        <f t="shared" si="30"/>
        <v>15</v>
      </c>
      <c r="D22" s="235">
        <f t="shared" si="8"/>
        <v>8</v>
      </c>
      <c r="E22" s="2159" t="str">
        <f t="shared" si="0"/>
        <v xml:space="preserve">attiva trim.  </v>
      </c>
      <c r="F22" s="2160"/>
      <c r="G22" s="237"/>
      <c r="H22" s="237"/>
      <c r="I22" s="828"/>
      <c r="J22" s="829"/>
      <c r="K22" s="237"/>
      <c r="L22" s="828"/>
      <c r="M22" s="829"/>
      <c r="N22" s="237"/>
      <c r="O22" s="828"/>
      <c r="P22" s="829"/>
      <c r="Q22" s="6"/>
      <c r="R22" s="1053">
        <f t="shared" si="9"/>
        <v>0</v>
      </c>
      <c r="S22" s="1054">
        <f t="shared" si="1"/>
        <v>0</v>
      </c>
      <c r="T22" s="1054">
        <f t="shared" si="10"/>
        <v>0</v>
      </c>
      <c r="U22" s="1055">
        <f t="shared" si="11"/>
        <v>0</v>
      </c>
      <c r="V22" s="231">
        <f t="shared" si="31"/>
        <v>45519</v>
      </c>
      <c r="W22" s="1053">
        <f t="shared" si="2"/>
        <v>0</v>
      </c>
      <c r="X22" s="1054">
        <f t="shared" si="3"/>
        <v>0</v>
      </c>
      <c r="Y22" s="1054">
        <f t="shared" si="4"/>
        <v>0</v>
      </c>
      <c r="Z22" s="1055">
        <f t="shared" si="5"/>
        <v>0</v>
      </c>
      <c r="AA22" s="822" t="str">
        <f>VLOOKUP(V22,CASSA!$B$114:$C$479,2,FALSE)</f>
        <v>F</v>
      </c>
      <c r="AB22" s="1053">
        <f t="shared" si="12"/>
        <v>0</v>
      </c>
      <c r="AC22" s="1054">
        <f t="shared" si="13"/>
        <v>0</v>
      </c>
      <c r="AD22" s="1054">
        <f t="shared" si="14"/>
        <v>0</v>
      </c>
      <c r="AE22" s="1055">
        <f t="shared" si="15"/>
        <v>0</v>
      </c>
      <c r="AF22" s="2"/>
      <c r="AG22" s="1090">
        <f t="shared" si="16"/>
        <v>0</v>
      </c>
      <c r="AH22" s="1091">
        <f t="shared" si="17"/>
        <v>0</v>
      </c>
      <c r="AI22" s="1054">
        <f t="shared" si="18"/>
        <v>0</v>
      </c>
      <c r="AJ22" s="1054">
        <f t="shared" si="19"/>
        <v>0</v>
      </c>
      <c r="AK22" s="1092">
        <f t="shared" si="6"/>
        <v>0</v>
      </c>
      <c r="AL22" s="2"/>
      <c r="AM22" s="1090">
        <f t="shared" si="7"/>
        <v>0</v>
      </c>
      <c r="AN22" s="1105">
        <f t="shared" si="20"/>
        <v>0</v>
      </c>
      <c r="AO22" s="1054">
        <f t="shared" si="21"/>
        <v>0</v>
      </c>
      <c r="AP22" s="1054">
        <f t="shared" si="22"/>
        <v>0</v>
      </c>
      <c r="AQ22" s="1092">
        <f t="shared" si="23"/>
        <v>0</v>
      </c>
      <c r="AR22" s="2"/>
      <c r="AS22" s="1090">
        <f t="shared" si="24"/>
        <v>0</v>
      </c>
      <c r="AT22" s="1091">
        <f t="shared" si="25"/>
        <v>0</v>
      </c>
      <c r="AU22" s="1054">
        <f t="shared" si="26"/>
        <v>0</v>
      </c>
      <c r="AV22" s="1054">
        <f t="shared" si="27"/>
        <v>0</v>
      </c>
      <c r="AW22" s="1092">
        <f t="shared" si="28"/>
        <v>0</v>
      </c>
      <c r="AX22" s="2"/>
      <c r="AY22" s="1090">
        <f t="shared" si="29"/>
        <v>0</v>
      </c>
      <c r="AZ22" s="1385"/>
      <c r="BA22" s="2"/>
    </row>
    <row r="23" spans="1:53" ht="20.25" customHeight="1" x14ac:dyDescent="0.2">
      <c r="A23" s="2"/>
      <c r="B23" s="18">
        <v>16</v>
      </c>
      <c r="C23" s="234">
        <f t="shared" si="30"/>
        <v>16</v>
      </c>
      <c r="D23" s="235">
        <f t="shared" si="8"/>
        <v>8</v>
      </c>
      <c r="E23" s="2159" t="str">
        <f t="shared" si="0"/>
        <v xml:space="preserve">attiva trim.  </v>
      </c>
      <c r="F23" s="2160"/>
      <c r="G23" s="237"/>
      <c r="H23" s="237"/>
      <c r="I23" s="828"/>
      <c r="J23" s="829"/>
      <c r="K23" s="237"/>
      <c r="L23" s="828"/>
      <c r="M23" s="829"/>
      <c r="N23" s="237"/>
      <c r="O23" s="828"/>
      <c r="P23" s="829"/>
      <c r="Q23" s="6"/>
      <c r="R23" s="1053">
        <f t="shared" si="9"/>
        <v>0</v>
      </c>
      <c r="S23" s="1054">
        <f t="shared" si="1"/>
        <v>0</v>
      </c>
      <c r="T23" s="1054">
        <f t="shared" si="10"/>
        <v>0</v>
      </c>
      <c r="U23" s="1055">
        <f t="shared" si="11"/>
        <v>0</v>
      </c>
      <c r="V23" s="231">
        <f t="shared" si="31"/>
        <v>45520</v>
      </c>
      <c r="W23" s="1053">
        <f t="shared" si="2"/>
        <v>0</v>
      </c>
      <c r="X23" s="1054">
        <f t="shared" si="3"/>
        <v>0</v>
      </c>
      <c r="Y23" s="1054">
        <f t="shared" si="4"/>
        <v>0</v>
      </c>
      <c r="Z23" s="1055">
        <f t="shared" si="5"/>
        <v>0</v>
      </c>
      <c r="AA23" s="822">
        <f>VLOOKUP(V23,CASSA!$B$114:$C$479,2,FALSE)</f>
        <v>0</v>
      </c>
      <c r="AB23" s="1053">
        <f t="shared" si="12"/>
        <v>0</v>
      </c>
      <c r="AC23" s="1054">
        <f t="shared" si="13"/>
        <v>0</v>
      </c>
      <c r="AD23" s="1054">
        <f t="shared" si="14"/>
        <v>0</v>
      </c>
      <c r="AE23" s="1055">
        <f t="shared" si="15"/>
        <v>0</v>
      </c>
      <c r="AF23" s="2"/>
      <c r="AG23" s="1090">
        <f t="shared" si="16"/>
        <v>0</v>
      </c>
      <c r="AH23" s="1091">
        <f t="shared" si="17"/>
        <v>0</v>
      </c>
      <c r="AI23" s="1054">
        <f t="shared" si="18"/>
        <v>0</v>
      </c>
      <c r="AJ23" s="1054">
        <f t="shared" si="19"/>
        <v>0</v>
      </c>
      <c r="AK23" s="1092">
        <f t="shared" si="6"/>
        <v>0</v>
      </c>
      <c r="AL23" s="2"/>
      <c r="AM23" s="1090">
        <f t="shared" si="7"/>
        <v>0</v>
      </c>
      <c r="AN23" s="1105">
        <f t="shared" si="20"/>
        <v>0</v>
      </c>
      <c r="AO23" s="1054">
        <f t="shared" si="21"/>
        <v>0</v>
      </c>
      <c r="AP23" s="1054">
        <f t="shared" si="22"/>
        <v>0</v>
      </c>
      <c r="AQ23" s="1092">
        <f t="shared" si="23"/>
        <v>0</v>
      </c>
      <c r="AR23" s="2"/>
      <c r="AS23" s="1090">
        <f t="shared" si="24"/>
        <v>0</v>
      </c>
      <c r="AT23" s="1091">
        <f t="shared" si="25"/>
        <v>0</v>
      </c>
      <c r="AU23" s="1054">
        <f t="shared" si="26"/>
        <v>0</v>
      </c>
      <c r="AV23" s="1054">
        <f t="shared" si="27"/>
        <v>0</v>
      </c>
      <c r="AW23" s="1092">
        <f t="shared" si="28"/>
        <v>0</v>
      </c>
      <c r="AX23" s="2"/>
      <c r="AY23" s="1090">
        <f t="shared" si="29"/>
        <v>0</v>
      </c>
      <c r="AZ23" s="1385"/>
      <c r="BA23" s="2"/>
    </row>
    <row r="24" spans="1:53" ht="20.25" customHeight="1" x14ac:dyDescent="0.2">
      <c r="A24" s="2"/>
      <c r="B24" s="18">
        <v>17</v>
      </c>
      <c r="C24" s="234">
        <f t="shared" si="30"/>
        <v>17</v>
      </c>
      <c r="D24" s="235">
        <f t="shared" si="8"/>
        <v>8</v>
      </c>
      <c r="E24" s="2159" t="str">
        <f t="shared" si="0"/>
        <v xml:space="preserve">attiva trim.  </v>
      </c>
      <c r="F24" s="2160"/>
      <c r="G24" s="237"/>
      <c r="H24" s="237"/>
      <c r="I24" s="828"/>
      <c r="J24" s="829"/>
      <c r="K24" s="237"/>
      <c r="L24" s="828"/>
      <c r="M24" s="829"/>
      <c r="N24" s="237"/>
      <c r="O24" s="828"/>
      <c r="P24" s="829"/>
      <c r="Q24" s="6"/>
      <c r="R24" s="1053">
        <f t="shared" si="9"/>
        <v>0</v>
      </c>
      <c r="S24" s="1054">
        <f t="shared" si="1"/>
        <v>0</v>
      </c>
      <c r="T24" s="1054">
        <f t="shared" si="10"/>
        <v>0</v>
      </c>
      <c r="U24" s="1055">
        <f t="shared" si="11"/>
        <v>0</v>
      </c>
      <c r="V24" s="231">
        <f t="shared" si="31"/>
        <v>45521</v>
      </c>
      <c r="W24" s="1053">
        <f t="shared" si="2"/>
        <v>0</v>
      </c>
      <c r="X24" s="1054">
        <f t="shared" si="3"/>
        <v>0</v>
      </c>
      <c r="Y24" s="1054">
        <f t="shared" si="4"/>
        <v>0</v>
      </c>
      <c r="Z24" s="1055">
        <f t="shared" si="5"/>
        <v>0</v>
      </c>
      <c r="AA24" s="822">
        <f>VLOOKUP(V24,CASSA!$B$114:$C$479,2,FALSE)</f>
        <v>0</v>
      </c>
      <c r="AB24" s="1053">
        <f t="shared" si="12"/>
        <v>0</v>
      </c>
      <c r="AC24" s="1054">
        <f t="shared" si="13"/>
        <v>0</v>
      </c>
      <c r="AD24" s="1054">
        <f t="shared" si="14"/>
        <v>0</v>
      </c>
      <c r="AE24" s="1055">
        <f t="shared" si="15"/>
        <v>0</v>
      </c>
      <c r="AF24" s="2"/>
      <c r="AG24" s="1090">
        <f t="shared" si="16"/>
        <v>0</v>
      </c>
      <c r="AH24" s="1091">
        <f t="shared" si="17"/>
        <v>0</v>
      </c>
      <c r="AI24" s="1054">
        <f t="shared" si="18"/>
        <v>0</v>
      </c>
      <c r="AJ24" s="1054">
        <f t="shared" si="19"/>
        <v>0</v>
      </c>
      <c r="AK24" s="1092">
        <f t="shared" si="6"/>
        <v>0</v>
      </c>
      <c r="AL24" s="2"/>
      <c r="AM24" s="1090">
        <f t="shared" si="7"/>
        <v>0</v>
      </c>
      <c r="AN24" s="1105">
        <f t="shared" si="20"/>
        <v>0</v>
      </c>
      <c r="AO24" s="1054">
        <f t="shared" si="21"/>
        <v>0</v>
      </c>
      <c r="AP24" s="1054">
        <f t="shared" si="22"/>
        <v>0</v>
      </c>
      <c r="AQ24" s="1092">
        <f t="shared" si="23"/>
        <v>0</v>
      </c>
      <c r="AR24" s="2"/>
      <c r="AS24" s="1090">
        <f t="shared" si="24"/>
        <v>0</v>
      </c>
      <c r="AT24" s="1091">
        <f t="shared" si="25"/>
        <v>0</v>
      </c>
      <c r="AU24" s="1054">
        <f t="shared" si="26"/>
        <v>0</v>
      </c>
      <c r="AV24" s="1054">
        <f t="shared" si="27"/>
        <v>0</v>
      </c>
      <c r="AW24" s="1092">
        <f t="shared" si="28"/>
        <v>0</v>
      </c>
      <c r="AX24" s="2"/>
      <c r="AY24" s="1090">
        <f t="shared" si="29"/>
        <v>0</v>
      </c>
      <c r="AZ24" s="1385"/>
      <c r="BA24" s="2"/>
    </row>
    <row r="25" spans="1:53" ht="20.25" customHeight="1" x14ac:dyDescent="0.2">
      <c r="A25" s="2"/>
      <c r="B25" s="18">
        <v>18</v>
      </c>
      <c r="C25" s="234">
        <f t="shared" si="30"/>
        <v>18</v>
      </c>
      <c r="D25" s="235">
        <f t="shared" si="8"/>
        <v>8</v>
      </c>
      <c r="E25" s="2159" t="str">
        <f t="shared" si="0"/>
        <v xml:space="preserve">attiva trim.  </v>
      </c>
      <c r="F25" s="2160"/>
      <c r="G25" s="237"/>
      <c r="H25" s="237"/>
      <c r="I25" s="828"/>
      <c r="J25" s="829"/>
      <c r="K25" s="237"/>
      <c r="L25" s="828"/>
      <c r="M25" s="829"/>
      <c r="N25" s="237"/>
      <c r="O25" s="828"/>
      <c r="P25" s="829"/>
      <c r="Q25" s="6"/>
      <c r="R25" s="1053">
        <f t="shared" si="9"/>
        <v>0</v>
      </c>
      <c r="S25" s="1054">
        <f t="shared" si="1"/>
        <v>0</v>
      </c>
      <c r="T25" s="1054">
        <f t="shared" si="10"/>
        <v>0</v>
      </c>
      <c r="U25" s="1055">
        <f t="shared" si="11"/>
        <v>0</v>
      </c>
      <c r="V25" s="231">
        <f t="shared" si="31"/>
        <v>45522</v>
      </c>
      <c r="W25" s="1053">
        <f t="shared" si="2"/>
        <v>0</v>
      </c>
      <c r="X25" s="1054">
        <f t="shared" si="3"/>
        <v>0</v>
      </c>
      <c r="Y25" s="1054">
        <f t="shared" si="4"/>
        <v>0</v>
      </c>
      <c r="Z25" s="1055">
        <f t="shared" si="5"/>
        <v>0</v>
      </c>
      <c r="AA25" s="822">
        <f>VLOOKUP(V25,CASSA!$B$114:$C$479,2,FALSE)</f>
        <v>0</v>
      </c>
      <c r="AB25" s="1053">
        <f t="shared" si="12"/>
        <v>0</v>
      </c>
      <c r="AC25" s="1054">
        <f t="shared" si="13"/>
        <v>0</v>
      </c>
      <c r="AD25" s="1054">
        <f t="shared" si="14"/>
        <v>0</v>
      </c>
      <c r="AE25" s="1055">
        <f t="shared" si="15"/>
        <v>0</v>
      </c>
      <c r="AF25" s="2"/>
      <c r="AG25" s="1090">
        <f t="shared" si="16"/>
        <v>0</v>
      </c>
      <c r="AH25" s="1091">
        <f t="shared" si="17"/>
        <v>0</v>
      </c>
      <c r="AI25" s="1054">
        <f t="shared" si="18"/>
        <v>0</v>
      </c>
      <c r="AJ25" s="1054">
        <f t="shared" si="19"/>
        <v>0</v>
      </c>
      <c r="AK25" s="1092">
        <f t="shared" si="6"/>
        <v>0</v>
      </c>
      <c r="AL25" s="2"/>
      <c r="AM25" s="1090">
        <f t="shared" si="7"/>
        <v>0</v>
      </c>
      <c r="AN25" s="1105">
        <f t="shared" si="20"/>
        <v>0</v>
      </c>
      <c r="AO25" s="1054">
        <f t="shared" si="21"/>
        <v>0</v>
      </c>
      <c r="AP25" s="1054">
        <f t="shared" si="22"/>
        <v>0</v>
      </c>
      <c r="AQ25" s="1092">
        <f t="shared" si="23"/>
        <v>0</v>
      </c>
      <c r="AR25" s="2"/>
      <c r="AS25" s="1090">
        <f t="shared" si="24"/>
        <v>0</v>
      </c>
      <c r="AT25" s="1091">
        <f t="shared" si="25"/>
        <v>0</v>
      </c>
      <c r="AU25" s="1054">
        <f t="shared" si="26"/>
        <v>0</v>
      </c>
      <c r="AV25" s="1054">
        <f t="shared" si="27"/>
        <v>0</v>
      </c>
      <c r="AW25" s="1092">
        <f t="shared" si="28"/>
        <v>0</v>
      </c>
      <c r="AX25" s="2"/>
      <c r="AY25" s="1090">
        <f t="shared" si="29"/>
        <v>0</v>
      </c>
      <c r="AZ25" s="1385"/>
      <c r="BA25" s="2"/>
    </row>
    <row r="26" spans="1:53" ht="20.25" customHeight="1" x14ac:dyDescent="0.2">
      <c r="A26" s="2"/>
      <c r="B26" s="18">
        <v>19</v>
      </c>
      <c r="C26" s="234">
        <f t="shared" si="30"/>
        <v>19</v>
      </c>
      <c r="D26" s="235">
        <f t="shared" si="8"/>
        <v>8</v>
      </c>
      <c r="E26" s="2159" t="str">
        <f t="shared" si="0"/>
        <v xml:space="preserve">attiva trim.  </v>
      </c>
      <c r="F26" s="2160"/>
      <c r="G26" s="237"/>
      <c r="H26" s="237"/>
      <c r="I26" s="828"/>
      <c r="J26" s="829"/>
      <c r="K26" s="237"/>
      <c r="L26" s="828"/>
      <c r="M26" s="829"/>
      <c r="N26" s="237"/>
      <c r="O26" s="828"/>
      <c r="P26" s="829"/>
      <c r="Q26" s="6"/>
      <c r="R26" s="1053">
        <f t="shared" si="9"/>
        <v>0</v>
      </c>
      <c r="S26" s="1054">
        <f t="shared" si="1"/>
        <v>0</v>
      </c>
      <c r="T26" s="1054">
        <f t="shared" si="10"/>
        <v>0</v>
      </c>
      <c r="U26" s="1055">
        <f t="shared" si="11"/>
        <v>0</v>
      </c>
      <c r="V26" s="231">
        <f t="shared" si="31"/>
        <v>45523</v>
      </c>
      <c r="W26" s="1053">
        <f t="shared" si="2"/>
        <v>0</v>
      </c>
      <c r="X26" s="1054">
        <f t="shared" si="3"/>
        <v>0</v>
      </c>
      <c r="Y26" s="1054">
        <f t="shared" si="4"/>
        <v>0</v>
      </c>
      <c r="Z26" s="1055">
        <f t="shared" si="5"/>
        <v>0</v>
      </c>
      <c r="AA26" s="822">
        <f>VLOOKUP(V26,CASSA!$B$114:$C$479,2,FALSE)</f>
        <v>0</v>
      </c>
      <c r="AB26" s="1053">
        <f t="shared" si="12"/>
        <v>0</v>
      </c>
      <c r="AC26" s="1054">
        <f t="shared" si="13"/>
        <v>0</v>
      </c>
      <c r="AD26" s="1054">
        <f t="shared" si="14"/>
        <v>0</v>
      </c>
      <c r="AE26" s="1055">
        <f t="shared" si="15"/>
        <v>0</v>
      </c>
      <c r="AF26" s="2"/>
      <c r="AG26" s="1090">
        <f t="shared" si="16"/>
        <v>0</v>
      </c>
      <c r="AH26" s="1091">
        <f t="shared" si="17"/>
        <v>0</v>
      </c>
      <c r="AI26" s="1054">
        <f t="shared" si="18"/>
        <v>0</v>
      </c>
      <c r="AJ26" s="1054">
        <f t="shared" si="19"/>
        <v>0</v>
      </c>
      <c r="AK26" s="1092">
        <f t="shared" si="6"/>
        <v>0</v>
      </c>
      <c r="AL26" s="2"/>
      <c r="AM26" s="1090">
        <f t="shared" si="7"/>
        <v>0</v>
      </c>
      <c r="AN26" s="1105">
        <f t="shared" si="20"/>
        <v>0</v>
      </c>
      <c r="AO26" s="1054">
        <f t="shared" si="21"/>
        <v>0</v>
      </c>
      <c r="AP26" s="1054">
        <f t="shared" si="22"/>
        <v>0</v>
      </c>
      <c r="AQ26" s="1092">
        <f t="shared" si="23"/>
        <v>0</v>
      </c>
      <c r="AR26" s="2"/>
      <c r="AS26" s="1090">
        <f t="shared" si="24"/>
        <v>0</v>
      </c>
      <c r="AT26" s="1091">
        <f t="shared" si="25"/>
        <v>0</v>
      </c>
      <c r="AU26" s="1054">
        <f t="shared" si="26"/>
        <v>0</v>
      </c>
      <c r="AV26" s="1054">
        <f t="shared" si="27"/>
        <v>0</v>
      </c>
      <c r="AW26" s="1092">
        <f t="shared" si="28"/>
        <v>0</v>
      </c>
      <c r="AX26" s="2"/>
      <c r="AY26" s="1090">
        <f t="shared" si="29"/>
        <v>0</v>
      </c>
      <c r="AZ26" s="1385"/>
      <c r="BA26" s="2"/>
    </row>
    <row r="27" spans="1:53" ht="20.25" customHeight="1" x14ac:dyDescent="0.2">
      <c r="A27" s="2"/>
      <c r="B27" s="18">
        <v>20</v>
      </c>
      <c r="C27" s="234">
        <f t="shared" si="30"/>
        <v>20</v>
      </c>
      <c r="D27" s="235">
        <f t="shared" si="8"/>
        <v>8</v>
      </c>
      <c r="E27" s="2159" t="str">
        <f t="shared" si="0"/>
        <v xml:space="preserve">attiva trim.  </v>
      </c>
      <c r="F27" s="2160"/>
      <c r="G27" s="237"/>
      <c r="H27" s="237"/>
      <c r="I27" s="828"/>
      <c r="J27" s="829"/>
      <c r="K27" s="237"/>
      <c r="L27" s="828"/>
      <c r="M27" s="829"/>
      <c r="N27" s="237"/>
      <c r="O27" s="828"/>
      <c r="P27" s="829"/>
      <c r="Q27" s="6"/>
      <c r="R27" s="1053">
        <f t="shared" si="9"/>
        <v>0</v>
      </c>
      <c r="S27" s="1054">
        <f t="shared" si="1"/>
        <v>0</v>
      </c>
      <c r="T27" s="1054">
        <f t="shared" si="10"/>
        <v>0</v>
      </c>
      <c r="U27" s="1055">
        <f t="shared" si="11"/>
        <v>0</v>
      </c>
      <c r="V27" s="231">
        <f t="shared" si="31"/>
        <v>45524</v>
      </c>
      <c r="W27" s="1053">
        <f t="shared" si="2"/>
        <v>0</v>
      </c>
      <c r="X27" s="1054">
        <f t="shared" si="3"/>
        <v>0</v>
      </c>
      <c r="Y27" s="1054">
        <f t="shared" si="4"/>
        <v>0</v>
      </c>
      <c r="Z27" s="1055">
        <f t="shared" si="5"/>
        <v>0</v>
      </c>
      <c r="AA27" s="822">
        <f>VLOOKUP(V27,CASSA!$B$114:$C$479,2,FALSE)</f>
        <v>0</v>
      </c>
      <c r="AB27" s="1053">
        <f t="shared" si="12"/>
        <v>0</v>
      </c>
      <c r="AC27" s="1054">
        <f t="shared" si="13"/>
        <v>0</v>
      </c>
      <c r="AD27" s="1054">
        <f t="shared" si="14"/>
        <v>0</v>
      </c>
      <c r="AE27" s="1055">
        <f t="shared" si="15"/>
        <v>0</v>
      </c>
      <c r="AF27" s="2"/>
      <c r="AG27" s="1090">
        <f t="shared" si="16"/>
        <v>0</v>
      </c>
      <c r="AH27" s="1091">
        <f t="shared" si="17"/>
        <v>0</v>
      </c>
      <c r="AI27" s="1054">
        <f t="shared" si="18"/>
        <v>0</v>
      </c>
      <c r="AJ27" s="1054">
        <f t="shared" si="19"/>
        <v>0</v>
      </c>
      <c r="AK27" s="1092">
        <f t="shared" si="6"/>
        <v>0</v>
      </c>
      <c r="AL27" s="2"/>
      <c r="AM27" s="1090">
        <f t="shared" si="7"/>
        <v>0</v>
      </c>
      <c r="AN27" s="1105">
        <f t="shared" si="20"/>
        <v>0</v>
      </c>
      <c r="AO27" s="1054">
        <f t="shared" si="21"/>
        <v>0</v>
      </c>
      <c r="AP27" s="1054">
        <f t="shared" si="22"/>
        <v>0</v>
      </c>
      <c r="AQ27" s="1092">
        <f t="shared" si="23"/>
        <v>0</v>
      </c>
      <c r="AR27" s="2"/>
      <c r="AS27" s="1090">
        <f t="shared" si="24"/>
        <v>0</v>
      </c>
      <c r="AT27" s="1091">
        <f t="shared" si="25"/>
        <v>0</v>
      </c>
      <c r="AU27" s="1054">
        <f t="shared" si="26"/>
        <v>0</v>
      </c>
      <c r="AV27" s="1054">
        <f t="shared" si="27"/>
        <v>0</v>
      </c>
      <c r="AW27" s="1092">
        <f t="shared" si="28"/>
        <v>0</v>
      </c>
      <c r="AX27" s="2"/>
      <c r="AY27" s="1090">
        <f t="shared" si="29"/>
        <v>0</v>
      </c>
      <c r="AZ27" s="1385"/>
      <c r="BA27" s="2"/>
    </row>
    <row r="28" spans="1:53" ht="20.25" customHeight="1" x14ac:dyDescent="0.2">
      <c r="A28" s="2"/>
      <c r="B28" s="18">
        <v>21</v>
      </c>
      <c r="C28" s="234">
        <f t="shared" si="30"/>
        <v>21</v>
      </c>
      <c r="D28" s="235">
        <f t="shared" si="8"/>
        <v>8</v>
      </c>
      <c r="E28" s="2159" t="str">
        <f t="shared" si="0"/>
        <v xml:space="preserve">attiva trim.  </v>
      </c>
      <c r="F28" s="2160"/>
      <c r="G28" s="237"/>
      <c r="H28" s="237"/>
      <c r="I28" s="828"/>
      <c r="J28" s="829"/>
      <c r="K28" s="237"/>
      <c r="L28" s="828"/>
      <c r="M28" s="829"/>
      <c r="N28" s="237"/>
      <c r="O28" s="828"/>
      <c r="P28" s="829"/>
      <c r="Q28" s="6"/>
      <c r="R28" s="1053">
        <f t="shared" si="9"/>
        <v>0</v>
      </c>
      <c r="S28" s="1054">
        <f t="shared" si="1"/>
        <v>0</v>
      </c>
      <c r="T28" s="1054">
        <f t="shared" si="10"/>
        <v>0</v>
      </c>
      <c r="U28" s="1055">
        <f t="shared" si="11"/>
        <v>0</v>
      </c>
      <c r="V28" s="231">
        <f t="shared" si="31"/>
        <v>45525</v>
      </c>
      <c r="W28" s="1053">
        <f t="shared" si="2"/>
        <v>0</v>
      </c>
      <c r="X28" s="1054">
        <f t="shared" si="3"/>
        <v>0</v>
      </c>
      <c r="Y28" s="1054">
        <f t="shared" si="4"/>
        <v>0</v>
      </c>
      <c r="Z28" s="1055">
        <f t="shared" si="5"/>
        <v>0</v>
      </c>
      <c r="AA28" s="822">
        <f>VLOOKUP(V28,CASSA!$B$114:$C$479,2,FALSE)</f>
        <v>0</v>
      </c>
      <c r="AB28" s="1053">
        <f t="shared" si="12"/>
        <v>0</v>
      </c>
      <c r="AC28" s="1054">
        <f t="shared" si="13"/>
        <v>0</v>
      </c>
      <c r="AD28" s="1054">
        <f t="shared" si="14"/>
        <v>0</v>
      </c>
      <c r="AE28" s="1055">
        <f t="shared" si="15"/>
        <v>0</v>
      </c>
      <c r="AF28" s="2"/>
      <c r="AG28" s="1090">
        <f t="shared" si="16"/>
        <v>0</v>
      </c>
      <c r="AH28" s="1091">
        <f t="shared" si="17"/>
        <v>0</v>
      </c>
      <c r="AI28" s="1054">
        <f t="shared" si="18"/>
        <v>0</v>
      </c>
      <c r="AJ28" s="1054">
        <f t="shared" si="19"/>
        <v>0</v>
      </c>
      <c r="AK28" s="1092">
        <f t="shared" si="6"/>
        <v>0</v>
      </c>
      <c r="AL28" s="2"/>
      <c r="AM28" s="1090">
        <f t="shared" si="7"/>
        <v>0</v>
      </c>
      <c r="AN28" s="1105">
        <f t="shared" si="20"/>
        <v>0</v>
      </c>
      <c r="AO28" s="1054">
        <f t="shared" si="21"/>
        <v>0</v>
      </c>
      <c r="AP28" s="1054">
        <f t="shared" si="22"/>
        <v>0</v>
      </c>
      <c r="AQ28" s="1092">
        <f t="shared" si="23"/>
        <v>0</v>
      </c>
      <c r="AR28" s="2"/>
      <c r="AS28" s="1090">
        <f t="shared" si="24"/>
        <v>0</v>
      </c>
      <c r="AT28" s="1091">
        <f t="shared" si="25"/>
        <v>0</v>
      </c>
      <c r="AU28" s="1054">
        <f t="shared" si="26"/>
        <v>0</v>
      </c>
      <c r="AV28" s="1054">
        <f t="shared" si="27"/>
        <v>0</v>
      </c>
      <c r="AW28" s="1092">
        <f t="shared" si="28"/>
        <v>0</v>
      </c>
      <c r="AX28" s="2"/>
      <c r="AY28" s="1090">
        <f t="shared" si="29"/>
        <v>0</v>
      </c>
      <c r="AZ28" s="1385"/>
      <c r="BA28" s="2"/>
    </row>
    <row r="29" spans="1:53" ht="20.25" customHeight="1" x14ac:dyDescent="0.2">
      <c r="A29" s="2"/>
      <c r="B29" s="18">
        <v>22</v>
      </c>
      <c r="C29" s="234">
        <f t="shared" si="30"/>
        <v>22</v>
      </c>
      <c r="D29" s="235">
        <f t="shared" si="8"/>
        <v>8</v>
      </c>
      <c r="E29" s="2159" t="str">
        <f t="shared" si="0"/>
        <v xml:space="preserve">attiva trim.  </v>
      </c>
      <c r="F29" s="2160"/>
      <c r="G29" s="237"/>
      <c r="H29" s="237"/>
      <c r="I29" s="828"/>
      <c r="J29" s="829"/>
      <c r="K29" s="237"/>
      <c r="L29" s="828"/>
      <c r="M29" s="829"/>
      <c r="N29" s="237"/>
      <c r="O29" s="828"/>
      <c r="P29" s="829"/>
      <c r="Q29" s="6"/>
      <c r="R29" s="1053">
        <f t="shared" si="9"/>
        <v>0</v>
      </c>
      <c r="S29" s="1054">
        <f t="shared" si="1"/>
        <v>0</v>
      </c>
      <c r="T29" s="1054">
        <f t="shared" si="10"/>
        <v>0</v>
      </c>
      <c r="U29" s="1055">
        <f t="shared" si="11"/>
        <v>0</v>
      </c>
      <c r="V29" s="231">
        <f t="shared" si="31"/>
        <v>45526</v>
      </c>
      <c r="W29" s="1053">
        <f t="shared" si="2"/>
        <v>0</v>
      </c>
      <c r="X29" s="1054">
        <f t="shared" si="3"/>
        <v>0</v>
      </c>
      <c r="Y29" s="1054">
        <f t="shared" si="4"/>
        <v>0</v>
      </c>
      <c r="Z29" s="1055">
        <f t="shared" si="5"/>
        <v>0</v>
      </c>
      <c r="AA29" s="822">
        <f>VLOOKUP(V29,CASSA!$B$114:$C$479,2,FALSE)</f>
        <v>0</v>
      </c>
      <c r="AB29" s="1053">
        <f t="shared" si="12"/>
        <v>0</v>
      </c>
      <c r="AC29" s="1054">
        <f t="shared" si="13"/>
        <v>0</v>
      </c>
      <c r="AD29" s="1054">
        <f t="shared" si="14"/>
        <v>0</v>
      </c>
      <c r="AE29" s="1055">
        <f t="shared" si="15"/>
        <v>0</v>
      </c>
      <c r="AF29" s="2"/>
      <c r="AG29" s="1090">
        <f t="shared" si="16"/>
        <v>0</v>
      </c>
      <c r="AH29" s="1091">
        <f t="shared" si="17"/>
        <v>0</v>
      </c>
      <c r="AI29" s="1054">
        <f t="shared" si="18"/>
        <v>0</v>
      </c>
      <c r="AJ29" s="1054">
        <f t="shared" si="19"/>
        <v>0</v>
      </c>
      <c r="AK29" s="1092">
        <f t="shared" si="6"/>
        <v>0</v>
      </c>
      <c r="AL29" s="2"/>
      <c r="AM29" s="1090">
        <f t="shared" si="7"/>
        <v>0</v>
      </c>
      <c r="AN29" s="1105">
        <f t="shared" si="20"/>
        <v>0</v>
      </c>
      <c r="AO29" s="1054">
        <f t="shared" si="21"/>
        <v>0</v>
      </c>
      <c r="AP29" s="1054">
        <f t="shared" si="22"/>
        <v>0</v>
      </c>
      <c r="AQ29" s="1092">
        <f t="shared" si="23"/>
        <v>0</v>
      </c>
      <c r="AR29" s="2"/>
      <c r="AS29" s="1090">
        <f t="shared" si="24"/>
        <v>0</v>
      </c>
      <c r="AT29" s="1091">
        <f t="shared" si="25"/>
        <v>0</v>
      </c>
      <c r="AU29" s="1054">
        <f t="shared" si="26"/>
        <v>0</v>
      </c>
      <c r="AV29" s="1054">
        <f t="shared" si="27"/>
        <v>0</v>
      </c>
      <c r="AW29" s="1092">
        <f t="shared" si="28"/>
        <v>0</v>
      </c>
      <c r="AX29" s="2"/>
      <c r="AY29" s="1090">
        <f t="shared" si="29"/>
        <v>0</v>
      </c>
      <c r="AZ29" s="1385"/>
      <c r="BA29" s="2"/>
    </row>
    <row r="30" spans="1:53" ht="20.25" customHeight="1" x14ac:dyDescent="0.2">
      <c r="A30" s="2"/>
      <c r="B30" s="18">
        <v>23</v>
      </c>
      <c r="C30" s="234">
        <f t="shared" si="30"/>
        <v>23</v>
      </c>
      <c r="D30" s="235">
        <f t="shared" si="8"/>
        <v>8</v>
      </c>
      <c r="E30" s="2159" t="str">
        <f t="shared" si="0"/>
        <v xml:space="preserve">attiva trim.  </v>
      </c>
      <c r="F30" s="2160"/>
      <c r="G30" s="237"/>
      <c r="H30" s="237"/>
      <c r="I30" s="828"/>
      <c r="J30" s="829"/>
      <c r="K30" s="237"/>
      <c r="L30" s="828"/>
      <c r="M30" s="829"/>
      <c r="N30" s="237"/>
      <c r="O30" s="828"/>
      <c r="P30" s="829"/>
      <c r="Q30" s="6"/>
      <c r="R30" s="1053">
        <f t="shared" si="9"/>
        <v>0</v>
      </c>
      <c r="S30" s="1054">
        <f t="shared" si="1"/>
        <v>0</v>
      </c>
      <c r="T30" s="1054">
        <f t="shared" si="10"/>
        <v>0</v>
      </c>
      <c r="U30" s="1055">
        <f t="shared" si="11"/>
        <v>0</v>
      </c>
      <c r="V30" s="231">
        <f t="shared" si="31"/>
        <v>45527</v>
      </c>
      <c r="W30" s="1053">
        <f t="shared" si="2"/>
        <v>0</v>
      </c>
      <c r="X30" s="1054">
        <f t="shared" si="3"/>
        <v>0</v>
      </c>
      <c r="Y30" s="1054">
        <f t="shared" si="4"/>
        <v>0</v>
      </c>
      <c r="Z30" s="1055">
        <f t="shared" si="5"/>
        <v>0</v>
      </c>
      <c r="AA30" s="822">
        <f>VLOOKUP(V30,CASSA!$B$114:$C$479,2,FALSE)</f>
        <v>0</v>
      </c>
      <c r="AB30" s="1053">
        <f t="shared" si="12"/>
        <v>0</v>
      </c>
      <c r="AC30" s="1054">
        <f t="shared" si="13"/>
        <v>0</v>
      </c>
      <c r="AD30" s="1054">
        <f t="shared" si="14"/>
        <v>0</v>
      </c>
      <c r="AE30" s="1055">
        <f t="shared" si="15"/>
        <v>0</v>
      </c>
      <c r="AF30" s="2"/>
      <c r="AG30" s="1090">
        <f t="shared" si="16"/>
        <v>0</v>
      </c>
      <c r="AH30" s="1091">
        <f t="shared" si="17"/>
        <v>0</v>
      </c>
      <c r="AI30" s="1054">
        <f t="shared" si="18"/>
        <v>0</v>
      </c>
      <c r="AJ30" s="1054">
        <f t="shared" si="19"/>
        <v>0</v>
      </c>
      <c r="AK30" s="1092">
        <f t="shared" si="6"/>
        <v>0</v>
      </c>
      <c r="AL30" s="2"/>
      <c r="AM30" s="1090">
        <f t="shared" si="7"/>
        <v>0</v>
      </c>
      <c r="AN30" s="1105">
        <f t="shared" si="20"/>
        <v>0</v>
      </c>
      <c r="AO30" s="1054">
        <f t="shared" si="21"/>
        <v>0</v>
      </c>
      <c r="AP30" s="1054">
        <f t="shared" si="22"/>
        <v>0</v>
      </c>
      <c r="AQ30" s="1092">
        <f t="shared" si="23"/>
        <v>0</v>
      </c>
      <c r="AR30" s="2"/>
      <c r="AS30" s="1090">
        <f t="shared" si="24"/>
        <v>0</v>
      </c>
      <c r="AT30" s="1091">
        <f t="shared" si="25"/>
        <v>0</v>
      </c>
      <c r="AU30" s="1054">
        <f t="shared" si="26"/>
        <v>0</v>
      </c>
      <c r="AV30" s="1054">
        <f t="shared" si="27"/>
        <v>0</v>
      </c>
      <c r="AW30" s="1092">
        <f t="shared" si="28"/>
        <v>0</v>
      </c>
      <c r="AX30" s="2"/>
      <c r="AY30" s="1090">
        <f t="shared" si="29"/>
        <v>0</v>
      </c>
      <c r="AZ30" s="1385"/>
      <c r="BA30" s="2"/>
    </row>
    <row r="31" spans="1:53" ht="20.25" customHeight="1" x14ac:dyDescent="0.2">
      <c r="A31" s="2"/>
      <c r="B31" s="18">
        <v>24</v>
      </c>
      <c r="C31" s="234">
        <f t="shared" si="30"/>
        <v>24</v>
      </c>
      <c r="D31" s="235">
        <f t="shared" si="8"/>
        <v>8</v>
      </c>
      <c r="E31" s="2159" t="str">
        <f t="shared" si="0"/>
        <v xml:space="preserve">attiva trim.  </v>
      </c>
      <c r="F31" s="2160"/>
      <c r="G31" s="237"/>
      <c r="H31" s="237"/>
      <c r="I31" s="828"/>
      <c r="J31" s="829"/>
      <c r="K31" s="237"/>
      <c r="L31" s="828"/>
      <c r="M31" s="829"/>
      <c r="N31" s="237"/>
      <c r="O31" s="828"/>
      <c r="P31" s="829"/>
      <c r="Q31" s="6"/>
      <c r="R31" s="1053">
        <f t="shared" si="9"/>
        <v>0</v>
      </c>
      <c r="S31" s="1054">
        <f t="shared" si="1"/>
        <v>0</v>
      </c>
      <c r="T31" s="1054">
        <f t="shared" si="10"/>
        <v>0</v>
      </c>
      <c r="U31" s="1055">
        <f t="shared" si="11"/>
        <v>0</v>
      </c>
      <c r="V31" s="231">
        <f t="shared" si="31"/>
        <v>45528</v>
      </c>
      <c r="W31" s="1053">
        <f t="shared" si="2"/>
        <v>0</v>
      </c>
      <c r="X31" s="1054">
        <f t="shared" si="3"/>
        <v>0</v>
      </c>
      <c r="Y31" s="1054">
        <f t="shared" si="4"/>
        <v>0</v>
      </c>
      <c r="Z31" s="1055">
        <f t="shared" si="5"/>
        <v>0</v>
      </c>
      <c r="AA31" s="822">
        <f>VLOOKUP(V31,CASSA!$B$114:$C$479,2,FALSE)</f>
        <v>0</v>
      </c>
      <c r="AB31" s="1053">
        <f t="shared" si="12"/>
        <v>0</v>
      </c>
      <c r="AC31" s="1054">
        <f t="shared" si="13"/>
        <v>0</v>
      </c>
      <c r="AD31" s="1054">
        <f t="shared" si="14"/>
        <v>0</v>
      </c>
      <c r="AE31" s="1055">
        <f t="shared" si="15"/>
        <v>0</v>
      </c>
      <c r="AF31" s="2"/>
      <c r="AG31" s="1090">
        <f t="shared" si="16"/>
        <v>0</v>
      </c>
      <c r="AH31" s="1091">
        <f t="shared" si="17"/>
        <v>0</v>
      </c>
      <c r="AI31" s="1054">
        <f t="shared" si="18"/>
        <v>0</v>
      </c>
      <c r="AJ31" s="1054">
        <f t="shared" si="19"/>
        <v>0</v>
      </c>
      <c r="AK31" s="1092">
        <f t="shared" si="6"/>
        <v>0</v>
      </c>
      <c r="AL31" s="2"/>
      <c r="AM31" s="1090">
        <f t="shared" si="7"/>
        <v>0</v>
      </c>
      <c r="AN31" s="1105">
        <f t="shared" si="20"/>
        <v>0</v>
      </c>
      <c r="AO31" s="1054">
        <f t="shared" si="21"/>
        <v>0</v>
      </c>
      <c r="AP31" s="1054">
        <f t="shared" si="22"/>
        <v>0</v>
      </c>
      <c r="AQ31" s="1092">
        <f t="shared" si="23"/>
        <v>0</v>
      </c>
      <c r="AR31" s="2"/>
      <c r="AS31" s="1090">
        <f t="shared" si="24"/>
        <v>0</v>
      </c>
      <c r="AT31" s="1091">
        <f t="shared" si="25"/>
        <v>0</v>
      </c>
      <c r="AU31" s="1054">
        <f t="shared" si="26"/>
        <v>0</v>
      </c>
      <c r="AV31" s="1054">
        <f t="shared" si="27"/>
        <v>0</v>
      </c>
      <c r="AW31" s="1092">
        <f t="shared" si="28"/>
        <v>0</v>
      </c>
      <c r="AX31" s="2"/>
      <c r="AY31" s="1090">
        <f t="shared" si="29"/>
        <v>0</v>
      </c>
      <c r="AZ31" s="1385"/>
      <c r="BA31" s="2"/>
    </row>
    <row r="32" spans="1:53" ht="20.25" customHeight="1" x14ac:dyDescent="0.2">
      <c r="A32" s="2"/>
      <c r="B32" s="18">
        <v>25</v>
      </c>
      <c r="C32" s="234">
        <f t="shared" si="30"/>
        <v>25</v>
      </c>
      <c r="D32" s="235">
        <f t="shared" si="8"/>
        <v>8</v>
      </c>
      <c r="E32" s="2159" t="str">
        <f t="shared" si="0"/>
        <v xml:space="preserve">attiva trim.  </v>
      </c>
      <c r="F32" s="2160"/>
      <c r="G32" s="237"/>
      <c r="H32" s="237"/>
      <c r="I32" s="828"/>
      <c r="J32" s="829"/>
      <c r="K32" s="237"/>
      <c r="L32" s="828"/>
      <c r="M32" s="829"/>
      <c r="N32" s="237"/>
      <c r="O32" s="828"/>
      <c r="P32" s="829"/>
      <c r="Q32" s="6"/>
      <c r="R32" s="1053">
        <f t="shared" si="9"/>
        <v>0</v>
      </c>
      <c r="S32" s="1054">
        <f t="shared" si="1"/>
        <v>0</v>
      </c>
      <c r="T32" s="1054">
        <f t="shared" si="10"/>
        <v>0</v>
      </c>
      <c r="U32" s="1055">
        <f t="shared" si="11"/>
        <v>0</v>
      </c>
      <c r="V32" s="231">
        <f t="shared" si="31"/>
        <v>45529</v>
      </c>
      <c r="W32" s="1053">
        <f t="shared" si="2"/>
        <v>0</v>
      </c>
      <c r="X32" s="1054">
        <f t="shared" si="3"/>
        <v>0</v>
      </c>
      <c r="Y32" s="1054">
        <f t="shared" si="4"/>
        <v>0</v>
      </c>
      <c r="Z32" s="1055">
        <f t="shared" si="5"/>
        <v>0</v>
      </c>
      <c r="AA32" s="822">
        <f>VLOOKUP(V32,CASSA!$B$114:$C$479,2,FALSE)</f>
        <v>0</v>
      </c>
      <c r="AB32" s="1053">
        <f t="shared" si="12"/>
        <v>0</v>
      </c>
      <c r="AC32" s="1054">
        <f t="shared" si="13"/>
        <v>0</v>
      </c>
      <c r="AD32" s="1054">
        <f t="shared" si="14"/>
        <v>0</v>
      </c>
      <c r="AE32" s="1055">
        <f t="shared" si="15"/>
        <v>0</v>
      </c>
      <c r="AF32" s="2"/>
      <c r="AG32" s="1090">
        <f t="shared" si="16"/>
        <v>0</v>
      </c>
      <c r="AH32" s="1091">
        <f t="shared" si="17"/>
        <v>0</v>
      </c>
      <c r="AI32" s="1054">
        <f t="shared" si="18"/>
        <v>0</v>
      </c>
      <c r="AJ32" s="1054">
        <f t="shared" si="19"/>
        <v>0</v>
      </c>
      <c r="AK32" s="1092">
        <f t="shared" si="6"/>
        <v>0</v>
      </c>
      <c r="AL32" s="2"/>
      <c r="AM32" s="1090">
        <f t="shared" si="7"/>
        <v>0</v>
      </c>
      <c r="AN32" s="1105">
        <f t="shared" si="20"/>
        <v>0</v>
      </c>
      <c r="AO32" s="1054">
        <f t="shared" si="21"/>
        <v>0</v>
      </c>
      <c r="AP32" s="1054">
        <f t="shared" si="22"/>
        <v>0</v>
      </c>
      <c r="AQ32" s="1092">
        <f t="shared" si="23"/>
        <v>0</v>
      </c>
      <c r="AR32" s="2"/>
      <c r="AS32" s="1090">
        <f t="shared" si="24"/>
        <v>0</v>
      </c>
      <c r="AT32" s="1091">
        <f t="shared" si="25"/>
        <v>0</v>
      </c>
      <c r="AU32" s="1054">
        <f t="shared" si="26"/>
        <v>0</v>
      </c>
      <c r="AV32" s="1054">
        <f t="shared" si="27"/>
        <v>0</v>
      </c>
      <c r="AW32" s="1092">
        <f t="shared" si="28"/>
        <v>0</v>
      </c>
      <c r="AX32" s="2"/>
      <c r="AY32" s="1090">
        <f t="shared" si="29"/>
        <v>0</v>
      </c>
      <c r="AZ32" s="1385"/>
      <c r="BA32" s="2"/>
    </row>
    <row r="33" spans="1:54" ht="20.25" customHeight="1" x14ac:dyDescent="0.2">
      <c r="A33" s="2"/>
      <c r="B33" s="18">
        <v>26</v>
      </c>
      <c r="C33" s="234">
        <f t="shared" si="30"/>
        <v>26</v>
      </c>
      <c r="D33" s="235">
        <f t="shared" si="8"/>
        <v>8</v>
      </c>
      <c r="E33" s="2159" t="str">
        <f t="shared" si="0"/>
        <v xml:space="preserve">attiva trim.  </v>
      </c>
      <c r="F33" s="2160"/>
      <c r="G33" s="237"/>
      <c r="H33" s="237"/>
      <c r="I33" s="828"/>
      <c r="J33" s="829"/>
      <c r="K33" s="237"/>
      <c r="L33" s="828"/>
      <c r="M33" s="829"/>
      <c r="N33" s="237"/>
      <c r="O33" s="828"/>
      <c r="P33" s="829"/>
      <c r="Q33" s="6"/>
      <c r="R33" s="1053">
        <f t="shared" si="9"/>
        <v>0</v>
      </c>
      <c r="S33" s="1054">
        <f t="shared" si="1"/>
        <v>0</v>
      </c>
      <c r="T33" s="1054">
        <f t="shared" si="10"/>
        <v>0</v>
      </c>
      <c r="U33" s="1055">
        <f t="shared" si="11"/>
        <v>0</v>
      </c>
      <c r="V33" s="231">
        <f t="shared" si="31"/>
        <v>45530</v>
      </c>
      <c r="W33" s="1053">
        <f t="shared" si="2"/>
        <v>0</v>
      </c>
      <c r="X33" s="1054">
        <f t="shared" si="3"/>
        <v>0</v>
      </c>
      <c r="Y33" s="1054">
        <f t="shared" si="4"/>
        <v>0</v>
      </c>
      <c r="Z33" s="1055">
        <f t="shared" si="5"/>
        <v>0</v>
      </c>
      <c r="AA33" s="822">
        <f>VLOOKUP(V33,CASSA!$B$114:$C$479,2,FALSE)</f>
        <v>0</v>
      </c>
      <c r="AB33" s="1053">
        <f t="shared" si="12"/>
        <v>0</v>
      </c>
      <c r="AC33" s="1054">
        <f t="shared" si="13"/>
        <v>0</v>
      </c>
      <c r="AD33" s="1054">
        <f t="shared" si="14"/>
        <v>0</v>
      </c>
      <c r="AE33" s="1055">
        <f t="shared" si="15"/>
        <v>0</v>
      </c>
      <c r="AF33" s="2"/>
      <c r="AG33" s="1090">
        <f t="shared" si="16"/>
        <v>0</v>
      </c>
      <c r="AH33" s="1091">
        <f t="shared" si="17"/>
        <v>0</v>
      </c>
      <c r="AI33" s="1054">
        <f t="shared" si="18"/>
        <v>0</v>
      </c>
      <c r="AJ33" s="1054">
        <f t="shared" si="19"/>
        <v>0</v>
      </c>
      <c r="AK33" s="1092">
        <f t="shared" si="6"/>
        <v>0</v>
      </c>
      <c r="AL33" s="2"/>
      <c r="AM33" s="1090">
        <f t="shared" si="7"/>
        <v>0</v>
      </c>
      <c r="AN33" s="1105">
        <f t="shared" si="20"/>
        <v>0</v>
      </c>
      <c r="AO33" s="1054">
        <f t="shared" si="21"/>
        <v>0</v>
      </c>
      <c r="AP33" s="1054">
        <f t="shared" si="22"/>
        <v>0</v>
      </c>
      <c r="AQ33" s="1092">
        <f t="shared" si="23"/>
        <v>0</v>
      </c>
      <c r="AR33" s="2"/>
      <c r="AS33" s="1090">
        <f t="shared" si="24"/>
        <v>0</v>
      </c>
      <c r="AT33" s="1091">
        <f t="shared" si="25"/>
        <v>0</v>
      </c>
      <c r="AU33" s="1054">
        <f t="shared" si="26"/>
        <v>0</v>
      </c>
      <c r="AV33" s="1054">
        <f t="shared" si="27"/>
        <v>0</v>
      </c>
      <c r="AW33" s="1092">
        <f t="shared" si="28"/>
        <v>0</v>
      </c>
      <c r="AX33" s="2"/>
      <c r="AY33" s="1090">
        <f t="shared" si="29"/>
        <v>0</v>
      </c>
      <c r="AZ33" s="1385"/>
      <c r="BA33" s="2"/>
    </row>
    <row r="34" spans="1:54" ht="20.25" customHeight="1" x14ac:dyDescent="0.2">
      <c r="A34" s="2"/>
      <c r="B34" s="18">
        <v>27</v>
      </c>
      <c r="C34" s="234">
        <f t="shared" si="30"/>
        <v>27</v>
      </c>
      <c r="D34" s="235">
        <f t="shared" si="8"/>
        <v>8</v>
      </c>
      <c r="E34" s="2159" t="str">
        <f t="shared" si="0"/>
        <v xml:space="preserve">attiva trim.  </v>
      </c>
      <c r="F34" s="2160"/>
      <c r="G34" s="237"/>
      <c r="H34" s="237"/>
      <c r="I34" s="828"/>
      <c r="J34" s="829"/>
      <c r="K34" s="237"/>
      <c r="L34" s="828"/>
      <c r="M34" s="829"/>
      <c r="N34" s="237"/>
      <c r="O34" s="828"/>
      <c r="P34" s="829"/>
      <c r="Q34" s="6"/>
      <c r="R34" s="1053">
        <f t="shared" si="9"/>
        <v>0</v>
      </c>
      <c r="S34" s="1054">
        <f t="shared" si="1"/>
        <v>0</v>
      </c>
      <c r="T34" s="1054">
        <f t="shared" si="10"/>
        <v>0</v>
      </c>
      <c r="U34" s="1055">
        <f t="shared" si="11"/>
        <v>0</v>
      </c>
      <c r="V34" s="231">
        <f t="shared" si="31"/>
        <v>45531</v>
      </c>
      <c r="W34" s="1053">
        <f t="shared" si="2"/>
        <v>0</v>
      </c>
      <c r="X34" s="1054">
        <f t="shared" si="3"/>
        <v>0</v>
      </c>
      <c r="Y34" s="1054">
        <f t="shared" si="4"/>
        <v>0</v>
      </c>
      <c r="Z34" s="1055">
        <f t="shared" si="5"/>
        <v>0</v>
      </c>
      <c r="AA34" s="822">
        <f>VLOOKUP(V34,CASSA!$B$114:$C$479,2,FALSE)</f>
        <v>0</v>
      </c>
      <c r="AB34" s="1053">
        <f t="shared" si="12"/>
        <v>0</v>
      </c>
      <c r="AC34" s="1054">
        <f t="shared" si="13"/>
        <v>0</v>
      </c>
      <c r="AD34" s="1054">
        <f t="shared" si="14"/>
        <v>0</v>
      </c>
      <c r="AE34" s="1055">
        <f t="shared" si="15"/>
        <v>0</v>
      </c>
      <c r="AF34" s="2"/>
      <c r="AG34" s="1090">
        <f t="shared" si="16"/>
        <v>0</v>
      </c>
      <c r="AH34" s="1091">
        <f t="shared" si="17"/>
        <v>0</v>
      </c>
      <c r="AI34" s="1054">
        <f t="shared" si="18"/>
        <v>0</v>
      </c>
      <c r="AJ34" s="1054">
        <f t="shared" si="19"/>
        <v>0</v>
      </c>
      <c r="AK34" s="1092">
        <f t="shared" si="6"/>
        <v>0</v>
      </c>
      <c r="AL34" s="2"/>
      <c r="AM34" s="1090">
        <f t="shared" si="7"/>
        <v>0</v>
      </c>
      <c r="AN34" s="1105">
        <f t="shared" si="20"/>
        <v>0</v>
      </c>
      <c r="AO34" s="1054">
        <f t="shared" si="21"/>
        <v>0</v>
      </c>
      <c r="AP34" s="1054">
        <f t="shared" si="22"/>
        <v>0</v>
      </c>
      <c r="AQ34" s="1092">
        <f t="shared" si="23"/>
        <v>0</v>
      </c>
      <c r="AR34" s="2"/>
      <c r="AS34" s="1090">
        <f t="shared" si="24"/>
        <v>0</v>
      </c>
      <c r="AT34" s="1091">
        <f t="shared" si="25"/>
        <v>0</v>
      </c>
      <c r="AU34" s="1054">
        <f t="shared" si="26"/>
        <v>0</v>
      </c>
      <c r="AV34" s="1054">
        <f t="shared" si="27"/>
        <v>0</v>
      </c>
      <c r="AW34" s="1092">
        <f t="shared" si="28"/>
        <v>0</v>
      </c>
      <c r="AX34" s="2"/>
      <c r="AY34" s="1090">
        <f t="shared" si="29"/>
        <v>0</v>
      </c>
      <c r="AZ34" s="1385"/>
      <c r="BA34" s="2"/>
    </row>
    <row r="35" spans="1:54" ht="20.25" customHeight="1" x14ac:dyDescent="0.2">
      <c r="A35" s="2"/>
      <c r="B35" s="18">
        <v>28</v>
      </c>
      <c r="C35" s="234">
        <f t="shared" si="30"/>
        <v>28</v>
      </c>
      <c r="D35" s="235">
        <f t="shared" si="8"/>
        <v>8</v>
      </c>
      <c r="E35" s="2159" t="str">
        <f t="shared" si="0"/>
        <v xml:space="preserve">attiva trim.  </v>
      </c>
      <c r="F35" s="2160"/>
      <c r="G35" s="237"/>
      <c r="H35" s="237"/>
      <c r="I35" s="828"/>
      <c r="J35" s="829"/>
      <c r="K35" s="237"/>
      <c r="L35" s="828"/>
      <c r="M35" s="829"/>
      <c r="N35" s="237"/>
      <c r="O35" s="828"/>
      <c r="P35" s="829"/>
      <c r="Q35" s="6"/>
      <c r="R35" s="1053">
        <f t="shared" si="9"/>
        <v>0</v>
      </c>
      <c r="S35" s="1054">
        <f t="shared" si="1"/>
        <v>0</v>
      </c>
      <c r="T35" s="1054">
        <f t="shared" si="10"/>
        <v>0</v>
      </c>
      <c r="U35" s="1055">
        <f t="shared" si="11"/>
        <v>0</v>
      </c>
      <c r="V35" s="231">
        <f t="shared" si="31"/>
        <v>45532</v>
      </c>
      <c r="W35" s="1053">
        <f t="shared" si="2"/>
        <v>0</v>
      </c>
      <c r="X35" s="1054">
        <f t="shared" si="3"/>
        <v>0</v>
      </c>
      <c r="Y35" s="1054">
        <f t="shared" si="4"/>
        <v>0</v>
      </c>
      <c r="Z35" s="1055">
        <f t="shared" si="5"/>
        <v>0</v>
      </c>
      <c r="AA35" s="822">
        <f>VLOOKUP(V35,CASSA!$B$114:$C$479,2,FALSE)</f>
        <v>0</v>
      </c>
      <c r="AB35" s="1053">
        <f t="shared" si="12"/>
        <v>0</v>
      </c>
      <c r="AC35" s="1054">
        <f t="shared" si="13"/>
        <v>0</v>
      </c>
      <c r="AD35" s="1054">
        <f t="shared" si="14"/>
        <v>0</v>
      </c>
      <c r="AE35" s="1055">
        <f t="shared" si="15"/>
        <v>0</v>
      </c>
      <c r="AF35" s="2"/>
      <c r="AG35" s="1090">
        <f t="shared" si="16"/>
        <v>0</v>
      </c>
      <c r="AH35" s="1091">
        <f t="shared" si="17"/>
        <v>0</v>
      </c>
      <c r="AI35" s="1054">
        <f t="shared" si="18"/>
        <v>0</v>
      </c>
      <c r="AJ35" s="1054">
        <f t="shared" si="19"/>
        <v>0</v>
      </c>
      <c r="AK35" s="1092">
        <f t="shared" si="6"/>
        <v>0</v>
      </c>
      <c r="AL35" s="2"/>
      <c r="AM35" s="1090">
        <f t="shared" si="7"/>
        <v>0</v>
      </c>
      <c r="AN35" s="1105">
        <f t="shared" si="20"/>
        <v>0</v>
      </c>
      <c r="AO35" s="1054">
        <f t="shared" si="21"/>
        <v>0</v>
      </c>
      <c r="AP35" s="1054">
        <f t="shared" si="22"/>
        <v>0</v>
      </c>
      <c r="AQ35" s="1092">
        <f t="shared" si="23"/>
        <v>0</v>
      </c>
      <c r="AR35" s="2"/>
      <c r="AS35" s="1090">
        <f t="shared" si="24"/>
        <v>0</v>
      </c>
      <c r="AT35" s="1091">
        <f t="shared" si="25"/>
        <v>0</v>
      </c>
      <c r="AU35" s="1054">
        <f t="shared" si="26"/>
        <v>0</v>
      </c>
      <c r="AV35" s="1054">
        <f t="shared" si="27"/>
        <v>0</v>
      </c>
      <c r="AW35" s="1092">
        <f t="shared" si="28"/>
        <v>0</v>
      </c>
      <c r="AX35" s="2"/>
      <c r="AY35" s="1090">
        <f t="shared" si="29"/>
        <v>0</v>
      </c>
      <c r="AZ35" s="1385"/>
      <c r="BA35" s="2"/>
    </row>
    <row r="36" spans="1:54" ht="20.25" customHeight="1" x14ac:dyDescent="0.2">
      <c r="A36" s="2"/>
      <c r="B36" s="18">
        <v>29</v>
      </c>
      <c r="C36" s="234">
        <f t="shared" si="30"/>
        <v>29</v>
      </c>
      <c r="D36" s="235">
        <f t="shared" si="8"/>
        <v>8</v>
      </c>
      <c r="E36" s="2159" t="str">
        <f t="shared" si="0"/>
        <v xml:space="preserve">attiva trim.  </v>
      </c>
      <c r="F36" s="2160"/>
      <c r="G36" s="237"/>
      <c r="H36" s="237"/>
      <c r="I36" s="828"/>
      <c r="J36" s="829"/>
      <c r="K36" s="237"/>
      <c r="L36" s="828"/>
      <c r="M36" s="829"/>
      <c r="N36" s="237"/>
      <c r="O36" s="828"/>
      <c r="P36" s="829"/>
      <c r="Q36" s="6"/>
      <c r="R36" s="1053">
        <f t="shared" si="9"/>
        <v>0</v>
      </c>
      <c r="S36" s="1054">
        <f t="shared" si="1"/>
        <v>0</v>
      </c>
      <c r="T36" s="1054">
        <f t="shared" si="10"/>
        <v>0</v>
      </c>
      <c r="U36" s="1055">
        <f t="shared" si="11"/>
        <v>0</v>
      </c>
      <c r="V36" s="231">
        <f t="shared" si="31"/>
        <v>45533</v>
      </c>
      <c r="W36" s="1053">
        <f t="shared" si="2"/>
        <v>0</v>
      </c>
      <c r="X36" s="1054">
        <f t="shared" si="3"/>
        <v>0</v>
      </c>
      <c r="Y36" s="1054">
        <f t="shared" si="4"/>
        <v>0</v>
      </c>
      <c r="Z36" s="1055">
        <f t="shared" si="5"/>
        <v>0</v>
      </c>
      <c r="AA36" s="822">
        <f>VLOOKUP(V36,CASSA!$B$114:$C$479,2,FALSE)</f>
        <v>0</v>
      </c>
      <c r="AB36" s="1053">
        <f t="shared" si="12"/>
        <v>0</v>
      </c>
      <c r="AC36" s="1054">
        <f t="shared" si="13"/>
        <v>0</v>
      </c>
      <c r="AD36" s="1054">
        <f t="shared" si="14"/>
        <v>0</v>
      </c>
      <c r="AE36" s="1055">
        <f t="shared" si="15"/>
        <v>0</v>
      </c>
      <c r="AF36" s="2"/>
      <c r="AG36" s="1090">
        <f t="shared" si="16"/>
        <v>0</v>
      </c>
      <c r="AH36" s="1091">
        <f t="shared" si="17"/>
        <v>0</v>
      </c>
      <c r="AI36" s="1054">
        <f t="shared" si="18"/>
        <v>0</v>
      </c>
      <c r="AJ36" s="1054">
        <f t="shared" si="19"/>
        <v>0</v>
      </c>
      <c r="AK36" s="1092">
        <f t="shared" si="6"/>
        <v>0</v>
      </c>
      <c r="AL36" s="2"/>
      <c r="AM36" s="1090">
        <f t="shared" si="7"/>
        <v>0</v>
      </c>
      <c r="AN36" s="1105">
        <f t="shared" si="20"/>
        <v>0</v>
      </c>
      <c r="AO36" s="1054">
        <f t="shared" si="21"/>
        <v>0</v>
      </c>
      <c r="AP36" s="1054">
        <f t="shared" si="22"/>
        <v>0</v>
      </c>
      <c r="AQ36" s="1092">
        <f t="shared" si="23"/>
        <v>0</v>
      </c>
      <c r="AR36" s="2"/>
      <c r="AS36" s="1090">
        <f t="shared" si="24"/>
        <v>0</v>
      </c>
      <c r="AT36" s="1091">
        <f t="shared" si="25"/>
        <v>0</v>
      </c>
      <c r="AU36" s="1054">
        <f t="shared" si="26"/>
        <v>0</v>
      </c>
      <c r="AV36" s="1054">
        <f t="shared" si="27"/>
        <v>0</v>
      </c>
      <c r="AW36" s="1092">
        <f t="shared" si="28"/>
        <v>0</v>
      </c>
      <c r="AX36" s="2"/>
      <c r="AY36" s="1090">
        <f t="shared" si="29"/>
        <v>0</v>
      </c>
      <c r="AZ36" s="1385"/>
      <c r="BA36" s="2"/>
    </row>
    <row r="37" spans="1:54" ht="20.25" customHeight="1" x14ac:dyDescent="0.2">
      <c r="A37" s="2"/>
      <c r="B37" s="18">
        <v>30</v>
      </c>
      <c r="C37" s="234">
        <f t="shared" si="30"/>
        <v>30</v>
      </c>
      <c r="D37" s="235">
        <f t="shared" si="8"/>
        <v>8</v>
      </c>
      <c r="E37" s="2159" t="str">
        <f t="shared" si="0"/>
        <v xml:space="preserve">attiva trim.  </v>
      </c>
      <c r="F37" s="2160"/>
      <c r="G37" s="237"/>
      <c r="H37" s="237"/>
      <c r="I37" s="828"/>
      <c r="J37" s="829"/>
      <c r="K37" s="237"/>
      <c r="L37" s="828"/>
      <c r="M37" s="829"/>
      <c r="N37" s="237"/>
      <c r="O37" s="828"/>
      <c r="P37" s="829"/>
      <c r="Q37" s="6"/>
      <c r="R37" s="1053">
        <f t="shared" si="9"/>
        <v>0</v>
      </c>
      <c r="S37" s="1054">
        <f t="shared" si="1"/>
        <v>0</v>
      </c>
      <c r="T37" s="1054">
        <f t="shared" si="10"/>
        <v>0</v>
      </c>
      <c r="U37" s="1055">
        <f t="shared" si="11"/>
        <v>0</v>
      </c>
      <c r="V37" s="231">
        <f t="shared" si="31"/>
        <v>45534</v>
      </c>
      <c r="W37" s="1053">
        <f t="shared" si="2"/>
        <v>0</v>
      </c>
      <c r="X37" s="1054">
        <f t="shared" si="3"/>
        <v>0</v>
      </c>
      <c r="Y37" s="1054">
        <f t="shared" si="4"/>
        <v>0</v>
      </c>
      <c r="Z37" s="1055">
        <f t="shared" si="5"/>
        <v>0</v>
      </c>
      <c r="AA37" s="822">
        <f>VLOOKUP(V37,CASSA!$B$114:$C$479,2,FALSE)</f>
        <v>0</v>
      </c>
      <c r="AB37" s="1053">
        <f t="shared" si="12"/>
        <v>0</v>
      </c>
      <c r="AC37" s="1054">
        <f t="shared" si="13"/>
        <v>0</v>
      </c>
      <c r="AD37" s="1054">
        <f t="shared" si="14"/>
        <v>0</v>
      </c>
      <c r="AE37" s="1055">
        <f t="shared" si="15"/>
        <v>0</v>
      </c>
      <c r="AF37" s="2"/>
      <c r="AG37" s="1090">
        <f t="shared" si="16"/>
        <v>0</v>
      </c>
      <c r="AH37" s="1091">
        <f t="shared" si="17"/>
        <v>0</v>
      </c>
      <c r="AI37" s="1054">
        <f t="shared" si="18"/>
        <v>0</v>
      </c>
      <c r="AJ37" s="1054">
        <f t="shared" si="19"/>
        <v>0</v>
      </c>
      <c r="AK37" s="1092">
        <f t="shared" si="6"/>
        <v>0</v>
      </c>
      <c r="AL37" s="2"/>
      <c r="AM37" s="1090">
        <f t="shared" si="7"/>
        <v>0</v>
      </c>
      <c r="AN37" s="1105">
        <f t="shared" si="20"/>
        <v>0</v>
      </c>
      <c r="AO37" s="1054">
        <f t="shared" si="21"/>
        <v>0</v>
      </c>
      <c r="AP37" s="1054">
        <f t="shared" si="22"/>
        <v>0</v>
      </c>
      <c r="AQ37" s="1092">
        <f t="shared" si="23"/>
        <v>0</v>
      </c>
      <c r="AR37" s="2"/>
      <c r="AS37" s="1090">
        <f t="shared" si="24"/>
        <v>0</v>
      </c>
      <c r="AT37" s="1091">
        <f t="shared" si="25"/>
        <v>0</v>
      </c>
      <c r="AU37" s="1054">
        <f t="shared" si="26"/>
        <v>0</v>
      </c>
      <c r="AV37" s="1054">
        <f t="shared" si="27"/>
        <v>0</v>
      </c>
      <c r="AW37" s="1092">
        <f t="shared" si="28"/>
        <v>0</v>
      </c>
      <c r="AX37" s="2"/>
      <c r="AY37" s="1090">
        <f t="shared" si="29"/>
        <v>0</v>
      </c>
      <c r="AZ37" s="1385"/>
      <c r="BA37" s="2"/>
    </row>
    <row r="38" spans="1:54" ht="20.25" customHeight="1" x14ac:dyDescent="0.2">
      <c r="A38" s="2"/>
      <c r="B38" s="18">
        <v>31</v>
      </c>
      <c r="C38" s="234">
        <f t="shared" si="30"/>
        <v>31</v>
      </c>
      <c r="D38" s="235">
        <f t="shared" si="8"/>
        <v>8</v>
      </c>
      <c r="E38" s="2162" t="str">
        <f t="shared" si="0"/>
        <v xml:space="preserve">attiva trim.  </v>
      </c>
      <c r="F38" s="2163"/>
      <c r="G38" s="824"/>
      <c r="H38" s="824"/>
      <c r="I38" s="836"/>
      <c r="J38" s="837"/>
      <c r="K38" s="824"/>
      <c r="L38" s="836"/>
      <c r="M38" s="837"/>
      <c r="N38" s="824"/>
      <c r="O38" s="836"/>
      <c r="P38" s="837"/>
      <c r="Q38" s="6"/>
      <c r="R38" s="1056">
        <f t="shared" si="9"/>
        <v>0</v>
      </c>
      <c r="S38" s="1057">
        <f t="shared" si="1"/>
        <v>0</v>
      </c>
      <c r="T38" s="1057">
        <f t="shared" si="10"/>
        <v>0</v>
      </c>
      <c r="U38" s="1058">
        <f t="shared" si="11"/>
        <v>0</v>
      </c>
      <c r="V38" s="231">
        <f t="shared" si="31"/>
        <v>45535</v>
      </c>
      <c r="W38" s="1056">
        <f t="shared" si="2"/>
        <v>0</v>
      </c>
      <c r="X38" s="1057">
        <f t="shared" si="3"/>
        <v>0</v>
      </c>
      <c r="Y38" s="1057">
        <f t="shared" si="4"/>
        <v>0</v>
      </c>
      <c r="Z38" s="1058">
        <f t="shared" si="5"/>
        <v>0</v>
      </c>
      <c r="AA38" s="822">
        <f>VLOOKUP(V38,CASSA!$B$114:$C$479,2,FALSE)</f>
        <v>0</v>
      </c>
      <c r="AB38" s="1056">
        <f t="shared" si="12"/>
        <v>0</v>
      </c>
      <c r="AC38" s="1057">
        <f t="shared" si="13"/>
        <v>0</v>
      </c>
      <c r="AD38" s="1057">
        <f t="shared" si="14"/>
        <v>0</v>
      </c>
      <c r="AE38" s="1058">
        <f t="shared" si="15"/>
        <v>0</v>
      </c>
      <c r="AF38" s="2"/>
      <c r="AG38" s="1093">
        <f t="shared" si="16"/>
        <v>0</v>
      </c>
      <c r="AH38" s="1094">
        <f t="shared" si="17"/>
        <v>0</v>
      </c>
      <c r="AI38" s="1057">
        <f t="shared" si="18"/>
        <v>0</v>
      </c>
      <c r="AJ38" s="1057">
        <f t="shared" si="19"/>
        <v>0</v>
      </c>
      <c r="AK38" s="1095">
        <f t="shared" si="6"/>
        <v>0</v>
      </c>
      <c r="AL38" s="2"/>
      <c r="AM38" s="1093">
        <f t="shared" si="7"/>
        <v>0</v>
      </c>
      <c r="AN38" s="1106">
        <f t="shared" si="20"/>
        <v>0</v>
      </c>
      <c r="AO38" s="1057">
        <f t="shared" si="21"/>
        <v>0</v>
      </c>
      <c r="AP38" s="1057">
        <f t="shared" si="22"/>
        <v>0</v>
      </c>
      <c r="AQ38" s="1095">
        <f t="shared" si="23"/>
        <v>0</v>
      </c>
      <c r="AR38" s="2"/>
      <c r="AS38" s="1093">
        <f t="shared" si="24"/>
        <v>0</v>
      </c>
      <c r="AT38" s="1094">
        <f t="shared" si="25"/>
        <v>0</v>
      </c>
      <c r="AU38" s="1057">
        <f t="shared" si="26"/>
        <v>0</v>
      </c>
      <c r="AV38" s="1057">
        <f t="shared" si="27"/>
        <v>0</v>
      </c>
      <c r="AW38" s="1095">
        <f t="shared" si="28"/>
        <v>0</v>
      </c>
      <c r="AX38" s="2"/>
      <c r="AY38" s="1093">
        <f t="shared" si="29"/>
        <v>0</v>
      </c>
      <c r="AZ38" s="1386"/>
      <c r="BA38" s="2"/>
    </row>
    <row r="39" spans="1:54" ht="20.25" customHeight="1" x14ac:dyDescent="0.2">
      <c r="A39" s="2"/>
      <c r="B39" s="7"/>
      <c r="C39" s="2077" t="s">
        <v>177</v>
      </c>
      <c r="D39" s="2078"/>
      <c r="E39" s="2074">
        <f>IMPOSTAZIONI!Y265</f>
        <v>0</v>
      </c>
      <c r="F39" s="2075"/>
      <c r="G39" s="1440">
        <f>IF(ISERROR(G$155),0,SUM(G7:G38)-SUMIF($E8:$E38,$V4,G8:G38))</f>
        <v>0</v>
      </c>
      <c r="H39" s="1440">
        <f>IF(ISERROR(H$155),0,SUM(H7:H38)-SUMIF($E8:$E38,$V4,H8:H38))</f>
        <v>0</v>
      </c>
      <c r="I39" s="838"/>
      <c r="J39" s="839"/>
      <c r="K39" s="1440">
        <f>IF(ISERROR(I$155),0,SUM(K7:K38)-SUMIF($E8:$E38,$V4,K8:K38))</f>
        <v>0</v>
      </c>
      <c r="L39" s="838"/>
      <c r="M39" s="839"/>
      <c r="N39" s="1440">
        <f>IF(ISERROR(J$155),0,SUM(N7:N38)-SUMIF($E8:$E38,$V4,N8:N38))</f>
        <v>0</v>
      </c>
      <c r="O39" s="838"/>
      <c r="P39" s="839"/>
      <c r="Q39" s="6"/>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1383"/>
      <c r="BA39" s="2"/>
    </row>
    <row r="40" spans="1:54" ht="3" customHeight="1" x14ac:dyDescent="0.2">
      <c r="A40" s="2"/>
      <c r="B40" s="2"/>
      <c r="C40" s="8"/>
      <c r="D40" s="9"/>
      <c r="E40" s="825"/>
      <c r="F40" s="826"/>
      <c r="G40" s="827"/>
      <c r="H40" s="827"/>
      <c r="I40" s="825"/>
      <c r="J40" s="826"/>
      <c r="K40" s="827"/>
      <c r="L40" s="825"/>
      <c r="M40" s="826"/>
      <c r="N40" s="827"/>
      <c r="O40" s="825"/>
      <c r="P40" s="826"/>
      <c r="Q40" s="6"/>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row>
    <row r="41" spans="1:54" ht="6" customHeight="1" x14ac:dyDescent="0.2">
      <c r="A41" s="2"/>
      <c r="B41" s="2"/>
      <c r="C41" s="10"/>
      <c r="D41" s="10"/>
      <c r="E41" s="11"/>
      <c r="F41" s="11"/>
      <c r="G41" s="11"/>
      <c r="H41" s="11"/>
      <c r="I41" s="11"/>
      <c r="J41" s="11"/>
      <c r="K41" s="11"/>
      <c r="L41" s="11"/>
      <c r="M41" s="11"/>
      <c r="N41" s="11"/>
      <c r="O41" s="11"/>
      <c r="P41" s="11"/>
      <c r="Q41" s="1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row>
    <row r="42" spans="1:54" ht="18.75" customHeight="1" x14ac:dyDescent="0.2">
      <c r="A42" s="2"/>
      <c r="B42" s="2"/>
      <c r="C42" s="946" t="s">
        <v>657</v>
      </c>
      <c r="D42" s="14"/>
      <c r="E42" s="12"/>
      <c r="F42" s="12"/>
      <c r="G42" s="957">
        <f>IMPOSTAZIONI!I33</f>
        <v>0</v>
      </c>
      <c r="H42" s="957">
        <f>IMPOSTAZIONI!M33</f>
        <v>0</v>
      </c>
      <c r="I42" s="12"/>
      <c r="J42" s="12"/>
      <c r="K42" s="957">
        <f>IMPOSTAZIONI!U33</f>
        <v>0</v>
      </c>
      <c r="L42" s="12"/>
      <c r="M42" s="12"/>
      <c r="N42" s="957">
        <f>IMPOSTAZIONI!AC33</f>
        <v>0</v>
      </c>
      <c r="O42" s="12"/>
      <c r="P42" s="12"/>
      <c r="Q42" s="12"/>
      <c r="R42" s="2"/>
      <c r="S42" s="591"/>
      <c r="T42" s="591"/>
      <c r="U42" s="591"/>
      <c r="V42" s="591"/>
      <c r="W42" s="591"/>
      <c r="X42" s="591"/>
      <c r="Y42" s="591"/>
      <c r="Z42" s="591"/>
      <c r="AA42" s="591"/>
      <c r="AB42" s="591"/>
      <c r="AC42" s="591"/>
      <c r="AD42" s="591"/>
      <c r="AE42" s="591"/>
      <c r="AF42" s="591"/>
      <c r="AG42" s="591"/>
      <c r="AH42" s="591"/>
      <c r="AI42" s="591"/>
      <c r="AJ42" s="591"/>
      <c r="AK42" s="591"/>
      <c r="AL42" s="591"/>
      <c r="AM42" s="591"/>
      <c r="AN42" s="591"/>
      <c r="AO42" s="591"/>
      <c r="AP42" s="591"/>
      <c r="AQ42" s="591"/>
      <c r="AR42" s="591"/>
      <c r="AS42" s="591"/>
      <c r="AT42" s="591"/>
      <c r="AU42" s="591"/>
      <c r="AV42" s="591"/>
      <c r="AW42" s="591"/>
      <c r="AX42" s="591"/>
      <c r="AY42" s="591"/>
      <c r="AZ42" s="2"/>
      <c r="BA42" s="2"/>
      <c r="BB42" s="591"/>
    </row>
    <row r="43" spans="1:54" ht="18" customHeight="1" x14ac:dyDescent="0.2">
      <c r="A43" s="2"/>
      <c r="B43" s="2"/>
      <c r="C43" s="2161" t="s">
        <v>175</v>
      </c>
      <c r="D43" s="2161"/>
      <c r="E43" s="2076">
        <f>C6</f>
        <v>2024</v>
      </c>
      <c r="F43" s="2076"/>
      <c r="G43" s="888" t="str">
        <f>G6</f>
        <v/>
      </c>
      <c r="H43" s="889" t="str">
        <f>H6</f>
        <v/>
      </c>
      <c r="I43" s="2"/>
      <c r="J43" s="2"/>
      <c r="K43" s="887" t="str">
        <f>K6</f>
        <v/>
      </c>
      <c r="L43" s="2"/>
      <c r="M43" s="2"/>
      <c r="N43" s="887" t="str">
        <f>N6</f>
        <v/>
      </c>
      <c r="O43" s="2"/>
      <c r="P43" s="2"/>
      <c r="Q43" s="12"/>
      <c r="R43" s="2"/>
      <c r="S43" s="591"/>
      <c r="T43" s="591"/>
      <c r="U43" s="591"/>
      <c r="V43" s="591"/>
      <c r="W43" s="591"/>
      <c r="X43" s="591"/>
      <c r="Y43" s="591"/>
      <c r="Z43" s="591"/>
      <c r="AA43" s="591"/>
      <c r="AB43" s="591"/>
      <c r="AC43" s="591"/>
      <c r="AD43" s="591"/>
      <c r="AE43" s="591"/>
      <c r="AF43" s="591"/>
      <c r="AG43" s="591"/>
      <c r="AH43" s="591"/>
      <c r="AI43" s="591"/>
      <c r="AJ43" s="591"/>
      <c r="AK43" s="591"/>
      <c r="AL43" s="591"/>
      <c r="AM43" s="591"/>
      <c r="AN43" s="591"/>
      <c r="AO43" s="591"/>
      <c r="AP43" s="591"/>
      <c r="AQ43" s="591"/>
      <c r="AR43" s="591"/>
      <c r="AS43" s="591"/>
      <c r="AT43" s="591"/>
      <c r="AU43" s="591"/>
      <c r="AV43" s="591"/>
      <c r="AW43" s="591"/>
      <c r="AX43" s="591"/>
      <c r="AY43" s="591"/>
      <c r="AZ43" s="2"/>
      <c r="BA43" s="2"/>
      <c r="BB43" s="591"/>
    </row>
    <row r="44" spans="1:54" ht="22.5" customHeight="1" x14ac:dyDescent="0.2">
      <c r="A44" s="2"/>
      <c r="B44" s="2"/>
      <c r="C44" s="2091" t="s">
        <v>298</v>
      </c>
      <c r="D44" s="2091"/>
      <c r="E44" s="2091"/>
      <c r="F44" s="2091"/>
      <c r="G44" s="57" t="str">
        <f t="shared" ref="G44:K45" si="32">G4</f>
        <v/>
      </c>
      <c r="H44" s="57" t="str">
        <f t="shared" si="32"/>
        <v/>
      </c>
      <c r="I44" s="2034">
        <f>IF(I4=K130,"",I4)</f>
        <v>0</v>
      </c>
      <c r="J44" s="2034"/>
      <c r="K44" s="57" t="str">
        <f t="shared" si="32"/>
        <v/>
      </c>
      <c r="L44" s="2034">
        <f>IF(L4=K130,"",L4)</f>
        <v>0</v>
      </c>
      <c r="M44" s="2034"/>
      <c r="N44" s="57" t="str">
        <f>N4</f>
        <v/>
      </c>
      <c r="O44" s="2034">
        <f>IF(O4=K130,"",O4)</f>
        <v>0</v>
      </c>
      <c r="P44" s="2034"/>
      <c r="Q44" s="12"/>
      <c r="R44" s="2"/>
      <c r="S44" s="591"/>
      <c r="T44" s="591"/>
      <c r="U44" s="591"/>
      <c r="V44" s="591"/>
      <c r="W44" s="591"/>
      <c r="X44" s="591"/>
      <c r="Y44" s="591"/>
      <c r="Z44" s="591"/>
      <c r="AA44" s="591"/>
      <c r="AB44" s="591"/>
      <c r="AC44" s="591"/>
      <c r="AD44" s="591"/>
      <c r="AE44" s="591"/>
      <c r="AF44" s="591"/>
      <c r="AG44" s="591"/>
      <c r="AH44" s="591"/>
      <c r="AI44" s="591"/>
      <c r="AJ44" s="591"/>
      <c r="AK44" s="591"/>
      <c r="AL44" s="591"/>
      <c r="AM44" s="591"/>
      <c r="AN44" s="591"/>
      <c r="AO44" s="591"/>
      <c r="AP44" s="591"/>
      <c r="AQ44" s="591"/>
      <c r="AR44" s="591"/>
      <c r="AS44" s="591"/>
      <c r="AT44" s="591"/>
      <c r="AU44" s="591"/>
      <c r="AV44" s="591"/>
      <c r="AW44" s="591"/>
      <c r="AX44" s="591"/>
      <c r="AY44" s="591"/>
      <c r="AZ44" s="2"/>
      <c r="BA44" s="2"/>
      <c r="BB44" s="591"/>
    </row>
    <row r="45" spans="1:54" ht="22.5" customHeight="1" x14ac:dyDescent="0.2">
      <c r="A45" s="2"/>
      <c r="B45" s="2"/>
      <c r="C45" s="2081" t="s">
        <v>313</v>
      </c>
      <c r="D45" s="2081"/>
      <c r="E45" s="2082"/>
      <c r="F45" s="2082"/>
      <c r="G45" s="58" t="str">
        <f t="shared" si="32"/>
        <v/>
      </c>
      <c r="H45" s="58" t="str">
        <f t="shared" si="32"/>
        <v/>
      </c>
      <c r="I45" s="488" t="str">
        <f>I6</f>
        <v>DAL</v>
      </c>
      <c r="J45" s="489" t="str">
        <f>J6</f>
        <v>AL</v>
      </c>
      <c r="K45" s="58" t="str">
        <f t="shared" si="32"/>
        <v/>
      </c>
      <c r="L45" s="488" t="str">
        <f>L6</f>
        <v>DAL</v>
      </c>
      <c r="M45" s="489" t="str">
        <f>M6</f>
        <v>AL</v>
      </c>
      <c r="N45" s="58" t="str">
        <f>N5</f>
        <v/>
      </c>
      <c r="O45" s="488" t="str">
        <f>O6</f>
        <v>DAL</v>
      </c>
      <c r="P45" s="489" t="str">
        <f>P6</f>
        <v>AL</v>
      </c>
      <c r="Q45" s="12"/>
      <c r="R45" s="2"/>
      <c r="S45" s="591"/>
      <c r="T45" s="591"/>
      <c r="U45" s="591"/>
      <c r="V45" s="591"/>
      <c r="W45" s="591"/>
      <c r="X45" s="591"/>
      <c r="Y45" s="591"/>
      <c r="Z45" s="591"/>
      <c r="AA45" s="591"/>
      <c r="AB45" s="591"/>
      <c r="AC45" s="591"/>
      <c r="AD45" s="591"/>
      <c r="AE45" s="591"/>
      <c r="AF45" s="591"/>
      <c r="AG45" s="591"/>
      <c r="AH45" s="591"/>
      <c r="AI45" s="591"/>
      <c r="AJ45" s="591"/>
      <c r="AK45" s="591"/>
      <c r="AL45" s="591"/>
      <c r="AM45" s="591"/>
      <c r="AN45" s="591"/>
      <c r="AO45" s="591"/>
      <c r="AP45" s="591"/>
      <c r="AQ45" s="591"/>
      <c r="AR45" s="591"/>
      <c r="AS45" s="591"/>
      <c r="AT45" s="591"/>
      <c r="AU45" s="591"/>
      <c r="AV45" s="591"/>
      <c r="AW45" s="591"/>
      <c r="AX45" s="591"/>
      <c r="AY45" s="591"/>
      <c r="AZ45" s="2"/>
      <c r="BA45" s="2"/>
      <c r="BB45" s="591"/>
    </row>
    <row r="46" spans="1:54" ht="21.95" customHeight="1" x14ac:dyDescent="0.2">
      <c r="A46" s="2"/>
      <c r="B46" s="7"/>
      <c r="C46" s="2079" t="s">
        <v>193</v>
      </c>
      <c r="D46" s="2080"/>
      <c r="E46" s="2157">
        <f>IF(E150=1,SUM(E8:E38),SUM(G46:H46)+K46+N46-SUMIF(G42:N42,K134,G46:N46))</f>
        <v>0</v>
      </c>
      <c r="F46" s="2158"/>
      <c r="G46" s="881">
        <f>IF(ISERROR(G$155),0,SUM(G8:G38)-SUMIF($E8:$E38,$V4,G8:G38)+IF(ISERROR(VLOOKUP(G1,IMPOSTAZIONI!$B$401:$AM$407,$E$149,FALSE)),0,VLOOKUP(G1,IMPOSTAZIONI!$B$401:$AM$407,$E$149,FALSE)))</f>
        <v>0</v>
      </c>
      <c r="H46" s="882">
        <f>IF(ISERROR(H$155),0,SUM(H8:H38)-SUMIF($E8:$E38,$V4,H8:H38)+IF(ISERROR(VLOOKUP(H1,IMPOSTAZIONI!$B$401:$AM$407,$E$149,FALSE)),0,VLOOKUP(H1,IMPOSTAZIONI!$B$401:$AM$407,$E$149,FALSE)))</f>
        <v>0</v>
      </c>
      <c r="I46" s="884"/>
      <c r="J46" s="883"/>
      <c r="K46" s="297">
        <f>IF(ISERROR(I$155),0,SUM(K8:K38)-SUMIF($E8:$E38,$V4,K8:K38)+IF(ISERROR(VLOOKUP(K1,IMPOSTAZIONI!$B$401:$AM$407,$E$149,FALSE)),0,VLOOKUP(K1,IMPOSTAZIONI!$B$401:$AM$407,$E$149,FALSE)))</f>
        <v>0</v>
      </c>
      <c r="L46" s="884"/>
      <c r="M46" s="883"/>
      <c r="N46" s="297">
        <f>IF(ISERROR(J$155),0,SUM(N8:N38)-SUMIF($E8:$E38,$V4,N8:N38)+IF(ISERROR(VLOOKUP(N1,IMPOSTAZIONI!$B$401:$AM$407,$E$149,FALSE)),0,VLOOKUP(N1,IMPOSTAZIONI!$B$401:$AM$407,$E$149,FALSE)))</f>
        <v>0</v>
      </c>
      <c r="O46" s="885"/>
      <c r="P46" s="886"/>
      <c r="Q46" s="12"/>
      <c r="R46" s="2"/>
      <c r="S46" s="591"/>
      <c r="T46" s="591"/>
      <c r="U46" s="591"/>
      <c r="V46" s="591"/>
      <c r="W46" s="591"/>
      <c r="X46" s="591"/>
      <c r="Y46" s="591"/>
      <c r="Z46" s="591"/>
      <c r="AA46" s="591"/>
      <c r="AB46" s="591"/>
      <c r="AC46" s="591"/>
      <c r="AD46" s="591"/>
      <c r="AE46" s="591"/>
      <c r="AF46" s="591"/>
      <c r="AG46" s="591"/>
      <c r="AH46" s="591"/>
      <c r="AI46" s="591"/>
      <c r="AJ46" s="591"/>
      <c r="AK46" s="591"/>
      <c r="AL46" s="591"/>
      <c r="AM46" s="591"/>
      <c r="AN46" s="591"/>
      <c r="AO46" s="591"/>
      <c r="AP46" s="591"/>
      <c r="AQ46" s="591"/>
      <c r="AR46" s="591"/>
      <c r="AS46" s="591"/>
      <c r="AT46" s="591"/>
      <c r="AU46" s="591"/>
      <c r="AV46" s="591"/>
      <c r="AW46" s="591"/>
      <c r="AX46" s="591"/>
      <c r="AY46" s="591"/>
      <c r="AZ46" s="2"/>
      <c r="BA46" s="2"/>
      <c r="BB46" s="591"/>
    </row>
    <row r="47" spans="1:54" ht="16.5" customHeight="1" x14ac:dyDescent="0.2">
      <c r="A47" s="2"/>
      <c r="B47" s="7"/>
      <c r="C47" s="2179" t="s">
        <v>194</v>
      </c>
      <c r="D47" s="2180"/>
      <c r="E47" s="2177">
        <f>E46-E48</f>
        <v>0</v>
      </c>
      <c r="F47" s="2178"/>
      <c r="G47" s="238">
        <f>G46-G48</f>
        <v>0</v>
      </c>
      <c r="H47" s="652">
        <f>H46-H48</f>
        <v>0</v>
      </c>
      <c r="I47" s="2"/>
      <c r="J47" s="2"/>
      <c r="K47" s="654">
        <f>K46-K48</f>
        <v>0</v>
      </c>
      <c r="L47" s="2"/>
      <c r="M47" s="2"/>
      <c r="N47" s="654">
        <f>N46-N48</f>
        <v>0</v>
      </c>
      <c r="O47" s="2"/>
      <c r="P47" s="2"/>
      <c r="Q47" s="12"/>
      <c r="R47" s="2"/>
      <c r="S47" s="591"/>
      <c r="T47" s="591"/>
      <c r="U47" s="591"/>
      <c r="V47" s="591"/>
      <c r="W47" s="591"/>
      <c r="X47" s="591"/>
      <c r="Y47" s="591"/>
      <c r="Z47" s="591"/>
      <c r="AA47" s="591"/>
      <c r="AB47" s="591"/>
      <c r="AC47" s="591"/>
      <c r="AD47" s="591"/>
      <c r="AE47" s="591"/>
      <c r="AF47" s="591"/>
      <c r="AG47" s="591"/>
      <c r="AH47" s="591"/>
      <c r="AI47" s="591"/>
      <c r="AJ47" s="591"/>
      <c r="AK47" s="591"/>
      <c r="AL47" s="591"/>
      <c r="AM47" s="591"/>
      <c r="AN47" s="591"/>
      <c r="AO47" s="591"/>
      <c r="AP47" s="591"/>
      <c r="AQ47" s="591"/>
      <c r="AR47" s="591"/>
      <c r="AS47" s="591"/>
      <c r="AT47" s="591"/>
      <c r="AU47" s="591"/>
      <c r="AV47" s="591"/>
      <c r="AW47" s="591"/>
      <c r="AX47" s="591"/>
      <c r="AY47" s="591"/>
      <c r="AZ47" s="2"/>
      <c r="BA47" s="2"/>
      <c r="BB47" s="591"/>
    </row>
    <row r="48" spans="1:54" ht="16.5" customHeight="1" x14ac:dyDescent="0.2">
      <c r="A48" s="2"/>
      <c r="B48" s="7"/>
      <c r="C48" s="2070" t="s">
        <v>195</v>
      </c>
      <c r="D48" s="2071"/>
      <c r="E48" s="2181">
        <f>IF(I163=0,0,SUM(G48:H48)+K48+N48-SUMIF(G42:N42,K134,G48:N48))</f>
        <v>0</v>
      </c>
      <c r="F48" s="2182"/>
      <c r="G48" s="239">
        <f>IF(AND(C61=1,G63&lt;&gt;0),G87,IF(G152=0,SUM(R8:R38)-SUMIF($E8:$E38,$V4,R8:R38)+VLOOKUP(G1,IMPOSTAZIONI!$B$419:$AK$425,$E$149,FALSE),G98))</f>
        <v>0</v>
      </c>
      <c r="H48" s="653">
        <f>IF(AND(C61=1,H63&lt;&gt;0),H87,IF(H152=0,SUM(S8:S38)-SUMIF($E8:$E38,$V4,S8:S38)+VLOOKUP(H1,IMPOSTAZIONI!$B$419:$AK$425,$E$149,FALSE),H98))</f>
        <v>0</v>
      </c>
      <c r="I48" s="59"/>
      <c r="J48" s="139"/>
      <c r="K48" s="655">
        <f>IF(AND(C61=1,K63&lt;&gt;0),I87,IF(I152=0,SUM(T8:T38)-SUMIF($E8:$E38,$V4,T8:T38)+VLOOKUP(K1,IMPOSTAZIONI!$B$419:$AK$425,$E$149,FALSE),K98))</f>
        <v>0</v>
      </c>
      <c r="L48" s="59"/>
      <c r="M48" s="139"/>
      <c r="N48" s="655">
        <f>IF(AND(C61=1,N63&lt;&gt;0),K87,IF(J152=0,SUM(U8:U38)-SUMIF($E8:$E38,$V4,U8:U38)+VLOOKUP(N1,IMPOSTAZIONI!$B$419:$AK$425,$E$149,FALSE),N98))</f>
        <v>0</v>
      </c>
      <c r="O48" s="2"/>
      <c r="P48" s="2"/>
      <c r="Q48" s="13"/>
      <c r="R48" s="2"/>
      <c r="S48" s="591"/>
      <c r="T48" s="591"/>
      <c r="U48" s="591"/>
      <c r="V48" s="591"/>
      <c r="W48" s="591"/>
      <c r="X48" s="591"/>
      <c r="Y48" s="591"/>
      <c r="Z48" s="591"/>
      <c r="AA48" s="591"/>
      <c r="AB48" s="591"/>
      <c r="AC48" s="591"/>
      <c r="AD48" s="591"/>
      <c r="AE48" s="591"/>
      <c r="AF48" s="591"/>
      <c r="AG48" s="591"/>
      <c r="AH48" s="591"/>
      <c r="AI48" s="591"/>
      <c r="AJ48" s="591"/>
      <c r="AK48" s="591"/>
      <c r="AL48" s="591"/>
      <c r="AM48" s="591"/>
      <c r="AN48" s="591"/>
      <c r="AO48" s="591"/>
      <c r="AP48" s="591"/>
      <c r="AQ48" s="591"/>
      <c r="AR48" s="591"/>
      <c r="AS48" s="591"/>
      <c r="AT48" s="591"/>
      <c r="AU48" s="591"/>
      <c r="AV48" s="591"/>
      <c r="AW48" s="591"/>
      <c r="AX48" s="591"/>
      <c r="AY48" s="591"/>
      <c r="AZ48" s="2"/>
      <c r="BA48" s="2"/>
      <c r="BB48" s="591"/>
    </row>
    <row r="49" spans="1:54" ht="37.5" customHeight="1" x14ac:dyDescent="0.2">
      <c r="A49" s="2"/>
      <c r="B49" s="2"/>
      <c r="C49" s="14"/>
      <c r="D49" s="14"/>
      <c r="E49" s="12"/>
      <c r="F49" s="12"/>
      <c r="G49" s="11"/>
      <c r="H49" s="11"/>
      <c r="I49" s="12"/>
      <c r="J49" s="12"/>
      <c r="K49" s="11"/>
      <c r="L49" s="12"/>
      <c r="M49" s="12"/>
      <c r="N49" s="11"/>
      <c r="O49" s="12"/>
      <c r="P49" s="12"/>
      <c r="Q49" s="12"/>
      <c r="R49" s="12"/>
      <c r="S49" s="1308"/>
      <c r="T49" s="1308"/>
      <c r="U49" s="591"/>
      <c r="V49" s="591"/>
      <c r="W49" s="591"/>
      <c r="X49" s="591"/>
      <c r="Y49" s="591"/>
      <c r="Z49" s="591"/>
      <c r="AA49" s="591"/>
      <c r="AB49" s="591"/>
      <c r="AC49" s="591"/>
      <c r="AD49" s="591"/>
      <c r="AE49" s="591"/>
      <c r="AF49" s="591"/>
      <c r="AG49" s="591"/>
      <c r="AH49" s="591"/>
      <c r="AI49" s="591"/>
      <c r="AJ49" s="591"/>
      <c r="AK49" s="591"/>
      <c r="AL49" s="591"/>
      <c r="AM49" s="591"/>
      <c r="AN49" s="591"/>
      <c r="AO49" s="591"/>
      <c r="AP49" s="591"/>
      <c r="AQ49" s="591"/>
      <c r="AR49" s="591"/>
      <c r="AS49" s="591"/>
      <c r="AT49" s="591"/>
      <c r="AU49" s="591"/>
      <c r="AV49" s="591"/>
      <c r="AW49" s="591"/>
      <c r="AX49" s="591"/>
      <c r="AY49" s="591"/>
      <c r="AZ49" s="2"/>
      <c r="BA49" s="2"/>
      <c r="BB49" s="591"/>
    </row>
    <row r="50" spans="1:54" ht="18.75" customHeight="1" x14ac:dyDescent="0.2">
      <c r="A50" s="2"/>
      <c r="B50" s="2"/>
      <c r="C50" s="2174" t="s">
        <v>196</v>
      </c>
      <c r="D50" s="2174"/>
      <c r="E50" s="2174"/>
      <c r="F50" s="96"/>
      <c r="G50" s="2225" t="s">
        <v>488</v>
      </c>
      <c r="H50" s="2226"/>
      <c r="I50" s="2226"/>
      <c r="J50" s="2226"/>
      <c r="K50" s="2226"/>
      <c r="L50" s="2226"/>
      <c r="M50" s="2227"/>
      <c r="N50" s="656"/>
      <c r="O50" s="656"/>
      <c r="P50" s="14"/>
      <c r="Q50" s="2"/>
      <c r="R50" s="15"/>
      <c r="S50" s="1309"/>
      <c r="T50" s="591"/>
      <c r="U50" s="591"/>
      <c r="V50" s="591"/>
      <c r="W50" s="591"/>
      <c r="X50" s="591"/>
      <c r="Y50" s="591"/>
      <c r="Z50" s="1308"/>
      <c r="AA50" s="1309"/>
      <c r="AB50" s="591"/>
      <c r="AC50" s="591"/>
      <c r="AD50" s="591"/>
      <c r="AE50" s="591"/>
      <c r="AF50" s="591"/>
      <c r="AG50" s="591"/>
      <c r="AH50" s="591"/>
      <c r="AI50" s="591"/>
      <c r="AJ50" s="591"/>
      <c r="AK50" s="591"/>
      <c r="AL50" s="591"/>
      <c r="AM50" s="591"/>
      <c r="AN50" s="591"/>
      <c r="AO50" s="591"/>
      <c r="AP50" s="591"/>
      <c r="AQ50" s="591"/>
      <c r="AR50" s="591"/>
      <c r="AS50" s="591"/>
      <c r="AT50" s="591"/>
      <c r="AU50" s="591"/>
      <c r="AV50" s="591"/>
      <c r="AW50" s="591"/>
      <c r="AX50" s="591"/>
      <c r="AY50" s="591"/>
      <c r="AZ50" s="2"/>
      <c r="BA50" s="2"/>
      <c r="BB50" s="591"/>
    </row>
    <row r="51" spans="1:54" ht="16.5" customHeight="1" x14ac:dyDescent="0.25">
      <c r="A51" s="2"/>
      <c r="B51" s="2"/>
      <c r="C51" s="2126" t="s">
        <v>197</v>
      </c>
      <c r="D51" s="2127"/>
      <c r="E51" s="2128"/>
      <c r="F51" s="554"/>
      <c r="G51" s="293" t="str">
        <f>VLOOKUP(M3,K144:M148,3,FALSE)</f>
        <v>IVA a debito</v>
      </c>
      <c r="H51" s="294" t="str">
        <f>VLOOKUP(M3,K144:O148,5,FALSE)</f>
        <v>IVA a credito</v>
      </c>
      <c r="I51" s="2214" t="s">
        <v>200</v>
      </c>
      <c r="J51" s="2215"/>
      <c r="K51" s="1303" t="s">
        <v>201</v>
      </c>
      <c r="L51" s="2214" t="s">
        <v>71</v>
      </c>
      <c r="M51" s="2215"/>
      <c r="N51" s="14"/>
      <c r="O51" s="14"/>
      <c r="P51" s="14"/>
      <c r="Q51" s="12"/>
      <c r="R51" s="2"/>
      <c r="S51" s="591"/>
      <c r="T51" s="591"/>
      <c r="U51" s="591"/>
      <c r="V51" s="591"/>
      <c r="W51" s="591"/>
      <c r="X51" s="591"/>
      <c r="Y51" s="591"/>
      <c r="Z51" s="591"/>
      <c r="AA51" s="591"/>
      <c r="AB51" s="591"/>
      <c r="AC51" s="591"/>
      <c r="AD51" s="591"/>
      <c r="AE51" s="591"/>
      <c r="AF51" s="591"/>
      <c r="AG51" s="591"/>
      <c r="AH51" s="591"/>
      <c r="AI51" s="591"/>
      <c r="AJ51" s="591"/>
      <c r="AK51" s="591"/>
      <c r="AL51" s="591"/>
      <c r="AM51" s="591"/>
      <c r="AN51" s="591"/>
      <c r="AO51" s="591"/>
      <c r="AP51" s="591"/>
      <c r="AQ51" s="591"/>
      <c r="AR51" s="591"/>
      <c r="AS51" s="591"/>
      <c r="AT51" s="591"/>
      <c r="AU51" s="591"/>
      <c r="AV51" s="591"/>
      <c r="AW51" s="591"/>
      <c r="AX51" s="591"/>
      <c r="AY51" s="591"/>
      <c r="AZ51" s="2"/>
      <c r="BA51" s="2"/>
      <c r="BB51" s="591"/>
    </row>
    <row r="52" spans="1:54" ht="16.5" customHeight="1" x14ac:dyDescent="0.2">
      <c r="A52" s="2"/>
      <c r="B52" s="2"/>
      <c r="C52" s="2129"/>
      <c r="D52" s="2130"/>
      <c r="E52" s="2131"/>
      <c r="F52" s="576"/>
      <c r="G52" s="295" t="str">
        <f>VLOOKUP(M3,K144:N148,4,FALSE)</f>
        <v>corrispettivi</v>
      </c>
      <c r="H52" s="296" t="str">
        <f>VLOOKUP(M3,K144:P148,6,FALSE)</f>
        <v>ACQUISTI</v>
      </c>
      <c r="I52" s="2212" t="s">
        <v>201</v>
      </c>
      <c r="J52" s="2213"/>
      <c r="K52" s="1304" t="s">
        <v>204</v>
      </c>
      <c r="L52" s="2212" t="s">
        <v>205</v>
      </c>
      <c r="M52" s="2213"/>
      <c r="N52" s="14"/>
      <c r="O52" s="14"/>
      <c r="P52" s="14"/>
      <c r="Q52" s="12"/>
      <c r="R52" s="2"/>
      <c r="S52" s="591"/>
      <c r="T52" s="591"/>
      <c r="U52" s="591"/>
      <c r="V52" s="591"/>
      <c r="W52" s="591"/>
      <c r="X52" s="591"/>
      <c r="Y52" s="591"/>
      <c r="Z52" s="591"/>
      <c r="AA52" s="591"/>
      <c r="AB52" s="591"/>
      <c r="AC52" s="591"/>
      <c r="AD52" s="591"/>
      <c r="AE52" s="591"/>
      <c r="AF52" s="591"/>
      <c r="AG52" s="591"/>
      <c r="AH52" s="591"/>
      <c r="AI52" s="591"/>
      <c r="AJ52" s="591"/>
      <c r="AK52" s="591"/>
      <c r="AL52" s="591"/>
      <c r="AM52" s="591"/>
      <c r="AN52" s="591"/>
      <c r="AO52" s="591"/>
      <c r="AP52" s="591"/>
      <c r="AQ52" s="591"/>
      <c r="AR52" s="591"/>
      <c r="AS52" s="591"/>
      <c r="AT52" s="591"/>
      <c r="AU52" s="591"/>
      <c r="AV52" s="591"/>
      <c r="AW52" s="591"/>
      <c r="AX52" s="591"/>
      <c r="AY52" s="591"/>
      <c r="AZ52" s="2"/>
      <c r="BA52" s="2"/>
      <c r="BB52" s="591"/>
    </row>
    <row r="53" spans="1:54" ht="16.5" customHeight="1" x14ac:dyDescent="0.2">
      <c r="A53" s="2"/>
      <c r="B53" s="2"/>
      <c r="C53" s="2132" t="s">
        <v>816</v>
      </c>
      <c r="D53" s="2133"/>
      <c r="E53" s="2134"/>
      <c r="F53" s="554"/>
      <c r="G53" s="2045">
        <f>E48</f>
        <v>0</v>
      </c>
      <c r="H53" s="2047"/>
      <c r="I53" s="2066">
        <f>G53+H53</f>
        <v>0</v>
      </c>
      <c r="J53" s="2067"/>
      <c r="K53" s="2183"/>
      <c r="L53" s="2066">
        <f>I53+K53</f>
        <v>0</v>
      </c>
      <c r="M53" s="2067"/>
      <c r="N53" s="14"/>
      <c r="O53" s="14"/>
      <c r="P53" s="14"/>
      <c r="Q53" s="12"/>
      <c r="R53" s="2"/>
      <c r="S53" s="591"/>
      <c r="T53" s="591"/>
      <c r="U53" s="591"/>
      <c r="V53" s="591"/>
      <c r="W53" s="591"/>
      <c r="X53" s="591"/>
      <c r="Y53" s="591"/>
      <c r="Z53" s="591"/>
      <c r="AA53" s="591"/>
      <c r="AB53" s="591"/>
      <c r="AC53" s="591"/>
      <c r="AD53" s="591"/>
      <c r="AE53" s="591"/>
      <c r="AF53" s="591"/>
      <c r="AG53" s="591"/>
      <c r="AH53" s="591"/>
      <c r="AI53" s="591"/>
      <c r="AJ53" s="591"/>
      <c r="AK53" s="591"/>
      <c r="AL53" s="591"/>
      <c r="AM53" s="591"/>
      <c r="AN53" s="591"/>
      <c r="AO53" s="591"/>
      <c r="AP53" s="591"/>
      <c r="AQ53" s="591"/>
      <c r="AR53" s="591"/>
      <c r="AS53" s="591"/>
      <c r="AT53" s="591"/>
      <c r="AU53" s="591"/>
      <c r="AV53" s="591"/>
      <c r="AW53" s="591"/>
      <c r="AX53" s="591"/>
      <c r="AY53" s="591"/>
      <c r="AZ53" s="2"/>
      <c r="BA53" s="2"/>
      <c r="BB53" s="591"/>
    </row>
    <row r="54" spans="1:54" ht="16.5" customHeight="1" x14ac:dyDescent="0.2">
      <c r="A54" s="2"/>
      <c r="B54" s="2"/>
      <c r="C54" s="2042"/>
      <c r="D54" s="2043"/>
      <c r="E54" s="2044"/>
      <c r="F54" s="577"/>
      <c r="G54" s="2046"/>
      <c r="H54" s="2048"/>
      <c r="I54" s="2068"/>
      <c r="J54" s="2069"/>
      <c r="K54" s="2184"/>
      <c r="L54" s="2068"/>
      <c r="M54" s="2069"/>
      <c r="N54" s="14"/>
      <c r="O54" s="14"/>
      <c r="P54" s="14"/>
      <c r="Q54" s="12"/>
      <c r="R54" s="2"/>
      <c r="S54" s="591"/>
      <c r="T54" s="591"/>
      <c r="U54" s="591"/>
      <c r="V54" s="591"/>
      <c r="W54" s="591"/>
      <c r="X54" s="591"/>
      <c r="Y54" s="591"/>
      <c r="Z54" s="591"/>
      <c r="AA54" s="591"/>
      <c r="AB54" s="591"/>
      <c r="AC54" s="591"/>
      <c r="AD54" s="591"/>
      <c r="AE54" s="591"/>
      <c r="AF54" s="591"/>
      <c r="AG54" s="591"/>
      <c r="AH54" s="591"/>
      <c r="AI54" s="591"/>
      <c r="AJ54" s="591"/>
      <c r="AK54" s="591"/>
      <c r="AL54" s="591"/>
      <c r="AM54" s="591"/>
      <c r="AN54" s="591"/>
      <c r="AO54" s="591"/>
      <c r="AP54" s="591"/>
      <c r="AQ54" s="591"/>
      <c r="AR54" s="591"/>
      <c r="AS54" s="591"/>
      <c r="AT54" s="591"/>
      <c r="AU54" s="591"/>
      <c r="AV54" s="591"/>
      <c r="AW54" s="591"/>
      <c r="AX54" s="591"/>
      <c r="AY54" s="591"/>
      <c r="AZ54" s="2"/>
      <c r="BA54" s="2"/>
      <c r="BB54" s="591"/>
    </row>
    <row r="55" spans="1:54" ht="16.5" customHeight="1" x14ac:dyDescent="0.2">
      <c r="A55" s="2"/>
      <c r="B55" s="2"/>
      <c r="C55" s="2132" t="s">
        <v>815</v>
      </c>
      <c r="D55" s="2133"/>
      <c r="E55" s="2134"/>
      <c r="F55" s="555"/>
      <c r="G55" s="16" t="s">
        <v>206</v>
      </c>
      <c r="H55" s="890" t="s">
        <v>207</v>
      </c>
      <c r="I55" s="2120" t="str">
        <f>VLOOKUP(M3,K144:Q148,7,FALSE)</f>
        <v>DEBITO +</v>
      </c>
      <c r="J55" s="2121"/>
      <c r="K55" s="891" t="s">
        <v>208</v>
      </c>
      <c r="L55" s="2120" t="str">
        <f>VLOOKUP(M3,K144:T148,9,FALSE)</f>
        <v>DEBITO +</v>
      </c>
      <c r="M55" s="2121"/>
      <c r="N55" s="14"/>
      <c r="O55" s="14"/>
      <c r="P55" s="12"/>
      <c r="Q55" s="2"/>
      <c r="R55" s="2"/>
      <c r="S55" s="591"/>
      <c r="T55" s="591"/>
      <c r="U55" s="591"/>
      <c r="V55" s="591"/>
      <c r="W55" s="591"/>
      <c r="X55" s="591"/>
      <c r="Y55" s="591"/>
      <c r="Z55" s="591"/>
      <c r="AA55" s="591"/>
      <c r="AB55" s="591"/>
      <c r="AC55" s="591"/>
      <c r="AD55" s="591"/>
      <c r="AE55" s="591"/>
      <c r="AF55" s="591"/>
      <c r="AG55" s="591"/>
      <c r="AH55" s="591"/>
      <c r="AI55" s="591"/>
      <c r="AJ55" s="591"/>
      <c r="AK55" s="591"/>
      <c r="AL55" s="591"/>
      <c r="AM55" s="591"/>
      <c r="AN55" s="591"/>
      <c r="AO55" s="591"/>
      <c r="AP55" s="591"/>
      <c r="AQ55" s="591"/>
      <c r="AR55" s="591"/>
      <c r="AS55" s="591"/>
      <c r="AT55" s="591"/>
      <c r="AU55" s="591"/>
      <c r="AV55" s="591"/>
      <c r="AW55" s="591"/>
      <c r="AX55" s="591"/>
      <c r="AY55" s="591"/>
      <c r="AZ55" s="2"/>
      <c r="BA55" s="2"/>
      <c r="BB55" s="591"/>
    </row>
    <row r="56" spans="1:54" ht="16.5" customHeight="1" x14ac:dyDescent="0.2">
      <c r="A56" s="2"/>
      <c r="B56" s="2"/>
      <c r="C56" s="2138"/>
      <c r="D56" s="2139"/>
      <c r="E56" s="1215"/>
      <c r="F56" s="514"/>
      <c r="G56" s="97"/>
      <c r="H56" s="14"/>
      <c r="I56" s="2123" t="str">
        <f>VLOOKUP(M3,K144:R148,8,FALSE)</f>
        <v>CREDITO -</v>
      </c>
      <c r="J56" s="2124"/>
      <c r="K56" s="14"/>
      <c r="L56" s="2123" t="str">
        <f>VLOOKUP(M3,K144:T148,10,FALSE)</f>
        <v>CREDITO -</v>
      </c>
      <c r="M56" s="2124"/>
      <c r="N56" s="14"/>
      <c r="O56" s="2122"/>
      <c r="P56" s="2122"/>
      <c r="Q56" s="14"/>
      <c r="R56" s="2"/>
      <c r="S56" s="591"/>
      <c r="T56" s="591"/>
      <c r="U56" s="591"/>
      <c r="V56" s="591"/>
      <c r="W56" s="591"/>
      <c r="X56" s="591"/>
      <c r="Y56" s="591"/>
      <c r="Z56" s="591"/>
      <c r="AA56" s="591"/>
      <c r="AB56" s="591"/>
      <c r="AC56" s="591"/>
      <c r="AD56" s="591"/>
      <c r="AE56" s="591"/>
      <c r="AF56" s="591"/>
      <c r="AG56" s="591"/>
      <c r="AH56" s="591"/>
      <c r="AI56" s="591"/>
      <c r="AJ56" s="591"/>
      <c r="AK56" s="591"/>
      <c r="AL56" s="591"/>
      <c r="AM56" s="591"/>
      <c r="AN56" s="591"/>
      <c r="AO56" s="591"/>
      <c r="AP56" s="591"/>
      <c r="AQ56" s="591"/>
      <c r="AR56" s="591"/>
      <c r="AS56" s="591"/>
      <c r="AT56" s="591"/>
      <c r="AU56" s="591"/>
      <c r="AV56" s="591"/>
      <c r="AW56" s="591"/>
      <c r="AX56" s="591"/>
      <c r="AY56" s="591"/>
      <c r="AZ56" s="2"/>
      <c r="BA56" s="2"/>
      <c r="BB56" s="591"/>
    </row>
    <row r="57" spans="1:54" ht="30" customHeight="1" x14ac:dyDescent="0.2">
      <c r="A57" s="2"/>
      <c r="B57" s="17"/>
      <c r="C57" s="2144" t="s">
        <v>346</v>
      </c>
      <c r="D57" s="2144"/>
      <c r="E57" s="2145"/>
      <c r="F57" s="2145"/>
      <c r="G57" s="892" t="s">
        <v>347</v>
      </c>
      <c r="H57" s="892"/>
      <c r="I57" s="892"/>
      <c r="J57" s="892"/>
      <c r="K57" s="892"/>
      <c r="L57" s="892"/>
      <c r="M57" s="892"/>
      <c r="N57" s="892"/>
      <c r="O57" s="2211" t="s">
        <v>405</v>
      </c>
      <c r="P57" s="2211"/>
      <c r="Q57" s="255"/>
      <c r="R57" s="255"/>
      <c r="S57" s="1307"/>
      <c r="T57" s="1307"/>
      <c r="U57" s="591"/>
      <c r="V57" s="591"/>
      <c r="W57" s="591"/>
      <c r="X57" s="591"/>
      <c r="Y57" s="591"/>
      <c r="Z57" s="591"/>
      <c r="AA57" s="1307"/>
      <c r="AB57" s="1307"/>
      <c r="AC57" s="591"/>
      <c r="AD57" s="591"/>
      <c r="AE57" s="591"/>
      <c r="AF57" s="591"/>
      <c r="AG57" s="591"/>
      <c r="AH57" s="591"/>
      <c r="AI57" s="591"/>
      <c r="AJ57" s="591"/>
      <c r="AK57" s="591"/>
      <c r="AL57" s="591"/>
      <c r="AM57" s="591"/>
      <c r="AN57" s="591"/>
      <c r="AO57" s="591"/>
      <c r="AP57" s="591"/>
      <c r="AQ57" s="591"/>
      <c r="AR57" s="591"/>
      <c r="AS57" s="591"/>
      <c r="AT57" s="591"/>
      <c r="AU57" s="591"/>
      <c r="AV57" s="591"/>
      <c r="AW57" s="591"/>
      <c r="AX57" s="591"/>
      <c r="AY57" s="591"/>
      <c r="AZ57" s="2"/>
      <c r="BA57" s="2"/>
      <c r="BB57" s="591"/>
    </row>
    <row r="58" spans="1:54" ht="24.75" customHeight="1" x14ac:dyDescent="0.2">
      <c r="A58" s="2"/>
      <c r="B58" s="2"/>
      <c r="C58" s="2143">
        <f>IMPOSTAZIONI!T73</f>
        <v>0</v>
      </c>
      <c r="D58" s="2143"/>
      <c r="E58" s="2143"/>
      <c r="F58" s="2143"/>
      <c r="G58" s="893" t="str">
        <f>IMPOSTAZIONI!Y75</f>
        <v>Indirizzo esteso UBICAZIONE dell' Esercizio (facoltativo)</v>
      </c>
      <c r="H58" s="893"/>
      <c r="I58" s="893"/>
      <c r="J58" s="893"/>
      <c r="K58" s="893"/>
      <c r="L58" s="893"/>
      <c r="M58" s="893"/>
      <c r="N58" s="893"/>
      <c r="O58" s="1113" t="s">
        <v>344</v>
      </c>
      <c r="P58" s="2119">
        <v>8</v>
      </c>
      <c r="Q58" s="2119"/>
      <c r="R58" s="14"/>
      <c r="S58" s="591"/>
      <c r="T58" s="591"/>
      <c r="U58" s="591"/>
      <c r="V58" s="591"/>
      <c r="W58" s="591"/>
      <c r="X58" s="591"/>
      <c r="Y58" s="591"/>
      <c r="Z58" s="591"/>
      <c r="AA58" s="591"/>
      <c r="AB58" s="591"/>
      <c r="AC58" s="591"/>
      <c r="AD58" s="591"/>
      <c r="AE58" s="591"/>
      <c r="AF58" s="591"/>
      <c r="AG58" s="591"/>
      <c r="AH58" s="591"/>
      <c r="AI58" s="591"/>
      <c r="AJ58" s="591"/>
      <c r="AK58" s="591"/>
      <c r="AL58" s="591"/>
      <c r="AM58" s="591"/>
      <c r="AN58" s="591"/>
      <c r="AO58" s="591"/>
      <c r="AP58" s="591"/>
      <c r="AQ58" s="591"/>
      <c r="AR58" s="591"/>
      <c r="AS58" s="591"/>
      <c r="AT58" s="591"/>
      <c r="AU58" s="591"/>
      <c r="AV58" s="591"/>
      <c r="AW58" s="591"/>
      <c r="AX58" s="591"/>
      <c r="AY58" s="591"/>
      <c r="AZ58" s="2"/>
      <c r="BA58" s="2"/>
      <c r="BB58" s="591"/>
    </row>
    <row r="59" spans="1:54" ht="15.75" customHeight="1" x14ac:dyDescent="0.2">
      <c r="A59" s="2"/>
      <c r="B59" s="2"/>
      <c r="C59" s="2146" t="s">
        <v>248</v>
      </c>
      <c r="D59" s="2146"/>
      <c r="E59" s="2146"/>
      <c r="F59" s="2"/>
      <c r="G59" s="2"/>
      <c r="H59" s="2"/>
      <c r="I59" s="2"/>
      <c r="J59" s="2"/>
      <c r="K59" s="2"/>
      <c r="L59" s="2"/>
      <c r="M59" s="2"/>
      <c r="N59" s="2"/>
      <c r="O59" s="2"/>
      <c r="P59" s="2"/>
      <c r="Q59" s="2"/>
      <c r="R59" s="2"/>
      <c r="S59" s="591"/>
      <c r="T59" s="591"/>
      <c r="U59" s="591"/>
      <c r="V59" s="591"/>
      <c r="W59" s="591"/>
      <c r="X59" s="591"/>
      <c r="Y59" s="591"/>
      <c r="Z59" s="591"/>
      <c r="AA59" s="591"/>
      <c r="AB59" s="591"/>
      <c r="AC59" s="591"/>
      <c r="AD59" s="591"/>
      <c r="AE59" s="591"/>
      <c r="AF59" s="591"/>
      <c r="AG59" s="591"/>
      <c r="AH59" s="591"/>
      <c r="AI59" s="591"/>
      <c r="AJ59" s="591"/>
      <c r="AK59" s="591"/>
      <c r="AL59" s="591"/>
      <c r="AM59" s="591"/>
      <c r="AN59" s="591"/>
      <c r="AO59" s="591"/>
      <c r="AP59" s="591"/>
      <c r="AQ59" s="591"/>
      <c r="AR59" s="591"/>
      <c r="AS59" s="591"/>
      <c r="AT59" s="591"/>
      <c r="AU59" s="591"/>
      <c r="AV59" s="591"/>
      <c r="AW59" s="591"/>
      <c r="AX59" s="591"/>
      <c r="AY59" s="591"/>
      <c r="AZ59" s="591"/>
      <c r="BA59" s="591"/>
      <c r="BB59" s="591"/>
    </row>
    <row r="60" spans="1:54" ht="15" hidden="1" customHeight="1" x14ac:dyDescent="0.2">
      <c r="A60" s="2"/>
      <c r="B60" s="2"/>
      <c r="C60" s="2"/>
      <c r="D60" s="2"/>
      <c r="E60" s="2"/>
      <c r="F60" s="2"/>
      <c r="G60" s="2"/>
      <c r="H60" s="2"/>
      <c r="I60" s="2"/>
      <c r="J60" s="2"/>
      <c r="K60" s="2"/>
      <c r="L60" s="2"/>
      <c r="M60" s="2"/>
      <c r="N60" s="2"/>
      <c r="O60" s="2"/>
      <c r="P60" s="1012" t="s">
        <v>765</v>
      </c>
      <c r="Q60" s="2"/>
      <c r="R60" s="2"/>
      <c r="S60" s="591"/>
      <c r="T60" s="591"/>
      <c r="U60" s="591"/>
      <c r="V60" s="591"/>
      <c r="W60" s="591"/>
      <c r="X60" s="591"/>
      <c r="Y60" s="591"/>
      <c r="Z60" s="591"/>
      <c r="AA60" s="591"/>
      <c r="AB60" s="591"/>
      <c r="AC60" s="591"/>
      <c r="AD60" s="591"/>
      <c r="AE60" s="591"/>
      <c r="AF60" s="591"/>
      <c r="AG60" s="591"/>
      <c r="AH60" s="591"/>
      <c r="AI60" s="591"/>
      <c r="AJ60" s="591"/>
      <c r="AK60" s="591"/>
      <c r="AL60" s="591"/>
      <c r="AM60" s="591"/>
      <c r="AN60" s="591"/>
      <c r="AO60" s="591"/>
      <c r="AP60" s="591"/>
      <c r="AQ60" s="591"/>
      <c r="AR60" s="591"/>
      <c r="AS60" s="591"/>
      <c r="AT60" s="591"/>
      <c r="AU60" s="591"/>
      <c r="AV60" s="591"/>
      <c r="AW60" s="591"/>
      <c r="AX60" s="591"/>
      <c r="AY60" s="591"/>
      <c r="AZ60" s="591"/>
      <c r="BA60" s="591"/>
      <c r="BB60" s="591"/>
    </row>
    <row r="61" spans="1:54" ht="16.5" hidden="1" customHeight="1" x14ac:dyDescent="0.2">
      <c r="A61" s="2"/>
      <c r="B61" s="2"/>
      <c r="C61" s="1369">
        <f>IF(M3=K147,0,IF(T65=0,0,IF(E8=CONCATENATE(L131,"  "),0,IF(COUNTIF(G62:N62,$L$134)&gt;0,1,0))))</f>
        <v>0</v>
      </c>
      <c r="D61" s="1369">
        <f>IMPOSTAZIONI!H35</f>
        <v>0</v>
      </c>
      <c r="E61" s="2"/>
      <c r="F61" s="2"/>
      <c r="G61" s="1010" t="str">
        <f>IMPOSTAZIONI!$I$19</f>
        <v>Colonna 1</v>
      </c>
      <c r="H61" s="1010" t="str">
        <f>IMPOSTAZIONI!$M$19</f>
        <v>Colonna 2</v>
      </c>
      <c r="I61" s="101"/>
      <c r="J61" s="101"/>
      <c r="K61" s="1010" t="str">
        <f>IMPOSTAZIONI!$U$19</f>
        <v>Colonna 3</v>
      </c>
      <c r="L61" s="101"/>
      <c r="M61" s="101"/>
      <c r="N61" s="1010" t="str">
        <f>IMPOSTAZIONI!$AC$19</f>
        <v>Colonna 4</v>
      </c>
      <c r="O61" s="2"/>
      <c r="P61" s="1013" t="s">
        <v>766</v>
      </c>
      <c r="Q61" s="2"/>
      <c r="R61" s="2"/>
      <c r="S61" s="591"/>
      <c r="T61" s="591"/>
      <c r="U61" s="591"/>
      <c r="V61" s="591"/>
      <c r="W61" s="591"/>
      <c r="X61" s="591"/>
      <c r="Y61" s="591"/>
      <c r="Z61" s="591"/>
      <c r="AA61" s="591"/>
      <c r="AB61" s="591"/>
      <c r="AC61" s="591"/>
      <c r="AD61" s="591"/>
      <c r="AE61" s="591"/>
      <c r="AF61" s="591"/>
      <c r="AG61" s="591"/>
      <c r="AH61" s="591"/>
      <c r="AI61" s="591"/>
      <c r="AJ61" s="591"/>
      <c r="AK61" s="591"/>
      <c r="AL61" s="591"/>
      <c r="AM61" s="591"/>
      <c r="AN61" s="591"/>
      <c r="AO61" s="591"/>
      <c r="AP61" s="591"/>
      <c r="AQ61" s="591"/>
      <c r="AR61" s="591"/>
      <c r="AS61" s="591"/>
      <c r="AT61" s="591"/>
      <c r="AU61" s="591"/>
      <c r="AV61" s="591"/>
      <c r="AW61" s="591"/>
      <c r="AX61" s="591"/>
      <c r="AY61" s="591"/>
      <c r="AZ61" s="591"/>
      <c r="BA61" s="591"/>
      <c r="BB61" s="591"/>
    </row>
    <row r="62" spans="1:54" ht="20.25" hidden="1" customHeight="1" x14ac:dyDescent="0.2">
      <c r="A62" s="2"/>
      <c r="B62" s="2"/>
      <c r="C62" s="2"/>
      <c r="D62" s="2"/>
      <c r="E62" s="2"/>
      <c r="F62" s="2"/>
      <c r="G62" s="1011" t="str">
        <f>IF(IMPOSTAZIONI!$I$35=0,$L$135,IMPOSTAZIONI!$I$35)</f>
        <v>SCORPORO</v>
      </c>
      <c r="H62" s="1011" t="str">
        <f>IF(IMPOSTAZIONI!$M$35=0,$L$135,IMPOSTAZIONI!$M$35)</f>
        <v>SCORPORO</v>
      </c>
      <c r="I62" s="101"/>
      <c r="J62" s="101"/>
      <c r="K62" s="1011" t="str">
        <f>IF(IMPOSTAZIONI!$U$35=0,$L$135,IMPOSTAZIONI!$U$35)</f>
        <v>SCORPORO</v>
      </c>
      <c r="L62" s="101"/>
      <c r="M62" s="101"/>
      <c r="N62" s="1011" t="str">
        <f>IF(IMPOSTAZIONI!$AC$35=0,$L$135,IMPOSTAZIONI!$AC$35)</f>
        <v>SCORPORO</v>
      </c>
      <c r="O62" s="2"/>
      <c r="P62" s="2"/>
      <c r="Q62" s="2"/>
      <c r="R62" s="2"/>
      <c r="S62" s="2"/>
      <c r="T62" s="2"/>
      <c r="U62" s="2"/>
      <c r="V62" s="2"/>
      <c r="W62" s="2"/>
      <c r="X62" s="2"/>
      <c r="Y62" s="2"/>
      <c r="Z62" s="2"/>
      <c r="AA62" s="2"/>
      <c r="AB62" s="591"/>
      <c r="AC62" s="591"/>
      <c r="AD62" s="591"/>
      <c r="AE62" s="591"/>
      <c r="AF62" s="591"/>
      <c r="AG62" s="591"/>
      <c r="AH62" s="591"/>
      <c r="AI62" s="591"/>
      <c r="AJ62" s="591"/>
      <c r="AK62" s="591"/>
      <c r="AL62" s="591"/>
      <c r="AM62" s="591"/>
      <c r="AN62" s="591"/>
      <c r="AO62" s="591"/>
      <c r="AP62" s="591"/>
      <c r="AQ62" s="591"/>
      <c r="AR62" s="591"/>
      <c r="AS62" s="591"/>
      <c r="AT62" s="591"/>
      <c r="AU62" s="591"/>
      <c r="AV62" s="591"/>
      <c r="AW62" s="591"/>
      <c r="AX62" s="591"/>
      <c r="AY62" s="591"/>
      <c r="AZ62" s="591"/>
      <c r="BA62" s="591"/>
      <c r="BB62" s="591"/>
    </row>
    <row r="63" spans="1:54" ht="20.25" hidden="1" customHeight="1" x14ac:dyDescent="0.2">
      <c r="A63" s="2"/>
      <c r="B63" s="2"/>
      <c r="C63" s="2"/>
      <c r="D63" s="2"/>
      <c r="E63" s="2"/>
      <c r="F63" s="966" t="s">
        <v>814</v>
      </c>
      <c r="G63" s="965">
        <f>IF(G62=$L134,ROUND(G46,2),0)</f>
        <v>0</v>
      </c>
      <c r="H63" s="964">
        <f>IF(H62=$L134,ROUND(H46,2),0)</f>
        <v>0</v>
      </c>
      <c r="I63" s="2"/>
      <c r="J63" s="2"/>
      <c r="K63" s="963">
        <f>IF(K62=$L134,ROUND(K46,2),0)</f>
        <v>0</v>
      </c>
      <c r="L63" s="2"/>
      <c r="M63" s="2"/>
      <c r="N63" s="963">
        <f>IF(N62=$L134,ROUND(N46,2),0)</f>
        <v>0</v>
      </c>
      <c r="O63" s="2"/>
      <c r="P63" s="2"/>
      <c r="Q63" s="2"/>
      <c r="R63" s="2"/>
      <c r="S63" s="2"/>
      <c r="T63" s="2"/>
      <c r="U63" s="2"/>
      <c r="V63" s="2"/>
      <c r="W63" s="2"/>
      <c r="X63" s="2"/>
      <c r="Y63" s="2"/>
      <c r="Z63" s="2"/>
      <c r="AA63" s="2"/>
      <c r="AB63" s="591"/>
      <c r="AC63" s="591"/>
      <c r="AD63" s="591"/>
      <c r="AE63" s="591"/>
      <c r="AF63" s="591"/>
      <c r="AG63" s="591"/>
      <c r="AH63" s="591"/>
      <c r="AI63" s="591"/>
      <c r="AJ63" s="591"/>
      <c r="AK63" s="591"/>
      <c r="AL63" s="591"/>
      <c r="AM63" s="591"/>
      <c r="AN63" s="591"/>
      <c r="AO63" s="591"/>
      <c r="AP63" s="591"/>
      <c r="AQ63" s="591"/>
      <c r="AR63" s="591"/>
      <c r="AS63" s="591"/>
      <c r="AT63" s="591"/>
      <c r="AU63" s="591"/>
      <c r="AV63" s="591"/>
      <c r="AW63" s="591"/>
      <c r="AX63" s="591"/>
      <c r="AY63" s="591"/>
      <c r="AZ63" s="591"/>
      <c r="BA63" s="591"/>
      <c r="BB63" s="591"/>
    </row>
    <row r="64" spans="1:54" ht="3.75" hidden="1"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591"/>
      <c r="AC64" s="591"/>
      <c r="AD64" s="591"/>
      <c r="AE64" s="591"/>
      <c r="AF64" s="591"/>
      <c r="AG64" s="591"/>
      <c r="AH64" s="591"/>
      <c r="AI64" s="591"/>
      <c r="AJ64" s="591"/>
      <c r="AK64" s="591"/>
      <c r="AL64" s="591"/>
      <c r="AM64" s="591"/>
      <c r="AN64" s="591"/>
      <c r="AO64" s="591"/>
      <c r="AP64" s="591"/>
      <c r="AQ64" s="591"/>
      <c r="AR64" s="591"/>
      <c r="AS64" s="591"/>
      <c r="AT64" s="591"/>
      <c r="AU64" s="591"/>
      <c r="AV64" s="591"/>
      <c r="AW64" s="591"/>
      <c r="AX64" s="591"/>
      <c r="AY64" s="591"/>
      <c r="AZ64" s="591"/>
      <c r="BA64" s="591"/>
      <c r="BB64" s="591"/>
    </row>
    <row r="65" spans="1:54" ht="20.25" hidden="1" customHeight="1" x14ac:dyDescent="0.2">
      <c r="A65" s="2"/>
      <c r="B65" s="2"/>
      <c r="C65" s="2"/>
      <c r="D65" s="2"/>
      <c r="E65" s="2"/>
      <c r="F65" s="966" t="s">
        <v>744</v>
      </c>
      <c r="G65" s="967">
        <f>G63+H63+K63+N63</f>
        <v>0</v>
      </c>
      <c r="H65" s="1114" t="str">
        <f>IF(M3=K147,"",CONCATENATE("VENTILAZIONE ",IMPOSTAZIONI!D35,IMPOSTAZIONI!B32))</f>
        <v xml:space="preserve">VENTILAZIONE </v>
      </c>
      <c r="I65" s="2"/>
      <c r="J65" s="2"/>
      <c r="K65" s="2"/>
      <c r="L65" s="2"/>
      <c r="M65" s="2"/>
      <c r="N65" s="2"/>
      <c r="O65" s="2"/>
      <c r="P65" s="2"/>
      <c r="Q65" s="2"/>
      <c r="R65" s="2"/>
      <c r="S65" s="1111" t="str">
        <f>IMPOSTAZIONI!H143</f>
        <v>MENSILE</v>
      </c>
      <c r="T65" s="2019">
        <f>IMPOSTAZIONI!D35</f>
        <v>0</v>
      </c>
      <c r="U65" s="1116" t="str">
        <f>$C182</f>
        <v>01/01 - 31/08</v>
      </c>
      <c r="V65" s="1081" t="s">
        <v>790</v>
      </c>
      <c r="W65" s="2"/>
      <c r="X65" s="2"/>
      <c r="Y65" s="1081" t="s">
        <v>792</v>
      </c>
      <c r="Z65" s="2"/>
      <c r="AA65" s="2"/>
      <c r="AB65" s="591"/>
      <c r="AC65" s="591"/>
      <c r="AD65" s="591"/>
      <c r="AE65" s="591"/>
      <c r="AF65" s="591"/>
      <c r="AG65" s="591"/>
      <c r="AH65" s="591"/>
      <c r="AI65" s="591"/>
      <c r="AJ65" s="591"/>
      <c r="AK65" s="591"/>
      <c r="AL65" s="591"/>
      <c r="AM65" s="591"/>
      <c r="AN65" s="591"/>
      <c r="AO65" s="591"/>
      <c r="AP65" s="591"/>
      <c r="AQ65" s="591"/>
      <c r="AR65" s="591"/>
      <c r="AS65" s="591"/>
      <c r="AT65" s="591"/>
      <c r="AU65" s="591"/>
      <c r="AV65" s="591"/>
      <c r="AW65" s="591"/>
      <c r="AX65" s="591"/>
      <c r="AY65" s="591"/>
      <c r="AZ65" s="591"/>
      <c r="BA65" s="591"/>
      <c r="BB65" s="591"/>
    </row>
    <row r="66" spans="1:54" ht="20.25" hidden="1" customHeight="1" x14ac:dyDescent="0.2">
      <c r="A66" s="2"/>
      <c r="B66" s="2"/>
      <c r="C66" s="2"/>
      <c r="D66" s="2"/>
      <c r="E66" s="2"/>
      <c r="F66" s="2"/>
      <c r="G66" s="2"/>
      <c r="H66" s="10"/>
      <c r="I66" s="10"/>
      <c r="J66" s="10"/>
      <c r="K66" s="10"/>
      <c r="L66" s="10"/>
      <c r="M66" s="10"/>
      <c r="N66" s="1008" t="s">
        <v>746</v>
      </c>
      <c r="O66" s="2"/>
      <c r="P66" s="2"/>
      <c r="Q66" s="2"/>
      <c r="R66" s="2"/>
      <c r="S66" s="1112" t="str">
        <f>IMPOSTAZIONI!H144</f>
        <v>TRIMESTRALE</v>
      </c>
      <c r="T66" s="2020"/>
      <c r="U66" s="806" t="str">
        <f>SET!U65</f>
        <v>01/01 - 30/09</v>
      </c>
      <c r="V66" s="478" t="s">
        <v>791</v>
      </c>
      <c r="W66" s="2"/>
      <c r="X66" s="2"/>
      <c r="Y66" s="478" t="s">
        <v>793</v>
      </c>
      <c r="Z66" s="2"/>
      <c r="AA66" s="2"/>
      <c r="AB66" s="591"/>
      <c r="AC66" s="591"/>
      <c r="AD66" s="591"/>
      <c r="AE66" s="591"/>
      <c r="AF66" s="591"/>
      <c r="AG66" s="591"/>
      <c r="AH66" s="591"/>
      <c r="AI66" s="591"/>
      <c r="AJ66" s="591"/>
      <c r="AK66" s="591"/>
      <c r="AM66" s="591"/>
      <c r="AN66" s="591"/>
      <c r="AO66" s="591"/>
      <c r="AP66" s="591"/>
      <c r="AQ66" s="591"/>
      <c r="AS66" s="591"/>
      <c r="AT66" s="591"/>
      <c r="AU66" s="591"/>
      <c r="AV66" s="591"/>
      <c r="AW66" s="591"/>
      <c r="AY66" s="591"/>
    </row>
    <row r="67" spans="1:54" ht="24" hidden="1" customHeight="1" x14ac:dyDescent="0.2">
      <c r="A67" s="2"/>
      <c r="B67" s="2"/>
      <c r="C67" s="1183" t="s">
        <v>747</v>
      </c>
      <c r="D67" s="1165"/>
      <c r="E67" s="1165"/>
      <c r="F67" s="1165"/>
      <c r="G67" s="1197" t="e">
        <f>VLOOKUP(T65,S65:V66,4,FALSE)</f>
        <v>#N/A</v>
      </c>
      <c r="H67" s="1165"/>
      <c r="I67" s="2136" t="s">
        <v>748</v>
      </c>
      <c r="J67" s="2136"/>
      <c r="K67" s="1167"/>
      <c r="L67" s="14"/>
      <c r="M67" s="14"/>
      <c r="N67" s="1009" t="s">
        <v>749</v>
      </c>
      <c r="O67" s="2"/>
      <c r="P67" s="2"/>
      <c r="Q67" s="2"/>
      <c r="R67" s="2"/>
      <c r="S67" s="1129" t="e">
        <f>VLOOKUP(G67,V65:Y66,4,FALSE)</f>
        <v>#N/A</v>
      </c>
      <c r="T67" s="1115" t="str">
        <f>IF(T65=S66,U66,U65)</f>
        <v>01/01 - 31/08</v>
      </c>
      <c r="U67" s="2"/>
      <c r="V67" s="2"/>
      <c r="W67" s="2"/>
      <c r="X67" s="2"/>
      <c r="Y67" s="2"/>
      <c r="Z67" s="2"/>
      <c r="AA67" s="2"/>
      <c r="AB67" s="591"/>
      <c r="AC67" s="591"/>
      <c r="AD67" s="591"/>
      <c r="AE67" s="591"/>
      <c r="AF67" s="591"/>
      <c r="AG67" s="591"/>
      <c r="AH67" s="591"/>
      <c r="AI67" s="591"/>
      <c r="AJ67" s="591"/>
      <c r="AK67" s="591"/>
      <c r="AM67" s="591"/>
      <c r="AN67" s="591"/>
      <c r="AO67" s="591"/>
      <c r="AP67" s="591"/>
      <c r="AQ67" s="591"/>
      <c r="AS67" s="591"/>
      <c r="AT67" s="591"/>
      <c r="AU67" s="591"/>
      <c r="AV67" s="591"/>
      <c r="AW67" s="591"/>
      <c r="AY67" s="591"/>
    </row>
    <row r="68" spans="1:54" ht="20.25" hidden="1" customHeight="1" x14ac:dyDescent="0.2">
      <c r="A68" s="2"/>
      <c r="B68" s="2"/>
      <c r="C68" s="1169" t="s">
        <v>750</v>
      </c>
      <c r="D68" s="14"/>
      <c r="E68" s="14"/>
      <c r="F68" s="14"/>
      <c r="G68" s="1209" t="str">
        <f>C95</f>
        <v>01/08 - 31/08</v>
      </c>
      <c r="H68" s="971" t="s">
        <v>751</v>
      </c>
      <c r="I68" s="2137" t="str">
        <f>T67</f>
        <v>01/01 - 31/08</v>
      </c>
      <c r="J68" s="2137"/>
      <c r="K68" s="1208" t="s">
        <v>752</v>
      </c>
      <c r="L68" s="2022" t="s">
        <v>195</v>
      </c>
      <c r="M68" s="2022"/>
      <c r="N68" s="972" t="s">
        <v>353</v>
      </c>
      <c r="O68" s="2"/>
      <c r="P68" s="2"/>
      <c r="Q68" s="2"/>
      <c r="R68" s="2"/>
      <c r="S68" s="2"/>
      <c r="T68" s="2"/>
      <c r="U68" s="2"/>
      <c r="V68" s="2"/>
      <c r="W68" s="2"/>
      <c r="X68" s="2"/>
      <c r="Y68" s="2"/>
      <c r="Z68" s="2"/>
      <c r="AA68" s="2"/>
      <c r="AB68" s="591"/>
      <c r="AC68" s="591"/>
      <c r="AD68" s="591"/>
      <c r="AE68" s="591"/>
      <c r="AF68" s="591"/>
      <c r="AG68" s="591"/>
      <c r="AH68" s="591"/>
      <c r="AI68" s="591"/>
      <c r="AJ68" s="591"/>
      <c r="AK68" s="591"/>
      <c r="AM68" s="591"/>
      <c r="AN68" s="591"/>
      <c r="AO68" s="591"/>
      <c r="AP68" s="591"/>
      <c r="AQ68" s="591"/>
      <c r="AS68" s="591"/>
      <c r="AT68" s="591"/>
      <c r="AU68" s="591"/>
      <c r="AV68" s="591"/>
      <c r="AW68" s="591"/>
      <c r="AY68" s="591"/>
    </row>
    <row r="69" spans="1:54" ht="20.25" hidden="1" customHeight="1" x14ac:dyDescent="0.2">
      <c r="A69" s="2"/>
      <c r="B69" s="2"/>
      <c r="C69" s="1198" t="s">
        <v>753</v>
      </c>
      <c r="D69" s="14"/>
      <c r="E69" s="14"/>
      <c r="F69" s="14"/>
      <c r="G69" s="1015"/>
      <c r="H69" s="1202">
        <f>IF(AND(IMPOSTAZIONI!AF$147="",G69&lt;&gt;0),E$163,IMPOSTAZIONI!AF$147)</f>
        <v>22</v>
      </c>
      <c r="I69" s="2024">
        <f>IF($T$65=$S$66,Z69,G69+LUG!I69)</f>
        <v>0</v>
      </c>
      <c r="J69" s="2025"/>
      <c r="K69" s="1201">
        <f>IF(I73=0,0,K73-SUM(K70:K72))</f>
        <v>0</v>
      </c>
      <c r="L69" s="2023" t="str">
        <f>CONCATENATE("al ",H69," %")</f>
        <v>al 22 %</v>
      </c>
      <c r="M69" s="2023"/>
      <c r="N69" s="973">
        <f>IF(SUM(I69:J72)=0,0,ROUND(G65-SUM(N70:N72),2))</f>
        <v>0</v>
      </c>
      <c r="O69" s="2"/>
      <c r="P69" s="2"/>
      <c r="Q69" s="2"/>
      <c r="R69" s="2"/>
      <c r="S69" s="974">
        <f>IF(ISERROR(G77),0,G77)</f>
        <v>0</v>
      </c>
      <c r="T69" s="975">
        <f>IF(ISERROR(G78),0,G78)</f>
        <v>0</v>
      </c>
      <c r="U69" s="976">
        <f>IF(ISERROR(G79),0,G79)</f>
        <v>0</v>
      </c>
      <c r="V69" s="2"/>
      <c r="W69" s="1117">
        <f>LUG!$G69</f>
        <v>0</v>
      </c>
      <c r="X69" s="1118">
        <f>AGO!$G69</f>
        <v>0</v>
      </c>
      <c r="Y69" s="1119">
        <f>SET!$G69</f>
        <v>0</v>
      </c>
      <c r="Z69" s="1120">
        <f>SUM(W69:Y69)+GIU!Z69</f>
        <v>0</v>
      </c>
      <c r="AA69" s="2"/>
      <c r="AB69" s="591"/>
      <c r="AC69" s="591"/>
      <c r="AD69" s="591"/>
      <c r="AE69" s="591"/>
      <c r="AF69" s="591"/>
      <c r="AG69" s="591"/>
      <c r="AH69" s="591"/>
      <c r="AI69" s="591"/>
      <c r="AJ69" s="591"/>
      <c r="AK69" s="591"/>
      <c r="AM69" s="591"/>
      <c r="AN69" s="591"/>
      <c r="AO69" s="591"/>
      <c r="AP69" s="591"/>
      <c r="AQ69" s="591"/>
      <c r="AS69" s="591"/>
      <c r="AT69" s="591"/>
      <c r="AU69" s="591"/>
      <c r="AV69" s="591"/>
      <c r="AW69" s="591"/>
      <c r="AY69" s="591"/>
    </row>
    <row r="70" spans="1:54" ht="20.25" hidden="1" customHeight="1" x14ac:dyDescent="0.25">
      <c r="A70" s="2"/>
      <c r="B70" s="2"/>
      <c r="C70" s="1199" t="s">
        <v>754</v>
      </c>
      <c r="D70" s="14"/>
      <c r="E70" s="14"/>
      <c r="F70" s="14"/>
      <c r="G70" s="1016"/>
      <c r="H70" s="1202">
        <f>IF(AND(IMPOSTAZIONI!AG$147="",G70&lt;&gt;0),E$163,IMPOSTAZIONI!AG$147)</f>
        <v>10</v>
      </c>
      <c r="I70" s="2026">
        <f>IF($T$65=$S$66,Z70,G70+LUG!I70)</f>
        <v>0</v>
      </c>
      <c r="J70" s="2027"/>
      <c r="K70" s="1201">
        <f>IF(I$73=0,0,ROUND(I70/I$73*100,2))</f>
        <v>0</v>
      </c>
      <c r="L70" s="2023" t="str">
        <f>CONCATENATE("al ",H70," %")</f>
        <v>al 10 %</v>
      </c>
      <c r="M70" s="2023"/>
      <c r="N70" s="977">
        <f>ROUND(G$65*K70/100,2)</f>
        <v>0</v>
      </c>
      <c r="O70" s="2"/>
      <c r="P70" s="2"/>
      <c r="Q70" s="2"/>
      <c r="R70" s="2"/>
      <c r="S70" s="978">
        <f>IF(ISERROR(H77),0,H77)</f>
        <v>0</v>
      </c>
      <c r="T70" s="968">
        <f>IF(ISERROR(H78),0,H78)</f>
        <v>0</v>
      </c>
      <c r="U70" s="979">
        <f>IF(ISERROR(H79),0,H79)</f>
        <v>0</v>
      </c>
      <c r="V70" s="2"/>
      <c r="W70" s="1121">
        <f>LUG!$G70</f>
        <v>0</v>
      </c>
      <c r="X70" s="1122">
        <f>AGO!$G70</f>
        <v>0</v>
      </c>
      <c r="Y70" s="1123">
        <f>SET!$G70</f>
        <v>0</v>
      </c>
      <c r="Z70" s="1124">
        <f>SUM(W70:Y70)+GIU!Z70</f>
        <v>0</v>
      </c>
      <c r="AA70" s="2"/>
      <c r="AB70" s="591"/>
      <c r="AC70" s="591"/>
      <c r="AD70" s="591"/>
      <c r="AE70" s="591"/>
      <c r="AF70" s="591"/>
      <c r="AG70" s="591"/>
      <c r="AH70" s="591"/>
      <c r="AI70" s="591"/>
      <c r="AJ70" s="591"/>
      <c r="AK70" s="591"/>
      <c r="AM70" s="591"/>
      <c r="AN70" s="591"/>
      <c r="AO70" s="591"/>
      <c r="AP70" s="591"/>
      <c r="AQ70" s="591"/>
      <c r="AS70" s="591"/>
      <c r="AT70" s="591"/>
      <c r="AU70" s="591"/>
      <c r="AV70" s="591"/>
      <c r="AW70" s="591"/>
      <c r="AY70" s="591"/>
    </row>
    <row r="71" spans="1:54" ht="20.25" hidden="1" customHeight="1" x14ac:dyDescent="0.2">
      <c r="A71" s="2"/>
      <c r="B71" s="2"/>
      <c r="C71" s="1200" t="s">
        <v>755</v>
      </c>
      <c r="D71" s="14"/>
      <c r="E71" s="14"/>
      <c r="F71" s="14"/>
      <c r="G71" s="1016"/>
      <c r="H71" s="1202">
        <f>IF(AND(IMPOSTAZIONI!AH$147="",G71&lt;&gt;0),E$163,IMPOSTAZIONI!AH$147)</f>
        <v>4</v>
      </c>
      <c r="I71" s="2026">
        <f>IF($T$65=$S$66,Z71,G71+LUG!I71)</f>
        <v>0</v>
      </c>
      <c r="J71" s="2027"/>
      <c r="K71" s="1201">
        <f>IF(I$73=0,0,ROUND(I71/I$73*100,2))</f>
        <v>0</v>
      </c>
      <c r="L71" s="2023" t="str">
        <f>CONCATENATE("al ",H71," %")</f>
        <v>al 4 %</v>
      </c>
      <c r="M71" s="2023"/>
      <c r="N71" s="977">
        <f>ROUND(G$65*K71/100,2)</f>
        <v>0</v>
      </c>
      <c r="O71" s="2"/>
      <c r="P71" s="2"/>
      <c r="Q71" s="2"/>
      <c r="R71" s="2"/>
      <c r="S71" s="978">
        <f>IF(ISERROR(I77),0,I77)</f>
        <v>0</v>
      </c>
      <c r="T71" s="968">
        <f>IF(ISERROR(I78),0,I78)</f>
        <v>0</v>
      </c>
      <c r="U71" s="979">
        <f>IF(ISERROR(I79),0,I79)</f>
        <v>0</v>
      </c>
      <c r="V71" s="2"/>
      <c r="W71" s="1121">
        <f>LUG!$G71</f>
        <v>0</v>
      </c>
      <c r="X71" s="1122">
        <f>AGO!$G71</f>
        <v>0</v>
      </c>
      <c r="Y71" s="1123">
        <f>SET!$G71</f>
        <v>0</v>
      </c>
      <c r="Z71" s="1124">
        <f>SUM(W71:Y71)+GIU!Z71</f>
        <v>0</v>
      </c>
      <c r="AA71" s="2"/>
      <c r="AB71" s="591"/>
      <c r="AC71" s="591"/>
      <c r="AD71" s="591"/>
      <c r="AE71" s="591"/>
      <c r="AF71" s="591"/>
      <c r="AG71" s="591"/>
      <c r="AH71" s="591"/>
      <c r="AI71" s="591"/>
      <c r="AJ71" s="591"/>
      <c r="AK71" s="591"/>
      <c r="AM71" s="591"/>
      <c r="AN71" s="591"/>
      <c r="AO71" s="591"/>
      <c r="AP71" s="591"/>
      <c r="AQ71" s="591"/>
      <c r="AS71" s="591"/>
      <c r="AT71" s="591"/>
      <c r="AU71" s="591"/>
      <c r="AV71" s="591"/>
      <c r="AW71" s="591"/>
      <c r="AY71" s="591"/>
    </row>
    <row r="72" spans="1:54" ht="20.25" hidden="1" customHeight="1" x14ac:dyDescent="0.2">
      <c r="A72" s="2"/>
      <c r="B72" s="2"/>
      <c r="C72" s="1171"/>
      <c r="D72" s="14"/>
      <c r="E72" s="14"/>
      <c r="F72" s="14"/>
      <c r="G72" s="1017"/>
      <c r="H72" s="1202" t="str">
        <f>IF(AND(IMPOSTAZIONI!AI$147="",G72&lt;&gt;0),E$163,IMPOSTAZIONI!AI$147)</f>
        <v/>
      </c>
      <c r="I72" s="2039">
        <f>IF($T$65=$S$66,Z72,G72+LUG!I72)</f>
        <v>0</v>
      </c>
      <c r="J72" s="2040"/>
      <c r="K72" s="1201">
        <f>IF(I$73=0,0,ROUND(I72/I$73*100,2))</f>
        <v>0</v>
      </c>
      <c r="L72" s="2023" t="str">
        <f>CONCATENATE("al ",H72," %")</f>
        <v>al  %</v>
      </c>
      <c r="M72" s="2023"/>
      <c r="N72" s="980">
        <f>ROUND(G$65*K72/100,2)</f>
        <v>0</v>
      </c>
      <c r="O72" s="2"/>
      <c r="P72" s="2"/>
      <c r="Q72" s="2"/>
      <c r="R72" s="2"/>
      <c r="S72" s="981">
        <f>IF(ISERROR(K77),0,K77)</f>
        <v>0</v>
      </c>
      <c r="T72" s="969">
        <f>IF(ISERROR(K78),0,K78)</f>
        <v>0</v>
      </c>
      <c r="U72" s="982">
        <f>IF(ISERROR(K79),0,K79)</f>
        <v>0</v>
      </c>
      <c r="V72" s="2"/>
      <c r="W72" s="1125">
        <f>LUG!$G72</f>
        <v>0</v>
      </c>
      <c r="X72" s="1126">
        <f>AGO!$G72</f>
        <v>0</v>
      </c>
      <c r="Y72" s="1127">
        <f>SET!$G72</f>
        <v>0</v>
      </c>
      <c r="Z72" s="1128">
        <f>SUM(W72:Y72)+GIU!Z72</f>
        <v>0</v>
      </c>
      <c r="AA72" s="2"/>
      <c r="AB72" s="591"/>
      <c r="AC72" s="591"/>
      <c r="AD72" s="591"/>
      <c r="AE72" s="591"/>
      <c r="AF72" s="591"/>
      <c r="AG72" s="591"/>
      <c r="AH72" s="591"/>
      <c r="AI72" s="591"/>
      <c r="AJ72" s="591"/>
      <c r="AK72" s="591"/>
      <c r="AM72" s="591"/>
      <c r="AN72" s="591"/>
      <c r="AO72" s="591"/>
      <c r="AP72" s="591"/>
      <c r="AQ72" s="591"/>
      <c r="AS72" s="591"/>
      <c r="AT72" s="591"/>
      <c r="AU72" s="591"/>
      <c r="AV72" s="591"/>
      <c r="AW72" s="591"/>
      <c r="AY72" s="591"/>
    </row>
    <row r="73" spans="1:54" ht="20.25" hidden="1" customHeight="1" x14ac:dyDescent="0.2">
      <c r="A73" s="2"/>
      <c r="B73" s="2"/>
      <c r="C73" s="1171"/>
      <c r="D73" s="14"/>
      <c r="E73" s="14"/>
      <c r="F73" s="983" t="s">
        <v>105</v>
      </c>
      <c r="G73" s="1014">
        <f>SUM(G69:G72)</f>
        <v>0</v>
      </c>
      <c r="H73" s="866"/>
      <c r="I73" s="2041">
        <f>SUM(I69:I72)</f>
        <v>0</v>
      </c>
      <c r="J73" s="2041"/>
      <c r="K73" s="1196">
        <v>100</v>
      </c>
      <c r="L73" s="2"/>
      <c r="M73" s="2"/>
      <c r="N73" s="967">
        <f>SUM(N69:N72)</f>
        <v>0</v>
      </c>
      <c r="O73" s="503" t="str">
        <f>IF(C61=0,"",IF(G65=N73,"OK",E163))</f>
        <v/>
      </c>
      <c r="P73" s="2"/>
      <c r="Q73" s="2"/>
      <c r="R73" s="2"/>
      <c r="S73" s="2"/>
      <c r="T73" s="2"/>
      <c r="U73" s="2"/>
      <c r="V73" s="2"/>
      <c r="W73" s="2"/>
      <c r="X73" s="2"/>
      <c r="Y73" s="2"/>
      <c r="Z73" s="2"/>
      <c r="AA73" s="2"/>
      <c r="AB73" s="591"/>
      <c r="AC73" s="591"/>
      <c r="AD73" s="591"/>
      <c r="AE73" s="591"/>
      <c r="AF73" s="591"/>
      <c r="AG73" s="591"/>
      <c r="AH73" s="591"/>
      <c r="AI73" s="591"/>
      <c r="AJ73" s="591"/>
      <c r="AK73" s="591"/>
      <c r="AM73" s="591"/>
      <c r="AN73" s="591"/>
      <c r="AO73" s="591"/>
      <c r="AP73" s="591"/>
      <c r="AQ73" s="591"/>
      <c r="AS73" s="591"/>
      <c r="AT73" s="591"/>
      <c r="AU73" s="591"/>
      <c r="AV73" s="591"/>
      <c r="AW73" s="591"/>
      <c r="AY73" s="591"/>
    </row>
    <row r="74" spans="1:54" ht="20.25" hidden="1" customHeight="1" x14ac:dyDescent="0.2">
      <c r="A74" s="2"/>
      <c r="B74" s="2"/>
      <c r="C74" s="1172"/>
      <c r="D74" s="1173"/>
      <c r="E74" s="1173"/>
      <c r="F74" s="1173"/>
      <c r="G74" s="1173"/>
      <c r="H74" s="1173"/>
      <c r="I74" s="2051" t="s">
        <v>756</v>
      </c>
      <c r="J74" s="2051"/>
      <c r="K74" s="2052"/>
      <c r="L74" s="14"/>
      <c r="M74" s="14"/>
      <c r="N74" s="139"/>
      <c r="O74" s="2"/>
      <c r="P74" s="2"/>
      <c r="Q74" s="2"/>
      <c r="R74" s="2"/>
      <c r="S74" s="2"/>
      <c r="T74" s="2"/>
      <c r="U74" s="2"/>
      <c r="V74" s="2"/>
      <c r="W74" s="2"/>
      <c r="X74" s="2"/>
      <c r="Y74" s="2"/>
      <c r="Z74" s="2"/>
      <c r="AA74" s="2"/>
      <c r="AB74" s="591"/>
      <c r="AC74" s="591"/>
      <c r="AD74" s="591"/>
      <c r="AE74" s="591"/>
      <c r="AF74" s="591"/>
      <c r="AG74" s="591"/>
      <c r="AH74" s="591"/>
      <c r="AI74" s="591"/>
      <c r="AJ74" s="591"/>
      <c r="AK74" s="591"/>
      <c r="AM74" s="591"/>
      <c r="AN74" s="591"/>
      <c r="AO74" s="591"/>
      <c r="AP74" s="591"/>
      <c r="AQ74" s="591"/>
      <c r="AS74" s="591"/>
      <c r="AT74" s="591"/>
      <c r="AU74" s="591"/>
      <c r="AV74" s="591"/>
      <c r="AW74" s="591"/>
      <c r="AY74" s="591"/>
    </row>
    <row r="75" spans="1:54" ht="11.25" hidden="1" customHeight="1" x14ac:dyDescent="0.2">
      <c r="A75" s="2"/>
      <c r="B75" s="2"/>
      <c r="C75" s="2"/>
      <c r="D75" s="2"/>
      <c r="E75" s="2"/>
      <c r="F75" s="2"/>
      <c r="G75" s="2"/>
      <c r="H75" s="2"/>
      <c r="I75" s="2"/>
      <c r="J75" s="2"/>
      <c r="K75" s="2"/>
      <c r="L75" s="14"/>
      <c r="M75" s="14"/>
      <c r="N75" s="139"/>
      <c r="O75" s="2"/>
      <c r="P75" s="2"/>
      <c r="Q75" s="2"/>
      <c r="R75" s="2"/>
      <c r="S75" s="2"/>
      <c r="T75" s="2"/>
      <c r="U75" s="2"/>
      <c r="V75" s="2"/>
      <c r="W75" s="2"/>
      <c r="X75" s="2"/>
      <c r="Y75" s="2"/>
      <c r="Z75" s="2"/>
      <c r="AA75" s="2"/>
      <c r="AB75" s="591"/>
      <c r="AC75" s="591"/>
      <c r="AD75" s="591"/>
      <c r="AE75" s="591"/>
      <c r="AF75" s="591"/>
      <c r="AG75" s="591"/>
      <c r="AH75" s="591"/>
      <c r="AI75" s="591"/>
      <c r="AJ75" s="591"/>
      <c r="AK75" s="591"/>
      <c r="AM75" s="591"/>
      <c r="AN75" s="591"/>
      <c r="AO75" s="591"/>
      <c r="AP75" s="591"/>
      <c r="AQ75" s="591"/>
      <c r="AS75" s="591"/>
      <c r="AT75" s="591"/>
      <c r="AU75" s="591"/>
      <c r="AV75" s="591"/>
      <c r="AW75" s="591"/>
      <c r="AY75" s="591"/>
    </row>
    <row r="76" spans="1:54" ht="20.25" hidden="1" customHeight="1" x14ac:dyDescent="0.2">
      <c r="A76" s="2"/>
      <c r="B76" s="2"/>
      <c r="C76" s="2"/>
      <c r="D76" s="2"/>
      <c r="E76" s="20"/>
      <c r="F76" s="984" t="s">
        <v>764</v>
      </c>
      <c r="G76" s="985">
        <f>H69</f>
        <v>22</v>
      </c>
      <c r="H76" s="985">
        <f>H70</f>
        <v>10</v>
      </c>
      <c r="I76" s="2142">
        <f>H71</f>
        <v>4</v>
      </c>
      <c r="J76" s="2142"/>
      <c r="K76" s="1162" t="str">
        <f>H72</f>
        <v/>
      </c>
      <c r="L76" s="2"/>
      <c r="M76" s="2"/>
      <c r="N76" s="986"/>
      <c r="O76" s="2"/>
      <c r="P76" s="2"/>
      <c r="Q76" s="2"/>
      <c r="R76" s="2"/>
      <c r="S76" s="2"/>
      <c r="T76" s="2"/>
      <c r="U76" s="2"/>
      <c r="V76" s="2"/>
      <c r="W76" s="2"/>
      <c r="X76" s="591"/>
      <c r="Y76" s="591"/>
      <c r="AB76" s="591"/>
      <c r="AC76" s="591"/>
      <c r="AD76" s="591"/>
      <c r="AE76" s="591"/>
      <c r="AF76" s="591"/>
      <c r="AG76" s="591"/>
      <c r="AH76" s="591"/>
      <c r="AI76" s="591"/>
      <c r="AJ76" s="591"/>
      <c r="AK76" s="591"/>
      <c r="AM76" s="591"/>
      <c r="AN76" s="591"/>
      <c r="AO76" s="591"/>
      <c r="AP76" s="591"/>
      <c r="AQ76" s="591"/>
      <c r="AS76" s="591"/>
      <c r="AT76" s="591"/>
      <c r="AU76" s="591"/>
      <c r="AV76" s="591"/>
      <c r="AW76" s="591"/>
      <c r="AY76" s="591"/>
    </row>
    <row r="77" spans="1:54" ht="20.25" hidden="1" customHeight="1" x14ac:dyDescent="0.2">
      <c r="A77" s="2"/>
      <c r="B77" s="2"/>
      <c r="C77" s="2"/>
      <c r="D77" s="2"/>
      <c r="E77" s="2"/>
      <c r="F77" s="987" t="s">
        <v>757</v>
      </c>
      <c r="G77" s="988">
        <f>N69-G78</f>
        <v>0</v>
      </c>
      <c r="H77" s="989">
        <f>N70-H78</f>
        <v>0</v>
      </c>
      <c r="I77" s="2037">
        <f>N71-I78</f>
        <v>0</v>
      </c>
      <c r="J77" s="2038"/>
      <c r="K77" s="989">
        <f>N72-K78</f>
        <v>0</v>
      </c>
      <c r="L77" s="2233">
        <f>SUM(S69:S72)</f>
        <v>0</v>
      </c>
      <c r="M77" s="2234"/>
      <c r="N77" s="990" t="s">
        <v>758</v>
      </c>
      <c r="O77" s="2"/>
      <c r="P77" s="2"/>
      <c r="Q77" s="2"/>
      <c r="R77" s="2"/>
      <c r="S77" s="2"/>
      <c r="T77" s="2"/>
      <c r="U77" s="2"/>
      <c r="V77" s="2"/>
      <c r="W77" s="2"/>
      <c r="X77" s="591"/>
      <c r="Y77" s="591"/>
      <c r="AG77" s="591"/>
      <c r="AH77" s="591"/>
      <c r="AI77" s="591"/>
      <c r="AJ77" s="591"/>
      <c r="AK77" s="591"/>
      <c r="AM77" s="591"/>
      <c r="AN77" s="591"/>
      <c r="AO77" s="591"/>
      <c r="AP77" s="591"/>
      <c r="AQ77" s="591"/>
      <c r="AS77" s="591"/>
      <c r="AT77" s="591"/>
      <c r="AU77" s="591"/>
      <c r="AV77" s="591"/>
      <c r="AW77" s="591"/>
      <c r="AY77" s="591"/>
    </row>
    <row r="78" spans="1:54" ht="20.25" hidden="1" customHeight="1" x14ac:dyDescent="0.2">
      <c r="A78" s="2"/>
      <c r="B78" s="2"/>
      <c r="C78" s="2"/>
      <c r="D78" s="2"/>
      <c r="E78" s="2"/>
      <c r="F78" s="991" t="s">
        <v>759</v>
      </c>
      <c r="G78" s="992">
        <f>IF(G76="",0,ROUND(N69*G76/(100+G76),2))</f>
        <v>0</v>
      </c>
      <c r="H78" s="993">
        <f>IF(H76="",0,ROUND(N70*H76/(100+H76),2))</f>
        <v>0</v>
      </c>
      <c r="I78" s="2140">
        <f>IF(I76="",0,ROUND(N71*I76/(100+I76),2))</f>
        <v>0</v>
      </c>
      <c r="J78" s="2141"/>
      <c r="K78" s="993">
        <f>IF(K76="",0,ROUND(N72*K76/(100+K76),2))</f>
        <v>0</v>
      </c>
      <c r="L78" s="2235">
        <f>SUM(T69:T72)</f>
        <v>0</v>
      </c>
      <c r="M78" s="2236"/>
      <c r="N78" s="994" t="s">
        <v>760</v>
      </c>
      <c r="O78" s="2"/>
      <c r="P78" s="2"/>
      <c r="Q78" s="2"/>
      <c r="R78" s="2"/>
      <c r="S78" s="2"/>
      <c r="T78" s="2"/>
      <c r="U78" s="128" t="s">
        <v>783</v>
      </c>
      <c r="V78" s="2"/>
      <c r="W78" s="2"/>
      <c r="X78" s="591"/>
      <c r="Y78" s="591"/>
      <c r="AG78" s="591"/>
      <c r="AH78" s="591"/>
      <c r="AI78" s="591"/>
      <c r="AJ78" s="591"/>
      <c r="AK78" s="591"/>
      <c r="AM78" s="591"/>
      <c r="AN78" s="591"/>
      <c r="AO78" s="591"/>
      <c r="AP78" s="591"/>
      <c r="AQ78" s="591"/>
      <c r="AS78" s="591"/>
      <c r="AT78" s="591"/>
      <c r="AU78" s="591"/>
      <c r="AV78" s="591"/>
      <c r="AW78" s="591"/>
      <c r="AY78" s="591"/>
    </row>
    <row r="79" spans="1:54" ht="20.25" hidden="1" customHeight="1" x14ac:dyDescent="0.2">
      <c r="A79" s="2"/>
      <c r="B79" s="2"/>
      <c r="C79" s="2"/>
      <c r="D79" s="2"/>
      <c r="E79" s="287"/>
      <c r="F79" s="995" t="s">
        <v>105</v>
      </c>
      <c r="G79" s="996">
        <f>G77+G78</f>
        <v>0</v>
      </c>
      <c r="H79" s="996">
        <f>H77+H78</f>
        <v>0</v>
      </c>
      <c r="I79" s="2135">
        <f>I77+I78</f>
        <v>0</v>
      </c>
      <c r="J79" s="2135"/>
      <c r="K79" s="996">
        <f>K77+K78</f>
        <v>0</v>
      </c>
      <c r="L79" s="287"/>
      <c r="M79" s="287"/>
      <c r="N79" s="996">
        <f>SUM(U69:U72)</f>
        <v>0</v>
      </c>
      <c r="O79" s="503" t="str">
        <f>IF(N79=N73,"OK",E163)</f>
        <v>OK</v>
      </c>
      <c r="P79" s="2"/>
      <c r="Q79" s="2"/>
      <c r="R79" s="924" t="str">
        <f>G62</f>
        <v>SCORPORO</v>
      </c>
      <c r="S79" s="997">
        <f>IF(R79=L$134,G$63,0)</f>
        <v>0</v>
      </c>
      <c r="T79" s="92">
        <f>G42</f>
        <v>0</v>
      </c>
      <c r="U79" s="997">
        <f>IF(T79=K$134,S79,0)</f>
        <v>0</v>
      </c>
      <c r="V79" s="2"/>
      <c r="W79" s="2"/>
      <c r="X79" s="591"/>
      <c r="Y79" s="591"/>
      <c r="AG79" s="591"/>
      <c r="AH79" s="591"/>
      <c r="AI79" s="591"/>
      <c r="AJ79" s="591"/>
      <c r="AK79" s="591"/>
      <c r="AM79" s="591"/>
      <c r="AN79" s="591"/>
      <c r="AO79" s="591"/>
      <c r="AP79" s="591"/>
      <c r="AQ79" s="591"/>
      <c r="AS79" s="591"/>
      <c r="AT79" s="591"/>
      <c r="AU79" s="591"/>
      <c r="AV79" s="591"/>
      <c r="AW79" s="591"/>
      <c r="AY79" s="591"/>
    </row>
    <row r="80" spans="1:54" ht="20.25" hidden="1" customHeight="1" x14ac:dyDescent="0.2">
      <c r="A80" s="2"/>
      <c r="B80" s="2"/>
      <c r="C80" s="2"/>
      <c r="D80" s="2"/>
      <c r="E80" s="2"/>
      <c r="F80" s="2"/>
      <c r="G80" s="2"/>
      <c r="H80" s="2"/>
      <c r="I80" s="2"/>
      <c r="J80" s="2"/>
      <c r="K80" s="2"/>
      <c r="L80" s="2"/>
      <c r="M80" s="2"/>
      <c r="N80" s="10"/>
      <c r="O80" s="2"/>
      <c r="P80" s="2"/>
      <c r="Q80" s="2"/>
      <c r="R80" s="924" t="str">
        <f>H62</f>
        <v>SCORPORO</v>
      </c>
      <c r="S80" s="998">
        <f>IF(R80=L$134,H63,0)</f>
        <v>0</v>
      </c>
      <c r="T80" s="92">
        <f>H42</f>
        <v>0</v>
      </c>
      <c r="U80" s="998">
        <f>IF(T80=K$134,S80,0)</f>
        <v>0</v>
      </c>
      <c r="V80" s="2"/>
      <c r="W80" s="2"/>
      <c r="X80" s="591"/>
      <c r="Y80" s="591"/>
      <c r="AG80" s="591"/>
      <c r="AH80" s="591"/>
      <c r="AI80" s="591"/>
      <c r="AJ80" s="591"/>
      <c r="AK80" s="591"/>
      <c r="AM80" s="591"/>
      <c r="AN80" s="591"/>
      <c r="AO80" s="591"/>
      <c r="AP80" s="591"/>
      <c r="AQ80" s="591"/>
      <c r="AS80" s="591"/>
      <c r="AT80" s="591"/>
      <c r="AU80" s="591"/>
      <c r="AV80" s="591"/>
      <c r="AW80" s="591"/>
      <c r="AY80" s="591"/>
    </row>
    <row r="81" spans="1:51" ht="20.25" hidden="1" customHeight="1" x14ac:dyDescent="0.2">
      <c r="A81" s="2"/>
      <c r="B81" s="2"/>
      <c r="C81" s="2"/>
      <c r="D81" s="2"/>
      <c r="E81" s="2"/>
      <c r="F81" s="2"/>
      <c r="G81" s="103" t="str">
        <f>G61</f>
        <v>Colonna 1</v>
      </c>
      <c r="H81" s="103" t="str">
        <f>H61</f>
        <v>Colonna 2</v>
      </c>
      <c r="I81" s="2053" t="str">
        <f>K61</f>
        <v>Colonna 3</v>
      </c>
      <c r="J81" s="2053"/>
      <c r="K81" s="103" t="str">
        <f>N61</f>
        <v>Colonna 4</v>
      </c>
      <c r="L81" s="2"/>
      <c r="M81" s="2"/>
      <c r="N81" s="14"/>
      <c r="O81" s="2"/>
      <c r="P81" s="2"/>
      <c r="Q81" s="2"/>
      <c r="R81" s="924" t="str">
        <f>K62</f>
        <v>SCORPORO</v>
      </c>
      <c r="S81" s="998">
        <f>IF(R81=L$134,K63,0)</f>
        <v>0</v>
      </c>
      <c r="T81" s="92">
        <f>K42</f>
        <v>0</v>
      </c>
      <c r="U81" s="998">
        <f>IF(T81=K$134,S81,0)</f>
        <v>0</v>
      </c>
      <c r="V81" s="2"/>
      <c r="W81" s="2"/>
      <c r="X81" s="591"/>
      <c r="Y81" s="591"/>
      <c r="AG81" s="591"/>
      <c r="AH81" s="591"/>
      <c r="AI81" s="591"/>
      <c r="AJ81" s="591"/>
      <c r="AK81" s="591"/>
      <c r="AM81" s="591"/>
      <c r="AN81" s="591"/>
      <c r="AO81" s="591"/>
      <c r="AP81" s="591"/>
      <c r="AQ81" s="591"/>
      <c r="AS81" s="591"/>
      <c r="AT81" s="591"/>
      <c r="AU81" s="591"/>
      <c r="AV81" s="591"/>
      <c r="AW81" s="591"/>
      <c r="AY81" s="591"/>
    </row>
    <row r="82" spans="1:51" ht="18" hidden="1" customHeight="1" x14ac:dyDescent="0.2">
      <c r="A82" s="2"/>
      <c r="B82" s="2"/>
      <c r="C82" s="2"/>
      <c r="D82" s="2"/>
      <c r="E82" s="2"/>
      <c r="F82" s="2"/>
      <c r="G82" s="1203" t="str">
        <f t="shared" ref="G82:H84" si="33">G43</f>
        <v/>
      </c>
      <c r="H82" s="1204" t="str">
        <f t="shared" si="33"/>
        <v/>
      </c>
      <c r="I82" s="2031" t="str">
        <f>K43</f>
        <v/>
      </c>
      <c r="J82" s="2031"/>
      <c r="K82" s="1205" t="str">
        <f>N43</f>
        <v/>
      </c>
      <c r="L82" s="2"/>
      <c r="M82" s="2"/>
      <c r="N82" s="14"/>
      <c r="O82" s="2"/>
      <c r="P82" s="2"/>
      <c r="Q82" s="2"/>
      <c r="R82" s="924" t="str">
        <f>N62</f>
        <v>SCORPORO</v>
      </c>
      <c r="S82" s="1007">
        <f>IF(R82=L$134,N63,0)</f>
        <v>0</v>
      </c>
      <c r="T82" s="92">
        <f>N42</f>
        <v>0</v>
      </c>
      <c r="U82" s="1007">
        <f>IF(T82=K$134,S82,0)</f>
        <v>0</v>
      </c>
      <c r="V82" s="2"/>
      <c r="W82" s="2"/>
      <c r="X82" s="591"/>
      <c r="Y82" s="591"/>
      <c r="AG82" s="591"/>
      <c r="AH82" s="591"/>
      <c r="AI82" s="591"/>
      <c r="AJ82" s="591"/>
      <c r="AK82" s="591"/>
      <c r="AM82" s="591"/>
      <c r="AN82" s="591"/>
      <c r="AO82" s="591"/>
      <c r="AP82" s="591"/>
      <c r="AQ82" s="591"/>
      <c r="AS82" s="591"/>
      <c r="AT82" s="591"/>
      <c r="AU82" s="591"/>
      <c r="AV82" s="591"/>
      <c r="AW82" s="591"/>
      <c r="AY82" s="591"/>
    </row>
    <row r="83" spans="1:51" ht="18" hidden="1" customHeight="1" x14ac:dyDescent="0.2">
      <c r="A83" s="2"/>
      <c r="B83" s="2"/>
      <c r="C83" s="2"/>
      <c r="D83" s="2"/>
      <c r="E83" s="2"/>
      <c r="F83" s="2"/>
      <c r="G83" s="1000" t="str">
        <f t="shared" si="33"/>
        <v/>
      </c>
      <c r="H83" s="1000" t="str">
        <f t="shared" si="33"/>
        <v/>
      </c>
      <c r="I83" s="2054" t="str">
        <f>K44</f>
        <v/>
      </c>
      <c r="J83" s="2054"/>
      <c r="K83" s="1000" t="str">
        <f>N44</f>
        <v/>
      </c>
      <c r="L83" s="2"/>
      <c r="M83" s="2"/>
      <c r="N83" s="14"/>
      <c r="O83" s="2"/>
      <c r="P83" s="2"/>
      <c r="Q83" s="2"/>
      <c r="R83" s="2"/>
      <c r="S83" s="999"/>
      <c r="T83" s="2"/>
      <c r="U83" s="999"/>
      <c r="V83" s="2"/>
      <c r="W83" s="2"/>
      <c r="X83" s="591"/>
      <c r="Y83" s="591"/>
      <c r="AG83" s="591"/>
      <c r="AH83" s="591"/>
      <c r="AI83" s="591"/>
      <c r="AJ83" s="591"/>
      <c r="AK83" s="591"/>
      <c r="AM83" s="591"/>
      <c r="AN83" s="591"/>
      <c r="AO83" s="591"/>
      <c r="AP83" s="591"/>
      <c r="AQ83" s="591"/>
      <c r="AS83" s="591"/>
      <c r="AT83" s="591"/>
      <c r="AU83" s="591"/>
      <c r="AV83" s="591"/>
      <c r="AW83" s="591"/>
      <c r="AY83" s="591"/>
    </row>
    <row r="84" spans="1:51" ht="18" hidden="1" customHeight="1" x14ac:dyDescent="0.2">
      <c r="A84" s="2"/>
      <c r="B84" s="2"/>
      <c r="C84" s="2"/>
      <c r="D84" s="2"/>
      <c r="E84" s="2"/>
      <c r="F84" s="2"/>
      <c r="G84" s="1001" t="str">
        <f t="shared" si="33"/>
        <v/>
      </c>
      <c r="H84" s="1001" t="str">
        <f t="shared" si="33"/>
        <v/>
      </c>
      <c r="I84" s="2055" t="str">
        <f>K45</f>
        <v/>
      </c>
      <c r="J84" s="2055"/>
      <c r="K84" s="1001" t="str">
        <f>N45</f>
        <v/>
      </c>
      <c r="L84" s="2"/>
      <c r="M84" s="2"/>
      <c r="N84" s="14"/>
      <c r="O84" s="2"/>
      <c r="P84" s="2"/>
      <c r="Q84" s="2"/>
      <c r="R84" s="2"/>
      <c r="S84" s="999"/>
      <c r="T84" s="2"/>
      <c r="U84" s="999"/>
      <c r="V84" s="2"/>
      <c r="W84" s="2"/>
      <c r="X84" s="591"/>
      <c r="Y84" s="591"/>
      <c r="AG84" s="591"/>
      <c r="AH84" s="591"/>
      <c r="AI84" s="591"/>
      <c r="AJ84" s="591"/>
      <c r="AK84" s="591"/>
      <c r="AM84" s="591"/>
      <c r="AN84" s="591"/>
      <c r="AO84" s="591"/>
      <c r="AP84" s="591"/>
      <c r="AQ84" s="591"/>
      <c r="AS84" s="591"/>
      <c r="AT84" s="591"/>
      <c r="AU84" s="591"/>
      <c r="AV84" s="591"/>
      <c r="AW84" s="591"/>
      <c r="AY84" s="591"/>
    </row>
    <row r="85" spans="1:51" ht="18" hidden="1" customHeight="1" x14ac:dyDescent="0.2">
      <c r="A85" s="2"/>
      <c r="B85" s="2"/>
      <c r="C85" s="2"/>
      <c r="D85" s="2"/>
      <c r="E85" s="2"/>
      <c r="F85" s="2"/>
      <c r="G85" s="1011" t="str">
        <f>VLOOKUP(G62,$L$134:$M$135,2,FALSE)</f>
        <v>SCORPORO</v>
      </c>
      <c r="H85" s="1011" t="str">
        <f>VLOOKUP(H62,$L$134:$M$135,2,FALSE)</f>
        <v>SCORPORO</v>
      </c>
      <c r="I85" s="2056" t="str">
        <f>VLOOKUP(K62,$L$134:$M$135,2,FALSE)</f>
        <v>SCORPORO</v>
      </c>
      <c r="J85" s="2056"/>
      <c r="K85" s="1011" t="str">
        <f>VLOOKUP(N62,$L$134:$M$135,2,FALSE)</f>
        <v>SCORPORO</v>
      </c>
      <c r="L85" s="2"/>
      <c r="M85" s="2"/>
      <c r="N85" s="14"/>
      <c r="O85" s="2"/>
      <c r="P85" s="2"/>
      <c r="Q85" s="2"/>
      <c r="R85" s="2"/>
      <c r="S85" s="999"/>
      <c r="T85" s="2"/>
      <c r="U85" s="999"/>
      <c r="V85" s="2"/>
      <c r="W85" s="2"/>
      <c r="X85" s="591"/>
      <c r="Y85" s="591"/>
      <c r="AG85" s="591"/>
      <c r="AH85" s="591"/>
      <c r="AI85" s="591"/>
      <c r="AJ85" s="591"/>
      <c r="AK85" s="591"/>
      <c r="AM85" s="591"/>
      <c r="AN85" s="591"/>
      <c r="AO85" s="591"/>
      <c r="AP85" s="591"/>
      <c r="AQ85" s="591"/>
      <c r="AS85" s="591"/>
      <c r="AT85" s="591"/>
      <c r="AU85" s="591"/>
      <c r="AV85" s="591"/>
      <c r="AW85" s="591"/>
      <c r="AY85" s="591"/>
    </row>
    <row r="86" spans="1:51" ht="20.25" hidden="1" customHeight="1" x14ac:dyDescent="0.2">
      <c r="A86" s="2"/>
      <c r="B86" s="2"/>
      <c r="C86" s="2"/>
      <c r="D86" s="2"/>
      <c r="E86" s="2"/>
      <c r="F86" s="1002" t="s">
        <v>761</v>
      </c>
      <c r="G86" s="1206">
        <f>IF($L77=0,0,$S79-G87)</f>
        <v>0</v>
      </c>
      <c r="H86" s="1206">
        <f>IF($L77=0,0,S80-H87)</f>
        <v>0</v>
      </c>
      <c r="I86" s="2035">
        <f>IF($L77=0,0,S81-I87)</f>
        <v>0</v>
      </c>
      <c r="J86" s="2036"/>
      <c r="K86" s="1206">
        <f>IF($L77=0,0,S82-K87)</f>
        <v>0</v>
      </c>
      <c r="L86" s="2237">
        <f>SUM(G86:K86)</f>
        <v>0</v>
      </c>
      <c r="M86" s="2237"/>
      <c r="N86" s="1003" t="s">
        <v>758</v>
      </c>
      <c r="O86" s="2"/>
      <c r="P86" s="2"/>
      <c r="Q86" s="2"/>
      <c r="R86" s="2"/>
      <c r="S86" s="999"/>
      <c r="T86" s="2"/>
      <c r="U86" s="999"/>
      <c r="V86" s="2"/>
      <c r="W86" s="2"/>
      <c r="X86" s="591"/>
      <c r="Y86" s="591"/>
      <c r="AG86" s="591"/>
      <c r="AH86" s="591"/>
      <c r="AI86" s="591"/>
      <c r="AJ86" s="591"/>
      <c r="AK86" s="591"/>
      <c r="AM86" s="591"/>
      <c r="AN86" s="591"/>
      <c r="AO86" s="591"/>
      <c r="AP86" s="591"/>
      <c r="AQ86" s="591"/>
      <c r="AS86" s="591"/>
      <c r="AT86" s="591"/>
      <c r="AU86" s="591"/>
      <c r="AV86" s="591"/>
      <c r="AW86" s="591"/>
      <c r="AY86" s="591"/>
    </row>
    <row r="87" spans="1:51" ht="20.25" hidden="1" customHeight="1" x14ac:dyDescent="0.2">
      <c r="A87" s="2"/>
      <c r="B87" s="2"/>
      <c r="C87" s="2"/>
      <c r="D87" s="2"/>
      <c r="E87" s="2"/>
      <c r="F87" s="1004" t="s">
        <v>762</v>
      </c>
      <c r="G87" s="1207">
        <f>IF($C$61=0,0,ROUND($L78*G89/100,2))</f>
        <v>0</v>
      </c>
      <c r="H87" s="1207">
        <f>IF($C$61=0,0,ROUND($L78*H89/100,2))</f>
        <v>0</v>
      </c>
      <c r="I87" s="2028">
        <f>IF($C$61=0,0,ROUND($L78*I89/100,2))</f>
        <v>0</v>
      </c>
      <c r="J87" s="2029"/>
      <c r="K87" s="1207">
        <f>IF($C$61=0,0,L78-G87-H87-I87)</f>
        <v>0</v>
      </c>
      <c r="L87" s="2125">
        <f>SUM(G87:K87)</f>
        <v>0</v>
      </c>
      <c r="M87" s="2125"/>
      <c r="N87" s="1005" t="s">
        <v>760</v>
      </c>
      <c r="O87" s="2"/>
      <c r="P87" s="2"/>
      <c r="Q87" s="2"/>
      <c r="R87" s="2"/>
      <c r="S87" s="999"/>
      <c r="T87" s="2"/>
      <c r="U87" s="999"/>
      <c r="V87" s="2"/>
      <c r="W87" s="2"/>
      <c r="X87" s="591"/>
      <c r="Y87" s="591"/>
      <c r="AG87" s="591"/>
      <c r="AH87" s="591"/>
      <c r="AI87" s="591"/>
      <c r="AJ87" s="591"/>
      <c r="AK87" s="591"/>
      <c r="AM87" s="591"/>
      <c r="AN87" s="591"/>
      <c r="AO87" s="591"/>
      <c r="AP87" s="591"/>
      <c r="AQ87" s="591"/>
      <c r="AS87" s="591"/>
      <c r="AT87" s="591"/>
      <c r="AU87" s="591"/>
      <c r="AV87" s="591"/>
      <c r="AW87" s="591"/>
      <c r="AY87" s="591"/>
    </row>
    <row r="88" spans="1:51" ht="20.25" hidden="1" customHeight="1" x14ac:dyDescent="0.2">
      <c r="A88" s="2"/>
      <c r="B88" s="2"/>
      <c r="C88" s="2"/>
      <c r="D88" s="2"/>
      <c r="E88" s="287"/>
      <c r="F88" s="995" t="s">
        <v>105</v>
      </c>
      <c r="G88" s="1020">
        <f>IF(G85=$M135,0,G86+G87)</f>
        <v>0</v>
      </c>
      <c r="H88" s="1020">
        <f>IF(H85=$M135,0,H86+H87)</f>
        <v>0</v>
      </c>
      <c r="I88" s="2216">
        <f>IF(I85=$M135,0,I86+I87)</f>
        <v>0</v>
      </c>
      <c r="J88" s="2216"/>
      <c r="K88" s="1020">
        <f>IF(K85=$M135,0,K86+K87)</f>
        <v>0</v>
      </c>
      <c r="L88" s="287"/>
      <c r="M88" s="287"/>
      <c r="N88" s="996">
        <f>SUM(G88:K88)</f>
        <v>0</v>
      </c>
      <c r="O88" s="503" t="str">
        <f>IF(N88=N79,"OK",E163)</f>
        <v>OK</v>
      </c>
      <c r="P88" s="2"/>
      <c r="Q88" s="2"/>
      <c r="R88" s="2"/>
      <c r="S88" s="1006"/>
      <c r="T88" s="2"/>
      <c r="U88" s="1006"/>
      <c r="V88" s="2"/>
      <c r="W88" s="2"/>
      <c r="X88" s="591"/>
      <c r="Y88" s="591"/>
      <c r="AG88" s="591"/>
      <c r="AH88" s="591"/>
      <c r="AI88" s="591"/>
      <c r="AJ88" s="591"/>
      <c r="AK88" s="591"/>
      <c r="AM88" s="591"/>
      <c r="AN88" s="591"/>
      <c r="AO88" s="591"/>
      <c r="AP88" s="591"/>
      <c r="AQ88" s="591"/>
      <c r="AS88" s="591"/>
      <c r="AT88" s="591"/>
      <c r="AU88" s="591"/>
      <c r="AV88" s="591"/>
      <c r="AW88" s="591"/>
      <c r="AY88" s="591"/>
    </row>
    <row r="89" spans="1:51" ht="20.25" hidden="1" customHeight="1" x14ac:dyDescent="0.2">
      <c r="A89" s="2"/>
      <c r="B89" s="2"/>
      <c r="C89" s="2"/>
      <c r="D89" s="2"/>
      <c r="E89" s="2"/>
      <c r="F89" s="970" t="s">
        <v>763</v>
      </c>
      <c r="G89" s="1021">
        <f>IF($C$61=0,0,IF(S79=0,0,ROUND($S79/$S89*100,10)))</f>
        <v>0</v>
      </c>
      <c r="H89" s="1021">
        <f>IF($C$61=0,0,IF(S80=0,0,ROUND(S80/$S89*100,10)))</f>
        <v>0</v>
      </c>
      <c r="I89" s="2101">
        <f>IF($C$61=0,0,IF(S81=0,0,ROUND(S81/$S89*100,10)))</f>
        <v>0</v>
      </c>
      <c r="J89" s="2101"/>
      <c r="K89" s="1021">
        <f>IF($C$61=0,0,IF(S82=0,0,100-G89-H89-I89))</f>
        <v>0</v>
      </c>
      <c r="L89" s="2"/>
      <c r="M89" s="2"/>
      <c r="N89" s="2"/>
      <c r="O89" s="2"/>
      <c r="P89" s="2"/>
      <c r="Q89" s="2"/>
      <c r="R89" s="2"/>
      <c r="S89" s="1006">
        <f>SUM(S79:S88)</f>
        <v>0</v>
      </c>
      <c r="T89" s="2"/>
      <c r="U89" s="1006">
        <f>SUM(U79:U88)</f>
        <v>0</v>
      </c>
      <c r="V89" s="2"/>
      <c r="W89" s="2"/>
      <c r="X89" s="591"/>
      <c r="Y89" s="591"/>
      <c r="Z89" s="591"/>
      <c r="AA89" s="591"/>
      <c r="AB89" s="591"/>
      <c r="AC89" s="591"/>
      <c r="AG89" s="591"/>
      <c r="AH89" s="591"/>
      <c r="AI89" s="591"/>
      <c r="AJ89" s="591"/>
      <c r="AK89" s="591"/>
      <c r="AM89" s="591"/>
      <c r="AN89" s="591"/>
      <c r="AO89" s="591"/>
      <c r="AP89" s="591"/>
      <c r="AQ89" s="591"/>
      <c r="AS89" s="591"/>
      <c r="AT89" s="591"/>
      <c r="AU89" s="591"/>
      <c r="AV89" s="591"/>
      <c r="AW89" s="591"/>
      <c r="AY89" s="591"/>
    </row>
    <row r="90" spans="1:51" ht="20.25" customHeight="1" x14ac:dyDescent="0.2">
      <c r="A90" s="2"/>
      <c r="B90" s="2"/>
      <c r="C90" s="2"/>
      <c r="D90" s="2"/>
      <c r="E90" s="2"/>
      <c r="F90" s="2"/>
      <c r="G90" s="2"/>
      <c r="H90" s="2"/>
      <c r="I90" s="2"/>
      <c r="J90" s="2"/>
      <c r="K90" s="2"/>
      <c r="L90" s="2"/>
      <c r="M90" s="2"/>
      <c r="N90" s="2"/>
      <c r="O90" s="2"/>
      <c r="P90" s="2"/>
      <c r="Q90" s="2"/>
      <c r="R90" s="2"/>
      <c r="S90" s="2"/>
      <c r="T90" s="2"/>
      <c r="U90" s="1110" t="e">
        <f>U89/S89*100</f>
        <v>#DIV/0!</v>
      </c>
      <c r="V90" s="2"/>
      <c r="W90" s="2"/>
      <c r="X90" s="591"/>
      <c r="Y90" s="591"/>
      <c r="Z90" s="591"/>
      <c r="AA90" s="591"/>
      <c r="AB90" s="591"/>
      <c r="AC90" s="591"/>
      <c r="AG90" s="591"/>
      <c r="AH90" s="591"/>
      <c r="AI90" s="591"/>
      <c r="AJ90" s="591"/>
      <c r="AK90" s="591"/>
      <c r="AM90" s="591"/>
      <c r="AN90" s="591"/>
      <c r="AO90" s="591"/>
      <c r="AP90" s="591"/>
      <c r="AQ90" s="591"/>
      <c r="AS90" s="591"/>
      <c r="AT90" s="591"/>
      <c r="AU90" s="591"/>
      <c r="AV90" s="591"/>
      <c r="AW90" s="591"/>
      <c r="AY90" s="591"/>
    </row>
    <row r="91" spans="1:51" ht="30" customHeight="1" x14ac:dyDescent="0.2">
      <c r="A91" s="2"/>
      <c r="B91" s="2"/>
      <c r="C91" s="2030" t="str">
        <f>IF(SUM(G150:J150)&gt;0,G151,IMPOSTAZIONI!Y383)</f>
        <v>Quest' area si attiva con colonne IVA "Aliquote diverse" - Al momento non c'è nessun importo da scorporare manualmente.</v>
      </c>
      <c r="D91" s="2030"/>
      <c r="E91" s="2030"/>
      <c r="F91" s="2030"/>
      <c r="G91" s="2030"/>
      <c r="H91" s="2030"/>
      <c r="I91" s="2030"/>
      <c r="J91" s="2030"/>
      <c r="K91" s="2030"/>
      <c r="L91" s="2030"/>
      <c r="M91" s="2030"/>
      <c r="N91" s="2030"/>
      <c r="O91" s="2030"/>
      <c r="P91" s="2030"/>
      <c r="Q91" s="98"/>
      <c r="R91" s="98"/>
      <c r="S91" s="98"/>
      <c r="T91" s="2"/>
      <c r="U91" s="2"/>
      <c r="V91" s="2"/>
      <c r="W91" s="2"/>
      <c r="X91" s="591"/>
      <c r="Y91" s="591"/>
      <c r="Z91" s="591"/>
      <c r="AA91" s="591"/>
      <c r="AB91" s="591"/>
      <c r="AC91" s="591"/>
      <c r="AG91" s="591"/>
      <c r="AH91" s="591"/>
      <c r="AI91" s="591"/>
      <c r="AJ91" s="591"/>
      <c r="AK91" s="591"/>
      <c r="AM91" s="591"/>
      <c r="AN91" s="591"/>
      <c r="AO91" s="591"/>
      <c r="AP91" s="591"/>
      <c r="AQ91" s="591"/>
      <c r="AS91" s="591"/>
      <c r="AT91" s="591"/>
      <c r="AU91" s="591"/>
      <c r="AV91" s="591"/>
      <c r="AW91" s="591"/>
      <c r="AY91" s="591"/>
    </row>
    <row r="92" spans="1:51" ht="5.25" customHeight="1" x14ac:dyDescent="0.2">
      <c r="A92" s="2"/>
      <c r="B92" s="2"/>
      <c r="C92" s="2"/>
      <c r="D92" s="2"/>
      <c r="E92" s="2"/>
      <c r="F92" s="2"/>
      <c r="G92" s="2"/>
      <c r="H92" s="2"/>
      <c r="I92" s="2"/>
      <c r="J92" s="2"/>
      <c r="K92" s="2"/>
      <c r="L92" s="2"/>
      <c r="M92" s="2"/>
      <c r="N92" s="2"/>
      <c r="O92" s="2"/>
      <c r="P92" s="2"/>
      <c r="Q92" s="2"/>
      <c r="R92" s="2"/>
      <c r="S92" s="2"/>
      <c r="T92" s="2"/>
      <c r="U92" s="2"/>
      <c r="V92" s="2"/>
      <c r="W92" s="2"/>
      <c r="X92" s="591"/>
      <c r="Y92" s="591"/>
      <c r="Z92" s="591"/>
      <c r="AA92" s="591"/>
      <c r="AB92" s="591"/>
      <c r="AC92" s="591"/>
      <c r="AG92" s="591"/>
      <c r="AH92" s="591"/>
      <c r="AI92" s="591"/>
      <c r="AJ92" s="591"/>
      <c r="AK92" s="591"/>
      <c r="AM92" s="591"/>
      <c r="AN92" s="591"/>
      <c r="AO92" s="591"/>
      <c r="AP92" s="591"/>
      <c r="AQ92" s="591"/>
      <c r="AS92" s="591"/>
      <c r="AT92" s="591"/>
      <c r="AU92" s="591"/>
      <c r="AV92" s="591"/>
      <c r="AW92" s="591"/>
      <c r="AY92" s="591"/>
    </row>
    <row r="93" spans="1:51" ht="18" customHeight="1" x14ac:dyDescent="0.2">
      <c r="A93" s="2"/>
      <c r="B93" s="2"/>
      <c r="C93" s="2111"/>
      <c r="D93" s="2111"/>
      <c r="E93" s="2112"/>
      <c r="F93" s="2113"/>
      <c r="G93" s="298" t="str">
        <f t="shared" ref="G93:H95" si="34">IF(G$155="X",G43,"")</f>
        <v/>
      </c>
      <c r="H93" s="298" t="str">
        <f t="shared" si="34"/>
        <v/>
      </c>
      <c r="I93" s="298"/>
      <c r="J93" s="298"/>
      <c r="K93" s="298" t="str">
        <f>IF(I$155="X",K43,"")</f>
        <v/>
      </c>
      <c r="L93" s="298"/>
      <c r="M93" s="298"/>
      <c r="N93" s="298" t="str">
        <f>IF(J$155="X",N43,"")</f>
        <v/>
      </c>
      <c r="O93" s="2033"/>
      <c r="P93" s="2033"/>
      <c r="Q93" s="12"/>
      <c r="R93" s="2"/>
      <c r="S93" s="2"/>
      <c r="T93" s="2"/>
      <c r="U93" s="2"/>
      <c r="V93" s="2"/>
      <c r="W93" s="2"/>
      <c r="X93" s="591"/>
      <c r="Y93" s="591"/>
      <c r="Z93" s="591"/>
      <c r="AA93" s="591"/>
      <c r="AB93" s="591"/>
      <c r="AC93" s="591"/>
      <c r="AG93" s="591"/>
      <c r="AH93" s="591"/>
      <c r="AI93" s="591"/>
      <c r="AJ93" s="591"/>
      <c r="AK93" s="591"/>
      <c r="AM93" s="591"/>
      <c r="AN93" s="591"/>
      <c r="AO93" s="591"/>
      <c r="AP93" s="591"/>
      <c r="AQ93" s="591"/>
      <c r="AS93" s="591"/>
      <c r="AT93" s="591"/>
      <c r="AU93" s="591"/>
      <c r="AV93" s="591"/>
      <c r="AW93" s="591"/>
      <c r="AY93" s="591"/>
    </row>
    <row r="94" spans="1:51" ht="18" customHeight="1" x14ac:dyDescent="0.2">
      <c r="A94" s="2"/>
      <c r="B94" s="2"/>
      <c r="C94" s="2114" t="str">
        <f>C44</f>
        <v>TOTALI DEL PERIODO:</v>
      </c>
      <c r="D94" s="2091"/>
      <c r="E94" s="2091"/>
      <c r="F94" s="2091"/>
      <c r="G94" s="57" t="str">
        <f t="shared" si="34"/>
        <v/>
      </c>
      <c r="H94" s="57" t="str">
        <f t="shared" si="34"/>
        <v/>
      </c>
      <c r="I94" s="57" t="s">
        <v>288</v>
      </c>
      <c r="J94" s="57"/>
      <c r="K94" s="57" t="str">
        <f>IF(I$155="X",K44,"")</f>
        <v/>
      </c>
      <c r="L94" s="57" t="s">
        <v>288</v>
      </c>
      <c r="M94" s="57"/>
      <c r="N94" s="57" t="str">
        <f>IF(J$155="X",N44,"")</f>
        <v/>
      </c>
      <c r="O94" s="85"/>
      <c r="P94" s="85"/>
      <c r="Q94" s="12"/>
      <c r="R94" s="2"/>
      <c r="S94" s="2"/>
      <c r="T94" s="2"/>
      <c r="U94" s="2"/>
      <c r="V94" s="2"/>
      <c r="W94" s="2"/>
      <c r="X94" s="591"/>
      <c r="Y94" s="591"/>
      <c r="Z94" s="591"/>
      <c r="AA94" s="591"/>
      <c r="AB94" s="591"/>
      <c r="AC94" s="591"/>
      <c r="AG94" s="591"/>
      <c r="AH94" s="591"/>
      <c r="AI94" s="591"/>
      <c r="AJ94" s="591"/>
      <c r="AK94" s="591"/>
      <c r="AM94" s="591"/>
      <c r="AN94" s="591"/>
      <c r="AO94" s="591"/>
      <c r="AP94" s="591"/>
      <c r="AQ94" s="591"/>
      <c r="AS94" s="591"/>
      <c r="AT94" s="591"/>
      <c r="AU94" s="591"/>
      <c r="AV94" s="591"/>
      <c r="AW94" s="591"/>
      <c r="AY94" s="591"/>
    </row>
    <row r="95" spans="1:51" ht="18" customHeight="1" x14ac:dyDescent="0.2">
      <c r="A95" s="2"/>
      <c r="B95" s="2"/>
      <c r="C95" s="2115" t="str">
        <f>C45</f>
        <v>01/08 - 31/08</v>
      </c>
      <c r="D95" s="2115"/>
      <c r="E95" s="2115"/>
      <c r="F95" s="2115"/>
      <c r="G95" s="90" t="str">
        <f t="shared" si="34"/>
        <v/>
      </c>
      <c r="H95" s="90" t="str">
        <f t="shared" si="34"/>
        <v/>
      </c>
      <c r="I95" s="90" t="s">
        <v>288</v>
      </c>
      <c r="J95" s="90"/>
      <c r="K95" s="90" t="str">
        <f>IF(I$155="X",K45,"")</f>
        <v/>
      </c>
      <c r="L95" s="90" t="s">
        <v>288</v>
      </c>
      <c r="M95" s="90"/>
      <c r="N95" s="90" t="str">
        <f>IF(J$155="X",N45,"")</f>
        <v/>
      </c>
      <c r="O95" s="89"/>
      <c r="P95" s="89"/>
      <c r="Q95" s="12"/>
      <c r="R95" s="2"/>
      <c r="S95" s="2"/>
      <c r="T95" s="2"/>
      <c r="U95" s="2"/>
      <c r="V95" s="2"/>
      <c r="W95" s="2"/>
      <c r="X95" s="591"/>
      <c r="Y95" s="591"/>
      <c r="Z95" s="591"/>
      <c r="AA95" s="591"/>
      <c r="AB95" s="591"/>
      <c r="AC95" s="591"/>
      <c r="AG95" s="591"/>
      <c r="AH95" s="591"/>
      <c r="AI95" s="591"/>
      <c r="AJ95" s="591"/>
      <c r="AK95" s="591"/>
      <c r="AM95" s="591"/>
      <c r="AN95" s="591"/>
      <c r="AO95" s="591"/>
      <c r="AP95" s="591"/>
      <c r="AQ95" s="591"/>
      <c r="AS95" s="591"/>
      <c r="AT95" s="591"/>
      <c r="AU95" s="591"/>
      <c r="AV95" s="591"/>
      <c r="AW95" s="591"/>
      <c r="AY95" s="591"/>
    </row>
    <row r="96" spans="1:51" ht="18.75" customHeight="1" x14ac:dyDescent="0.2">
      <c r="A96" s="2"/>
      <c r="B96" s="7"/>
      <c r="C96" s="2110"/>
      <c r="D96" s="2110"/>
      <c r="E96" s="2109"/>
      <c r="F96" s="2109"/>
      <c r="G96" s="297">
        <f>IF(G155="X",G46,0)</f>
        <v>0</v>
      </c>
      <c r="H96" s="297">
        <f>IF(H155="X",H46,0)</f>
        <v>0</v>
      </c>
      <c r="I96" s="657"/>
      <c r="J96" s="657"/>
      <c r="K96" s="297">
        <f>IF(I155="X",K46,0)</f>
        <v>0</v>
      </c>
      <c r="L96" s="657"/>
      <c r="M96" s="657"/>
      <c r="N96" s="297">
        <f>IF(J155="X",N46,0)</f>
        <v>0</v>
      </c>
      <c r="O96" s="2210" t="s">
        <v>353</v>
      </c>
      <c r="P96" s="2210"/>
      <c r="Q96" s="12"/>
      <c r="R96" s="462">
        <f>R97+R98</f>
        <v>0</v>
      </c>
      <c r="S96" s="2"/>
      <c r="T96" s="2"/>
      <c r="U96" s="2"/>
      <c r="V96" s="591"/>
      <c r="W96" s="591"/>
      <c r="X96" s="591"/>
      <c r="Y96" s="591"/>
      <c r="Z96" s="591"/>
      <c r="AA96" s="591"/>
      <c r="AB96" s="591"/>
      <c r="AC96" s="591"/>
      <c r="AG96" s="591"/>
      <c r="AH96" s="591"/>
      <c r="AI96" s="591"/>
      <c r="AJ96" s="591"/>
      <c r="AK96" s="591"/>
      <c r="AM96" s="591"/>
      <c r="AN96" s="591"/>
      <c r="AO96" s="591"/>
      <c r="AP96" s="591"/>
      <c r="AQ96" s="591"/>
      <c r="AS96" s="591"/>
      <c r="AT96" s="591"/>
      <c r="AU96" s="591"/>
      <c r="AV96" s="591"/>
      <c r="AW96" s="591"/>
      <c r="AY96" s="591"/>
    </row>
    <row r="97" spans="1:51" ht="18.75" customHeight="1" x14ac:dyDescent="0.25">
      <c r="A97" s="2"/>
      <c r="B97" s="7"/>
      <c r="C97" s="2032" t="s">
        <v>350</v>
      </c>
      <c r="D97" s="2032"/>
      <c r="E97" s="2032"/>
      <c r="F97" s="2032"/>
      <c r="G97" s="299"/>
      <c r="H97" s="299"/>
      <c r="I97" s="658"/>
      <c r="J97" s="658"/>
      <c r="K97" s="299"/>
      <c r="L97" s="658"/>
      <c r="M97" s="658"/>
      <c r="N97" s="299"/>
      <c r="O97" s="2221" t="s">
        <v>355</v>
      </c>
      <c r="P97" s="2221"/>
      <c r="Q97" s="12"/>
      <c r="R97" s="462">
        <f>SUM(G97:N97)</f>
        <v>0</v>
      </c>
      <c r="S97" s="462">
        <f>SUMIF($G$42:N$42,K$134,$G97:N97)</f>
        <v>0</v>
      </c>
      <c r="T97" s="1110" t="e">
        <f>S97/R97*100</f>
        <v>#DIV/0!</v>
      </c>
      <c r="U97" s="2"/>
      <c r="V97" s="591"/>
      <c r="W97" s="591"/>
      <c r="X97" s="591"/>
      <c r="Y97" s="591"/>
      <c r="Z97" s="591"/>
      <c r="AA97" s="591"/>
      <c r="AB97" s="591"/>
      <c r="AC97" s="591"/>
      <c r="AG97" s="591"/>
      <c r="AH97" s="591"/>
      <c r="AI97" s="591"/>
      <c r="AJ97" s="591"/>
      <c r="AK97" s="591"/>
      <c r="AM97" s="591"/>
      <c r="AN97" s="591"/>
      <c r="AO97" s="591"/>
      <c r="AP97" s="591"/>
      <c r="AQ97" s="591"/>
      <c r="AS97" s="591"/>
      <c r="AT97" s="591"/>
      <c r="AU97" s="591"/>
      <c r="AV97" s="591"/>
      <c r="AW97" s="591"/>
      <c r="AY97" s="591"/>
    </row>
    <row r="98" spans="1:51" ht="18.75" customHeight="1" x14ac:dyDescent="0.2">
      <c r="A98" s="2"/>
      <c r="B98" s="7"/>
      <c r="C98" s="2108" t="s">
        <v>490</v>
      </c>
      <c r="D98" s="2108"/>
      <c r="E98" s="2108"/>
      <c r="F98" s="2108"/>
      <c r="G98" s="300"/>
      <c r="H98" s="660"/>
      <c r="I98" s="659"/>
      <c r="J98" s="659"/>
      <c r="K98" s="660"/>
      <c r="L98" s="659"/>
      <c r="M98" s="659"/>
      <c r="N98" s="660"/>
      <c r="O98" s="2018" t="s">
        <v>349</v>
      </c>
      <c r="P98" s="2018"/>
      <c r="Q98" s="13"/>
      <c r="R98" s="462">
        <f>SUM(G98:N98)</f>
        <v>0</v>
      </c>
      <c r="S98" s="2"/>
      <c r="T98" s="2"/>
      <c r="U98" s="2"/>
      <c r="V98" s="591"/>
      <c r="W98" s="591"/>
      <c r="X98" s="591"/>
      <c r="Y98" s="591"/>
      <c r="Z98" s="591"/>
      <c r="AA98" s="591"/>
      <c r="AB98" s="591"/>
      <c r="AC98" s="591"/>
      <c r="AG98" s="591"/>
      <c r="AH98" s="591"/>
      <c r="AI98" s="591"/>
      <c r="AJ98" s="591"/>
      <c r="AK98" s="591"/>
      <c r="AM98" s="591"/>
      <c r="AN98" s="591"/>
      <c r="AO98" s="591"/>
      <c r="AP98" s="591"/>
      <c r="AQ98" s="591"/>
      <c r="AS98" s="591"/>
      <c r="AT98" s="591"/>
      <c r="AU98" s="591"/>
      <c r="AV98" s="591"/>
      <c r="AW98" s="591"/>
      <c r="AY98" s="591"/>
    </row>
    <row r="99" spans="1:51" ht="15" customHeight="1" x14ac:dyDescent="0.2">
      <c r="A99" s="2"/>
      <c r="B99" s="2"/>
      <c r="C99" s="10"/>
      <c r="D99" s="10"/>
      <c r="E99" s="10"/>
      <c r="F99" s="10"/>
      <c r="G99" s="91" t="str">
        <f>IF(AND(SUM(G97:G98)&lt;&gt;0,G152=0),$L$152,IF(G152=0,"",IF(G97=0,IMPOSTAZIONI!$J$383,IF((G97+G98)&lt;&gt;G96,IMPOSTAZIONI!$M$383,IMPOSTAZIONI!$H$383))))</f>
        <v/>
      </c>
      <c r="H99" s="91" t="str">
        <f>IF(AND(SUM(H97:H98)&lt;&gt;0,H152=0),$L$152,IF(H152=0,"",IF(H97=0,IMPOSTAZIONI!$J$383,IF((H97+H98)&lt;&gt;H96,IMPOSTAZIONI!$M$383,IMPOSTAZIONI!$H$383))))</f>
        <v/>
      </c>
      <c r="I99" s="91"/>
      <c r="J99" s="91"/>
      <c r="K99" s="91" t="str">
        <f>IF(AND(SUM(K97:K98)&lt;&gt;0,I152=0),$L$152,IF(I152=0,"",IF(K97=0,IMPOSTAZIONI!$J$383,IF((K97+K98)&lt;&gt;K96,IMPOSTAZIONI!$M$383,IMPOSTAZIONI!$H$383))))</f>
        <v/>
      </c>
      <c r="L99" s="91"/>
      <c r="M99" s="91"/>
      <c r="N99" s="91" t="str">
        <f>IF(AND(SUM(N97:N98)&lt;&gt;0,J152=0),$L$152,IF(J152=0,"",IF(N97=0,IMPOSTAZIONI!$J$383,IF((N97+N98)&lt;&gt;N96,IMPOSTAZIONI!$M$383,IMPOSTAZIONI!$H$383))))</f>
        <v/>
      </c>
      <c r="O99" s="10"/>
      <c r="P99" s="10"/>
      <c r="Q99" s="2"/>
      <c r="R99" s="2"/>
      <c r="S99" s="2"/>
      <c r="T99" s="2"/>
      <c r="U99" s="2"/>
      <c r="V99" s="591"/>
      <c r="W99" s="591"/>
      <c r="X99" s="591"/>
      <c r="Y99" s="591"/>
      <c r="Z99" s="591"/>
      <c r="AA99" s="591"/>
      <c r="AB99" s="591"/>
      <c r="AC99" s="591"/>
      <c r="AG99" s="591"/>
      <c r="AH99" s="591"/>
      <c r="AI99" s="591"/>
      <c r="AJ99" s="591"/>
      <c r="AK99" s="591"/>
      <c r="AM99" s="591"/>
      <c r="AN99" s="591"/>
      <c r="AO99" s="591"/>
      <c r="AP99" s="591"/>
      <c r="AQ99" s="591"/>
      <c r="AS99" s="591"/>
      <c r="AT99" s="591"/>
      <c r="AU99" s="591"/>
      <c r="AV99" s="591"/>
      <c r="AW99" s="591"/>
      <c r="AY99" s="591"/>
    </row>
    <row r="100" spans="1:51" ht="21" customHeight="1" x14ac:dyDescent="0.2">
      <c r="A100" s="2"/>
      <c r="B100" s="2"/>
      <c r="C100" s="2116" t="s">
        <v>354</v>
      </c>
      <c r="D100" s="2116"/>
      <c r="E100" s="2116"/>
      <c r="F100" s="2116"/>
      <c r="G100" s="2"/>
      <c r="H100" s="2"/>
      <c r="I100" s="2"/>
      <c r="J100" s="2"/>
      <c r="K100" s="2"/>
      <c r="L100" s="2"/>
      <c r="M100" s="2"/>
      <c r="N100" s="2"/>
      <c r="O100" s="2"/>
      <c r="P100" s="2"/>
      <c r="Q100" s="2"/>
      <c r="R100" s="2"/>
      <c r="S100" s="2"/>
      <c r="T100" s="128" t="s">
        <v>783</v>
      </c>
      <c r="U100" s="2"/>
      <c r="V100" s="591"/>
      <c r="W100" s="591"/>
      <c r="X100" s="591"/>
      <c r="Y100" s="591"/>
      <c r="Z100" s="591"/>
      <c r="AA100" s="591"/>
      <c r="AB100" s="591"/>
      <c r="AC100" s="591"/>
      <c r="AG100" s="591"/>
      <c r="AH100" s="591"/>
      <c r="AI100" s="591"/>
      <c r="AJ100" s="591"/>
      <c r="AK100" s="591"/>
      <c r="AM100" s="591"/>
      <c r="AN100" s="591"/>
      <c r="AO100" s="591"/>
      <c r="AP100" s="591"/>
      <c r="AQ100" s="591"/>
      <c r="AS100" s="591"/>
      <c r="AT100" s="591"/>
      <c r="AU100" s="591"/>
      <c r="AV100" s="591"/>
      <c r="AW100" s="591"/>
      <c r="AY100" s="591"/>
    </row>
    <row r="101" spans="1:51" ht="16.5" customHeight="1" x14ac:dyDescent="0.2">
      <c r="A101" s="2"/>
      <c r="B101" s="18" t="e">
        <f>VERIFICA!#REF!</f>
        <v>#REF!</v>
      </c>
      <c r="C101" s="2106" t="str">
        <f>IF(AND(RIEPILOGO!B8="",SUM(G101:N101)&gt;0),"ERROR",RIEPILOGO!B8)</f>
        <v>Aliquota 22 %</v>
      </c>
      <c r="D101" s="2106"/>
      <c r="E101" s="2106"/>
      <c r="F101" s="2106"/>
      <c r="G101" s="236"/>
      <c r="H101" s="236"/>
      <c r="I101" s="658"/>
      <c r="J101" s="658"/>
      <c r="K101" s="236"/>
      <c r="L101" s="658"/>
      <c r="M101" s="658"/>
      <c r="N101" s="236"/>
      <c r="O101" s="2218" t="s">
        <v>349</v>
      </c>
      <c r="P101" s="2218"/>
      <c r="Q101" s="12"/>
      <c r="R101" s="93">
        <f>SUM(G101:N101)</f>
        <v>0</v>
      </c>
      <c r="S101" s="93">
        <f>SUMIF($G$42:N$42,K$134,$G101:N101)</f>
        <v>0</v>
      </c>
      <c r="T101" s="1110" t="e">
        <f>S101/R101*100</f>
        <v>#DIV/0!</v>
      </c>
      <c r="U101" s="2"/>
      <c r="V101" s="591"/>
      <c r="W101" s="591"/>
      <c r="X101" s="591"/>
      <c r="Y101" s="591"/>
      <c r="Z101" s="591"/>
      <c r="AA101" s="591"/>
      <c r="AB101" s="591"/>
      <c r="AC101" s="591"/>
      <c r="AG101" s="591"/>
      <c r="AH101" s="591"/>
      <c r="AI101" s="591"/>
      <c r="AJ101" s="591"/>
      <c r="AK101" s="591"/>
      <c r="AM101" s="591"/>
      <c r="AN101" s="591"/>
      <c r="AO101" s="591"/>
      <c r="AP101" s="591"/>
      <c r="AQ101" s="591"/>
      <c r="AS101" s="591"/>
      <c r="AT101" s="591"/>
      <c r="AU101" s="591"/>
      <c r="AV101" s="591"/>
      <c r="AW101" s="591"/>
      <c r="AY101" s="591"/>
    </row>
    <row r="102" spans="1:51" ht="16.5" customHeight="1" x14ac:dyDescent="0.2">
      <c r="A102" s="2"/>
      <c r="B102" s="18" t="e">
        <f>VERIFICA!#REF!</f>
        <v>#REF!</v>
      </c>
      <c r="C102" s="2106" t="str">
        <f>IF(AND(RIEPILOGO!B9="",SUM(G102:N102)&gt;0),"ERROR",RIEPILOGO!B9)</f>
        <v>Aliquota 10 %</v>
      </c>
      <c r="D102" s="2106"/>
      <c r="E102" s="2106"/>
      <c r="F102" s="2106"/>
      <c r="G102" s="237"/>
      <c r="H102" s="237"/>
      <c r="I102" s="658"/>
      <c r="J102" s="658"/>
      <c r="K102" s="237"/>
      <c r="L102" s="658"/>
      <c r="M102" s="658"/>
      <c r="N102" s="237"/>
      <c r="O102" s="2218" t="s">
        <v>349</v>
      </c>
      <c r="P102" s="2218"/>
      <c r="Q102" s="12"/>
      <c r="R102" s="94">
        <f>SUM(G102:N102)</f>
        <v>0</v>
      </c>
      <c r="S102" s="94">
        <f>SUMIF($G$42:N$42,K$134,$G102:N102)</f>
        <v>0</v>
      </c>
      <c r="T102" s="1110" t="e">
        <f>S102/R102*100</f>
        <v>#DIV/0!</v>
      </c>
      <c r="U102" s="2"/>
      <c r="V102" s="591"/>
      <c r="W102" s="591"/>
      <c r="X102" s="591"/>
      <c r="Y102" s="591"/>
      <c r="Z102" s="591"/>
      <c r="AA102" s="591"/>
      <c r="AB102" s="591"/>
      <c r="AC102" s="591"/>
      <c r="AG102" s="591"/>
      <c r="AH102" s="591"/>
      <c r="AI102" s="591"/>
      <c r="AJ102" s="591"/>
      <c r="AK102" s="591"/>
      <c r="AM102" s="591"/>
      <c r="AN102" s="591"/>
      <c r="AO102" s="591"/>
      <c r="AP102" s="591"/>
      <c r="AQ102" s="591"/>
      <c r="AS102" s="591"/>
      <c r="AT102" s="591"/>
      <c r="AU102" s="591"/>
      <c r="AV102" s="591"/>
      <c r="AW102" s="591"/>
      <c r="AY102" s="591"/>
    </row>
    <row r="103" spans="1:51" ht="16.5" customHeight="1" x14ac:dyDescent="0.2">
      <c r="A103" s="2"/>
      <c r="B103" s="18" t="e">
        <f>VERIFICA!#REF!</f>
        <v>#REF!</v>
      </c>
      <c r="C103" s="2106" t="str">
        <f>IF(AND(RIEPILOGO!B10="",SUM(G103:N103)&gt;0),"ERROR",RIEPILOGO!B10)</f>
        <v>Aliquota 4 %</v>
      </c>
      <c r="D103" s="2106"/>
      <c r="E103" s="2106"/>
      <c r="F103" s="2106"/>
      <c r="G103" s="304"/>
      <c r="H103" s="304"/>
      <c r="I103" s="658"/>
      <c r="J103" s="658"/>
      <c r="K103" s="304"/>
      <c r="L103" s="658"/>
      <c r="M103" s="658"/>
      <c r="N103" s="304"/>
      <c r="O103" s="2218" t="s">
        <v>349</v>
      </c>
      <c r="P103" s="2218"/>
      <c r="Q103" s="12"/>
      <c r="R103" s="94">
        <f>SUM(G103:N103)</f>
        <v>0</v>
      </c>
      <c r="S103" s="94">
        <f>SUMIF($G$42:N$42,K$134,$G103:N103)</f>
        <v>0</v>
      </c>
      <c r="T103" s="1110" t="e">
        <f>S103/R103*100</f>
        <v>#DIV/0!</v>
      </c>
      <c r="U103" s="2"/>
      <c r="V103" s="591"/>
      <c r="W103" s="591"/>
      <c r="X103" s="591"/>
      <c r="Y103" s="591"/>
      <c r="Z103" s="591"/>
      <c r="AA103" s="591"/>
      <c r="AB103" s="591"/>
      <c r="AC103" s="591"/>
      <c r="AG103" s="591"/>
      <c r="AH103" s="591"/>
      <c r="AI103" s="591"/>
      <c r="AJ103" s="591"/>
      <c r="AK103" s="591"/>
      <c r="AM103" s="591"/>
      <c r="AN103" s="591"/>
      <c r="AO103" s="591"/>
      <c r="AP103" s="591"/>
      <c r="AQ103" s="591"/>
      <c r="AS103" s="591"/>
      <c r="AT103" s="591"/>
      <c r="AU103" s="591"/>
      <c r="AV103" s="591"/>
      <c r="AW103" s="591"/>
      <c r="AY103" s="591"/>
    </row>
    <row r="104" spans="1:51" ht="16.5" customHeight="1" x14ac:dyDescent="0.2">
      <c r="A104" s="2"/>
      <c r="B104" s="18" t="e">
        <f>VERIFICA!#REF!</f>
        <v>#REF!</v>
      </c>
      <c r="C104" s="2106" t="str">
        <f>IF(AND(RIEPILOGO!B11="",SUM(G104:N104)&gt;0),"ERROR",RIEPILOGO!B11)</f>
        <v/>
      </c>
      <c r="D104" s="2106"/>
      <c r="E104" s="2106"/>
      <c r="F104" s="2106"/>
      <c r="G104" s="304"/>
      <c r="H104" s="660"/>
      <c r="I104" s="659"/>
      <c r="J104" s="659"/>
      <c r="K104" s="660"/>
      <c r="L104" s="659"/>
      <c r="M104" s="659"/>
      <c r="N104" s="660"/>
      <c r="O104" s="2217" t="s">
        <v>349</v>
      </c>
      <c r="P104" s="2217"/>
      <c r="Q104" s="12"/>
      <c r="R104" s="95">
        <f>SUM(G104:N104)</f>
        <v>0</v>
      </c>
      <c r="S104" s="95">
        <f>SUMIF($G$42:N$42,K$134,$G104:N104)</f>
        <v>0</v>
      </c>
      <c r="T104" s="1110" t="e">
        <f>S104/R104*100</f>
        <v>#DIV/0!</v>
      </c>
      <c r="U104" s="2"/>
      <c r="V104" s="591"/>
      <c r="W104" s="591"/>
      <c r="X104" s="591"/>
      <c r="Y104" s="591"/>
      <c r="Z104" s="591"/>
      <c r="AA104" s="591"/>
      <c r="AB104" s="591"/>
      <c r="AC104" s="591"/>
      <c r="AG104" s="591"/>
      <c r="AH104" s="591"/>
      <c r="AI104" s="591"/>
      <c r="AJ104" s="591"/>
      <c r="AK104" s="591"/>
      <c r="AM104" s="591"/>
      <c r="AN104" s="591"/>
      <c r="AO104" s="591"/>
      <c r="AP104" s="591"/>
      <c r="AQ104" s="591"/>
      <c r="AS104" s="591"/>
      <c r="AT104" s="591"/>
      <c r="AU104" s="591"/>
      <c r="AV104" s="591"/>
      <c r="AW104" s="591"/>
      <c r="AY104" s="591"/>
    </row>
    <row r="105" spans="1:51" ht="15" customHeight="1" x14ac:dyDescent="0.2">
      <c r="A105" s="2"/>
      <c r="B105" s="2"/>
      <c r="C105" s="10"/>
      <c r="D105" s="10"/>
      <c r="E105" s="10"/>
      <c r="F105" s="10"/>
      <c r="G105" s="91" t="str">
        <f>IF(AND(SUM(G101:G104)&lt;&gt;0,G152=0),$L$152,IF(G152=0,"",IF(SUM(G101:G104)&lt;&gt;G98,IMPOSTAZIONI!$J$383,IF(SUM(G101:G104)&lt;&gt;G98,IMPOSTAZIONI!$M$383,IMPOSTAZIONI!$H$383))))</f>
        <v/>
      </c>
      <c r="H105" s="91" t="str">
        <f>IF(AND(SUM(H101:H104)&lt;&gt;0,H152=0),$L$152,IF(H152=0,"",IF(SUM(H101:H104)&lt;&gt;H98,IMPOSTAZIONI!$J$383,IF(SUM(H101:H104)&lt;&gt;H98,IMPOSTAZIONI!$M$383,IMPOSTAZIONI!$H$383))))</f>
        <v/>
      </c>
      <c r="I105" s="91"/>
      <c r="J105" s="91"/>
      <c r="K105" s="91" t="str">
        <f>IF(AND(SUM(K101:K104)&lt;&gt;0,I152=0),$L$152,IF(I152=0,"",IF(SUM(K101:K104)&lt;&gt;K98,IMPOSTAZIONI!$J$383,IF(SUM(K101:K104)&lt;&gt;K98,IMPOSTAZIONI!$M$383,IMPOSTAZIONI!$H$383))))</f>
        <v/>
      </c>
      <c r="L105" s="91"/>
      <c r="M105" s="91"/>
      <c r="N105" s="91" t="str">
        <f>IF(AND(SUM(N101:N104)&lt;&gt;0,J152=0),$L$152,IF(J152=0,"",IF(SUM(N101:N104)&lt;&gt;N98,IMPOSTAZIONI!$J$383,IF(SUM(N101:N104)&lt;&gt;N98,IMPOSTAZIONI!$M$383,IMPOSTAZIONI!$H$383))))</f>
        <v/>
      </c>
      <c r="O105" s="10"/>
      <c r="P105" s="10"/>
      <c r="Q105" s="2"/>
      <c r="R105" s="2"/>
      <c r="S105" s="2"/>
      <c r="T105" s="2"/>
      <c r="U105" s="2"/>
      <c r="V105" s="591"/>
      <c r="W105" s="591"/>
      <c r="X105" s="591"/>
      <c r="Y105" s="591"/>
      <c r="Z105" s="591"/>
      <c r="AA105" s="591"/>
      <c r="AB105" s="591"/>
      <c r="AC105" s="591"/>
      <c r="AG105" s="591"/>
      <c r="AH105" s="591"/>
      <c r="AI105" s="591"/>
      <c r="AJ105" s="591"/>
      <c r="AK105" s="591"/>
      <c r="AM105" s="591"/>
      <c r="AN105" s="591"/>
      <c r="AO105" s="591"/>
      <c r="AP105" s="591"/>
      <c r="AQ105" s="591"/>
      <c r="AS105" s="591"/>
      <c r="AT105" s="591"/>
      <c r="AU105" s="591"/>
      <c r="AV105" s="591"/>
      <c r="AW105" s="591"/>
      <c r="AY105" s="591"/>
    </row>
    <row r="106" spans="1:51" ht="21" customHeight="1" x14ac:dyDescent="0.2">
      <c r="A106" s="2"/>
      <c r="B106" s="2"/>
      <c r="C106" s="2"/>
      <c r="D106" s="2"/>
      <c r="E106" s="2"/>
      <c r="F106" s="2"/>
      <c r="G106" s="2"/>
      <c r="H106" s="2"/>
      <c r="I106" s="2"/>
      <c r="J106" s="2"/>
      <c r="K106" s="2"/>
      <c r="L106" s="2"/>
      <c r="M106" s="2"/>
      <c r="N106" s="2"/>
      <c r="O106" s="2"/>
      <c r="P106" s="2"/>
      <c r="Q106" s="2"/>
      <c r="R106" s="2"/>
      <c r="S106" s="2"/>
      <c r="T106" s="2"/>
      <c r="U106" s="2"/>
      <c r="V106" s="591"/>
      <c r="W106" s="591"/>
      <c r="X106" s="591"/>
      <c r="Y106" s="591"/>
      <c r="Z106" s="591"/>
      <c r="AA106" s="591"/>
      <c r="AB106" s="591"/>
      <c r="AC106" s="591"/>
      <c r="AG106" s="591"/>
      <c r="AH106" s="591"/>
      <c r="AI106" s="591"/>
      <c r="AJ106" s="591"/>
      <c r="AK106" s="591"/>
      <c r="AM106" s="591"/>
      <c r="AN106" s="591"/>
      <c r="AO106" s="591"/>
      <c r="AP106" s="591"/>
      <c r="AQ106" s="591"/>
      <c r="AS106" s="591"/>
      <c r="AT106" s="591"/>
      <c r="AU106" s="591"/>
      <c r="AV106" s="591"/>
      <c r="AW106" s="591"/>
      <c r="AY106" s="591"/>
    </row>
    <row r="107" spans="1:51" ht="21" customHeight="1" x14ac:dyDescent="0.2">
      <c r="A107" s="2"/>
      <c r="B107" s="2"/>
      <c r="C107" s="2"/>
      <c r="D107" s="2"/>
      <c r="E107" s="2"/>
      <c r="F107" s="278" t="s">
        <v>324</v>
      </c>
      <c r="G107" s="2"/>
      <c r="H107" s="2"/>
      <c r="I107" s="256"/>
      <c r="J107" s="256"/>
      <c r="K107" s="256"/>
      <c r="L107" s="2"/>
      <c r="M107" s="2"/>
      <c r="N107" s="2"/>
      <c r="O107" s="2"/>
      <c r="P107" s="2"/>
      <c r="Q107" s="2"/>
      <c r="R107" s="2"/>
      <c r="S107" s="2"/>
      <c r="T107" s="2"/>
      <c r="U107" s="2"/>
      <c r="V107" s="591"/>
      <c r="W107" s="591"/>
      <c r="X107" s="591"/>
      <c r="Y107" s="591"/>
      <c r="Z107" s="591"/>
      <c r="AA107" s="591"/>
      <c r="AB107" s="591"/>
      <c r="AC107" s="591"/>
      <c r="AG107" s="591"/>
      <c r="AH107" s="591"/>
      <c r="AI107" s="591"/>
      <c r="AJ107" s="591"/>
      <c r="AK107" s="591"/>
      <c r="AM107" s="591"/>
      <c r="AN107" s="591"/>
      <c r="AO107" s="591"/>
      <c r="AP107" s="591"/>
      <c r="AQ107" s="591"/>
      <c r="AS107" s="591"/>
      <c r="AT107" s="591"/>
      <c r="AU107" s="591"/>
      <c r="AV107" s="591"/>
      <c r="AW107" s="591"/>
      <c r="AY107" s="591"/>
    </row>
    <row r="108" spans="1:51" ht="18.75" customHeight="1" x14ac:dyDescent="0.2">
      <c r="A108" s="2"/>
      <c r="B108" s="2"/>
      <c r="C108" s="2"/>
      <c r="D108" s="2"/>
      <c r="E108" s="2"/>
      <c r="F108" s="763" t="s">
        <v>735</v>
      </c>
      <c r="G108" s="763"/>
      <c r="H108" s="763"/>
      <c r="I108" s="763"/>
      <c r="J108" s="2"/>
      <c r="K108" s="666">
        <f>E7</f>
        <v>0</v>
      </c>
      <c r="L108" s="2245">
        <f>K108-(SUM(G7:H7)+K7+N7)+SUMIF(G42:N42,K134,G7:N7)</f>
        <v>0</v>
      </c>
      <c r="M108" s="2246"/>
      <c r="N108" s="1045" t="s">
        <v>492</v>
      </c>
      <c r="O108" s="2"/>
      <c r="P108" s="2"/>
      <c r="Q108" s="2"/>
      <c r="R108" s="2"/>
      <c r="S108" s="2"/>
      <c r="T108" s="2"/>
      <c r="U108" s="2"/>
      <c r="V108" s="591"/>
      <c r="W108" s="591"/>
      <c r="X108" s="591"/>
      <c r="Y108" s="591"/>
      <c r="Z108" s="591"/>
      <c r="AA108" s="591"/>
      <c r="AB108" s="591"/>
      <c r="AC108" s="591"/>
      <c r="AG108" s="591"/>
      <c r="AH108" s="591"/>
      <c r="AI108" s="591"/>
      <c r="AJ108" s="591"/>
      <c r="AK108" s="591"/>
      <c r="AM108" s="591"/>
      <c r="AN108" s="591"/>
      <c r="AO108" s="591"/>
      <c r="AP108" s="591"/>
      <c r="AQ108" s="591"/>
      <c r="AS108" s="591"/>
      <c r="AT108" s="591"/>
      <c r="AU108" s="591"/>
      <c r="AV108" s="591"/>
      <c r="AW108" s="591"/>
      <c r="AY108" s="591"/>
    </row>
    <row r="109" spans="1:51" ht="18.75" customHeight="1" x14ac:dyDescent="0.2">
      <c r="A109" s="2"/>
      <c r="B109" s="2"/>
      <c r="C109" s="2"/>
      <c r="D109" s="2"/>
      <c r="E109" s="2"/>
      <c r="F109" s="764" t="s">
        <v>736</v>
      </c>
      <c r="G109" s="764"/>
      <c r="H109" s="764"/>
      <c r="I109" s="764"/>
      <c r="J109" s="2"/>
      <c r="K109" s="279">
        <f>E39</f>
        <v>0</v>
      </c>
      <c r="L109" s="2247">
        <f>K109-(SUM(G39:H39)+K39+N39)+SUMIF(G42:N42,K134,G39:N39)</f>
        <v>0</v>
      </c>
      <c r="M109" s="2248"/>
      <c r="N109" s="1046" t="s">
        <v>493</v>
      </c>
      <c r="O109" s="2"/>
      <c r="P109" s="2"/>
      <c r="Q109" s="2"/>
      <c r="R109" s="2"/>
      <c r="S109" s="2"/>
      <c r="T109" s="2"/>
      <c r="U109" s="2"/>
      <c r="V109" s="591"/>
      <c r="W109" s="591"/>
      <c r="X109" s="591"/>
      <c r="Y109" s="591"/>
      <c r="Z109" s="591"/>
      <c r="AA109" s="591"/>
      <c r="AB109" s="591"/>
      <c r="AC109" s="591"/>
      <c r="AG109" s="591"/>
      <c r="AH109" s="591"/>
      <c r="AI109" s="591"/>
      <c r="AJ109" s="591"/>
      <c r="AK109" s="591"/>
      <c r="AM109" s="591"/>
      <c r="AN109" s="591"/>
      <c r="AO109" s="591"/>
      <c r="AP109" s="591"/>
      <c r="AQ109" s="591"/>
      <c r="AS109" s="591"/>
      <c r="AT109" s="591"/>
      <c r="AU109" s="591"/>
      <c r="AV109" s="591"/>
      <c r="AW109" s="591"/>
      <c r="AY109" s="591"/>
    </row>
    <row r="110" spans="1:51" ht="19.5" customHeight="1" x14ac:dyDescent="0.25">
      <c r="A110" s="2"/>
      <c r="B110" s="2"/>
      <c r="C110" s="2"/>
      <c r="D110" s="2"/>
      <c r="E110" s="2"/>
      <c r="F110" s="661" t="s">
        <v>485</v>
      </c>
      <c r="G110" s="661"/>
      <c r="H110" s="661"/>
      <c r="I110" s="661"/>
      <c r="J110" s="2"/>
      <c r="K110" s="661"/>
      <c r="L110" s="668"/>
      <c r="M110" s="662"/>
      <c r="N110" s="2"/>
      <c r="O110" s="2"/>
      <c r="P110" s="2"/>
      <c r="Q110" s="2"/>
      <c r="R110" s="2"/>
      <c r="S110" s="2"/>
      <c r="T110" s="2"/>
      <c r="U110" s="2"/>
      <c r="V110" s="591"/>
      <c r="W110" s="591"/>
      <c r="X110" s="591"/>
      <c r="Y110" s="591"/>
      <c r="Z110" s="591"/>
      <c r="AA110" s="591"/>
      <c r="AB110" s="591"/>
      <c r="AC110" s="591"/>
      <c r="AG110" s="591"/>
      <c r="AH110" s="591"/>
      <c r="AI110" s="591"/>
      <c r="AJ110" s="591"/>
      <c r="AK110" s="591"/>
      <c r="AM110" s="591"/>
      <c r="AN110" s="591"/>
      <c r="AO110" s="591"/>
      <c r="AP110" s="591"/>
      <c r="AQ110" s="591"/>
      <c r="AS110" s="591"/>
      <c r="AT110" s="591"/>
      <c r="AU110" s="591"/>
      <c r="AV110" s="591"/>
      <c r="AW110" s="591"/>
      <c r="AY110" s="591"/>
    </row>
    <row r="111" spans="1:51" ht="19.5" customHeight="1" x14ac:dyDescent="0.2">
      <c r="A111" s="2"/>
      <c r="B111" s="2"/>
      <c r="C111" s="2"/>
      <c r="D111" s="2"/>
      <c r="E111" s="2"/>
      <c r="F111" s="663" t="s">
        <v>480</v>
      </c>
      <c r="G111" s="663"/>
      <c r="H111" s="663"/>
      <c r="I111" s="663"/>
      <c r="J111" s="2"/>
      <c r="K111" s="663"/>
      <c r="L111" s="669"/>
      <c r="M111" s="664"/>
      <c r="N111" s="2"/>
      <c r="O111" s="2"/>
      <c r="P111" s="2"/>
      <c r="Q111" s="2"/>
      <c r="R111" s="2"/>
      <c r="S111" s="2"/>
      <c r="T111" s="2"/>
      <c r="U111" s="2"/>
      <c r="V111" s="591"/>
      <c r="W111" s="591"/>
      <c r="X111" s="591"/>
      <c r="Y111" s="591"/>
      <c r="Z111" s="591"/>
      <c r="AA111" s="591"/>
      <c r="AB111" s="591"/>
      <c r="AC111" s="591"/>
      <c r="AG111" s="591"/>
      <c r="AH111" s="591"/>
      <c r="AI111" s="591"/>
      <c r="AJ111" s="591"/>
      <c r="AK111" s="591"/>
      <c r="AM111" s="591"/>
      <c r="AN111" s="591"/>
      <c r="AO111" s="591"/>
      <c r="AP111" s="591"/>
      <c r="AQ111" s="591"/>
      <c r="AS111" s="591"/>
      <c r="AT111" s="591"/>
      <c r="AU111" s="591"/>
      <c r="AV111" s="591"/>
      <c r="AW111" s="591"/>
      <c r="AY111" s="591"/>
    </row>
    <row r="112" spans="1:51" ht="21" customHeight="1" x14ac:dyDescent="0.2">
      <c r="A112" s="2"/>
      <c r="B112" s="2"/>
      <c r="C112" s="2"/>
      <c r="D112" s="2"/>
      <c r="E112" s="2"/>
      <c r="F112" s="104" t="s">
        <v>97</v>
      </c>
      <c r="G112" s="104"/>
      <c r="H112" s="104"/>
      <c r="I112" s="104"/>
      <c r="J112" s="2"/>
      <c r="K112" s="104"/>
      <c r="L112" s="484"/>
      <c r="M112" s="665"/>
      <c r="N112" s="2"/>
      <c r="O112" s="2"/>
      <c r="P112" s="2"/>
      <c r="Q112" s="2"/>
      <c r="R112" s="2"/>
      <c r="S112" s="2"/>
      <c r="T112" s="2"/>
      <c r="U112" s="2"/>
      <c r="V112" s="591"/>
      <c r="W112" s="591"/>
      <c r="X112" s="591"/>
      <c r="Y112" s="591"/>
      <c r="Z112" s="591"/>
      <c r="AA112" s="591"/>
      <c r="AB112" s="591"/>
      <c r="AC112" s="591"/>
      <c r="AG112" s="591"/>
      <c r="AH112" s="591"/>
      <c r="AI112" s="591"/>
      <c r="AJ112" s="591"/>
      <c r="AK112" s="591"/>
      <c r="AM112" s="591"/>
      <c r="AN112" s="591"/>
      <c r="AO112" s="591"/>
      <c r="AP112" s="591"/>
      <c r="AQ112" s="591"/>
      <c r="AS112" s="591"/>
      <c r="AT112" s="591"/>
      <c r="AU112" s="591"/>
      <c r="AV112" s="591"/>
      <c r="AW112" s="591"/>
      <c r="AY112" s="591"/>
    </row>
    <row r="113" spans="1:51" ht="12" customHeight="1" x14ac:dyDescent="0.2">
      <c r="A113" s="2"/>
      <c r="B113" s="2"/>
      <c r="C113" s="2"/>
      <c r="D113" s="2"/>
      <c r="E113" s="2"/>
      <c r="F113" s="2"/>
      <c r="G113" s="2"/>
      <c r="H113" s="2"/>
      <c r="I113" s="2"/>
      <c r="J113" s="2"/>
      <c r="K113" s="2"/>
      <c r="L113" s="14"/>
      <c r="M113" s="139"/>
      <c r="N113" s="2"/>
      <c r="O113" s="2"/>
      <c r="P113" s="2"/>
      <c r="Q113" s="2"/>
      <c r="R113" s="2"/>
      <c r="S113" s="2"/>
      <c r="T113" s="2"/>
      <c r="U113" s="2"/>
      <c r="V113" s="591"/>
      <c r="W113" s="591"/>
      <c r="X113" s="591"/>
      <c r="Y113" s="591"/>
      <c r="Z113" s="591"/>
      <c r="AA113" s="591"/>
      <c r="AB113" s="591"/>
      <c r="AC113" s="591"/>
      <c r="AG113" s="591"/>
      <c r="AH113" s="591"/>
      <c r="AI113" s="591"/>
      <c r="AJ113" s="591"/>
      <c r="AK113" s="591"/>
      <c r="AM113" s="591"/>
      <c r="AN113" s="591"/>
      <c r="AO113" s="591"/>
      <c r="AP113" s="591"/>
      <c r="AQ113" s="591"/>
      <c r="AS113" s="591"/>
      <c r="AT113" s="591"/>
      <c r="AU113" s="591"/>
      <c r="AV113" s="591"/>
      <c r="AW113" s="591"/>
      <c r="AY113" s="591"/>
    </row>
    <row r="114" spans="1:51" ht="15" hidden="1" customHeight="1" x14ac:dyDescent="0.2">
      <c r="A114" s="2"/>
      <c r="B114" s="2"/>
      <c r="C114" s="2"/>
      <c r="D114" s="2"/>
      <c r="E114" s="2"/>
      <c r="F114" s="2"/>
      <c r="G114" s="103">
        <f>IF(ISERROR(G$135),HLOOKUP(L$138,$J$138:$L$138,1,FALSE),HLOOKUP(G$135,$G$129:$I129,1,FALSE))</f>
        <v>3</v>
      </c>
      <c r="H114" s="103">
        <f>IF(ISERROR(H$135),HLOOKUP(K$138,$J$138:$L$138,1,FALSE),HLOOKUP(H$135,$G$129:$I129,1,FALSE))</f>
        <v>2</v>
      </c>
      <c r="I114" s="2053">
        <f>IF(ISERROR(I$135),HLOOKUP(J$138,$J$138:$L$138,1,FALSE),HLOOKUP(I$135,$G$129:$I129,1,FALSE))</f>
        <v>1</v>
      </c>
      <c r="J114" s="2053"/>
      <c r="K114" s="2"/>
      <c r="L114" s="14"/>
      <c r="M114" s="139"/>
      <c r="N114" s="2"/>
      <c r="O114" s="2"/>
      <c r="P114" s="2"/>
      <c r="Q114" s="2"/>
      <c r="R114" s="2"/>
      <c r="S114" s="2"/>
      <c r="T114" s="2"/>
      <c r="U114" s="2"/>
      <c r="V114" s="591"/>
      <c r="W114" s="591"/>
      <c r="X114" s="591"/>
      <c r="Y114" s="591"/>
      <c r="Z114" s="591"/>
      <c r="AA114" s="591"/>
      <c r="AB114" s="591"/>
      <c r="AC114" s="591"/>
      <c r="AG114" s="591"/>
      <c r="AH114" s="591"/>
      <c r="AI114" s="591"/>
      <c r="AJ114" s="591"/>
      <c r="AK114" s="591"/>
      <c r="AM114" s="591"/>
      <c r="AN114" s="591"/>
      <c r="AO114" s="591"/>
      <c r="AP114" s="591"/>
      <c r="AQ114" s="591"/>
      <c r="AS114" s="591"/>
      <c r="AT114" s="591"/>
      <c r="AU114" s="591"/>
      <c r="AV114" s="591"/>
      <c r="AW114" s="591"/>
      <c r="AY114" s="591"/>
    </row>
    <row r="115" spans="1:51" ht="21" hidden="1" customHeight="1" x14ac:dyDescent="0.2">
      <c r="A115" s="2"/>
      <c r="B115" s="2"/>
      <c r="C115" s="2"/>
      <c r="D115" s="2"/>
      <c r="E115" s="2"/>
      <c r="F115" s="2"/>
      <c r="G115" s="129">
        <f>IF(ISERROR(G$135),0,HLOOKUP(G$135,$G$129:$I130,2,FALSE))</f>
        <v>0</v>
      </c>
      <c r="H115" s="129">
        <f>IF(ISERROR(H$135),0,HLOOKUP(H$135,$G$129:$I130,2,FALSE))</f>
        <v>0</v>
      </c>
      <c r="I115" s="2244">
        <f>IF(ISERROR(I$135),0,HLOOKUP(I$135,$G$129:$I130,2,FALSE))</f>
        <v>0</v>
      </c>
      <c r="J115" s="2244"/>
      <c r="K115" s="2"/>
      <c r="L115" s="14"/>
      <c r="M115" s="139"/>
      <c r="N115" s="2"/>
      <c r="O115" s="2"/>
      <c r="P115" s="2"/>
      <c r="Q115" s="2"/>
      <c r="R115" s="2"/>
      <c r="S115" s="2"/>
      <c r="T115" s="2"/>
      <c r="U115" s="2"/>
      <c r="V115" s="591"/>
      <c r="W115" s="591"/>
      <c r="X115" s="591"/>
      <c r="Y115" s="591"/>
      <c r="Z115" s="591"/>
      <c r="AA115" s="591"/>
      <c r="AB115" s="591"/>
      <c r="AC115" s="591"/>
      <c r="AG115" s="591"/>
      <c r="AH115" s="591"/>
      <c r="AI115" s="591"/>
      <c r="AJ115" s="591"/>
      <c r="AK115" s="591"/>
      <c r="AM115" s="591"/>
      <c r="AN115" s="591"/>
      <c r="AO115" s="591"/>
      <c r="AP115" s="591"/>
      <c r="AQ115" s="591"/>
      <c r="AS115" s="591"/>
      <c r="AT115" s="591"/>
      <c r="AU115" s="591"/>
      <c r="AV115" s="591"/>
      <c r="AW115" s="591"/>
      <c r="AY115" s="591"/>
    </row>
    <row r="116" spans="1:51" ht="18" customHeight="1" x14ac:dyDescent="0.2">
      <c r="A116" s="2"/>
      <c r="B116" s="2"/>
      <c r="C116" s="2"/>
      <c r="D116" s="2"/>
      <c r="E116" s="2"/>
      <c r="F116" s="2"/>
      <c r="G116" s="280">
        <f>IF(ISERROR(G$135),HLOOKUP(L$138,$J$138:$L140,3,FALSE),HLOOKUP(G$135,$G$129:$I131,3,FALSE))</f>
        <v>0</v>
      </c>
      <c r="H116" s="280">
        <f>IF(ISERROR(H$135),HLOOKUP(K$138,$J$138:$L140,3,FALSE),HLOOKUP(H$135,$G$129:$I131,3,FALSE))</f>
        <v>0</v>
      </c>
      <c r="I116" s="2249">
        <f>IF(ISERROR(I$135),HLOOKUP(J$138,$J$138:$L140,3,FALSE),HLOOKUP(I$135,$G$129:$I131,3,FALSE))</f>
        <v>0</v>
      </c>
      <c r="J116" s="2250"/>
      <c r="K116" s="2"/>
      <c r="L116" s="14"/>
      <c r="M116" s="139"/>
      <c r="N116" s="2"/>
      <c r="O116" s="2"/>
      <c r="P116" s="2"/>
      <c r="Q116" s="2"/>
      <c r="R116" s="2"/>
      <c r="S116" s="2"/>
      <c r="T116" s="2"/>
      <c r="U116" s="2"/>
      <c r="V116" s="591"/>
      <c r="W116" s="591"/>
      <c r="X116" s="591"/>
      <c r="Y116" s="591"/>
      <c r="Z116" s="591"/>
      <c r="AA116" s="591"/>
      <c r="AB116" s="591"/>
      <c r="AC116" s="591"/>
      <c r="AG116" s="591"/>
      <c r="AH116" s="591"/>
      <c r="AI116" s="591"/>
      <c r="AJ116" s="591"/>
      <c r="AK116" s="591"/>
      <c r="AM116" s="591"/>
      <c r="AN116" s="591"/>
      <c r="AO116" s="591"/>
      <c r="AP116" s="591"/>
      <c r="AQ116" s="591"/>
      <c r="AS116" s="591"/>
      <c r="AT116" s="591"/>
      <c r="AU116" s="591"/>
      <c r="AV116" s="591"/>
      <c r="AW116" s="591"/>
      <c r="AY116" s="591"/>
    </row>
    <row r="117" spans="1:51" ht="18" customHeight="1" x14ac:dyDescent="0.2">
      <c r="A117" s="2"/>
      <c r="B117" s="2"/>
      <c r="C117" s="2"/>
      <c r="D117" s="2"/>
      <c r="E117" s="2"/>
      <c r="F117" s="2"/>
      <c r="G117" s="281">
        <f>IF(ISERROR(G$135),HLOOKUP(L$138,$J$138:$L141,4,FALSE),HLOOKUP(G$135,$G$129:$I132,4,FALSE))</f>
        <v>0</v>
      </c>
      <c r="H117" s="281">
        <f>IF(ISERROR(H$135),HLOOKUP(K$138,$J$138:$L141,4,FALSE),HLOOKUP(H$135,$G$129:$I132,4,FALSE))</f>
        <v>0</v>
      </c>
      <c r="I117" s="2251">
        <f>IF(ISERROR(I$135),HLOOKUP(J$138,$J$138:$L141,4,FALSE),HLOOKUP(I$135,$G$129:$I132,4,FALSE))</f>
        <v>0</v>
      </c>
      <c r="J117" s="2252"/>
      <c r="K117" s="2"/>
      <c r="L117" s="14"/>
      <c r="M117" s="139"/>
      <c r="N117" s="2"/>
      <c r="O117" s="2"/>
      <c r="P117" s="2"/>
      <c r="Q117" s="2"/>
      <c r="R117" s="2"/>
      <c r="S117" s="2"/>
      <c r="T117" s="2"/>
      <c r="U117" s="2"/>
      <c r="V117" s="591"/>
      <c r="W117" s="591"/>
      <c r="X117" s="591"/>
      <c r="Y117" s="591"/>
      <c r="Z117" s="591"/>
      <c r="AA117" s="591"/>
      <c r="AB117" s="591"/>
      <c r="AC117" s="591"/>
      <c r="AG117" s="591"/>
      <c r="AH117" s="591"/>
      <c r="AI117" s="591"/>
      <c r="AJ117" s="591"/>
      <c r="AK117" s="591"/>
      <c r="AM117" s="591"/>
      <c r="AN117" s="591"/>
      <c r="AO117" s="591"/>
      <c r="AP117" s="591"/>
      <c r="AQ117" s="591"/>
      <c r="AS117" s="591"/>
      <c r="AT117" s="591"/>
      <c r="AU117" s="591"/>
      <c r="AV117" s="591"/>
      <c r="AW117" s="591"/>
      <c r="AY117" s="591"/>
    </row>
    <row r="118" spans="1:51" ht="18" customHeight="1" x14ac:dyDescent="0.2">
      <c r="A118" s="2"/>
      <c r="B118" s="2"/>
      <c r="C118" s="2"/>
      <c r="D118" s="2"/>
      <c r="E118" s="2"/>
      <c r="F118" s="2"/>
      <c r="G118" s="282">
        <f>IF(ISERROR(G$135),HLOOKUP(L$138,$J$138:$L142,5,FALSE),HLOOKUP(G$135,$G$129:$I133,5,FALSE))</f>
        <v>0</v>
      </c>
      <c r="H118" s="282">
        <f>IF(ISERROR(H$135),HLOOKUP(K$138,$J$138:$L142,5,FALSE),HLOOKUP(H$135,$G$129:$I133,5,FALSE))</f>
        <v>0</v>
      </c>
      <c r="I118" s="2257">
        <f>IF(ISERROR(I$135),HLOOKUP(J$138,$J$138:$L142,5,FALSE),HLOOKUP(I$135,$G$129:$I133,5,FALSE))</f>
        <v>0</v>
      </c>
      <c r="J118" s="2258"/>
      <c r="K118" s="2"/>
      <c r="L118" s="14"/>
      <c r="M118" s="139"/>
      <c r="N118" s="2"/>
      <c r="O118" s="2"/>
      <c r="P118" s="2"/>
      <c r="Q118" s="2"/>
      <c r="R118" s="2"/>
      <c r="S118" s="2"/>
      <c r="T118" s="2"/>
      <c r="U118" s="2"/>
      <c r="V118" s="591"/>
      <c r="W118" s="591"/>
      <c r="X118" s="591"/>
      <c r="Y118" s="591"/>
      <c r="Z118" s="591"/>
      <c r="AA118" s="591"/>
      <c r="AB118" s="591"/>
      <c r="AC118" s="591"/>
      <c r="AG118" s="591"/>
      <c r="AH118" s="591"/>
      <c r="AI118" s="591"/>
      <c r="AJ118" s="591"/>
      <c r="AK118" s="591"/>
      <c r="AM118" s="591"/>
      <c r="AN118" s="591"/>
      <c r="AO118" s="591"/>
      <c r="AP118" s="591"/>
      <c r="AQ118" s="591"/>
      <c r="AS118" s="591"/>
      <c r="AT118" s="591"/>
      <c r="AU118" s="591"/>
      <c r="AV118" s="591"/>
      <c r="AW118" s="591"/>
      <c r="AY118" s="591"/>
    </row>
    <row r="119" spans="1:51" ht="21" hidden="1" customHeight="1" x14ac:dyDescent="0.2">
      <c r="A119" s="2"/>
      <c r="B119" s="2"/>
      <c r="C119" s="2"/>
      <c r="D119" s="2"/>
      <c r="E119" s="2"/>
      <c r="F119" s="2"/>
      <c r="G119" s="117" t="e">
        <f>IF(ISERROR(G$135),HLOOKUP(L$138,$J$138:$L139,2,FALSE),HLOOKUP(G$135,$G$129:$I136,8,FALSE))</f>
        <v>#N/A</v>
      </c>
      <c r="H119" s="117" t="e">
        <f>IF(ISERROR(H$135),HLOOKUP(K$138,$J$138:$L139,2,FALSE),HLOOKUP(H$135,$G$129:$I136,8,FALSE))</f>
        <v>#N/A</v>
      </c>
      <c r="I119" s="2259" t="e">
        <f>IF(ISERROR(I$135),HLOOKUP(J$138,$J$138:$L139,2,FALSE),HLOOKUP(I$135,$G$129:$I136,8,FALSE))</f>
        <v>#N/A</v>
      </c>
      <c r="J119" s="2259"/>
      <c r="K119" s="2"/>
      <c r="L119" s="14"/>
      <c r="M119" s="139"/>
      <c r="N119" s="2"/>
      <c r="O119" s="2"/>
      <c r="P119" s="2"/>
      <c r="Q119" s="2"/>
      <c r="R119" s="2"/>
      <c r="S119" s="2"/>
      <c r="T119" s="2"/>
      <c r="U119" s="2"/>
      <c r="V119" s="591"/>
      <c r="W119" s="591"/>
      <c r="X119" s="591"/>
      <c r="Y119" s="591"/>
      <c r="Z119" s="591"/>
      <c r="AA119" s="591"/>
      <c r="AB119" s="591"/>
      <c r="AC119" s="591"/>
      <c r="AG119" s="591"/>
      <c r="AH119" s="591"/>
      <c r="AI119" s="591"/>
      <c r="AJ119" s="591"/>
      <c r="AK119" s="591"/>
      <c r="AM119" s="591"/>
      <c r="AN119" s="591"/>
      <c r="AO119" s="591"/>
      <c r="AP119" s="591"/>
      <c r="AQ119" s="591"/>
      <c r="AS119" s="591"/>
      <c r="AT119" s="591"/>
      <c r="AU119" s="591"/>
      <c r="AV119" s="591"/>
      <c r="AW119" s="591"/>
      <c r="AY119" s="591"/>
    </row>
    <row r="120" spans="1:51" ht="4.5" customHeight="1" x14ac:dyDescent="0.2">
      <c r="A120" s="2"/>
      <c r="B120" s="2"/>
      <c r="C120" s="2"/>
      <c r="D120" s="2"/>
      <c r="E120" s="2"/>
      <c r="F120" s="2"/>
      <c r="G120" s="14"/>
      <c r="H120" s="14"/>
      <c r="I120" s="2202"/>
      <c r="J120" s="2202"/>
      <c r="K120" s="2"/>
      <c r="L120" s="14"/>
      <c r="M120" s="139"/>
      <c r="N120" s="2"/>
      <c r="O120" s="2"/>
      <c r="P120" s="2"/>
      <c r="Q120" s="2"/>
      <c r="R120" s="2"/>
      <c r="S120" s="2"/>
      <c r="T120" s="2"/>
      <c r="U120" s="2"/>
      <c r="V120" s="591"/>
      <c r="W120" s="591"/>
      <c r="X120" s="591"/>
      <c r="Y120" s="591"/>
      <c r="Z120" s="591"/>
      <c r="AA120" s="591"/>
      <c r="AB120" s="591"/>
      <c r="AC120" s="591"/>
      <c r="AG120" s="591"/>
      <c r="AH120" s="591"/>
      <c r="AI120" s="591"/>
      <c r="AJ120" s="591"/>
      <c r="AK120" s="591"/>
      <c r="AM120" s="591"/>
      <c r="AN120" s="591"/>
      <c r="AO120" s="591"/>
      <c r="AP120" s="591"/>
      <c r="AQ120" s="591"/>
      <c r="AS120" s="591"/>
      <c r="AT120" s="591"/>
      <c r="AU120" s="591"/>
      <c r="AV120" s="591"/>
      <c r="AW120" s="591"/>
      <c r="AY120" s="591"/>
    </row>
    <row r="121" spans="1:51" ht="18" customHeight="1" x14ac:dyDescent="0.25">
      <c r="A121" s="2"/>
      <c r="B121" s="2"/>
      <c r="C121" s="2"/>
      <c r="D121" s="2"/>
      <c r="E121" s="2"/>
      <c r="F121" s="283" t="s">
        <v>483</v>
      </c>
      <c r="G121" s="285">
        <f>IMPOSTAZIONI!K291</f>
        <v>0</v>
      </c>
      <c r="H121" s="285">
        <f>IMPOSTAZIONI!K292</f>
        <v>0</v>
      </c>
      <c r="I121" s="2253">
        <f>IMPOSTAZIONI!K293</f>
        <v>0</v>
      </c>
      <c r="J121" s="2254"/>
      <c r="K121" s="667">
        <f>SUM(G121:I121)</f>
        <v>0</v>
      </c>
      <c r="L121" s="14"/>
      <c r="M121" s="139"/>
      <c r="N121" s="2"/>
      <c r="O121" s="2"/>
      <c r="P121" s="2"/>
      <c r="Q121" s="2"/>
      <c r="R121" s="2"/>
      <c r="S121" s="2"/>
      <c r="T121" s="2"/>
      <c r="U121" s="2"/>
      <c r="V121" s="591"/>
      <c r="W121" s="591"/>
      <c r="X121" s="591"/>
      <c r="Y121" s="591"/>
      <c r="Z121" s="591"/>
      <c r="AA121" s="591"/>
      <c r="AB121" s="591"/>
      <c r="AC121" s="591"/>
      <c r="AG121" s="591"/>
      <c r="AH121" s="591"/>
      <c r="AI121" s="591"/>
      <c r="AJ121" s="591"/>
      <c r="AK121" s="591"/>
      <c r="AM121" s="591"/>
      <c r="AN121" s="591"/>
      <c r="AO121" s="591"/>
      <c r="AP121" s="591"/>
      <c r="AQ121" s="591"/>
      <c r="AS121" s="591"/>
      <c r="AT121" s="591"/>
      <c r="AU121" s="591"/>
      <c r="AV121" s="591"/>
      <c r="AW121" s="591"/>
      <c r="AY121" s="591"/>
    </row>
    <row r="122" spans="1:51" ht="18" customHeight="1" x14ac:dyDescent="0.2">
      <c r="A122" s="2"/>
      <c r="B122" s="2"/>
      <c r="C122" s="2"/>
      <c r="D122" s="2"/>
      <c r="E122" s="2"/>
      <c r="F122" s="284" t="s">
        <v>484</v>
      </c>
      <c r="G122" s="286">
        <f>IMPOSTAZIONI!P291</f>
        <v>0</v>
      </c>
      <c r="H122" s="286">
        <f>IMPOSTAZIONI!P292</f>
        <v>0</v>
      </c>
      <c r="I122" s="2255">
        <f>IMPOSTAZIONI!P293</f>
        <v>0</v>
      </c>
      <c r="J122" s="2256"/>
      <c r="K122" s="310">
        <f>SUM(G122:I122)</f>
        <v>0</v>
      </c>
      <c r="L122" s="287"/>
      <c r="M122" s="311"/>
      <c r="N122" s="2"/>
      <c r="O122" s="2"/>
      <c r="P122" s="2"/>
      <c r="Q122" s="2"/>
      <c r="R122" s="2"/>
      <c r="S122" s="2"/>
      <c r="T122" s="2"/>
      <c r="U122" s="2"/>
      <c r="V122" s="591"/>
      <c r="W122" s="591"/>
      <c r="X122" s="591"/>
      <c r="Y122" s="591"/>
      <c r="Z122" s="591"/>
      <c r="AA122" s="591"/>
      <c r="AB122" s="591"/>
      <c r="AC122" s="591"/>
      <c r="AG122" s="591"/>
      <c r="AH122" s="591"/>
      <c r="AI122" s="591"/>
      <c r="AJ122" s="591"/>
      <c r="AK122" s="591"/>
      <c r="AM122" s="591"/>
      <c r="AN122" s="591"/>
      <c r="AO122" s="591"/>
      <c r="AP122" s="591"/>
      <c r="AQ122" s="591"/>
      <c r="AS122" s="591"/>
      <c r="AT122" s="591"/>
      <c r="AU122" s="591"/>
      <c r="AV122" s="591"/>
      <c r="AW122" s="591"/>
      <c r="AY122" s="591"/>
    </row>
    <row r="123" spans="1:51" ht="21" customHeight="1" x14ac:dyDescent="0.2">
      <c r="A123" s="2"/>
      <c r="B123" s="2"/>
      <c r="C123" s="2"/>
      <c r="D123" s="2"/>
      <c r="E123" s="2"/>
      <c r="F123" s="2"/>
      <c r="G123" s="2"/>
      <c r="H123" s="2"/>
      <c r="I123" s="2"/>
      <c r="J123" s="2"/>
      <c r="K123" s="2"/>
      <c r="L123" s="2"/>
      <c r="M123" s="2"/>
      <c r="N123" s="2"/>
      <c r="O123" s="2"/>
      <c r="P123" s="2"/>
      <c r="Q123" s="2"/>
      <c r="R123" s="2"/>
      <c r="S123" s="2"/>
      <c r="T123" s="2"/>
      <c r="U123" s="2"/>
      <c r="V123" s="591"/>
      <c r="W123" s="591"/>
      <c r="X123" s="591"/>
      <c r="Y123" s="591"/>
      <c r="Z123" s="591"/>
      <c r="AA123" s="591"/>
      <c r="AB123" s="591"/>
      <c r="AC123" s="591"/>
      <c r="AG123" s="591"/>
      <c r="AH123" s="591"/>
      <c r="AI123" s="591"/>
      <c r="AJ123" s="591"/>
      <c r="AK123" s="591"/>
      <c r="AM123" s="591"/>
      <c r="AN123" s="591"/>
      <c r="AO123" s="591"/>
      <c r="AP123" s="591"/>
      <c r="AQ123" s="591"/>
      <c r="AS123" s="591"/>
      <c r="AT123" s="591"/>
      <c r="AU123" s="591"/>
      <c r="AV123" s="591"/>
      <c r="AW123" s="591"/>
      <c r="AY123" s="591"/>
    </row>
    <row r="124" spans="1:51" ht="21" customHeight="1" x14ac:dyDescent="0.2">
      <c r="A124" s="2"/>
      <c r="B124" s="2"/>
      <c r="C124" s="287"/>
      <c r="D124" s="287"/>
      <c r="E124" s="287"/>
      <c r="F124" s="287"/>
      <c r="G124" s="287"/>
      <c r="H124" s="287"/>
      <c r="I124" s="287"/>
      <c r="J124" s="287"/>
      <c r="K124" s="287"/>
      <c r="L124" s="287"/>
      <c r="M124" s="287"/>
      <c r="N124" s="287"/>
      <c r="O124" s="287"/>
      <c r="P124" s="2"/>
      <c r="Q124" s="2"/>
      <c r="R124" s="2"/>
      <c r="S124" s="2"/>
      <c r="T124" s="2"/>
      <c r="U124" s="2"/>
      <c r="V124" s="591"/>
      <c r="W124" s="591"/>
      <c r="X124" s="591"/>
      <c r="Y124" s="591"/>
      <c r="Z124" s="591"/>
      <c r="AA124" s="591"/>
      <c r="AB124" s="591"/>
      <c r="AC124" s="591"/>
      <c r="AG124" s="591"/>
      <c r="AH124" s="591"/>
      <c r="AI124" s="591"/>
      <c r="AJ124" s="591"/>
      <c r="AK124" s="591"/>
      <c r="AM124" s="591"/>
      <c r="AN124" s="591"/>
      <c r="AO124" s="591"/>
      <c r="AP124" s="591"/>
      <c r="AQ124" s="591"/>
      <c r="AS124" s="591"/>
      <c r="AT124" s="591"/>
      <c r="AU124" s="591"/>
      <c r="AV124" s="591"/>
      <c r="AW124" s="591"/>
      <c r="AY124" s="591"/>
    </row>
    <row r="125" spans="1:51" ht="13.5" hidden="1" customHeight="1" x14ac:dyDescent="0.2">
      <c r="A125" s="2"/>
      <c r="B125" s="2"/>
      <c r="C125" s="2"/>
      <c r="D125" s="2"/>
      <c r="E125" s="2"/>
      <c r="F125" s="2"/>
      <c r="G125" s="2"/>
      <c r="H125" s="2"/>
      <c r="I125" s="2"/>
      <c r="J125" s="2"/>
      <c r="K125" s="2"/>
      <c r="L125" s="2"/>
      <c r="M125" s="2"/>
      <c r="N125" s="2"/>
      <c r="O125" s="2"/>
      <c r="P125" s="2"/>
      <c r="Q125" s="2"/>
      <c r="R125" s="2"/>
      <c r="S125" s="2"/>
      <c r="T125" s="2"/>
      <c r="U125" s="2"/>
      <c r="V125" s="591"/>
      <c r="W125" s="591"/>
      <c r="X125" s="591"/>
      <c r="Y125" s="591"/>
      <c r="Z125" s="591"/>
      <c r="AA125" s="591"/>
      <c r="AB125" s="591"/>
      <c r="AC125" s="591"/>
      <c r="AG125" s="591"/>
      <c r="AH125" s="591"/>
      <c r="AI125" s="591"/>
      <c r="AJ125" s="591"/>
      <c r="AK125" s="591"/>
      <c r="AM125" s="591"/>
      <c r="AN125" s="591"/>
      <c r="AO125" s="591"/>
      <c r="AP125" s="591"/>
      <c r="AQ125" s="591"/>
      <c r="AS125" s="591"/>
      <c r="AT125" s="591"/>
      <c r="AU125" s="591"/>
      <c r="AV125" s="591"/>
      <c r="AW125" s="591"/>
      <c r="AY125" s="591"/>
    </row>
    <row r="126" spans="1:51" ht="18.75" customHeight="1" x14ac:dyDescent="0.2">
      <c r="A126" s="2"/>
      <c r="B126" s="2"/>
      <c r="C126" s="2083" t="str">
        <f ca="1">Presentazione!D70</f>
        <v>Questo file risulta al momento completamente funzionante ed il sistema rileva tutti i suoi fogli.</v>
      </c>
      <c r="D126" s="2083"/>
      <c r="E126" s="2083"/>
      <c r="F126" s="2083"/>
      <c r="G126" s="2083"/>
      <c r="H126" s="2083"/>
      <c r="I126" s="2083"/>
      <c r="J126" s="2083"/>
      <c r="K126" s="2083"/>
      <c r="L126" s="2083"/>
      <c r="M126" s="2083"/>
      <c r="N126" s="553"/>
      <c r="O126" s="553"/>
      <c r="P126" s="553"/>
      <c r="Q126" s="2"/>
      <c r="R126" s="2"/>
      <c r="S126" s="2"/>
      <c r="T126" s="2"/>
      <c r="U126" s="2"/>
      <c r="V126" s="591"/>
      <c r="W126" s="591"/>
      <c r="X126" s="591"/>
      <c r="Y126" s="591"/>
      <c r="Z126" s="591"/>
      <c r="AA126" s="591"/>
      <c r="AB126" s="591"/>
      <c r="AC126" s="591"/>
      <c r="AG126" s="591"/>
      <c r="AH126" s="591"/>
      <c r="AI126" s="591"/>
      <c r="AJ126" s="591"/>
      <c r="AK126" s="591"/>
      <c r="AM126" s="591"/>
      <c r="AN126" s="591"/>
      <c r="AO126" s="591"/>
      <c r="AP126" s="591"/>
      <c r="AQ126" s="591"/>
      <c r="AS126" s="591"/>
      <c r="AT126" s="591"/>
      <c r="AU126" s="591"/>
      <c r="AV126" s="591"/>
      <c r="AW126" s="591"/>
      <c r="AY126" s="591"/>
    </row>
    <row r="127" spans="1:51" ht="33" customHeight="1" x14ac:dyDescent="0.25">
      <c r="A127" s="2"/>
      <c r="B127" s="2"/>
      <c r="C127" s="930" t="s">
        <v>716</v>
      </c>
      <c r="D127" s="930"/>
      <c r="E127" s="930"/>
      <c r="F127" s="930"/>
      <c r="G127" s="930"/>
      <c r="H127" s="2"/>
      <c r="I127" s="2"/>
      <c r="J127" s="2"/>
      <c r="K127" s="2"/>
      <c r="L127" s="2"/>
      <c r="M127" s="908" t="s">
        <v>581</v>
      </c>
      <c r="N127" s="2"/>
      <c r="O127" s="2"/>
      <c r="P127" s="2"/>
      <c r="Q127" s="2"/>
      <c r="R127" s="2"/>
      <c r="S127" s="2"/>
      <c r="T127" s="2"/>
      <c r="U127" s="2"/>
      <c r="V127" s="591"/>
      <c r="W127" s="591"/>
      <c r="X127" s="591"/>
      <c r="Y127" s="591"/>
      <c r="Z127" s="591"/>
      <c r="AA127" s="591"/>
      <c r="AB127" s="591"/>
      <c r="AC127" s="591"/>
      <c r="AG127" s="591"/>
      <c r="AH127" s="591"/>
      <c r="AI127" s="591"/>
      <c r="AJ127" s="591"/>
      <c r="AK127" s="591"/>
      <c r="AM127" s="591"/>
      <c r="AN127" s="591"/>
      <c r="AO127" s="591"/>
      <c r="AP127" s="591"/>
      <c r="AQ127" s="591"/>
      <c r="AS127" s="591"/>
      <c r="AT127" s="591"/>
      <c r="AU127" s="591"/>
      <c r="AV127" s="591"/>
      <c r="AW127" s="591"/>
      <c r="AY127" s="591"/>
    </row>
    <row r="128" spans="1:51" ht="21" hidden="1" customHeight="1" x14ac:dyDescent="0.2">
      <c r="A128" s="2"/>
      <c r="B128" s="2"/>
      <c r="C128" s="2"/>
      <c r="D128" s="2"/>
      <c r="E128" s="2"/>
      <c r="F128" s="2"/>
      <c r="G128" s="2"/>
      <c r="H128" s="2"/>
      <c r="I128" s="2"/>
      <c r="J128" s="2"/>
      <c r="K128" s="2"/>
      <c r="L128" s="2"/>
      <c r="M128" s="2"/>
      <c r="N128" s="2"/>
      <c r="O128" s="2"/>
      <c r="P128" s="2"/>
      <c r="Q128" s="2"/>
      <c r="R128" s="2"/>
      <c r="S128" s="2"/>
      <c r="T128" s="2"/>
      <c r="U128" s="2"/>
      <c r="V128" s="591"/>
      <c r="W128" s="591"/>
      <c r="X128" s="591"/>
      <c r="Y128" s="591"/>
      <c r="Z128" s="591"/>
      <c r="AA128" s="591"/>
      <c r="AB128" s="591"/>
      <c r="AC128" s="591"/>
      <c r="AG128" s="591"/>
      <c r="AH128" s="591"/>
      <c r="AI128" s="591"/>
      <c r="AJ128" s="591"/>
      <c r="AK128" s="591"/>
      <c r="AM128" s="591"/>
      <c r="AN128" s="591"/>
      <c r="AO128" s="591"/>
      <c r="AP128" s="591"/>
      <c r="AQ128" s="591"/>
      <c r="AS128" s="591"/>
      <c r="AT128" s="591"/>
      <c r="AU128" s="591"/>
      <c r="AV128" s="591"/>
      <c r="AW128" s="591"/>
      <c r="AY128" s="591"/>
    </row>
    <row r="129" spans="1:51" ht="15.75" hidden="1" customHeight="1" x14ac:dyDescent="0.2">
      <c r="A129" s="2"/>
      <c r="B129" s="2"/>
      <c r="C129" s="2"/>
      <c r="D129" s="2"/>
      <c r="E129" s="2"/>
      <c r="F129" s="2"/>
      <c r="G129" s="257">
        <v>1</v>
      </c>
      <c r="H129" s="257">
        <v>2</v>
      </c>
      <c r="I129" s="257">
        <v>3</v>
      </c>
      <c r="J129" s="2"/>
      <c r="K129" s="2"/>
      <c r="L129" s="2"/>
      <c r="M129" s="2"/>
      <c r="N129" s="2"/>
      <c r="O129" s="2"/>
      <c r="P129" s="2"/>
      <c r="Q129" s="2"/>
      <c r="R129" s="2"/>
      <c r="S129" s="2"/>
      <c r="T129" s="2"/>
      <c r="U129" s="2"/>
      <c r="V129" s="591"/>
      <c r="W129" s="591"/>
      <c r="X129" s="591"/>
      <c r="Y129" s="591"/>
      <c r="Z129" s="591"/>
      <c r="AA129" s="591"/>
      <c r="AB129" s="591"/>
      <c r="AC129" s="591"/>
      <c r="AG129" s="591"/>
      <c r="AH129" s="591"/>
      <c r="AI129" s="591"/>
      <c r="AJ129" s="591"/>
      <c r="AK129" s="591"/>
      <c r="AM129" s="591"/>
      <c r="AN129" s="591"/>
      <c r="AO129" s="591"/>
      <c r="AP129" s="591"/>
      <c r="AQ129" s="591"/>
      <c r="AS129" s="591"/>
      <c r="AT129" s="591"/>
      <c r="AU129" s="591"/>
      <c r="AV129" s="591"/>
      <c r="AW129" s="591"/>
      <c r="AY129" s="591"/>
    </row>
    <row r="130" spans="1:51" ht="15.75" hidden="1" customHeight="1" x14ac:dyDescent="0.2">
      <c r="A130" s="2"/>
      <c r="B130" s="2"/>
      <c r="C130" s="2"/>
      <c r="D130" s="2"/>
      <c r="E130" s="2"/>
      <c r="F130" s="2"/>
      <c r="G130" s="263">
        <f>IF(E$131=1,IMPOSTAZIONI!J94,0)</f>
        <v>0</v>
      </c>
      <c r="H130" s="263">
        <f>IF(E$132=1,IMPOSTAZIONI!J102,0)</f>
        <v>0</v>
      </c>
      <c r="I130" s="263">
        <f>IF(E$133=1,IMPOSTAZIONI!J110,0)</f>
        <v>0</v>
      </c>
      <c r="J130" s="2"/>
      <c r="K130" s="263" t="str">
        <f>IMPOSTAZIONI!C154</f>
        <v>Note</v>
      </c>
      <c r="L130" s="2"/>
      <c r="M130" s="2"/>
      <c r="N130" s="2"/>
      <c r="O130" s="2"/>
      <c r="P130" s="2"/>
      <c r="Q130" s="2"/>
      <c r="R130" s="2"/>
      <c r="S130" s="2"/>
      <c r="T130" s="2"/>
      <c r="U130" s="2"/>
      <c r="V130" s="591"/>
      <c r="W130" s="591"/>
      <c r="X130" s="591"/>
      <c r="Y130" s="591"/>
      <c r="Z130" s="591"/>
      <c r="AA130" s="591"/>
      <c r="AB130" s="591"/>
      <c r="AC130" s="591"/>
      <c r="AG130" s="591"/>
      <c r="AH130" s="591"/>
      <c r="AI130" s="591"/>
      <c r="AJ130" s="591"/>
      <c r="AK130" s="591"/>
      <c r="AM130" s="591"/>
      <c r="AN130" s="591"/>
      <c r="AO130" s="591"/>
      <c r="AP130" s="591"/>
      <c r="AQ130" s="591"/>
      <c r="AS130" s="591"/>
      <c r="AT130" s="591"/>
      <c r="AU130" s="591"/>
      <c r="AV130" s="591"/>
      <c r="AW130" s="591"/>
      <c r="AY130" s="591"/>
    </row>
    <row r="131" spans="1:51" ht="15.75" hidden="1" customHeight="1" x14ac:dyDescent="0.2">
      <c r="A131" s="2"/>
      <c r="B131" s="2"/>
      <c r="C131" s="2"/>
      <c r="D131" s="2"/>
      <c r="E131" s="263">
        <f>IF(IMPOSTAZIONI!V184=0,1,0)</f>
        <v>0</v>
      </c>
      <c r="F131" s="2"/>
      <c r="G131" s="267">
        <f>IF(E$131=1,IMPOSTAZIONI!J96,0)</f>
        <v>0</v>
      </c>
      <c r="H131" s="268">
        <f>IF(E$132=1,IMPOSTAZIONI!J104,0)</f>
        <v>0</v>
      </c>
      <c r="I131" s="269">
        <f>IF(E$133=1,IMPOSTAZIONI!J112,0)</f>
        <v>0</v>
      </c>
      <c r="J131" s="2"/>
      <c r="K131" s="2"/>
      <c r="L131" s="925" t="str">
        <f>Presentazione!$K$150</f>
        <v>attiva trim.</v>
      </c>
      <c r="M131" s="2"/>
      <c r="N131" s="2"/>
      <c r="O131" s="2"/>
      <c r="P131" s="2"/>
      <c r="Q131" s="2"/>
      <c r="R131" s="2"/>
      <c r="S131" s="2"/>
      <c r="T131" s="2"/>
      <c r="U131" s="2"/>
      <c r="V131" s="591"/>
      <c r="W131" s="591"/>
      <c r="X131" s="591"/>
      <c r="Y131" s="591"/>
      <c r="Z131" s="591"/>
      <c r="AA131" s="591"/>
      <c r="AB131" s="591"/>
      <c r="AC131" s="591"/>
      <c r="AG131" s="591"/>
      <c r="AH131" s="591"/>
      <c r="AI131" s="591"/>
      <c r="AJ131" s="591"/>
      <c r="AK131" s="591"/>
      <c r="AM131" s="591"/>
      <c r="AN131" s="591"/>
      <c r="AO131" s="591"/>
      <c r="AP131" s="591"/>
      <c r="AQ131" s="591"/>
      <c r="AS131" s="591"/>
      <c r="AT131" s="591"/>
      <c r="AU131" s="591"/>
      <c r="AV131" s="591"/>
      <c r="AW131" s="591"/>
      <c r="AY131" s="591"/>
    </row>
    <row r="132" spans="1:51" ht="15.75" hidden="1" customHeight="1" x14ac:dyDescent="0.2">
      <c r="A132" s="2"/>
      <c r="B132" s="2"/>
      <c r="C132" s="2"/>
      <c r="D132" s="2"/>
      <c r="E132" s="263">
        <f>IF(IMPOSTAZIONI!V185=0,1,0)</f>
        <v>0</v>
      </c>
      <c r="F132" s="2"/>
      <c r="G132" s="264">
        <f>IF(E$131=1,IMPOSTAZIONI!J97,0)</f>
        <v>0</v>
      </c>
      <c r="H132" s="266">
        <f>IF(E$132=1,IMPOSTAZIONI!J105,0)</f>
        <v>0</v>
      </c>
      <c r="I132" s="265">
        <f>IF(E$133=1,IMPOSTAZIONI!J113,0)</f>
        <v>0</v>
      </c>
      <c r="J132" s="2"/>
      <c r="K132" s="263" t="s">
        <v>356</v>
      </c>
      <c r="L132" s="2"/>
      <c r="M132" s="2"/>
      <c r="N132" s="2"/>
      <c r="O132" s="2"/>
      <c r="P132" s="2"/>
      <c r="Q132" s="2"/>
      <c r="R132" s="2"/>
      <c r="S132" s="2"/>
      <c r="T132" s="2"/>
      <c r="U132" s="2"/>
      <c r="V132" s="591"/>
      <c r="W132" s="591"/>
      <c r="X132" s="591"/>
      <c r="Y132" s="591"/>
      <c r="Z132" s="591"/>
      <c r="AA132" s="591"/>
      <c r="AB132" s="591"/>
      <c r="AC132" s="591"/>
      <c r="AG132" s="591"/>
      <c r="AH132" s="591"/>
      <c r="AI132" s="591"/>
      <c r="AJ132" s="591"/>
      <c r="AK132" s="591"/>
      <c r="AM132" s="591"/>
      <c r="AN132" s="591"/>
      <c r="AO132" s="591"/>
      <c r="AP132" s="591"/>
      <c r="AQ132" s="591"/>
      <c r="AS132" s="591"/>
      <c r="AT132" s="591"/>
      <c r="AU132" s="591"/>
      <c r="AV132" s="591"/>
      <c r="AW132" s="591"/>
      <c r="AY132" s="591"/>
    </row>
    <row r="133" spans="1:51" ht="15.75" hidden="1" customHeight="1" x14ac:dyDescent="0.2">
      <c r="A133" s="2"/>
      <c r="B133" s="2"/>
      <c r="C133" s="2"/>
      <c r="D133" s="2"/>
      <c r="E133" s="263">
        <f>IF(IMPOSTAZIONI!V186=0,1,0)</f>
        <v>0</v>
      </c>
      <c r="F133" s="2"/>
      <c r="G133" s="270">
        <f>IF(E$131=1,IMPOSTAZIONI!J98,0)</f>
        <v>0</v>
      </c>
      <c r="H133" s="271">
        <f>IF(E$132=1,IMPOSTAZIONI!J106,0)</f>
        <v>0</v>
      </c>
      <c r="I133" s="272">
        <f>IF(E$133=1,IMPOSTAZIONI!J114,0)</f>
        <v>0</v>
      </c>
      <c r="J133" s="2"/>
      <c r="K133" s="2"/>
      <c r="L133" s="2"/>
      <c r="M133" s="2"/>
      <c r="N133" s="2"/>
      <c r="O133" s="2"/>
      <c r="P133" s="2"/>
      <c r="Q133" s="2"/>
      <c r="R133" s="2"/>
      <c r="S133" s="2"/>
      <c r="T133" s="2"/>
      <c r="U133" s="2"/>
      <c r="V133" s="591"/>
      <c r="W133" s="591"/>
      <c r="X133" s="591"/>
      <c r="Y133" s="591"/>
      <c r="Z133" s="591"/>
      <c r="AA133" s="591"/>
      <c r="AB133" s="591"/>
      <c r="AC133" s="591"/>
      <c r="AG133" s="591"/>
      <c r="AH133" s="591"/>
      <c r="AI133" s="591"/>
      <c r="AJ133" s="591"/>
      <c r="AK133" s="591"/>
      <c r="AM133" s="591"/>
      <c r="AN133" s="591"/>
      <c r="AO133" s="591"/>
      <c r="AP133" s="591"/>
      <c r="AQ133" s="591"/>
      <c r="AS133" s="591"/>
      <c r="AT133" s="591"/>
      <c r="AU133" s="591"/>
      <c r="AV133" s="591"/>
      <c r="AW133" s="591"/>
      <c r="AY133" s="591"/>
    </row>
    <row r="134" spans="1:51" ht="15.75" hidden="1" customHeight="1" x14ac:dyDescent="0.2">
      <c r="A134" s="2"/>
      <c r="B134" s="2"/>
      <c r="C134" s="2"/>
      <c r="D134" s="2"/>
      <c r="E134" s="129"/>
      <c r="F134" s="2"/>
      <c r="G134" s="108">
        <f>IF(G130=0,0,G129)</f>
        <v>0</v>
      </c>
      <c r="H134" s="108">
        <f>IF(H130=0,0,H129)</f>
        <v>0</v>
      </c>
      <c r="I134" s="108">
        <f>IF(I130=0,0,I129)</f>
        <v>0</v>
      </c>
      <c r="J134" s="2"/>
      <c r="K134" s="263" t="str">
        <f>IMPOSTAZIONI!C146</f>
        <v>ESCLUDI</v>
      </c>
      <c r="L134" s="263" t="str">
        <f>IMPOSTAZIONI!H146</f>
        <v>VENTILAZIONE</v>
      </c>
      <c r="M134" s="306" t="s">
        <v>745</v>
      </c>
      <c r="N134" s="2"/>
      <c r="O134" s="2"/>
      <c r="P134" s="2"/>
      <c r="Q134" s="2"/>
      <c r="R134" s="2"/>
      <c r="S134" s="2"/>
      <c r="T134" s="2"/>
      <c r="U134" s="2"/>
      <c r="V134" s="591"/>
      <c r="W134" s="591"/>
      <c r="X134" s="591"/>
      <c r="Y134" s="591"/>
      <c r="Z134" s="591"/>
      <c r="AA134" s="591"/>
      <c r="AB134" s="591"/>
      <c r="AC134" s="591"/>
      <c r="AG134" s="591"/>
      <c r="AH134" s="591"/>
      <c r="AI134" s="591"/>
      <c r="AJ134" s="591"/>
      <c r="AK134" s="591"/>
      <c r="AM134" s="591"/>
      <c r="AN134" s="591"/>
      <c r="AO134" s="591"/>
      <c r="AP134" s="591"/>
      <c r="AQ134" s="591"/>
      <c r="AS134" s="591"/>
      <c r="AT134" s="591"/>
      <c r="AU134" s="591"/>
      <c r="AV134" s="591"/>
      <c r="AW134" s="591"/>
      <c r="AY134" s="591"/>
    </row>
    <row r="135" spans="1:51" ht="15.75" hidden="1" customHeight="1" x14ac:dyDescent="0.2">
      <c r="A135" s="2"/>
      <c r="B135" s="2"/>
      <c r="C135" s="2"/>
      <c r="D135" s="2"/>
      <c r="E135" s="274">
        <f>COUNTIF(G134:I134,0)</f>
        <v>3</v>
      </c>
      <c r="F135" s="2"/>
      <c r="G135" s="273" t="e">
        <f>SMALL($G134:$I134,$E135+1)</f>
        <v>#NUM!</v>
      </c>
      <c r="H135" s="273" t="e">
        <f>SMALL($G134:$I134,$E135+2)</f>
        <v>#NUM!</v>
      </c>
      <c r="I135" s="273" t="e">
        <f>SMALL($G134:$I134,$E135+3)</f>
        <v>#NUM!</v>
      </c>
      <c r="J135" s="2"/>
      <c r="K135" s="2"/>
      <c r="L135" s="263" t="str">
        <f>IMPOSTAZIONI!H148</f>
        <v>SCORPORO</v>
      </c>
      <c r="M135" s="306" t="s">
        <v>742</v>
      </c>
      <c r="N135" s="2"/>
      <c r="O135" s="2"/>
      <c r="P135" s="2"/>
      <c r="Q135" s="2"/>
      <c r="R135" s="2"/>
      <c r="S135" s="2"/>
      <c r="T135" s="2"/>
      <c r="U135" s="2"/>
      <c r="V135" s="591"/>
      <c r="W135" s="591"/>
      <c r="X135" s="591"/>
      <c r="Y135" s="591"/>
      <c r="Z135" s="591"/>
      <c r="AA135" s="591"/>
      <c r="AB135" s="591"/>
      <c r="AC135" s="591"/>
      <c r="AG135" s="591"/>
      <c r="AH135" s="591"/>
      <c r="AI135" s="591"/>
      <c r="AJ135" s="591"/>
      <c r="AK135" s="591"/>
      <c r="AM135" s="591"/>
      <c r="AN135" s="591"/>
      <c r="AO135" s="591"/>
      <c r="AP135" s="591"/>
      <c r="AQ135" s="591"/>
      <c r="AS135" s="591"/>
      <c r="AT135" s="591"/>
      <c r="AU135" s="591"/>
      <c r="AV135" s="591"/>
      <c r="AW135" s="591"/>
      <c r="AY135" s="591"/>
    </row>
    <row r="136" spans="1:51" ht="15.75" hidden="1" customHeight="1" x14ac:dyDescent="0.2">
      <c r="A136" s="2"/>
      <c r="B136" s="2"/>
      <c r="C136" s="2"/>
      <c r="D136" s="2"/>
      <c r="E136" s="274"/>
      <c r="F136" s="2"/>
      <c r="G136" s="275">
        <f>IF(E$131=1,CONCATENATE(IMPOSTAZIONI!I96,"-",IMPOSTAZIONI!I97,"-",IMPOSTAZIONI!I98),0)</f>
        <v>0</v>
      </c>
      <c r="H136" s="276">
        <f>IF(E$132=1,CONCATENATE(IMPOSTAZIONI!I104,"-",IMPOSTAZIONI!I105,"-",IMPOSTAZIONI!I106),0)</f>
        <v>0</v>
      </c>
      <c r="I136" s="277">
        <f>IF(E$133=1,CONCATENATE(IMPOSTAZIONI!I112,"-",IMPOSTAZIONI!I113,"-",IMPOSTAZIONI!I114),0)</f>
        <v>0</v>
      </c>
      <c r="J136" s="2"/>
      <c r="K136" s="2"/>
      <c r="L136" s="2"/>
      <c r="M136" s="2"/>
      <c r="N136" s="2"/>
      <c r="O136" s="2"/>
      <c r="P136" s="2"/>
      <c r="Q136" s="2"/>
      <c r="R136" s="2"/>
      <c r="S136" s="2"/>
      <c r="T136" s="2"/>
      <c r="U136" s="2"/>
      <c r="V136" s="591"/>
      <c r="W136" s="591"/>
      <c r="X136" s="591"/>
      <c r="Y136" s="591"/>
      <c r="Z136" s="591"/>
      <c r="AA136" s="591"/>
      <c r="AB136" s="591"/>
      <c r="AC136" s="591"/>
      <c r="AG136" s="591"/>
      <c r="AH136" s="591"/>
      <c r="AI136" s="591"/>
      <c r="AJ136" s="591"/>
      <c r="AK136" s="591"/>
      <c r="AM136" s="591"/>
      <c r="AN136" s="591"/>
      <c r="AO136" s="591"/>
      <c r="AP136" s="591"/>
      <c r="AQ136" s="591"/>
      <c r="AS136" s="591"/>
      <c r="AT136" s="591"/>
      <c r="AU136" s="591"/>
      <c r="AV136" s="591"/>
      <c r="AW136" s="591"/>
      <c r="AY136" s="591"/>
    </row>
    <row r="137" spans="1:51" ht="15.75" hidden="1" customHeight="1" x14ac:dyDescent="0.2">
      <c r="A137" s="2"/>
      <c r="B137" s="2"/>
      <c r="C137" s="2"/>
      <c r="D137" s="2"/>
      <c r="E137" s="129"/>
      <c r="F137" s="2"/>
      <c r="G137" s="273"/>
      <c r="H137" s="273"/>
      <c r="I137" s="2"/>
      <c r="J137" s="2"/>
      <c r="K137" s="2"/>
      <c r="L137" s="2"/>
      <c r="M137" s="2"/>
      <c r="N137" s="2"/>
      <c r="O137" s="2"/>
      <c r="P137" s="2"/>
      <c r="Q137" s="2"/>
      <c r="R137" s="2"/>
      <c r="S137" s="2"/>
      <c r="T137" s="2"/>
      <c r="U137" s="2"/>
      <c r="V137" s="591"/>
      <c r="W137" s="591"/>
      <c r="X137" s="591"/>
      <c r="Y137" s="591"/>
      <c r="Z137" s="591"/>
      <c r="AA137" s="591"/>
      <c r="AB137" s="591"/>
      <c r="AC137" s="591"/>
      <c r="AG137" s="591"/>
      <c r="AH137" s="591"/>
      <c r="AI137" s="591"/>
      <c r="AJ137" s="591"/>
      <c r="AK137" s="591"/>
      <c r="AM137" s="591"/>
      <c r="AN137" s="591"/>
      <c r="AO137" s="591"/>
      <c r="AP137" s="591"/>
      <c r="AQ137" s="591"/>
      <c r="AS137" s="591"/>
      <c r="AT137" s="591"/>
      <c r="AU137" s="591"/>
      <c r="AV137" s="591"/>
      <c r="AW137" s="591"/>
      <c r="AY137" s="591"/>
    </row>
    <row r="138" spans="1:51" ht="15.75" hidden="1" customHeight="1" x14ac:dyDescent="0.2">
      <c r="A138" s="2"/>
      <c r="B138" s="2"/>
      <c r="C138" s="2"/>
      <c r="D138" s="2"/>
      <c r="E138" s="129"/>
      <c r="F138" s="2"/>
      <c r="G138" s="273"/>
      <c r="H138" s="273"/>
      <c r="I138" s="273"/>
      <c r="J138" s="148">
        <v>1</v>
      </c>
      <c r="K138" s="148">
        <v>2</v>
      </c>
      <c r="L138" s="148">
        <v>3</v>
      </c>
      <c r="M138" s="2"/>
      <c r="N138" s="2"/>
      <c r="O138" s="2"/>
      <c r="P138" s="2"/>
      <c r="Q138" s="2"/>
      <c r="R138" s="2"/>
      <c r="S138" s="2"/>
      <c r="T138" s="2"/>
      <c r="U138" s="2"/>
      <c r="V138" s="591"/>
      <c r="W138" s="591"/>
      <c r="X138" s="591"/>
      <c r="Y138" s="591"/>
      <c r="Z138" s="591"/>
      <c r="AA138" s="591"/>
      <c r="AB138" s="591"/>
      <c r="AC138" s="591"/>
      <c r="AG138" s="591"/>
      <c r="AH138" s="591"/>
      <c r="AI138" s="591"/>
      <c r="AJ138" s="591"/>
      <c r="AK138" s="591"/>
      <c r="AM138" s="591"/>
      <c r="AN138" s="591"/>
      <c r="AO138" s="591"/>
      <c r="AP138" s="591"/>
      <c r="AQ138" s="591"/>
      <c r="AS138" s="591"/>
      <c r="AT138" s="591"/>
      <c r="AU138" s="591"/>
      <c r="AV138" s="591"/>
      <c r="AW138" s="591"/>
      <c r="AY138" s="591"/>
    </row>
    <row r="139" spans="1:51" ht="15.75" hidden="1" customHeight="1" x14ac:dyDescent="0.2">
      <c r="A139" s="2"/>
      <c r="B139" s="2"/>
      <c r="C139" s="148">
        <v>1</v>
      </c>
      <c r="D139" s="148">
        <f>IF(I139=0,0,1)</f>
        <v>0</v>
      </c>
      <c r="E139" s="263" t="str">
        <f>IMPOSTAZIONI!B298</f>
        <v>--</v>
      </c>
      <c r="F139" s="2"/>
      <c r="G139" s="305">
        <f>VLOOKUP(E139,IMPOSTAZIONI!$B$298:$AK$304,$E$149,FALSE)</f>
        <v>0</v>
      </c>
      <c r="H139" s="306" t="str">
        <f>IF(G139&gt;0,IF(AND(ISERROR(HLOOKUP(E139,G$136:I$136,1,FALSE)),ISERROR(HLOOKUP(E139,G$1:N$1,1,FALSE))),E139,"OK"),"")</f>
        <v/>
      </c>
      <c r="I139" s="307">
        <f>IF(H139="OK",0,IF(H139="",0,1))</f>
        <v>0</v>
      </c>
      <c r="J139" s="263" t="e">
        <f>VLOOKUP(C139,$D$139:$H$148,5,FALSE)</f>
        <v>#N/A</v>
      </c>
      <c r="K139" s="263" t="e">
        <f>VLOOKUP(C140,$D$139:$H$148,5,FALSE)</f>
        <v>#N/A</v>
      </c>
      <c r="L139" s="263" t="e">
        <f>VLOOKUP(C141,$D$139:$H$148,5,FALSE)</f>
        <v>#N/A</v>
      </c>
      <c r="M139" s="2"/>
      <c r="N139" s="2"/>
      <c r="O139" s="2"/>
      <c r="P139" s="2"/>
      <c r="Q139" s="2"/>
      <c r="R139" s="2"/>
      <c r="S139" s="2"/>
      <c r="T139" s="2"/>
      <c r="U139" s="2"/>
      <c r="V139" s="591"/>
      <c r="W139" s="591"/>
      <c r="X139" s="591"/>
      <c r="Y139" s="591"/>
      <c r="Z139" s="591"/>
      <c r="AA139" s="591"/>
      <c r="AB139" s="591"/>
      <c r="AC139" s="591"/>
      <c r="AG139" s="591"/>
      <c r="AH139" s="591"/>
      <c r="AI139" s="591"/>
      <c r="AJ139" s="591"/>
      <c r="AK139" s="591"/>
      <c r="AM139" s="591"/>
      <c r="AN139" s="591"/>
      <c r="AO139" s="591"/>
      <c r="AP139" s="591"/>
      <c r="AQ139" s="591"/>
      <c r="AS139" s="591"/>
      <c r="AT139" s="591"/>
      <c r="AU139" s="591"/>
      <c r="AV139" s="591"/>
      <c r="AW139" s="591"/>
      <c r="AY139" s="591"/>
    </row>
    <row r="140" spans="1:51" ht="15.75" hidden="1" customHeight="1" x14ac:dyDescent="0.2">
      <c r="A140" s="2"/>
      <c r="B140" s="2"/>
      <c r="C140" s="148">
        <v>2</v>
      </c>
      <c r="D140" s="103">
        <f>IF(I140=0,0,COUNTIF(D$139:D139,"&gt;0")+1)</f>
        <v>0</v>
      </c>
      <c r="E140" s="263" t="str">
        <f>IMPOSTAZIONI!B299</f>
        <v>--</v>
      </c>
      <c r="F140" s="2"/>
      <c r="G140" s="305">
        <f>VLOOKUP(E140,IMPOSTAZIONI!$B$298:$AK$304,$E$149,FALSE)</f>
        <v>0</v>
      </c>
      <c r="H140" s="306" t="str">
        <f>IF(G140&gt;0,IF(AND(ISERROR(HLOOKUP(E140,G$136:I$136,1,FALSE)),ISERROR(HLOOKUP(E140,G$1:N$1,1,FALSE))),E140,"OK"),"")</f>
        <v/>
      </c>
      <c r="I140" s="307">
        <f t="shared" ref="I140:I148" si="35">IF(H140="OK",0,IF(H140="",0,1))</f>
        <v>0</v>
      </c>
      <c r="J140" s="267">
        <f>IF(ISERROR(J$139),0,HLOOKUP(J$139,IMPOSTAZIONI!$AB$183:$AH$187,3,FALSE))</f>
        <v>0</v>
      </c>
      <c r="K140" s="267">
        <f>IF(ISERROR(K$139),0,HLOOKUP(K$139,IMPOSTAZIONI!$AB$183:$AH$187,3,FALSE))</f>
        <v>0</v>
      </c>
      <c r="L140" s="268">
        <f>IF(ISERROR(L$139),0,HLOOKUP(L$139,IMPOSTAZIONI!$AB$183:$AH$187,3,FALSE))</f>
        <v>0</v>
      </c>
      <c r="M140" s="2"/>
      <c r="N140" s="2"/>
      <c r="O140" s="2"/>
      <c r="P140" s="2"/>
      <c r="Q140" s="2"/>
      <c r="R140" s="2"/>
      <c r="S140" s="2"/>
      <c r="T140" s="2"/>
      <c r="U140" s="2"/>
      <c r="V140" s="591"/>
      <c r="W140" s="591"/>
      <c r="X140" s="591"/>
      <c r="Y140" s="591"/>
      <c r="Z140" s="591"/>
      <c r="AA140" s="591"/>
      <c r="AB140" s="591"/>
      <c r="AC140" s="591"/>
      <c r="AG140" s="591"/>
      <c r="AH140" s="591"/>
      <c r="AI140" s="591"/>
      <c r="AJ140" s="591"/>
      <c r="AK140" s="591"/>
      <c r="AM140" s="591"/>
      <c r="AN140" s="591"/>
      <c r="AO140" s="591"/>
      <c r="AP140" s="591"/>
      <c r="AQ140" s="591"/>
      <c r="AS140" s="591"/>
      <c r="AT140" s="591"/>
      <c r="AU140" s="591"/>
      <c r="AV140" s="591"/>
      <c r="AW140" s="591"/>
      <c r="AY140" s="591"/>
    </row>
    <row r="141" spans="1:51" ht="15.75" hidden="1" customHeight="1" x14ac:dyDescent="0.2">
      <c r="A141" s="2"/>
      <c r="B141" s="2"/>
      <c r="C141" s="148">
        <v>3</v>
      </c>
      <c r="D141" s="103">
        <f>IF(I141=0,0,COUNTIF(D$139:D140,"&gt;0")+1)</f>
        <v>0</v>
      </c>
      <c r="E141" s="263" t="str">
        <f>IMPOSTAZIONI!B300</f>
        <v>--</v>
      </c>
      <c r="F141" s="2"/>
      <c r="G141" s="305">
        <f>VLOOKUP(E141,IMPOSTAZIONI!$B$298:$AK$304,$E$149,FALSE)</f>
        <v>0</v>
      </c>
      <c r="H141" s="306" t="str">
        <f>IF(G141&gt;0,IF(AND(ISERROR(HLOOKUP(E141,G$136:I$136,1,FALSE)),ISERROR(HLOOKUP(E141,G$1:N$1,1,FALSE))),E141,"OK"),"")</f>
        <v/>
      </c>
      <c r="I141" s="307">
        <f t="shared" si="35"/>
        <v>0</v>
      </c>
      <c r="J141" s="264">
        <f>IF(ISERROR(J$139),0,HLOOKUP(J$139,IMPOSTAZIONI!$AB$183:$AH$187,4,FALSE))</f>
        <v>0</v>
      </c>
      <c r="K141" s="264">
        <f>IF(ISERROR(K$139),0,HLOOKUP(K$139,IMPOSTAZIONI!$AB$183:$AH$187,4,FALSE))</f>
        <v>0</v>
      </c>
      <c r="L141" s="266">
        <f>IF(ISERROR(L$139),0,HLOOKUP(L$139,IMPOSTAZIONI!$AB$183:$AH$187,4,FALSE))</f>
        <v>0</v>
      </c>
      <c r="M141" s="2"/>
      <c r="N141" s="2"/>
      <c r="O141" s="2"/>
      <c r="P141" s="2"/>
      <c r="Q141" s="2"/>
      <c r="R141" s="2"/>
      <c r="S141" s="2"/>
      <c r="T141" s="2"/>
      <c r="U141" s="2"/>
      <c r="V141" s="591"/>
      <c r="W141" s="591"/>
      <c r="X141" s="591"/>
      <c r="Y141" s="591"/>
      <c r="Z141" s="591"/>
      <c r="AA141" s="591"/>
      <c r="AB141" s="591"/>
      <c r="AC141" s="591"/>
      <c r="AG141" s="591"/>
      <c r="AH141" s="591"/>
      <c r="AI141" s="591"/>
      <c r="AJ141" s="591"/>
      <c r="AK141" s="591"/>
      <c r="AM141" s="591"/>
      <c r="AN141" s="591"/>
      <c r="AO141" s="591"/>
      <c r="AP141" s="591"/>
      <c r="AQ141" s="591"/>
      <c r="AS141" s="591"/>
      <c r="AT141" s="591"/>
      <c r="AU141" s="591"/>
      <c r="AV141" s="591"/>
      <c r="AW141" s="591"/>
      <c r="AY141" s="591"/>
    </row>
    <row r="142" spans="1:51" ht="15.75" hidden="1" customHeight="1" x14ac:dyDescent="0.2">
      <c r="A142" s="2"/>
      <c r="B142" s="2"/>
      <c r="C142" s="103"/>
      <c r="D142" s="591"/>
      <c r="E142" s="591"/>
      <c r="F142" s="591"/>
      <c r="G142" s="591"/>
      <c r="H142" s="591"/>
      <c r="I142" s="591"/>
      <c r="J142" s="270">
        <f>IF(ISERROR(J$139),0,HLOOKUP(J$139,IMPOSTAZIONI!$AB$183:$AH$187,5,FALSE))</f>
        <v>0</v>
      </c>
      <c r="K142" s="270">
        <f>IF(ISERROR(K$139),0,HLOOKUP(K$139,IMPOSTAZIONI!$AB$183:$AH$187,5,FALSE))</f>
        <v>0</v>
      </c>
      <c r="L142" s="271">
        <f>IF(ISERROR(L$139),0,HLOOKUP(L$139,IMPOSTAZIONI!$AB$183:$AH$187,5,FALSE))</f>
        <v>0</v>
      </c>
      <c r="M142" s="2"/>
      <c r="N142" s="2"/>
      <c r="O142" s="2"/>
      <c r="P142" s="2"/>
      <c r="Q142" s="2"/>
      <c r="R142" s="2"/>
      <c r="S142" s="2"/>
      <c r="T142" s="2"/>
      <c r="U142" s="2"/>
      <c r="V142" s="591"/>
      <c r="W142" s="591"/>
      <c r="X142" s="591"/>
      <c r="Y142" s="591"/>
      <c r="Z142" s="591"/>
      <c r="AA142" s="591"/>
      <c r="AB142" s="591"/>
      <c r="AC142" s="591"/>
      <c r="AG142" s="591"/>
      <c r="AH142" s="591"/>
      <c r="AI142" s="591"/>
      <c r="AJ142" s="591"/>
      <c r="AK142" s="591"/>
      <c r="AM142" s="591"/>
      <c r="AN142" s="591"/>
      <c r="AO142" s="591"/>
      <c r="AP142" s="591"/>
      <c r="AQ142" s="591"/>
      <c r="AS142" s="591"/>
      <c r="AT142" s="591"/>
      <c r="AU142" s="591"/>
      <c r="AV142" s="591"/>
      <c r="AW142" s="591"/>
      <c r="AY142" s="591"/>
    </row>
    <row r="143" spans="1:51" ht="15.75" hidden="1" customHeight="1" x14ac:dyDescent="0.2">
      <c r="A143" s="2"/>
      <c r="B143" s="2"/>
      <c r="C143" s="103"/>
      <c r="D143" s="591"/>
      <c r="E143" s="591"/>
      <c r="F143" s="591"/>
      <c r="G143" s="591"/>
      <c r="H143" s="591"/>
      <c r="I143" s="591"/>
      <c r="J143" s="2"/>
      <c r="K143" s="2"/>
      <c r="L143" s="2"/>
      <c r="M143" s="2"/>
      <c r="N143" s="2"/>
      <c r="O143" s="2"/>
      <c r="P143" s="2"/>
      <c r="Q143" s="2"/>
      <c r="R143" s="2"/>
      <c r="S143" s="2"/>
      <c r="T143" s="2"/>
      <c r="U143" s="2"/>
      <c r="V143" s="591"/>
      <c r="W143" s="591"/>
      <c r="X143" s="591"/>
      <c r="Y143" s="591"/>
      <c r="Z143" s="591"/>
      <c r="AA143" s="591"/>
      <c r="AB143" s="591"/>
      <c r="AC143" s="591"/>
      <c r="AG143" s="591"/>
      <c r="AH143" s="591"/>
      <c r="AI143" s="591"/>
      <c r="AJ143" s="591"/>
      <c r="AK143" s="591"/>
      <c r="AM143" s="591"/>
      <c r="AN143" s="591"/>
      <c r="AO143" s="591"/>
      <c r="AP143" s="591"/>
      <c r="AQ143" s="591"/>
      <c r="AS143" s="591"/>
      <c r="AT143" s="591"/>
      <c r="AU143" s="591"/>
      <c r="AV143" s="591"/>
      <c r="AW143" s="591"/>
      <c r="AY143" s="591"/>
    </row>
    <row r="144" spans="1:51" ht="15.75" hidden="1" customHeight="1" x14ac:dyDescent="0.2">
      <c r="A144" s="2"/>
      <c r="B144" s="2"/>
      <c r="C144" s="103"/>
      <c r="D144" s="591"/>
      <c r="E144" s="591"/>
      <c r="F144" s="591"/>
      <c r="G144" s="591"/>
      <c r="H144" s="591"/>
      <c r="I144" s="591"/>
      <c r="J144" s="2"/>
      <c r="K144" s="2102" t="s">
        <v>543</v>
      </c>
      <c r="L144" s="2103"/>
      <c r="M144" s="1297" t="s">
        <v>198</v>
      </c>
      <c r="N144" s="1298" t="s">
        <v>202</v>
      </c>
      <c r="O144" s="1297" t="s">
        <v>199</v>
      </c>
      <c r="P144" s="1298" t="s">
        <v>203</v>
      </c>
      <c r="Q144" s="1297" t="s">
        <v>65</v>
      </c>
      <c r="R144" s="1298" t="s">
        <v>66</v>
      </c>
      <c r="S144" s="1297" t="s">
        <v>65</v>
      </c>
      <c r="T144" s="1298" t="s">
        <v>66</v>
      </c>
      <c r="U144" s="2"/>
      <c r="V144" s="591"/>
      <c r="W144" s="591"/>
      <c r="X144" s="591"/>
      <c r="Y144" s="591"/>
      <c r="Z144" s="591"/>
      <c r="AA144" s="591"/>
      <c r="AB144" s="591"/>
      <c r="AC144" s="591"/>
      <c r="AG144" s="591"/>
      <c r="AH144" s="591"/>
      <c r="AI144" s="591"/>
      <c r="AJ144" s="591"/>
      <c r="AK144" s="591"/>
      <c r="AM144" s="591"/>
      <c r="AN144" s="591"/>
      <c r="AO144" s="591"/>
      <c r="AP144" s="591"/>
      <c r="AQ144" s="591"/>
      <c r="AS144" s="591"/>
      <c r="AT144" s="591"/>
      <c r="AU144" s="591"/>
      <c r="AV144" s="591"/>
      <c r="AW144" s="591"/>
      <c r="AY144" s="591"/>
    </row>
    <row r="145" spans="1:51" ht="15.75" hidden="1" customHeight="1" x14ac:dyDescent="0.2">
      <c r="A145" s="2"/>
      <c r="B145" s="2"/>
      <c r="C145" s="103"/>
      <c r="D145" s="103">
        <f>IF(I145=0,0,COUNTIF(D$139:D144,"&gt;0")+1)</f>
        <v>0</v>
      </c>
      <c r="E145" s="263" t="str">
        <f>IMPOSTAZIONI!B301</f>
        <v>--</v>
      </c>
      <c r="F145" s="2"/>
      <c r="G145" s="305">
        <f>VLOOKUP(E145,IMPOSTAZIONI!$B$298:$AK$304,$E$149,FALSE)</f>
        <v>0</v>
      </c>
      <c r="H145" s="306" t="str">
        <f>IF(G145&gt;0,IF(AND(ISERROR(HLOOKUP(E145,G$136:I$136,1,FALSE)),ISERROR(HLOOKUP(E145,G$1:N$1,1,FALSE))),E145,"OK"),"")</f>
        <v/>
      </c>
      <c r="I145" s="307">
        <f t="shared" si="35"/>
        <v>0</v>
      </c>
      <c r="J145" s="2"/>
      <c r="K145" s="2102" t="s">
        <v>58</v>
      </c>
      <c r="L145" s="2103"/>
      <c r="M145" s="100" t="s">
        <v>198</v>
      </c>
      <c r="N145" s="1299" t="s">
        <v>202</v>
      </c>
      <c r="O145" s="100" t="s">
        <v>199</v>
      </c>
      <c r="P145" s="1299" t="s">
        <v>203</v>
      </c>
      <c r="Q145" s="100" t="s">
        <v>65</v>
      </c>
      <c r="R145" s="1299" t="s">
        <v>66</v>
      </c>
      <c r="S145" s="100" t="s">
        <v>65</v>
      </c>
      <c r="T145" s="1299" t="s">
        <v>66</v>
      </c>
      <c r="U145" s="2"/>
      <c r="V145" s="591"/>
      <c r="W145" s="591"/>
      <c r="X145" s="591"/>
      <c r="Y145" s="591"/>
      <c r="Z145" s="591"/>
      <c r="AA145" s="591"/>
      <c r="AB145" s="591"/>
      <c r="AC145" s="591"/>
      <c r="AG145" s="591"/>
      <c r="AH145" s="591"/>
      <c r="AI145" s="591"/>
      <c r="AJ145" s="591"/>
      <c r="AK145" s="591"/>
      <c r="AM145" s="591"/>
      <c r="AN145" s="591"/>
      <c r="AO145" s="591"/>
      <c r="AP145" s="591"/>
      <c r="AQ145" s="591"/>
      <c r="AS145" s="591"/>
      <c r="AT145" s="591"/>
      <c r="AU145" s="591"/>
      <c r="AV145" s="591"/>
      <c r="AW145" s="591"/>
      <c r="AY145" s="591"/>
    </row>
    <row r="146" spans="1:51" ht="15.75" hidden="1" customHeight="1" x14ac:dyDescent="0.2">
      <c r="A146" s="2"/>
      <c r="B146" s="2"/>
      <c r="C146" s="103"/>
      <c r="D146" s="103">
        <f>IF(I146=0,0,COUNTIF(D$139:D145,"&gt;0")+1)</f>
        <v>0</v>
      </c>
      <c r="E146" s="263" t="str">
        <f>IMPOSTAZIONI!B302</f>
        <v/>
      </c>
      <c r="F146" s="2"/>
      <c r="G146" s="305">
        <f>VLOOKUP(E146,IMPOSTAZIONI!$B$298:$AK$304,$E$149,FALSE)</f>
        <v>0</v>
      </c>
      <c r="H146" s="306" t="str">
        <f>IF(G146&gt;0,IF(AND(ISERROR(HLOOKUP(E146,G$136:I$136,1,FALSE)),ISERROR(HLOOKUP(E146,G$1:N$1,1,FALSE))),E146,"OK"),"")</f>
        <v/>
      </c>
      <c r="I146" s="307">
        <f t="shared" si="35"/>
        <v>0</v>
      </c>
      <c r="J146" s="2"/>
      <c r="K146" s="2102" t="s">
        <v>59</v>
      </c>
      <c r="L146" s="2103"/>
      <c r="M146" s="100" t="s">
        <v>198</v>
      </c>
      <c r="N146" s="1299" t="s">
        <v>62</v>
      </c>
      <c r="O146" s="100" t="s">
        <v>199</v>
      </c>
      <c r="P146" s="1299" t="s">
        <v>203</v>
      </c>
      <c r="Q146" s="100" t="s">
        <v>65</v>
      </c>
      <c r="R146" s="1299" t="s">
        <v>66</v>
      </c>
      <c r="S146" s="100" t="s">
        <v>65</v>
      </c>
      <c r="T146" s="1299" t="s">
        <v>66</v>
      </c>
      <c r="U146" s="2"/>
      <c r="V146" s="591"/>
      <c r="W146" s="591"/>
      <c r="X146" s="591"/>
      <c r="Y146" s="591"/>
      <c r="Z146" s="591"/>
      <c r="AA146" s="591"/>
      <c r="AB146" s="591"/>
      <c r="AC146" s="591"/>
      <c r="AG146" s="591"/>
      <c r="AH146" s="591"/>
      <c r="AI146" s="591"/>
      <c r="AJ146" s="591"/>
      <c r="AK146" s="591"/>
      <c r="AM146" s="591"/>
      <c r="AN146" s="591"/>
      <c r="AO146" s="591"/>
      <c r="AP146" s="591"/>
      <c r="AQ146" s="591"/>
      <c r="AS146" s="591"/>
      <c r="AT146" s="591"/>
      <c r="AU146" s="591"/>
      <c r="AV146" s="591"/>
      <c r="AW146" s="591"/>
      <c r="AY146" s="591"/>
    </row>
    <row r="147" spans="1:51" ht="15.75" hidden="1" customHeight="1" x14ac:dyDescent="0.2">
      <c r="A147" s="2"/>
      <c r="B147" s="2"/>
      <c r="C147" s="103"/>
      <c r="D147" s="103">
        <f>IF(I147=0,0,COUNTIF(D$139:D146,"&gt;0")+1)</f>
        <v>0</v>
      </c>
      <c r="E147" s="263" t="str">
        <f>IMPOSTAZIONI!B303</f>
        <v/>
      </c>
      <c r="F147" s="2"/>
      <c r="G147" s="305">
        <f>VLOOKUP(E147,IMPOSTAZIONI!$B$298:$AK$304,$E$149,FALSE)</f>
        <v>0</v>
      </c>
      <c r="H147" s="306" t="str">
        <f>IF(G147&gt;0,IF(AND(ISERROR(HLOOKUP(E147,G$136:I$136,1,FALSE)),ISERROR(HLOOKUP(E147,G$1:N$1,1,FALSE))),E147,"OK"),"")</f>
        <v/>
      </c>
      <c r="I147" s="307">
        <f t="shared" si="35"/>
        <v>0</v>
      </c>
      <c r="J147" s="2"/>
      <c r="K147" s="2102" t="s">
        <v>60</v>
      </c>
      <c r="L147" s="2103"/>
      <c r="M147" s="100" t="s">
        <v>199</v>
      </c>
      <c r="N147" s="1299" t="s">
        <v>203</v>
      </c>
      <c r="O147" s="100" t="s">
        <v>198</v>
      </c>
      <c r="P147" s="1299" t="s">
        <v>63</v>
      </c>
      <c r="Q147" s="100" t="s">
        <v>67</v>
      </c>
      <c r="R147" s="1299" t="s">
        <v>68</v>
      </c>
      <c r="S147" s="100" t="s">
        <v>67</v>
      </c>
      <c r="T147" s="1299" t="s">
        <v>68</v>
      </c>
      <c r="U147" s="2"/>
      <c r="V147" s="591"/>
      <c r="W147" s="591"/>
      <c r="X147" s="591"/>
      <c r="Y147" s="591"/>
      <c r="Z147" s="591"/>
      <c r="AA147" s="591"/>
      <c r="AB147" s="591"/>
      <c r="AC147" s="591"/>
      <c r="AG147" s="591"/>
      <c r="AH147" s="591"/>
      <c r="AI147" s="591"/>
      <c r="AJ147" s="591"/>
      <c r="AK147" s="591"/>
      <c r="AM147" s="591"/>
      <c r="AN147" s="591"/>
      <c r="AO147" s="591"/>
      <c r="AP147" s="591"/>
      <c r="AQ147" s="591"/>
      <c r="AS147" s="591"/>
      <c r="AT147" s="591"/>
      <c r="AU147" s="591"/>
      <c r="AV147" s="591"/>
      <c r="AW147" s="591"/>
      <c r="AY147" s="591"/>
    </row>
    <row r="148" spans="1:51" ht="15.75" hidden="1" customHeight="1" x14ac:dyDescent="0.2">
      <c r="A148" s="2"/>
      <c r="B148" s="2"/>
      <c r="C148" s="103"/>
      <c r="D148" s="103">
        <f>IF(I148=0,0,COUNTIF(D$139:D147,"&gt;0")+1)</f>
        <v>0</v>
      </c>
      <c r="E148" s="263" t="str">
        <f>IMPOSTAZIONI!B304</f>
        <v/>
      </c>
      <c r="F148" s="2"/>
      <c r="G148" s="305">
        <f>VLOOKUP(E148,IMPOSTAZIONI!$B$298:$AK$304,$E$149,FALSE)</f>
        <v>0</v>
      </c>
      <c r="H148" s="306" t="str">
        <f>IF(G148&gt;0,IF(AND(ISERROR(HLOOKUP(E148,G$136:I$136,1,FALSE)),ISERROR(HLOOKUP(E148,G$1:N$1,1,FALSE))),E148,"OK"),"")</f>
        <v/>
      </c>
      <c r="I148" s="307">
        <f t="shared" si="35"/>
        <v>0</v>
      </c>
      <c r="J148" s="2"/>
      <c r="K148" s="2102" t="s">
        <v>61</v>
      </c>
      <c r="L148" s="2103"/>
      <c r="M148" s="100" t="s">
        <v>195</v>
      </c>
      <c r="N148" s="1301" t="s">
        <v>64</v>
      </c>
      <c r="O148" s="1300" t="s">
        <v>195</v>
      </c>
      <c r="P148" s="1301" t="s">
        <v>64</v>
      </c>
      <c r="Q148" s="1300" t="s">
        <v>69</v>
      </c>
      <c r="R148" s="1301"/>
      <c r="S148" s="1300" t="s">
        <v>70</v>
      </c>
      <c r="T148" s="1301"/>
      <c r="U148" s="2"/>
      <c r="V148" s="591"/>
      <c r="W148" s="591"/>
      <c r="X148" s="591"/>
      <c r="Y148" s="591"/>
      <c r="Z148" s="591"/>
      <c r="AA148" s="591"/>
      <c r="AB148" s="591"/>
      <c r="AC148" s="591"/>
      <c r="AG148" s="591"/>
      <c r="AH148" s="591"/>
      <c r="AI148" s="591"/>
      <c r="AJ148" s="591"/>
      <c r="AK148" s="591"/>
      <c r="AM148" s="591"/>
      <c r="AN148" s="591"/>
      <c r="AO148" s="591"/>
      <c r="AP148" s="591"/>
      <c r="AQ148" s="591"/>
      <c r="AS148" s="591"/>
      <c r="AT148" s="591"/>
      <c r="AU148" s="591"/>
      <c r="AV148" s="591"/>
      <c r="AW148" s="591"/>
      <c r="AY148" s="591"/>
    </row>
    <row r="149" spans="1:51" ht="15.75" hidden="1" customHeight="1" x14ac:dyDescent="0.2">
      <c r="A149" s="2"/>
      <c r="B149" s="2"/>
      <c r="C149" s="2"/>
      <c r="D149" s="2"/>
      <c r="E149" s="306">
        <v>24</v>
      </c>
      <c r="F149" s="2"/>
      <c r="G149" s="306" t="str">
        <f>IF(MAX(D139:D148)&gt;C141,K132,"")</f>
        <v/>
      </c>
      <c r="H149" s="308">
        <f>IF((MAX(D139:D148)+3-E135)&gt;3,K132,MAX(D139:D148))</f>
        <v>0</v>
      </c>
      <c r="I149" s="273"/>
      <c r="J149" s="2"/>
      <c r="K149" s="2099"/>
      <c r="L149" s="2099"/>
      <c r="M149" s="1302"/>
      <c r="N149" s="1302"/>
      <c r="O149" s="2"/>
      <c r="P149" s="2"/>
      <c r="Q149" s="2"/>
      <c r="R149" s="2"/>
      <c r="S149" s="2"/>
      <c r="T149" s="2"/>
      <c r="U149" s="2"/>
      <c r="V149" s="591"/>
      <c r="W149" s="591"/>
      <c r="X149" s="591"/>
      <c r="Y149" s="591"/>
      <c r="Z149" s="591"/>
      <c r="AA149" s="591"/>
      <c r="AB149" s="591"/>
      <c r="AC149" s="591"/>
      <c r="AG149" s="591"/>
      <c r="AH149" s="591"/>
      <c r="AI149" s="591"/>
      <c r="AJ149" s="591"/>
      <c r="AK149" s="591"/>
      <c r="AM149" s="591"/>
      <c r="AN149" s="591"/>
      <c r="AO149" s="591"/>
      <c r="AP149" s="591"/>
      <c r="AQ149" s="591"/>
      <c r="AS149" s="591"/>
      <c r="AT149" s="591"/>
      <c r="AU149" s="591"/>
      <c r="AV149" s="591"/>
      <c r="AW149" s="591"/>
      <c r="AY149" s="591"/>
    </row>
    <row r="150" spans="1:51" ht="21" hidden="1" customHeight="1" x14ac:dyDescent="0.2">
      <c r="A150" s="2"/>
      <c r="B150" s="2"/>
      <c r="C150" s="2"/>
      <c r="D150" s="2"/>
      <c r="E150" s="807">
        <f>VLOOKUP(E3,STORICO!C153:AO197,39,FALSE)</f>
        <v>0</v>
      </c>
      <c r="F150" s="2"/>
      <c r="G150" s="1211">
        <f>IF(AND(G152&gt;0,OR(G99&lt;&gt;"OK",G105&lt;&gt;"OK")),1,0)</f>
        <v>0</v>
      </c>
      <c r="H150" s="1211">
        <f>IF(AND(H152&gt;0,OR(H99&lt;&gt;"OK",H105&lt;&gt;"OK")),1,0)</f>
        <v>0</v>
      </c>
      <c r="I150" s="1211">
        <f>IF(AND(I152&gt;0,OR(K99&lt;&gt;"OK",K105&lt;&gt;"OK")),1,0)</f>
        <v>0</v>
      </c>
      <c r="J150" s="1211">
        <f>IF(AND(J152&gt;0,OR(N99&lt;&gt;"OK",N105&lt;&gt;"OK")),1,0)</f>
        <v>0</v>
      </c>
      <c r="K150" s="2"/>
      <c r="L150" s="2"/>
      <c r="M150" s="2"/>
      <c r="N150" s="2"/>
      <c r="O150" s="2"/>
      <c r="P150" s="2"/>
      <c r="Q150" s="2"/>
      <c r="R150" s="2"/>
      <c r="S150" s="2"/>
      <c r="T150" s="2"/>
      <c r="U150" s="2"/>
      <c r="V150" s="591"/>
      <c r="W150" s="591"/>
      <c r="X150" s="591"/>
      <c r="Y150" s="591"/>
      <c r="Z150" s="591"/>
      <c r="AA150" s="591"/>
      <c r="AB150" s="591"/>
      <c r="AC150" s="591"/>
      <c r="AG150" s="591"/>
      <c r="AH150" s="591"/>
      <c r="AI150" s="591"/>
      <c r="AJ150" s="591"/>
      <c r="AK150" s="591"/>
      <c r="AM150" s="591"/>
      <c r="AN150" s="591"/>
      <c r="AO150" s="591"/>
      <c r="AP150" s="591"/>
      <c r="AQ150" s="591"/>
      <c r="AS150" s="591"/>
      <c r="AT150" s="591"/>
      <c r="AU150" s="591"/>
      <c r="AV150" s="591"/>
      <c r="AW150" s="591"/>
      <c r="AY150" s="591"/>
    </row>
    <row r="151" spans="1:51" ht="21" hidden="1" customHeight="1" x14ac:dyDescent="0.2">
      <c r="A151" s="2"/>
      <c r="B151" s="2"/>
      <c r="C151" s="2"/>
      <c r="D151" s="2"/>
      <c r="E151" s="2"/>
      <c r="F151" s="2"/>
      <c r="G151" s="1212" t="str">
        <f>IMPOSTAZIONI!Y382</f>
        <v>Hai delle colonne ALIQUOTE DIVERSE che DEVI SCORPORARE manualmente qui.</v>
      </c>
      <c r="H151" s="1212"/>
      <c r="I151" s="1212"/>
      <c r="J151" s="1212"/>
      <c r="K151" s="1213"/>
      <c r="L151" s="1213"/>
      <c r="M151" s="1213"/>
      <c r="N151" s="1213"/>
      <c r="O151" s="688"/>
      <c r="P151" s="688"/>
      <c r="Q151" s="688"/>
      <c r="R151" s="99"/>
      <c r="S151" s="1306"/>
      <c r="T151" s="591"/>
      <c r="U151" s="591"/>
      <c r="V151" s="591"/>
      <c r="W151" s="591"/>
      <c r="X151" s="591"/>
      <c r="Y151" s="591"/>
      <c r="Z151" s="591"/>
      <c r="AA151" s="591"/>
      <c r="AB151" s="591"/>
      <c r="AC151" s="591"/>
      <c r="AG151" s="591"/>
      <c r="AH151" s="591"/>
      <c r="AI151" s="591"/>
      <c r="AJ151" s="591"/>
      <c r="AK151" s="591"/>
      <c r="AM151" s="591"/>
      <c r="AN151" s="591"/>
      <c r="AO151" s="591"/>
      <c r="AP151" s="591"/>
      <c r="AQ151" s="591"/>
      <c r="AS151" s="591"/>
      <c r="AT151" s="591"/>
      <c r="AU151" s="591"/>
      <c r="AV151" s="591"/>
      <c r="AW151" s="591"/>
      <c r="AY151" s="591"/>
    </row>
    <row r="152" spans="1:51" ht="21" hidden="1" customHeight="1" x14ac:dyDescent="0.2">
      <c r="A152" s="2"/>
      <c r="B152" s="2"/>
      <c r="C152" s="2"/>
      <c r="D152" s="2"/>
      <c r="E152" s="92" t="str">
        <f>IMPOSTAZIONI!J383</f>
        <v>INSERISCI</v>
      </c>
      <c r="F152" s="2"/>
      <c r="G152" s="86">
        <f>IF(G46=0,0,IF(AND(G62&lt;&gt;$L134,G155="X"),1,0))</f>
        <v>0</v>
      </c>
      <c r="H152" s="87">
        <f>IF(H46=0,0,IF(AND(H62&lt;&gt;$L134,H155="X"),1,0))</f>
        <v>0</v>
      </c>
      <c r="I152" s="87">
        <f>IF(K46=0,0,IF(AND(K62&lt;&gt;$L134,I155="X"),1,0))</f>
        <v>0</v>
      </c>
      <c r="J152" s="88">
        <f>IF(N46=0,0,IF(AND(N62&lt;&gt;$L134,J155="X"),1,0))</f>
        <v>0</v>
      </c>
      <c r="K152" s="100" t="str">
        <f>IMPOSTAZIONI!M383</f>
        <v>VERIFICA</v>
      </c>
      <c r="L152" s="92" t="str">
        <f>IMPOSTAZIONI!P383</f>
        <v>CANCELLA</v>
      </c>
      <c r="M152" s="2"/>
      <c r="N152" s="2"/>
      <c r="O152" s="2"/>
      <c r="P152" s="2"/>
      <c r="Q152" s="2"/>
      <c r="R152" s="2"/>
      <c r="S152" s="591"/>
      <c r="T152" s="591"/>
      <c r="U152" s="591"/>
      <c r="V152" s="591"/>
      <c r="W152" s="591"/>
      <c r="X152" s="591"/>
      <c r="Y152" s="591"/>
      <c r="Z152" s="591"/>
      <c r="AA152" s="591"/>
      <c r="AB152" s="591"/>
      <c r="AC152" s="591"/>
      <c r="AG152" s="591"/>
      <c r="AH152" s="591"/>
      <c r="AI152" s="591"/>
      <c r="AJ152" s="591"/>
      <c r="AK152" s="591"/>
      <c r="AM152" s="591"/>
      <c r="AN152" s="591"/>
      <c r="AO152" s="591"/>
      <c r="AP152" s="591"/>
      <c r="AQ152" s="591"/>
      <c r="AS152" s="591"/>
      <c r="AT152" s="591"/>
      <c r="AU152" s="591"/>
      <c r="AV152" s="591"/>
      <c r="AW152" s="591"/>
      <c r="AY152" s="591"/>
    </row>
    <row r="153" spans="1:51" hidden="1" x14ac:dyDescent="0.2">
      <c r="A153" s="2"/>
      <c r="B153" s="2"/>
      <c r="C153" s="2"/>
      <c r="D153" s="2"/>
      <c r="E153" s="2"/>
      <c r="F153" s="2"/>
      <c r="G153" s="756">
        <f>G46</f>
        <v>0</v>
      </c>
      <c r="H153" s="757">
        <f>H46</f>
        <v>0</v>
      </c>
      <c r="I153" s="757">
        <f>K46</f>
        <v>0</v>
      </c>
      <c r="J153" s="758">
        <f>N46</f>
        <v>0</v>
      </c>
      <c r="K153" s="2"/>
      <c r="L153" s="2"/>
      <c r="M153" s="2"/>
      <c r="N153" s="2"/>
      <c r="O153" s="2"/>
      <c r="P153" s="2"/>
      <c r="Q153" s="2"/>
      <c r="R153" s="2"/>
      <c r="S153" s="591"/>
      <c r="T153" s="591"/>
      <c r="U153" s="591"/>
      <c r="V153" s="591"/>
      <c r="W153" s="591"/>
      <c r="X153" s="591"/>
      <c r="Y153" s="591"/>
      <c r="Z153" s="591"/>
      <c r="AA153" s="591"/>
      <c r="AB153" s="591"/>
      <c r="AC153" s="591"/>
      <c r="AG153" s="591"/>
      <c r="AH153" s="591"/>
      <c r="AI153" s="591"/>
      <c r="AJ153" s="591"/>
      <c r="AK153" s="591"/>
      <c r="AM153" s="591"/>
      <c r="AN153" s="591"/>
      <c r="AO153" s="591"/>
      <c r="AP153" s="591"/>
      <c r="AQ153" s="591"/>
      <c r="AS153" s="591"/>
      <c r="AT153" s="591"/>
      <c r="AU153" s="591"/>
      <c r="AV153" s="591"/>
      <c r="AW153" s="591"/>
      <c r="AY153" s="591"/>
    </row>
    <row r="154" spans="1:51" ht="16.5" hidden="1" customHeight="1" x14ac:dyDescent="0.2">
      <c r="A154" s="2"/>
      <c r="B154" s="2"/>
      <c r="C154" s="2"/>
      <c r="D154" s="2"/>
      <c r="E154" s="2"/>
      <c r="F154" s="2"/>
      <c r="G154" s="756">
        <f>G48</f>
        <v>0</v>
      </c>
      <c r="H154" s="757">
        <f>H48</f>
        <v>0</v>
      </c>
      <c r="I154" s="757">
        <f>K48</f>
        <v>0</v>
      </c>
      <c r="J154" s="758">
        <f>N48</f>
        <v>0</v>
      </c>
      <c r="K154" s="2"/>
      <c r="L154" s="2"/>
      <c r="M154" s="2"/>
      <c r="N154" s="2"/>
      <c r="O154" s="2"/>
      <c r="P154" s="2"/>
      <c r="Q154" s="2"/>
      <c r="R154" s="2"/>
      <c r="S154" s="591"/>
      <c r="T154" s="591"/>
      <c r="U154" s="591"/>
      <c r="V154" s="591"/>
      <c r="W154" s="591"/>
      <c r="X154" s="591"/>
      <c r="Y154" s="591"/>
      <c r="Z154" s="591"/>
      <c r="AA154" s="591"/>
      <c r="AB154" s="591"/>
      <c r="AC154" s="591"/>
      <c r="AG154" s="591"/>
      <c r="AH154" s="591"/>
      <c r="AI154" s="591"/>
      <c r="AJ154" s="591"/>
      <c r="AK154" s="591"/>
      <c r="AM154" s="591"/>
      <c r="AN154" s="591"/>
      <c r="AO154" s="591"/>
      <c r="AP154" s="591"/>
      <c r="AQ154" s="591"/>
      <c r="AS154" s="591"/>
      <c r="AT154" s="591"/>
      <c r="AU154" s="591"/>
      <c r="AV154" s="591"/>
      <c r="AW154" s="591"/>
      <c r="AY154" s="591"/>
    </row>
    <row r="155" spans="1:51" ht="15" hidden="1" customHeight="1" x14ac:dyDescent="0.2">
      <c r="A155" s="2"/>
      <c r="B155" s="2"/>
      <c r="C155" s="2"/>
      <c r="D155" s="2"/>
      <c r="E155" s="2"/>
      <c r="F155" s="2"/>
      <c r="G155" s="753">
        <f>IF(G156="",0,VLOOKUP(G156,IMPOSTAZIONI!$R$131:$AD$145,13,FALSE))</f>
        <v>0</v>
      </c>
      <c r="H155" s="754">
        <f>IF(H156="",0,VLOOKUP(H156,IMPOSTAZIONI!$R$131:$AD$145,13,FALSE))</f>
        <v>0</v>
      </c>
      <c r="I155" s="754">
        <f>IF(I156="",0,VLOOKUP(I156,IMPOSTAZIONI!$R$131:$AD$145,13,FALSE))</f>
        <v>0</v>
      </c>
      <c r="J155" s="755">
        <f>IF(J156="",0,VLOOKUP(J156,IMPOSTAZIONI!$R$131:$AD$145,13,FALSE))</f>
        <v>0</v>
      </c>
      <c r="K155" s="2"/>
      <c r="L155" s="2"/>
      <c r="M155" s="2"/>
      <c r="N155" s="2"/>
      <c r="O155" s="2"/>
      <c r="P155" s="2"/>
      <c r="Q155" s="2"/>
      <c r="R155" s="2"/>
      <c r="S155" s="591"/>
      <c r="T155" s="591"/>
      <c r="U155" s="591"/>
      <c r="V155" s="591"/>
      <c r="W155" s="591"/>
      <c r="X155" s="591"/>
      <c r="Y155" s="591"/>
      <c r="Z155" s="591"/>
      <c r="AA155" s="591"/>
      <c r="AB155" s="591"/>
      <c r="AC155" s="591"/>
      <c r="AG155" s="591"/>
      <c r="AH155" s="591"/>
      <c r="AI155" s="591"/>
      <c r="AJ155" s="591"/>
      <c r="AK155" s="591"/>
      <c r="AM155" s="591"/>
      <c r="AN155" s="591"/>
      <c r="AO155" s="591"/>
      <c r="AP155" s="591"/>
      <c r="AQ155" s="591"/>
      <c r="AS155" s="591"/>
      <c r="AT155" s="591"/>
      <c r="AU155" s="591"/>
      <c r="AV155" s="591"/>
      <c r="AW155" s="591"/>
      <c r="AY155" s="591"/>
    </row>
    <row r="156" spans="1:51" ht="15" hidden="1" customHeight="1" x14ac:dyDescent="0.2">
      <c r="A156" s="2"/>
      <c r="B156" s="2"/>
      <c r="C156" s="2"/>
      <c r="D156" s="2"/>
      <c r="E156" s="2"/>
      <c r="F156" s="56"/>
      <c r="G156" s="752" t="str">
        <f>IMPOSTAZIONI!F215</f>
        <v/>
      </c>
      <c r="H156" s="752" t="str">
        <f>IMPOSTAZIONI!K215</f>
        <v/>
      </c>
      <c r="I156" s="752" t="str">
        <f>IMPOSTAZIONI!P215</f>
        <v/>
      </c>
      <c r="J156" s="752" t="str">
        <f>IMPOSTAZIONI!U215</f>
        <v/>
      </c>
      <c r="K156" s="2100" t="s">
        <v>195</v>
      </c>
      <c r="L156" s="2100"/>
      <c r="M156" s="2"/>
      <c r="N156" s="2"/>
      <c r="O156" s="2"/>
      <c r="P156" s="2"/>
      <c r="Q156" s="2"/>
      <c r="R156" s="2"/>
      <c r="S156" s="591"/>
      <c r="T156" s="591"/>
      <c r="U156" s="591"/>
      <c r="V156" s="591"/>
      <c r="W156" s="591"/>
      <c r="X156" s="591"/>
      <c r="Y156" s="591"/>
      <c r="Z156" s="591"/>
      <c r="AA156" s="591"/>
      <c r="AB156" s="591"/>
      <c r="AC156" s="591"/>
      <c r="AG156" s="591"/>
      <c r="AH156" s="591"/>
      <c r="AI156" s="591"/>
      <c r="AJ156" s="591"/>
      <c r="AK156" s="591"/>
      <c r="AM156" s="591"/>
      <c r="AN156" s="591"/>
      <c r="AO156" s="591"/>
      <c r="AP156" s="591"/>
      <c r="AQ156" s="591"/>
      <c r="AS156" s="591"/>
      <c r="AT156" s="591"/>
      <c r="AU156" s="591"/>
      <c r="AV156" s="591"/>
      <c r="AW156" s="591"/>
      <c r="AY156" s="591"/>
    </row>
    <row r="157" spans="1:51" ht="15" hidden="1" customHeight="1" x14ac:dyDescent="0.2">
      <c r="A157" s="2"/>
      <c r="B157" s="2"/>
      <c r="C157" s="2"/>
      <c r="D157" s="2"/>
      <c r="E157" s="288" t="str">
        <f>IMPOSTAZIONI!B321</f>
        <v>SC</v>
      </c>
      <c r="F157" s="56"/>
      <c r="G157" s="288" t="str">
        <f>IF(MID(G1,7,2)="",$E157,MID(G1,7,2))</f>
        <v>SC</v>
      </c>
      <c r="H157" s="288" t="str">
        <f>IF(MID(H1,7,2)="",$E157,MID(H1,7,2))</f>
        <v>SC</v>
      </c>
      <c r="I157" s="288" t="str">
        <f>IF(MID(K1,7,2)="",$E157,MID(K1,7,2))</f>
        <v>SC</v>
      </c>
      <c r="J157" s="288" t="str">
        <f>IF(MID(N1,7,2)="",$E157,MID(N1,7,2))</f>
        <v>SC</v>
      </c>
      <c r="K157" s="2100" t="str">
        <f>IMPOSTAZIONI!AH7</f>
        <v>Categoria</v>
      </c>
      <c r="L157" s="2100"/>
      <c r="M157" s="2"/>
      <c r="N157" s="2"/>
      <c r="O157" s="2"/>
      <c r="P157" s="2"/>
      <c r="Q157" s="2"/>
      <c r="R157" s="2"/>
      <c r="S157" s="591"/>
      <c r="T157" s="591"/>
      <c r="U157" s="591"/>
      <c r="V157" s="591"/>
      <c r="W157" s="591"/>
      <c r="X157" s="591"/>
      <c r="Y157" s="591"/>
      <c r="Z157" s="591"/>
      <c r="AA157" s="591"/>
      <c r="AB157" s="591"/>
      <c r="AC157" s="591"/>
      <c r="AG157" s="591"/>
      <c r="AH157" s="591"/>
      <c r="AI157" s="591"/>
      <c r="AJ157" s="591"/>
      <c r="AK157" s="591"/>
      <c r="AM157" s="591"/>
      <c r="AN157" s="591"/>
      <c r="AO157" s="591"/>
      <c r="AP157" s="591"/>
      <c r="AQ157" s="591"/>
      <c r="AS157" s="591"/>
      <c r="AT157" s="591"/>
      <c r="AU157" s="591"/>
      <c r="AV157" s="591"/>
      <c r="AW157" s="591"/>
      <c r="AY157" s="591"/>
    </row>
    <row r="158" spans="1:51" ht="15" hidden="1" customHeight="1" x14ac:dyDescent="0.2">
      <c r="A158" s="2"/>
      <c r="B158" s="2"/>
      <c r="C158" s="2"/>
      <c r="D158" s="2"/>
      <c r="E158" s="288" t="str">
        <f>IMPOSTAZIONI!B351</f>
        <v>%</v>
      </c>
      <c r="F158" s="56"/>
      <c r="G158" s="288" t="str">
        <f>IF(OR(G155&gt;0,G155="X"),$E158,IF(G156="","",MID(G1,4,2)))</f>
        <v/>
      </c>
      <c r="H158" s="288" t="str">
        <f>IF(OR(H155&gt;0,H155="X"),$E158,IF(H156="","",MID(H1,4,2)))</f>
        <v/>
      </c>
      <c r="I158" s="288" t="str">
        <f>IF(OR(I155&gt;0,I155="X"),$E158,IF(I156="","",MID(K1,4,2)))</f>
        <v/>
      </c>
      <c r="J158" s="288" t="str">
        <f>IF(OR(J155&gt;0,J155="X"),$E158,IF(J156="","",MID(N1,4,2)))</f>
        <v/>
      </c>
      <c r="K158" s="2100" t="str">
        <f>IMPOSTAZIONI!B337</f>
        <v>NO IVA</v>
      </c>
      <c r="L158" s="2100"/>
      <c r="M158" s="2"/>
      <c r="N158" s="2"/>
      <c r="O158" s="2"/>
      <c r="P158" s="2"/>
      <c r="Q158" s="2"/>
      <c r="R158" s="2"/>
      <c r="S158" s="591"/>
      <c r="T158" s="591"/>
      <c r="U158" s="591"/>
      <c r="V158" s="591"/>
      <c r="W158" s="591"/>
      <c r="X158" s="591"/>
      <c r="Y158" s="591"/>
      <c r="Z158" s="591"/>
      <c r="AA158" s="591"/>
      <c r="AB158" s="591"/>
      <c r="AC158" s="591"/>
      <c r="AG158" s="591"/>
      <c r="AH158" s="591"/>
      <c r="AI158" s="591"/>
      <c r="AJ158" s="591"/>
      <c r="AK158" s="591"/>
      <c r="AM158" s="591"/>
      <c r="AN158" s="591"/>
      <c r="AO158" s="591"/>
      <c r="AP158" s="591"/>
      <c r="AQ158" s="591"/>
      <c r="AS158" s="591"/>
      <c r="AT158" s="591"/>
      <c r="AU158" s="591"/>
      <c r="AV158" s="591"/>
      <c r="AW158" s="591"/>
      <c r="AY158" s="591"/>
    </row>
    <row r="159" spans="1:51" ht="15" hidden="1" customHeight="1" x14ac:dyDescent="0.2">
      <c r="A159" s="2"/>
      <c r="B159" s="2"/>
      <c r="C159" s="2"/>
      <c r="D159" s="2"/>
      <c r="E159" s="288"/>
      <c r="F159" s="56"/>
      <c r="G159" s="376" t="str">
        <f>MID(G1,1,2)</f>
        <v>--</v>
      </c>
      <c r="H159" s="376" t="str">
        <f>MID(H1,1,2)</f>
        <v>--</v>
      </c>
      <c r="I159" s="376" t="str">
        <f>MID(K1,1,2)</f>
        <v>--</v>
      </c>
      <c r="J159" s="376" t="str">
        <f>MID(N1,1,2)</f>
        <v>--</v>
      </c>
      <c r="K159" s="2100" t="str">
        <f>IMPOSTAZIONI!B354</f>
        <v>TIPO</v>
      </c>
      <c r="L159" s="2100"/>
      <c r="M159" s="2"/>
      <c r="N159" s="2"/>
      <c r="O159" s="2"/>
      <c r="P159" s="2"/>
      <c r="Q159" s="2"/>
      <c r="R159" s="2"/>
      <c r="S159" s="591"/>
      <c r="T159" s="591"/>
      <c r="U159" s="591"/>
      <c r="V159" s="591"/>
      <c r="W159" s="591"/>
      <c r="X159" s="591"/>
      <c r="Y159" s="591"/>
      <c r="Z159" s="591"/>
      <c r="AA159" s="591"/>
      <c r="AB159" s="591"/>
      <c r="AC159" s="591"/>
      <c r="AG159" s="591"/>
      <c r="AH159" s="591"/>
      <c r="AI159" s="591"/>
      <c r="AJ159" s="591"/>
      <c r="AK159" s="591"/>
      <c r="AM159" s="591"/>
      <c r="AN159" s="591"/>
      <c r="AO159" s="591"/>
      <c r="AP159" s="591"/>
      <c r="AQ159" s="591"/>
      <c r="AS159" s="591"/>
      <c r="AT159" s="591"/>
      <c r="AU159" s="591"/>
      <c r="AV159" s="591"/>
      <c r="AW159" s="591"/>
      <c r="AY159" s="591"/>
    </row>
    <row r="160" spans="1:51" ht="15" hidden="1" customHeight="1" x14ac:dyDescent="0.2">
      <c r="A160" s="2"/>
      <c r="B160" s="2"/>
      <c r="C160" s="2"/>
      <c r="D160" s="2"/>
      <c r="E160" s="288"/>
      <c r="F160" s="56"/>
      <c r="G160" s="951">
        <f>SUM(G101:G104)</f>
        <v>0</v>
      </c>
      <c r="H160" s="377">
        <f>SUM(H101:H104)</f>
        <v>0</v>
      </c>
      <c r="I160" s="377">
        <f>SUM(K101:K104)</f>
        <v>0</v>
      </c>
      <c r="J160" s="377">
        <f>SUM(N101:N104)</f>
        <v>0</v>
      </c>
      <c r="K160" s="2107" t="s">
        <v>529</v>
      </c>
      <c r="L160" s="2107"/>
      <c r="M160" s="14"/>
      <c r="N160" s="14"/>
      <c r="O160" s="14"/>
      <c r="P160" s="14"/>
      <c r="Q160" s="14"/>
      <c r="R160" s="2"/>
      <c r="S160" s="591"/>
      <c r="T160" s="591"/>
      <c r="U160" s="591"/>
      <c r="V160" s="591"/>
      <c r="W160" s="591"/>
      <c r="X160" s="591"/>
      <c r="Y160" s="591"/>
      <c r="Z160" s="591"/>
      <c r="AA160" s="591"/>
      <c r="AB160" s="591"/>
      <c r="AC160" s="591"/>
      <c r="AG160" s="591"/>
      <c r="AH160" s="591"/>
      <c r="AI160" s="591"/>
      <c r="AJ160" s="591"/>
      <c r="AK160" s="591"/>
      <c r="AM160" s="591"/>
      <c r="AN160" s="591"/>
      <c r="AO160" s="591"/>
      <c r="AP160" s="591"/>
      <c r="AQ160" s="591"/>
      <c r="AS160" s="591"/>
      <c r="AT160" s="591"/>
      <c r="AU160" s="591"/>
      <c r="AV160" s="591"/>
      <c r="AW160" s="591"/>
      <c r="AY160" s="591"/>
    </row>
    <row r="161" spans="1:51" ht="15" hidden="1" customHeight="1" x14ac:dyDescent="0.2">
      <c r="A161" s="2"/>
      <c r="B161" s="2"/>
      <c r="C161" s="2"/>
      <c r="D161" s="2"/>
      <c r="E161" s="72"/>
      <c r="F161" s="2"/>
      <c r="G161" s="950">
        <f>IF(AND(G42=$K134,G62=$L135),G48,0)</f>
        <v>0</v>
      </c>
      <c r="H161" s="950">
        <f>IF(AND(H42=$K134,H62=$L135),H48,0)</f>
        <v>0</v>
      </c>
      <c r="I161" s="950">
        <f>IF(AND(K42=$K134,K62=$L135),K48,0)</f>
        <v>0</v>
      </c>
      <c r="J161" s="950">
        <f>IF(AND(N42=$K134,N62=$L135),N48,0)</f>
        <v>0</v>
      </c>
      <c r="K161" s="211"/>
      <c r="L161" s="211"/>
      <c r="M161" s="211"/>
      <c r="N161" s="211"/>
      <c r="O161" s="211"/>
      <c r="P161" s="211"/>
      <c r="Q161" s="211"/>
      <c r="R161" s="2"/>
      <c r="S161" s="591"/>
      <c r="T161" s="591"/>
      <c r="U161" s="591"/>
      <c r="V161" s="591"/>
      <c r="W161" s="591"/>
      <c r="X161" s="591"/>
      <c r="Y161" s="591"/>
      <c r="Z161" s="591"/>
      <c r="AA161" s="591"/>
      <c r="AB161" s="591"/>
      <c r="AC161" s="591"/>
      <c r="AG161" s="591"/>
      <c r="AH161" s="591"/>
      <c r="AI161" s="591"/>
      <c r="AJ161" s="591"/>
      <c r="AK161" s="591"/>
      <c r="AM161" s="591"/>
      <c r="AN161" s="591"/>
      <c r="AO161" s="591"/>
      <c r="AP161" s="591"/>
      <c r="AQ161" s="591"/>
      <c r="AS161" s="591"/>
      <c r="AT161" s="591"/>
      <c r="AU161" s="591"/>
      <c r="AV161" s="591"/>
      <c r="AW161" s="591"/>
      <c r="AY161" s="591"/>
    </row>
    <row r="162" spans="1:51" hidden="1" x14ac:dyDescent="0.2">
      <c r="A162" s="2"/>
      <c r="B162" s="2086">
        <f>Presentazione!Q13</f>
        <v>45292</v>
      </c>
      <c r="C162" s="2087"/>
      <c r="D162" s="2088"/>
      <c r="E162" s="288" t="str">
        <f>CONCATENATE(CASSA!X485,"    ")</f>
        <v xml:space="preserve">Chiuso    </v>
      </c>
      <c r="F162" s="2"/>
      <c r="G162" s="950">
        <f>IF(G62&lt;&gt;$L134,G48-G161,0)</f>
        <v>0</v>
      </c>
      <c r="H162" s="950">
        <f>IF(H62&lt;&gt;$L134,H48-H161,0)</f>
        <v>0</v>
      </c>
      <c r="I162" s="950">
        <f>IF(K62&lt;&gt;$L134,K48-I161,0)</f>
        <v>0</v>
      </c>
      <c r="J162" s="950">
        <f>IF(N62&lt;&gt;$L134,N48-J161,0)</f>
        <v>0</v>
      </c>
      <c r="K162" s="2"/>
      <c r="L162" s="2"/>
      <c r="M162" s="2"/>
      <c r="N162" s="2"/>
      <c r="O162" s="2"/>
      <c r="P162" s="2"/>
      <c r="Q162" s="2"/>
      <c r="R162" s="2"/>
      <c r="S162" s="591"/>
      <c r="T162" s="591"/>
      <c r="U162" s="591"/>
      <c r="V162" s="591"/>
      <c r="W162" s="591"/>
      <c r="X162" s="591"/>
      <c r="Y162" s="591"/>
      <c r="Z162" s="591"/>
      <c r="AA162" s="591"/>
      <c r="AB162" s="591"/>
      <c r="AC162" s="591"/>
      <c r="AG162" s="591"/>
      <c r="AH162" s="591"/>
      <c r="AI162" s="591"/>
      <c r="AJ162" s="591"/>
      <c r="AK162" s="591"/>
      <c r="AM162" s="591"/>
      <c r="AN162" s="591"/>
      <c r="AO162" s="591"/>
      <c r="AP162" s="591"/>
      <c r="AQ162" s="591"/>
      <c r="AS162" s="591"/>
      <c r="AT162" s="591"/>
      <c r="AU162" s="591"/>
      <c r="AV162" s="591"/>
      <c r="AW162" s="591"/>
      <c r="AY162" s="591"/>
    </row>
    <row r="163" spans="1:51" ht="15" hidden="1" customHeight="1" x14ac:dyDescent="0.2">
      <c r="A163" s="2"/>
      <c r="B163" s="2086">
        <f>Presentazione!R13</f>
        <v>45382</v>
      </c>
      <c r="C163" s="2087"/>
      <c r="D163" s="2088"/>
      <c r="E163" s="288" t="str">
        <f>CONCATENATE(IMPOSTAZIONI!L188,"    ")</f>
        <v xml:space="preserve">ERROR    </v>
      </c>
      <c r="F163" s="232"/>
      <c r="G163" s="233" t="s">
        <v>299</v>
      </c>
      <c r="H163" s="60">
        <f>IMPOSTAZIONI!N387</f>
        <v>18</v>
      </c>
      <c r="I163" s="288">
        <f>IMPOSTAZIONI!Y153</f>
        <v>0</v>
      </c>
      <c r="J163" s="140" t="s">
        <v>463</v>
      </c>
      <c r="K163" s="233" t="s">
        <v>549</v>
      </c>
      <c r="L163" s="60">
        <f>Presentazione!E159</f>
        <v>0</v>
      </c>
      <c r="M163" s="170" t="s">
        <v>398</v>
      </c>
      <c r="N163" s="79">
        <v>1</v>
      </c>
      <c r="O163" s="508">
        <f>IF(OR(COUNTIF(G99:N99,E152)&gt;0,COUNTIF(G99:N99,K152)&gt;0,COUNTIF(G99:N99,L152)&gt;0,COUNTIF(G105:N105,E152)&gt;0,COUNTIF(G105:N105,K152)&gt;0,COUNTIF(G105:N105,L152)&gt;0,COUNTIF(C101:F104,"ERROR")&gt;0,COUNTIF(E8:F38,E163)&gt;0),1,0)</f>
        <v>0</v>
      </c>
      <c r="P163" s="509" t="s">
        <v>550</v>
      </c>
      <c r="Q163" s="2"/>
      <c r="R163" s="2"/>
      <c r="S163" s="591"/>
      <c r="T163" s="591"/>
      <c r="U163" s="591"/>
      <c r="V163" s="591"/>
      <c r="W163" s="591"/>
      <c r="X163" s="591"/>
      <c r="Y163" s="591"/>
      <c r="Z163" s="591"/>
      <c r="AA163" s="591"/>
      <c r="AB163" s="591"/>
      <c r="AC163" s="591"/>
      <c r="AG163" s="591"/>
      <c r="AH163" s="591"/>
      <c r="AI163" s="591"/>
      <c r="AJ163" s="591"/>
      <c r="AK163" s="591"/>
      <c r="AM163" s="591"/>
      <c r="AN163" s="591"/>
      <c r="AO163" s="591"/>
      <c r="AP163" s="591"/>
      <c r="AQ163" s="591"/>
      <c r="AS163" s="591"/>
      <c r="AT163" s="591"/>
      <c r="AU163" s="591"/>
      <c r="AV163" s="591"/>
      <c r="AW163" s="591"/>
      <c r="AY163" s="591"/>
    </row>
    <row r="164" spans="1:51" ht="15" hidden="1" customHeight="1" x14ac:dyDescent="0.2">
      <c r="A164" s="2"/>
      <c r="B164" s="2"/>
      <c r="C164" s="2"/>
      <c r="D164" s="2"/>
      <c r="E164" s="2"/>
      <c r="F164" s="2"/>
      <c r="G164" s="950">
        <f>IF(G42=$K134,0,G87)</f>
        <v>0</v>
      </c>
      <c r="H164" s="950">
        <f>IF(H42=$K134,0,H87)</f>
        <v>0</v>
      </c>
      <c r="I164" s="950">
        <f>IF(K42=$K134,0,I87)</f>
        <v>0</v>
      </c>
      <c r="J164" s="950">
        <f>IF(N42=$K134,0,K87)</f>
        <v>0</v>
      </c>
      <c r="K164" s="2"/>
      <c r="L164" s="2"/>
      <c r="M164" s="2"/>
      <c r="N164" s="2"/>
      <c r="O164" s="2"/>
      <c r="P164" s="2"/>
      <c r="Q164" s="2"/>
      <c r="R164" s="2"/>
      <c r="S164" s="591"/>
      <c r="T164" s="591"/>
      <c r="U164" s="591"/>
      <c r="V164" s="591"/>
      <c r="W164" s="591"/>
      <c r="X164" s="591"/>
      <c r="Y164" s="591"/>
      <c r="Z164" s="591"/>
      <c r="AA164" s="591"/>
      <c r="AB164" s="591"/>
      <c r="AC164" s="591"/>
      <c r="AG164" s="591"/>
      <c r="AH164" s="591"/>
      <c r="AI164" s="591"/>
      <c r="AJ164" s="591"/>
      <c r="AK164" s="591"/>
      <c r="AM164" s="591"/>
      <c r="AN164" s="591"/>
      <c r="AO164" s="591"/>
      <c r="AP164" s="591"/>
      <c r="AQ164" s="591"/>
      <c r="AS164" s="591"/>
      <c r="AT164" s="591"/>
      <c r="AU164" s="591"/>
      <c r="AV164" s="591"/>
      <c r="AW164" s="591"/>
      <c r="AY164" s="591"/>
    </row>
    <row r="165" spans="1:51" hidden="1" x14ac:dyDescent="0.2">
      <c r="A165" s="2"/>
      <c r="B165" s="2"/>
      <c r="C165" s="2"/>
      <c r="D165" s="2"/>
      <c r="E165" s="2"/>
      <c r="F165" s="2"/>
      <c r="G165" s="2"/>
      <c r="H165" s="2"/>
      <c r="I165" s="2"/>
      <c r="J165" s="2"/>
      <c r="K165" s="2"/>
      <c r="L165" s="2"/>
      <c r="M165" s="2"/>
      <c r="N165" s="2"/>
      <c r="O165" s="2"/>
      <c r="P165" s="2"/>
      <c r="Q165" s="2"/>
      <c r="R165" s="2"/>
      <c r="S165" s="591"/>
      <c r="T165" s="591"/>
      <c r="U165" s="591"/>
      <c r="V165" s="591"/>
      <c r="W165" s="591"/>
      <c r="X165" s="591"/>
      <c r="Y165" s="591"/>
      <c r="Z165" s="591"/>
      <c r="AA165" s="591"/>
      <c r="AB165" s="591"/>
      <c r="AC165" s="591"/>
      <c r="AG165" s="591"/>
      <c r="AH165" s="591"/>
      <c r="AI165" s="591"/>
      <c r="AJ165" s="591"/>
      <c r="AK165" s="591"/>
      <c r="AM165" s="591"/>
      <c r="AN165" s="591"/>
      <c r="AO165" s="591"/>
      <c r="AP165" s="591"/>
      <c r="AQ165" s="591"/>
      <c r="AS165" s="591"/>
      <c r="AT165" s="591"/>
      <c r="AU165" s="591"/>
      <c r="AV165" s="591"/>
      <c r="AW165" s="591"/>
      <c r="AY165" s="591"/>
    </row>
    <row r="166" spans="1:51" ht="22.5" customHeight="1" x14ac:dyDescent="0.2">
      <c r="A166" s="2"/>
      <c r="B166" s="2"/>
      <c r="C166" s="2"/>
      <c r="D166" s="2"/>
      <c r="E166" s="2"/>
      <c r="F166" s="2"/>
      <c r="G166" s="624">
        <v>1</v>
      </c>
      <c r="H166" s="624">
        <v>2</v>
      </c>
      <c r="I166" s="2229">
        <v>5</v>
      </c>
      <c r="J166" s="2229"/>
      <c r="K166" s="624">
        <v>8</v>
      </c>
      <c r="L166" s="2"/>
      <c r="M166" s="2228" t="s">
        <v>193</v>
      </c>
      <c r="N166" s="2228"/>
      <c r="O166" s="2"/>
      <c r="P166" s="2"/>
      <c r="Q166" s="2"/>
      <c r="R166" s="591"/>
      <c r="S166" s="591"/>
      <c r="T166" s="591"/>
      <c r="U166" s="591"/>
      <c r="V166" s="591"/>
      <c r="W166" s="591"/>
      <c r="X166" s="591"/>
      <c r="Y166" s="591"/>
      <c r="Z166" s="591"/>
      <c r="AA166" s="591"/>
      <c r="AB166" s="591"/>
      <c r="AC166" s="591"/>
      <c r="AG166" s="591"/>
      <c r="AS166" s="591"/>
    </row>
    <row r="167" spans="1:51" ht="18" customHeight="1" x14ac:dyDescent="0.2">
      <c r="A167" s="2"/>
      <c r="B167" s="2"/>
      <c r="C167" s="2084" t="s">
        <v>175</v>
      </c>
      <c r="D167" s="2084"/>
      <c r="E167" s="2085">
        <f>E43</f>
        <v>2024</v>
      </c>
      <c r="F167" s="2085">
        <f>F43</f>
        <v>0</v>
      </c>
      <c r="G167" s="590" t="str">
        <f>G43</f>
        <v/>
      </c>
      <c r="H167" s="590" t="str">
        <f>H43</f>
        <v/>
      </c>
      <c r="I167" s="2232" t="str">
        <f>K43</f>
        <v/>
      </c>
      <c r="J167" s="2232"/>
      <c r="K167" s="590" t="str">
        <f>N43</f>
        <v/>
      </c>
      <c r="L167" s="2"/>
      <c r="M167" s="908" t="s">
        <v>717</v>
      </c>
      <c r="N167" s="2"/>
      <c r="O167" s="2"/>
      <c r="P167" s="2"/>
      <c r="Q167" s="2"/>
      <c r="R167" s="591"/>
      <c r="S167" s="591"/>
      <c r="T167" s="591"/>
      <c r="U167" s="591"/>
      <c r="V167" s="591"/>
      <c r="W167" s="591"/>
      <c r="X167" s="591"/>
      <c r="Y167" s="591"/>
      <c r="Z167" s="591"/>
      <c r="AA167" s="591"/>
      <c r="AB167" s="591"/>
      <c r="AC167" s="591"/>
      <c r="AG167" s="591"/>
      <c r="AS167" s="591"/>
    </row>
    <row r="168" spans="1:51" ht="22.5" customHeight="1" x14ac:dyDescent="0.2">
      <c r="A168" s="2"/>
      <c r="B168" s="2"/>
      <c r="C168" s="2091" t="s">
        <v>298</v>
      </c>
      <c r="D168" s="2091"/>
      <c r="E168" s="2091"/>
      <c r="F168" s="2091"/>
      <c r="G168" s="57" t="str">
        <f>G44</f>
        <v/>
      </c>
      <c r="H168" s="57" t="str">
        <f>H44</f>
        <v/>
      </c>
      <c r="I168" s="2230" t="str">
        <f>K44</f>
        <v/>
      </c>
      <c r="J168" s="2230"/>
      <c r="K168" s="57" t="str">
        <f>N44</f>
        <v/>
      </c>
      <c r="L168" s="2"/>
      <c r="M168" s="2228" t="s">
        <v>719</v>
      </c>
      <c r="N168" s="2228"/>
      <c r="O168" s="2"/>
      <c r="P168" s="2"/>
      <c r="Q168" s="2"/>
      <c r="R168" s="591"/>
      <c r="S168" s="591"/>
      <c r="T168" s="591"/>
      <c r="U168" s="591"/>
      <c r="V168" s="591"/>
      <c r="W168" s="591"/>
      <c r="X168" s="591"/>
      <c r="Y168" s="591"/>
      <c r="Z168" s="591"/>
      <c r="AA168" s="591"/>
      <c r="AB168" s="591"/>
      <c r="AC168" s="591"/>
      <c r="AG168" s="591"/>
      <c r="AS168" s="591"/>
    </row>
    <row r="169" spans="1:51" ht="19.5" customHeight="1" x14ac:dyDescent="0.2">
      <c r="A169" s="2"/>
      <c r="B169" s="2"/>
      <c r="C169" s="2094" t="str">
        <f>C95</f>
        <v>01/08 - 31/08</v>
      </c>
      <c r="D169" s="2095"/>
      <c r="E169" s="2095"/>
      <c r="F169" s="2095"/>
      <c r="G169" s="90" t="str">
        <f>G45</f>
        <v/>
      </c>
      <c r="H169" s="90" t="str">
        <f>H45</f>
        <v/>
      </c>
      <c r="I169" s="2231" t="str">
        <f>K45</f>
        <v/>
      </c>
      <c r="J169" s="2231"/>
      <c r="K169" s="90" t="str">
        <f>N45</f>
        <v/>
      </c>
      <c r="L169" s="2"/>
      <c r="M169" s="12"/>
      <c r="N169" s="2"/>
      <c r="O169" s="2"/>
      <c r="P169" s="2"/>
      <c r="Q169" s="2"/>
      <c r="R169" s="591"/>
      <c r="S169" s="591"/>
      <c r="T169" s="591"/>
      <c r="U169" s="591"/>
      <c r="V169" s="591"/>
      <c r="W169" s="591"/>
      <c r="X169" s="591"/>
      <c r="Y169" s="591"/>
      <c r="Z169" s="591"/>
      <c r="AA169" s="591"/>
      <c r="AB169" s="591"/>
      <c r="AC169" s="591"/>
      <c r="AG169" s="591"/>
      <c r="AS169" s="591"/>
    </row>
    <row r="170" spans="1:51" ht="7.5" customHeight="1" x14ac:dyDescent="0.2">
      <c r="A170" s="2"/>
      <c r="B170" s="2"/>
      <c r="C170" s="2089"/>
      <c r="D170" s="2090"/>
      <c r="E170" s="484"/>
      <c r="F170" s="2"/>
      <c r="G170" s="597">
        <f>IF(AND(G$180&lt;&gt;0,G$180&gt;0),IF(($E$171*9)&gt;=G$180,0,1),IF(AND(G$180&lt;&gt;0,G$180&lt;0),IF(($E$171*9)&lt;=G$180,0,1),0))</f>
        <v>0</v>
      </c>
      <c r="H170" s="597">
        <f>IF(AND(H$180&lt;&gt;0,H$180&gt;0),IF(($E$171*9)&gt;=H$180,0,1),IF(AND(H$180&lt;&gt;0,H$180&lt;0),IF(($E$171*9)&lt;=H$180,0,1),0))</f>
        <v>0</v>
      </c>
      <c r="I170" s="2104">
        <f>IF(AND(I$180&lt;&gt;0,I$180&gt;0),IF(($E$171*9)&gt;=I$180,0,1),IF(AND(I$180&lt;&gt;0,I$180&lt;0),IF(($E$171*9)&lt;=I$180,0,1),0))</f>
        <v>0</v>
      </c>
      <c r="J170" s="2105"/>
      <c r="K170" s="597">
        <f>IF(AND(K$180&lt;&gt;0,K$180&gt;0),IF(($E$171*9)&gt;=K$180,0,1),IF(AND(K$180&lt;&gt;0,K$180&lt;0),IF(($E$171*9)&lt;=K$180,0,1),0))</f>
        <v>0</v>
      </c>
      <c r="L170" s="2"/>
      <c r="M170" s="2"/>
      <c r="N170" s="2"/>
      <c r="O170" s="2"/>
      <c r="P170" s="2"/>
      <c r="Q170" s="2"/>
      <c r="R170" s="591"/>
      <c r="S170" s="591"/>
      <c r="T170" s="591"/>
      <c r="U170" s="591"/>
      <c r="V170" s="591"/>
      <c r="W170" s="591"/>
      <c r="X170" s="591"/>
      <c r="Y170" s="591"/>
      <c r="Z170" s="591"/>
      <c r="AA170" s="591"/>
      <c r="AB170" s="591"/>
      <c r="AC170" s="591"/>
      <c r="AG170" s="591"/>
      <c r="AS170" s="591"/>
    </row>
    <row r="171" spans="1:51" ht="7.5" customHeight="1" x14ac:dyDescent="0.2">
      <c r="A171" s="2"/>
      <c r="B171" s="2"/>
      <c r="C171" s="2096" t="s">
        <v>587</v>
      </c>
      <c r="D171" s="2096"/>
      <c r="E171" s="2098">
        <f>IF(OR(M166=0,M168=""),0,IF(M168=E220,E221,MAX(G180:K180)/10))</f>
        <v>0</v>
      </c>
      <c r="F171" s="2"/>
      <c r="G171" s="598">
        <f>IF(AND(G$180&lt;&gt;0,G$180&gt;0),IF(($E$171*8)&gt;=G$180,0,1),IF(AND(G$180&lt;&gt;0,G$180&lt;0),IF(($E$171*8)&lt;=G$180,0,1),0))</f>
        <v>0</v>
      </c>
      <c r="H171" s="598">
        <f>IF(AND(H$180&lt;&gt;0,H$180&gt;0),IF(($E$171*8)&gt;=H$180,0,1),IF(AND(H$180&lt;&gt;0,H$180&lt;0),IF(($E$171*8)&lt;=H$180,0,1),0))</f>
        <v>0</v>
      </c>
      <c r="I171" s="2061">
        <f>IF(AND(I$180&lt;&gt;0,I$180&gt;0),IF(($E$171*8)&gt;=I$180,0,1),IF(AND(I$180&lt;&gt;0,I$180&lt;0),IF(($E$171*8)&lt;=I$180,0,1),0))</f>
        <v>0</v>
      </c>
      <c r="J171" s="2062"/>
      <c r="K171" s="598">
        <f>IF(AND(K$180&lt;&gt;0,K$180&gt;0),IF(($E$171*8)&gt;=K$180,0,1),IF(AND(K$180&lt;&gt;0,K$180&lt;0),IF(($E$171*8)&lt;=K$180,0,1),0))</f>
        <v>0</v>
      </c>
      <c r="L171" s="2"/>
      <c r="M171" s="2"/>
      <c r="N171" s="2"/>
      <c r="O171" s="2"/>
      <c r="P171" s="2"/>
      <c r="Q171" s="2"/>
      <c r="R171" s="591"/>
      <c r="S171" s="591"/>
      <c r="T171" s="591"/>
      <c r="U171" s="591"/>
      <c r="V171" s="591"/>
      <c r="W171" s="591"/>
      <c r="X171" s="591"/>
      <c r="AA171" s="591"/>
      <c r="AB171" s="591"/>
      <c r="AC171" s="591"/>
      <c r="AG171" s="591"/>
      <c r="AS171" s="591"/>
    </row>
    <row r="172" spans="1:51" ht="7.5" customHeight="1" x14ac:dyDescent="0.2">
      <c r="A172" s="2"/>
      <c r="B172" s="2"/>
      <c r="C172" s="2097"/>
      <c r="D172" s="2097"/>
      <c r="E172" s="2098"/>
      <c r="F172" s="2"/>
      <c r="G172" s="598">
        <f>IF(AND(G$180&lt;&gt;0,G$180&gt;0),IF(($E$171*7)&gt;=G$180,0,1),IF(AND(G$180&lt;&gt;0,G$180&lt;0),IF(($E$171*7)&lt;=G$180,0,1),0))</f>
        <v>0</v>
      </c>
      <c r="H172" s="598">
        <f>IF(AND(H$180&lt;&gt;0,H$180&gt;0),IF(($E$171*7)&gt;=H$180,0,1),IF(AND(H$180&lt;&gt;0,H$180&lt;0),IF(($E$171*7)&lt;=H$180,0,1),0))</f>
        <v>0</v>
      </c>
      <c r="I172" s="2061">
        <f>IF(AND(I$180&lt;&gt;0,I$180&gt;0),IF(($E$171*7)&gt;=I$180,0,1),IF(AND(I$180&lt;&gt;0,I$180&lt;0),IF(($E$171*7)&lt;=I$180,0,1),0))</f>
        <v>0</v>
      </c>
      <c r="J172" s="2062"/>
      <c r="K172" s="598">
        <f>IF(AND(K$180&lt;&gt;0,K$180&gt;0),IF(($E$171*7)&gt;=K$180,0,1),IF(AND(K$180&lt;&gt;0,K$180&lt;0),IF(($E$171*7)&lt;=K$180,0,1),0))</f>
        <v>0</v>
      </c>
      <c r="L172" s="2"/>
      <c r="M172" s="2"/>
      <c r="N172" s="2"/>
      <c r="O172" s="2"/>
      <c r="P172" s="2"/>
      <c r="Q172" s="2"/>
      <c r="R172" s="591"/>
      <c r="S172" s="591"/>
      <c r="T172" s="591"/>
      <c r="U172" s="591"/>
      <c r="V172" s="591"/>
      <c r="W172" s="591"/>
      <c r="X172" s="591"/>
      <c r="AA172" s="591"/>
      <c r="AB172" s="591"/>
      <c r="AC172" s="591"/>
      <c r="AG172" s="591"/>
      <c r="AS172" s="591"/>
    </row>
    <row r="173" spans="1:51" ht="7.5" customHeight="1" x14ac:dyDescent="0.2">
      <c r="A173" s="2"/>
      <c r="B173" s="2"/>
      <c r="C173" s="2"/>
      <c r="D173" s="2"/>
      <c r="E173" s="2"/>
      <c r="F173" s="2"/>
      <c r="G173" s="598">
        <f>IF(AND(G$180&lt;&gt;0,G$180&gt;0),IF(($E$171*6)&gt;=G$180,0,1),IF(AND(G$180&lt;&gt;0,G$180&lt;0),IF(($E$171*6)&lt;=G$180,0,1),0))</f>
        <v>0</v>
      </c>
      <c r="H173" s="598">
        <f>IF(AND(H$180&lt;&gt;0,H$180&gt;0),IF(($E$171*6)&gt;=H$180,0,1),IF(AND(H$180&lt;&gt;0,H$180&lt;0),IF(($E$171*6)&lt;=H$180,0,1),0))</f>
        <v>0</v>
      </c>
      <c r="I173" s="2061">
        <f>IF(AND(I$180&lt;&gt;0,I$180&gt;0),IF(($E$171*6)&gt;=I$180,0,1),IF(AND(I$180&lt;&gt;0,I$180&lt;0),IF(($E$171*6)&lt;=I$180,0,1),0))</f>
        <v>0</v>
      </c>
      <c r="J173" s="2062"/>
      <c r="K173" s="598">
        <f>IF(AND(K$180&lt;&gt;0,K$180&gt;0),IF(($E$171*6)&gt;=K$180,0,1),IF(AND(K$180&lt;&gt;0,K$180&lt;0),IF(($E$171*6)&lt;=K$180,0,1),0))</f>
        <v>0</v>
      </c>
      <c r="L173" s="2"/>
      <c r="M173" s="2"/>
      <c r="N173" s="2"/>
      <c r="O173" s="2"/>
      <c r="P173" s="2"/>
      <c r="Q173" s="2"/>
      <c r="R173" s="591"/>
      <c r="S173" s="591"/>
      <c r="T173" s="591"/>
      <c r="U173" s="591"/>
      <c r="V173" s="591"/>
      <c r="W173" s="591"/>
      <c r="X173" s="591"/>
      <c r="AA173" s="591"/>
      <c r="AB173" s="591"/>
      <c r="AC173" s="591"/>
      <c r="AG173" s="591"/>
      <c r="AS173" s="591"/>
    </row>
    <row r="174" spans="1:51" ht="7.5" customHeight="1" x14ac:dyDescent="0.2">
      <c r="A174" s="2"/>
      <c r="B174" s="2"/>
      <c r="C174" s="2"/>
      <c r="D174" s="2"/>
      <c r="E174" s="2"/>
      <c r="F174" s="2"/>
      <c r="G174" s="598">
        <f>IF(AND(G$180&lt;&gt;0,G$180&gt;0),IF(($E$171*5)&gt;=G$180,0,1),IF(AND(G$180&lt;&gt;0,G$180&lt;0),IF(($E$171*5)&lt;=G$180,0,1),0))</f>
        <v>0</v>
      </c>
      <c r="H174" s="598">
        <f>IF(AND(H$180&lt;&gt;0,H$180&gt;0),IF(($E$171*5)&gt;=H$180,0,1),IF(AND(H$180&lt;&gt;0,H$180&lt;0),IF(($E$171*5)&lt;=H$180,0,1),0))</f>
        <v>0</v>
      </c>
      <c r="I174" s="2061">
        <f>IF(AND(I$180&lt;&gt;0,I$180&gt;0),IF(($E$171*5)&gt;=I$180,0,1),IF(AND(I$180&lt;&gt;0,I$180&lt;0),IF(($E$171*5)&lt;=I$180,0,1),0))</f>
        <v>0</v>
      </c>
      <c r="J174" s="2062"/>
      <c r="K174" s="598">
        <f>IF(AND(K$180&lt;&gt;0,K$180&gt;0),IF(($E$171*5)&gt;=K$180,0,1),IF(AND(K$180&lt;&gt;0,K$180&lt;0),IF(($E$171*5)&lt;=K$180,0,1),0))</f>
        <v>0</v>
      </c>
      <c r="L174" s="2"/>
      <c r="M174" s="2"/>
      <c r="N174" s="2"/>
      <c r="O174" s="2"/>
      <c r="P174" s="2"/>
      <c r="Q174" s="2"/>
      <c r="R174" s="591"/>
      <c r="S174" s="591"/>
      <c r="T174" s="591"/>
      <c r="U174" s="591"/>
      <c r="V174" s="591"/>
      <c r="W174" s="591"/>
      <c r="X174" s="591"/>
      <c r="AA174" s="591"/>
      <c r="AB174" s="591"/>
      <c r="AC174" s="591"/>
      <c r="AG174" s="591"/>
      <c r="AS174" s="591"/>
    </row>
    <row r="175" spans="1:51" ht="7.5" customHeight="1" x14ac:dyDescent="0.2">
      <c r="A175" s="2"/>
      <c r="B175" s="2"/>
      <c r="C175" s="2"/>
      <c r="D175" s="2"/>
      <c r="E175" s="2"/>
      <c r="F175" s="2"/>
      <c r="G175" s="598">
        <f>IF(AND(G$180&lt;&gt;0,G$180&gt;0),IF(($E$171*4)&gt;=G$180,0,1),IF(AND(G$180&lt;&gt;0,G$180&lt;0),IF(($E$171*4)&lt;=G$180,0,1),0))</f>
        <v>0</v>
      </c>
      <c r="H175" s="598">
        <f>IF(AND(H$180&lt;&gt;0,H$180&gt;0),IF(($E$171*4)&gt;=H$180,0,1),IF(AND(H$180&lt;&gt;0,H$180&lt;0),IF(($E$171*4)&lt;=H$180,0,1),0))</f>
        <v>0</v>
      </c>
      <c r="I175" s="2061">
        <f>IF(AND(I$180&lt;&gt;0,I$180&gt;0),IF(($E$171*4)&gt;=I$180,0,1),IF(AND(I$180&lt;&gt;0,I$180&lt;0),IF(($E$171*4)&lt;=I$180,0,1),0))</f>
        <v>0</v>
      </c>
      <c r="J175" s="2062"/>
      <c r="K175" s="598">
        <f>IF(AND(K$180&lt;&gt;0,K$180&gt;0),IF(($E$171*4)&gt;=K$180,0,1),IF(AND(K$180&lt;&gt;0,K$180&lt;0),IF(($E$171*4)&lt;=K$180,0,1),0))</f>
        <v>0</v>
      </c>
      <c r="L175" s="2"/>
      <c r="M175" s="2"/>
      <c r="N175" s="2"/>
      <c r="O175" s="2"/>
      <c r="P175" s="2"/>
      <c r="Q175" s="2"/>
      <c r="R175" s="591"/>
      <c r="S175" s="591"/>
      <c r="T175" s="591"/>
      <c r="U175" s="591"/>
      <c r="V175" s="591"/>
      <c r="W175" s="591"/>
      <c r="X175" s="591"/>
      <c r="AA175" s="591"/>
      <c r="AB175" s="591"/>
      <c r="AC175" s="591"/>
      <c r="AG175" s="591"/>
      <c r="AS175" s="591"/>
    </row>
    <row r="176" spans="1:51" ht="7.5" customHeight="1" x14ac:dyDescent="0.2">
      <c r="A176" s="2"/>
      <c r="B176" s="2"/>
      <c r="C176" s="2"/>
      <c r="D176" s="2"/>
      <c r="E176" s="2"/>
      <c r="F176" s="2"/>
      <c r="G176" s="598">
        <f>IF(AND(G$180&lt;&gt;0,G$180&gt;0),IF(($E$171*3)&gt;=G$180,0,1),IF(AND(G$180&lt;&gt;0,G$180&lt;0),IF(($E$171*3)&lt;=G$180,0,1),0))</f>
        <v>0</v>
      </c>
      <c r="H176" s="598">
        <f>IF(AND(H$180&lt;&gt;0,H$180&gt;0),IF(($E$171*3)&gt;=H$180,0,1),IF(AND(H$180&lt;&gt;0,H$180&lt;0),IF(($E$171*3)&lt;=H$180,0,1),0))</f>
        <v>0</v>
      </c>
      <c r="I176" s="2061">
        <f>IF(AND(I$180&lt;&gt;0,I$180&gt;0),IF(($E$171*3)&gt;=I$180,0,1),IF(AND(I$180&lt;&gt;0,I$180&lt;0),IF(($E$171*3)&lt;=I$180,0,1),0))</f>
        <v>0</v>
      </c>
      <c r="J176" s="2062"/>
      <c r="K176" s="598">
        <f>IF(AND(K$180&lt;&gt;0,K$180&gt;0),IF(($E$171*3)&gt;=K$180,0,1),IF(AND(K$180&lt;&gt;0,K$180&lt;0),IF(($E$171*3)&lt;=K$180,0,1),0))</f>
        <v>0</v>
      </c>
      <c r="L176" s="2"/>
      <c r="M176" s="2"/>
      <c r="N176" s="2"/>
      <c r="O176" s="2"/>
      <c r="P176" s="2"/>
      <c r="Q176" s="2"/>
      <c r="R176" s="591"/>
      <c r="S176" s="591"/>
      <c r="T176" s="591"/>
      <c r="U176" s="591"/>
      <c r="V176" s="591"/>
      <c r="W176" s="591"/>
      <c r="X176" s="591"/>
      <c r="AA176" s="591"/>
      <c r="AB176" s="591"/>
      <c r="AC176" s="591"/>
      <c r="AG176" s="591"/>
      <c r="AS176" s="591"/>
    </row>
    <row r="177" spans="1:45" ht="7.5" customHeight="1" x14ac:dyDescent="0.2">
      <c r="A177" s="2"/>
      <c r="B177" s="2"/>
      <c r="C177" s="2"/>
      <c r="D177" s="2"/>
      <c r="E177" s="2"/>
      <c r="F177" s="2"/>
      <c r="G177" s="598">
        <f>IF(AND(G$180&lt;&gt;0,G$180&gt;0),IF(($E$171*2)&gt;=G$180,0,1),IF(AND(G$180&lt;&gt;0,G$180&lt;0),IF(($E$171*2)&lt;=G$180,0,1),0))</f>
        <v>0</v>
      </c>
      <c r="H177" s="598">
        <f>IF(AND(H$180&lt;&gt;0,H$180&gt;0),IF(($E$171*2)&gt;=H$180,0,1),IF(AND(H$180&lt;&gt;0,H$180&lt;0),IF(($E$171*2)&lt;=H$180,0,1),0))</f>
        <v>0</v>
      </c>
      <c r="I177" s="2061">
        <f>IF(AND(I$180&lt;&gt;0,I$180&gt;0),IF(($E$171*2)&gt;=I$180,0,1),IF(AND(I$180&lt;&gt;0,I$180&lt;0),IF(($E$171*2)&lt;=I$180,0,1),0))</f>
        <v>0</v>
      </c>
      <c r="J177" s="2062"/>
      <c r="K177" s="598">
        <f>IF(AND(K$180&lt;&gt;0,K$180&gt;0),IF(($E$171*2)&gt;=K$180,0,1),IF(AND(K$180&lt;&gt;0,K$180&lt;0),IF(($E$171*2)&lt;=K$180,0,1),0))</f>
        <v>0</v>
      </c>
      <c r="L177" s="2"/>
      <c r="M177" s="2"/>
      <c r="N177" s="2"/>
      <c r="O177" s="2"/>
      <c r="P177" s="2"/>
      <c r="Q177" s="2"/>
      <c r="R177" s="591"/>
      <c r="S177" s="591"/>
      <c r="T177" s="591"/>
      <c r="U177" s="591"/>
      <c r="V177" s="591"/>
      <c r="W177" s="591"/>
      <c r="X177" s="591"/>
      <c r="AA177" s="591"/>
      <c r="AB177" s="591"/>
      <c r="AC177" s="591"/>
      <c r="AG177" s="591"/>
      <c r="AS177" s="591"/>
    </row>
    <row r="178" spans="1:45" ht="7.5" customHeight="1" x14ac:dyDescent="0.2">
      <c r="A178" s="2"/>
      <c r="B178" s="2"/>
      <c r="C178" s="2"/>
      <c r="D178" s="2"/>
      <c r="E178" s="2"/>
      <c r="F178" s="2"/>
      <c r="G178" s="598">
        <f>IF(AND(G$180&lt;&gt;0,G$180&gt;0),IF(($E$171*1)&gt;=G$180,0,1),IF(AND(G$180&lt;&gt;0,G$180&lt;0),IF(($E$171*1)&lt;=G$180,0,1),0))</f>
        <v>0</v>
      </c>
      <c r="H178" s="598">
        <f>IF(AND(H$180&lt;&gt;0,H$180&gt;0),IF(($E$171*1)&gt;=H$180,0,1),IF(AND(H$180&lt;&gt;0,H$180&lt;0),IF(($E$171*1)&lt;=H$180,0,1),0))</f>
        <v>0</v>
      </c>
      <c r="I178" s="2061">
        <f>IF(AND(I$180&lt;&gt;0,I$180&gt;0),IF(($E$171*1)&gt;=I$180,0,1),IF(AND(I$180&lt;&gt;0,I$180&lt;0),IF(($E$171*1)&lt;=I$180,0,1),0))</f>
        <v>0</v>
      </c>
      <c r="J178" s="2062"/>
      <c r="K178" s="598">
        <f>IF(AND(K$180&lt;&gt;0,K$180&gt;0),IF(($E$171*1)&gt;=K$180,0,1),IF(AND(K$180&lt;&gt;0,K$180&lt;0),IF(($E$171*1)&lt;=K$180,0,1),0))</f>
        <v>0</v>
      </c>
      <c r="L178" s="2"/>
      <c r="M178" s="2"/>
      <c r="N178" s="2"/>
      <c r="O178" s="2"/>
      <c r="P178" s="2"/>
      <c r="Q178" s="2"/>
      <c r="R178" s="591"/>
      <c r="S178" s="591"/>
      <c r="T178" s="591"/>
      <c r="U178" s="591"/>
      <c r="V178" s="591"/>
      <c r="W178" s="591"/>
      <c r="X178" s="591"/>
      <c r="AA178" s="591"/>
      <c r="AB178" s="591"/>
      <c r="AC178" s="591"/>
      <c r="AG178" s="591"/>
      <c r="AS178" s="591"/>
    </row>
    <row r="179" spans="1:45" ht="7.5" customHeight="1" x14ac:dyDescent="0.2">
      <c r="A179" s="2"/>
      <c r="B179" s="2"/>
      <c r="C179" s="2"/>
      <c r="D179" s="2"/>
      <c r="E179" s="2"/>
      <c r="F179" s="2"/>
      <c r="G179" s="599">
        <f>IF(G180&lt;&gt;0,1,0)</f>
        <v>0</v>
      </c>
      <c r="H179" s="599">
        <f>IF(H180&lt;&gt;0,1,0)</f>
        <v>0</v>
      </c>
      <c r="I179" s="2199">
        <f>IF(I180&lt;&gt;0,1,0)</f>
        <v>0</v>
      </c>
      <c r="J179" s="2200"/>
      <c r="K179" s="599">
        <f>IF(K180&lt;&gt;0,1,0)</f>
        <v>0</v>
      </c>
      <c r="L179" s="2"/>
      <c r="M179" s="2"/>
      <c r="N179" s="2"/>
      <c r="O179" s="2"/>
      <c r="P179" s="2"/>
      <c r="Q179" s="2"/>
      <c r="R179" s="591"/>
      <c r="S179" s="591"/>
      <c r="T179" s="591"/>
      <c r="U179" s="591"/>
      <c r="V179" s="591"/>
      <c r="W179" s="591"/>
      <c r="X179" s="591"/>
      <c r="AA179" s="591"/>
      <c r="AB179" s="591"/>
      <c r="AC179" s="591"/>
      <c r="AG179" s="591"/>
      <c r="AS179" s="591"/>
    </row>
    <row r="180" spans="1:45" ht="21.95" customHeight="1" x14ac:dyDescent="0.2">
      <c r="A180" s="2"/>
      <c r="B180" s="7"/>
      <c r="C180" s="2092" t="s">
        <v>582</v>
      </c>
      <c r="D180" s="2092"/>
      <c r="E180" s="2093">
        <f>SUM(G180:K180)</f>
        <v>0</v>
      </c>
      <c r="F180" s="2093"/>
      <c r="G180" s="623">
        <f>VLOOKUP($M166,$C46:G48,G166+4,FALSE)</f>
        <v>0</v>
      </c>
      <c r="H180" s="623">
        <f>VLOOKUP($M166,$C46:H48,H166+4,FALSE)</f>
        <v>0</v>
      </c>
      <c r="I180" s="2196">
        <f>VLOOKUP($M166,$C46:K48,I166+4,FALSE)</f>
        <v>0</v>
      </c>
      <c r="J180" s="2196"/>
      <c r="K180" s="623">
        <f>VLOOKUP($M166,$C46:N48,K166+4,FALSE)</f>
        <v>0</v>
      </c>
      <c r="L180" s="2"/>
      <c r="M180" s="12"/>
      <c r="N180" s="2"/>
      <c r="O180" s="2"/>
      <c r="P180" s="2"/>
      <c r="Q180" s="2"/>
      <c r="R180" s="591"/>
      <c r="S180" s="591"/>
      <c r="T180" s="591"/>
      <c r="U180" s="591"/>
      <c r="V180" s="591"/>
      <c r="W180" s="591"/>
      <c r="X180" s="591"/>
      <c r="AA180" s="591"/>
      <c r="AB180" s="591"/>
      <c r="AC180" s="591"/>
      <c r="AG180" s="591"/>
      <c r="AS180" s="591"/>
    </row>
    <row r="181" spans="1:45" ht="11.25" customHeight="1" x14ac:dyDescent="0.2">
      <c r="A181" s="2"/>
      <c r="B181" s="2"/>
      <c r="C181" s="2"/>
      <c r="D181" s="2"/>
      <c r="E181" s="2"/>
      <c r="F181" s="2"/>
      <c r="G181" s="2"/>
      <c r="H181" s="2"/>
      <c r="I181" s="2201"/>
      <c r="J181" s="2201"/>
      <c r="K181" s="2"/>
      <c r="L181" s="2"/>
      <c r="M181" s="2"/>
      <c r="N181" s="2"/>
      <c r="O181" s="2"/>
      <c r="P181" s="2"/>
      <c r="Q181" s="2"/>
      <c r="R181" s="591"/>
      <c r="S181" s="591"/>
      <c r="T181" s="591"/>
      <c r="U181" s="591"/>
      <c r="V181" s="591"/>
      <c r="W181" s="591"/>
      <c r="X181" s="591"/>
      <c r="AA181" s="591"/>
      <c r="AB181" s="591"/>
      <c r="AC181" s="591"/>
      <c r="AG181" s="591"/>
      <c r="AS181" s="591"/>
    </row>
    <row r="182" spans="1:45" ht="19.5" customHeight="1" x14ac:dyDescent="0.2">
      <c r="A182" s="2"/>
      <c r="B182" s="2"/>
      <c r="C182" s="2095" t="str">
        <f>CONCATENATE("01/01 - ",RIGHT(C169,5))</f>
        <v>01/01 - 31/08</v>
      </c>
      <c r="D182" s="2095"/>
      <c r="E182" s="2095"/>
      <c r="F182" s="2095"/>
      <c r="G182" s="2"/>
      <c r="H182" s="2"/>
      <c r="I182" s="2202"/>
      <c r="J182" s="2202"/>
      <c r="K182" s="2"/>
      <c r="L182" s="2"/>
      <c r="M182" s="2"/>
      <c r="N182" s="2"/>
      <c r="O182" s="2"/>
      <c r="P182" s="2"/>
      <c r="Q182" s="2"/>
      <c r="R182" s="591"/>
      <c r="S182" s="591"/>
      <c r="T182" s="591"/>
      <c r="U182" s="591"/>
      <c r="V182" s="591"/>
      <c r="W182" s="591"/>
      <c r="X182" s="591"/>
      <c r="AA182" s="591"/>
      <c r="AB182" s="591"/>
      <c r="AC182" s="591"/>
      <c r="AG182" s="591"/>
      <c r="AS182" s="591"/>
    </row>
    <row r="183" spans="1:45" ht="7.5" customHeight="1" x14ac:dyDescent="0.2">
      <c r="A183" s="2"/>
      <c r="B183" s="2"/>
      <c r="C183" s="2089"/>
      <c r="D183" s="2090"/>
      <c r="E183" s="484"/>
      <c r="F183" s="2"/>
      <c r="G183" s="597">
        <f>IF(AND(G$193&lt;&gt;0,G$193&gt;0),IF(($E$184*9)&gt;=G$193,0,1),IF(AND(G$193&lt;&gt;0,G$193&lt;0),IF(($E$184*9)&lt;=G$193,0,1),0))</f>
        <v>0</v>
      </c>
      <c r="H183" s="597">
        <f>IF(AND(H$193&lt;&gt;0,H$193&gt;0),IF(($E$184*9)&gt;=H$193,0,1),IF(AND(H$193&lt;&gt;0,H$193&lt;0),IF(($E$184*9)&lt;=H$193,0,1),0))</f>
        <v>0</v>
      </c>
      <c r="I183" s="2104">
        <f>IF(AND(I$193&lt;&gt;0,I$193&gt;0),IF(($E$184*9)&gt;=I$193,0,1),IF(AND(I$193&lt;&gt;0,I$193&lt;0),IF(($E$184*9)&lt;=I$193,0,1),0))</f>
        <v>0</v>
      </c>
      <c r="J183" s="2105"/>
      <c r="K183" s="597">
        <f>IF(AND(K$193&lt;&gt;0,K$193&gt;0),IF(($E$184*9)&gt;=K$193,0,1),IF(AND(K$193&lt;&gt;0,K$193&lt;0),IF(($E$184*9)&lt;=K$193,0,1),0))</f>
        <v>0</v>
      </c>
      <c r="L183" s="2"/>
      <c r="M183" s="2"/>
      <c r="N183" s="2"/>
      <c r="O183" s="2"/>
      <c r="P183" s="2"/>
      <c r="Q183" s="2"/>
      <c r="R183" s="591"/>
      <c r="S183" s="591"/>
      <c r="T183" s="591"/>
      <c r="U183" s="591"/>
      <c r="V183" s="591"/>
      <c r="W183" s="591"/>
      <c r="X183" s="591"/>
      <c r="AA183" s="591"/>
      <c r="AB183" s="591"/>
      <c r="AC183" s="591"/>
      <c r="AG183" s="591"/>
      <c r="AS183" s="591"/>
    </row>
    <row r="184" spans="1:45" ht="7.5" customHeight="1" x14ac:dyDescent="0.2">
      <c r="A184" s="2"/>
      <c r="B184" s="2"/>
      <c r="C184" s="2096" t="s">
        <v>587</v>
      </c>
      <c r="D184" s="2096"/>
      <c r="E184" s="2098">
        <f>IF(OR(M166=0,M168=""),0,IF(M168=E220,E221,MAX(G193:K193)/10))</f>
        <v>0</v>
      </c>
      <c r="F184" s="2"/>
      <c r="G184" s="598">
        <f>IF(AND(G$193&lt;&gt;0,G$193&gt;0),IF(($E$184*8)&gt;=G$193,0,1),IF(AND(G$193&lt;&gt;0,G$193&lt;0),IF(($E$184*8)&lt;=G$193,0,1),0))</f>
        <v>0</v>
      </c>
      <c r="H184" s="598">
        <f>IF(AND(H$193&lt;&gt;0,H$193&gt;0),IF(($E$184*8)&gt;=H$193,0,1),IF(AND(H$193&lt;&gt;0,H$193&lt;0),IF(($E$184*8)&lt;=H$193,0,1),0))</f>
        <v>0</v>
      </c>
      <c r="I184" s="2061">
        <f>IF(AND(I$193&lt;&gt;0,I$193&gt;0),IF(($E$184*8)&gt;=I$193,0,1),IF(AND(I$193&lt;&gt;0,I$193&lt;0),IF(($E$184*8)&lt;=I$193,0,1),0))</f>
        <v>0</v>
      </c>
      <c r="J184" s="2062"/>
      <c r="K184" s="598">
        <f>IF(AND(K$193&lt;&gt;0,K$193&gt;0),IF(($E$184*8)&gt;=K$193,0,1),IF(AND(K$193&lt;&gt;0,K$193&lt;0),IF(($E$184*8)&lt;=K$193,0,1),0))</f>
        <v>0</v>
      </c>
      <c r="L184" s="2"/>
      <c r="M184" s="2"/>
      <c r="N184" s="2"/>
      <c r="O184" s="2"/>
      <c r="P184" s="2"/>
      <c r="Q184" s="2"/>
      <c r="R184" s="591"/>
      <c r="S184" s="591"/>
      <c r="T184" s="591"/>
      <c r="U184" s="591"/>
      <c r="V184" s="591"/>
      <c r="W184" s="591"/>
      <c r="X184" s="591"/>
      <c r="AA184" s="591"/>
      <c r="AB184" s="591"/>
      <c r="AC184" s="591"/>
      <c r="AG184" s="591"/>
      <c r="AS184" s="591"/>
    </row>
    <row r="185" spans="1:45" ht="7.5" customHeight="1" x14ac:dyDescent="0.2">
      <c r="A185" s="2"/>
      <c r="B185" s="2"/>
      <c r="C185" s="2097"/>
      <c r="D185" s="2097"/>
      <c r="E185" s="2098"/>
      <c r="F185" s="2"/>
      <c r="G185" s="598">
        <f>IF(AND(G$193&lt;&gt;0,G$193&gt;0),IF(($E$184*7)&gt;=G$193,0,1),IF(AND(G$193&lt;&gt;0,G$193&lt;0),IF(($E$184*7)&lt;=G$193,0,1),0))</f>
        <v>0</v>
      </c>
      <c r="H185" s="598">
        <f>IF(AND(H$193&lt;&gt;0,H$193&gt;0),IF(($E$184*7)&gt;=H$193,0,1),IF(AND(H$193&lt;&gt;0,H$193&lt;0),IF(($E$184*7)&lt;=H$193,0,1),0))</f>
        <v>0</v>
      </c>
      <c r="I185" s="2061">
        <f>IF(AND(I$193&lt;&gt;0,I$193&gt;0),IF(($E$184*7)&gt;=I$193,0,1),IF(AND(I$193&lt;&gt;0,I$193&lt;0),IF(($E$184*7)&lt;=I$193,0,1),0))</f>
        <v>0</v>
      </c>
      <c r="J185" s="2062"/>
      <c r="K185" s="598">
        <f>IF(AND(K$193&lt;&gt;0,K$193&gt;0),IF(($E$184*7)&gt;=K$193,0,1),IF(AND(K$193&lt;&gt;0,K$193&lt;0),IF(($E$184*7)&lt;=K$193,0,1),0))</f>
        <v>0</v>
      </c>
      <c r="L185" s="2"/>
      <c r="M185" s="2"/>
      <c r="N185" s="2"/>
      <c r="O185" s="2"/>
      <c r="P185" s="2"/>
      <c r="Q185" s="2"/>
      <c r="R185" s="591"/>
      <c r="S185" s="591"/>
      <c r="T185" s="591"/>
      <c r="U185" s="591"/>
      <c r="V185" s="591"/>
      <c r="W185" s="591"/>
      <c r="X185" s="591"/>
      <c r="AA185" s="591"/>
      <c r="AB185" s="591"/>
      <c r="AC185" s="591"/>
      <c r="AG185" s="591"/>
      <c r="AS185" s="591"/>
    </row>
    <row r="186" spans="1:45" ht="7.5" customHeight="1" x14ac:dyDescent="0.2">
      <c r="A186" s="2"/>
      <c r="B186" s="2"/>
      <c r="C186" s="2"/>
      <c r="D186" s="2"/>
      <c r="E186" s="2"/>
      <c r="F186" s="2"/>
      <c r="G186" s="598">
        <f>IF(AND(G$193&lt;&gt;0,G$193&gt;0),IF(($E$184*6)&gt;=G$193,0,1),IF(AND(G$193&lt;&gt;0,G$193&lt;0),IF(($E$184*6)&lt;=G$193,0,1),0))</f>
        <v>0</v>
      </c>
      <c r="H186" s="598">
        <f>IF(AND(H$193&lt;&gt;0,H$193&gt;0),IF(($E$184*6)&gt;=H$193,0,1),IF(AND(H$193&lt;&gt;0,H$193&lt;0),IF(($E$184*6)&lt;=H$193,0,1),0))</f>
        <v>0</v>
      </c>
      <c r="I186" s="2061">
        <f>IF(AND(I$193&lt;&gt;0,I$193&gt;0),IF(($E$184*6)&gt;=I$193,0,1),IF(AND(I$193&lt;&gt;0,I$193&lt;0),IF(($E$184*6)&lt;=I$193,0,1),0))</f>
        <v>0</v>
      </c>
      <c r="J186" s="2062"/>
      <c r="K186" s="598">
        <f>IF(AND(K$193&lt;&gt;0,K$193&gt;0),IF(($E$184*6)&gt;=K$193,0,1),IF(AND(K$193&lt;&gt;0,K$193&lt;0),IF(($E$184*6)&lt;=K$193,0,1),0))</f>
        <v>0</v>
      </c>
      <c r="L186" s="2"/>
      <c r="M186" s="2"/>
      <c r="N186" s="2"/>
      <c r="O186" s="2"/>
      <c r="P186" s="2"/>
      <c r="Q186" s="2"/>
      <c r="R186" s="591"/>
      <c r="S186" s="591"/>
      <c r="T186" s="591"/>
      <c r="U186" s="591"/>
      <c r="V186" s="591"/>
      <c r="W186" s="591"/>
      <c r="X186" s="591"/>
      <c r="AA186" s="591"/>
      <c r="AB186" s="591"/>
      <c r="AC186" s="591"/>
      <c r="AG186" s="591"/>
      <c r="AS186" s="591"/>
    </row>
    <row r="187" spans="1:45" ht="7.5" customHeight="1" x14ac:dyDescent="0.2">
      <c r="A187" s="2"/>
      <c r="B187" s="2"/>
      <c r="C187" s="2"/>
      <c r="D187" s="2"/>
      <c r="E187" s="2"/>
      <c r="F187" s="2"/>
      <c r="G187" s="598">
        <f>IF(AND(G$193&lt;&gt;0,G$193&gt;0),IF(($E$184*5)&gt;=G$193,0,1),IF(AND(G$193&lt;&gt;0,G$193&lt;0),IF(($E$184*5)&lt;=G$193,0,1),0))</f>
        <v>0</v>
      </c>
      <c r="H187" s="598">
        <f>IF(AND(H$193&lt;&gt;0,H$193&gt;0),IF(($E$184*5)&gt;=H$193,0,1),IF(AND(H$193&lt;&gt;0,H$193&lt;0),IF(($E$184*5)&lt;=H$193,0,1),0))</f>
        <v>0</v>
      </c>
      <c r="I187" s="2061">
        <f>IF(AND(I$193&lt;&gt;0,I$193&gt;0),IF(($E$184*5)&gt;=I$193,0,1),IF(AND(I$193&lt;&gt;0,I$193&lt;0),IF(($E$184*5)&lt;=I$193,0,1),0))</f>
        <v>0</v>
      </c>
      <c r="J187" s="2062"/>
      <c r="K187" s="598">
        <f>IF(AND(K$193&lt;&gt;0,K$193&gt;0),IF(($E$184*5)&gt;=K$193,0,1),IF(AND(K$193&lt;&gt;0,K$193&lt;0),IF(($E$184*5)&lt;=K$193,0,1),0))</f>
        <v>0</v>
      </c>
      <c r="L187" s="2"/>
      <c r="M187" s="2"/>
      <c r="N187" s="2"/>
      <c r="O187" s="2"/>
      <c r="P187" s="2"/>
      <c r="Q187" s="2"/>
      <c r="R187" s="591"/>
      <c r="S187" s="591"/>
      <c r="T187" s="591"/>
      <c r="U187" s="591"/>
      <c r="V187" s="591"/>
      <c r="W187" s="591"/>
      <c r="X187" s="591"/>
      <c r="AA187" s="591"/>
      <c r="AB187" s="591"/>
      <c r="AC187" s="591"/>
      <c r="AG187" s="591"/>
      <c r="AS187" s="591"/>
    </row>
    <row r="188" spans="1:45" ht="7.5" customHeight="1" x14ac:dyDescent="0.2">
      <c r="A188" s="2"/>
      <c r="B188" s="2"/>
      <c r="C188" s="2"/>
      <c r="D188" s="2"/>
      <c r="E188" s="2"/>
      <c r="F188" s="2"/>
      <c r="G188" s="598">
        <f>IF(AND(G$193&lt;&gt;0,G$193&gt;0),IF(($E$184*4)&gt;=G$193,0,1),IF(AND(G$193&lt;&gt;0,G$193&lt;0),IF(($E$184*4)&lt;=G$193,0,1),0))</f>
        <v>0</v>
      </c>
      <c r="H188" s="598">
        <f>IF(AND(H$193&lt;&gt;0,H$193&gt;0),IF(($E$184*4)&gt;=H$193,0,1),IF(AND(H$193&lt;&gt;0,H$193&lt;0),IF(($E$184*4)&lt;=H$193,0,1),0))</f>
        <v>0</v>
      </c>
      <c r="I188" s="2061">
        <f>IF(AND(I$193&lt;&gt;0,I$193&gt;0),IF(($E$184*4)&gt;=I$193,0,1),IF(AND(I$193&lt;&gt;0,I$193&lt;0),IF(($E$184*4)&lt;=I$193,0,1),0))</f>
        <v>0</v>
      </c>
      <c r="J188" s="2062"/>
      <c r="K188" s="598">
        <f>IF(AND(K$193&lt;&gt;0,K$193&gt;0),IF(($E$184*4)&gt;=K$193,0,1),IF(AND(K$193&lt;&gt;0,K$193&lt;0),IF(($E$184*4)&lt;=K$193,0,1),0))</f>
        <v>0</v>
      </c>
      <c r="L188" s="2"/>
      <c r="M188" s="2"/>
      <c r="N188" s="2"/>
      <c r="O188" s="2"/>
      <c r="P188" s="2"/>
      <c r="Q188" s="2"/>
      <c r="R188" s="591"/>
      <c r="S188" s="591"/>
      <c r="T188" s="591"/>
      <c r="U188" s="591"/>
      <c r="V188" s="591"/>
      <c r="W188" s="591"/>
      <c r="X188" s="591"/>
      <c r="AA188" s="591"/>
      <c r="AB188" s="591"/>
      <c r="AC188" s="591"/>
      <c r="AG188" s="591"/>
      <c r="AS188" s="591"/>
    </row>
    <row r="189" spans="1:45" ht="7.5" customHeight="1" x14ac:dyDescent="0.2">
      <c r="A189" s="2"/>
      <c r="B189" s="2"/>
      <c r="C189" s="2"/>
      <c r="D189" s="2"/>
      <c r="E189" s="2"/>
      <c r="F189" s="2"/>
      <c r="G189" s="598">
        <f>IF(AND(G$193&lt;&gt;0,G$193&gt;0),IF(($E$184*3)&gt;=G$193,0,1),IF(AND(G$193&lt;&gt;0,G$193&lt;0),IF(($E$184*3)&lt;=G$193,0,1),0))</f>
        <v>0</v>
      </c>
      <c r="H189" s="598">
        <f>IF(AND(H$193&lt;&gt;0,H$193&gt;0),IF(($E$184*3)&gt;=H$193,0,1),IF(AND(H$193&lt;&gt;0,H$193&lt;0),IF(($E$184*3)&lt;=H$193,0,1),0))</f>
        <v>0</v>
      </c>
      <c r="I189" s="2061">
        <f>IF(AND(I$193&lt;&gt;0,I$193&gt;0),IF(($E$184*3)&gt;=I$193,0,1),IF(AND(I$193&lt;&gt;0,I$193&lt;0),IF(($E$184*3)&lt;=I$193,0,1),0))</f>
        <v>0</v>
      </c>
      <c r="J189" s="2062"/>
      <c r="K189" s="598">
        <f>IF(AND(K$193&lt;&gt;0,K$193&gt;0),IF(($E$184*3)&gt;=K$193,0,1),IF(AND(K$193&lt;&gt;0,K$193&lt;0),IF(($E$184*3)&lt;=K$193,0,1),0))</f>
        <v>0</v>
      </c>
      <c r="L189" s="2"/>
      <c r="M189" s="2"/>
      <c r="N189" s="2"/>
      <c r="O189" s="2"/>
      <c r="P189" s="2"/>
      <c r="Q189" s="2"/>
      <c r="R189" s="591"/>
      <c r="S189" s="591"/>
      <c r="T189" s="591"/>
      <c r="U189" s="591"/>
      <c r="V189" s="591"/>
      <c r="W189" s="591"/>
      <c r="X189" s="591"/>
      <c r="AA189" s="591"/>
      <c r="AB189" s="591"/>
      <c r="AC189" s="591"/>
      <c r="AG189" s="591"/>
      <c r="AS189" s="591"/>
    </row>
    <row r="190" spans="1:45" ht="7.5" customHeight="1" x14ac:dyDescent="0.2">
      <c r="A190" s="2"/>
      <c r="B190" s="2"/>
      <c r="C190" s="2"/>
      <c r="D190" s="2"/>
      <c r="E190" s="2"/>
      <c r="F190" s="2"/>
      <c r="G190" s="598">
        <f>IF(AND(G$193&lt;&gt;0,G$193&gt;0),IF(($E$184*2)&gt;=G$193,0,1),IF(AND(G$193&lt;&gt;0,G$193&lt;0),IF(($E$184*2)&lt;=G$193,0,1),0))</f>
        <v>0</v>
      </c>
      <c r="H190" s="598">
        <f>IF(AND(H$193&lt;&gt;0,H$193&gt;0),IF(($E$184*2)&gt;=H$193,0,1),IF(AND(H$193&lt;&gt;0,H$193&lt;0),IF(($E$184*2)&lt;=H$193,0,1),0))</f>
        <v>0</v>
      </c>
      <c r="I190" s="2061">
        <f>IF(AND(I$193&lt;&gt;0,I$193&gt;0),IF(($E$184*2)&gt;=I$193,0,1),IF(AND(I$193&lt;&gt;0,I$193&lt;0),IF(($E$184*2)&lt;=I$193,0,1),0))</f>
        <v>0</v>
      </c>
      <c r="J190" s="2062"/>
      <c r="K190" s="598">
        <f>IF(AND(K$193&lt;&gt;0,K$193&gt;0),IF(($E$184*2)&gt;=K$193,0,1),IF(AND(K$193&lt;&gt;0,K$193&lt;0),IF(($E$184*2)&lt;=K$193,0,1),0))</f>
        <v>0</v>
      </c>
      <c r="L190" s="2"/>
      <c r="M190" s="2"/>
      <c r="N190" s="2"/>
      <c r="O190" s="2"/>
      <c r="P190" s="2"/>
      <c r="Q190" s="2"/>
      <c r="R190" s="591"/>
      <c r="S190" s="591"/>
      <c r="T190" s="591"/>
      <c r="U190" s="591"/>
      <c r="V190" s="591"/>
      <c r="W190" s="591"/>
      <c r="X190" s="591"/>
      <c r="AA190" s="591"/>
      <c r="AB190" s="591"/>
      <c r="AC190" s="591"/>
      <c r="AG190" s="591"/>
      <c r="AS190" s="591"/>
    </row>
    <row r="191" spans="1:45" ht="7.5" customHeight="1" x14ac:dyDescent="0.2">
      <c r="A191" s="2"/>
      <c r="B191" s="2"/>
      <c r="C191" s="2"/>
      <c r="D191" s="2"/>
      <c r="E191" s="2"/>
      <c r="F191" s="2"/>
      <c r="G191" s="598">
        <f>IF(AND(G$193&lt;&gt;0,G$193&gt;0),IF(($E$184*1)&gt;=G$193,0,1),IF(AND(G$193&lt;&gt;0,G$193&lt;0),IF(($E$184*1)&lt;=G$193,0,1),0))</f>
        <v>0</v>
      </c>
      <c r="H191" s="598">
        <f>IF(AND(H$193&lt;&gt;0,H$193&gt;0),IF(($E$184*1)&gt;=H$193,0,1),IF(AND(H$193&lt;&gt;0,H$193&lt;0),IF(($E$184*1)&lt;=H$193,0,1),0))</f>
        <v>0</v>
      </c>
      <c r="I191" s="2061">
        <f>IF(AND(I$193&lt;&gt;0,I$193&gt;0),IF(($E$184*1)&gt;=I$193,0,1),IF(AND(I$193&lt;&gt;0,I$193&lt;0),IF(($E$184*1)&lt;=I$193,0,1),0))</f>
        <v>0</v>
      </c>
      <c r="J191" s="2062"/>
      <c r="K191" s="598">
        <f>IF(AND(K$193&lt;&gt;0,K$193&gt;0),IF(($E$184*1)&gt;=K$193,0,1),IF(AND(K$193&lt;&gt;0,K$193&lt;0),IF(($E$184*1)&lt;=K$193,0,1),0))</f>
        <v>0</v>
      </c>
      <c r="L191" s="2"/>
      <c r="M191" s="2"/>
      <c r="N191" s="2"/>
      <c r="O191" s="2"/>
      <c r="P191" s="2"/>
      <c r="Q191" s="2"/>
      <c r="R191" s="591"/>
      <c r="S191" s="591"/>
      <c r="T191" s="591"/>
      <c r="U191" s="591"/>
      <c r="V191" s="591"/>
      <c r="W191" s="591"/>
      <c r="X191" s="591"/>
      <c r="AA191" s="591"/>
      <c r="AB191" s="591"/>
      <c r="AC191" s="591"/>
      <c r="AG191" s="591"/>
      <c r="AS191" s="591"/>
    </row>
    <row r="192" spans="1:45" ht="7.5" customHeight="1" x14ac:dyDescent="0.2">
      <c r="A192" s="2"/>
      <c r="B192" s="2"/>
      <c r="C192" s="2"/>
      <c r="D192" s="2"/>
      <c r="E192" s="2"/>
      <c r="F192" s="2"/>
      <c r="G192" s="599">
        <f>IF(G193&lt;&gt;0,1,0)</f>
        <v>0</v>
      </c>
      <c r="H192" s="599">
        <f>IF(H193&lt;&gt;0,1,0)</f>
        <v>0</v>
      </c>
      <c r="I192" s="2199">
        <f>IF(I193&lt;&gt;0,1,0)</f>
        <v>0</v>
      </c>
      <c r="J192" s="2200"/>
      <c r="K192" s="599">
        <f>IF(K193&lt;&gt;0,1,0)</f>
        <v>0</v>
      </c>
      <c r="L192" s="2"/>
      <c r="M192" s="2"/>
      <c r="N192" s="2"/>
      <c r="O192" s="2"/>
      <c r="P192" s="2"/>
      <c r="Q192" s="2"/>
      <c r="R192" s="591"/>
      <c r="S192" s="591"/>
      <c r="T192" s="591"/>
      <c r="U192" s="591"/>
      <c r="V192" s="591"/>
      <c r="W192" s="591"/>
      <c r="X192" s="591"/>
      <c r="AA192" s="591"/>
      <c r="AB192" s="591"/>
      <c r="AC192" s="591"/>
      <c r="AG192" s="591"/>
      <c r="AS192" s="591"/>
    </row>
    <row r="193" spans="1:45" ht="21.95" customHeight="1" x14ac:dyDescent="0.2">
      <c r="A193" s="2"/>
      <c r="B193" s="7"/>
      <c r="C193" s="2092" t="s">
        <v>582</v>
      </c>
      <c r="D193" s="2092"/>
      <c r="E193" s="2093">
        <f>SUM(G193:K193)</f>
        <v>0</v>
      </c>
      <c r="F193" s="2093"/>
      <c r="G193" s="623">
        <f>VLOOKUP($M166,$C215:G217,G214,FALSE)</f>
        <v>0</v>
      </c>
      <c r="H193" s="623">
        <f>VLOOKUP($M166,$C215:H217,H214,FALSE)</f>
        <v>0</v>
      </c>
      <c r="I193" s="2196">
        <f>VLOOKUP($M166,$C215:I217,I214,FALSE)</f>
        <v>0</v>
      </c>
      <c r="J193" s="2196"/>
      <c r="K193" s="623">
        <f>VLOOKUP($M166,$C215:J217,J214,FALSE)</f>
        <v>0</v>
      </c>
      <c r="L193" s="2"/>
      <c r="M193" s="12"/>
      <c r="N193" s="2"/>
      <c r="O193" s="2"/>
      <c r="P193" s="2"/>
      <c r="Q193" s="2"/>
      <c r="R193" s="591"/>
      <c r="S193" s="591"/>
      <c r="T193" s="591"/>
      <c r="U193" s="591"/>
      <c r="V193" s="591"/>
      <c r="W193" s="591"/>
      <c r="X193" s="591"/>
      <c r="AA193" s="591"/>
      <c r="AB193" s="591"/>
      <c r="AC193" s="591"/>
      <c r="AG193" s="591"/>
      <c r="AS193" s="591"/>
    </row>
    <row r="194" spans="1:45" ht="11.25" customHeight="1" x14ac:dyDescent="0.2">
      <c r="A194" s="2"/>
      <c r="B194" s="2"/>
      <c r="C194" s="2"/>
      <c r="D194" s="2"/>
      <c r="E194" s="2"/>
      <c r="F194" s="2"/>
      <c r="G194" s="2"/>
      <c r="H194" s="2"/>
      <c r="I194" s="2203"/>
      <c r="J194" s="2203"/>
      <c r="K194" s="2"/>
      <c r="L194" s="2"/>
      <c r="M194" s="2"/>
      <c r="N194" s="2"/>
      <c r="O194" s="2"/>
      <c r="P194" s="2"/>
      <c r="Q194" s="2"/>
      <c r="R194" s="591"/>
      <c r="S194" s="591"/>
      <c r="T194" s="591"/>
      <c r="U194" s="591"/>
      <c r="V194" s="591"/>
      <c r="W194" s="591"/>
      <c r="X194" s="591"/>
      <c r="AA194" s="591"/>
      <c r="AB194" s="591"/>
      <c r="AC194" s="591"/>
      <c r="AG194" s="591"/>
      <c r="AS194" s="591"/>
    </row>
    <row r="195" spans="1:45" ht="19.5" customHeight="1" x14ac:dyDescent="0.2">
      <c r="A195" s="2"/>
      <c r="B195" s="2"/>
      <c r="C195" s="2063" t="e">
        <f>VLOOKUP(I207,I220:K229,3,FALSE)</f>
        <v>#N/A</v>
      </c>
      <c r="D195" s="2063"/>
      <c r="E195" s="2063"/>
      <c r="F195" s="2063"/>
      <c r="G195" s="2063"/>
      <c r="H195" s="2063"/>
      <c r="I195" s="2202"/>
      <c r="J195" s="2202"/>
      <c r="K195" s="2"/>
      <c r="L195" s="2"/>
      <c r="M195" s="2"/>
      <c r="N195" s="2"/>
      <c r="O195" s="2"/>
      <c r="P195" s="2"/>
      <c r="Q195" s="2"/>
      <c r="R195" s="591"/>
      <c r="S195" s="591"/>
      <c r="T195" s="591"/>
      <c r="U195" s="591"/>
      <c r="V195" s="591"/>
      <c r="W195" s="591"/>
      <c r="X195" s="591"/>
      <c r="AA195" s="591"/>
      <c r="AB195" s="591"/>
      <c r="AC195" s="591"/>
      <c r="AG195" s="591"/>
      <c r="AS195" s="591"/>
    </row>
    <row r="196" spans="1:45" ht="7.5" customHeight="1" x14ac:dyDescent="0.2">
      <c r="A196" s="2"/>
      <c r="B196" s="2"/>
      <c r="C196" s="2064"/>
      <c r="D196" s="2065"/>
      <c r="E196" s="484"/>
      <c r="F196" s="2"/>
      <c r="G196" s="594" t="e">
        <f>IF(AND(G$206&lt;&gt;0,G$206&gt;0),IF(($E$197*9)&gt;=G$206,0,1),IF(AND(G$206&lt;&gt;0,G$206&lt;0),IF(($E$197*9)&lt;=G$206,0,1),0))</f>
        <v>#N/A</v>
      </c>
      <c r="H196" s="594" t="e">
        <f>IF(AND(H$206&lt;&gt;0,H$206&gt;0),IF(($E$197*9)&gt;=H$206,0,1),IF(AND(H$206&lt;&gt;0,H$206&lt;0),IF(($E$197*9)&lt;=H$206,0,1),0))</f>
        <v>#N/A</v>
      </c>
      <c r="I196" s="2197" t="e">
        <f>IF(AND(I$206&lt;&gt;0,I$206&gt;0),IF(($E$197*9)&gt;=I$206,0,1),IF(AND(I$206&lt;&gt;0,I$206&lt;0),IF(($E$197*9)&lt;=I$206,0,1),0))</f>
        <v>#N/A</v>
      </c>
      <c r="J196" s="2198"/>
      <c r="K196" s="594" t="e">
        <f>IF(AND(K$206&lt;&gt;0,K$206&gt;0),IF(($E$197*9)&gt;=K$206,0,1),IF(AND(K$206&lt;&gt;0,K$206&lt;0),IF(($E$197*9)&lt;=K$206,0,1),0))</f>
        <v>#N/A</v>
      </c>
      <c r="L196" s="2"/>
      <c r="M196" s="2"/>
      <c r="N196" s="2"/>
      <c r="O196" s="2"/>
      <c r="P196" s="2"/>
      <c r="Q196" s="2"/>
      <c r="R196" s="591"/>
      <c r="S196" s="591"/>
      <c r="T196" s="591"/>
      <c r="U196" s="591"/>
      <c r="V196" s="591"/>
      <c r="W196" s="591"/>
      <c r="X196" s="591"/>
      <c r="AA196" s="591"/>
      <c r="AB196" s="591"/>
      <c r="AC196" s="591"/>
      <c r="AG196" s="591"/>
      <c r="AS196" s="591"/>
    </row>
    <row r="197" spans="1:45" ht="7.5" customHeight="1" x14ac:dyDescent="0.2">
      <c r="A197" s="2"/>
      <c r="B197" s="2"/>
      <c r="C197" s="2096" t="s">
        <v>587</v>
      </c>
      <c r="D197" s="2096"/>
      <c r="E197" s="2098">
        <f>IF(OR(M166=0,M168=""),0,IF(M168=E220,E221,MAX(G206:K206)/10))</f>
        <v>0</v>
      </c>
      <c r="F197" s="2"/>
      <c r="G197" s="595" t="e">
        <f>IF(AND(G$206&lt;&gt;0,G$206&gt;0),IF(($E$197*8)&gt;=G$206,0,1),IF(AND(G$206&lt;&gt;0,G$206&lt;0),IF(($E$197*8)&lt;=G$206,0,1),0))</f>
        <v>#N/A</v>
      </c>
      <c r="H197" s="595" t="e">
        <f>IF(AND(H$206&lt;&gt;0,H$206&gt;0),IF(($E$197*8)&gt;=H$206,0,1),IF(AND(H$206&lt;&gt;0,H$206&lt;0),IF(($E$197*8)&lt;=H$206,0,1),0))</f>
        <v>#N/A</v>
      </c>
      <c r="I197" s="2049" t="e">
        <f>IF(AND(I$206&lt;&gt;0,I$206&gt;0),IF(($E$197*8)&gt;=I$206,0,1),IF(AND(I$206&lt;&gt;0,I$206&lt;0),IF(($E$197*8)&lt;=I$206,0,1),0))</f>
        <v>#N/A</v>
      </c>
      <c r="J197" s="2050"/>
      <c r="K197" s="595" t="e">
        <f>IF(AND(K$206&lt;&gt;0,K$206&gt;0),IF(($E$197*8)&gt;=K$206,0,1),IF(AND(K$206&lt;&gt;0,K$206&lt;0),IF(($E$197*8)&lt;=K$206,0,1),0))</f>
        <v>#N/A</v>
      </c>
      <c r="L197" s="2"/>
      <c r="M197" s="2"/>
      <c r="N197" s="2"/>
      <c r="O197" s="2"/>
      <c r="P197" s="2"/>
      <c r="Q197" s="2"/>
      <c r="R197" s="591"/>
      <c r="S197" s="591"/>
      <c r="T197" s="591"/>
      <c r="U197" s="591"/>
      <c r="V197" s="591"/>
      <c r="W197" s="591"/>
      <c r="X197" s="591"/>
      <c r="AA197" s="591"/>
      <c r="AB197" s="591"/>
      <c r="AC197" s="591"/>
      <c r="AG197" s="591"/>
      <c r="AS197" s="591"/>
    </row>
    <row r="198" spans="1:45" ht="7.5" customHeight="1" x14ac:dyDescent="0.2">
      <c r="A198" s="2"/>
      <c r="B198" s="2"/>
      <c r="C198" s="2097"/>
      <c r="D198" s="2097"/>
      <c r="E198" s="2098"/>
      <c r="F198" s="2"/>
      <c r="G198" s="595" t="e">
        <f>IF(AND(G$206&lt;&gt;0,G$206&gt;0),IF(($E$197*7)&gt;=G$206,0,1),IF(AND(G$206&lt;&gt;0,G$206&lt;0),IF(($E$197*7)&lt;=G$206,0,1),0))</f>
        <v>#N/A</v>
      </c>
      <c r="H198" s="595" t="e">
        <f>IF(AND(H$206&lt;&gt;0,H$206&gt;0),IF(($E$197*7)&gt;=H$206,0,1),IF(AND(H$206&lt;&gt;0,H$206&lt;0),IF(($E$197*7)&lt;=H$206,0,1),0))</f>
        <v>#N/A</v>
      </c>
      <c r="I198" s="2049" t="e">
        <f>IF(AND(I$206&lt;&gt;0,I$206&gt;0),IF(($E$197*7)&gt;=I$206,0,1),IF(AND(I$206&lt;&gt;0,I$206&lt;0),IF(($E$197*7)&lt;=I$206,0,1),0))</f>
        <v>#N/A</v>
      </c>
      <c r="J198" s="2050"/>
      <c r="K198" s="595" t="e">
        <f>IF(AND(K$206&lt;&gt;0,K$206&gt;0),IF(($E$197*7)&gt;=K$206,0,1),IF(AND(K$206&lt;&gt;0,K$206&lt;0),IF(($E$197*7)&lt;=K$206,0,1),0))</f>
        <v>#N/A</v>
      </c>
      <c r="L198" s="2"/>
      <c r="M198" s="2"/>
      <c r="N198" s="2"/>
      <c r="O198" s="2"/>
      <c r="P198" s="2"/>
      <c r="Q198" s="2"/>
      <c r="R198" s="591"/>
      <c r="S198" s="591"/>
      <c r="T198" s="591"/>
      <c r="U198" s="591"/>
      <c r="V198" s="591"/>
      <c r="W198" s="591"/>
      <c r="X198" s="591"/>
      <c r="AA198" s="591"/>
      <c r="AB198" s="591"/>
      <c r="AC198" s="591"/>
      <c r="AG198" s="591"/>
      <c r="AS198" s="591"/>
    </row>
    <row r="199" spans="1:45" ht="7.5" customHeight="1" x14ac:dyDescent="0.2">
      <c r="A199" s="2"/>
      <c r="B199" s="2"/>
      <c r="C199" s="2"/>
      <c r="D199" s="2"/>
      <c r="E199" s="2"/>
      <c r="F199" s="2"/>
      <c r="G199" s="595" t="e">
        <f>IF(AND(G$206&lt;&gt;0,G$206&gt;0),IF(($E$197*6)&gt;=G$206,0,1),IF(AND(G$206&lt;&gt;0,G$206&lt;0),IF(($E$197*6)&lt;=G$206,0,1),0))</f>
        <v>#N/A</v>
      </c>
      <c r="H199" s="595" t="e">
        <f>IF(AND(H$206&lt;&gt;0,H$206&gt;0),IF(($E$197*6)&gt;=H$206,0,1),IF(AND(H$206&lt;&gt;0,H$206&lt;0),IF(($E$197*6)&lt;=H$206,0,1),0))</f>
        <v>#N/A</v>
      </c>
      <c r="I199" s="2049" t="e">
        <f>IF(AND(I$206&lt;&gt;0,I$206&gt;0),IF(($E$197*6)&gt;=I$206,0,1),IF(AND(I$206&lt;&gt;0,I$206&lt;0),IF(($E$197*6)&lt;=I$206,0,1),0))</f>
        <v>#N/A</v>
      </c>
      <c r="J199" s="2050"/>
      <c r="K199" s="595" t="e">
        <f>IF(AND(K$206&lt;&gt;0,K$206&gt;0),IF(($E$197*6)&gt;=K$206,0,1),IF(AND(K$206&lt;&gt;0,K$206&lt;0),IF(($E$197*6)&lt;=K$206,0,1),0))</f>
        <v>#N/A</v>
      </c>
      <c r="L199" s="2"/>
      <c r="M199" s="2"/>
      <c r="N199" s="2"/>
      <c r="O199" s="2"/>
      <c r="P199" s="2"/>
      <c r="Q199" s="2"/>
      <c r="R199" s="591"/>
      <c r="S199" s="591"/>
      <c r="T199" s="591"/>
      <c r="U199" s="591"/>
      <c r="V199" s="591"/>
      <c r="W199" s="591"/>
      <c r="X199" s="591"/>
      <c r="AA199" s="591"/>
      <c r="AB199" s="591"/>
      <c r="AC199" s="591"/>
      <c r="AG199" s="591"/>
      <c r="AS199" s="591"/>
    </row>
    <row r="200" spans="1:45" ht="7.5" customHeight="1" x14ac:dyDescent="0.2">
      <c r="A200" s="2"/>
      <c r="B200" s="2"/>
      <c r="C200" s="2"/>
      <c r="D200" s="2"/>
      <c r="E200" s="2"/>
      <c r="F200" s="2"/>
      <c r="G200" s="595" t="e">
        <f>IF(AND(G$206&lt;&gt;0,G$206&gt;0),IF(($E$197*5)&gt;=G$206,0,1),IF(AND(G$206&lt;&gt;0,G$206&lt;0),IF(($E$197*5)&lt;=G$206,0,1),0))</f>
        <v>#N/A</v>
      </c>
      <c r="H200" s="595" t="e">
        <f>IF(AND(H$206&lt;&gt;0,H$206&gt;0),IF(($E$197*5)&gt;=H$206,0,1),IF(AND(H$206&lt;&gt;0,H$206&lt;0),IF(($E$197*5)&lt;=H$206,0,1),0))</f>
        <v>#N/A</v>
      </c>
      <c r="I200" s="2049" t="e">
        <f>IF(AND(I$206&lt;&gt;0,I$206&gt;0),IF(($E$197*5)&gt;=I$206,0,1),IF(AND(I$206&lt;&gt;0,I$206&lt;0),IF(($E$197*5)&lt;=I$206,0,1),0))</f>
        <v>#N/A</v>
      </c>
      <c r="J200" s="2050"/>
      <c r="K200" s="595" t="e">
        <f>IF(AND(K$206&lt;&gt;0,K$206&gt;0),IF(($E$197*5)&gt;=K$206,0,1),IF(AND(K$206&lt;&gt;0,K$206&lt;0),IF(($E$197*5)&lt;=K$206,0,1),0))</f>
        <v>#N/A</v>
      </c>
      <c r="L200" s="2"/>
      <c r="M200" s="2"/>
      <c r="N200" s="2"/>
      <c r="O200" s="2"/>
      <c r="P200" s="2"/>
      <c r="Q200" s="2"/>
      <c r="R200" s="591"/>
      <c r="S200" s="591"/>
      <c r="T200" s="591"/>
      <c r="U200" s="591"/>
      <c r="V200" s="591"/>
      <c r="W200" s="591"/>
      <c r="X200" s="591"/>
      <c r="AA200" s="591"/>
      <c r="AB200" s="591"/>
      <c r="AC200" s="591"/>
      <c r="AG200" s="591"/>
      <c r="AS200" s="591"/>
    </row>
    <row r="201" spans="1:45" ht="7.5" customHeight="1" x14ac:dyDescent="0.2">
      <c r="A201" s="2"/>
      <c r="B201" s="2"/>
      <c r="C201" s="2"/>
      <c r="D201" s="2"/>
      <c r="E201" s="2"/>
      <c r="F201" s="2"/>
      <c r="G201" s="595" t="e">
        <f>IF(AND(G$206&lt;&gt;0,G$206&gt;0),IF(($E$197*4)&gt;=G$206,0,1),IF(AND(G$206&lt;&gt;0,G$206&lt;0),IF(($E$197*4)&lt;=G$206,0,1),0))</f>
        <v>#N/A</v>
      </c>
      <c r="H201" s="595" t="e">
        <f>IF(AND(H$206&lt;&gt;0,H$206&gt;0),IF(($E$197*4)&gt;=H$206,0,1),IF(AND(H$206&lt;&gt;0,H$206&lt;0),IF(($E$197*4)&lt;=H$206,0,1),0))</f>
        <v>#N/A</v>
      </c>
      <c r="I201" s="2049" t="e">
        <f>IF(AND(I$206&lt;&gt;0,I$206&gt;0),IF(($E$197*4)&gt;=I$206,0,1),IF(AND(I$206&lt;&gt;0,I$206&lt;0),IF(($E$197*4)&lt;=I$206,0,1),0))</f>
        <v>#N/A</v>
      </c>
      <c r="J201" s="2050"/>
      <c r="K201" s="595" t="e">
        <f>IF(AND(K$206&lt;&gt;0,K$206&gt;0),IF(($E$197*4)&gt;=K$206,0,1),IF(AND(K$206&lt;&gt;0,K$206&lt;0),IF(($E$197*4)&lt;=K$206,0,1),0))</f>
        <v>#N/A</v>
      </c>
      <c r="L201" s="2"/>
      <c r="M201" s="2"/>
      <c r="N201" s="2"/>
      <c r="O201" s="2"/>
      <c r="P201" s="2"/>
      <c r="Q201" s="2"/>
      <c r="R201" s="591"/>
      <c r="S201" s="591"/>
      <c r="T201" s="591"/>
      <c r="U201" s="591"/>
      <c r="V201" s="591"/>
      <c r="W201" s="591"/>
      <c r="X201" s="591"/>
      <c r="AA201" s="591"/>
      <c r="AB201" s="591"/>
      <c r="AC201" s="591"/>
      <c r="AG201" s="591"/>
      <c r="AS201" s="591"/>
    </row>
    <row r="202" spans="1:45" ht="7.5" customHeight="1" x14ac:dyDescent="0.2">
      <c r="A202" s="2"/>
      <c r="B202" s="2"/>
      <c r="C202" s="2"/>
      <c r="D202" s="2"/>
      <c r="E202" s="2"/>
      <c r="F202" s="2"/>
      <c r="G202" s="595" t="e">
        <f>IF(AND(G$206&lt;&gt;0,G$206&gt;0),IF(($E$197*3)&gt;=G$206,0,1),IF(AND(G$206&lt;&gt;0,G$206&lt;0),IF(($E$197*3)&lt;=G$206,0,1),0))</f>
        <v>#N/A</v>
      </c>
      <c r="H202" s="595" t="e">
        <f>IF(AND(H$206&lt;&gt;0,H$206&gt;0),IF(($E$197*3)&gt;=H$206,0,1),IF(AND(H$206&lt;&gt;0,H$206&lt;0),IF(($E$197*3)&lt;=H$206,0,1),0))</f>
        <v>#N/A</v>
      </c>
      <c r="I202" s="2049" t="e">
        <f>IF(AND(I$206&lt;&gt;0,I$206&gt;0),IF(($E$197*3)&gt;=I$206,0,1),IF(AND(I$206&lt;&gt;0,I$206&lt;0),IF(($E$197*3)&lt;=I$206,0,1),0))</f>
        <v>#N/A</v>
      </c>
      <c r="J202" s="2050"/>
      <c r="K202" s="595" t="e">
        <f>IF(AND(K$206&lt;&gt;0,K$206&gt;0),IF(($E$197*3)&gt;=K$206,0,1),IF(AND(K$206&lt;&gt;0,K$206&lt;0),IF(($E$197*3)&lt;=K$206,0,1),0))</f>
        <v>#N/A</v>
      </c>
      <c r="L202" s="2"/>
      <c r="M202" s="2"/>
      <c r="N202" s="2"/>
      <c r="O202" s="2"/>
      <c r="P202" s="2"/>
      <c r="Q202" s="2"/>
      <c r="R202" s="591"/>
      <c r="S202" s="591"/>
      <c r="T202" s="591"/>
      <c r="U202" s="591"/>
      <c r="V202" s="591"/>
      <c r="W202" s="591"/>
      <c r="X202" s="591"/>
      <c r="AA202" s="591"/>
      <c r="AB202" s="591"/>
      <c r="AC202" s="591"/>
      <c r="AG202" s="591"/>
      <c r="AS202" s="591"/>
    </row>
    <row r="203" spans="1:45" ht="7.5" customHeight="1" x14ac:dyDescent="0.2">
      <c r="A203" s="2"/>
      <c r="B203" s="2"/>
      <c r="C203" s="2"/>
      <c r="D203" s="2"/>
      <c r="E203" s="2"/>
      <c r="F203" s="2"/>
      <c r="G203" s="595" t="e">
        <f>IF(AND(G$206&lt;&gt;0,G$206&gt;0),IF(($E$197*2)&gt;=G$206,0,1),IF(AND(G$206&lt;&gt;0,G$206&lt;0),IF(($E$197*2)&lt;=G$206,0,1),0))</f>
        <v>#N/A</v>
      </c>
      <c r="H203" s="595" t="e">
        <f>IF(AND(H$206&lt;&gt;0,H$206&gt;0),IF(($E$197*2)&gt;=H$206,0,1),IF(AND(H$206&lt;&gt;0,H$206&lt;0),IF(($E$197*2)&lt;=H$206,0,1),0))</f>
        <v>#N/A</v>
      </c>
      <c r="I203" s="2049" t="e">
        <f>IF(AND(I$206&lt;&gt;0,I$206&gt;0),IF(($E$197*2)&gt;=I$206,0,1),IF(AND(I$206&lt;&gt;0,I$206&lt;0),IF(($E$197*2)&lt;=I$206,0,1),0))</f>
        <v>#N/A</v>
      </c>
      <c r="J203" s="2050"/>
      <c r="K203" s="595" t="e">
        <f>IF(AND(K$206&lt;&gt;0,K$206&gt;0),IF(($E$197*2)&gt;=K$206,0,1),IF(AND(K$206&lt;&gt;0,K$206&lt;0),IF(($E$197*2)&lt;=K$206,0,1),0))</f>
        <v>#N/A</v>
      </c>
      <c r="L203" s="2"/>
      <c r="M203" s="2"/>
      <c r="N203" s="2"/>
      <c r="O203" s="2"/>
      <c r="P203" s="2"/>
      <c r="Q203" s="2"/>
      <c r="R203" s="591"/>
      <c r="S203" s="591"/>
      <c r="T203" s="591"/>
      <c r="U203" s="591"/>
      <c r="V203" s="591"/>
      <c r="W203" s="591"/>
      <c r="X203" s="591"/>
      <c r="AA203" s="591"/>
      <c r="AB203" s="591"/>
      <c r="AC203" s="591"/>
      <c r="AG203" s="591"/>
      <c r="AS203" s="591"/>
    </row>
    <row r="204" spans="1:45" ht="7.5" customHeight="1" x14ac:dyDescent="0.2">
      <c r="A204" s="2"/>
      <c r="B204" s="2"/>
      <c r="C204" s="2"/>
      <c r="D204" s="2"/>
      <c r="E204" s="2"/>
      <c r="F204" s="2"/>
      <c r="G204" s="595" t="e">
        <f>IF(AND(G$206&lt;&gt;0,G$206&gt;0),IF(($E$197*1)&gt;=G$206,0,1),IF(AND(G$206&lt;&gt;0,G$206&lt;0),IF(($E$197*1)&lt;=G$206,0,1),0))</f>
        <v>#N/A</v>
      </c>
      <c r="H204" s="595" t="e">
        <f>IF(AND(H$206&lt;&gt;0,H$206&gt;0),IF(($E$197*1)&gt;=H$206,0,1),IF(AND(H$206&lt;&gt;0,H$206&lt;0),IF(($E$197*1)&lt;=H$206,0,1),0))</f>
        <v>#N/A</v>
      </c>
      <c r="I204" s="2049" t="e">
        <f>IF(AND(I$206&lt;&gt;0,I$206&gt;0),IF(($E$197*1)&gt;=I$206,0,1),IF(AND(I$206&lt;&gt;0,I$206&lt;0),IF(($E$197*1)&lt;=I$206,0,1),0))</f>
        <v>#N/A</v>
      </c>
      <c r="J204" s="2050"/>
      <c r="K204" s="595" t="e">
        <f>IF(AND(K$206&lt;&gt;0,K$206&gt;0),IF(($E$197*1)&gt;=K$206,0,1),IF(AND(K$206&lt;&gt;0,K$206&lt;0),IF(($E$197*1)&lt;=K$206,0,1),0))</f>
        <v>#N/A</v>
      </c>
      <c r="L204" s="2"/>
      <c r="M204" s="2"/>
      <c r="N204" s="2"/>
      <c r="O204" s="2"/>
      <c r="P204" s="2"/>
      <c r="Q204" s="2"/>
      <c r="R204" s="591"/>
      <c r="S204" s="591"/>
      <c r="T204" s="591"/>
      <c r="U204" s="591"/>
      <c r="V204" s="591"/>
      <c r="W204" s="591"/>
      <c r="X204" s="591"/>
      <c r="AA204" s="591"/>
      <c r="AB204" s="591"/>
      <c r="AC204" s="591"/>
      <c r="AG204" s="591"/>
      <c r="AS204" s="591"/>
    </row>
    <row r="205" spans="1:45" ht="7.5" customHeight="1" x14ac:dyDescent="0.2">
      <c r="A205" s="2"/>
      <c r="B205" s="2"/>
      <c r="C205" s="2"/>
      <c r="D205" s="2"/>
      <c r="E205" s="2"/>
      <c r="F205" s="2"/>
      <c r="G205" s="596" t="e">
        <f>IF(G206&lt;&gt;0,1,0)</f>
        <v>#N/A</v>
      </c>
      <c r="H205" s="596" t="e">
        <f>IF(H206&lt;&gt;0,1,0)</f>
        <v>#N/A</v>
      </c>
      <c r="I205" s="2194" t="e">
        <f>IF(I206&lt;&gt;0,1,0)</f>
        <v>#N/A</v>
      </c>
      <c r="J205" s="2195"/>
      <c r="K205" s="596" t="e">
        <f>IF(K206&lt;&gt;0,1,0)</f>
        <v>#N/A</v>
      </c>
      <c r="L205" s="2"/>
      <c r="M205" s="2"/>
      <c r="N205" s="2"/>
      <c r="O205" s="2"/>
      <c r="P205" s="2"/>
      <c r="Q205" s="2"/>
      <c r="R205" s="591"/>
      <c r="S205" s="591"/>
      <c r="T205" s="591"/>
      <c r="U205" s="591"/>
      <c r="V205" s="591"/>
      <c r="W205" s="591"/>
      <c r="X205" s="591"/>
      <c r="AA205" s="591"/>
      <c r="AB205" s="591"/>
      <c r="AC205" s="591"/>
      <c r="AG205" s="591"/>
      <c r="AS205" s="591"/>
    </row>
    <row r="206" spans="1:45" ht="21.95" customHeight="1" x14ac:dyDescent="0.2">
      <c r="A206" s="2"/>
      <c r="B206" s="7"/>
      <c r="C206" s="2092" t="s">
        <v>582</v>
      </c>
      <c r="D206" s="2092"/>
      <c r="E206" s="2093" t="e">
        <f>SUM(G206:K206)</f>
        <v>#N/A</v>
      </c>
      <c r="F206" s="2093"/>
      <c r="G206" s="623" t="e">
        <f>HLOOKUP(G1,STORICO!$E$109:$Y$140,VLOOKUP(CONCATENATE($M166,$I207),STORICO!$AP$111:$AQ$140,2,FALSE),FALSE)</f>
        <v>#N/A</v>
      </c>
      <c r="H206" s="623" t="e">
        <f>HLOOKUP(H1,STORICO!$E$109:$Y$140,VLOOKUP(CONCATENATE($M166,$I207),STORICO!$AP$111:$AQ$140,2,FALSE),FALSE)</f>
        <v>#N/A</v>
      </c>
      <c r="I206" s="2196" t="e">
        <f>HLOOKUP(K1,STORICO!$E$109:$Y$140,VLOOKUP(CONCATENATE($M166,$I207),STORICO!$AP$111:$AQ$140,2,FALSE),FALSE)</f>
        <v>#N/A</v>
      </c>
      <c r="J206" s="2196"/>
      <c r="K206" s="623" t="e">
        <f>HLOOKUP(N1,STORICO!$E$109:$Y$140,VLOOKUP(CONCATENATE($M166,$I207),STORICO!$AP$111:$AQ$140,2,FALSE),FALSE)</f>
        <v>#N/A</v>
      </c>
      <c r="L206" s="2"/>
      <c r="M206" s="12"/>
      <c r="N206" s="2"/>
      <c r="O206" s="2"/>
      <c r="P206" s="2"/>
      <c r="Q206" s="2"/>
      <c r="R206" s="591"/>
      <c r="S206" s="591"/>
      <c r="T206" s="591"/>
      <c r="U206" s="591"/>
      <c r="V206" s="591"/>
      <c r="W206" s="591"/>
      <c r="X206" s="591"/>
      <c r="AA206" s="591"/>
      <c r="AB206" s="591"/>
      <c r="AC206" s="591"/>
      <c r="AG206" s="591"/>
      <c r="AS206" s="591"/>
    </row>
    <row r="207" spans="1:45" ht="18.75" customHeight="1" x14ac:dyDescent="0.2">
      <c r="A207" s="2"/>
      <c r="B207" s="2"/>
      <c r="C207" s="2059" t="s">
        <v>563</v>
      </c>
      <c r="D207" s="2059"/>
      <c r="E207" s="2059"/>
      <c r="F207" s="2059"/>
      <c r="G207" s="2059"/>
      <c r="H207" s="2060"/>
      <c r="I207" s="2191"/>
      <c r="J207" s="2192"/>
      <c r="K207" s="2193"/>
      <c r="L207" s="2"/>
      <c r="M207" s="2"/>
      <c r="N207" s="2"/>
      <c r="O207" s="2"/>
      <c r="P207" s="2"/>
      <c r="Q207" s="2"/>
      <c r="R207" s="591"/>
      <c r="S207" s="591"/>
      <c r="T207" s="591"/>
      <c r="U207" s="591"/>
      <c r="V207" s="591"/>
      <c r="W207" s="591"/>
      <c r="X207" s="591"/>
      <c r="AA207" s="591"/>
      <c r="AB207" s="591"/>
      <c r="AC207" s="591"/>
      <c r="AG207" s="591"/>
      <c r="AS207" s="591"/>
    </row>
    <row r="208" spans="1:45" ht="18.75" customHeight="1" x14ac:dyDescent="0.2">
      <c r="A208" s="2"/>
      <c r="B208" s="2"/>
      <c r="C208" s="14"/>
      <c r="D208" s="14"/>
      <c r="E208" s="14"/>
      <c r="F208" s="14"/>
      <c r="G208" s="14"/>
      <c r="H208" s="14"/>
      <c r="I208" s="14"/>
      <c r="J208" s="2"/>
      <c r="K208" s="2"/>
      <c r="L208" s="2"/>
      <c r="M208" s="2"/>
      <c r="N208" s="2"/>
      <c r="O208" s="2"/>
      <c r="P208" s="2"/>
      <c r="Q208" s="2"/>
      <c r="R208" s="591"/>
      <c r="S208" s="591"/>
      <c r="T208" s="591"/>
      <c r="U208" s="591"/>
      <c r="V208" s="591"/>
      <c r="W208" s="591"/>
      <c r="X208" s="591"/>
      <c r="AA208" s="591"/>
      <c r="AB208" s="591"/>
      <c r="AC208" s="591"/>
      <c r="AG208" s="591"/>
      <c r="AS208" s="591"/>
    </row>
    <row r="209" spans="1:45" ht="18.75" customHeight="1" x14ac:dyDescent="0.2">
      <c r="A209" s="2"/>
      <c r="B209" s="2"/>
      <c r="C209" s="2"/>
      <c r="D209" s="2"/>
      <c r="E209" s="2"/>
      <c r="F209" s="2"/>
      <c r="G209" s="2"/>
      <c r="H209" s="2"/>
      <c r="I209" s="2"/>
      <c r="J209" s="2"/>
      <c r="K209" s="638" t="str">
        <f ca="1">Presentazione!$H$13</f>
        <v/>
      </c>
      <c r="L209" s="2"/>
      <c r="M209" s="2"/>
      <c r="N209" s="2"/>
      <c r="O209" s="2"/>
      <c r="P209" s="2"/>
      <c r="Q209" s="2"/>
      <c r="R209" s="591"/>
      <c r="S209" s="591"/>
      <c r="T209" s="591"/>
      <c r="U209" s="591"/>
      <c r="V209" s="591"/>
      <c r="W209" s="591"/>
      <c r="X209" s="591"/>
      <c r="AA209" s="591"/>
      <c r="AB209" s="591"/>
      <c r="AC209" s="591"/>
      <c r="AG209" s="591"/>
      <c r="AS209" s="591"/>
    </row>
    <row r="210" spans="1:45" ht="18.75" customHeight="1" x14ac:dyDescent="0.2">
      <c r="A210" s="2"/>
      <c r="B210" s="2"/>
      <c r="C210" s="2"/>
      <c r="D210" s="2"/>
      <c r="E210" s="2"/>
      <c r="F210" s="2"/>
      <c r="G210" s="2"/>
      <c r="H210" s="2"/>
      <c r="I210" s="2"/>
      <c r="J210" s="2"/>
      <c r="K210" s="639" t="str">
        <f ca="1">IF(Presentazione!$J$165=Presentazione!$K$83,CONCATENATE(Presentazione!$F$77,"   -   ","P.I./C.F ",Presentazione!$K$79),Presentazione!$I$157)</f>
        <v>Sistema parzialmente attivato. Inserisci il tuo CODICE di PROPRIETA' nel foglio Presentazione.</v>
      </c>
      <c r="L210" s="2"/>
      <c r="M210" s="2"/>
      <c r="N210" s="2"/>
      <c r="O210" s="2"/>
      <c r="P210" s="2"/>
      <c r="Q210" s="2"/>
      <c r="R210" s="591"/>
      <c r="S210" s="591"/>
      <c r="T210" s="591"/>
      <c r="U210" s="591"/>
      <c r="V210" s="591"/>
      <c r="W210" s="591"/>
      <c r="X210" s="591"/>
      <c r="AA210" s="591"/>
      <c r="AB210" s="591"/>
      <c r="AC210" s="591"/>
      <c r="AG210" s="591"/>
      <c r="AS210" s="591"/>
    </row>
    <row r="211" spans="1:45" ht="18.75" customHeight="1" x14ac:dyDescent="0.2">
      <c r="A211" s="2"/>
      <c r="B211" s="2"/>
      <c r="C211" s="2"/>
      <c r="D211" s="2"/>
      <c r="E211" s="2"/>
      <c r="F211" s="2"/>
      <c r="G211" s="2"/>
      <c r="H211" s="2"/>
      <c r="I211" s="2"/>
      <c r="J211" s="2"/>
      <c r="K211" s="2"/>
      <c r="L211" s="2"/>
      <c r="M211" s="2"/>
      <c r="N211" s="2"/>
      <c r="O211" s="2"/>
      <c r="P211" s="2"/>
      <c r="Q211" s="2"/>
      <c r="R211" s="591"/>
      <c r="S211" s="591"/>
      <c r="T211" s="591"/>
      <c r="U211" s="591"/>
      <c r="V211" s="591"/>
      <c r="W211" s="591"/>
      <c r="X211" s="591"/>
      <c r="AA211" s="591"/>
      <c r="AB211" s="591"/>
      <c r="AC211" s="591"/>
      <c r="AG211" s="591"/>
      <c r="AS211" s="591"/>
    </row>
    <row r="212" spans="1:45" ht="18.75" customHeight="1" x14ac:dyDescent="0.2">
      <c r="A212" s="2"/>
      <c r="B212" s="2"/>
      <c r="C212" s="637" t="str">
        <f>CASSA!B108</f>
        <v>www.marcopiccoli.it   -   Registro dei Corrispettivi 5.2.4 3txt - per EXCEL .xlsm</v>
      </c>
      <c r="D212" s="2"/>
      <c r="E212" s="2"/>
      <c r="F212" s="2"/>
      <c r="G212" s="2"/>
      <c r="H212" s="2"/>
      <c r="I212" s="2"/>
      <c r="J212" s="2"/>
      <c r="K212" s="2"/>
      <c r="L212" s="2"/>
      <c r="M212" s="2"/>
      <c r="N212" s="2"/>
      <c r="O212" s="2"/>
      <c r="P212" s="2"/>
      <c r="Q212" s="2"/>
      <c r="R212" s="591"/>
      <c r="S212" s="591"/>
      <c r="T212" s="591"/>
      <c r="U212" s="591"/>
      <c r="V212" s="591"/>
      <c r="W212" s="591"/>
      <c r="X212" s="591"/>
      <c r="AA212" s="591"/>
      <c r="AB212" s="591"/>
      <c r="AC212" s="591"/>
      <c r="AG212" s="591"/>
      <c r="AS212" s="591"/>
    </row>
    <row r="213" spans="1:45" ht="18.75" customHeight="1" x14ac:dyDescent="0.2">
      <c r="A213" s="2"/>
      <c r="B213" s="2"/>
      <c r="C213" s="2"/>
      <c r="D213" s="2"/>
      <c r="E213" s="2"/>
      <c r="F213" s="2"/>
      <c r="G213" s="2"/>
      <c r="H213" s="2"/>
      <c r="I213" s="2"/>
      <c r="J213" s="2"/>
      <c r="K213" s="2"/>
      <c r="L213" s="2"/>
      <c r="M213" s="2"/>
      <c r="N213" s="2"/>
      <c r="O213" s="2"/>
      <c r="P213" s="2"/>
      <c r="Q213" s="2"/>
      <c r="R213" s="591"/>
      <c r="S213" s="591"/>
      <c r="T213" s="591"/>
      <c r="U213" s="591"/>
      <c r="V213" s="591"/>
      <c r="W213" s="591"/>
      <c r="X213" s="591"/>
      <c r="AA213" s="591"/>
      <c r="AB213" s="591"/>
      <c r="AC213" s="591"/>
      <c r="AG213" s="591"/>
      <c r="AS213" s="591"/>
    </row>
    <row r="214" spans="1:45" ht="18.75" hidden="1" customHeight="1" x14ac:dyDescent="0.2">
      <c r="A214" s="2"/>
      <c r="B214" s="2"/>
      <c r="C214" s="2"/>
      <c r="D214" s="600">
        <v>24</v>
      </c>
      <c r="E214" s="2"/>
      <c r="F214" s="2"/>
      <c r="G214" s="148">
        <v>5</v>
      </c>
      <c r="H214" s="148">
        <v>6</v>
      </c>
      <c r="I214" s="148">
        <v>7</v>
      </c>
      <c r="J214" s="148">
        <v>8</v>
      </c>
      <c r="K214" s="2"/>
      <c r="L214" s="2"/>
      <c r="M214" s="2"/>
      <c r="N214" s="2"/>
      <c r="O214" s="2"/>
      <c r="P214" s="2"/>
      <c r="Q214" s="2"/>
      <c r="R214" s="591"/>
      <c r="S214" s="591"/>
      <c r="T214" s="591"/>
      <c r="U214" s="591"/>
      <c r="V214" s="591"/>
      <c r="W214" s="591"/>
      <c r="X214" s="591"/>
      <c r="AA214" s="591"/>
      <c r="AB214" s="591"/>
      <c r="AC214" s="591"/>
      <c r="AG214" s="591"/>
      <c r="AS214" s="591"/>
    </row>
    <row r="215" spans="1:45" ht="21.95" hidden="1" customHeight="1" x14ac:dyDescent="0.2">
      <c r="A215" s="2"/>
      <c r="B215" s="7"/>
      <c r="C215" s="2187" t="str">
        <f>C46</f>
        <v>LORDO</v>
      </c>
      <c r="D215" s="2187"/>
      <c r="E215" s="2188">
        <f>SUM(G215:J215)</f>
        <v>0</v>
      </c>
      <c r="F215" s="2188"/>
      <c r="G215" s="602">
        <f>VLOOKUP(G$1,IMPOSTAZIONI!$B$298:$AM$304,$D$214,FALSE)</f>
        <v>0</v>
      </c>
      <c r="H215" s="602">
        <f>VLOOKUP(H$1,IMPOSTAZIONI!$B$298:$AM$304,$D$214,FALSE)</f>
        <v>0</v>
      </c>
      <c r="I215" s="602">
        <f>VLOOKUP(K$1,IMPOSTAZIONI!$B$298:$AM$304,$D$214,FALSE)</f>
        <v>0</v>
      </c>
      <c r="J215" s="602">
        <f>VLOOKUP(N$1,IMPOSTAZIONI!$B$298:$AM$304,$D$214,FALSE)</f>
        <v>0</v>
      </c>
      <c r="K215" s="14"/>
      <c r="L215" s="2"/>
      <c r="M215" s="12"/>
      <c r="N215" s="2"/>
      <c r="O215" s="2"/>
      <c r="P215" s="2"/>
      <c r="Q215" s="2"/>
      <c r="R215" s="591"/>
      <c r="S215" s="591"/>
      <c r="T215" s="591"/>
      <c r="U215" s="591"/>
      <c r="V215" s="591"/>
      <c r="W215" s="591"/>
      <c r="X215" s="591"/>
      <c r="AA215" s="591"/>
      <c r="AB215" s="591"/>
      <c r="AC215" s="591"/>
      <c r="AG215" s="591"/>
      <c r="AS215" s="591"/>
    </row>
    <row r="216" spans="1:45" hidden="1" x14ac:dyDescent="0.2">
      <c r="A216" s="2"/>
      <c r="B216" s="7"/>
      <c r="C216" s="2189" t="str">
        <f>C47</f>
        <v>NETTO</v>
      </c>
      <c r="D216" s="2189"/>
      <c r="E216" s="2190">
        <f>SUM(G216:J216)</f>
        <v>4000</v>
      </c>
      <c r="F216" s="2190"/>
      <c r="G216" s="601">
        <f>VLOOKUP(G$1,IMPOSTAZIONI!$B$391:$AM$397,$D$214,FALSE)</f>
        <v>1000</v>
      </c>
      <c r="H216" s="601">
        <f>VLOOKUP(H$1,IMPOSTAZIONI!$B$391:$AM$397,$D$214,FALSE)</f>
        <v>1000</v>
      </c>
      <c r="I216" s="601">
        <f>VLOOKUP(K$1,IMPOSTAZIONI!$B$391:$AM$397,$D$214,FALSE)</f>
        <v>1000</v>
      </c>
      <c r="J216" s="601">
        <f>VLOOKUP(N$1,IMPOSTAZIONI!$B$391:$AM$397,$D$214,FALSE)</f>
        <v>1000</v>
      </c>
      <c r="K216" s="14"/>
      <c r="L216" s="2"/>
      <c r="M216" s="12"/>
      <c r="N216" s="2"/>
      <c r="O216" s="2"/>
      <c r="P216" s="2"/>
      <c r="Q216" s="2"/>
      <c r="R216" s="591"/>
      <c r="S216" s="591"/>
      <c r="T216" s="591"/>
      <c r="U216" s="591"/>
      <c r="V216" s="591"/>
      <c r="W216" s="591"/>
      <c r="X216" s="591"/>
      <c r="AA216" s="591"/>
      <c r="AB216" s="591"/>
      <c r="AC216" s="591"/>
      <c r="AG216" s="591"/>
      <c r="AS216" s="591"/>
    </row>
    <row r="217" spans="1:45" ht="21.95" hidden="1" customHeight="1" x14ac:dyDescent="0.2">
      <c r="A217" s="2"/>
      <c r="B217" s="7"/>
      <c r="C217" s="2185" t="str">
        <f>C48</f>
        <v>IVA</v>
      </c>
      <c r="D217" s="2185"/>
      <c r="E217" s="2186">
        <f>SUM(G217:J217)</f>
        <v>-4000</v>
      </c>
      <c r="F217" s="2186"/>
      <c r="G217" s="603">
        <f>G215-G216</f>
        <v>-1000</v>
      </c>
      <c r="H217" s="603">
        <f>H215-H216</f>
        <v>-1000</v>
      </c>
      <c r="I217" s="603">
        <f>I215-I216</f>
        <v>-1000</v>
      </c>
      <c r="J217" s="603">
        <f>J215-J216</f>
        <v>-1000</v>
      </c>
      <c r="K217" s="14"/>
      <c r="L217" s="2"/>
      <c r="M217" s="12"/>
      <c r="N217" s="2"/>
      <c r="O217" s="2"/>
      <c r="P217" s="2"/>
      <c r="Q217" s="2"/>
      <c r="R217" s="591"/>
      <c r="S217" s="591"/>
      <c r="T217" s="591"/>
      <c r="U217" s="591"/>
      <c r="V217" s="591"/>
      <c r="W217" s="591"/>
      <c r="X217" s="591"/>
      <c r="AA217" s="591"/>
      <c r="AB217" s="591"/>
      <c r="AC217" s="591"/>
      <c r="AG217" s="591"/>
      <c r="AS217" s="591"/>
    </row>
    <row r="218" spans="1:45" ht="18.75" hidden="1" customHeight="1" x14ac:dyDescent="0.2">
      <c r="A218" s="2"/>
      <c r="B218" s="2"/>
      <c r="C218" s="2"/>
      <c r="D218" s="2"/>
      <c r="E218" s="2"/>
      <c r="F218" s="2"/>
      <c r="G218" s="2"/>
      <c r="H218" s="2"/>
      <c r="I218" s="2"/>
      <c r="J218" s="2"/>
      <c r="K218" s="2"/>
      <c r="L218" s="2"/>
      <c r="M218" s="2"/>
      <c r="N218" s="2"/>
      <c r="O218" s="2"/>
      <c r="P218" s="2"/>
      <c r="Q218" s="2"/>
      <c r="R218" s="591"/>
      <c r="S218" s="591"/>
      <c r="T218" s="591"/>
      <c r="U218" s="591"/>
      <c r="V218" s="591"/>
      <c r="W218" s="591"/>
      <c r="X218" s="591"/>
      <c r="AA218" s="591"/>
      <c r="AB218" s="591"/>
      <c r="AC218" s="591"/>
      <c r="AG218" s="591"/>
      <c r="AS218" s="591"/>
    </row>
    <row r="219" spans="1:45" hidden="1" x14ac:dyDescent="0.2">
      <c r="A219" s="2"/>
      <c r="B219" s="2"/>
      <c r="C219" s="2"/>
      <c r="D219" s="2"/>
      <c r="E219" s="931" t="s">
        <v>718</v>
      </c>
      <c r="F219" s="2"/>
      <c r="G219" s="592" t="s">
        <v>175</v>
      </c>
      <c r="H219" s="2"/>
      <c r="I219" s="2"/>
      <c r="J219" s="2"/>
      <c r="K219" s="2"/>
      <c r="L219" s="2"/>
      <c r="M219" s="2"/>
      <c r="N219" s="2"/>
      <c r="O219" s="2"/>
      <c r="P219" s="2"/>
      <c r="Q219" s="2"/>
      <c r="R219" s="591"/>
      <c r="S219" s="591"/>
      <c r="T219" s="591"/>
      <c r="U219" s="591"/>
      <c r="V219" s="591"/>
      <c r="W219" s="591"/>
      <c r="X219" s="591"/>
      <c r="AA219" s="591"/>
      <c r="AB219" s="591"/>
      <c r="AC219" s="591"/>
      <c r="AG219" s="591"/>
      <c r="AS219" s="591"/>
    </row>
    <row r="220" spans="1:45" ht="14.25" hidden="1" customHeight="1" x14ac:dyDescent="0.2">
      <c r="A220" s="2"/>
      <c r="B220" s="2"/>
      <c r="C220" s="2"/>
      <c r="D220" s="2"/>
      <c r="E220" s="932" t="s">
        <v>719</v>
      </c>
      <c r="F220" s="2"/>
      <c r="G220" s="593">
        <f>STORICO!C16</f>
        <v>2024</v>
      </c>
      <c r="H220" s="2"/>
      <c r="I220" s="592" t="str">
        <f t="shared" ref="I220:I229" si="36">CONCATENATE(G$219,"   ",G220)</f>
        <v>ANNO   2024</v>
      </c>
      <c r="J220" s="2"/>
      <c r="K220" s="592" t="s">
        <v>583</v>
      </c>
      <c r="L220" s="2"/>
      <c r="M220" s="2"/>
      <c r="N220" s="2"/>
      <c r="O220" s="2"/>
      <c r="P220" s="2"/>
      <c r="Q220" s="2"/>
      <c r="R220" s="591"/>
      <c r="S220" s="591"/>
      <c r="T220" s="591"/>
      <c r="U220" s="591"/>
      <c r="V220" s="591"/>
      <c r="W220" s="591"/>
      <c r="X220" s="591"/>
      <c r="AA220" s="591"/>
      <c r="AB220" s="591"/>
      <c r="AC220" s="591"/>
      <c r="AG220" s="591"/>
      <c r="AS220" s="591"/>
    </row>
    <row r="221" spans="1:45" ht="14.25" hidden="1" customHeight="1" x14ac:dyDescent="0.2">
      <c r="A221" s="2"/>
      <c r="B221" s="2"/>
      <c r="C221" s="2"/>
      <c r="D221" s="2"/>
      <c r="E221" s="933">
        <f>IF(ISERROR(G206),MAX(G180:K180,G193:K193)/10,MAX(G180:K180,G193:K193,G206:K206)/10)</f>
        <v>0</v>
      </c>
      <c r="F221" s="2"/>
      <c r="G221" s="593">
        <f>STORICO!C27</f>
        <v>2023</v>
      </c>
      <c r="H221" s="2"/>
      <c r="I221" s="592" t="str">
        <f t="shared" si="36"/>
        <v>ANNO   2023</v>
      </c>
      <c r="J221" s="2"/>
      <c r="K221" s="592" t="s">
        <v>584</v>
      </c>
      <c r="L221" s="2"/>
      <c r="M221" s="2"/>
      <c r="N221" s="2"/>
      <c r="O221" s="2"/>
      <c r="P221" s="2"/>
      <c r="Q221" s="2"/>
      <c r="AA221" s="591"/>
      <c r="AB221" s="591"/>
      <c r="AC221" s="591"/>
      <c r="AG221" s="591"/>
      <c r="AS221" s="591"/>
    </row>
    <row r="222" spans="1:45" ht="14.25" hidden="1" customHeight="1" x14ac:dyDescent="0.2">
      <c r="A222" s="2"/>
      <c r="B222" s="2"/>
      <c r="C222" s="2"/>
      <c r="D222" s="2"/>
      <c r="E222" s="2"/>
      <c r="F222" s="2"/>
      <c r="G222" s="593">
        <f>STORICO!C33</f>
        <v>2022</v>
      </c>
      <c r="H222" s="2"/>
      <c r="I222" s="592" t="str">
        <f t="shared" si="36"/>
        <v>ANNO   2022</v>
      </c>
      <c r="J222" s="2"/>
      <c r="K222" s="592" t="s">
        <v>585</v>
      </c>
      <c r="L222" s="2"/>
      <c r="M222" s="2"/>
      <c r="N222" s="2"/>
      <c r="O222" s="2"/>
      <c r="P222" s="2"/>
      <c r="Q222" s="2"/>
      <c r="AA222" s="591"/>
      <c r="AB222" s="591"/>
      <c r="AC222" s="591"/>
      <c r="AG222" s="591"/>
      <c r="AS222" s="591"/>
    </row>
    <row r="223" spans="1:45" ht="14.25" hidden="1" customHeight="1" x14ac:dyDescent="0.2">
      <c r="A223" s="2"/>
      <c r="B223" s="2"/>
      <c r="C223" s="2"/>
      <c r="D223" s="2"/>
      <c r="E223" s="2"/>
      <c r="F223" s="2"/>
      <c r="G223" s="593">
        <f>STORICO!C39</f>
        <v>2021</v>
      </c>
      <c r="H223" s="2"/>
      <c r="I223" s="592" t="str">
        <f t="shared" si="36"/>
        <v>ANNO   2021</v>
      </c>
      <c r="J223" s="2"/>
      <c r="K223" s="592" t="s">
        <v>586</v>
      </c>
      <c r="L223" s="2"/>
      <c r="M223" s="2"/>
      <c r="N223" s="2"/>
      <c r="O223" s="2"/>
      <c r="P223" s="2"/>
      <c r="Q223" s="2"/>
      <c r="AA223" s="591"/>
      <c r="AB223" s="591"/>
      <c r="AC223" s="591"/>
      <c r="AG223" s="591"/>
      <c r="AS223" s="591"/>
    </row>
    <row r="224" spans="1:45" ht="14.25" hidden="1" customHeight="1" x14ac:dyDescent="0.2">
      <c r="A224" s="2"/>
      <c r="B224" s="2"/>
      <c r="C224" s="2"/>
      <c r="D224" s="2"/>
      <c r="E224" s="934" t="str">
        <f>C215</f>
        <v>LORDO</v>
      </c>
      <c r="F224" s="2"/>
      <c r="G224" s="593" t="str">
        <f>CONCATENATE(G220," + ",G221)</f>
        <v>2024 + 2023</v>
      </c>
      <c r="H224" s="2"/>
      <c r="I224" s="592" t="str">
        <f t="shared" si="36"/>
        <v>ANNO   2024 + 2023</v>
      </c>
      <c r="J224" s="2"/>
      <c r="K224" s="592" t="str">
        <f>CONCATENATE(K220," + ",K221)</f>
        <v>ANNO IN CORSO + ANNO PRECEDENTE 1</v>
      </c>
      <c r="L224" s="2"/>
      <c r="M224" s="2"/>
      <c r="N224" s="2"/>
      <c r="O224" s="2"/>
      <c r="P224" s="2"/>
      <c r="Q224" s="2"/>
      <c r="AA224" s="591"/>
      <c r="AB224" s="591"/>
      <c r="AC224" s="591"/>
      <c r="AG224" s="591"/>
      <c r="AS224" s="591"/>
    </row>
    <row r="225" spans="1:45" ht="14.25" hidden="1" customHeight="1" x14ac:dyDescent="0.2">
      <c r="A225" s="2"/>
      <c r="B225" s="2"/>
      <c r="C225" s="2"/>
      <c r="D225" s="2"/>
      <c r="E225" s="934" t="str">
        <f>C216</f>
        <v>NETTO</v>
      </c>
      <c r="F225" s="2"/>
      <c r="G225" s="593" t="str">
        <f>CONCATENATE(G220," + ",G221," + ",G222)</f>
        <v>2024 + 2023 + 2022</v>
      </c>
      <c r="H225" s="2"/>
      <c r="I225" s="592" t="str">
        <f t="shared" si="36"/>
        <v>ANNO   2024 + 2023 + 2022</v>
      </c>
      <c r="J225" s="2"/>
      <c r="K225" s="592" t="str">
        <f>CONCATENATE(K220," + ",K221," + 2")</f>
        <v>ANNO IN CORSO + ANNO PRECEDENTE 1 + 2</v>
      </c>
      <c r="L225" s="2"/>
      <c r="M225" s="2"/>
      <c r="N225" s="2"/>
      <c r="O225" s="2"/>
      <c r="P225" s="2"/>
      <c r="Q225" s="2"/>
      <c r="AA225" s="591"/>
      <c r="AB225" s="591"/>
      <c r="AC225" s="591"/>
      <c r="AG225" s="591"/>
      <c r="AS225" s="591"/>
    </row>
    <row r="226" spans="1:45" ht="14.25" hidden="1" customHeight="1" x14ac:dyDescent="0.2">
      <c r="A226" s="2"/>
      <c r="B226" s="2"/>
      <c r="C226" s="2"/>
      <c r="D226" s="2"/>
      <c r="E226" s="934" t="str">
        <f>C217</f>
        <v>IVA</v>
      </c>
      <c r="F226" s="2"/>
      <c r="G226" s="593" t="str">
        <f>CONCATENATE(G220," + ",G221," + ",G222," + ",G223)</f>
        <v>2024 + 2023 + 2022 + 2021</v>
      </c>
      <c r="H226" s="2"/>
      <c r="I226" s="592" t="str">
        <f t="shared" si="36"/>
        <v>ANNO   2024 + 2023 + 2022 + 2021</v>
      </c>
      <c r="J226" s="2"/>
      <c r="K226" s="592" t="str">
        <f>CONCATENATE(K220," + ",K221," + 2 + 3")</f>
        <v>ANNO IN CORSO + ANNO PRECEDENTE 1 + 2 + 3</v>
      </c>
      <c r="L226" s="2"/>
      <c r="M226" s="2"/>
      <c r="N226" s="2"/>
      <c r="O226" s="2"/>
      <c r="P226" s="2"/>
      <c r="Q226" s="2"/>
      <c r="AA226" s="591"/>
      <c r="AB226" s="591"/>
      <c r="AC226" s="591"/>
      <c r="AG226" s="591"/>
      <c r="AS226" s="591"/>
    </row>
    <row r="227" spans="1:45" ht="14.25" hidden="1" customHeight="1" x14ac:dyDescent="0.2">
      <c r="A227" s="2"/>
      <c r="B227" s="2"/>
      <c r="C227" s="2"/>
      <c r="D227" s="2"/>
      <c r="E227" s="2"/>
      <c r="F227" s="2"/>
      <c r="G227" s="593" t="str">
        <f>CONCATENATE(G221," + ",G222)</f>
        <v>2023 + 2022</v>
      </c>
      <c r="H227" s="2"/>
      <c r="I227" s="592" t="str">
        <f t="shared" si="36"/>
        <v>ANNO   2023 + 2022</v>
      </c>
      <c r="J227" s="2"/>
      <c r="K227" s="592" t="str">
        <f>CONCATENATE(K221," + 2")</f>
        <v>ANNO PRECEDENTE 1 + 2</v>
      </c>
      <c r="L227" s="2"/>
      <c r="M227" s="2"/>
      <c r="N227" s="2"/>
      <c r="O227" s="2"/>
      <c r="P227" s="2"/>
      <c r="Q227" s="2"/>
      <c r="AA227" s="591"/>
      <c r="AB227" s="591"/>
      <c r="AC227" s="591"/>
      <c r="AG227" s="591"/>
      <c r="AS227" s="591"/>
    </row>
    <row r="228" spans="1:45" ht="14.25" hidden="1" customHeight="1" x14ac:dyDescent="0.2">
      <c r="A228" s="2"/>
      <c r="B228" s="2"/>
      <c r="C228" s="2"/>
      <c r="D228" s="2"/>
      <c r="E228" s="2"/>
      <c r="F228" s="2"/>
      <c r="G228" s="593" t="str">
        <f>CONCATENATE(G221," + ",G222," + ",G223)</f>
        <v>2023 + 2022 + 2021</v>
      </c>
      <c r="H228" s="2"/>
      <c r="I228" s="592" t="str">
        <f t="shared" si="36"/>
        <v>ANNO   2023 + 2022 + 2021</v>
      </c>
      <c r="J228" s="2"/>
      <c r="K228" s="592" t="str">
        <f>CONCATENATE(K221," + 2 + 3")</f>
        <v>ANNO PRECEDENTE 1 + 2 + 3</v>
      </c>
      <c r="L228" s="2"/>
      <c r="M228" s="2"/>
      <c r="N228" s="2"/>
      <c r="O228" s="2"/>
      <c r="P228" s="2"/>
      <c r="Q228" s="2"/>
      <c r="AA228" s="591"/>
      <c r="AB228" s="591"/>
      <c r="AC228" s="591"/>
      <c r="AG228" s="591"/>
      <c r="AS228" s="591"/>
    </row>
    <row r="229" spans="1:45" ht="14.25" hidden="1" customHeight="1" x14ac:dyDescent="0.2">
      <c r="A229" s="2"/>
      <c r="B229" s="2"/>
      <c r="C229" s="2"/>
      <c r="D229" s="2"/>
      <c r="E229" s="2"/>
      <c r="F229" s="2"/>
      <c r="G229" s="593" t="str">
        <f>CONCATENATE(G222," + ",G223)</f>
        <v>2022 + 2021</v>
      </c>
      <c r="H229" s="2"/>
      <c r="I229" s="592" t="str">
        <f t="shared" si="36"/>
        <v>ANNO   2022 + 2021</v>
      </c>
      <c r="J229" s="2"/>
      <c r="K229" s="592" t="str">
        <f>CONCATENATE(K222," + 3")</f>
        <v>ANNO PRECEDENTE 2 + 3</v>
      </c>
      <c r="L229" s="2"/>
      <c r="M229" s="2"/>
      <c r="N229" s="2"/>
      <c r="O229" s="2"/>
      <c r="P229" s="2"/>
      <c r="Q229" s="2"/>
      <c r="AA229" s="591"/>
      <c r="AB229" s="591"/>
      <c r="AC229" s="591"/>
      <c r="AG229" s="591"/>
      <c r="AS229" s="591"/>
    </row>
    <row r="230" spans="1:45" hidden="1" x14ac:dyDescent="0.2">
      <c r="A230" s="2"/>
      <c r="B230" s="2"/>
      <c r="C230" s="2"/>
      <c r="D230" s="2"/>
      <c r="E230" s="2"/>
      <c r="F230" s="2"/>
      <c r="G230" s="2"/>
      <c r="H230" s="2"/>
      <c r="I230" s="2"/>
      <c r="J230" s="2"/>
      <c r="K230" s="2"/>
      <c r="L230" s="2"/>
      <c r="M230" s="2"/>
      <c r="N230" s="2"/>
      <c r="O230" s="2"/>
      <c r="P230" s="2"/>
      <c r="Q230" s="2"/>
      <c r="AA230" s="591"/>
      <c r="AB230" s="591"/>
      <c r="AC230" s="591"/>
      <c r="AG230" s="591"/>
      <c r="AS230" s="591"/>
    </row>
    <row r="231" spans="1:45" x14ac:dyDescent="0.2">
      <c r="A231" s="2"/>
      <c r="B231" s="2"/>
      <c r="C231" s="2"/>
      <c r="D231" s="2"/>
      <c r="E231" s="2"/>
      <c r="F231" s="2"/>
      <c r="G231" s="1433" t="s">
        <v>572</v>
      </c>
      <c r="H231" s="1434" t="s">
        <v>869</v>
      </c>
      <c r="I231" s="2"/>
      <c r="J231" s="2"/>
      <c r="K231" s="2"/>
      <c r="L231" s="1433" t="s">
        <v>572</v>
      </c>
      <c r="M231" s="1434" t="s">
        <v>870</v>
      </c>
      <c r="N231" s="2"/>
      <c r="O231" s="2"/>
      <c r="P231" s="2"/>
      <c r="Q231" s="2"/>
      <c r="AA231" s="591"/>
      <c r="AB231" s="591"/>
      <c r="AC231" s="591"/>
      <c r="AG231" s="591"/>
      <c r="AS231" s="591"/>
    </row>
  </sheetData>
  <sheetProtection algorithmName="SHA-512" hashValue="Chh9pG9eNi8q8IC0PI1QO41GO9R7O9A61YRI1vRLKp5XtxTXrflscCBzz+qA41kbo5H6W7uraHvFemRiZKjczA==" saltValue="U3M3ybkr9SGz+m2tbGFovA==" spinCount="100000" sheet="1" objects="1" scenarios="1" selectLockedCells="1"/>
  <mergeCells count="242">
    <mergeCell ref="AN6:AQ6"/>
    <mergeCell ref="I205:J205"/>
    <mergeCell ref="I196:J196"/>
    <mergeCell ref="I197:J197"/>
    <mergeCell ref="I198:J198"/>
    <mergeCell ref="I199:J199"/>
    <mergeCell ref="I193:J193"/>
    <mergeCell ref="I195:J195"/>
    <mergeCell ref="I194:J194"/>
    <mergeCell ref="I189:J189"/>
    <mergeCell ref="I185:J185"/>
    <mergeCell ref="I186:J186"/>
    <mergeCell ref="I187:J187"/>
    <mergeCell ref="I188:J188"/>
    <mergeCell ref="I179:J179"/>
    <mergeCell ref="I180:J180"/>
    <mergeCell ref="I181:J181"/>
    <mergeCell ref="I182:J182"/>
    <mergeCell ref="I183:J183"/>
    <mergeCell ref="I184:J184"/>
    <mergeCell ref="I173:J173"/>
    <mergeCell ref="I174:J174"/>
    <mergeCell ref="I175:J175"/>
    <mergeCell ref="I176:J176"/>
    <mergeCell ref="I206:J206"/>
    <mergeCell ref="I207:K207"/>
    <mergeCell ref="I200:J200"/>
    <mergeCell ref="I201:J201"/>
    <mergeCell ref="I202:J202"/>
    <mergeCell ref="I203:J203"/>
    <mergeCell ref="I204:J204"/>
    <mergeCell ref="I190:J190"/>
    <mergeCell ref="I191:J191"/>
    <mergeCell ref="I192:J192"/>
    <mergeCell ref="I177:J177"/>
    <mergeCell ref="I178:J178"/>
    <mergeCell ref="O102:P102"/>
    <mergeCell ref="O103:P103"/>
    <mergeCell ref="I169:J169"/>
    <mergeCell ref="I170:J170"/>
    <mergeCell ref="I171:J171"/>
    <mergeCell ref="I172:J172"/>
    <mergeCell ref="L53:M54"/>
    <mergeCell ref="L55:M55"/>
    <mergeCell ref="L109:M109"/>
    <mergeCell ref="C126:M126"/>
    <mergeCell ref="K156:L156"/>
    <mergeCell ref="I118:J118"/>
    <mergeCell ref="M168:N168"/>
    <mergeCell ref="M166:N166"/>
    <mergeCell ref="K149:L149"/>
    <mergeCell ref="I78:J78"/>
    <mergeCell ref="C55:E55"/>
    <mergeCell ref="C53:E53"/>
    <mergeCell ref="C54:E54"/>
    <mergeCell ref="O101:P101"/>
    <mergeCell ref="O97:P97"/>
    <mergeCell ref="O96:P96"/>
    <mergeCell ref="I52:J52"/>
    <mergeCell ref="I53:J54"/>
    <mergeCell ref="I55:J55"/>
    <mergeCell ref="I168:J168"/>
    <mergeCell ref="I56:J56"/>
    <mergeCell ref="I119:J119"/>
    <mergeCell ref="C91:P91"/>
    <mergeCell ref="O104:P104"/>
    <mergeCell ref="L4:M5"/>
    <mergeCell ref="L44:M44"/>
    <mergeCell ref="I4:J5"/>
    <mergeCell ref="I44:J44"/>
    <mergeCell ref="L51:M51"/>
    <mergeCell ref="L52:M52"/>
    <mergeCell ref="K158:L158"/>
    <mergeCell ref="K157:L157"/>
    <mergeCell ref="I120:J120"/>
    <mergeCell ref="I121:J121"/>
    <mergeCell ref="K146:L146"/>
    <mergeCell ref="K145:L145"/>
    <mergeCell ref="I122:J122"/>
    <mergeCell ref="K144:L144"/>
    <mergeCell ref="K147:L147"/>
    <mergeCell ref="K148:L148"/>
    <mergeCell ref="C217:D217"/>
    <mergeCell ref="E217:F217"/>
    <mergeCell ref="C215:D215"/>
    <mergeCell ref="E215:F215"/>
    <mergeCell ref="C216:D216"/>
    <mergeCell ref="E216:F216"/>
    <mergeCell ref="K159:L159"/>
    <mergeCell ref="K160:L160"/>
    <mergeCell ref="B162:D162"/>
    <mergeCell ref="C167:D167"/>
    <mergeCell ref="E167:F167"/>
    <mergeCell ref="I166:J166"/>
    <mergeCell ref="I167:J167"/>
    <mergeCell ref="C169:F169"/>
    <mergeCell ref="C171:D172"/>
    <mergeCell ref="C170:D170"/>
    <mergeCell ref="C195:H195"/>
    <mergeCell ref="C193:D193"/>
    <mergeCell ref="E193:F193"/>
    <mergeCell ref="C196:D196"/>
    <mergeCell ref="C180:D180"/>
    <mergeCell ref="E180:F180"/>
    <mergeCell ref="C182:F182"/>
    <mergeCell ref="C207:H207"/>
    <mergeCell ref="G53:G54"/>
    <mergeCell ref="O98:P98"/>
    <mergeCell ref="K53:K54"/>
    <mergeCell ref="P58:Q58"/>
    <mergeCell ref="C56:D56"/>
    <mergeCell ref="H53:H54"/>
    <mergeCell ref="C57:F57"/>
    <mergeCell ref="C59:E59"/>
    <mergeCell ref="O57:P57"/>
    <mergeCell ref="L78:M78"/>
    <mergeCell ref="I72:J72"/>
    <mergeCell ref="L72:M72"/>
    <mergeCell ref="I73:J73"/>
    <mergeCell ref="I74:K74"/>
    <mergeCell ref="C95:F95"/>
    <mergeCell ref="C96:D96"/>
    <mergeCell ref="C98:F98"/>
    <mergeCell ref="C97:F97"/>
    <mergeCell ref="C102:F102"/>
    <mergeCell ref="C100:F100"/>
    <mergeCell ref="I79:J79"/>
    <mergeCell ref="I81:J81"/>
    <mergeCell ref="I82:J82"/>
    <mergeCell ref="I71:J71"/>
    <mergeCell ref="L71:M71"/>
    <mergeCell ref="L77:M77"/>
    <mergeCell ref="I67:J67"/>
    <mergeCell ref="I68:J68"/>
    <mergeCell ref="L68:M68"/>
    <mergeCell ref="I69:J69"/>
    <mergeCell ref="I76:J76"/>
    <mergeCell ref="I77:J77"/>
    <mergeCell ref="E32:F32"/>
    <mergeCell ref="E23:F23"/>
    <mergeCell ref="E14:F14"/>
    <mergeCell ref="E12:F12"/>
    <mergeCell ref="E13:F13"/>
    <mergeCell ref="E17:F17"/>
    <mergeCell ref="E15:F15"/>
    <mergeCell ref="E19:F19"/>
    <mergeCell ref="E18:F18"/>
    <mergeCell ref="C4:D5"/>
    <mergeCell ref="O4:P5"/>
    <mergeCell ref="E4:F5"/>
    <mergeCell ref="E28:F28"/>
    <mergeCell ref="E24:F24"/>
    <mergeCell ref="E25:F25"/>
    <mergeCell ref="E26:F26"/>
    <mergeCell ref="C6:D6"/>
    <mergeCell ref="E16:F16"/>
    <mergeCell ref="E21:F21"/>
    <mergeCell ref="E6:F6"/>
    <mergeCell ref="E7:F7"/>
    <mergeCell ref="E8:F8"/>
    <mergeCell ref="C197:D198"/>
    <mergeCell ref="E171:E172"/>
    <mergeCell ref="B163:D163"/>
    <mergeCell ref="E197:E198"/>
    <mergeCell ref="C184:D185"/>
    <mergeCell ref="E184:E185"/>
    <mergeCell ref="C183:D183"/>
    <mergeCell ref="C206:D206"/>
    <mergeCell ref="E206:F206"/>
    <mergeCell ref="C168:F168"/>
    <mergeCell ref="C2:I2"/>
    <mergeCell ref="J2:P2"/>
    <mergeCell ref="C3:D3"/>
    <mergeCell ref="E3:G3"/>
    <mergeCell ref="M3:P3"/>
    <mergeCell ref="H3:L3"/>
    <mergeCell ref="E48:F48"/>
    <mergeCell ref="E47:F47"/>
    <mergeCell ref="E36:F36"/>
    <mergeCell ref="E30:F30"/>
    <mergeCell ref="C45:F45"/>
    <mergeCell ref="C39:D39"/>
    <mergeCell ref="E35:F35"/>
    <mergeCell ref="E20:F20"/>
    <mergeCell ref="C46:D46"/>
    <mergeCell ref="E22:F22"/>
    <mergeCell ref="E31:F31"/>
    <mergeCell ref="E27:F27"/>
    <mergeCell ref="C44:F44"/>
    <mergeCell ref="C43:D43"/>
    <mergeCell ref="E29:F29"/>
    <mergeCell ref="C7:D7"/>
    <mergeCell ref="E11:F11"/>
    <mergeCell ref="E9:F9"/>
    <mergeCell ref="I117:J117"/>
    <mergeCell ref="L56:M56"/>
    <mergeCell ref="L108:M108"/>
    <mergeCell ref="I114:J114"/>
    <mergeCell ref="I115:J115"/>
    <mergeCell ref="C104:F104"/>
    <mergeCell ref="E96:F96"/>
    <mergeCell ref="I83:J83"/>
    <mergeCell ref="I88:J88"/>
    <mergeCell ref="C101:F101"/>
    <mergeCell ref="I89:J89"/>
    <mergeCell ref="I84:J84"/>
    <mergeCell ref="I85:J85"/>
    <mergeCell ref="I86:J86"/>
    <mergeCell ref="I87:J87"/>
    <mergeCell ref="C58:F58"/>
    <mergeCell ref="C94:F94"/>
    <mergeCell ref="E93:F93"/>
    <mergeCell ref="C93:D93"/>
    <mergeCell ref="C103:F103"/>
    <mergeCell ref="I116:J116"/>
    <mergeCell ref="L69:M69"/>
    <mergeCell ref="I70:J70"/>
    <mergeCell ref="L70:M70"/>
    <mergeCell ref="T65:T66"/>
    <mergeCell ref="AS7:AW7"/>
    <mergeCell ref="AB7:AE7"/>
    <mergeCell ref="AG7:AK7"/>
    <mergeCell ref="L87:M87"/>
    <mergeCell ref="L86:M86"/>
    <mergeCell ref="O93:P93"/>
    <mergeCell ref="O56:P56"/>
    <mergeCell ref="C50:E50"/>
    <mergeCell ref="C51:E51"/>
    <mergeCell ref="C52:E52"/>
    <mergeCell ref="G50:M50"/>
    <mergeCell ref="I51:J51"/>
    <mergeCell ref="E10:F10"/>
    <mergeCell ref="C47:D47"/>
    <mergeCell ref="C48:D48"/>
    <mergeCell ref="E46:F46"/>
    <mergeCell ref="O44:P44"/>
    <mergeCell ref="E33:F33"/>
    <mergeCell ref="E34:F34"/>
    <mergeCell ref="E37:F37"/>
    <mergeCell ref="E38:F38"/>
    <mergeCell ref="E43:F43"/>
    <mergeCell ref="E39:F39"/>
  </mergeCells>
  <phoneticPr fontId="24" type="noConversion"/>
  <conditionalFormatting sqref="C57 G57">
    <cfRule type="expression" dxfId="3177" priority="1" stopIfTrue="1">
      <formula>C58=0</formula>
    </cfRule>
  </conditionalFormatting>
  <conditionalFormatting sqref="F121:F122">
    <cfRule type="expression" dxfId="3176" priority="2" stopIfTrue="1">
      <formula>SUM($G121:$I121)=0</formula>
    </cfRule>
  </conditionalFormatting>
  <conditionalFormatting sqref="G184:H192 K197:K205 K184:K192 K171:K179 G171:H179 G197:H205">
    <cfRule type="cellIs" dxfId="3175" priority="3" stopIfTrue="1" operator="equal">
      <formula>0</formula>
    </cfRule>
    <cfRule type="expression" dxfId="3174" priority="4" stopIfTrue="1">
      <formula>AND(G171=1,G170=0)</formula>
    </cfRule>
  </conditionalFormatting>
  <conditionalFormatting sqref="I171:J179 I184:J192 I197:J205">
    <cfRule type="cellIs" dxfId="3173" priority="5" stopIfTrue="1" operator="equal">
      <formula>0</formula>
    </cfRule>
    <cfRule type="expression" dxfId="3172" priority="6" stopIfTrue="1">
      <formula>AND($I171=1,$I170=0)</formula>
    </cfRule>
  </conditionalFormatting>
  <conditionalFormatting sqref="I93">
    <cfRule type="expression" dxfId="3171" priority="7" stopIfTrue="1">
      <formula>AND(I$155="X",I$93&lt;&gt;"")</formula>
    </cfRule>
  </conditionalFormatting>
  <conditionalFormatting sqref="I97">
    <cfRule type="expression" dxfId="3170" priority="8" stopIfTrue="1">
      <formula>AND(I$152=0,I$97&lt;&gt;0)</formula>
    </cfRule>
    <cfRule type="expression" dxfId="3169" priority="9" stopIfTrue="1">
      <formula>I$152=0</formula>
    </cfRule>
  </conditionalFormatting>
  <conditionalFormatting sqref="G98:I98">
    <cfRule type="expression" dxfId="3168" priority="10" stopIfTrue="1">
      <formula>AND(G$152=0,G$98&lt;&gt;0)</formula>
    </cfRule>
    <cfRule type="expression" dxfId="3167" priority="11" stopIfTrue="1">
      <formula>G$152=0</formula>
    </cfRule>
  </conditionalFormatting>
  <conditionalFormatting sqref="J93">
    <cfRule type="expression" dxfId="3166" priority="12" stopIfTrue="1">
      <formula>AND(I$155="X",J$93&lt;&gt;"")</formula>
    </cfRule>
  </conditionalFormatting>
  <conditionalFormatting sqref="J97">
    <cfRule type="expression" dxfId="3165" priority="13" stopIfTrue="1">
      <formula>AND(I$152=0,J$97&lt;&gt;0)</formula>
    </cfRule>
    <cfRule type="expression" dxfId="3164" priority="14" stopIfTrue="1">
      <formula>I$152=0</formula>
    </cfRule>
  </conditionalFormatting>
  <conditionalFormatting sqref="J98">
    <cfRule type="expression" dxfId="3163" priority="15" stopIfTrue="1">
      <formula>AND(I$152=0,J$98&lt;&gt;0)</formula>
    </cfRule>
    <cfRule type="expression" dxfId="3162" priority="16" stopIfTrue="1">
      <formula>I$152=0</formula>
    </cfRule>
  </conditionalFormatting>
  <conditionalFormatting sqref="G101:I101">
    <cfRule type="expression" dxfId="3161" priority="17" stopIfTrue="1">
      <formula>AND(G$152=0,G$101&lt;&gt;0)</formula>
    </cfRule>
    <cfRule type="expression" dxfId="3160" priority="18" stopIfTrue="1">
      <formula>AND($C101="ERROR",G101&gt;0)</formula>
    </cfRule>
    <cfRule type="expression" dxfId="3159" priority="19" stopIfTrue="1">
      <formula>G$152=0</formula>
    </cfRule>
  </conditionalFormatting>
  <conditionalFormatting sqref="G102:I102">
    <cfRule type="expression" dxfId="3158" priority="20" stopIfTrue="1">
      <formula>AND(G$152=0,G$102&lt;&gt;0)</formula>
    </cfRule>
    <cfRule type="expression" dxfId="3157" priority="21" stopIfTrue="1">
      <formula>AND($C102="ERROR",G102&gt;0)</formula>
    </cfRule>
    <cfRule type="expression" dxfId="3156" priority="22" stopIfTrue="1">
      <formula>G$152=0</formula>
    </cfRule>
  </conditionalFormatting>
  <conditionalFormatting sqref="G103:I103">
    <cfRule type="expression" dxfId="3155" priority="23" stopIfTrue="1">
      <formula>AND(G$152=0,G$103&lt;&gt;0)</formula>
    </cfRule>
    <cfRule type="expression" dxfId="3154" priority="24" stopIfTrue="1">
      <formula>AND($C103="ERROR",G103&gt;0)</formula>
    </cfRule>
    <cfRule type="expression" dxfId="3153" priority="25" stopIfTrue="1">
      <formula>G$152=0</formula>
    </cfRule>
  </conditionalFormatting>
  <conditionalFormatting sqref="G104:I104">
    <cfRule type="expression" dxfId="3152" priority="26" stopIfTrue="1">
      <formula>AND(G$152=0,G$104&lt;&gt;0)</formula>
    </cfRule>
    <cfRule type="expression" dxfId="3151" priority="27" stopIfTrue="1">
      <formula>AND($C104="ERROR",G104&gt;0)</formula>
    </cfRule>
    <cfRule type="expression" dxfId="3150" priority="28" stopIfTrue="1">
      <formula>G$152=0</formula>
    </cfRule>
  </conditionalFormatting>
  <conditionalFormatting sqref="J101">
    <cfRule type="expression" dxfId="3149" priority="29" stopIfTrue="1">
      <formula>AND(I$152=0,J$101&lt;&gt;0)</formula>
    </cfRule>
    <cfRule type="expression" dxfId="3148" priority="30" stopIfTrue="1">
      <formula>AND($C101="ERROR",J101&gt;0)</formula>
    </cfRule>
    <cfRule type="expression" dxfId="3147" priority="31" stopIfTrue="1">
      <formula>I$152=0</formula>
    </cfRule>
  </conditionalFormatting>
  <conditionalFormatting sqref="J102">
    <cfRule type="expression" dxfId="3146" priority="32" stopIfTrue="1">
      <formula>AND(I$152=0,J$102&lt;&gt;0)</formula>
    </cfRule>
    <cfRule type="expression" dxfId="3145" priority="33" stopIfTrue="1">
      <formula>AND($C102="ERROR",J102&gt;0)</formula>
    </cfRule>
    <cfRule type="expression" dxfId="3144" priority="34" stopIfTrue="1">
      <formula>I$152=0</formula>
    </cfRule>
  </conditionalFormatting>
  <conditionalFormatting sqref="J103">
    <cfRule type="expression" dxfId="3143" priority="35" stopIfTrue="1">
      <formula>AND(I$152=0,J$103&lt;&gt;0)</formula>
    </cfRule>
    <cfRule type="expression" dxfId="3142" priority="36" stopIfTrue="1">
      <formula>AND($C103="ERROR",J103&gt;0)</formula>
    </cfRule>
    <cfRule type="expression" dxfId="3141" priority="37" stopIfTrue="1">
      <formula>I$152=0</formula>
    </cfRule>
  </conditionalFormatting>
  <conditionalFormatting sqref="J104">
    <cfRule type="expression" dxfId="3140" priority="38" stopIfTrue="1">
      <formula>AND(I$152=0,J$104&lt;&gt;0)</formula>
    </cfRule>
    <cfRule type="expression" dxfId="3139" priority="39" stopIfTrue="1">
      <formula>AND($C104="ERROR",J104&gt;0)</formula>
    </cfRule>
    <cfRule type="expression" dxfId="3138" priority="40" stopIfTrue="1">
      <formula>I$152=0</formula>
    </cfRule>
  </conditionalFormatting>
  <conditionalFormatting sqref="O101:P104">
    <cfRule type="expression" dxfId="3137" priority="41" stopIfTrue="1">
      <formula>SUM($G$152:$J$152)=0</formula>
    </cfRule>
    <cfRule type="expression" dxfId="3136" priority="42" stopIfTrue="1">
      <formula>$B101=""</formula>
    </cfRule>
  </conditionalFormatting>
  <conditionalFormatting sqref="E8:F38">
    <cfRule type="expression" dxfId="3135" priority="43" stopIfTrue="1">
      <formula>$AA8=$Y$6</formula>
    </cfRule>
    <cfRule type="expression" dxfId="3134" priority="44" stopIfTrue="1">
      <formula>AND($AA8=0,$E8=0)</formula>
    </cfRule>
    <cfRule type="expression" dxfId="3133" priority="45" stopIfTrue="1">
      <formula>$AA8=0</formula>
    </cfRule>
  </conditionalFormatting>
  <conditionalFormatting sqref="I6 L6 O6">
    <cfRule type="expression" dxfId="3132" priority="46" stopIfTrue="1">
      <formula>I6=""</formula>
    </cfRule>
    <cfRule type="expression" dxfId="3131" priority="47" stopIfTrue="1">
      <formula>OR(I4=0,I4=$K$130)</formula>
    </cfRule>
    <cfRule type="expression" dxfId="3130" priority="48" stopIfTrue="1">
      <formula>I4&lt;&gt;$K$130</formula>
    </cfRule>
  </conditionalFormatting>
  <conditionalFormatting sqref="J6 M6 P6">
    <cfRule type="expression" dxfId="3129" priority="49" stopIfTrue="1">
      <formula>J6=""</formula>
    </cfRule>
    <cfRule type="expression" dxfId="3128" priority="50" stopIfTrue="1">
      <formula>OR(I4=0,I4=$K$130)</formula>
    </cfRule>
    <cfRule type="expression" dxfId="3127" priority="51" stopIfTrue="1">
      <formula>I4&lt;&gt;$K$130</formula>
    </cfRule>
  </conditionalFormatting>
  <conditionalFormatting sqref="I53">
    <cfRule type="expression" dxfId="3126" priority="52" stopIfTrue="1">
      <formula>ISERROR($G$155)</formula>
    </cfRule>
    <cfRule type="expression" dxfId="3125" priority="53" stopIfTrue="1">
      <formula>ISERROR($I53)</formula>
    </cfRule>
  </conditionalFormatting>
  <conditionalFormatting sqref="G39:H39">
    <cfRule type="expression" dxfId="3124" priority="54" stopIfTrue="1">
      <formula>ISERROR($G$155)</formula>
    </cfRule>
    <cfRule type="expression" dxfId="3123" priority="55" stopIfTrue="1">
      <formula>OR($I$163=0,G$4="")</formula>
    </cfRule>
    <cfRule type="expression" dxfId="3122" priority="56" stopIfTrue="1">
      <formula>OR(G$4="",ISERROR(G$155))</formula>
    </cfRule>
  </conditionalFormatting>
  <conditionalFormatting sqref="G97:H97">
    <cfRule type="expression" dxfId="3121" priority="57" stopIfTrue="1">
      <formula>AND(G$152=0,G$97&lt;&gt;0)</formula>
    </cfRule>
    <cfRule type="expression" dxfId="3120" priority="58" stopIfTrue="1">
      <formula>G$152=0</formula>
    </cfRule>
    <cfRule type="expression" dxfId="3119" priority="59" stopIfTrue="1">
      <formula>AND(G$96&lt;&gt;0,G$97="")</formula>
    </cfRule>
  </conditionalFormatting>
  <conditionalFormatting sqref="C101:F104">
    <cfRule type="cellIs" dxfId="3118" priority="60" stopIfTrue="1" operator="equal">
      <formula>"ERROR"</formula>
    </cfRule>
    <cfRule type="expression" dxfId="3117" priority="61" stopIfTrue="1">
      <formula>ISBLANK($B101)</formula>
    </cfRule>
    <cfRule type="expression" dxfId="3116" priority="62" stopIfTrue="1">
      <formula>SUM($G$152:$J$152)=0</formula>
    </cfRule>
  </conditionalFormatting>
  <conditionalFormatting sqref="K73">
    <cfRule type="expression" dxfId="3115" priority="63" stopIfTrue="1">
      <formula>ISERROR(K73)</formula>
    </cfRule>
    <cfRule type="expression" dxfId="3114" priority="64" stopIfTrue="1">
      <formula>I73=0</formula>
    </cfRule>
    <cfRule type="expression" dxfId="3113" priority="65" stopIfTrue="1">
      <formula>$C$61=0</formula>
    </cfRule>
  </conditionalFormatting>
  <conditionalFormatting sqref="G70:G71">
    <cfRule type="expression" dxfId="3112" priority="66" stopIfTrue="1">
      <formula>$C$61=0</formula>
    </cfRule>
    <cfRule type="expression" dxfId="3111" priority="67" stopIfTrue="1">
      <formula>SUM($G$69:$G$72)=0</formula>
    </cfRule>
    <cfRule type="expression" dxfId="3110" priority="68" stopIfTrue="1">
      <formula>AND(G70&lt;&gt;0,ISERROR(H70))</formula>
    </cfRule>
  </conditionalFormatting>
  <conditionalFormatting sqref="G72">
    <cfRule type="expression" dxfId="3109" priority="69" stopIfTrue="1">
      <formula>$C$61=0</formula>
    </cfRule>
    <cfRule type="expression" dxfId="3108" priority="70" stopIfTrue="1">
      <formula>SUM($G$69:$G$72)=0</formula>
    </cfRule>
    <cfRule type="expression" dxfId="3107" priority="71" stopIfTrue="1">
      <formula>AND(G72&lt;&gt;0,ISERROR(H72))</formula>
    </cfRule>
  </conditionalFormatting>
  <conditionalFormatting sqref="G69">
    <cfRule type="expression" dxfId="3106" priority="72" stopIfTrue="1">
      <formula>$C$61=0</formula>
    </cfRule>
    <cfRule type="expression" dxfId="3105" priority="73" stopIfTrue="1">
      <formula>SUM($G$69:$G$72)=0</formula>
    </cfRule>
    <cfRule type="expression" dxfId="3104" priority="74" stopIfTrue="1">
      <formula>AND(G69&lt;&gt;0,ISERROR(H69))</formula>
    </cfRule>
  </conditionalFormatting>
  <conditionalFormatting sqref="I74">
    <cfRule type="expression" dxfId="3103" priority="75" stopIfTrue="1">
      <formula>$C$61=0</formula>
    </cfRule>
    <cfRule type="expression" dxfId="3102" priority="76" stopIfTrue="1">
      <formula>I73=0</formula>
    </cfRule>
  </conditionalFormatting>
  <conditionalFormatting sqref="G89:K89">
    <cfRule type="cellIs" dxfId="3101" priority="77" stopIfTrue="1" operator="equal">
      <formula>0</formula>
    </cfRule>
    <cfRule type="expression" dxfId="3100" priority="78" stopIfTrue="1">
      <formula>G$88=0</formula>
    </cfRule>
  </conditionalFormatting>
  <conditionalFormatting sqref="I77:J78">
    <cfRule type="expression" dxfId="3099" priority="79" stopIfTrue="1">
      <formula>$C$61=0</formula>
    </cfRule>
    <cfRule type="expression" dxfId="3098" priority="80" stopIfTrue="1">
      <formula>ISERROR($I77)</formula>
    </cfRule>
    <cfRule type="cellIs" dxfId="3097" priority="81" stopIfTrue="1" operator="equal">
      <formula>0</formula>
    </cfRule>
  </conditionalFormatting>
  <conditionalFormatting sqref="I79:J79">
    <cfRule type="expression" dxfId="3096" priority="82" stopIfTrue="1">
      <formula>ISERROR($I79)</formula>
    </cfRule>
    <cfRule type="expression" dxfId="3095" priority="83" stopIfTrue="1">
      <formula>$C$61=0</formula>
    </cfRule>
    <cfRule type="cellIs" dxfId="3094" priority="84" stopIfTrue="1" operator="equal">
      <formula>0</formula>
    </cfRule>
  </conditionalFormatting>
  <conditionalFormatting sqref="L77:M78">
    <cfRule type="expression" dxfId="3093" priority="85" stopIfTrue="1">
      <formula>ISERROR($L77)</formula>
    </cfRule>
    <cfRule type="expression" dxfId="3092" priority="86" stopIfTrue="1">
      <formula>$C$61=0</formula>
    </cfRule>
  </conditionalFormatting>
  <conditionalFormatting sqref="G93:H93">
    <cfRule type="expression" dxfId="3091" priority="87" stopIfTrue="1">
      <formula>AND(G$155="X",G$93&lt;&gt;"")</formula>
    </cfRule>
  </conditionalFormatting>
  <conditionalFormatting sqref="G81:K81">
    <cfRule type="expression" dxfId="3090" priority="88" stopIfTrue="1">
      <formula>$C$61=0</formula>
    </cfRule>
    <cfRule type="expression" dxfId="3089" priority="89" stopIfTrue="1">
      <formula>G$89&lt;&gt;0</formula>
    </cfRule>
  </conditionalFormatting>
  <conditionalFormatting sqref="I88:J88">
    <cfRule type="expression" dxfId="3088" priority="90" stopIfTrue="1">
      <formula>ISERROR($I88)</formula>
    </cfRule>
    <cfRule type="cellIs" dxfId="3087" priority="91" stopIfTrue="1" operator="equal">
      <formula>0</formula>
    </cfRule>
    <cfRule type="expression" dxfId="3086" priority="92" stopIfTrue="1">
      <formula>$C$61=0</formula>
    </cfRule>
  </conditionalFormatting>
  <conditionalFormatting sqref="H69:H72">
    <cfRule type="expression" dxfId="3085" priority="93" stopIfTrue="1">
      <formula>ISERROR(H69)</formula>
    </cfRule>
    <cfRule type="expression" dxfId="3084" priority="94" stopIfTrue="1">
      <formula>$C$61=0</formula>
    </cfRule>
    <cfRule type="expression" dxfId="3083" priority="95" stopIfTrue="1">
      <formula>$H69=$E$163</formula>
    </cfRule>
  </conditionalFormatting>
  <conditionalFormatting sqref="G76:H76 K76">
    <cfRule type="expression" dxfId="3082" priority="96" stopIfTrue="1">
      <formula>ISERROR(G76)</formula>
    </cfRule>
    <cfRule type="expression" dxfId="3081" priority="97" stopIfTrue="1">
      <formula>$C$61=0</formula>
    </cfRule>
    <cfRule type="expression" dxfId="3080" priority="98" stopIfTrue="1">
      <formula>G$76=$E$163</formula>
    </cfRule>
  </conditionalFormatting>
  <conditionalFormatting sqref="I76:J76">
    <cfRule type="expression" dxfId="3079" priority="99" stopIfTrue="1">
      <formula>ISERROR($I76)</formula>
    </cfRule>
    <cfRule type="expression" dxfId="3078" priority="100" stopIfTrue="1">
      <formula>$C$61=0</formula>
    </cfRule>
    <cfRule type="expression" dxfId="3077" priority="101" stopIfTrue="1">
      <formula>$I76=$E$163</formula>
    </cfRule>
  </conditionalFormatting>
  <conditionalFormatting sqref="K69:K72">
    <cfRule type="expression" dxfId="3076" priority="102" stopIfTrue="1">
      <formula>OR(ISERROR(H69),ISERROR(K69))</formula>
    </cfRule>
    <cfRule type="expression" dxfId="3075" priority="103" stopIfTrue="1">
      <formula>AND($I69=0,$C$61&lt;&gt;0,$G69=0)</formula>
    </cfRule>
    <cfRule type="expression" dxfId="3074" priority="104" stopIfTrue="1">
      <formula>$C$61=0</formula>
    </cfRule>
  </conditionalFormatting>
  <conditionalFormatting sqref="L93">
    <cfRule type="expression" dxfId="3073" priority="105" stopIfTrue="1">
      <formula>AND(J$155="X",L$93&lt;&gt;"")</formula>
    </cfRule>
  </conditionalFormatting>
  <conditionalFormatting sqref="L97">
    <cfRule type="expression" dxfId="3072" priority="106" stopIfTrue="1">
      <formula>AND(J$152=0,L$97&lt;&gt;0)</formula>
    </cfRule>
    <cfRule type="expression" dxfId="3071" priority="107" stopIfTrue="1">
      <formula>J$152=0</formula>
    </cfRule>
  </conditionalFormatting>
  <conditionalFormatting sqref="K98:L98">
    <cfRule type="expression" dxfId="3070" priority="108" stopIfTrue="1">
      <formula>AND(I$152=0,K$98&lt;&gt;0)</formula>
    </cfRule>
    <cfRule type="expression" dxfId="3069" priority="109" stopIfTrue="1">
      <formula>I$152=0</formula>
    </cfRule>
  </conditionalFormatting>
  <conditionalFormatting sqref="N98">
    <cfRule type="expression" dxfId="3068" priority="110" stopIfTrue="1">
      <formula>AND(J$152=0,N$98&lt;&gt;0)</formula>
    </cfRule>
    <cfRule type="expression" dxfId="3067" priority="111" stopIfTrue="1">
      <formula>J$152=0</formula>
    </cfRule>
  </conditionalFormatting>
  <conditionalFormatting sqref="M93">
    <cfRule type="expression" dxfId="3066" priority="112" stopIfTrue="1">
      <formula>AND(J$155="X",M$93&lt;&gt;"")</formula>
    </cfRule>
  </conditionalFormatting>
  <conditionalFormatting sqref="M97">
    <cfRule type="expression" dxfId="3065" priority="113" stopIfTrue="1">
      <formula>AND(J$152=0,M$97&lt;&gt;0)</formula>
    </cfRule>
    <cfRule type="expression" dxfId="3064" priority="114" stopIfTrue="1">
      <formula>J$152=0</formula>
    </cfRule>
  </conditionalFormatting>
  <conditionalFormatting sqref="M98">
    <cfRule type="expression" dxfId="3063" priority="115" stopIfTrue="1">
      <formula>AND(J$152=0,M$98&lt;&gt;0)</formula>
    </cfRule>
    <cfRule type="expression" dxfId="3062" priority="116" stopIfTrue="1">
      <formula>J$152=0</formula>
    </cfRule>
  </conditionalFormatting>
  <conditionalFormatting sqref="K101:L101">
    <cfRule type="expression" dxfId="3061" priority="117" stopIfTrue="1">
      <formula>AND(I$152=0,K$101&lt;&gt;0)</formula>
    </cfRule>
    <cfRule type="expression" dxfId="3060" priority="118" stopIfTrue="1">
      <formula>AND($C101="ERROR",K101&gt;0)</formula>
    </cfRule>
    <cfRule type="expression" dxfId="3059" priority="119" stopIfTrue="1">
      <formula>I$152=0</formula>
    </cfRule>
  </conditionalFormatting>
  <conditionalFormatting sqref="K102:L102">
    <cfRule type="expression" dxfId="3058" priority="120" stopIfTrue="1">
      <formula>AND(I$152=0,K$102&lt;&gt;0)</formula>
    </cfRule>
    <cfRule type="expression" dxfId="3057" priority="121" stopIfTrue="1">
      <formula>AND($C102="ERROR",K102&gt;0)</formula>
    </cfRule>
    <cfRule type="expression" dxfId="3056" priority="122" stopIfTrue="1">
      <formula>I$152=0</formula>
    </cfRule>
  </conditionalFormatting>
  <conditionalFormatting sqref="K103:L103">
    <cfRule type="expression" dxfId="3055" priority="123" stopIfTrue="1">
      <formula>AND(I$152=0,K$103&lt;&gt;0)</formula>
    </cfRule>
    <cfRule type="expression" dxfId="3054" priority="124" stopIfTrue="1">
      <formula>AND($C103="ERROR",K103&gt;0)</formula>
    </cfRule>
    <cfRule type="expression" dxfId="3053" priority="125" stopIfTrue="1">
      <formula>I$152=0</formula>
    </cfRule>
  </conditionalFormatting>
  <conditionalFormatting sqref="K104:L104">
    <cfRule type="expression" dxfId="3052" priority="126" stopIfTrue="1">
      <formula>AND(I$152=0,K$104&lt;&gt;0)</formula>
    </cfRule>
    <cfRule type="expression" dxfId="3051" priority="127" stopIfTrue="1">
      <formula>AND($C104="ERROR",K104&gt;0)</formula>
    </cfRule>
    <cfRule type="expression" dxfId="3050" priority="128" stopIfTrue="1">
      <formula>I$152=0</formula>
    </cfRule>
  </conditionalFormatting>
  <conditionalFormatting sqref="N101">
    <cfRule type="expression" dxfId="3049" priority="129" stopIfTrue="1">
      <formula>AND(J$152=0,N$101&lt;&gt;0)</formula>
    </cfRule>
    <cfRule type="expression" dxfId="3048" priority="130" stopIfTrue="1">
      <formula>AND($C101="ERROR",N101&gt;0)</formula>
    </cfRule>
    <cfRule type="expression" dxfId="3047" priority="131" stopIfTrue="1">
      <formula>J$152=0</formula>
    </cfRule>
  </conditionalFormatting>
  <conditionalFormatting sqref="N102">
    <cfRule type="expression" dxfId="3046" priority="132" stopIfTrue="1">
      <formula>AND(J$152=0,N$102&lt;&gt;0)</formula>
    </cfRule>
    <cfRule type="expression" dxfId="3045" priority="133" stopIfTrue="1">
      <formula>AND($C102="ERROR",N102&gt;0)</formula>
    </cfRule>
    <cfRule type="expression" dxfId="3044" priority="134" stopIfTrue="1">
      <formula>J$152=0</formula>
    </cfRule>
  </conditionalFormatting>
  <conditionalFormatting sqref="N103">
    <cfRule type="expression" dxfId="3043" priority="135" stopIfTrue="1">
      <formula>AND(J$152=0,N$103&lt;&gt;0)</formula>
    </cfRule>
    <cfRule type="expression" dxfId="3042" priority="136" stopIfTrue="1">
      <formula>AND($C103="ERROR",N103&gt;0)</formula>
    </cfRule>
    <cfRule type="expression" dxfId="3041" priority="137" stopIfTrue="1">
      <formula>J$152=0</formula>
    </cfRule>
  </conditionalFormatting>
  <conditionalFormatting sqref="N104">
    <cfRule type="expression" dxfId="3040" priority="138" stopIfTrue="1">
      <formula>AND(J$152=0,N$104&lt;&gt;0)</formula>
    </cfRule>
    <cfRule type="expression" dxfId="3039" priority="139" stopIfTrue="1">
      <formula>AND($C104="ERROR",N104&gt;0)</formula>
    </cfRule>
    <cfRule type="expression" dxfId="3038" priority="140" stopIfTrue="1">
      <formula>J$152=0</formula>
    </cfRule>
  </conditionalFormatting>
  <conditionalFormatting sqref="M101">
    <cfRule type="expression" dxfId="3037" priority="141" stopIfTrue="1">
      <formula>AND(J$152=0,M$101&lt;&gt;0)</formula>
    </cfRule>
    <cfRule type="expression" dxfId="3036" priority="142" stopIfTrue="1">
      <formula>AND($C101="ERROR",M101&gt;0)</formula>
    </cfRule>
    <cfRule type="expression" dxfId="3035" priority="143" stopIfTrue="1">
      <formula>J$152=0</formula>
    </cfRule>
  </conditionalFormatting>
  <conditionalFormatting sqref="M102">
    <cfRule type="expression" dxfId="3034" priority="144" stopIfTrue="1">
      <formula>AND(J$152=0,M$102&lt;&gt;0)</formula>
    </cfRule>
    <cfRule type="expression" dxfId="3033" priority="145" stopIfTrue="1">
      <formula>AND($C102="ERROR",M102&gt;0)</formula>
    </cfRule>
    <cfRule type="expression" dxfId="3032" priority="146" stopIfTrue="1">
      <formula>J$152=0</formula>
    </cfRule>
  </conditionalFormatting>
  <conditionalFormatting sqref="M103">
    <cfRule type="expression" dxfId="3031" priority="147" stopIfTrue="1">
      <formula>AND(J$152=0,M$103&lt;&gt;0)</formula>
    </cfRule>
    <cfRule type="expression" dxfId="3030" priority="148" stopIfTrue="1">
      <formula>AND($C103="ERROR",M103&gt;0)</formula>
    </cfRule>
    <cfRule type="expression" dxfId="3029" priority="149" stopIfTrue="1">
      <formula>J$152=0</formula>
    </cfRule>
  </conditionalFormatting>
  <conditionalFormatting sqref="M104">
    <cfRule type="expression" dxfId="3028" priority="150" stopIfTrue="1">
      <formula>AND(J$152=0,M$104&lt;&gt;0)</formula>
    </cfRule>
    <cfRule type="expression" dxfId="3027" priority="151" stopIfTrue="1">
      <formula>AND($C104="ERROR",M104&gt;0)</formula>
    </cfRule>
    <cfRule type="expression" dxfId="3026" priority="152" stopIfTrue="1">
      <formula>J$152=0</formula>
    </cfRule>
  </conditionalFormatting>
  <conditionalFormatting sqref="K97">
    <cfRule type="expression" dxfId="3025" priority="153" stopIfTrue="1">
      <formula>AND(I$152=0,K$97&lt;&gt;0)</formula>
    </cfRule>
    <cfRule type="expression" dxfId="3024" priority="154" stopIfTrue="1">
      <formula>I$152=0</formula>
    </cfRule>
    <cfRule type="expression" dxfId="3023" priority="155" stopIfTrue="1">
      <formula>AND(K$96&lt;&gt;0,K$97="")</formula>
    </cfRule>
  </conditionalFormatting>
  <conditionalFormatting sqref="N97">
    <cfRule type="expression" dxfId="3022" priority="156" stopIfTrue="1">
      <formula>AND(J$152=0,N$97&lt;&gt;0)</formula>
    </cfRule>
    <cfRule type="expression" dxfId="3021" priority="157" stopIfTrue="1">
      <formula>J$152=0</formula>
    </cfRule>
    <cfRule type="expression" dxfId="3020" priority="158" stopIfTrue="1">
      <formula>AND(N$96&lt;&gt;0,N$97="")</formula>
    </cfRule>
  </conditionalFormatting>
  <conditionalFormatting sqref="G83:I83 K83">
    <cfRule type="expression" dxfId="3019" priority="159" stopIfTrue="1">
      <formula>$C$61=0</formula>
    </cfRule>
    <cfRule type="expression" dxfId="3018" priority="160" stopIfTrue="1">
      <formula>G85=$M$135</formula>
    </cfRule>
    <cfRule type="cellIs" dxfId="3017" priority="161" stopIfTrue="1" operator="equal">
      <formula>0</formula>
    </cfRule>
  </conditionalFormatting>
  <conditionalFormatting sqref="G84:I84 K84">
    <cfRule type="expression" dxfId="3016" priority="162" stopIfTrue="1">
      <formula>$C$61=0</formula>
    </cfRule>
    <cfRule type="expression" dxfId="3015" priority="163" stopIfTrue="1">
      <formula>G85=$M$135</formula>
    </cfRule>
    <cfRule type="cellIs" dxfId="3014" priority="164" stopIfTrue="1" operator="equal">
      <formula>0</formula>
    </cfRule>
  </conditionalFormatting>
  <conditionalFormatting sqref="K86 G86:H86">
    <cfRule type="expression" dxfId="3013" priority="165" stopIfTrue="1">
      <formula>$C$61=0</formula>
    </cfRule>
    <cfRule type="expression" dxfId="3012" priority="166" stopIfTrue="1">
      <formula>G85=$M$135</formula>
    </cfRule>
  </conditionalFormatting>
  <conditionalFormatting sqref="G82:K82">
    <cfRule type="expression" dxfId="3011" priority="167" stopIfTrue="1">
      <formula>$C$61=0</formula>
    </cfRule>
    <cfRule type="expression" dxfId="3010" priority="168" stopIfTrue="1">
      <formula>G85=$M$135</formula>
    </cfRule>
    <cfRule type="cellIs" dxfId="3009" priority="169" stopIfTrue="1" operator="equal">
      <formula>0</formula>
    </cfRule>
  </conditionalFormatting>
  <conditionalFormatting sqref="I86:J86">
    <cfRule type="expression" dxfId="3008" priority="170" stopIfTrue="1">
      <formula>$C$61=0</formula>
    </cfRule>
    <cfRule type="expression" dxfId="3007" priority="171" stopIfTrue="1">
      <formula>$I85=$M$135</formula>
    </cfRule>
  </conditionalFormatting>
  <conditionalFormatting sqref="G87:H87 K87">
    <cfRule type="expression" dxfId="3006" priority="172" stopIfTrue="1">
      <formula>G85=$M$135</formula>
    </cfRule>
    <cfRule type="expression" dxfId="3005" priority="173" stopIfTrue="1">
      <formula>$C$61=0</formula>
    </cfRule>
  </conditionalFormatting>
  <conditionalFormatting sqref="I87:J87">
    <cfRule type="expression" dxfId="3004" priority="174" stopIfTrue="1">
      <formula>$I85=$M$135</formula>
    </cfRule>
    <cfRule type="expression" dxfId="3003" priority="175" stopIfTrue="1">
      <formula>$C$61=0</formula>
    </cfRule>
  </conditionalFormatting>
  <conditionalFormatting sqref="K93">
    <cfRule type="expression" dxfId="3002" priority="176" stopIfTrue="1">
      <formula>AND(I$155="X",K$93&lt;&gt;"")</formula>
    </cfRule>
  </conditionalFormatting>
  <conditionalFormatting sqref="N93">
    <cfRule type="expression" dxfId="3001" priority="177" stopIfTrue="1">
      <formula>AND(J$155="X",N$93&lt;&gt;"")</formula>
    </cfRule>
  </conditionalFormatting>
  <conditionalFormatting sqref="L69:M72">
    <cfRule type="expression" dxfId="3000" priority="178" stopIfTrue="1">
      <formula>OR(ISERROR($L69),$H69="")</formula>
    </cfRule>
    <cfRule type="expression" dxfId="2999" priority="179" stopIfTrue="1">
      <formula>$C$61=0</formula>
    </cfRule>
    <cfRule type="expression" dxfId="2998" priority="180" stopIfTrue="1">
      <formula>$H69=$E$163</formula>
    </cfRule>
  </conditionalFormatting>
  <conditionalFormatting sqref="I85:J85">
    <cfRule type="expression" dxfId="2997" priority="181" stopIfTrue="1">
      <formula>$C$61=0</formula>
    </cfRule>
    <cfRule type="expression" dxfId="2996" priority="182" stopIfTrue="1">
      <formula>$I85=$M$135</formula>
    </cfRule>
  </conditionalFormatting>
  <conditionalFormatting sqref="I51:J52 L51:M52">
    <cfRule type="expression" dxfId="2995" priority="183" stopIfTrue="1">
      <formula>ISERROR(I55)</formula>
    </cfRule>
  </conditionalFormatting>
  <conditionalFormatting sqref="K51:K52">
    <cfRule type="expression" dxfId="2994" priority="184" stopIfTrue="1">
      <formula>ISERROR(G51)</formula>
    </cfRule>
  </conditionalFormatting>
  <conditionalFormatting sqref="I7:I39">
    <cfRule type="expression" dxfId="2993" priority="185" stopIfTrue="1">
      <formula>OR($I$4=0,$I$4&lt;&gt;$K$130)</formula>
    </cfRule>
    <cfRule type="expression" dxfId="2992" priority="186" stopIfTrue="1">
      <formula>$AA7&lt;&gt;0</formula>
    </cfRule>
  </conditionalFormatting>
  <conditionalFormatting sqref="J7:J39">
    <cfRule type="expression" dxfId="2991" priority="187" stopIfTrue="1">
      <formula>OR($I$4=0,$I$4&lt;&gt;$K$130)</formula>
    </cfRule>
    <cfRule type="expression" dxfId="2990" priority="188" stopIfTrue="1">
      <formula>$AA7&lt;&gt;0</formula>
    </cfRule>
  </conditionalFormatting>
  <conditionalFormatting sqref="L7:L39">
    <cfRule type="expression" dxfId="2989" priority="189" stopIfTrue="1">
      <formula>OR($L$4=0,$L$4&lt;&gt;$K$130)</formula>
    </cfRule>
    <cfRule type="expression" dxfId="2988" priority="190" stopIfTrue="1">
      <formula>$AA7&lt;&gt;0</formula>
    </cfRule>
  </conditionalFormatting>
  <conditionalFormatting sqref="M7:M39">
    <cfRule type="expression" dxfId="2987" priority="191" stopIfTrue="1">
      <formula>OR($L$4=0,$L$4&lt;&gt;$K$130)</formula>
    </cfRule>
    <cfRule type="expression" dxfId="2986" priority="192" stopIfTrue="1">
      <formula>$AA7&lt;&gt;0</formula>
    </cfRule>
  </conditionalFormatting>
  <conditionalFormatting sqref="O7:O39">
    <cfRule type="expression" dxfId="2985" priority="193" stopIfTrue="1">
      <formula>OR($O$4=0,$O$4&lt;&gt;$K$130)</formula>
    </cfRule>
    <cfRule type="expression" dxfId="2984" priority="194" stopIfTrue="1">
      <formula>$AA7&lt;&gt;0</formula>
    </cfRule>
  </conditionalFormatting>
  <conditionalFormatting sqref="P7:P39">
    <cfRule type="expression" dxfId="2983" priority="195" stopIfTrue="1">
      <formula>OR($O$4=0,$O$4&lt;&gt;$K$130)</formula>
    </cfRule>
    <cfRule type="expression" dxfId="2982" priority="196" stopIfTrue="1">
      <formula>$AA7&lt;&gt;0</formula>
    </cfRule>
  </conditionalFormatting>
  <conditionalFormatting sqref="K39">
    <cfRule type="expression" dxfId="2981" priority="197" stopIfTrue="1">
      <formula>ISERROR($G$155)</formula>
    </cfRule>
    <cfRule type="expression" dxfId="2980" priority="198" stopIfTrue="1">
      <formula>OR($I$163=0,K$4="")</formula>
    </cfRule>
    <cfRule type="expression" dxfId="2979" priority="199" stopIfTrue="1">
      <formula>OR(K$4="",ISERROR(I$155))</formula>
    </cfRule>
  </conditionalFormatting>
  <conditionalFormatting sqref="N39">
    <cfRule type="expression" dxfId="2978" priority="200" stopIfTrue="1">
      <formula>ISERROR($G$155)</formula>
    </cfRule>
    <cfRule type="expression" dxfId="2977" priority="201" stopIfTrue="1">
      <formula>OR($I$163=0,N$4="")</formula>
    </cfRule>
    <cfRule type="expression" dxfId="2976" priority="202" stopIfTrue="1">
      <formula>OR(N$4="",ISERROR(J$155))</formula>
    </cfRule>
  </conditionalFormatting>
  <conditionalFormatting sqref="G8:H38 K8:K38 N8:N38">
    <cfRule type="expression" dxfId="2975" priority="203" stopIfTrue="1">
      <formula>$AA8=$Y$6</formula>
    </cfRule>
    <cfRule type="expression" dxfId="2974" priority="204" stopIfTrue="1">
      <formula>OR($AA8=0,$E8=$E$162)</formula>
    </cfRule>
  </conditionalFormatting>
  <conditionalFormatting sqref="C8:D38">
    <cfRule type="expression" dxfId="2973" priority="205" stopIfTrue="1">
      <formula>$AA8=$Y$6</formula>
    </cfRule>
    <cfRule type="expression" dxfId="2972" priority="206" stopIfTrue="1">
      <formula>AND($L$163=0,OR($V8&lt;$B$162,$V8&gt;$B$163))</formula>
    </cfRule>
    <cfRule type="expression" dxfId="2971" priority="207" stopIfTrue="1">
      <formula>AND($AA8=0,$E8=0)</formula>
    </cfRule>
  </conditionalFormatting>
  <conditionalFormatting sqref="G46:H46 K46 N46">
    <cfRule type="expression" dxfId="2970" priority="208" stopIfTrue="1">
      <formula>G$42=$K$134</formula>
    </cfRule>
    <cfRule type="expression" dxfId="2969" priority="209" stopIfTrue="1">
      <formula>OR($I$163=0,G$4="")</formula>
    </cfRule>
    <cfRule type="expression" dxfId="2968" priority="210" stopIfTrue="1">
      <formula>G44=""</formula>
    </cfRule>
  </conditionalFormatting>
  <conditionalFormatting sqref="G47:H47 K47 N47">
    <cfRule type="expression" dxfId="2967" priority="211" stopIfTrue="1">
      <formula>OR(ISERROR(G47),G$4="")</formula>
    </cfRule>
    <cfRule type="expression" dxfId="2966" priority="212" stopIfTrue="1">
      <formula>G$42=$K$134</formula>
    </cfRule>
    <cfRule type="expression" dxfId="2965" priority="213" stopIfTrue="1">
      <formula>AND(G$46&gt;0,OR(G$99=$E$152,G$99=$K$152))</formula>
    </cfRule>
  </conditionalFormatting>
  <conditionalFormatting sqref="G48:H48 K48 N48">
    <cfRule type="expression" dxfId="2964" priority="214" stopIfTrue="1">
      <formula>OR(ISERROR(G48),G$4="")</formula>
    </cfRule>
    <cfRule type="expression" dxfId="2963" priority="215" stopIfTrue="1">
      <formula>G$42=$K$134</formula>
    </cfRule>
    <cfRule type="expression" dxfId="2962" priority="216" stopIfTrue="1">
      <formula>AND(G$46&gt;0,OR(G$99=$E$152,G$99=$K$152,COUNTIF($C$101:$F$104,"ERROR")&gt;0,G$105=$E$152,G$105=$K$152))</formula>
    </cfRule>
  </conditionalFormatting>
  <conditionalFormatting sqref="I69:J72">
    <cfRule type="expression" dxfId="2961" priority="217" stopIfTrue="1">
      <formula>$C$61=0</formula>
    </cfRule>
    <cfRule type="expression" dxfId="2960" priority="218" stopIfTrue="1">
      <formula>$Z69=0</formula>
    </cfRule>
    <cfRule type="expression" dxfId="2959" priority="219" stopIfTrue="1">
      <formula>$I69=0</formula>
    </cfRule>
  </conditionalFormatting>
  <conditionalFormatting sqref="G61:H62 K61:K62 N61:N62">
    <cfRule type="expression" dxfId="2958" priority="220" stopIfTrue="1">
      <formula>$C$61=0</formula>
    </cfRule>
    <cfRule type="expression" dxfId="2957" priority="221" stopIfTrue="1">
      <formula>G$62=$L$135</formula>
    </cfRule>
  </conditionalFormatting>
  <conditionalFormatting sqref="M166:N166">
    <cfRule type="expression" dxfId="2956" priority="222" stopIfTrue="1">
      <formula>ISBLANK($M166)</formula>
    </cfRule>
  </conditionalFormatting>
  <conditionalFormatting sqref="F107 N108:N109 F108:I109 K108:K109">
    <cfRule type="expression" dxfId="2955" priority="223" stopIfTrue="1">
      <formula>$L$108=0</formula>
    </cfRule>
  </conditionalFormatting>
  <conditionalFormatting sqref="G116:J118 K121:K122 L108:M109">
    <cfRule type="cellIs" dxfId="2954" priority="224" stopIfTrue="1" operator="equal">
      <formula>0</formula>
    </cfRule>
  </conditionalFormatting>
  <conditionalFormatting sqref="L113:M121">
    <cfRule type="expression" dxfId="2953" priority="225" stopIfTrue="1">
      <formula>$L$109=0</formula>
    </cfRule>
  </conditionalFormatting>
  <conditionalFormatting sqref="L122:M122">
    <cfRule type="expression" dxfId="2952" priority="226" stopIfTrue="1">
      <formula>$K$122=0</formula>
    </cfRule>
  </conditionalFormatting>
  <conditionalFormatting sqref="K53:K54 H53:H54">
    <cfRule type="expression" dxfId="2951" priority="227" stopIfTrue="1">
      <formula>ISERROR($G$155)</formula>
    </cfRule>
  </conditionalFormatting>
  <conditionalFormatting sqref="L180 P46 L193 L206 L215:L217">
    <cfRule type="expression" dxfId="2950" priority="228" stopIfTrue="1">
      <formula>$O$44=""</formula>
    </cfRule>
    <cfRule type="expression" dxfId="2949" priority="229" stopIfTrue="1">
      <formula>$O$44=0</formula>
    </cfRule>
  </conditionalFormatting>
  <conditionalFormatting sqref="G180:I180 K180 G215:J217 G193:I193 K206 K193 G206:I206">
    <cfRule type="expression" dxfId="2948" priority="230" stopIfTrue="1">
      <formula>ISERROR(G180)</formula>
    </cfRule>
    <cfRule type="cellIs" dxfId="2947" priority="231" stopIfTrue="1" operator="equal">
      <formula>0</formula>
    </cfRule>
  </conditionalFormatting>
  <conditionalFormatting sqref="G183:K183 G170:K170 G196:K196 G121:J122">
    <cfRule type="cellIs" dxfId="2946" priority="232" stopIfTrue="1" operator="equal">
      <formula>0</formula>
    </cfRule>
  </conditionalFormatting>
  <conditionalFormatting sqref="C126:P126">
    <cfRule type="expression" dxfId="2945" priority="233" stopIfTrue="1">
      <formula>ISERROR($H$163)</formula>
    </cfRule>
  </conditionalFormatting>
  <conditionalFormatting sqref="G53:G54">
    <cfRule type="expression" dxfId="2944" priority="234" stopIfTrue="1">
      <formula>ISERROR($G$155)</formula>
    </cfRule>
    <cfRule type="expression" dxfId="2943" priority="235" stopIfTrue="1">
      <formula>ISERROR(G53)</formula>
    </cfRule>
  </conditionalFormatting>
  <conditionalFormatting sqref="O95:P95">
    <cfRule type="expression" dxfId="2942" priority="236" stopIfTrue="1">
      <formula>$O$44=""</formula>
    </cfRule>
  </conditionalFormatting>
  <conditionalFormatting sqref="O94:P94">
    <cfRule type="expression" dxfId="2941" priority="237" stopIfTrue="1">
      <formula>$O$44=""</formula>
    </cfRule>
  </conditionalFormatting>
  <conditionalFormatting sqref="AA8:AA38 O44:P44 G58 C58 I44:J44 L44:M44 G152:J152 L168 E6:F6 K42 N42 G42:H42">
    <cfRule type="cellIs" dxfId="2940" priority="238" stopIfTrue="1" operator="equal">
      <formula>0</formula>
    </cfRule>
  </conditionalFormatting>
  <conditionalFormatting sqref="W8:Z38 R8:U38 AB8:AE38 AG8:AK38 AM8:AQ38 AS8:AW38 AY8:AY38">
    <cfRule type="cellIs" dxfId="2939" priority="239" stopIfTrue="1" operator="equal">
      <formula>0</formula>
    </cfRule>
  </conditionalFormatting>
  <conditionalFormatting sqref="O45:P45 L169">
    <cfRule type="expression" dxfId="2938" priority="240" stopIfTrue="1">
      <formula>$O$4=$K$130</formula>
    </cfRule>
    <cfRule type="expression" dxfId="2937" priority="241" stopIfTrue="1">
      <formula>$O$44=0</formula>
    </cfRule>
  </conditionalFormatting>
  <conditionalFormatting sqref="E47:F48">
    <cfRule type="expression" dxfId="2936" priority="242" stopIfTrue="1">
      <formula>ISERROR(E47)</formula>
    </cfRule>
  </conditionalFormatting>
  <conditionalFormatting sqref="G168:I169 K168:K169 E197:E198 E206:F206 E171:E172 E180:F180 E184:E185 E193:F193 G94:N95 N44:N45 G44:H45 K44:K45 E221 G51:H52">
    <cfRule type="expression" dxfId="2935" priority="243" stopIfTrue="1">
      <formula>ISERROR(E44)</formula>
    </cfRule>
  </conditionalFormatting>
  <conditionalFormatting sqref="G167:I167 K167 N43 G43:H43 K43">
    <cfRule type="cellIs" dxfId="2934" priority="244" stopIfTrue="1" operator="equal">
      <formula>0</formula>
    </cfRule>
  </conditionalFormatting>
  <conditionalFormatting sqref="G99:N99 G105:N105 H139:H141 H145:H148">
    <cfRule type="cellIs" dxfId="2933" priority="245" stopIfTrue="1" operator="equal">
      <formula>"OK"</formula>
    </cfRule>
  </conditionalFormatting>
  <conditionalFormatting sqref="I139:I141 I145:I148">
    <cfRule type="cellIs" dxfId="2932" priority="246" stopIfTrue="1" operator="greaterThan">
      <formula>0</formula>
    </cfRule>
  </conditionalFormatting>
  <conditionalFormatting sqref="F110:I112 K110:M112">
    <cfRule type="expression" dxfId="2931" priority="247" stopIfTrue="1">
      <formula>$L$108=0</formula>
    </cfRule>
  </conditionalFormatting>
  <conditionalFormatting sqref="C195:H195">
    <cfRule type="expression" dxfId="2930" priority="248" stopIfTrue="1">
      <formula>ISERROR($C$195)</formula>
    </cfRule>
  </conditionalFormatting>
  <conditionalFormatting sqref="C2:J2">
    <cfRule type="expression" dxfId="2929" priority="249" stopIfTrue="1">
      <formula>$I$163=0</formula>
    </cfRule>
  </conditionalFormatting>
  <conditionalFormatting sqref="L96:M96 I96:J96">
    <cfRule type="expression" dxfId="2928" priority="250" stopIfTrue="1">
      <formula>ISERROR($G$155)</formula>
    </cfRule>
    <cfRule type="expression" dxfId="2927" priority="251" stopIfTrue="1">
      <formula>I96=0</formula>
    </cfRule>
  </conditionalFormatting>
  <conditionalFormatting sqref="N7 G7:H7 K7">
    <cfRule type="expression" dxfId="2926" priority="252" stopIfTrue="1">
      <formula>$I$163=0</formula>
    </cfRule>
  </conditionalFormatting>
  <conditionalFormatting sqref="I48:J48">
    <cfRule type="expression" dxfId="2925" priority="253" stopIfTrue="1">
      <formula>$I$4=$K$130</formula>
    </cfRule>
  </conditionalFormatting>
  <conditionalFormatting sqref="L48:M48">
    <cfRule type="expression" dxfId="2924" priority="254" stopIfTrue="1">
      <formula>$L$4=$K$130</formula>
    </cfRule>
  </conditionalFormatting>
  <conditionalFormatting sqref="I45:J45">
    <cfRule type="expression" dxfId="2923" priority="255" stopIfTrue="1">
      <formula>$I$4=$K$130</formula>
    </cfRule>
    <cfRule type="expression" dxfId="2922" priority="256" stopIfTrue="1">
      <formula>$I$44=0</formula>
    </cfRule>
  </conditionalFormatting>
  <conditionalFormatting sqref="L45:M45">
    <cfRule type="expression" dxfId="2921" priority="257" stopIfTrue="1">
      <formula>$L$4=$K$130</formula>
    </cfRule>
    <cfRule type="expression" dxfId="2920" priority="258" stopIfTrue="1">
      <formula>$L$44=0</formula>
    </cfRule>
  </conditionalFormatting>
  <conditionalFormatting sqref="L53">
    <cfRule type="expression" dxfId="2919" priority="259" stopIfTrue="1">
      <formula>ISERROR($G$155)</formula>
    </cfRule>
    <cfRule type="expression" dxfId="2918" priority="260" stopIfTrue="1">
      <formula>ISERROR($L$53)</formula>
    </cfRule>
  </conditionalFormatting>
  <conditionalFormatting sqref="O96:P98 C97:F98">
    <cfRule type="expression" dxfId="2917" priority="261" stopIfTrue="1">
      <formula>SUM($G$152:$J$152)=0</formula>
    </cfRule>
  </conditionalFormatting>
  <conditionalFormatting sqref="G155:J155">
    <cfRule type="cellIs" dxfId="2916" priority="262" stopIfTrue="1" operator="equal">
      <formula>0</formula>
    </cfRule>
  </conditionalFormatting>
  <conditionalFormatting sqref="G157:J159">
    <cfRule type="cellIs" dxfId="2915" priority="263" stopIfTrue="1" operator="equal">
      <formula>$E$157</formula>
    </cfRule>
  </conditionalFormatting>
  <conditionalFormatting sqref="Q91:S91">
    <cfRule type="expression" dxfId="2914" priority="264" stopIfTrue="1">
      <formula>SUM($G$152:$J$152)=0</formula>
    </cfRule>
  </conditionalFormatting>
  <conditionalFormatting sqref="I4:J5">
    <cfRule type="expression" dxfId="2913" priority="265" stopIfTrue="1">
      <formula>$I$6=""</formula>
    </cfRule>
    <cfRule type="cellIs" dxfId="2912" priority="266" stopIfTrue="1" operator="equal">
      <formula>0</formula>
    </cfRule>
    <cfRule type="expression" dxfId="2911" priority="267" stopIfTrue="1">
      <formula>$I$4=$K$130</formula>
    </cfRule>
  </conditionalFormatting>
  <conditionalFormatting sqref="L4:M5">
    <cfRule type="expression" dxfId="2910" priority="268" stopIfTrue="1">
      <formula>$L$6=""</formula>
    </cfRule>
    <cfRule type="cellIs" dxfId="2909" priority="269" stopIfTrue="1" operator="equal">
      <formula>0</formula>
    </cfRule>
    <cfRule type="expression" dxfId="2908" priority="270" stopIfTrue="1">
      <formula>$L$4=$K$130</formula>
    </cfRule>
  </conditionalFormatting>
  <conditionalFormatting sqref="O4:P5">
    <cfRule type="expression" dxfId="2907" priority="271" stopIfTrue="1">
      <formula>$O$6=""</formula>
    </cfRule>
    <cfRule type="cellIs" dxfId="2906" priority="272" stopIfTrue="1" operator="equal">
      <formula>0</formula>
    </cfRule>
    <cfRule type="expression" dxfId="2905" priority="273" stopIfTrue="1">
      <formula>$O$4=$K$130</formula>
    </cfRule>
  </conditionalFormatting>
  <conditionalFormatting sqref="E46:F46">
    <cfRule type="expression" dxfId="2904" priority="274" stopIfTrue="1">
      <formula>ISERROR($E$46)</formula>
    </cfRule>
  </conditionalFormatting>
  <conditionalFormatting sqref="I46">
    <cfRule type="expression" dxfId="2903" priority="275" stopIfTrue="1">
      <formula>$I$44=""</formula>
    </cfRule>
    <cfRule type="expression" dxfId="2902" priority="276" stopIfTrue="1">
      <formula>$I$44=0</formula>
    </cfRule>
  </conditionalFormatting>
  <conditionalFormatting sqref="L46">
    <cfRule type="expression" dxfId="2901" priority="277" stopIfTrue="1">
      <formula>$L$44=""</formula>
    </cfRule>
    <cfRule type="expression" dxfId="2900" priority="278" stopIfTrue="1">
      <formula>$L$44=0</formula>
    </cfRule>
  </conditionalFormatting>
  <conditionalFormatting sqref="O46">
    <cfRule type="expression" dxfId="2899" priority="279" stopIfTrue="1">
      <formula>$O$44=""</formula>
    </cfRule>
    <cfRule type="expression" dxfId="2898" priority="280" stopIfTrue="1">
      <formula>$O$44=0</formula>
    </cfRule>
  </conditionalFormatting>
  <conditionalFormatting sqref="J46">
    <cfRule type="expression" dxfId="2897" priority="281" stopIfTrue="1">
      <formula>$I$44=""</formula>
    </cfRule>
    <cfRule type="expression" dxfId="2896" priority="282" stopIfTrue="1">
      <formula>$I$44=0</formula>
    </cfRule>
  </conditionalFormatting>
  <conditionalFormatting sqref="M46">
    <cfRule type="expression" dxfId="2895" priority="283" stopIfTrue="1">
      <formula>$L$44=""</formula>
    </cfRule>
    <cfRule type="expression" dxfId="2894" priority="284" stopIfTrue="1">
      <formula>$L$44=0</formula>
    </cfRule>
  </conditionalFormatting>
  <conditionalFormatting sqref="G96:H96 K96 N96">
    <cfRule type="expression" dxfId="2893" priority="285" stopIfTrue="1">
      <formula>ISERROR($G$155)</formula>
    </cfRule>
    <cfRule type="expression" dxfId="2892" priority="286" stopIfTrue="1">
      <formula>G96=0</formula>
    </cfRule>
    <cfRule type="expression" dxfId="2891" priority="287" stopIfTrue="1">
      <formula>G96&lt;&gt;0</formula>
    </cfRule>
  </conditionalFormatting>
  <conditionalFormatting sqref="M168:N168">
    <cfRule type="expression" dxfId="2890" priority="288" stopIfTrue="1">
      <formula>$M$168=""</formula>
    </cfRule>
  </conditionalFormatting>
  <conditionalFormatting sqref="G63:H63 K63 N63">
    <cfRule type="expression" dxfId="2889" priority="289" stopIfTrue="1">
      <formula>$C$61=0</formula>
    </cfRule>
    <cfRule type="cellIs" dxfId="2888" priority="290" stopIfTrue="1" operator="equal">
      <formula>0</formula>
    </cfRule>
  </conditionalFormatting>
  <conditionalFormatting sqref="F63 F65 F73 F76:F79 F86:F89 N78:N79 N88 L86:N87 K68 C68:C69 I67:J68">
    <cfRule type="expression" dxfId="2887" priority="291" stopIfTrue="1">
      <formula>$C$61=0</formula>
    </cfRule>
  </conditionalFormatting>
  <conditionalFormatting sqref="G65">
    <cfRule type="expression" dxfId="2886" priority="292" stopIfTrue="1">
      <formula>$C$61=0</formula>
    </cfRule>
    <cfRule type="cellIs" dxfId="2885" priority="293" stopIfTrue="1" operator="equal">
      <formula>0</formula>
    </cfRule>
  </conditionalFormatting>
  <conditionalFormatting sqref="N66:N67 N74:N77 L68:N68">
    <cfRule type="expression" dxfId="2884" priority="294" stopIfTrue="1">
      <formula>$C$61=0</formula>
    </cfRule>
  </conditionalFormatting>
  <conditionalFormatting sqref="G68:H68">
    <cfRule type="expression" dxfId="2883" priority="295" stopIfTrue="1">
      <formula>ISERROR(G68)</formula>
    </cfRule>
    <cfRule type="expression" dxfId="2882" priority="296" stopIfTrue="1">
      <formula>$C$61=0</formula>
    </cfRule>
  </conditionalFormatting>
  <conditionalFormatting sqref="N73">
    <cfRule type="expression" dxfId="2881" priority="297" stopIfTrue="1">
      <formula>$C$61=0</formula>
    </cfRule>
    <cfRule type="expression" dxfId="2880" priority="298" stopIfTrue="1">
      <formula>ISERROR(N73)</formula>
    </cfRule>
  </conditionalFormatting>
  <conditionalFormatting sqref="O73 O79 O88">
    <cfRule type="expression" dxfId="2879" priority="299" stopIfTrue="1">
      <formula>O73=$E$163</formula>
    </cfRule>
    <cfRule type="expression" dxfId="2878" priority="300" stopIfTrue="1">
      <formula>$C$61=0</formula>
    </cfRule>
    <cfRule type="expression" dxfId="2877" priority="301" stopIfTrue="1">
      <formula>ISERROR(O73)</formula>
    </cfRule>
  </conditionalFormatting>
  <conditionalFormatting sqref="C67">
    <cfRule type="expression" dxfId="2876" priority="302" stopIfTrue="1">
      <formula>$C$61=0</formula>
    </cfRule>
  </conditionalFormatting>
  <conditionalFormatting sqref="G73 I73">
    <cfRule type="expression" dxfId="2875" priority="303" stopIfTrue="1">
      <formula>ISERROR(G73)</formula>
    </cfRule>
    <cfRule type="expression" dxfId="2874" priority="304" stopIfTrue="1">
      <formula>G73=0</formula>
    </cfRule>
    <cfRule type="expression" dxfId="2873" priority="305" stopIfTrue="1">
      <formula>$C$61=0</formula>
    </cfRule>
  </conditionalFormatting>
  <conditionalFormatting sqref="G77:H78 K77:K78">
    <cfRule type="expression" dxfId="2872" priority="306" stopIfTrue="1">
      <formula>$C$61=0</formula>
    </cfRule>
    <cfRule type="expression" dxfId="2871" priority="307" stopIfTrue="1">
      <formula>ISERROR(G77)</formula>
    </cfRule>
    <cfRule type="cellIs" dxfId="2870" priority="308" stopIfTrue="1" operator="equal">
      <formula>0</formula>
    </cfRule>
  </conditionalFormatting>
  <conditionalFormatting sqref="G79:H79 K79">
    <cfRule type="expression" dxfId="2869" priority="309" stopIfTrue="1">
      <formula>ISERROR(G79)</formula>
    </cfRule>
    <cfRule type="expression" dxfId="2868" priority="310" stopIfTrue="1">
      <formula>$C$61=0</formula>
    </cfRule>
    <cfRule type="cellIs" dxfId="2867" priority="311" stopIfTrue="1" operator="equal">
      <formula>0</formula>
    </cfRule>
  </conditionalFormatting>
  <conditionalFormatting sqref="N69:N72">
    <cfRule type="expression" dxfId="2866" priority="312" stopIfTrue="1">
      <formula>$C$61=0</formula>
    </cfRule>
    <cfRule type="cellIs" dxfId="2865" priority="313" stopIfTrue="1" operator="equal">
      <formula>0</formula>
    </cfRule>
    <cfRule type="expression" dxfId="2864" priority="314" stopIfTrue="1">
      <formula>ISERROR(N69)</formula>
    </cfRule>
  </conditionalFormatting>
  <conditionalFormatting sqref="C70:C71">
    <cfRule type="expression" dxfId="2863" priority="315" stopIfTrue="1">
      <formula>$C$61=0</formula>
    </cfRule>
    <cfRule type="expression" dxfId="2862" priority="316" stopIfTrue="1">
      <formula>$G$73&lt;&gt;0</formula>
    </cfRule>
  </conditionalFormatting>
  <conditionalFormatting sqref="P60:P61">
    <cfRule type="expression" dxfId="2861" priority="317" stopIfTrue="1">
      <formula>$C$61=1</formula>
    </cfRule>
  </conditionalFormatting>
  <conditionalFormatting sqref="H66:M66">
    <cfRule type="expression" dxfId="2860" priority="318" stopIfTrue="1">
      <formula>$C$61=0</formula>
    </cfRule>
  </conditionalFormatting>
  <conditionalFormatting sqref="H65">
    <cfRule type="expression" dxfId="2859" priority="319" stopIfTrue="1">
      <formula>AND($C$61=0,$D$61&gt;0)</formula>
    </cfRule>
    <cfRule type="expression" dxfId="2858" priority="320" stopIfTrue="1">
      <formula>$C$61=0</formula>
    </cfRule>
  </conditionalFormatting>
  <conditionalFormatting sqref="G67">
    <cfRule type="expression" dxfId="2857" priority="321" stopIfTrue="1">
      <formula>$C$61=0</formula>
    </cfRule>
    <cfRule type="expression" dxfId="2856" priority="322" stopIfTrue="1">
      <formula>ISERROR(G67)</formula>
    </cfRule>
  </conditionalFormatting>
  <conditionalFormatting sqref="G88:H88 K88">
    <cfRule type="expression" dxfId="2855" priority="323" stopIfTrue="1">
      <formula>ISERROR(G88)</formula>
    </cfRule>
    <cfRule type="cellIs" dxfId="2854" priority="324" stopIfTrue="1" operator="equal">
      <formula>0</formula>
    </cfRule>
    <cfRule type="expression" dxfId="2853" priority="325" stopIfTrue="1">
      <formula>$C$61=0</formula>
    </cfRule>
  </conditionalFormatting>
  <conditionalFormatting sqref="C91:P91">
    <cfRule type="expression" dxfId="2852" priority="326" stopIfTrue="1">
      <formula>SUM($G$150:$J$150)=0</formula>
    </cfRule>
  </conditionalFormatting>
  <conditionalFormatting sqref="G85:H85 K85">
    <cfRule type="expression" dxfId="2851" priority="327" stopIfTrue="1">
      <formula>$C$61=0</formula>
    </cfRule>
    <cfRule type="expression" dxfId="2850" priority="328" stopIfTrue="1">
      <formula>G85=$M$135</formula>
    </cfRule>
  </conditionalFormatting>
  <conditionalFormatting sqref="I55:J56 L55:M56">
    <cfRule type="cellIs" dxfId="2849" priority="329" stopIfTrue="1" operator="equal">
      <formula>0</formula>
    </cfRule>
    <cfRule type="expression" dxfId="2848" priority="330" stopIfTrue="1">
      <formula>ISERROR(I55)</formula>
    </cfRule>
  </conditionalFormatting>
  <dataValidations count="7">
    <dataValidation type="whole" operator="lessThanOrEqual" allowBlank="1" showInputMessage="1" showErrorMessage="1" sqref="F52">
      <formula1>E162</formula1>
    </dataValidation>
    <dataValidation type="list" allowBlank="1" showInputMessage="1" showErrorMessage="1" sqref="I207">
      <formula1>$I$219:$I$229</formula1>
    </dataValidation>
    <dataValidation type="decimal" operator="greaterThan" allowBlank="1" showInputMessage="1" showErrorMessage="1" errorTitle="ATTENZIONE !!!" error="E' ammesso solo un valore POSITIVO" sqref="G53:G54">
      <formula1>0</formula1>
    </dataValidation>
    <dataValidation type="decimal" operator="lessThan" allowBlank="1" showInputMessage="1" showErrorMessage="1" errorTitle="ATTENZIONE !!!" error="E' ammesso solo un valore NEGATIVO" sqref="H53:H54">
      <formula1>0</formula1>
    </dataValidation>
    <dataValidation type="list" allowBlank="1" showInputMessage="1" showErrorMessage="1" sqref="M168:N168">
      <formula1>$E$218:$E$220</formula1>
    </dataValidation>
    <dataValidation type="list" allowBlank="1" showInputMessage="1" showErrorMessage="1" sqref="M166">
      <formula1>$E$223:$E$226</formula1>
    </dataValidation>
    <dataValidation type="list" allowBlank="1" showInputMessage="1" showErrorMessage="1" sqref="M3:P3">
      <formula1>$K$144:$K$149</formula1>
    </dataValidation>
  </dataValidations>
  <hyperlinks>
    <hyperlink ref="G231" location="Presentazione!I106" display="QUI"/>
    <hyperlink ref="L231" location="Presentazione!K83" display="QUI"/>
  </hyperlinks>
  <printOptions horizontalCentered="1"/>
  <pageMargins left="0.39370078740157483" right="0" top="0.39370078740157483" bottom="0" header="0" footer="0"/>
  <pageSetup paperSize="9" scale="72"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4">
    <pageSetUpPr autoPageBreaks="0"/>
  </sheetPr>
  <dimension ref="A1:BB231"/>
  <sheetViews>
    <sheetView showGridLines="0" showRowColHeaders="0" topLeftCell="A2" zoomScaleNormal="100" workbookViewId="0">
      <selection activeCell="G8" sqref="G8"/>
    </sheetView>
  </sheetViews>
  <sheetFormatPr defaultRowHeight="12.75" x14ac:dyDescent="0.2"/>
  <cols>
    <col min="1" max="2" width="2.85546875" style="4" customWidth="1"/>
    <col min="3" max="4" width="5" style="4" customWidth="1"/>
    <col min="5" max="5" width="15.7109375" style="4" customWidth="1"/>
    <col min="6" max="6" width="1.42578125" style="4" customWidth="1"/>
    <col min="7" max="8" width="15.7109375" style="4" customWidth="1"/>
    <col min="9" max="10" width="7.85546875" style="4" customWidth="1"/>
    <col min="11" max="11" width="15.7109375" style="4" customWidth="1"/>
    <col min="12" max="13" width="7.85546875" style="4" customWidth="1"/>
    <col min="14" max="14" width="15.7109375" style="4" customWidth="1"/>
    <col min="15" max="16" width="7.85546875" style="4" customWidth="1"/>
    <col min="17" max="17" width="2.140625" style="4" customWidth="1"/>
    <col min="18" max="31" width="11" style="4" hidden="1" customWidth="1"/>
    <col min="32" max="32" width="6.42578125" style="4" hidden="1" customWidth="1"/>
    <col min="33" max="37" width="11" style="4" hidden="1" customWidth="1"/>
    <col min="38" max="38" width="6.42578125" style="4" hidden="1" customWidth="1"/>
    <col min="39" max="43" width="11" style="4" hidden="1" customWidth="1"/>
    <col min="44" max="44" width="6.42578125" style="4" hidden="1" customWidth="1"/>
    <col min="45" max="49" width="11" style="4" hidden="1" customWidth="1"/>
    <col min="50" max="50" width="6.42578125" style="4" hidden="1" customWidth="1"/>
    <col min="51" max="51" width="11" style="4" hidden="1" customWidth="1"/>
    <col min="52" max="52" width="35.7109375" style="4" customWidth="1"/>
    <col min="53" max="16384" width="9.140625" style="4"/>
  </cols>
  <sheetData>
    <row r="1" spans="1:53" ht="15" hidden="1" customHeight="1" x14ac:dyDescent="0.2">
      <c r="A1" s="540"/>
      <c r="B1" s="2"/>
      <c r="C1" s="2"/>
      <c r="D1" s="2"/>
      <c r="E1" s="2"/>
      <c r="F1" s="2"/>
      <c r="G1" s="252" t="str">
        <f>CONCATENATE(IMPOSTAZIONI!F217,"-",IMPOSTAZIONI!F218,"-",IMPOSTAZIONI!F219)</f>
        <v>--</v>
      </c>
      <c r="H1" s="252" t="str">
        <f>CONCATENATE(IMPOSTAZIONI!K217,"-",IMPOSTAZIONI!K218,"-",IMPOSTAZIONI!K219)</f>
        <v>--</v>
      </c>
      <c r="I1" s="252"/>
      <c r="J1" s="252"/>
      <c r="K1" s="252" t="str">
        <f>CONCATENATE(IMPOSTAZIONI!P217,"-",IMPOSTAZIONI!P218,"-",IMPOSTAZIONI!P219)</f>
        <v>--</v>
      </c>
      <c r="L1" s="252"/>
      <c r="M1" s="252"/>
      <c r="N1" s="252" t="str">
        <f>CONCATENATE(IMPOSTAZIONI!U217,"-",IMPOSTAZIONI!U218,"-",IMPOSTAZIONI!U219)</f>
        <v>--</v>
      </c>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591"/>
    </row>
    <row r="2" spans="1:53" ht="18" customHeight="1" x14ac:dyDescent="0.2">
      <c r="A2" s="540"/>
      <c r="B2" s="2"/>
      <c r="C2" s="2057" t="str">
        <f>CONCATENATE(IMPOSTAZIONI!C73," - P.I. ",IMPOSTAZIONI!O73)</f>
        <v>Inserisci la tua Ragione Sociale - P.I. 01234567891</v>
      </c>
      <c r="D2" s="2057"/>
      <c r="E2" s="2057"/>
      <c r="F2" s="2057"/>
      <c r="G2" s="2057"/>
      <c r="H2" s="2057"/>
      <c r="I2" s="2057"/>
      <c r="J2" s="2058" t="str">
        <f>CONCATENATE(IMPOSTAZIONI!C75," - ",IMPOSTAZIONI!M75," - ",IMPOSTAZIONI!O75," - ",IMPOSTAZIONI!V75)</f>
        <v xml:space="preserve">Indirizzo per esteso -  -  - </v>
      </c>
      <c r="K2" s="2058"/>
      <c r="L2" s="2058"/>
      <c r="M2" s="2058"/>
      <c r="N2" s="2058"/>
      <c r="O2" s="2058"/>
      <c r="P2" s="2058"/>
      <c r="Q2" s="3"/>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row>
    <row r="3" spans="1:53" ht="24.75" customHeight="1" x14ac:dyDescent="0.2">
      <c r="A3" s="2"/>
      <c r="B3" s="5"/>
      <c r="C3" s="2222" t="s">
        <v>98</v>
      </c>
      <c r="D3" s="2222"/>
      <c r="E3" s="2223" t="s">
        <v>314</v>
      </c>
      <c r="F3" s="2223"/>
      <c r="G3" s="2223"/>
      <c r="H3" s="2073" t="str">
        <f>IF(I163=0,IMPOSTAZIONI!Y384,"")</f>
        <v>Devi convalidare il foglio IMPOSTAZIONI</v>
      </c>
      <c r="I3" s="2073"/>
      <c r="J3" s="2073"/>
      <c r="K3" s="2073"/>
      <c r="L3" s="2073"/>
      <c r="M3" s="2072" t="s">
        <v>543</v>
      </c>
      <c r="N3" s="2072"/>
      <c r="O3" s="2072"/>
      <c r="P3" s="2072"/>
      <c r="Q3" s="3"/>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row>
    <row r="4" spans="1:53" ht="18" customHeight="1" x14ac:dyDescent="0.2">
      <c r="A4" s="2"/>
      <c r="B4" s="2"/>
      <c r="C4" s="2147" t="s">
        <v>175</v>
      </c>
      <c r="D4" s="2148"/>
      <c r="E4" s="2170" t="str">
        <f>IMPOSTAZIONI!E24</f>
        <v>TOTALE</v>
      </c>
      <c r="F4" s="2171"/>
      <c r="G4" s="291" t="str">
        <f>IF($I$163=0,"",IMPOSTAZIONI!G217)</f>
        <v/>
      </c>
      <c r="H4" s="291" t="str">
        <f>IF($I$163=0,"",IMPOSTAZIONI!L217)</f>
        <v/>
      </c>
      <c r="I4" s="2164">
        <f>IMPOSTAZIONI!Q25</f>
        <v>0</v>
      </c>
      <c r="J4" s="2165"/>
      <c r="K4" s="291" t="str">
        <f>IF($I$163=0,"",IMPOSTAZIONI!Q217)</f>
        <v/>
      </c>
      <c r="L4" s="2164">
        <f>IMPOSTAZIONI!Y25</f>
        <v>0</v>
      </c>
      <c r="M4" s="2165"/>
      <c r="N4" s="291" t="str">
        <f>IF($I$163=0,"",IMPOSTAZIONI!V217)</f>
        <v/>
      </c>
      <c r="O4" s="2164">
        <f>IMPOSTAZIONI!AG25</f>
        <v>0</v>
      </c>
      <c r="P4" s="2165"/>
      <c r="Q4" s="83"/>
      <c r="R4" s="2"/>
      <c r="S4" s="2"/>
      <c r="T4" s="2"/>
      <c r="U4" s="2"/>
      <c r="V4" s="251" t="str">
        <f>CONCATENATE(L131,"  ")</f>
        <v xml:space="preserve">attiva trim.  </v>
      </c>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row>
    <row r="5" spans="1:53" ht="18" customHeight="1" x14ac:dyDescent="0.2">
      <c r="A5" s="2"/>
      <c r="B5" s="2"/>
      <c r="C5" s="2149"/>
      <c r="D5" s="2150"/>
      <c r="E5" s="2172"/>
      <c r="F5" s="2173"/>
      <c r="G5" s="292" t="str">
        <f>IF($I$163=0,"",IMPOSTAZIONI!G218)</f>
        <v/>
      </c>
      <c r="H5" s="292" t="str">
        <f>IF($I$163=0,"",IMPOSTAZIONI!L218)</f>
        <v/>
      </c>
      <c r="I5" s="2166"/>
      <c r="J5" s="2167"/>
      <c r="K5" s="292" t="str">
        <f>IF($I$163=0,"",IMPOSTAZIONI!Q218)</f>
        <v/>
      </c>
      <c r="L5" s="2166"/>
      <c r="M5" s="2167"/>
      <c r="N5" s="292" t="str">
        <f>IF($I$163=0,"",IMPOSTAZIONI!V218)</f>
        <v/>
      </c>
      <c r="O5" s="2166"/>
      <c r="P5" s="2167"/>
      <c r="Q5" s="83"/>
      <c r="R5" s="2"/>
      <c r="S5" s="2"/>
      <c r="T5" s="2"/>
      <c r="U5" s="2"/>
      <c r="V5" s="257"/>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row>
    <row r="6" spans="1:53" ht="18" customHeight="1" x14ac:dyDescent="0.2">
      <c r="A6" s="2"/>
      <c r="B6" s="2"/>
      <c r="C6" s="2151">
        <f>IMPOSTAZIONI!$AH$52</f>
        <v>2024</v>
      </c>
      <c r="D6" s="2152"/>
      <c r="E6" s="2153">
        <f>IMPOSTAZIONI!E25</f>
        <v>0</v>
      </c>
      <c r="F6" s="2154"/>
      <c r="G6" s="55" t="str">
        <f>IF($I$163=0,"",IMPOSTAZIONI!G219)</f>
        <v/>
      </c>
      <c r="H6" s="55" t="str">
        <f>IF($I$163=0,"",IMPOSTAZIONI!L219)</f>
        <v/>
      </c>
      <c r="I6" s="834" t="str">
        <f>IMPOSTAZIONI!Q26</f>
        <v>DAL</v>
      </c>
      <c r="J6" s="835" t="str">
        <f>IMPOSTAZIONI!S26</f>
        <v>AL</v>
      </c>
      <c r="K6" s="55" t="str">
        <f>IF($I$163=0,"",IMPOSTAZIONI!Q219)</f>
        <v/>
      </c>
      <c r="L6" s="834" t="str">
        <f>IMPOSTAZIONI!Y26</f>
        <v>DAL</v>
      </c>
      <c r="M6" s="835" t="str">
        <f>IMPOSTAZIONI!AA26</f>
        <v>AL</v>
      </c>
      <c r="N6" s="55" t="str">
        <f>IF($I$163=0,"",IMPOSTAZIONI!V219)</f>
        <v/>
      </c>
      <c r="O6" s="834" t="str">
        <f>IMPOSTAZIONI!AG26</f>
        <v>DAL</v>
      </c>
      <c r="P6" s="835" t="str">
        <f>IMPOSTAZIONI!AI26</f>
        <v>AL</v>
      </c>
      <c r="Q6" s="83"/>
      <c r="R6" s="2"/>
      <c r="S6" s="2"/>
      <c r="T6" s="2"/>
      <c r="U6" s="2"/>
      <c r="V6" s="2"/>
      <c r="W6" s="2"/>
      <c r="X6" s="2"/>
      <c r="Y6" s="501" t="str">
        <f>CASSA!W484</f>
        <v>F</v>
      </c>
      <c r="Z6" s="502" t="str">
        <f>CASSA!W485</f>
        <v>C</v>
      </c>
      <c r="AA6" s="2"/>
      <c r="AB6" s="2"/>
      <c r="AC6" s="2"/>
      <c r="AD6" s="2"/>
      <c r="AE6" s="2"/>
      <c r="AF6" s="2"/>
      <c r="AG6" s="148">
        <f>IF(SUM(G152:J152)&gt;0,1,0)</f>
        <v>0</v>
      </c>
      <c r="AH6" s="1096" t="str">
        <f>$C101</f>
        <v>Aliquota 22 %</v>
      </c>
      <c r="AI6" s="1096" t="str">
        <f>$C102</f>
        <v>Aliquota 10 %</v>
      </c>
      <c r="AJ6" s="1096" t="str">
        <f>$C103</f>
        <v>Aliquota 4 %</v>
      </c>
      <c r="AK6" s="1096" t="str">
        <f>$C104</f>
        <v/>
      </c>
      <c r="AL6" s="2"/>
      <c r="AM6" s="1097" t="s">
        <v>537</v>
      </c>
      <c r="AN6" s="2204" t="s">
        <v>782</v>
      </c>
      <c r="AO6" s="2204"/>
      <c r="AP6" s="2204"/>
      <c r="AQ6" s="2204"/>
      <c r="AR6" s="2"/>
      <c r="AS6" s="148"/>
      <c r="AT6" s="1096" t="str">
        <f>$C101</f>
        <v>Aliquota 22 %</v>
      </c>
      <c r="AU6" s="1096" t="str">
        <f>$C102</f>
        <v>Aliquota 10 %</v>
      </c>
      <c r="AV6" s="1096" t="str">
        <f>$C103</f>
        <v>Aliquota 4 %</v>
      </c>
      <c r="AW6" s="1096" t="str">
        <f>$C104</f>
        <v/>
      </c>
      <c r="AX6" s="2"/>
      <c r="AY6" s="1097" t="s">
        <v>537</v>
      </c>
      <c r="AZ6" s="1382" t="s">
        <v>14</v>
      </c>
      <c r="BA6" s="2"/>
    </row>
    <row r="7" spans="1:53" ht="20.25" customHeight="1" x14ac:dyDescent="0.2">
      <c r="A7" s="2"/>
      <c r="B7" s="2"/>
      <c r="C7" s="2242" t="s">
        <v>177</v>
      </c>
      <c r="D7" s="2243"/>
      <c r="E7" s="2175">
        <f>IMPOSTAZIONI!Y265</f>
        <v>0</v>
      </c>
      <c r="F7" s="2176"/>
      <c r="G7" s="1439">
        <f>IMPOSTAZIONI!$T276</f>
        <v>0</v>
      </c>
      <c r="H7" s="1439">
        <f>IMPOSTAZIONI!$T277</f>
        <v>0</v>
      </c>
      <c r="I7" s="832"/>
      <c r="J7" s="833"/>
      <c r="K7" s="1439">
        <f>IMPOSTAZIONI!$T278</f>
        <v>0</v>
      </c>
      <c r="L7" s="832"/>
      <c r="M7" s="833"/>
      <c r="N7" s="1439">
        <f>IMPOSTAZIONI!$T279</f>
        <v>0</v>
      </c>
      <c r="O7" s="832"/>
      <c r="P7" s="833"/>
      <c r="Q7" s="83"/>
      <c r="R7" s="552" t="s">
        <v>195</v>
      </c>
      <c r="S7" s="552"/>
      <c r="T7" s="552"/>
      <c r="U7" s="552"/>
      <c r="V7" s="507">
        <f>V8-1</f>
        <v>45535</v>
      </c>
      <c r="W7" s="2"/>
      <c r="X7" s="2"/>
      <c r="Y7" s="2"/>
      <c r="Z7" s="2"/>
      <c r="AA7" s="2"/>
      <c r="AB7" s="2021" t="s">
        <v>739</v>
      </c>
      <c r="AC7" s="2021"/>
      <c r="AD7" s="2021"/>
      <c r="AE7" s="2021"/>
      <c r="AF7" s="2"/>
      <c r="AG7" s="2021" t="s">
        <v>781</v>
      </c>
      <c r="AH7" s="2021"/>
      <c r="AI7" s="2021"/>
      <c r="AJ7" s="2021"/>
      <c r="AK7" s="2021"/>
      <c r="AL7" s="2"/>
      <c r="AM7" s="2"/>
      <c r="AN7" s="2"/>
      <c r="AO7" s="2"/>
      <c r="AP7" s="2"/>
      <c r="AQ7" s="2"/>
      <c r="AR7" s="2"/>
      <c r="AS7" s="2021" t="s">
        <v>784</v>
      </c>
      <c r="AT7" s="2021"/>
      <c r="AU7" s="2021"/>
      <c r="AV7" s="2021"/>
      <c r="AW7" s="2021"/>
      <c r="AX7" s="2"/>
      <c r="AY7" s="1097" t="s">
        <v>739</v>
      </c>
      <c r="AZ7" s="1383"/>
      <c r="BA7" s="2"/>
    </row>
    <row r="8" spans="1:53" ht="20.25" customHeight="1" x14ac:dyDescent="0.2">
      <c r="A8" s="2"/>
      <c r="B8" s="18">
        <v>1</v>
      </c>
      <c r="C8" s="234">
        <f>B8</f>
        <v>1</v>
      </c>
      <c r="D8" s="235">
        <v>9</v>
      </c>
      <c r="E8" s="2168" t="str">
        <f t="shared" ref="E8:E37" si="0">IF(AND(L$163=0,OR(V8&lt;B$162,V8&gt;B$163)),CONCATENATE(L$131,"  "),IF(AND((SUM(G8:H8)+K8+N8)&lt;&gt;0,AA8=Z$6),E$163,IF(AND((SUM(G8:H8)+K8+N8)=0,AA8=Z$6),E$162,IF(ISERROR($H$163),0,SUM(G8:H8)+K8+N8-SUMIF(G$42:N$42,K$134,G8:N8)))))</f>
        <v xml:space="preserve">attiva trim.  </v>
      </c>
      <c r="F8" s="2169"/>
      <c r="G8" s="304"/>
      <c r="H8" s="304"/>
      <c r="I8" s="830"/>
      <c r="J8" s="831"/>
      <c r="K8" s="304"/>
      <c r="L8" s="830"/>
      <c r="M8" s="831"/>
      <c r="N8" s="304"/>
      <c r="O8" s="830"/>
      <c r="P8" s="831"/>
      <c r="Q8" s="83"/>
      <c r="R8" s="1050">
        <f>IF(G$62=$L$134,0,IF(AND($L$163=0,$V8&gt;$B$163),0,IF(G$155="X",0,ROUND((G8*G$155)/(100+G$155),2))))</f>
        <v>0</v>
      </c>
      <c r="S8" s="1051">
        <f t="shared" ref="S8:S37" si="1">IF(H$62=$L$134,0,IF(AND($L$163=0,$V8&gt;$B$163),0,IF(H$155="X",0,ROUND((H8*H$155)/(100+H$155),2))))</f>
        <v>0</v>
      </c>
      <c r="T8" s="1051">
        <f>IF(K$62=$L$134,0,IF(AND($L$163=0,$V8&gt;$B$163),0,IF(I$155="X",0,ROUND((K8*I$155)/(100+I$155),2))))</f>
        <v>0</v>
      </c>
      <c r="U8" s="1052">
        <f>IF(N$62=$L$134,0,IF(AND($L$163=0,$V8&gt;$B$163),0,IF(J$155="X",0,ROUND((N8*J$155)/(100+J$155),2))))</f>
        <v>0</v>
      </c>
      <c r="V8" s="231">
        <f>DATE(C$6,D8,C8)</f>
        <v>45536</v>
      </c>
      <c r="W8" s="1050">
        <f t="shared" ref="W8:W37" si="2">IF(AND($L$163=0,$V8&gt;$B$163),0,G8-R8)</f>
        <v>0</v>
      </c>
      <c r="X8" s="1051">
        <f t="shared" ref="X8:X37" si="3">IF(AND($L$163=0,$V8&gt;$B$163),0,H8-S8)</f>
        <v>0</v>
      </c>
      <c r="Y8" s="1051">
        <f t="shared" ref="Y8:Y37" si="4">IF(AND($L$163=0,$V8&gt;$B$163),0,K8-T8)</f>
        <v>0</v>
      </c>
      <c r="Z8" s="1052">
        <f t="shared" ref="Z8:Z37" si="5">IF(AND($L$163=0,$V8&gt;$B$163),0,N8-U8)</f>
        <v>0</v>
      </c>
      <c r="AA8" s="822">
        <f>VLOOKUP(V8,CASSA!$B$114:$C$479,2,FALSE)</f>
        <v>0</v>
      </c>
      <c r="AB8" s="1050">
        <f>IF(AND(G$62=$L$134,$L$78&lt;&gt;0),$L$78/$G$65*G8,0)</f>
        <v>0</v>
      </c>
      <c r="AC8" s="1051">
        <f>IF(AND(H$62=$L$134,$L$78&lt;&gt;0),$L$78/$G$65*H8,0)</f>
        <v>0</v>
      </c>
      <c r="AD8" s="1051">
        <f>IF(AND(K$62=$L$134,$L$78&lt;&gt;0),$L$78/$G$65*K8,0)</f>
        <v>0</v>
      </c>
      <c r="AE8" s="1052">
        <f>IF(AND(N$62=$L$134,$L$78&lt;&gt;0),$L$78/$G$65*N8,0)</f>
        <v>0</v>
      </c>
      <c r="AF8" s="2"/>
      <c r="AG8" s="1087">
        <f>SUMIF($G$152:$J$152,1,W8:Z8)-SUM(AH8:AK8)</f>
        <v>0</v>
      </c>
      <c r="AH8" s="1088">
        <f>IF(AND($AG$6=1,$R$101&lt;&gt;0),$R$101/$R$96*SUMIF($G$152:$J$152,1,$W8:$Z8),0)</f>
        <v>0</v>
      </c>
      <c r="AI8" s="1051">
        <f>IF(AND($AG$6=1,$R$102&lt;&gt;0),$R$102/$R$96*SUMIF($G$152:$J$152,1,$W8:$Z8),0)</f>
        <v>0</v>
      </c>
      <c r="AJ8" s="1051">
        <f>IF(AND($AG$6=1,$R$103&lt;&gt;0),$R$103/$R$96*SUMIF($G$152:$J$152,1,$W8:$Z8),0)</f>
        <v>0</v>
      </c>
      <c r="AK8" s="1089">
        <f t="shared" ref="AK8:AK37" si="6">IF(AND($AG$6=1,$R$104&lt;&gt;0),$R$104/$R$96*SUMIF($G$152:$J$152,1,$W8:$Z8),0)</f>
        <v>0</v>
      </c>
      <c r="AL8" s="2"/>
      <c r="AM8" s="1087">
        <f t="shared" ref="AM8:AM37" si="7">SUMIF($G$42:$N$42,$K$134,$G8:$N8)</f>
        <v>0</v>
      </c>
      <c r="AN8" s="1104">
        <f>IF(G$42=$K$134,R8,0)</f>
        <v>0</v>
      </c>
      <c r="AO8" s="1051">
        <f>IF(H$42=$K$134,S8,0)</f>
        <v>0</v>
      </c>
      <c r="AP8" s="1051">
        <f>IF(K$42=$K$134,T8,0)</f>
        <v>0</v>
      </c>
      <c r="AQ8" s="1089">
        <f>IF(N$42=$K$134,U8,0)</f>
        <v>0</v>
      </c>
      <c r="AR8" s="2"/>
      <c r="AS8" s="1087">
        <f>IF(AG8&lt;&gt;0,AG8*$T$97/100,0)</f>
        <v>0</v>
      </c>
      <c r="AT8" s="1088">
        <f>IF(AH8&lt;&gt;0,AH8*$T$101/100,0)</f>
        <v>0</v>
      </c>
      <c r="AU8" s="1051">
        <f>IF(AI8&lt;&gt;0,AI8*$T$102/100,0)</f>
        <v>0</v>
      </c>
      <c r="AV8" s="1051">
        <f>IF(AJ8&lt;&gt;0,AJ8*$T$103/100,0)</f>
        <v>0</v>
      </c>
      <c r="AW8" s="1089">
        <f>IF(AK8&lt;&gt;0,AK8*$T$104/100,0)</f>
        <v>0</v>
      </c>
      <c r="AX8" s="2"/>
      <c r="AY8" s="1087">
        <f>IF(SUM(AB8:AE8)=0,0,SUM(AB8:AE8)*U$90/100)</f>
        <v>0</v>
      </c>
      <c r="AZ8" s="1384" t="s">
        <v>850</v>
      </c>
      <c r="BA8" s="2"/>
    </row>
    <row r="9" spans="1:53" ht="20.25" customHeight="1" x14ac:dyDescent="0.2">
      <c r="A9" s="2"/>
      <c r="B9" s="18">
        <v>2</v>
      </c>
      <c r="C9" s="234">
        <f>IF(D9="--","--",C8+1)</f>
        <v>2</v>
      </c>
      <c r="D9" s="235">
        <f t="shared" ref="D9:D38" si="8">IF(MONTH(V9)=D$8,D8,"--")</f>
        <v>9</v>
      </c>
      <c r="E9" s="2159" t="str">
        <f t="shared" si="0"/>
        <v xml:space="preserve">attiva trim.  </v>
      </c>
      <c r="F9" s="2160"/>
      <c r="G9" s="237"/>
      <c r="H9" s="237"/>
      <c r="I9" s="828"/>
      <c r="J9" s="829"/>
      <c r="K9" s="237"/>
      <c r="L9" s="828"/>
      <c r="M9" s="829"/>
      <c r="N9" s="237"/>
      <c r="O9" s="828"/>
      <c r="P9" s="829"/>
      <c r="Q9" s="83"/>
      <c r="R9" s="1053">
        <f t="shared" ref="R9:R37" si="9">IF(G$62=$L$134,0,IF(AND($L$163=0,$V9&gt;$B$163),0,IF(G$155="X",0,ROUND((G9*G$155)/(100+G$155),2))))</f>
        <v>0</v>
      </c>
      <c r="S9" s="1054">
        <f t="shared" si="1"/>
        <v>0</v>
      </c>
      <c r="T9" s="1054">
        <f t="shared" ref="T9:T37" si="10">IF(K$62=$L$134,0,IF(AND($L$163=0,$V9&gt;$B$163),0,IF(I$155="X",0,ROUND((K9*I$155)/(100+I$155),2))))</f>
        <v>0</v>
      </c>
      <c r="U9" s="1055">
        <f t="shared" ref="U9:U37" si="11">IF(N$62=$L$134,0,IF(AND($L$163=0,$V9&gt;$B$163),0,IF(J$155="X",0,ROUND((N9*J$155)/(100+J$155),2))))</f>
        <v>0</v>
      </c>
      <c r="V9" s="231">
        <f>V8+1</f>
        <v>45537</v>
      </c>
      <c r="W9" s="1053">
        <f t="shared" si="2"/>
        <v>0</v>
      </c>
      <c r="X9" s="1054">
        <f t="shared" si="3"/>
        <v>0</v>
      </c>
      <c r="Y9" s="1054">
        <f t="shared" si="4"/>
        <v>0</v>
      </c>
      <c r="Z9" s="1055">
        <f t="shared" si="5"/>
        <v>0</v>
      </c>
      <c r="AA9" s="822">
        <f>VLOOKUP(V9,CASSA!$B$114:$C$479,2,FALSE)</f>
        <v>0</v>
      </c>
      <c r="AB9" s="1053">
        <f t="shared" ref="AB9:AB37" si="12">IF(AND(G$62=$L$134,$L$78&lt;&gt;0),$L$78/$G$65*G9,0)</f>
        <v>0</v>
      </c>
      <c r="AC9" s="1054">
        <f t="shared" ref="AC9:AC37" si="13">IF(AND(H$62=$L$134,$L$78&lt;&gt;0),$L$78/$G$65*H9,0)</f>
        <v>0</v>
      </c>
      <c r="AD9" s="1054">
        <f t="shared" ref="AD9:AD37" si="14">IF(AND(K$62=$L$134,$L$78&lt;&gt;0),$L$78/$G$65*K9,0)</f>
        <v>0</v>
      </c>
      <c r="AE9" s="1055">
        <f t="shared" ref="AE9:AE37" si="15">IF(AND(N$62=$L$134,$L$78&lt;&gt;0),$L$78/$G$65*N9,0)</f>
        <v>0</v>
      </c>
      <c r="AF9" s="2"/>
      <c r="AG9" s="1090">
        <f t="shared" ref="AG9:AG37" si="16">SUMIF($G$152:$J$152,1,W9:Z9)-SUM(AH9:AK9)</f>
        <v>0</v>
      </c>
      <c r="AH9" s="1091">
        <f t="shared" ref="AH9:AH37" si="17">IF(AND($AG$6=1,$R$101&lt;&gt;0),$R$101/$R$96*SUMIF($G$152:$J$152,1,$W9:$Z9),0)</f>
        <v>0</v>
      </c>
      <c r="AI9" s="1054">
        <f t="shared" ref="AI9:AI37" si="18">IF(AND($AG$6=1,$R$102&lt;&gt;0),$R$102/$R$96*SUMIF($G$152:$J$152,1,$W9:$Z9),0)</f>
        <v>0</v>
      </c>
      <c r="AJ9" s="1054">
        <f t="shared" ref="AJ9:AJ37" si="19">IF(AND($AG$6=1,$R$103&lt;&gt;0),$R$103/$R$96*SUMIF($G$152:$J$152,1,$W9:$Z9),0)</f>
        <v>0</v>
      </c>
      <c r="AK9" s="1092">
        <f t="shared" si="6"/>
        <v>0</v>
      </c>
      <c r="AL9" s="2"/>
      <c r="AM9" s="1090">
        <f t="shared" si="7"/>
        <v>0</v>
      </c>
      <c r="AN9" s="1105">
        <f t="shared" ref="AN9:AN37" si="20">IF(G$42=$K$134,R9,0)</f>
        <v>0</v>
      </c>
      <c r="AO9" s="1054">
        <f t="shared" ref="AO9:AO37" si="21">IF(H$42=$K$134,S9,0)</f>
        <v>0</v>
      </c>
      <c r="AP9" s="1054">
        <f t="shared" ref="AP9:AP37" si="22">IF(K$42=$K$134,T9,0)</f>
        <v>0</v>
      </c>
      <c r="AQ9" s="1092">
        <f t="shared" ref="AQ9:AQ37" si="23">IF(N$42=$K$134,U9,0)</f>
        <v>0</v>
      </c>
      <c r="AR9" s="2"/>
      <c r="AS9" s="1090">
        <f t="shared" ref="AS9:AS37" si="24">IF(AG9&lt;&gt;0,AG9*$T$97/100,0)</f>
        <v>0</v>
      </c>
      <c r="AT9" s="1091">
        <f t="shared" ref="AT9:AT37" si="25">IF(AH9&lt;&gt;0,AH9*$T$101/100,0)</f>
        <v>0</v>
      </c>
      <c r="AU9" s="1054">
        <f t="shared" ref="AU9:AU37" si="26">IF(AI9&lt;&gt;0,AI9*$T$102/100,0)</f>
        <v>0</v>
      </c>
      <c r="AV9" s="1054">
        <f t="shared" ref="AV9:AV37" si="27">IF(AJ9&lt;&gt;0,AJ9*$T$103/100,0)</f>
        <v>0</v>
      </c>
      <c r="AW9" s="1092">
        <f t="shared" ref="AW9:AW37" si="28">IF(AK9&lt;&gt;0,AK9*$T$104/100,0)</f>
        <v>0</v>
      </c>
      <c r="AX9" s="2"/>
      <c r="AY9" s="1090">
        <f t="shared" ref="AY9:AY37" si="29">IF(SUM(AB9:AE9)=0,0,SUM(AB9:AE9)*U$90/100)</f>
        <v>0</v>
      </c>
      <c r="AZ9" s="1385" t="s">
        <v>851</v>
      </c>
      <c r="BA9" s="2"/>
    </row>
    <row r="10" spans="1:53" ht="20.25" customHeight="1" x14ac:dyDescent="0.2">
      <c r="A10" s="2"/>
      <c r="B10" s="18">
        <v>3</v>
      </c>
      <c r="C10" s="234">
        <f t="shared" ref="C10:C38" si="30">IF(D10="--","--",C9+1)</f>
        <v>3</v>
      </c>
      <c r="D10" s="235">
        <f t="shared" si="8"/>
        <v>9</v>
      </c>
      <c r="E10" s="2159" t="str">
        <f t="shared" si="0"/>
        <v xml:space="preserve">attiva trim.  </v>
      </c>
      <c r="F10" s="2160"/>
      <c r="G10" s="237"/>
      <c r="H10" s="237"/>
      <c r="I10" s="828"/>
      <c r="J10" s="829"/>
      <c r="K10" s="237"/>
      <c r="L10" s="828"/>
      <c r="M10" s="829"/>
      <c r="N10" s="237"/>
      <c r="O10" s="828"/>
      <c r="P10" s="829"/>
      <c r="Q10" s="83"/>
      <c r="R10" s="1053">
        <f t="shared" si="9"/>
        <v>0</v>
      </c>
      <c r="S10" s="1054">
        <f t="shared" si="1"/>
        <v>0</v>
      </c>
      <c r="T10" s="1054">
        <f t="shared" si="10"/>
        <v>0</v>
      </c>
      <c r="U10" s="1055">
        <f t="shared" si="11"/>
        <v>0</v>
      </c>
      <c r="V10" s="231">
        <f t="shared" ref="V10:V37" si="31">V9+1</f>
        <v>45538</v>
      </c>
      <c r="W10" s="1053">
        <f t="shared" si="2"/>
        <v>0</v>
      </c>
      <c r="X10" s="1054">
        <f t="shared" si="3"/>
        <v>0</v>
      </c>
      <c r="Y10" s="1054">
        <f t="shared" si="4"/>
        <v>0</v>
      </c>
      <c r="Z10" s="1055">
        <f t="shared" si="5"/>
        <v>0</v>
      </c>
      <c r="AA10" s="822">
        <f>VLOOKUP(V10,CASSA!$B$114:$C$479,2,FALSE)</f>
        <v>0</v>
      </c>
      <c r="AB10" s="1053">
        <f t="shared" si="12"/>
        <v>0</v>
      </c>
      <c r="AC10" s="1054">
        <f t="shared" si="13"/>
        <v>0</v>
      </c>
      <c r="AD10" s="1054">
        <f t="shared" si="14"/>
        <v>0</v>
      </c>
      <c r="AE10" s="1055">
        <f t="shared" si="15"/>
        <v>0</v>
      </c>
      <c r="AF10" s="2"/>
      <c r="AG10" s="1090">
        <f t="shared" si="16"/>
        <v>0</v>
      </c>
      <c r="AH10" s="1091">
        <f t="shared" si="17"/>
        <v>0</v>
      </c>
      <c r="AI10" s="1054">
        <f t="shared" si="18"/>
        <v>0</v>
      </c>
      <c r="AJ10" s="1054">
        <f t="shared" si="19"/>
        <v>0</v>
      </c>
      <c r="AK10" s="1092">
        <f t="shared" si="6"/>
        <v>0</v>
      </c>
      <c r="AL10" s="2"/>
      <c r="AM10" s="1090">
        <f t="shared" si="7"/>
        <v>0</v>
      </c>
      <c r="AN10" s="1105">
        <f t="shared" si="20"/>
        <v>0</v>
      </c>
      <c r="AO10" s="1054">
        <f t="shared" si="21"/>
        <v>0</v>
      </c>
      <c r="AP10" s="1054">
        <f t="shared" si="22"/>
        <v>0</v>
      </c>
      <c r="AQ10" s="1092">
        <f t="shared" si="23"/>
        <v>0</v>
      </c>
      <c r="AR10" s="2"/>
      <c r="AS10" s="1090">
        <f t="shared" si="24"/>
        <v>0</v>
      </c>
      <c r="AT10" s="1091">
        <f t="shared" si="25"/>
        <v>0</v>
      </c>
      <c r="AU10" s="1054">
        <f t="shared" si="26"/>
        <v>0</v>
      </c>
      <c r="AV10" s="1054">
        <f t="shared" si="27"/>
        <v>0</v>
      </c>
      <c r="AW10" s="1092">
        <f t="shared" si="28"/>
        <v>0</v>
      </c>
      <c r="AX10" s="2"/>
      <c r="AY10" s="1090">
        <f t="shared" si="29"/>
        <v>0</v>
      </c>
      <c r="AZ10" s="1385" t="s">
        <v>852</v>
      </c>
      <c r="BA10" s="2"/>
    </row>
    <row r="11" spans="1:53" ht="20.25" customHeight="1" x14ac:dyDescent="0.2">
      <c r="A11" s="2"/>
      <c r="B11" s="18">
        <v>4</v>
      </c>
      <c r="C11" s="234">
        <f t="shared" si="30"/>
        <v>4</v>
      </c>
      <c r="D11" s="235">
        <f t="shared" si="8"/>
        <v>9</v>
      </c>
      <c r="E11" s="2159" t="str">
        <f t="shared" si="0"/>
        <v xml:space="preserve">attiva trim.  </v>
      </c>
      <c r="F11" s="2160"/>
      <c r="G11" s="237"/>
      <c r="H11" s="237"/>
      <c r="I11" s="828"/>
      <c r="J11" s="829"/>
      <c r="K11" s="237"/>
      <c r="L11" s="828"/>
      <c r="M11" s="829"/>
      <c r="N11" s="237"/>
      <c r="O11" s="828"/>
      <c r="P11" s="829"/>
      <c r="Q11" s="6"/>
      <c r="R11" s="1053">
        <f t="shared" si="9"/>
        <v>0</v>
      </c>
      <c r="S11" s="1054">
        <f t="shared" si="1"/>
        <v>0</v>
      </c>
      <c r="T11" s="1054">
        <f t="shared" si="10"/>
        <v>0</v>
      </c>
      <c r="U11" s="1055">
        <f t="shared" si="11"/>
        <v>0</v>
      </c>
      <c r="V11" s="231">
        <f t="shared" si="31"/>
        <v>45539</v>
      </c>
      <c r="W11" s="1053">
        <f t="shared" si="2"/>
        <v>0</v>
      </c>
      <c r="X11" s="1054">
        <f t="shared" si="3"/>
        <v>0</v>
      </c>
      <c r="Y11" s="1054">
        <f t="shared" si="4"/>
        <v>0</v>
      </c>
      <c r="Z11" s="1055">
        <f t="shared" si="5"/>
        <v>0</v>
      </c>
      <c r="AA11" s="822">
        <f>VLOOKUP(V11,CASSA!$B$114:$C$479,2,FALSE)</f>
        <v>0</v>
      </c>
      <c r="AB11" s="1053">
        <f t="shared" si="12"/>
        <v>0</v>
      </c>
      <c r="AC11" s="1054">
        <f t="shared" si="13"/>
        <v>0</v>
      </c>
      <c r="AD11" s="1054">
        <f t="shared" si="14"/>
        <v>0</v>
      </c>
      <c r="AE11" s="1055">
        <f t="shared" si="15"/>
        <v>0</v>
      </c>
      <c r="AF11" s="2"/>
      <c r="AG11" s="1090">
        <f t="shared" si="16"/>
        <v>0</v>
      </c>
      <c r="AH11" s="1091">
        <f t="shared" si="17"/>
        <v>0</v>
      </c>
      <c r="AI11" s="1054">
        <f t="shared" si="18"/>
        <v>0</v>
      </c>
      <c r="AJ11" s="1054">
        <f t="shared" si="19"/>
        <v>0</v>
      </c>
      <c r="AK11" s="1092">
        <f t="shared" si="6"/>
        <v>0</v>
      </c>
      <c r="AL11" s="2"/>
      <c r="AM11" s="1090">
        <f t="shared" si="7"/>
        <v>0</v>
      </c>
      <c r="AN11" s="1105">
        <f t="shared" si="20"/>
        <v>0</v>
      </c>
      <c r="AO11" s="1054">
        <f t="shared" si="21"/>
        <v>0</v>
      </c>
      <c r="AP11" s="1054">
        <f t="shared" si="22"/>
        <v>0</v>
      </c>
      <c r="AQ11" s="1092">
        <f t="shared" si="23"/>
        <v>0</v>
      </c>
      <c r="AR11" s="2"/>
      <c r="AS11" s="1090">
        <f t="shared" si="24"/>
        <v>0</v>
      </c>
      <c r="AT11" s="1091">
        <f t="shared" si="25"/>
        <v>0</v>
      </c>
      <c r="AU11" s="1054">
        <f t="shared" si="26"/>
        <v>0</v>
      </c>
      <c r="AV11" s="1054">
        <f t="shared" si="27"/>
        <v>0</v>
      </c>
      <c r="AW11" s="1092">
        <f t="shared" si="28"/>
        <v>0</v>
      </c>
      <c r="AX11" s="2"/>
      <c r="AY11" s="1090">
        <f t="shared" si="29"/>
        <v>0</v>
      </c>
      <c r="AZ11" s="1385" t="s">
        <v>853</v>
      </c>
      <c r="BA11" s="2"/>
    </row>
    <row r="12" spans="1:53" ht="20.25" customHeight="1" x14ac:dyDescent="0.2">
      <c r="A12" s="2"/>
      <c r="B12" s="18">
        <v>5</v>
      </c>
      <c r="C12" s="234">
        <f t="shared" si="30"/>
        <v>5</v>
      </c>
      <c r="D12" s="235">
        <f t="shared" si="8"/>
        <v>9</v>
      </c>
      <c r="E12" s="2159" t="str">
        <f t="shared" si="0"/>
        <v xml:space="preserve">attiva trim.  </v>
      </c>
      <c r="F12" s="2160"/>
      <c r="G12" s="237"/>
      <c r="H12" s="237"/>
      <c r="I12" s="828"/>
      <c r="J12" s="829"/>
      <c r="K12" s="237"/>
      <c r="L12" s="828"/>
      <c r="M12" s="829"/>
      <c r="N12" s="237"/>
      <c r="O12" s="828"/>
      <c r="P12" s="829"/>
      <c r="Q12" s="6"/>
      <c r="R12" s="1053">
        <f t="shared" si="9"/>
        <v>0</v>
      </c>
      <c r="S12" s="1054">
        <f t="shared" si="1"/>
        <v>0</v>
      </c>
      <c r="T12" s="1054">
        <f t="shared" si="10"/>
        <v>0</v>
      </c>
      <c r="U12" s="1055">
        <f t="shared" si="11"/>
        <v>0</v>
      </c>
      <c r="V12" s="231">
        <f t="shared" si="31"/>
        <v>45540</v>
      </c>
      <c r="W12" s="1053">
        <f t="shared" si="2"/>
        <v>0</v>
      </c>
      <c r="X12" s="1054">
        <f t="shared" si="3"/>
        <v>0</v>
      </c>
      <c r="Y12" s="1054">
        <f t="shared" si="4"/>
        <v>0</v>
      </c>
      <c r="Z12" s="1055">
        <f t="shared" si="5"/>
        <v>0</v>
      </c>
      <c r="AA12" s="822">
        <f>VLOOKUP(V12,CASSA!$B$114:$C$479,2,FALSE)</f>
        <v>0</v>
      </c>
      <c r="AB12" s="1053">
        <f t="shared" si="12"/>
        <v>0</v>
      </c>
      <c r="AC12" s="1054">
        <f t="shared" si="13"/>
        <v>0</v>
      </c>
      <c r="AD12" s="1054">
        <f t="shared" si="14"/>
        <v>0</v>
      </c>
      <c r="AE12" s="1055">
        <f t="shared" si="15"/>
        <v>0</v>
      </c>
      <c r="AF12" s="2"/>
      <c r="AG12" s="1090">
        <f t="shared" si="16"/>
        <v>0</v>
      </c>
      <c r="AH12" s="1091">
        <f t="shared" si="17"/>
        <v>0</v>
      </c>
      <c r="AI12" s="1054">
        <f t="shared" si="18"/>
        <v>0</v>
      </c>
      <c r="AJ12" s="1054">
        <f t="shared" si="19"/>
        <v>0</v>
      </c>
      <c r="AK12" s="1092">
        <f t="shared" si="6"/>
        <v>0</v>
      </c>
      <c r="AL12" s="2"/>
      <c r="AM12" s="1090">
        <f t="shared" si="7"/>
        <v>0</v>
      </c>
      <c r="AN12" s="1105">
        <f t="shared" si="20"/>
        <v>0</v>
      </c>
      <c r="AO12" s="1054">
        <f t="shared" si="21"/>
        <v>0</v>
      </c>
      <c r="AP12" s="1054">
        <f t="shared" si="22"/>
        <v>0</v>
      </c>
      <c r="AQ12" s="1092">
        <f t="shared" si="23"/>
        <v>0</v>
      </c>
      <c r="AR12" s="2"/>
      <c r="AS12" s="1090">
        <f t="shared" si="24"/>
        <v>0</v>
      </c>
      <c r="AT12" s="1091">
        <f t="shared" si="25"/>
        <v>0</v>
      </c>
      <c r="AU12" s="1054">
        <f t="shared" si="26"/>
        <v>0</v>
      </c>
      <c r="AV12" s="1054">
        <f t="shared" si="27"/>
        <v>0</v>
      </c>
      <c r="AW12" s="1092">
        <f t="shared" si="28"/>
        <v>0</v>
      </c>
      <c r="AX12" s="2"/>
      <c r="AY12" s="1090">
        <f t="shared" si="29"/>
        <v>0</v>
      </c>
      <c r="AZ12" s="1385"/>
      <c r="BA12" s="2"/>
    </row>
    <row r="13" spans="1:53" ht="20.25" customHeight="1" x14ac:dyDescent="0.2">
      <c r="A13" s="2"/>
      <c r="B13" s="18">
        <v>6</v>
      </c>
      <c r="C13" s="234">
        <f t="shared" si="30"/>
        <v>6</v>
      </c>
      <c r="D13" s="235">
        <f t="shared" si="8"/>
        <v>9</v>
      </c>
      <c r="E13" s="2159" t="str">
        <f t="shared" si="0"/>
        <v xml:space="preserve">attiva trim.  </v>
      </c>
      <c r="F13" s="2160"/>
      <c r="G13" s="237"/>
      <c r="H13" s="237"/>
      <c r="I13" s="828"/>
      <c r="J13" s="829"/>
      <c r="K13" s="237"/>
      <c r="L13" s="828"/>
      <c r="M13" s="829"/>
      <c r="N13" s="237"/>
      <c r="O13" s="828"/>
      <c r="P13" s="829"/>
      <c r="Q13" s="6"/>
      <c r="R13" s="1053">
        <f t="shared" si="9"/>
        <v>0</v>
      </c>
      <c r="S13" s="1054">
        <f t="shared" si="1"/>
        <v>0</v>
      </c>
      <c r="T13" s="1054">
        <f t="shared" si="10"/>
        <v>0</v>
      </c>
      <c r="U13" s="1055">
        <f t="shared" si="11"/>
        <v>0</v>
      </c>
      <c r="V13" s="231">
        <f t="shared" si="31"/>
        <v>45541</v>
      </c>
      <c r="W13" s="1053">
        <f t="shared" si="2"/>
        <v>0</v>
      </c>
      <c r="X13" s="1054">
        <f t="shared" si="3"/>
        <v>0</v>
      </c>
      <c r="Y13" s="1054">
        <f t="shared" si="4"/>
        <v>0</v>
      </c>
      <c r="Z13" s="1055">
        <f t="shared" si="5"/>
        <v>0</v>
      </c>
      <c r="AA13" s="822">
        <f>VLOOKUP(V13,CASSA!$B$114:$C$479,2,FALSE)</f>
        <v>0</v>
      </c>
      <c r="AB13" s="1053">
        <f t="shared" si="12"/>
        <v>0</v>
      </c>
      <c r="AC13" s="1054">
        <f t="shared" si="13"/>
        <v>0</v>
      </c>
      <c r="AD13" s="1054">
        <f t="shared" si="14"/>
        <v>0</v>
      </c>
      <c r="AE13" s="1055">
        <f t="shared" si="15"/>
        <v>0</v>
      </c>
      <c r="AF13" s="2"/>
      <c r="AG13" s="1090">
        <f t="shared" si="16"/>
        <v>0</v>
      </c>
      <c r="AH13" s="1091">
        <f t="shared" si="17"/>
        <v>0</v>
      </c>
      <c r="AI13" s="1054">
        <f t="shared" si="18"/>
        <v>0</v>
      </c>
      <c r="AJ13" s="1054">
        <f t="shared" si="19"/>
        <v>0</v>
      </c>
      <c r="AK13" s="1092">
        <f t="shared" si="6"/>
        <v>0</v>
      </c>
      <c r="AL13" s="2"/>
      <c r="AM13" s="1090">
        <f t="shared" si="7"/>
        <v>0</v>
      </c>
      <c r="AN13" s="1105">
        <f t="shared" si="20"/>
        <v>0</v>
      </c>
      <c r="AO13" s="1054">
        <f t="shared" si="21"/>
        <v>0</v>
      </c>
      <c r="AP13" s="1054">
        <f t="shared" si="22"/>
        <v>0</v>
      </c>
      <c r="AQ13" s="1092">
        <f t="shared" si="23"/>
        <v>0</v>
      </c>
      <c r="AR13" s="2"/>
      <c r="AS13" s="1090">
        <f t="shared" si="24"/>
        <v>0</v>
      </c>
      <c r="AT13" s="1091">
        <f t="shared" si="25"/>
        <v>0</v>
      </c>
      <c r="AU13" s="1054">
        <f t="shared" si="26"/>
        <v>0</v>
      </c>
      <c r="AV13" s="1054">
        <f t="shared" si="27"/>
        <v>0</v>
      </c>
      <c r="AW13" s="1092">
        <f t="shared" si="28"/>
        <v>0</v>
      </c>
      <c r="AX13" s="2"/>
      <c r="AY13" s="1090">
        <f t="shared" si="29"/>
        <v>0</v>
      </c>
      <c r="AZ13" s="1385"/>
      <c r="BA13" s="2"/>
    </row>
    <row r="14" spans="1:53" ht="20.25" customHeight="1" x14ac:dyDescent="0.2">
      <c r="A14" s="2"/>
      <c r="B14" s="18">
        <v>7</v>
      </c>
      <c r="C14" s="234">
        <f t="shared" si="30"/>
        <v>7</v>
      </c>
      <c r="D14" s="235">
        <f t="shared" si="8"/>
        <v>9</v>
      </c>
      <c r="E14" s="2159" t="str">
        <f t="shared" si="0"/>
        <v xml:space="preserve">attiva trim.  </v>
      </c>
      <c r="F14" s="2160"/>
      <c r="G14" s="237"/>
      <c r="H14" s="237"/>
      <c r="I14" s="828"/>
      <c r="J14" s="829"/>
      <c r="K14" s="237"/>
      <c r="L14" s="828"/>
      <c r="M14" s="829"/>
      <c r="N14" s="237"/>
      <c r="O14" s="828"/>
      <c r="P14" s="829"/>
      <c r="Q14" s="6"/>
      <c r="R14" s="1053">
        <f t="shared" si="9"/>
        <v>0</v>
      </c>
      <c r="S14" s="1054">
        <f t="shared" si="1"/>
        <v>0</v>
      </c>
      <c r="T14" s="1054">
        <f t="shared" si="10"/>
        <v>0</v>
      </c>
      <c r="U14" s="1055">
        <f t="shared" si="11"/>
        <v>0</v>
      </c>
      <c r="V14" s="231">
        <f t="shared" si="31"/>
        <v>45542</v>
      </c>
      <c r="W14" s="1053">
        <f t="shared" si="2"/>
        <v>0</v>
      </c>
      <c r="X14" s="1054">
        <f t="shared" si="3"/>
        <v>0</v>
      </c>
      <c r="Y14" s="1054">
        <f t="shared" si="4"/>
        <v>0</v>
      </c>
      <c r="Z14" s="1055">
        <f t="shared" si="5"/>
        <v>0</v>
      </c>
      <c r="AA14" s="822">
        <f>VLOOKUP(V14,CASSA!$B$114:$C$479,2,FALSE)</f>
        <v>0</v>
      </c>
      <c r="AB14" s="1053">
        <f t="shared" si="12"/>
        <v>0</v>
      </c>
      <c r="AC14" s="1054">
        <f t="shared" si="13"/>
        <v>0</v>
      </c>
      <c r="AD14" s="1054">
        <f t="shared" si="14"/>
        <v>0</v>
      </c>
      <c r="AE14" s="1055">
        <f t="shared" si="15"/>
        <v>0</v>
      </c>
      <c r="AF14" s="2"/>
      <c r="AG14" s="1090">
        <f t="shared" si="16"/>
        <v>0</v>
      </c>
      <c r="AH14" s="1091">
        <f t="shared" si="17"/>
        <v>0</v>
      </c>
      <c r="AI14" s="1054">
        <f t="shared" si="18"/>
        <v>0</v>
      </c>
      <c r="AJ14" s="1054">
        <f t="shared" si="19"/>
        <v>0</v>
      </c>
      <c r="AK14" s="1092">
        <f t="shared" si="6"/>
        <v>0</v>
      </c>
      <c r="AL14" s="2"/>
      <c r="AM14" s="1090">
        <f t="shared" si="7"/>
        <v>0</v>
      </c>
      <c r="AN14" s="1105">
        <f t="shared" si="20"/>
        <v>0</v>
      </c>
      <c r="AO14" s="1054">
        <f t="shared" si="21"/>
        <v>0</v>
      </c>
      <c r="AP14" s="1054">
        <f t="shared" si="22"/>
        <v>0</v>
      </c>
      <c r="AQ14" s="1092">
        <f t="shared" si="23"/>
        <v>0</v>
      </c>
      <c r="AR14" s="2"/>
      <c r="AS14" s="1090">
        <f t="shared" si="24"/>
        <v>0</v>
      </c>
      <c r="AT14" s="1091">
        <f t="shared" si="25"/>
        <v>0</v>
      </c>
      <c r="AU14" s="1054">
        <f t="shared" si="26"/>
        <v>0</v>
      </c>
      <c r="AV14" s="1054">
        <f t="shared" si="27"/>
        <v>0</v>
      </c>
      <c r="AW14" s="1092">
        <f t="shared" si="28"/>
        <v>0</v>
      </c>
      <c r="AX14" s="2"/>
      <c r="AY14" s="1090">
        <f t="shared" si="29"/>
        <v>0</v>
      </c>
      <c r="AZ14" s="1385"/>
      <c r="BA14" s="2"/>
    </row>
    <row r="15" spans="1:53" ht="20.25" customHeight="1" x14ac:dyDescent="0.2">
      <c r="A15" s="2"/>
      <c r="B15" s="18">
        <v>8</v>
      </c>
      <c r="C15" s="234">
        <f t="shared" si="30"/>
        <v>8</v>
      </c>
      <c r="D15" s="235">
        <f t="shared" si="8"/>
        <v>9</v>
      </c>
      <c r="E15" s="2159" t="str">
        <f t="shared" si="0"/>
        <v xml:space="preserve">attiva trim.  </v>
      </c>
      <c r="F15" s="2160"/>
      <c r="G15" s="237"/>
      <c r="H15" s="237"/>
      <c r="I15" s="828"/>
      <c r="J15" s="829"/>
      <c r="K15" s="237"/>
      <c r="L15" s="828"/>
      <c r="M15" s="829"/>
      <c r="N15" s="237"/>
      <c r="O15" s="828"/>
      <c r="P15" s="829"/>
      <c r="Q15" s="6"/>
      <c r="R15" s="1053">
        <f t="shared" si="9"/>
        <v>0</v>
      </c>
      <c r="S15" s="1054">
        <f t="shared" si="1"/>
        <v>0</v>
      </c>
      <c r="T15" s="1054">
        <f t="shared" si="10"/>
        <v>0</v>
      </c>
      <c r="U15" s="1055">
        <f t="shared" si="11"/>
        <v>0</v>
      </c>
      <c r="V15" s="231">
        <f t="shared" si="31"/>
        <v>45543</v>
      </c>
      <c r="W15" s="1053">
        <f t="shared" si="2"/>
        <v>0</v>
      </c>
      <c r="X15" s="1054">
        <f t="shared" si="3"/>
        <v>0</v>
      </c>
      <c r="Y15" s="1054">
        <f t="shared" si="4"/>
        <v>0</v>
      </c>
      <c r="Z15" s="1055">
        <f t="shared" si="5"/>
        <v>0</v>
      </c>
      <c r="AA15" s="822">
        <f>VLOOKUP(V15,CASSA!$B$114:$C$479,2,FALSE)</f>
        <v>0</v>
      </c>
      <c r="AB15" s="1053">
        <f t="shared" si="12"/>
        <v>0</v>
      </c>
      <c r="AC15" s="1054">
        <f t="shared" si="13"/>
        <v>0</v>
      </c>
      <c r="AD15" s="1054">
        <f t="shared" si="14"/>
        <v>0</v>
      </c>
      <c r="AE15" s="1055">
        <f t="shared" si="15"/>
        <v>0</v>
      </c>
      <c r="AF15" s="2"/>
      <c r="AG15" s="1090">
        <f t="shared" si="16"/>
        <v>0</v>
      </c>
      <c r="AH15" s="1091">
        <f t="shared" si="17"/>
        <v>0</v>
      </c>
      <c r="AI15" s="1054">
        <f t="shared" si="18"/>
        <v>0</v>
      </c>
      <c r="AJ15" s="1054">
        <f t="shared" si="19"/>
        <v>0</v>
      </c>
      <c r="AK15" s="1092">
        <f t="shared" si="6"/>
        <v>0</v>
      </c>
      <c r="AL15" s="2"/>
      <c r="AM15" s="1090">
        <f t="shared" si="7"/>
        <v>0</v>
      </c>
      <c r="AN15" s="1105">
        <f t="shared" si="20"/>
        <v>0</v>
      </c>
      <c r="AO15" s="1054">
        <f t="shared" si="21"/>
        <v>0</v>
      </c>
      <c r="AP15" s="1054">
        <f t="shared" si="22"/>
        <v>0</v>
      </c>
      <c r="AQ15" s="1092">
        <f t="shared" si="23"/>
        <v>0</v>
      </c>
      <c r="AR15" s="2"/>
      <c r="AS15" s="1090">
        <f t="shared" si="24"/>
        <v>0</v>
      </c>
      <c r="AT15" s="1091">
        <f t="shared" si="25"/>
        <v>0</v>
      </c>
      <c r="AU15" s="1054">
        <f t="shared" si="26"/>
        <v>0</v>
      </c>
      <c r="AV15" s="1054">
        <f t="shared" si="27"/>
        <v>0</v>
      </c>
      <c r="AW15" s="1092">
        <f t="shared" si="28"/>
        <v>0</v>
      </c>
      <c r="AX15" s="2"/>
      <c r="AY15" s="1090">
        <f t="shared" si="29"/>
        <v>0</v>
      </c>
      <c r="AZ15" s="1385"/>
      <c r="BA15" s="2"/>
    </row>
    <row r="16" spans="1:53" ht="20.25" customHeight="1" x14ac:dyDescent="0.2">
      <c r="A16" s="2"/>
      <c r="B16" s="18">
        <v>9</v>
      </c>
      <c r="C16" s="234">
        <f t="shared" si="30"/>
        <v>9</v>
      </c>
      <c r="D16" s="235">
        <f t="shared" si="8"/>
        <v>9</v>
      </c>
      <c r="E16" s="2159" t="str">
        <f t="shared" si="0"/>
        <v xml:space="preserve">attiva trim.  </v>
      </c>
      <c r="F16" s="2160"/>
      <c r="G16" s="237"/>
      <c r="H16" s="237"/>
      <c r="I16" s="828"/>
      <c r="J16" s="829"/>
      <c r="K16" s="237"/>
      <c r="L16" s="828"/>
      <c r="M16" s="829"/>
      <c r="N16" s="237"/>
      <c r="O16" s="828"/>
      <c r="P16" s="829"/>
      <c r="Q16" s="6"/>
      <c r="R16" s="1053">
        <f t="shared" si="9"/>
        <v>0</v>
      </c>
      <c r="S16" s="1054">
        <f t="shared" si="1"/>
        <v>0</v>
      </c>
      <c r="T16" s="1054">
        <f t="shared" si="10"/>
        <v>0</v>
      </c>
      <c r="U16" s="1055">
        <f t="shared" si="11"/>
        <v>0</v>
      </c>
      <c r="V16" s="231">
        <f t="shared" si="31"/>
        <v>45544</v>
      </c>
      <c r="W16" s="1053">
        <f t="shared" si="2"/>
        <v>0</v>
      </c>
      <c r="X16" s="1054">
        <f t="shared" si="3"/>
        <v>0</v>
      </c>
      <c r="Y16" s="1054">
        <f t="shared" si="4"/>
        <v>0</v>
      </c>
      <c r="Z16" s="1055">
        <f t="shared" si="5"/>
        <v>0</v>
      </c>
      <c r="AA16" s="822">
        <f>VLOOKUP(V16,CASSA!$B$114:$C$479,2,FALSE)</f>
        <v>0</v>
      </c>
      <c r="AB16" s="1053">
        <f t="shared" si="12"/>
        <v>0</v>
      </c>
      <c r="AC16" s="1054">
        <f t="shared" si="13"/>
        <v>0</v>
      </c>
      <c r="AD16" s="1054">
        <f t="shared" si="14"/>
        <v>0</v>
      </c>
      <c r="AE16" s="1055">
        <f t="shared" si="15"/>
        <v>0</v>
      </c>
      <c r="AF16" s="2"/>
      <c r="AG16" s="1090">
        <f t="shared" si="16"/>
        <v>0</v>
      </c>
      <c r="AH16" s="1091">
        <f t="shared" si="17"/>
        <v>0</v>
      </c>
      <c r="AI16" s="1054">
        <f t="shared" si="18"/>
        <v>0</v>
      </c>
      <c r="AJ16" s="1054">
        <f t="shared" si="19"/>
        <v>0</v>
      </c>
      <c r="AK16" s="1092">
        <f t="shared" si="6"/>
        <v>0</v>
      </c>
      <c r="AL16" s="2"/>
      <c r="AM16" s="1090">
        <f t="shared" si="7"/>
        <v>0</v>
      </c>
      <c r="AN16" s="1105">
        <f t="shared" si="20"/>
        <v>0</v>
      </c>
      <c r="AO16" s="1054">
        <f t="shared" si="21"/>
        <v>0</v>
      </c>
      <c r="AP16" s="1054">
        <f t="shared" si="22"/>
        <v>0</v>
      </c>
      <c r="AQ16" s="1092">
        <f t="shared" si="23"/>
        <v>0</v>
      </c>
      <c r="AR16" s="2"/>
      <c r="AS16" s="1090">
        <f t="shared" si="24"/>
        <v>0</v>
      </c>
      <c r="AT16" s="1091">
        <f t="shared" si="25"/>
        <v>0</v>
      </c>
      <c r="AU16" s="1054">
        <f t="shared" si="26"/>
        <v>0</v>
      </c>
      <c r="AV16" s="1054">
        <f t="shared" si="27"/>
        <v>0</v>
      </c>
      <c r="AW16" s="1092">
        <f t="shared" si="28"/>
        <v>0</v>
      </c>
      <c r="AX16" s="2"/>
      <c r="AY16" s="1090">
        <f t="shared" si="29"/>
        <v>0</v>
      </c>
      <c r="AZ16" s="1385"/>
      <c r="BA16" s="2"/>
    </row>
    <row r="17" spans="1:53" ht="20.25" customHeight="1" x14ac:dyDescent="0.2">
      <c r="A17" s="2"/>
      <c r="B17" s="18">
        <v>10</v>
      </c>
      <c r="C17" s="234">
        <f t="shared" si="30"/>
        <v>10</v>
      </c>
      <c r="D17" s="235">
        <f t="shared" si="8"/>
        <v>9</v>
      </c>
      <c r="E17" s="2159" t="str">
        <f t="shared" si="0"/>
        <v xml:space="preserve">attiva trim.  </v>
      </c>
      <c r="F17" s="2160"/>
      <c r="G17" s="237"/>
      <c r="H17" s="237"/>
      <c r="I17" s="828"/>
      <c r="J17" s="829"/>
      <c r="K17" s="237"/>
      <c r="L17" s="828"/>
      <c r="M17" s="829"/>
      <c r="N17" s="237"/>
      <c r="O17" s="828"/>
      <c r="P17" s="829"/>
      <c r="Q17" s="6"/>
      <c r="R17" s="1053">
        <f t="shared" si="9"/>
        <v>0</v>
      </c>
      <c r="S17" s="1054">
        <f t="shared" si="1"/>
        <v>0</v>
      </c>
      <c r="T17" s="1054">
        <f t="shared" si="10"/>
        <v>0</v>
      </c>
      <c r="U17" s="1055">
        <f t="shared" si="11"/>
        <v>0</v>
      </c>
      <c r="V17" s="231">
        <f t="shared" si="31"/>
        <v>45545</v>
      </c>
      <c r="W17" s="1053">
        <f t="shared" si="2"/>
        <v>0</v>
      </c>
      <c r="X17" s="1054">
        <f t="shared" si="3"/>
        <v>0</v>
      </c>
      <c r="Y17" s="1054">
        <f t="shared" si="4"/>
        <v>0</v>
      </c>
      <c r="Z17" s="1055">
        <f t="shared" si="5"/>
        <v>0</v>
      </c>
      <c r="AA17" s="822">
        <f>VLOOKUP(V17,CASSA!$B$114:$C$479,2,FALSE)</f>
        <v>0</v>
      </c>
      <c r="AB17" s="1053">
        <f t="shared" si="12"/>
        <v>0</v>
      </c>
      <c r="AC17" s="1054">
        <f t="shared" si="13"/>
        <v>0</v>
      </c>
      <c r="AD17" s="1054">
        <f t="shared" si="14"/>
        <v>0</v>
      </c>
      <c r="AE17" s="1055">
        <f t="shared" si="15"/>
        <v>0</v>
      </c>
      <c r="AF17" s="2"/>
      <c r="AG17" s="1090">
        <f t="shared" si="16"/>
        <v>0</v>
      </c>
      <c r="AH17" s="1091">
        <f t="shared" si="17"/>
        <v>0</v>
      </c>
      <c r="AI17" s="1054">
        <f t="shared" si="18"/>
        <v>0</v>
      </c>
      <c r="AJ17" s="1054">
        <f t="shared" si="19"/>
        <v>0</v>
      </c>
      <c r="AK17" s="1092">
        <f t="shared" si="6"/>
        <v>0</v>
      </c>
      <c r="AL17" s="2"/>
      <c r="AM17" s="1090">
        <f t="shared" si="7"/>
        <v>0</v>
      </c>
      <c r="AN17" s="1105">
        <f t="shared" si="20"/>
        <v>0</v>
      </c>
      <c r="AO17" s="1054">
        <f t="shared" si="21"/>
        <v>0</v>
      </c>
      <c r="AP17" s="1054">
        <f t="shared" si="22"/>
        <v>0</v>
      </c>
      <c r="AQ17" s="1092">
        <f t="shared" si="23"/>
        <v>0</v>
      </c>
      <c r="AR17" s="2"/>
      <c r="AS17" s="1090">
        <f t="shared" si="24"/>
        <v>0</v>
      </c>
      <c r="AT17" s="1091">
        <f t="shared" si="25"/>
        <v>0</v>
      </c>
      <c r="AU17" s="1054">
        <f t="shared" si="26"/>
        <v>0</v>
      </c>
      <c r="AV17" s="1054">
        <f t="shared" si="27"/>
        <v>0</v>
      </c>
      <c r="AW17" s="1092">
        <f t="shared" si="28"/>
        <v>0</v>
      </c>
      <c r="AX17" s="2"/>
      <c r="AY17" s="1090">
        <f t="shared" si="29"/>
        <v>0</v>
      </c>
      <c r="AZ17" s="1385"/>
      <c r="BA17" s="2"/>
    </row>
    <row r="18" spans="1:53" ht="20.25" customHeight="1" x14ac:dyDescent="0.2">
      <c r="A18" s="2"/>
      <c r="B18" s="18">
        <v>11</v>
      </c>
      <c r="C18" s="234">
        <f t="shared" si="30"/>
        <v>11</v>
      </c>
      <c r="D18" s="235">
        <f t="shared" si="8"/>
        <v>9</v>
      </c>
      <c r="E18" s="2159" t="str">
        <f t="shared" si="0"/>
        <v xml:space="preserve">attiva trim.  </v>
      </c>
      <c r="F18" s="2160"/>
      <c r="G18" s="237"/>
      <c r="H18" s="237"/>
      <c r="I18" s="828"/>
      <c r="J18" s="829"/>
      <c r="K18" s="237"/>
      <c r="L18" s="828"/>
      <c r="M18" s="829"/>
      <c r="N18" s="237"/>
      <c r="O18" s="828"/>
      <c r="P18" s="829"/>
      <c r="Q18" s="6"/>
      <c r="R18" s="1053">
        <f t="shared" si="9"/>
        <v>0</v>
      </c>
      <c r="S18" s="1054">
        <f t="shared" si="1"/>
        <v>0</v>
      </c>
      <c r="T18" s="1054">
        <f t="shared" si="10"/>
        <v>0</v>
      </c>
      <c r="U18" s="1055">
        <f t="shared" si="11"/>
        <v>0</v>
      </c>
      <c r="V18" s="231">
        <f t="shared" si="31"/>
        <v>45546</v>
      </c>
      <c r="W18" s="1053">
        <f t="shared" si="2"/>
        <v>0</v>
      </c>
      <c r="X18" s="1054">
        <f t="shared" si="3"/>
        <v>0</v>
      </c>
      <c r="Y18" s="1054">
        <f t="shared" si="4"/>
        <v>0</v>
      </c>
      <c r="Z18" s="1055">
        <f t="shared" si="5"/>
        <v>0</v>
      </c>
      <c r="AA18" s="822">
        <f>VLOOKUP(V18,CASSA!$B$114:$C$479,2,FALSE)</f>
        <v>0</v>
      </c>
      <c r="AB18" s="1053">
        <f t="shared" si="12"/>
        <v>0</v>
      </c>
      <c r="AC18" s="1054">
        <f t="shared" si="13"/>
        <v>0</v>
      </c>
      <c r="AD18" s="1054">
        <f t="shared" si="14"/>
        <v>0</v>
      </c>
      <c r="AE18" s="1055">
        <f t="shared" si="15"/>
        <v>0</v>
      </c>
      <c r="AF18" s="2"/>
      <c r="AG18" s="1090">
        <f t="shared" si="16"/>
        <v>0</v>
      </c>
      <c r="AH18" s="1091">
        <f t="shared" si="17"/>
        <v>0</v>
      </c>
      <c r="AI18" s="1054">
        <f t="shared" si="18"/>
        <v>0</v>
      </c>
      <c r="AJ18" s="1054">
        <f t="shared" si="19"/>
        <v>0</v>
      </c>
      <c r="AK18" s="1092">
        <f t="shared" si="6"/>
        <v>0</v>
      </c>
      <c r="AL18" s="2"/>
      <c r="AM18" s="1090">
        <f t="shared" si="7"/>
        <v>0</v>
      </c>
      <c r="AN18" s="1105">
        <f t="shared" si="20"/>
        <v>0</v>
      </c>
      <c r="AO18" s="1054">
        <f t="shared" si="21"/>
        <v>0</v>
      </c>
      <c r="AP18" s="1054">
        <f t="shared" si="22"/>
        <v>0</v>
      </c>
      <c r="AQ18" s="1092">
        <f t="shared" si="23"/>
        <v>0</v>
      </c>
      <c r="AR18" s="2"/>
      <c r="AS18" s="1090">
        <f t="shared" si="24"/>
        <v>0</v>
      </c>
      <c r="AT18" s="1091">
        <f t="shared" si="25"/>
        <v>0</v>
      </c>
      <c r="AU18" s="1054">
        <f t="shared" si="26"/>
        <v>0</v>
      </c>
      <c r="AV18" s="1054">
        <f t="shared" si="27"/>
        <v>0</v>
      </c>
      <c r="AW18" s="1092">
        <f t="shared" si="28"/>
        <v>0</v>
      </c>
      <c r="AX18" s="2"/>
      <c r="AY18" s="1090">
        <f t="shared" si="29"/>
        <v>0</v>
      </c>
      <c r="AZ18" s="1385"/>
      <c r="BA18" s="2"/>
    </row>
    <row r="19" spans="1:53" ht="20.25" customHeight="1" x14ac:dyDescent="0.2">
      <c r="A19" s="2"/>
      <c r="B19" s="18">
        <v>12</v>
      </c>
      <c r="C19" s="234">
        <f t="shared" si="30"/>
        <v>12</v>
      </c>
      <c r="D19" s="235">
        <f t="shared" si="8"/>
        <v>9</v>
      </c>
      <c r="E19" s="2159" t="str">
        <f t="shared" si="0"/>
        <v xml:space="preserve">attiva trim.  </v>
      </c>
      <c r="F19" s="2160"/>
      <c r="G19" s="237"/>
      <c r="H19" s="237"/>
      <c r="I19" s="828"/>
      <c r="J19" s="829"/>
      <c r="K19" s="237"/>
      <c r="L19" s="828"/>
      <c r="M19" s="829"/>
      <c r="N19" s="237"/>
      <c r="O19" s="828"/>
      <c r="P19" s="829"/>
      <c r="Q19" s="6"/>
      <c r="R19" s="1053">
        <f t="shared" si="9"/>
        <v>0</v>
      </c>
      <c r="S19" s="1054">
        <f t="shared" si="1"/>
        <v>0</v>
      </c>
      <c r="T19" s="1054">
        <f t="shared" si="10"/>
        <v>0</v>
      </c>
      <c r="U19" s="1055">
        <f t="shared" si="11"/>
        <v>0</v>
      </c>
      <c r="V19" s="231">
        <f t="shared" si="31"/>
        <v>45547</v>
      </c>
      <c r="W19" s="1053">
        <f t="shared" si="2"/>
        <v>0</v>
      </c>
      <c r="X19" s="1054">
        <f t="shared" si="3"/>
        <v>0</v>
      </c>
      <c r="Y19" s="1054">
        <f t="shared" si="4"/>
        <v>0</v>
      </c>
      <c r="Z19" s="1055">
        <f t="shared" si="5"/>
        <v>0</v>
      </c>
      <c r="AA19" s="822">
        <f>VLOOKUP(V19,CASSA!$B$114:$C$479,2,FALSE)</f>
        <v>0</v>
      </c>
      <c r="AB19" s="1053">
        <f t="shared" si="12"/>
        <v>0</v>
      </c>
      <c r="AC19" s="1054">
        <f t="shared" si="13"/>
        <v>0</v>
      </c>
      <c r="AD19" s="1054">
        <f t="shared" si="14"/>
        <v>0</v>
      </c>
      <c r="AE19" s="1055">
        <f t="shared" si="15"/>
        <v>0</v>
      </c>
      <c r="AF19" s="2"/>
      <c r="AG19" s="1090">
        <f t="shared" si="16"/>
        <v>0</v>
      </c>
      <c r="AH19" s="1091">
        <f t="shared" si="17"/>
        <v>0</v>
      </c>
      <c r="AI19" s="1054">
        <f t="shared" si="18"/>
        <v>0</v>
      </c>
      <c r="AJ19" s="1054">
        <f t="shared" si="19"/>
        <v>0</v>
      </c>
      <c r="AK19" s="1092">
        <f t="shared" si="6"/>
        <v>0</v>
      </c>
      <c r="AL19" s="2"/>
      <c r="AM19" s="1090">
        <f t="shared" si="7"/>
        <v>0</v>
      </c>
      <c r="AN19" s="1105">
        <f t="shared" si="20"/>
        <v>0</v>
      </c>
      <c r="AO19" s="1054">
        <f t="shared" si="21"/>
        <v>0</v>
      </c>
      <c r="AP19" s="1054">
        <f t="shared" si="22"/>
        <v>0</v>
      </c>
      <c r="AQ19" s="1092">
        <f t="shared" si="23"/>
        <v>0</v>
      </c>
      <c r="AR19" s="2"/>
      <c r="AS19" s="1090">
        <f t="shared" si="24"/>
        <v>0</v>
      </c>
      <c r="AT19" s="1091">
        <f t="shared" si="25"/>
        <v>0</v>
      </c>
      <c r="AU19" s="1054">
        <f t="shared" si="26"/>
        <v>0</v>
      </c>
      <c r="AV19" s="1054">
        <f t="shared" si="27"/>
        <v>0</v>
      </c>
      <c r="AW19" s="1092">
        <f t="shared" si="28"/>
        <v>0</v>
      </c>
      <c r="AX19" s="2"/>
      <c r="AY19" s="1090">
        <f t="shared" si="29"/>
        <v>0</v>
      </c>
      <c r="AZ19" s="1385"/>
      <c r="BA19" s="2"/>
    </row>
    <row r="20" spans="1:53" ht="20.25" customHeight="1" x14ac:dyDescent="0.2">
      <c r="A20" s="2"/>
      <c r="B20" s="18">
        <v>13</v>
      </c>
      <c r="C20" s="234">
        <f t="shared" si="30"/>
        <v>13</v>
      </c>
      <c r="D20" s="235">
        <f t="shared" si="8"/>
        <v>9</v>
      </c>
      <c r="E20" s="2159" t="str">
        <f t="shared" si="0"/>
        <v xml:space="preserve">attiva trim.  </v>
      </c>
      <c r="F20" s="2160"/>
      <c r="G20" s="237"/>
      <c r="H20" s="237"/>
      <c r="I20" s="828"/>
      <c r="J20" s="829"/>
      <c r="K20" s="237"/>
      <c r="L20" s="828"/>
      <c r="M20" s="829"/>
      <c r="N20" s="237"/>
      <c r="O20" s="828"/>
      <c r="P20" s="829"/>
      <c r="Q20" s="6"/>
      <c r="R20" s="1053">
        <f t="shared" si="9"/>
        <v>0</v>
      </c>
      <c r="S20" s="1054">
        <f t="shared" si="1"/>
        <v>0</v>
      </c>
      <c r="T20" s="1054">
        <f t="shared" si="10"/>
        <v>0</v>
      </c>
      <c r="U20" s="1055">
        <f t="shared" si="11"/>
        <v>0</v>
      </c>
      <c r="V20" s="231">
        <f t="shared" si="31"/>
        <v>45548</v>
      </c>
      <c r="W20" s="1053">
        <f t="shared" si="2"/>
        <v>0</v>
      </c>
      <c r="X20" s="1054">
        <f t="shared" si="3"/>
        <v>0</v>
      </c>
      <c r="Y20" s="1054">
        <f t="shared" si="4"/>
        <v>0</v>
      </c>
      <c r="Z20" s="1055">
        <f t="shared" si="5"/>
        <v>0</v>
      </c>
      <c r="AA20" s="822">
        <f>VLOOKUP(V20,CASSA!$B$114:$C$479,2,FALSE)</f>
        <v>0</v>
      </c>
      <c r="AB20" s="1053">
        <f t="shared" si="12"/>
        <v>0</v>
      </c>
      <c r="AC20" s="1054">
        <f t="shared" si="13"/>
        <v>0</v>
      </c>
      <c r="AD20" s="1054">
        <f t="shared" si="14"/>
        <v>0</v>
      </c>
      <c r="AE20" s="1055">
        <f t="shared" si="15"/>
        <v>0</v>
      </c>
      <c r="AF20" s="2"/>
      <c r="AG20" s="1090">
        <f t="shared" si="16"/>
        <v>0</v>
      </c>
      <c r="AH20" s="1091">
        <f t="shared" si="17"/>
        <v>0</v>
      </c>
      <c r="AI20" s="1054">
        <f t="shared" si="18"/>
        <v>0</v>
      </c>
      <c r="AJ20" s="1054">
        <f t="shared" si="19"/>
        <v>0</v>
      </c>
      <c r="AK20" s="1092">
        <f t="shared" si="6"/>
        <v>0</v>
      </c>
      <c r="AL20" s="2"/>
      <c r="AM20" s="1090">
        <f t="shared" si="7"/>
        <v>0</v>
      </c>
      <c r="AN20" s="1105">
        <f t="shared" si="20"/>
        <v>0</v>
      </c>
      <c r="AO20" s="1054">
        <f t="shared" si="21"/>
        <v>0</v>
      </c>
      <c r="AP20" s="1054">
        <f t="shared" si="22"/>
        <v>0</v>
      </c>
      <c r="AQ20" s="1092">
        <f t="shared" si="23"/>
        <v>0</v>
      </c>
      <c r="AR20" s="2"/>
      <c r="AS20" s="1090">
        <f t="shared" si="24"/>
        <v>0</v>
      </c>
      <c r="AT20" s="1091">
        <f t="shared" si="25"/>
        <v>0</v>
      </c>
      <c r="AU20" s="1054">
        <f t="shared" si="26"/>
        <v>0</v>
      </c>
      <c r="AV20" s="1054">
        <f t="shared" si="27"/>
        <v>0</v>
      </c>
      <c r="AW20" s="1092">
        <f t="shared" si="28"/>
        <v>0</v>
      </c>
      <c r="AX20" s="2"/>
      <c r="AY20" s="1090">
        <f t="shared" si="29"/>
        <v>0</v>
      </c>
      <c r="AZ20" s="1385"/>
      <c r="BA20" s="2"/>
    </row>
    <row r="21" spans="1:53" ht="20.25" customHeight="1" x14ac:dyDescent="0.2">
      <c r="A21" s="2"/>
      <c r="B21" s="18">
        <v>14</v>
      </c>
      <c r="C21" s="234">
        <f t="shared" si="30"/>
        <v>14</v>
      </c>
      <c r="D21" s="235">
        <f t="shared" si="8"/>
        <v>9</v>
      </c>
      <c r="E21" s="2159" t="str">
        <f t="shared" si="0"/>
        <v xml:space="preserve">attiva trim.  </v>
      </c>
      <c r="F21" s="2160"/>
      <c r="G21" s="237"/>
      <c r="H21" s="237"/>
      <c r="I21" s="828"/>
      <c r="J21" s="829"/>
      <c r="K21" s="237"/>
      <c r="L21" s="828"/>
      <c r="M21" s="829"/>
      <c r="N21" s="237"/>
      <c r="O21" s="828"/>
      <c r="P21" s="829"/>
      <c r="Q21" s="6"/>
      <c r="R21" s="1053">
        <f t="shared" si="9"/>
        <v>0</v>
      </c>
      <c r="S21" s="1054">
        <f t="shared" si="1"/>
        <v>0</v>
      </c>
      <c r="T21" s="1054">
        <f t="shared" si="10"/>
        <v>0</v>
      </c>
      <c r="U21" s="1055">
        <f t="shared" si="11"/>
        <v>0</v>
      </c>
      <c r="V21" s="231">
        <f t="shared" si="31"/>
        <v>45549</v>
      </c>
      <c r="W21" s="1053">
        <f t="shared" si="2"/>
        <v>0</v>
      </c>
      <c r="X21" s="1054">
        <f t="shared" si="3"/>
        <v>0</v>
      </c>
      <c r="Y21" s="1054">
        <f t="shared" si="4"/>
        <v>0</v>
      </c>
      <c r="Z21" s="1055">
        <f t="shared" si="5"/>
        <v>0</v>
      </c>
      <c r="AA21" s="822">
        <f>VLOOKUP(V21,CASSA!$B$114:$C$479,2,FALSE)</f>
        <v>0</v>
      </c>
      <c r="AB21" s="1053">
        <f t="shared" si="12"/>
        <v>0</v>
      </c>
      <c r="AC21" s="1054">
        <f t="shared" si="13"/>
        <v>0</v>
      </c>
      <c r="AD21" s="1054">
        <f t="shared" si="14"/>
        <v>0</v>
      </c>
      <c r="AE21" s="1055">
        <f t="shared" si="15"/>
        <v>0</v>
      </c>
      <c r="AF21" s="2"/>
      <c r="AG21" s="1090">
        <f t="shared" si="16"/>
        <v>0</v>
      </c>
      <c r="AH21" s="1091">
        <f t="shared" si="17"/>
        <v>0</v>
      </c>
      <c r="AI21" s="1054">
        <f t="shared" si="18"/>
        <v>0</v>
      </c>
      <c r="AJ21" s="1054">
        <f t="shared" si="19"/>
        <v>0</v>
      </c>
      <c r="AK21" s="1092">
        <f t="shared" si="6"/>
        <v>0</v>
      </c>
      <c r="AL21" s="2"/>
      <c r="AM21" s="1090">
        <f t="shared" si="7"/>
        <v>0</v>
      </c>
      <c r="AN21" s="1105">
        <f t="shared" si="20"/>
        <v>0</v>
      </c>
      <c r="AO21" s="1054">
        <f t="shared" si="21"/>
        <v>0</v>
      </c>
      <c r="AP21" s="1054">
        <f t="shared" si="22"/>
        <v>0</v>
      </c>
      <c r="AQ21" s="1092">
        <f t="shared" si="23"/>
        <v>0</v>
      </c>
      <c r="AR21" s="2"/>
      <c r="AS21" s="1090">
        <f t="shared" si="24"/>
        <v>0</v>
      </c>
      <c r="AT21" s="1091">
        <f t="shared" si="25"/>
        <v>0</v>
      </c>
      <c r="AU21" s="1054">
        <f t="shared" si="26"/>
        <v>0</v>
      </c>
      <c r="AV21" s="1054">
        <f t="shared" si="27"/>
        <v>0</v>
      </c>
      <c r="AW21" s="1092">
        <f t="shared" si="28"/>
        <v>0</v>
      </c>
      <c r="AX21" s="2"/>
      <c r="AY21" s="1090">
        <f t="shared" si="29"/>
        <v>0</v>
      </c>
      <c r="AZ21" s="1385"/>
      <c r="BA21" s="2"/>
    </row>
    <row r="22" spans="1:53" ht="20.25" customHeight="1" x14ac:dyDescent="0.2">
      <c r="A22" s="2"/>
      <c r="B22" s="18">
        <v>15</v>
      </c>
      <c r="C22" s="234">
        <f t="shared" si="30"/>
        <v>15</v>
      </c>
      <c r="D22" s="235">
        <f t="shared" si="8"/>
        <v>9</v>
      </c>
      <c r="E22" s="2159" t="str">
        <f t="shared" si="0"/>
        <v xml:space="preserve">attiva trim.  </v>
      </c>
      <c r="F22" s="2160"/>
      <c r="G22" s="237"/>
      <c r="H22" s="237"/>
      <c r="I22" s="828"/>
      <c r="J22" s="829"/>
      <c r="K22" s="237"/>
      <c r="L22" s="828"/>
      <c r="M22" s="829"/>
      <c r="N22" s="237"/>
      <c r="O22" s="828"/>
      <c r="P22" s="829"/>
      <c r="Q22" s="6"/>
      <c r="R22" s="1053">
        <f t="shared" si="9"/>
        <v>0</v>
      </c>
      <c r="S22" s="1054">
        <f t="shared" si="1"/>
        <v>0</v>
      </c>
      <c r="T22" s="1054">
        <f t="shared" si="10"/>
        <v>0</v>
      </c>
      <c r="U22" s="1055">
        <f t="shared" si="11"/>
        <v>0</v>
      </c>
      <c r="V22" s="231">
        <f t="shared" si="31"/>
        <v>45550</v>
      </c>
      <c r="W22" s="1053">
        <f t="shared" si="2"/>
        <v>0</v>
      </c>
      <c r="X22" s="1054">
        <f t="shared" si="3"/>
        <v>0</v>
      </c>
      <c r="Y22" s="1054">
        <f t="shared" si="4"/>
        <v>0</v>
      </c>
      <c r="Z22" s="1055">
        <f t="shared" si="5"/>
        <v>0</v>
      </c>
      <c r="AA22" s="822">
        <f>VLOOKUP(V22,CASSA!$B$114:$C$479,2,FALSE)</f>
        <v>0</v>
      </c>
      <c r="AB22" s="1053">
        <f t="shared" si="12"/>
        <v>0</v>
      </c>
      <c r="AC22" s="1054">
        <f t="shared" si="13"/>
        <v>0</v>
      </c>
      <c r="AD22" s="1054">
        <f t="shared" si="14"/>
        <v>0</v>
      </c>
      <c r="AE22" s="1055">
        <f t="shared" si="15"/>
        <v>0</v>
      </c>
      <c r="AF22" s="2"/>
      <c r="AG22" s="1090">
        <f t="shared" si="16"/>
        <v>0</v>
      </c>
      <c r="AH22" s="1091">
        <f t="shared" si="17"/>
        <v>0</v>
      </c>
      <c r="AI22" s="1054">
        <f t="shared" si="18"/>
        <v>0</v>
      </c>
      <c r="AJ22" s="1054">
        <f t="shared" si="19"/>
        <v>0</v>
      </c>
      <c r="AK22" s="1092">
        <f t="shared" si="6"/>
        <v>0</v>
      </c>
      <c r="AL22" s="2"/>
      <c r="AM22" s="1090">
        <f t="shared" si="7"/>
        <v>0</v>
      </c>
      <c r="AN22" s="1105">
        <f t="shared" si="20"/>
        <v>0</v>
      </c>
      <c r="AO22" s="1054">
        <f t="shared" si="21"/>
        <v>0</v>
      </c>
      <c r="AP22" s="1054">
        <f t="shared" si="22"/>
        <v>0</v>
      </c>
      <c r="AQ22" s="1092">
        <f t="shared" si="23"/>
        <v>0</v>
      </c>
      <c r="AR22" s="2"/>
      <c r="AS22" s="1090">
        <f t="shared" si="24"/>
        <v>0</v>
      </c>
      <c r="AT22" s="1091">
        <f t="shared" si="25"/>
        <v>0</v>
      </c>
      <c r="AU22" s="1054">
        <f t="shared" si="26"/>
        <v>0</v>
      </c>
      <c r="AV22" s="1054">
        <f t="shared" si="27"/>
        <v>0</v>
      </c>
      <c r="AW22" s="1092">
        <f t="shared" si="28"/>
        <v>0</v>
      </c>
      <c r="AX22" s="2"/>
      <c r="AY22" s="1090">
        <f t="shared" si="29"/>
        <v>0</v>
      </c>
      <c r="AZ22" s="1385"/>
      <c r="BA22" s="2"/>
    </row>
    <row r="23" spans="1:53" ht="20.25" customHeight="1" x14ac:dyDescent="0.2">
      <c r="A23" s="2"/>
      <c r="B23" s="18">
        <v>16</v>
      </c>
      <c r="C23" s="234">
        <f t="shared" si="30"/>
        <v>16</v>
      </c>
      <c r="D23" s="235">
        <f t="shared" si="8"/>
        <v>9</v>
      </c>
      <c r="E23" s="2159" t="str">
        <f t="shared" si="0"/>
        <v xml:space="preserve">attiva trim.  </v>
      </c>
      <c r="F23" s="2160"/>
      <c r="G23" s="237"/>
      <c r="H23" s="237"/>
      <c r="I23" s="828"/>
      <c r="J23" s="829"/>
      <c r="K23" s="237"/>
      <c r="L23" s="828"/>
      <c r="M23" s="829"/>
      <c r="N23" s="237"/>
      <c r="O23" s="828"/>
      <c r="P23" s="829"/>
      <c r="Q23" s="6"/>
      <c r="R23" s="1053">
        <f t="shared" si="9"/>
        <v>0</v>
      </c>
      <c r="S23" s="1054">
        <f t="shared" si="1"/>
        <v>0</v>
      </c>
      <c r="T23" s="1054">
        <f t="shared" si="10"/>
        <v>0</v>
      </c>
      <c r="U23" s="1055">
        <f t="shared" si="11"/>
        <v>0</v>
      </c>
      <c r="V23" s="231">
        <f t="shared" si="31"/>
        <v>45551</v>
      </c>
      <c r="W23" s="1053">
        <f t="shared" si="2"/>
        <v>0</v>
      </c>
      <c r="X23" s="1054">
        <f t="shared" si="3"/>
        <v>0</v>
      </c>
      <c r="Y23" s="1054">
        <f t="shared" si="4"/>
        <v>0</v>
      </c>
      <c r="Z23" s="1055">
        <f t="shared" si="5"/>
        <v>0</v>
      </c>
      <c r="AA23" s="822">
        <f>VLOOKUP(V23,CASSA!$B$114:$C$479,2,FALSE)</f>
        <v>0</v>
      </c>
      <c r="AB23" s="1053">
        <f t="shared" si="12"/>
        <v>0</v>
      </c>
      <c r="AC23" s="1054">
        <f t="shared" si="13"/>
        <v>0</v>
      </c>
      <c r="AD23" s="1054">
        <f t="shared" si="14"/>
        <v>0</v>
      </c>
      <c r="AE23" s="1055">
        <f t="shared" si="15"/>
        <v>0</v>
      </c>
      <c r="AF23" s="2"/>
      <c r="AG23" s="1090">
        <f t="shared" si="16"/>
        <v>0</v>
      </c>
      <c r="AH23" s="1091">
        <f t="shared" si="17"/>
        <v>0</v>
      </c>
      <c r="AI23" s="1054">
        <f t="shared" si="18"/>
        <v>0</v>
      </c>
      <c r="AJ23" s="1054">
        <f t="shared" si="19"/>
        <v>0</v>
      </c>
      <c r="AK23" s="1092">
        <f t="shared" si="6"/>
        <v>0</v>
      </c>
      <c r="AL23" s="2"/>
      <c r="AM23" s="1090">
        <f t="shared" si="7"/>
        <v>0</v>
      </c>
      <c r="AN23" s="1105">
        <f t="shared" si="20"/>
        <v>0</v>
      </c>
      <c r="AO23" s="1054">
        <f t="shared" si="21"/>
        <v>0</v>
      </c>
      <c r="AP23" s="1054">
        <f t="shared" si="22"/>
        <v>0</v>
      </c>
      <c r="AQ23" s="1092">
        <f t="shared" si="23"/>
        <v>0</v>
      </c>
      <c r="AR23" s="2"/>
      <c r="AS23" s="1090">
        <f t="shared" si="24"/>
        <v>0</v>
      </c>
      <c r="AT23" s="1091">
        <f t="shared" si="25"/>
        <v>0</v>
      </c>
      <c r="AU23" s="1054">
        <f t="shared" si="26"/>
        <v>0</v>
      </c>
      <c r="AV23" s="1054">
        <f t="shared" si="27"/>
        <v>0</v>
      </c>
      <c r="AW23" s="1092">
        <f t="shared" si="28"/>
        <v>0</v>
      </c>
      <c r="AX23" s="2"/>
      <c r="AY23" s="1090">
        <f t="shared" si="29"/>
        <v>0</v>
      </c>
      <c r="AZ23" s="1385"/>
      <c r="BA23" s="2"/>
    </row>
    <row r="24" spans="1:53" ht="20.25" customHeight="1" x14ac:dyDescent="0.2">
      <c r="A24" s="2"/>
      <c r="B24" s="18">
        <v>17</v>
      </c>
      <c r="C24" s="234">
        <f t="shared" si="30"/>
        <v>17</v>
      </c>
      <c r="D24" s="235">
        <f t="shared" si="8"/>
        <v>9</v>
      </c>
      <c r="E24" s="2159" t="str">
        <f t="shared" si="0"/>
        <v xml:space="preserve">attiva trim.  </v>
      </c>
      <c r="F24" s="2160"/>
      <c r="G24" s="237"/>
      <c r="H24" s="237"/>
      <c r="I24" s="828"/>
      <c r="J24" s="829"/>
      <c r="K24" s="237"/>
      <c r="L24" s="828"/>
      <c r="M24" s="829"/>
      <c r="N24" s="237"/>
      <c r="O24" s="828"/>
      <c r="P24" s="829"/>
      <c r="Q24" s="6"/>
      <c r="R24" s="1053">
        <f t="shared" si="9"/>
        <v>0</v>
      </c>
      <c r="S24" s="1054">
        <f t="shared" si="1"/>
        <v>0</v>
      </c>
      <c r="T24" s="1054">
        <f t="shared" si="10"/>
        <v>0</v>
      </c>
      <c r="U24" s="1055">
        <f t="shared" si="11"/>
        <v>0</v>
      </c>
      <c r="V24" s="231">
        <f t="shared" si="31"/>
        <v>45552</v>
      </c>
      <c r="W24" s="1053">
        <f t="shared" si="2"/>
        <v>0</v>
      </c>
      <c r="X24" s="1054">
        <f t="shared" si="3"/>
        <v>0</v>
      </c>
      <c r="Y24" s="1054">
        <f t="shared" si="4"/>
        <v>0</v>
      </c>
      <c r="Z24" s="1055">
        <f t="shared" si="5"/>
        <v>0</v>
      </c>
      <c r="AA24" s="822">
        <f>VLOOKUP(V24,CASSA!$B$114:$C$479,2,FALSE)</f>
        <v>0</v>
      </c>
      <c r="AB24" s="1053">
        <f t="shared" si="12"/>
        <v>0</v>
      </c>
      <c r="AC24" s="1054">
        <f t="shared" si="13"/>
        <v>0</v>
      </c>
      <c r="AD24" s="1054">
        <f t="shared" si="14"/>
        <v>0</v>
      </c>
      <c r="AE24" s="1055">
        <f t="shared" si="15"/>
        <v>0</v>
      </c>
      <c r="AF24" s="2"/>
      <c r="AG24" s="1090">
        <f t="shared" si="16"/>
        <v>0</v>
      </c>
      <c r="AH24" s="1091">
        <f t="shared" si="17"/>
        <v>0</v>
      </c>
      <c r="AI24" s="1054">
        <f t="shared" si="18"/>
        <v>0</v>
      </c>
      <c r="AJ24" s="1054">
        <f t="shared" si="19"/>
        <v>0</v>
      </c>
      <c r="AK24" s="1092">
        <f t="shared" si="6"/>
        <v>0</v>
      </c>
      <c r="AL24" s="2"/>
      <c r="AM24" s="1090">
        <f t="shared" si="7"/>
        <v>0</v>
      </c>
      <c r="AN24" s="1105">
        <f t="shared" si="20"/>
        <v>0</v>
      </c>
      <c r="AO24" s="1054">
        <f t="shared" si="21"/>
        <v>0</v>
      </c>
      <c r="AP24" s="1054">
        <f t="shared" si="22"/>
        <v>0</v>
      </c>
      <c r="AQ24" s="1092">
        <f t="shared" si="23"/>
        <v>0</v>
      </c>
      <c r="AR24" s="2"/>
      <c r="AS24" s="1090">
        <f t="shared" si="24"/>
        <v>0</v>
      </c>
      <c r="AT24" s="1091">
        <f t="shared" si="25"/>
        <v>0</v>
      </c>
      <c r="AU24" s="1054">
        <f t="shared" si="26"/>
        <v>0</v>
      </c>
      <c r="AV24" s="1054">
        <f t="shared" si="27"/>
        <v>0</v>
      </c>
      <c r="AW24" s="1092">
        <f t="shared" si="28"/>
        <v>0</v>
      </c>
      <c r="AX24" s="2"/>
      <c r="AY24" s="1090">
        <f t="shared" si="29"/>
        <v>0</v>
      </c>
      <c r="AZ24" s="1385"/>
      <c r="BA24" s="2"/>
    </row>
    <row r="25" spans="1:53" ht="20.25" customHeight="1" x14ac:dyDescent="0.2">
      <c r="A25" s="2"/>
      <c r="B25" s="18">
        <v>18</v>
      </c>
      <c r="C25" s="234">
        <f t="shared" si="30"/>
        <v>18</v>
      </c>
      <c r="D25" s="235">
        <f t="shared" si="8"/>
        <v>9</v>
      </c>
      <c r="E25" s="2159" t="str">
        <f t="shared" si="0"/>
        <v xml:space="preserve">attiva trim.  </v>
      </c>
      <c r="F25" s="2160"/>
      <c r="G25" s="237"/>
      <c r="H25" s="237"/>
      <c r="I25" s="828"/>
      <c r="J25" s="829"/>
      <c r="K25" s="237"/>
      <c r="L25" s="828"/>
      <c r="M25" s="829"/>
      <c r="N25" s="237"/>
      <c r="O25" s="828"/>
      <c r="P25" s="829"/>
      <c r="Q25" s="6"/>
      <c r="R25" s="1053">
        <f t="shared" si="9"/>
        <v>0</v>
      </c>
      <c r="S25" s="1054">
        <f t="shared" si="1"/>
        <v>0</v>
      </c>
      <c r="T25" s="1054">
        <f t="shared" si="10"/>
        <v>0</v>
      </c>
      <c r="U25" s="1055">
        <f t="shared" si="11"/>
        <v>0</v>
      </c>
      <c r="V25" s="231">
        <f t="shared" si="31"/>
        <v>45553</v>
      </c>
      <c r="W25" s="1053">
        <f t="shared" si="2"/>
        <v>0</v>
      </c>
      <c r="X25" s="1054">
        <f t="shared" si="3"/>
        <v>0</v>
      </c>
      <c r="Y25" s="1054">
        <f t="shared" si="4"/>
        <v>0</v>
      </c>
      <c r="Z25" s="1055">
        <f t="shared" si="5"/>
        <v>0</v>
      </c>
      <c r="AA25" s="822">
        <f>VLOOKUP(V25,CASSA!$B$114:$C$479,2,FALSE)</f>
        <v>0</v>
      </c>
      <c r="AB25" s="1053">
        <f t="shared" si="12"/>
        <v>0</v>
      </c>
      <c r="AC25" s="1054">
        <f t="shared" si="13"/>
        <v>0</v>
      </c>
      <c r="AD25" s="1054">
        <f t="shared" si="14"/>
        <v>0</v>
      </c>
      <c r="AE25" s="1055">
        <f t="shared" si="15"/>
        <v>0</v>
      </c>
      <c r="AF25" s="2"/>
      <c r="AG25" s="1090">
        <f t="shared" si="16"/>
        <v>0</v>
      </c>
      <c r="AH25" s="1091">
        <f t="shared" si="17"/>
        <v>0</v>
      </c>
      <c r="AI25" s="1054">
        <f t="shared" si="18"/>
        <v>0</v>
      </c>
      <c r="AJ25" s="1054">
        <f t="shared" si="19"/>
        <v>0</v>
      </c>
      <c r="AK25" s="1092">
        <f t="shared" si="6"/>
        <v>0</v>
      </c>
      <c r="AL25" s="2"/>
      <c r="AM25" s="1090">
        <f t="shared" si="7"/>
        <v>0</v>
      </c>
      <c r="AN25" s="1105">
        <f t="shared" si="20"/>
        <v>0</v>
      </c>
      <c r="AO25" s="1054">
        <f t="shared" si="21"/>
        <v>0</v>
      </c>
      <c r="AP25" s="1054">
        <f t="shared" si="22"/>
        <v>0</v>
      </c>
      <c r="AQ25" s="1092">
        <f t="shared" si="23"/>
        <v>0</v>
      </c>
      <c r="AR25" s="2"/>
      <c r="AS25" s="1090">
        <f t="shared" si="24"/>
        <v>0</v>
      </c>
      <c r="AT25" s="1091">
        <f t="shared" si="25"/>
        <v>0</v>
      </c>
      <c r="AU25" s="1054">
        <f t="shared" si="26"/>
        <v>0</v>
      </c>
      <c r="AV25" s="1054">
        <f t="shared" si="27"/>
        <v>0</v>
      </c>
      <c r="AW25" s="1092">
        <f t="shared" si="28"/>
        <v>0</v>
      </c>
      <c r="AX25" s="2"/>
      <c r="AY25" s="1090">
        <f t="shared" si="29"/>
        <v>0</v>
      </c>
      <c r="AZ25" s="1385"/>
      <c r="BA25" s="2"/>
    </row>
    <row r="26" spans="1:53" ht="20.25" customHeight="1" x14ac:dyDescent="0.2">
      <c r="A26" s="2"/>
      <c r="B26" s="18">
        <v>19</v>
      </c>
      <c r="C26" s="234">
        <f t="shared" si="30"/>
        <v>19</v>
      </c>
      <c r="D26" s="235">
        <f t="shared" si="8"/>
        <v>9</v>
      </c>
      <c r="E26" s="2159" t="str">
        <f t="shared" si="0"/>
        <v xml:space="preserve">attiva trim.  </v>
      </c>
      <c r="F26" s="2160"/>
      <c r="G26" s="237"/>
      <c r="H26" s="237"/>
      <c r="I26" s="828"/>
      <c r="J26" s="829"/>
      <c r="K26" s="237"/>
      <c r="L26" s="828"/>
      <c r="M26" s="829"/>
      <c r="N26" s="237"/>
      <c r="O26" s="828"/>
      <c r="P26" s="829"/>
      <c r="Q26" s="6"/>
      <c r="R26" s="1053">
        <f t="shared" si="9"/>
        <v>0</v>
      </c>
      <c r="S26" s="1054">
        <f t="shared" si="1"/>
        <v>0</v>
      </c>
      <c r="T26" s="1054">
        <f t="shared" si="10"/>
        <v>0</v>
      </c>
      <c r="U26" s="1055">
        <f t="shared" si="11"/>
        <v>0</v>
      </c>
      <c r="V26" s="231">
        <f t="shared" si="31"/>
        <v>45554</v>
      </c>
      <c r="W26" s="1053">
        <f t="shared" si="2"/>
        <v>0</v>
      </c>
      <c r="X26" s="1054">
        <f t="shared" si="3"/>
        <v>0</v>
      </c>
      <c r="Y26" s="1054">
        <f t="shared" si="4"/>
        <v>0</v>
      </c>
      <c r="Z26" s="1055">
        <f t="shared" si="5"/>
        <v>0</v>
      </c>
      <c r="AA26" s="822">
        <f>VLOOKUP(V26,CASSA!$B$114:$C$479,2,FALSE)</f>
        <v>0</v>
      </c>
      <c r="AB26" s="1053">
        <f t="shared" si="12"/>
        <v>0</v>
      </c>
      <c r="AC26" s="1054">
        <f t="shared" si="13"/>
        <v>0</v>
      </c>
      <c r="AD26" s="1054">
        <f t="shared" si="14"/>
        <v>0</v>
      </c>
      <c r="AE26" s="1055">
        <f t="shared" si="15"/>
        <v>0</v>
      </c>
      <c r="AF26" s="2"/>
      <c r="AG26" s="1090">
        <f t="shared" si="16"/>
        <v>0</v>
      </c>
      <c r="AH26" s="1091">
        <f t="shared" si="17"/>
        <v>0</v>
      </c>
      <c r="AI26" s="1054">
        <f t="shared" si="18"/>
        <v>0</v>
      </c>
      <c r="AJ26" s="1054">
        <f t="shared" si="19"/>
        <v>0</v>
      </c>
      <c r="AK26" s="1092">
        <f t="shared" si="6"/>
        <v>0</v>
      </c>
      <c r="AL26" s="2"/>
      <c r="AM26" s="1090">
        <f t="shared" si="7"/>
        <v>0</v>
      </c>
      <c r="AN26" s="1105">
        <f t="shared" si="20"/>
        <v>0</v>
      </c>
      <c r="AO26" s="1054">
        <f t="shared" si="21"/>
        <v>0</v>
      </c>
      <c r="AP26" s="1054">
        <f t="shared" si="22"/>
        <v>0</v>
      </c>
      <c r="AQ26" s="1092">
        <f t="shared" si="23"/>
        <v>0</v>
      </c>
      <c r="AR26" s="2"/>
      <c r="AS26" s="1090">
        <f t="shared" si="24"/>
        <v>0</v>
      </c>
      <c r="AT26" s="1091">
        <f t="shared" si="25"/>
        <v>0</v>
      </c>
      <c r="AU26" s="1054">
        <f t="shared" si="26"/>
        <v>0</v>
      </c>
      <c r="AV26" s="1054">
        <f t="shared" si="27"/>
        <v>0</v>
      </c>
      <c r="AW26" s="1092">
        <f t="shared" si="28"/>
        <v>0</v>
      </c>
      <c r="AX26" s="2"/>
      <c r="AY26" s="1090">
        <f t="shared" si="29"/>
        <v>0</v>
      </c>
      <c r="AZ26" s="1385"/>
      <c r="BA26" s="2"/>
    </row>
    <row r="27" spans="1:53" ht="20.25" customHeight="1" x14ac:dyDescent="0.2">
      <c r="A27" s="2"/>
      <c r="B27" s="18">
        <v>20</v>
      </c>
      <c r="C27" s="234">
        <f t="shared" si="30"/>
        <v>20</v>
      </c>
      <c r="D27" s="235">
        <f t="shared" si="8"/>
        <v>9</v>
      </c>
      <c r="E27" s="2159" t="str">
        <f t="shared" si="0"/>
        <v xml:space="preserve">attiva trim.  </v>
      </c>
      <c r="F27" s="2160"/>
      <c r="G27" s="237"/>
      <c r="H27" s="237"/>
      <c r="I27" s="828"/>
      <c r="J27" s="829"/>
      <c r="K27" s="237"/>
      <c r="L27" s="828"/>
      <c r="M27" s="829"/>
      <c r="N27" s="237"/>
      <c r="O27" s="828"/>
      <c r="P27" s="829"/>
      <c r="Q27" s="6"/>
      <c r="R27" s="1053">
        <f t="shared" si="9"/>
        <v>0</v>
      </c>
      <c r="S27" s="1054">
        <f t="shared" si="1"/>
        <v>0</v>
      </c>
      <c r="T27" s="1054">
        <f t="shared" si="10"/>
        <v>0</v>
      </c>
      <c r="U27" s="1055">
        <f t="shared" si="11"/>
        <v>0</v>
      </c>
      <c r="V27" s="231">
        <f t="shared" si="31"/>
        <v>45555</v>
      </c>
      <c r="W27" s="1053">
        <f t="shared" si="2"/>
        <v>0</v>
      </c>
      <c r="X27" s="1054">
        <f t="shared" si="3"/>
        <v>0</v>
      </c>
      <c r="Y27" s="1054">
        <f t="shared" si="4"/>
        <v>0</v>
      </c>
      <c r="Z27" s="1055">
        <f t="shared" si="5"/>
        <v>0</v>
      </c>
      <c r="AA27" s="822">
        <f>VLOOKUP(V27,CASSA!$B$114:$C$479,2,FALSE)</f>
        <v>0</v>
      </c>
      <c r="AB27" s="1053">
        <f t="shared" si="12"/>
        <v>0</v>
      </c>
      <c r="AC27" s="1054">
        <f t="shared" si="13"/>
        <v>0</v>
      </c>
      <c r="AD27" s="1054">
        <f t="shared" si="14"/>
        <v>0</v>
      </c>
      <c r="AE27" s="1055">
        <f t="shared" si="15"/>
        <v>0</v>
      </c>
      <c r="AF27" s="2"/>
      <c r="AG27" s="1090">
        <f t="shared" si="16"/>
        <v>0</v>
      </c>
      <c r="AH27" s="1091">
        <f t="shared" si="17"/>
        <v>0</v>
      </c>
      <c r="AI27" s="1054">
        <f t="shared" si="18"/>
        <v>0</v>
      </c>
      <c r="AJ27" s="1054">
        <f t="shared" si="19"/>
        <v>0</v>
      </c>
      <c r="AK27" s="1092">
        <f t="shared" si="6"/>
        <v>0</v>
      </c>
      <c r="AL27" s="2"/>
      <c r="AM27" s="1090">
        <f t="shared" si="7"/>
        <v>0</v>
      </c>
      <c r="AN27" s="1105">
        <f t="shared" si="20"/>
        <v>0</v>
      </c>
      <c r="AO27" s="1054">
        <f t="shared" si="21"/>
        <v>0</v>
      </c>
      <c r="AP27" s="1054">
        <f t="shared" si="22"/>
        <v>0</v>
      </c>
      <c r="AQ27" s="1092">
        <f t="shared" si="23"/>
        <v>0</v>
      </c>
      <c r="AR27" s="2"/>
      <c r="AS27" s="1090">
        <f t="shared" si="24"/>
        <v>0</v>
      </c>
      <c r="AT27" s="1091">
        <f t="shared" si="25"/>
        <v>0</v>
      </c>
      <c r="AU27" s="1054">
        <f t="shared" si="26"/>
        <v>0</v>
      </c>
      <c r="AV27" s="1054">
        <f t="shared" si="27"/>
        <v>0</v>
      </c>
      <c r="AW27" s="1092">
        <f t="shared" si="28"/>
        <v>0</v>
      </c>
      <c r="AX27" s="2"/>
      <c r="AY27" s="1090">
        <f t="shared" si="29"/>
        <v>0</v>
      </c>
      <c r="AZ27" s="1385"/>
      <c r="BA27" s="2"/>
    </row>
    <row r="28" spans="1:53" ht="20.25" customHeight="1" x14ac:dyDescent="0.2">
      <c r="A28" s="2"/>
      <c r="B28" s="18">
        <v>21</v>
      </c>
      <c r="C28" s="234">
        <f t="shared" si="30"/>
        <v>21</v>
      </c>
      <c r="D28" s="235">
        <f t="shared" si="8"/>
        <v>9</v>
      </c>
      <c r="E28" s="2159" t="str">
        <f t="shared" si="0"/>
        <v xml:space="preserve">attiva trim.  </v>
      </c>
      <c r="F28" s="2160"/>
      <c r="G28" s="237"/>
      <c r="H28" s="237"/>
      <c r="I28" s="828"/>
      <c r="J28" s="829"/>
      <c r="K28" s="237"/>
      <c r="L28" s="828"/>
      <c r="M28" s="829"/>
      <c r="N28" s="237"/>
      <c r="O28" s="828"/>
      <c r="P28" s="829"/>
      <c r="Q28" s="6"/>
      <c r="R28" s="1053">
        <f t="shared" si="9"/>
        <v>0</v>
      </c>
      <c r="S28" s="1054">
        <f t="shared" si="1"/>
        <v>0</v>
      </c>
      <c r="T28" s="1054">
        <f t="shared" si="10"/>
        <v>0</v>
      </c>
      <c r="U28" s="1055">
        <f t="shared" si="11"/>
        <v>0</v>
      </c>
      <c r="V28" s="231">
        <f t="shared" si="31"/>
        <v>45556</v>
      </c>
      <c r="W28" s="1053">
        <f t="shared" si="2"/>
        <v>0</v>
      </c>
      <c r="X28" s="1054">
        <f t="shared" si="3"/>
        <v>0</v>
      </c>
      <c r="Y28" s="1054">
        <f t="shared" si="4"/>
        <v>0</v>
      </c>
      <c r="Z28" s="1055">
        <f t="shared" si="5"/>
        <v>0</v>
      </c>
      <c r="AA28" s="822">
        <f>VLOOKUP(V28,CASSA!$B$114:$C$479,2,FALSE)</f>
        <v>0</v>
      </c>
      <c r="AB28" s="1053">
        <f t="shared" si="12"/>
        <v>0</v>
      </c>
      <c r="AC28" s="1054">
        <f t="shared" si="13"/>
        <v>0</v>
      </c>
      <c r="AD28" s="1054">
        <f t="shared" si="14"/>
        <v>0</v>
      </c>
      <c r="AE28" s="1055">
        <f t="shared" si="15"/>
        <v>0</v>
      </c>
      <c r="AF28" s="2"/>
      <c r="AG28" s="1090">
        <f t="shared" si="16"/>
        <v>0</v>
      </c>
      <c r="AH28" s="1091">
        <f t="shared" si="17"/>
        <v>0</v>
      </c>
      <c r="AI28" s="1054">
        <f t="shared" si="18"/>
        <v>0</v>
      </c>
      <c r="AJ28" s="1054">
        <f t="shared" si="19"/>
        <v>0</v>
      </c>
      <c r="AK28" s="1092">
        <f t="shared" si="6"/>
        <v>0</v>
      </c>
      <c r="AL28" s="2"/>
      <c r="AM28" s="1090">
        <f t="shared" si="7"/>
        <v>0</v>
      </c>
      <c r="AN28" s="1105">
        <f t="shared" si="20"/>
        <v>0</v>
      </c>
      <c r="AO28" s="1054">
        <f t="shared" si="21"/>
        <v>0</v>
      </c>
      <c r="AP28" s="1054">
        <f t="shared" si="22"/>
        <v>0</v>
      </c>
      <c r="AQ28" s="1092">
        <f t="shared" si="23"/>
        <v>0</v>
      </c>
      <c r="AR28" s="2"/>
      <c r="AS28" s="1090">
        <f t="shared" si="24"/>
        <v>0</v>
      </c>
      <c r="AT28" s="1091">
        <f t="shared" si="25"/>
        <v>0</v>
      </c>
      <c r="AU28" s="1054">
        <f t="shared" si="26"/>
        <v>0</v>
      </c>
      <c r="AV28" s="1054">
        <f t="shared" si="27"/>
        <v>0</v>
      </c>
      <c r="AW28" s="1092">
        <f t="shared" si="28"/>
        <v>0</v>
      </c>
      <c r="AX28" s="2"/>
      <c r="AY28" s="1090">
        <f t="shared" si="29"/>
        <v>0</v>
      </c>
      <c r="AZ28" s="1385"/>
      <c r="BA28" s="2"/>
    </row>
    <row r="29" spans="1:53" ht="20.25" customHeight="1" x14ac:dyDescent="0.2">
      <c r="A29" s="2"/>
      <c r="B29" s="18">
        <v>22</v>
      </c>
      <c r="C29" s="234">
        <f t="shared" si="30"/>
        <v>22</v>
      </c>
      <c r="D29" s="235">
        <f t="shared" si="8"/>
        <v>9</v>
      </c>
      <c r="E29" s="2159" t="str">
        <f t="shared" si="0"/>
        <v xml:space="preserve">attiva trim.  </v>
      </c>
      <c r="F29" s="2160"/>
      <c r="G29" s="237"/>
      <c r="H29" s="237"/>
      <c r="I29" s="828"/>
      <c r="J29" s="829"/>
      <c r="K29" s="237"/>
      <c r="L29" s="828"/>
      <c r="M29" s="829"/>
      <c r="N29" s="237"/>
      <c r="O29" s="828"/>
      <c r="P29" s="829"/>
      <c r="Q29" s="6"/>
      <c r="R29" s="1053">
        <f t="shared" si="9"/>
        <v>0</v>
      </c>
      <c r="S29" s="1054">
        <f t="shared" si="1"/>
        <v>0</v>
      </c>
      <c r="T29" s="1054">
        <f t="shared" si="10"/>
        <v>0</v>
      </c>
      <c r="U29" s="1055">
        <f t="shared" si="11"/>
        <v>0</v>
      </c>
      <c r="V29" s="231">
        <f t="shared" si="31"/>
        <v>45557</v>
      </c>
      <c r="W29" s="1053">
        <f t="shared" si="2"/>
        <v>0</v>
      </c>
      <c r="X29" s="1054">
        <f t="shared" si="3"/>
        <v>0</v>
      </c>
      <c r="Y29" s="1054">
        <f t="shared" si="4"/>
        <v>0</v>
      </c>
      <c r="Z29" s="1055">
        <f t="shared" si="5"/>
        <v>0</v>
      </c>
      <c r="AA29" s="822">
        <f>VLOOKUP(V29,CASSA!$B$114:$C$479,2,FALSE)</f>
        <v>0</v>
      </c>
      <c r="AB29" s="1053">
        <f t="shared" si="12"/>
        <v>0</v>
      </c>
      <c r="AC29" s="1054">
        <f t="shared" si="13"/>
        <v>0</v>
      </c>
      <c r="AD29" s="1054">
        <f t="shared" si="14"/>
        <v>0</v>
      </c>
      <c r="AE29" s="1055">
        <f t="shared" si="15"/>
        <v>0</v>
      </c>
      <c r="AF29" s="2"/>
      <c r="AG29" s="1090">
        <f t="shared" si="16"/>
        <v>0</v>
      </c>
      <c r="AH29" s="1091">
        <f t="shared" si="17"/>
        <v>0</v>
      </c>
      <c r="AI29" s="1054">
        <f t="shared" si="18"/>
        <v>0</v>
      </c>
      <c r="AJ29" s="1054">
        <f t="shared" si="19"/>
        <v>0</v>
      </c>
      <c r="AK29" s="1092">
        <f t="shared" si="6"/>
        <v>0</v>
      </c>
      <c r="AL29" s="2"/>
      <c r="AM29" s="1090">
        <f t="shared" si="7"/>
        <v>0</v>
      </c>
      <c r="AN29" s="1105">
        <f t="shared" si="20"/>
        <v>0</v>
      </c>
      <c r="AO29" s="1054">
        <f t="shared" si="21"/>
        <v>0</v>
      </c>
      <c r="AP29" s="1054">
        <f t="shared" si="22"/>
        <v>0</v>
      </c>
      <c r="AQ29" s="1092">
        <f t="shared" si="23"/>
        <v>0</v>
      </c>
      <c r="AR29" s="2"/>
      <c r="AS29" s="1090">
        <f t="shared" si="24"/>
        <v>0</v>
      </c>
      <c r="AT29" s="1091">
        <f t="shared" si="25"/>
        <v>0</v>
      </c>
      <c r="AU29" s="1054">
        <f t="shared" si="26"/>
        <v>0</v>
      </c>
      <c r="AV29" s="1054">
        <f t="shared" si="27"/>
        <v>0</v>
      </c>
      <c r="AW29" s="1092">
        <f t="shared" si="28"/>
        <v>0</v>
      </c>
      <c r="AX29" s="2"/>
      <c r="AY29" s="1090">
        <f t="shared" si="29"/>
        <v>0</v>
      </c>
      <c r="AZ29" s="1385"/>
      <c r="BA29" s="2"/>
    </row>
    <row r="30" spans="1:53" ht="20.25" customHeight="1" x14ac:dyDescent="0.2">
      <c r="A30" s="2"/>
      <c r="B30" s="18">
        <v>23</v>
      </c>
      <c r="C30" s="234">
        <f t="shared" si="30"/>
        <v>23</v>
      </c>
      <c r="D30" s="235">
        <f t="shared" si="8"/>
        <v>9</v>
      </c>
      <c r="E30" s="2159" t="str">
        <f t="shared" si="0"/>
        <v xml:space="preserve">attiva trim.  </v>
      </c>
      <c r="F30" s="2160"/>
      <c r="G30" s="237"/>
      <c r="H30" s="237"/>
      <c r="I30" s="828"/>
      <c r="J30" s="829"/>
      <c r="K30" s="237"/>
      <c r="L30" s="828"/>
      <c r="M30" s="829"/>
      <c r="N30" s="237"/>
      <c r="O30" s="828"/>
      <c r="P30" s="829"/>
      <c r="Q30" s="6"/>
      <c r="R30" s="1053">
        <f t="shared" si="9"/>
        <v>0</v>
      </c>
      <c r="S30" s="1054">
        <f t="shared" si="1"/>
        <v>0</v>
      </c>
      <c r="T30" s="1054">
        <f t="shared" si="10"/>
        <v>0</v>
      </c>
      <c r="U30" s="1055">
        <f t="shared" si="11"/>
        <v>0</v>
      </c>
      <c r="V30" s="231">
        <f t="shared" si="31"/>
        <v>45558</v>
      </c>
      <c r="W30" s="1053">
        <f t="shared" si="2"/>
        <v>0</v>
      </c>
      <c r="X30" s="1054">
        <f t="shared" si="3"/>
        <v>0</v>
      </c>
      <c r="Y30" s="1054">
        <f t="shared" si="4"/>
        <v>0</v>
      </c>
      <c r="Z30" s="1055">
        <f t="shared" si="5"/>
        <v>0</v>
      </c>
      <c r="AA30" s="822">
        <f>VLOOKUP(V30,CASSA!$B$114:$C$479,2,FALSE)</f>
        <v>0</v>
      </c>
      <c r="AB30" s="1053">
        <f t="shared" si="12"/>
        <v>0</v>
      </c>
      <c r="AC30" s="1054">
        <f t="shared" si="13"/>
        <v>0</v>
      </c>
      <c r="AD30" s="1054">
        <f t="shared" si="14"/>
        <v>0</v>
      </c>
      <c r="AE30" s="1055">
        <f t="shared" si="15"/>
        <v>0</v>
      </c>
      <c r="AF30" s="2"/>
      <c r="AG30" s="1090">
        <f t="shared" si="16"/>
        <v>0</v>
      </c>
      <c r="AH30" s="1091">
        <f t="shared" si="17"/>
        <v>0</v>
      </c>
      <c r="AI30" s="1054">
        <f t="shared" si="18"/>
        <v>0</v>
      </c>
      <c r="AJ30" s="1054">
        <f t="shared" si="19"/>
        <v>0</v>
      </c>
      <c r="AK30" s="1092">
        <f t="shared" si="6"/>
        <v>0</v>
      </c>
      <c r="AL30" s="2"/>
      <c r="AM30" s="1090">
        <f t="shared" si="7"/>
        <v>0</v>
      </c>
      <c r="AN30" s="1105">
        <f t="shared" si="20"/>
        <v>0</v>
      </c>
      <c r="AO30" s="1054">
        <f t="shared" si="21"/>
        <v>0</v>
      </c>
      <c r="AP30" s="1054">
        <f t="shared" si="22"/>
        <v>0</v>
      </c>
      <c r="AQ30" s="1092">
        <f t="shared" si="23"/>
        <v>0</v>
      </c>
      <c r="AR30" s="2"/>
      <c r="AS30" s="1090">
        <f t="shared" si="24"/>
        <v>0</v>
      </c>
      <c r="AT30" s="1091">
        <f t="shared" si="25"/>
        <v>0</v>
      </c>
      <c r="AU30" s="1054">
        <f t="shared" si="26"/>
        <v>0</v>
      </c>
      <c r="AV30" s="1054">
        <f t="shared" si="27"/>
        <v>0</v>
      </c>
      <c r="AW30" s="1092">
        <f t="shared" si="28"/>
        <v>0</v>
      </c>
      <c r="AX30" s="2"/>
      <c r="AY30" s="1090">
        <f t="shared" si="29"/>
        <v>0</v>
      </c>
      <c r="AZ30" s="1385"/>
      <c r="BA30" s="2"/>
    </row>
    <row r="31" spans="1:53" ht="20.25" customHeight="1" x14ac:dyDescent="0.2">
      <c r="A31" s="2"/>
      <c r="B31" s="18">
        <v>24</v>
      </c>
      <c r="C31" s="234">
        <f t="shared" si="30"/>
        <v>24</v>
      </c>
      <c r="D31" s="235">
        <f t="shared" si="8"/>
        <v>9</v>
      </c>
      <c r="E31" s="2159" t="str">
        <f t="shared" si="0"/>
        <v xml:space="preserve">attiva trim.  </v>
      </c>
      <c r="F31" s="2160"/>
      <c r="G31" s="237"/>
      <c r="H31" s="237"/>
      <c r="I31" s="828"/>
      <c r="J31" s="829"/>
      <c r="K31" s="237"/>
      <c r="L31" s="828"/>
      <c r="M31" s="829"/>
      <c r="N31" s="237"/>
      <c r="O31" s="828"/>
      <c r="P31" s="829"/>
      <c r="Q31" s="6"/>
      <c r="R31" s="1053">
        <f t="shared" si="9"/>
        <v>0</v>
      </c>
      <c r="S31" s="1054">
        <f t="shared" si="1"/>
        <v>0</v>
      </c>
      <c r="T31" s="1054">
        <f t="shared" si="10"/>
        <v>0</v>
      </c>
      <c r="U31" s="1055">
        <f t="shared" si="11"/>
        <v>0</v>
      </c>
      <c r="V31" s="231">
        <f t="shared" si="31"/>
        <v>45559</v>
      </c>
      <c r="W31" s="1053">
        <f t="shared" si="2"/>
        <v>0</v>
      </c>
      <c r="X31" s="1054">
        <f t="shared" si="3"/>
        <v>0</v>
      </c>
      <c r="Y31" s="1054">
        <f t="shared" si="4"/>
        <v>0</v>
      </c>
      <c r="Z31" s="1055">
        <f t="shared" si="5"/>
        <v>0</v>
      </c>
      <c r="AA31" s="822">
        <f>VLOOKUP(V31,CASSA!$B$114:$C$479,2,FALSE)</f>
        <v>0</v>
      </c>
      <c r="AB31" s="1053">
        <f t="shared" si="12"/>
        <v>0</v>
      </c>
      <c r="AC31" s="1054">
        <f t="shared" si="13"/>
        <v>0</v>
      </c>
      <c r="AD31" s="1054">
        <f t="shared" si="14"/>
        <v>0</v>
      </c>
      <c r="AE31" s="1055">
        <f t="shared" si="15"/>
        <v>0</v>
      </c>
      <c r="AF31" s="2"/>
      <c r="AG31" s="1090">
        <f t="shared" si="16"/>
        <v>0</v>
      </c>
      <c r="AH31" s="1091">
        <f t="shared" si="17"/>
        <v>0</v>
      </c>
      <c r="AI31" s="1054">
        <f t="shared" si="18"/>
        <v>0</v>
      </c>
      <c r="AJ31" s="1054">
        <f t="shared" si="19"/>
        <v>0</v>
      </c>
      <c r="AK31" s="1092">
        <f t="shared" si="6"/>
        <v>0</v>
      </c>
      <c r="AL31" s="2"/>
      <c r="AM31" s="1090">
        <f t="shared" si="7"/>
        <v>0</v>
      </c>
      <c r="AN31" s="1105">
        <f t="shared" si="20"/>
        <v>0</v>
      </c>
      <c r="AO31" s="1054">
        <f t="shared" si="21"/>
        <v>0</v>
      </c>
      <c r="AP31" s="1054">
        <f t="shared" si="22"/>
        <v>0</v>
      </c>
      <c r="AQ31" s="1092">
        <f t="shared" si="23"/>
        <v>0</v>
      </c>
      <c r="AR31" s="2"/>
      <c r="AS31" s="1090">
        <f t="shared" si="24"/>
        <v>0</v>
      </c>
      <c r="AT31" s="1091">
        <f t="shared" si="25"/>
        <v>0</v>
      </c>
      <c r="AU31" s="1054">
        <f t="shared" si="26"/>
        <v>0</v>
      </c>
      <c r="AV31" s="1054">
        <f t="shared" si="27"/>
        <v>0</v>
      </c>
      <c r="AW31" s="1092">
        <f t="shared" si="28"/>
        <v>0</v>
      </c>
      <c r="AX31" s="2"/>
      <c r="AY31" s="1090">
        <f t="shared" si="29"/>
        <v>0</v>
      </c>
      <c r="AZ31" s="1385"/>
      <c r="BA31" s="2"/>
    </row>
    <row r="32" spans="1:53" ht="20.25" customHeight="1" x14ac:dyDescent="0.2">
      <c r="A32" s="2"/>
      <c r="B32" s="18">
        <v>25</v>
      </c>
      <c r="C32" s="234">
        <f t="shared" si="30"/>
        <v>25</v>
      </c>
      <c r="D32" s="235">
        <f t="shared" si="8"/>
        <v>9</v>
      </c>
      <c r="E32" s="2159" t="str">
        <f t="shared" si="0"/>
        <v xml:space="preserve">attiva trim.  </v>
      </c>
      <c r="F32" s="2160"/>
      <c r="G32" s="237"/>
      <c r="H32" s="237"/>
      <c r="I32" s="828"/>
      <c r="J32" s="829"/>
      <c r="K32" s="237"/>
      <c r="L32" s="828"/>
      <c r="M32" s="829"/>
      <c r="N32" s="237"/>
      <c r="O32" s="828"/>
      <c r="P32" s="829"/>
      <c r="Q32" s="6"/>
      <c r="R32" s="1053">
        <f t="shared" si="9"/>
        <v>0</v>
      </c>
      <c r="S32" s="1054">
        <f t="shared" si="1"/>
        <v>0</v>
      </c>
      <c r="T32" s="1054">
        <f t="shared" si="10"/>
        <v>0</v>
      </c>
      <c r="U32" s="1055">
        <f t="shared" si="11"/>
        <v>0</v>
      </c>
      <c r="V32" s="231">
        <f t="shared" si="31"/>
        <v>45560</v>
      </c>
      <c r="W32" s="1053">
        <f t="shared" si="2"/>
        <v>0</v>
      </c>
      <c r="X32" s="1054">
        <f t="shared" si="3"/>
        <v>0</v>
      </c>
      <c r="Y32" s="1054">
        <f t="shared" si="4"/>
        <v>0</v>
      </c>
      <c r="Z32" s="1055">
        <f t="shared" si="5"/>
        <v>0</v>
      </c>
      <c r="AA32" s="822">
        <f>VLOOKUP(V32,CASSA!$B$114:$C$479,2,FALSE)</f>
        <v>0</v>
      </c>
      <c r="AB32" s="1053">
        <f t="shared" si="12"/>
        <v>0</v>
      </c>
      <c r="AC32" s="1054">
        <f t="shared" si="13"/>
        <v>0</v>
      </c>
      <c r="AD32" s="1054">
        <f t="shared" si="14"/>
        <v>0</v>
      </c>
      <c r="AE32" s="1055">
        <f t="shared" si="15"/>
        <v>0</v>
      </c>
      <c r="AF32" s="2"/>
      <c r="AG32" s="1090">
        <f t="shared" si="16"/>
        <v>0</v>
      </c>
      <c r="AH32" s="1091">
        <f t="shared" si="17"/>
        <v>0</v>
      </c>
      <c r="AI32" s="1054">
        <f t="shared" si="18"/>
        <v>0</v>
      </c>
      <c r="AJ32" s="1054">
        <f t="shared" si="19"/>
        <v>0</v>
      </c>
      <c r="AK32" s="1092">
        <f t="shared" si="6"/>
        <v>0</v>
      </c>
      <c r="AL32" s="2"/>
      <c r="AM32" s="1090">
        <f t="shared" si="7"/>
        <v>0</v>
      </c>
      <c r="AN32" s="1105">
        <f t="shared" si="20"/>
        <v>0</v>
      </c>
      <c r="AO32" s="1054">
        <f t="shared" si="21"/>
        <v>0</v>
      </c>
      <c r="AP32" s="1054">
        <f t="shared" si="22"/>
        <v>0</v>
      </c>
      <c r="AQ32" s="1092">
        <f t="shared" si="23"/>
        <v>0</v>
      </c>
      <c r="AR32" s="2"/>
      <c r="AS32" s="1090">
        <f t="shared" si="24"/>
        <v>0</v>
      </c>
      <c r="AT32" s="1091">
        <f t="shared" si="25"/>
        <v>0</v>
      </c>
      <c r="AU32" s="1054">
        <f t="shared" si="26"/>
        <v>0</v>
      </c>
      <c r="AV32" s="1054">
        <f t="shared" si="27"/>
        <v>0</v>
      </c>
      <c r="AW32" s="1092">
        <f t="shared" si="28"/>
        <v>0</v>
      </c>
      <c r="AX32" s="2"/>
      <c r="AY32" s="1090">
        <f t="shared" si="29"/>
        <v>0</v>
      </c>
      <c r="AZ32" s="1385"/>
      <c r="BA32" s="2"/>
    </row>
    <row r="33" spans="1:54" ht="20.25" customHeight="1" x14ac:dyDescent="0.2">
      <c r="A33" s="2"/>
      <c r="B33" s="18">
        <v>26</v>
      </c>
      <c r="C33" s="234">
        <f t="shared" si="30"/>
        <v>26</v>
      </c>
      <c r="D33" s="235">
        <f t="shared" si="8"/>
        <v>9</v>
      </c>
      <c r="E33" s="2159" t="str">
        <f t="shared" si="0"/>
        <v xml:space="preserve">attiva trim.  </v>
      </c>
      <c r="F33" s="2160"/>
      <c r="G33" s="237"/>
      <c r="H33" s="237"/>
      <c r="I33" s="828"/>
      <c r="J33" s="829"/>
      <c r="K33" s="237"/>
      <c r="L33" s="828"/>
      <c r="M33" s="829"/>
      <c r="N33" s="237"/>
      <c r="O33" s="828"/>
      <c r="P33" s="829"/>
      <c r="Q33" s="6"/>
      <c r="R33" s="1053">
        <f t="shared" si="9"/>
        <v>0</v>
      </c>
      <c r="S33" s="1054">
        <f t="shared" si="1"/>
        <v>0</v>
      </c>
      <c r="T33" s="1054">
        <f t="shared" si="10"/>
        <v>0</v>
      </c>
      <c r="U33" s="1055">
        <f t="shared" si="11"/>
        <v>0</v>
      </c>
      <c r="V33" s="231">
        <f t="shared" si="31"/>
        <v>45561</v>
      </c>
      <c r="W33" s="1053">
        <f t="shared" si="2"/>
        <v>0</v>
      </c>
      <c r="X33" s="1054">
        <f t="shared" si="3"/>
        <v>0</v>
      </c>
      <c r="Y33" s="1054">
        <f t="shared" si="4"/>
        <v>0</v>
      </c>
      <c r="Z33" s="1055">
        <f t="shared" si="5"/>
        <v>0</v>
      </c>
      <c r="AA33" s="822">
        <f>VLOOKUP(V33,CASSA!$B$114:$C$479,2,FALSE)</f>
        <v>0</v>
      </c>
      <c r="AB33" s="1053">
        <f t="shared" si="12"/>
        <v>0</v>
      </c>
      <c r="AC33" s="1054">
        <f t="shared" si="13"/>
        <v>0</v>
      </c>
      <c r="AD33" s="1054">
        <f t="shared" si="14"/>
        <v>0</v>
      </c>
      <c r="AE33" s="1055">
        <f t="shared" si="15"/>
        <v>0</v>
      </c>
      <c r="AF33" s="2"/>
      <c r="AG33" s="1090">
        <f t="shared" si="16"/>
        <v>0</v>
      </c>
      <c r="AH33" s="1091">
        <f t="shared" si="17"/>
        <v>0</v>
      </c>
      <c r="AI33" s="1054">
        <f t="shared" si="18"/>
        <v>0</v>
      </c>
      <c r="AJ33" s="1054">
        <f t="shared" si="19"/>
        <v>0</v>
      </c>
      <c r="AK33" s="1092">
        <f t="shared" si="6"/>
        <v>0</v>
      </c>
      <c r="AL33" s="2"/>
      <c r="AM33" s="1090">
        <f t="shared" si="7"/>
        <v>0</v>
      </c>
      <c r="AN33" s="1105">
        <f t="shared" si="20"/>
        <v>0</v>
      </c>
      <c r="AO33" s="1054">
        <f t="shared" si="21"/>
        <v>0</v>
      </c>
      <c r="AP33" s="1054">
        <f t="shared" si="22"/>
        <v>0</v>
      </c>
      <c r="AQ33" s="1092">
        <f t="shared" si="23"/>
        <v>0</v>
      </c>
      <c r="AR33" s="2"/>
      <c r="AS33" s="1090">
        <f t="shared" si="24"/>
        <v>0</v>
      </c>
      <c r="AT33" s="1091">
        <f t="shared" si="25"/>
        <v>0</v>
      </c>
      <c r="AU33" s="1054">
        <f t="shared" si="26"/>
        <v>0</v>
      </c>
      <c r="AV33" s="1054">
        <f t="shared" si="27"/>
        <v>0</v>
      </c>
      <c r="AW33" s="1092">
        <f t="shared" si="28"/>
        <v>0</v>
      </c>
      <c r="AX33" s="2"/>
      <c r="AY33" s="1090">
        <f t="shared" si="29"/>
        <v>0</v>
      </c>
      <c r="AZ33" s="1385"/>
      <c r="BA33" s="2"/>
    </row>
    <row r="34" spans="1:54" ht="20.25" customHeight="1" x14ac:dyDescent="0.2">
      <c r="A34" s="2"/>
      <c r="B34" s="18">
        <v>27</v>
      </c>
      <c r="C34" s="234">
        <f t="shared" si="30"/>
        <v>27</v>
      </c>
      <c r="D34" s="235">
        <f t="shared" si="8"/>
        <v>9</v>
      </c>
      <c r="E34" s="2159" t="str">
        <f t="shared" si="0"/>
        <v xml:space="preserve">attiva trim.  </v>
      </c>
      <c r="F34" s="2160"/>
      <c r="G34" s="237"/>
      <c r="H34" s="237"/>
      <c r="I34" s="828"/>
      <c r="J34" s="829"/>
      <c r="K34" s="237"/>
      <c r="L34" s="828"/>
      <c r="M34" s="829"/>
      <c r="N34" s="237"/>
      <c r="O34" s="828"/>
      <c r="P34" s="829"/>
      <c r="Q34" s="6"/>
      <c r="R34" s="1053">
        <f t="shared" si="9"/>
        <v>0</v>
      </c>
      <c r="S34" s="1054">
        <f t="shared" si="1"/>
        <v>0</v>
      </c>
      <c r="T34" s="1054">
        <f t="shared" si="10"/>
        <v>0</v>
      </c>
      <c r="U34" s="1055">
        <f t="shared" si="11"/>
        <v>0</v>
      </c>
      <c r="V34" s="231">
        <f t="shared" si="31"/>
        <v>45562</v>
      </c>
      <c r="W34" s="1053">
        <f t="shared" si="2"/>
        <v>0</v>
      </c>
      <c r="X34" s="1054">
        <f t="shared" si="3"/>
        <v>0</v>
      </c>
      <c r="Y34" s="1054">
        <f t="shared" si="4"/>
        <v>0</v>
      </c>
      <c r="Z34" s="1055">
        <f t="shared" si="5"/>
        <v>0</v>
      </c>
      <c r="AA34" s="822">
        <f>VLOOKUP(V34,CASSA!$B$114:$C$479,2,FALSE)</f>
        <v>0</v>
      </c>
      <c r="AB34" s="1053">
        <f t="shared" si="12"/>
        <v>0</v>
      </c>
      <c r="AC34" s="1054">
        <f t="shared" si="13"/>
        <v>0</v>
      </c>
      <c r="AD34" s="1054">
        <f t="shared" si="14"/>
        <v>0</v>
      </c>
      <c r="AE34" s="1055">
        <f t="shared" si="15"/>
        <v>0</v>
      </c>
      <c r="AF34" s="2"/>
      <c r="AG34" s="1090">
        <f t="shared" si="16"/>
        <v>0</v>
      </c>
      <c r="AH34" s="1091">
        <f t="shared" si="17"/>
        <v>0</v>
      </c>
      <c r="AI34" s="1054">
        <f t="shared" si="18"/>
        <v>0</v>
      </c>
      <c r="AJ34" s="1054">
        <f t="shared" si="19"/>
        <v>0</v>
      </c>
      <c r="AK34" s="1092">
        <f t="shared" si="6"/>
        <v>0</v>
      </c>
      <c r="AL34" s="2"/>
      <c r="AM34" s="1090">
        <f t="shared" si="7"/>
        <v>0</v>
      </c>
      <c r="AN34" s="1105">
        <f t="shared" si="20"/>
        <v>0</v>
      </c>
      <c r="AO34" s="1054">
        <f t="shared" si="21"/>
        <v>0</v>
      </c>
      <c r="AP34" s="1054">
        <f t="shared" si="22"/>
        <v>0</v>
      </c>
      <c r="AQ34" s="1092">
        <f t="shared" si="23"/>
        <v>0</v>
      </c>
      <c r="AR34" s="2"/>
      <c r="AS34" s="1090">
        <f t="shared" si="24"/>
        <v>0</v>
      </c>
      <c r="AT34" s="1091">
        <f t="shared" si="25"/>
        <v>0</v>
      </c>
      <c r="AU34" s="1054">
        <f t="shared" si="26"/>
        <v>0</v>
      </c>
      <c r="AV34" s="1054">
        <f t="shared" si="27"/>
        <v>0</v>
      </c>
      <c r="AW34" s="1092">
        <f t="shared" si="28"/>
        <v>0</v>
      </c>
      <c r="AX34" s="2"/>
      <c r="AY34" s="1090">
        <f t="shared" si="29"/>
        <v>0</v>
      </c>
      <c r="AZ34" s="1385"/>
      <c r="BA34" s="2"/>
    </row>
    <row r="35" spans="1:54" ht="20.25" customHeight="1" x14ac:dyDescent="0.2">
      <c r="A35" s="2"/>
      <c r="B35" s="18">
        <v>28</v>
      </c>
      <c r="C35" s="234">
        <f t="shared" si="30"/>
        <v>28</v>
      </c>
      <c r="D35" s="235">
        <f t="shared" si="8"/>
        <v>9</v>
      </c>
      <c r="E35" s="2159" t="str">
        <f t="shared" si="0"/>
        <v xml:space="preserve">attiva trim.  </v>
      </c>
      <c r="F35" s="2160"/>
      <c r="G35" s="237"/>
      <c r="H35" s="237"/>
      <c r="I35" s="828"/>
      <c r="J35" s="829"/>
      <c r="K35" s="237"/>
      <c r="L35" s="828"/>
      <c r="M35" s="829"/>
      <c r="N35" s="237"/>
      <c r="O35" s="828"/>
      <c r="P35" s="829"/>
      <c r="Q35" s="6"/>
      <c r="R35" s="1053">
        <f t="shared" si="9"/>
        <v>0</v>
      </c>
      <c r="S35" s="1054">
        <f t="shared" si="1"/>
        <v>0</v>
      </c>
      <c r="T35" s="1054">
        <f t="shared" si="10"/>
        <v>0</v>
      </c>
      <c r="U35" s="1055">
        <f t="shared" si="11"/>
        <v>0</v>
      </c>
      <c r="V35" s="231">
        <f t="shared" si="31"/>
        <v>45563</v>
      </c>
      <c r="W35" s="1053">
        <f t="shared" si="2"/>
        <v>0</v>
      </c>
      <c r="X35" s="1054">
        <f t="shared" si="3"/>
        <v>0</v>
      </c>
      <c r="Y35" s="1054">
        <f t="shared" si="4"/>
        <v>0</v>
      </c>
      <c r="Z35" s="1055">
        <f t="shared" si="5"/>
        <v>0</v>
      </c>
      <c r="AA35" s="822">
        <f>VLOOKUP(V35,CASSA!$B$114:$C$479,2,FALSE)</f>
        <v>0</v>
      </c>
      <c r="AB35" s="1053">
        <f t="shared" si="12"/>
        <v>0</v>
      </c>
      <c r="AC35" s="1054">
        <f t="shared" si="13"/>
        <v>0</v>
      </c>
      <c r="AD35" s="1054">
        <f t="shared" si="14"/>
        <v>0</v>
      </c>
      <c r="AE35" s="1055">
        <f t="shared" si="15"/>
        <v>0</v>
      </c>
      <c r="AF35" s="2"/>
      <c r="AG35" s="1090">
        <f t="shared" si="16"/>
        <v>0</v>
      </c>
      <c r="AH35" s="1091">
        <f t="shared" si="17"/>
        <v>0</v>
      </c>
      <c r="AI35" s="1054">
        <f t="shared" si="18"/>
        <v>0</v>
      </c>
      <c r="AJ35" s="1054">
        <f t="shared" si="19"/>
        <v>0</v>
      </c>
      <c r="AK35" s="1092">
        <f t="shared" si="6"/>
        <v>0</v>
      </c>
      <c r="AL35" s="2"/>
      <c r="AM35" s="1090">
        <f t="shared" si="7"/>
        <v>0</v>
      </c>
      <c r="AN35" s="1105">
        <f t="shared" si="20"/>
        <v>0</v>
      </c>
      <c r="AO35" s="1054">
        <f t="shared" si="21"/>
        <v>0</v>
      </c>
      <c r="AP35" s="1054">
        <f t="shared" si="22"/>
        <v>0</v>
      </c>
      <c r="AQ35" s="1092">
        <f t="shared" si="23"/>
        <v>0</v>
      </c>
      <c r="AR35" s="2"/>
      <c r="AS35" s="1090">
        <f t="shared" si="24"/>
        <v>0</v>
      </c>
      <c r="AT35" s="1091">
        <f t="shared" si="25"/>
        <v>0</v>
      </c>
      <c r="AU35" s="1054">
        <f t="shared" si="26"/>
        <v>0</v>
      </c>
      <c r="AV35" s="1054">
        <f t="shared" si="27"/>
        <v>0</v>
      </c>
      <c r="AW35" s="1092">
        <f t="shared" si="28"/>
        <v>0</v>
      </c>
      <c r="AX35" s="2"/>
      <c r="AY35" s="1090">
        <f t="shared" si="29"/>
        <v>0</v>
      </c>
      <c r="AZ35" s="1385"/>
      <c r="BA35" s="2"/>
    </row>
    <row r="36" spans="1:54" ht="20.25" customHeight="1" x14ac:dyDescent="0.2">
      <c r="A36" s="2"/>
      <c r="B36" s="18">
        <v>29</v>
      </c>
      <c r="C36" s="234">
        <f t="shared" si="30"/>
        <v>29</v>
      </c>
      <c r="D36" s="235">
        <f t="shared" si="8"/>
        <v>9</v>
      </c>
      <c r="E36" s="2159" t="str">
        <f t="shared" si="0"/>
        <v xml:space="preserve">attiva trim.  </v>
      </c>
      <c r="F36" s="2160"/>
      <c r="G36" s="237"/>
      <c r="H36" s="237"/>
      <c r="I36" s="828"/>
      <c r="J36" s="829"/>
      <c r="K36" s="237"/>
      <c r="L36" s="828"/>
      <c r="M36" s="829"/>
      <c r="N36" s="237"/>
      <c r="O36" s="828"/>
      <c r="P36" s="829"/>
      <c r="Q36" s="6"/>
      <c r="R36" s="1053">
        <f t="shared" si="9"/>
        <v>0</v>
      </c>
      <c r="S36" s="1054">
        <f t="shared" si="1"/>
        <v>0</v>
      </c>
      <c r="T36" s="1054">
        <f t="shared" si="10"/>
        <v>0</v>
      </c>
      <c r="U36" s="1055">
        <f t="shared" si="11"/>
        <v>0</v>
      </c>
      <c r="V36" s="231">
        <f t="shared" si="31"/>
        <v>45564</v>
      </c>
      <c r="W36" s="1053">
        <f t="shared" si="2"/>
        <v>0</v>
      </c>
      <c r="X36" s="1054">
        <f t="shared" si="3"/>
        <v>0</v>
      </c>
      <c r="Y36" s="1054">
        <f t="shared" si="4"/>
        <v>0</v>
      </c>
      <c r="Z36" s="1055">
        <f t="shared" si="5"/>
        <v>0</v>
      </c>
      <c r="AA36" s="822">
        <f>VLOOKUP(V36,CASSA!$B$114:$C$479,2,FALSE)</f>
        <v>0</v>
      </c>
      <c r="AB36" s="1053">
        <f t="shared" si="12"/>
        <v>0</v>
      </c>
      <c r="AC36" s="1054">
        <f t="shared" si="13"/>
        <v>0</v>
      </c>
      <c r="AD36" s="1054">
        <f t="shared" si="14"/>
        <v>0</v>
      </c>
      <c r="AE36" s="1055">
        <f t="shared" si="15"/>
        <v>0</v>
      </c>
      <c r="AF36" s="2"/>
      <c r="AG36" s="1090">
        <f t="shared" si="16"/>
        <v>0</v>
      </c>
      <c r="AH36" s="1091">
        <f t="shared" si="17"/>
        <v>0</v>
      </c>
      <c r="AI36" s="1054">
        <f t="shared" si="18"/>
        <v>0</v>
      </c>
      <c r="AJ36" s="1054">
        <f t="shared" si="19"/>
        <v>0</v>
      </c>
      <c r="AK36" s="1092">
        <f t="shared" si="6"/>
        <v>0</v>
      </c>
      <c r="AL36" s="2"/>
      <c r="AM36" s="1090">
        <f t="shared" si="7"/>
        <v>0</v>
      </c>
      <c r="AN36" s="1105">
        <f t="shared" si="20"/>
        <v>0</v>
      </c>
      <c r="AO36" s="1054">
        <f t="shared" si="21"/>
        <v>0</v>
      </c>
      <c r="AP36" s="1054">
        <f t="shared" si="22"/>
        <v>0</v>
      </c>
      <c r="AQ36" s="1092">
        <f t="shared" si="23"/>
        <v>0</v>
      </c>
      <c r="AR36" s="2"/>
      <c r="AS36" s="1090">
        <f t="shared" si="24"/>
        <v>0</v>
      </c>
      <c r="AT36" s="1091">
        <f t="shared" si="25"/>
        <v>0</v>
      </c>
      <c r="AU36" s="1054">
        <f t="shared" si="26"/>
        <v>0</v>
      </c>
      <c r="AV36" s="1054">
        <f t="shared" si="27"/>
        <v>0</v>
      </c>
      <c r="AW36" s="1092">
        <f t="shared" si="28"/>
        <v>0</v>
      </c>
      <c r="AX36" s="2"/>
      <c r="AY36" s="1090">
        <f t="shared" si="29"/>
        <v>0</v>
      </c>
      <c r="AZ36" s="1385"/>
      <c r="BA36" s="2"/>
    </row>
    <row r="37" spans="1:54" ht="20.25" customHeight="1" x14ac:dyDescent="0.2">
      <c r="A37" s="2"/>
      <c r="B37" s="18">
        <v>30</v>
      </c>
      <c r="C37" s="234">
        <f t="shared" si="30"/>
        <v>30</v>
      </c>
      <c r="D37" s="235">
        <f t="shared" si="8"/>
        <v>9</v>
      </c>
      <c r="E37" s="2240" t="str">
        <f t="shared" si="0"/>
        <v xml:space="preserve">attiva trim.  </v>
      </c>
      <c r="F37" s="2241"/>
      <c r="G37" s="823"/>
      <c r="H37" s="823"/>
      <c r="I37" s="842"/>
      <c r="J37" s="843"/>
      <c r="K37" s="823"/>
      <c r="L37" s="842"/>
      <c r="M37" s="843"/>
      <c r="N37" s="823"/>
      <c r="O37" s="842"/>
      <c r="P37" s="843"/>
      <c r="Q37" s="6"/>
      <c r="R37" s="1056">
        <f t="shared" si="9"/>
        <v>0</v>
      </c>
      <c r="S37" s="1057">
        <f t="shared" si="1"/>
        <v>0</v>
      </c>
      <c r="T37" s="1057">
        <f t="shared" si="10"/>
        <v>0</v>
      </c>
      <c r="U37" s="1058">
        <f t="shared" si="11"/>
        <v>0</v>
      </c>
      <c r="V37" s="231">
        <f t="shared" si="31"/>
        <v>45565</v>
      </c>
      <c r="W37" s="1056">
        <f t="shared" si="2"/>
        <v>0</v>
      </c>
      <c r="X37" s="1057">
        <f t="shared" si="3"/>
        <v>0</v>
      </c>
      <c r="Y37" s="1057">
        <f t="shared" si="4"/>
        <v>0</v>
      </c>
      <c r="Z37" s="1058">
        <f t="shared" si="5"/>
        <v>0</v>
      </c>
      <c r="AA37" s="822">
        <f>VLOOKUP(V37,CASSA!$B$114:$C$479,2,FALSE)</f>
        <v>0</v>
      </c>
      <c r="AB37" s="1056">
        <f t="shared" si="12"/>
        <v>0</v>
      </c>
      <c r="AC37" s="1057">
        <f t="shared" si="13"/>
        <v>0</v>
      </c>
      <c r="AD37" s="1057">
        <f t="shared" si="14"/>
        <v>0</v>
      </c>
      <c r="AE37" s="1058">
        <f t="shared" si="15"/>
        <v>0</v>
      </c>
      <c r="AF37" s="2"/>
      <c r="AG37" s="1093">
        <f t="shared" si="16"/>
        <v>0</v>
      </c>
      <c r="AH37" s="1094">
        <f t="shared" si="17"/>
        <v>0</v>
      </c>
      <c r="AI37" s="1057">
        <f t="shared" si="18"/>
        <v>0</v>
      </c>
      <c r="AJ37" s="1057">
        <f t="shared" si="19"/>
        <v>0</v>
      </c>
      <c r="AK37" s="1095">
        <f t="shared" si="6"/>
        <v>0</v>
      </c>
      <c r="AL37" s="2"/>
      <c r="AM37" s="1093">
        <f t="shared" si="7"/>
        <v>0</v>
      </c>
      <c r="AN37" s="1106">
        <f t="shared" si="20"/>
        <v>0</v>
      </c>
      <c r="AO37" s="1057">
        <f t="shared" si="21"/>
        <v>0</v>
      </c>
      <c r="AP37" s="1057">
        <f t="shared" si="22"/>
        <v>0</v>
      </c>
      <c r="AQ37" s="1095">
        <f t="shared" si="23"/>
        <v>0</v>
      </c>
      <c r="AR37" s="2"/>
      <c r="AS37" s="1093">
        <f t="shared" si="24"/>
        <v>0</v>
      </c>
      <c r="AT37" s="1094">
        <f t="shared" si="25"/>
        <v>0</v>
      </c>
      <c r="AU37" s="1057">
        <f t="shared" si="26"/>
        <v>0</v>
      </c>
      <c r="AV37" s="1057">
        <f t="shared" si="27"/>
        <v>0</v>
      </c>
      <c r="AW37" s="1095">
        <f t="shared" si="28"/>
        <v>0</v>
      </c>
      <c r="AX37" s="2"/>
      <c r="AY37" s="1093">
        <f t="shared" si="29"/>
        <v>0</v>
      </c>
      <c r="AZ37" s="1385"/>
      <c r="BA37" s="2"/>
    </row>
    <row r="38" spans="1:54" ht="20.25" customHeight="1" x14ac:dyDescent="0.2">
      <c r="A38" s="2"/>
      <c r="B38" s="18">
        <v>31</v>
      </c>
      <c r="C38" s="234" t="str">
        <f t="shared" si="30"/>
        <v>--</v>
      </c>
      <c r="D38" s="235" t="str">
        <f t="shared" si="8"/>
        <v>--</v>
      </c>
      <c r="E38" s="2238"/>
      <c r="F38" s="2239"/>
      <c r="G38" s="300"/>
      <c r="H38" s="300"/>
      <c r="I38" s="840"/>
      <c r="J38" s="841"/>
      <c r="K38" s="300"/>
      <c r="L38" s="840"/>
      <c r="M38" s="841"/>
      <c r="N38" s="300"/>
      <c r="O38" s="840"/>
      <c r="P38" s="841"/>
      <c r="Q38" s="6"/>
      <c r="R38" s="1059"/>
      <c r="S38" s="1059"/>
      <c r="T38" s="1059"/>
      <c r="U38" s="1059"/>
      <c r="V38" s="1060"/>
      <c r="W38" s="1059"/>
      <c r="X38" s="1059"/>
      <c r="Y38" s="1059"/>
      <c r="Z38" s="1059"/>
      <c r="AA38" s="822"/>
      <c r="AB38" s="1059"/>
      <c r="AC38" s="1059"/>
      <c r="AD38" s="1059"/>
      <c r="AE38" s="1059"/>
      <c r="AF38" s="2"/>
      <c r="AG38" s="2"/>
      <c r="AH38" s="2"/>
      <c r="AI38" s="2"/>
      <c r="AJ38" s="2"/>
      <c r="AK38" s="2"/>
      <c r="AL38" s="2"/>
      <c r="AM38" s="2"/>
      <c r="AN38" s="2"/>
      <c r="AO38" s="2"/>
      <c r="AP38" s="2"/>
      <c r="AQ38" s="2"/>
      <c r="AR38" s="2"/>
      <c r="AS38" s="2"/>
      <c r="AT38" s="2"/>
      <c r="AU38" s="2"/>
      <c r="AV38" s="2"/>
      <c r="AW38" s="2"/>
      <c r="AX38" s="2"/>
      <c r="AY38" s="2"/>
      <c r="AZ38" s="1386"/>
      <c r="BA38" s="2"/>
    </row>
    <row r="39" spans="1:54" ht="20.25" customHeight="1" x14ac:dyDescent="0.2">
      <c r="A39" s="2"/>
      <c r="B39" s="7"/>
      <c r="C39" s="2077" t="s">
        <v>177</v>
      </c>
      <c r="D39" s="2078"/>
      <c r="E39" s="2074">
        <f>IMPOSTAZIONI!AB265</f>
        <v>0</v>
      </c>
      <c r="F39" s="2075"/>
      <c r="G39" s="1440">
        <f>IF(ISERROR(G$155),0,SUM(G7:G38)-SUMIF($E8:$E38,$V4,G8:G38))</f>
        <v>0</v>
      </c>
      <c r="H39" s="1440">
        <f>IF(ISERROR(H$155),0,SUM(H7:H38)-SUMIF($E8:$E38,$V4,H8:H38))</f>
        <v>0</v>
      </c>
      <c r="I39" s="838"/>
      <c r="J39" s="839"/>
      <c r="K39" s="1440">
        <f>IF(ISERROR(I$155),0,SUM(K7:K38)-SUMIF($E8:$E38,$V4,K8:K38))</f>
        <v>0</v>
      </c>
      <c r="L39" s="838"/>
      <c r="M39" s="839"/>
      <c r="N39" s="1440">
        <f>IF(ISERROR(J$155),0,SUM(N7:N38)-SUMIF($E8:$E38,$V4,N8:N38))</f>
        <v>0</v>
      </c>
      <c r="O39" s="838"/>
      <c r="P39" s="839"/>
      <c r="Q39" s="6"/>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1383"/>
      <c r="BA39" s="2"/>
    </row>
    <row r="40" spans="1:54" ht="3" customHeight="1" x14ac:dyDescent="0.2">
      <c r="A40" s="2"/>
      <c r="B40" s="2"/>
      <c r="C40" s="8"/>
      <c r="D40" s="9"/>
      <c r="E40" s="825"/>
      <c r="F40" s="826"/>
      <c r="G40" s="827"/>
      <c r="H40" s="827"/>
      <c r="I40" s="825"/>
      <c r="J40" s="826"/>
      <c r="K40" s="827"/>
      <c r="L40" s="825"/>
      <c r="M40" s="826"/>
      <c r="N40" s="827"/>
      <c r="O40" s="825"/>
      <c r="P40" s="826"/>
      <c r="Q40" s="6"/>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row>
    <row r="41" spans="1:54" ht="6" customHeight="1" x14ac:dyDescent="0.2">
      <c r="A41" s="2"/>
      <c r="B41" s="2"/>
      <c r="C41" s="10"/>
      <c r="D41" s="10"/>
      <c r="E41" s="11"/>
      <c r="F41" s="11"/>
      <c r="G41" s="11"/>
      <c r="H41" s="11"/>
      <c r="I41" s="11"/>
      <c r="J41" s="11"/>
      <c r="K41" s="11"/>
      <c r="L41" s="11"/>
      <c r="M41" s="11"/>
      <c r="N41" s="11"/>
      <c r="O41" s="11"/>
      <c r="P41" s="11"/>
      <c r="Q41" s="1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row>
    <row r="42" spans="1:54" ht="18.75" customHeight="1" x14ac:dyDescent="0.2">
      <c r="A42" s="2"/>
      <c r="B42" s="2"/>
      <c r="C42" s="946" t="s">
        <v>657</v>
      </c>
      <c r="D42" s="14"/>
      <c r="E42" s="12"/>
      <c r="F42" s="12"/>
      <c r="G42" s="957">
        <f>IMPOSTAZIONI!I33</f>
        <v>0</v>
      </c>
      <c r="H42" s="957">
        <f>IMPOSTAZIONI!M33</f>
        <v>0</v>
      </c>
      <c r="I42" s="12"/>
      <c r="J42" s="12"/>
      <c r="K42" s="957">
        <f>IMPOSTAZIONI!U33</f>
        <v>0</v>
      </c>
      <c r="L42" s="12"/>
      <c r="M42" s="12"/>
      <c r="N42" s="957">
        <f>IMPOSTAZIONI!AC33</f>
        <v>0</v>
      </c>
      <c r="O42" s="12"/>
      <c r="P42" s="12"/>
      <c r="Q42" s="12"/>
      <c r="R42" s="2"/>
      <c r="S42" s="591"/>
      <c r="T42" s="591"/>
      <c r="U42" s="591"/>
      <c r="V42" s="591"/>
      <c r="W42" s="591"/>
      <c r="X42" s="591"/>
      <c r="Y42" s="591"/>
      <c r="Z42" s="591"/>
      <c r="AA42" s="591"/>
      <c r="AB42" s="591"/>
      <c r="AC42" s="591"/>
      <c r="AD42" s="591"/>
      <c r="AE42" s="591"/>
      <c r="AF42" s="591"/>
      <c r="AG42" s="591"/>
      <c r="AH42" s="591"/>
      <c r="AI42" s="591"/>
      <c r="AJ42" s="591"/>
      <c r="AK42" s="591"/>
      <c r="AL42" s="591"/>
      <c r="AM42" s="591"/>
      <c r="AN42" s="591"/>
      <c r="AO42" s="591"/>
      <c r="AP42" s="591"/>
      <c r="AQ42" s="591"/>
      <c r="AR42" s="591"/>
      <c r="AS42" s="591"/>
      <c r="AT42" s="591"/>
      <c r="AU42" s="591"/>
      <c r="AV42" s="591"/>
      <c r="AW42" s="591"/>
      <c r="AX42" s="591"/>
      <c r="AY42" s="591"/>
      <c r="AZ42" s="2"/>
      <c r="BA42" s="2"/>
      <c r="BB42" s="591"/>
    </row>
    <row r="43" spans="1:54" ht="18" customHeight="1" x14ac:dyDescent="0.2">
      <c r="A43" s="2"/>
      <c r="B43" s="2"/>
      <c r="C43" s="2161" t="s">
        <v>175</v>
      </c>
      <c r="D43" s="2161"/>
      <c r="E43" s="2076">
        <f>C6</f>
        <v>2024</v>
      </c>
      <c r="F43" s="2076"/>
      <c r="G43" s="888" t="str">
        <f>G6</f>
        <v/>
      </c>
      <c r="H43" s="889" t="str">
        <f>H6</f>
        <v/>
      </c>
      <c r="I43" s="2"/>
      <c r="J43" s="2"/>
      <c r="K43" s="887" t="str">
        <f>K6</f>
        <v/>
      </c>
      <c r="L43" s="2"/>
      <c r="M43" s="2"/>
      <c r="N43" s="887" t="str">
        <f>N6</f>
        <v/>
      </c>
      <c r="O43" s="2"/>
      <c r="P43" s="2"/>
      <c r="Q43" s="12"/>
      <c r="R43" s="2"/>
      <c r="S43" s="591"/>
      <c r="T43" s="591"/>
      <c r="U43" s="591"/>
      <c r="V43" s="591"/>
      <c r="W43" s="591"/>
      <c r="X43" s="591"/>
      <c r="Y43" s="591"/>
      <c r="Z43" s="591"/>
      <c r="AA43" s="591"/>
      <c r="AB43" s="591"/>
      <c r="AC43" s="591"/>
      <c r="AD43" s="591"/>
      <c r="AE43" s="591"/>
      <c r="AF43" s="591"/>
      <c r="AG43" s="591"/>
      <c r="AH43" s="591"/>
      <c r="AI43" s="591"/>
      <c r="AJ43" s="591"/>
      <c r="AK43" s="591"/>
      <c r="AL43" s="591"/>
      <c r="AM43" s="591"/>
      <c r="AN43" s="591"/>
      <c r="AO43" s="591"/>
      <c r="AP43" s="591"/>
      <c r="AQ43" s="591"/>
      <c r="AR43" s="591"/>
      <c r="AS43" s="591"/>
      <c r="AT43" s="591"/>
      <c r="AU43" s="591"/>
      <c r="AV43" s="591"/>
      <c r="AW43" s="591"/>
      <c r="AX43" s="591"/>
      <c r="AY43" s="591"/>
      <c r="AZ43" s="2"/>
      <c r="BA43" s="2"/>
      <c r="BB43" s="591"/>
    </row>
    <row r="44" spans="1:54" ht="22.5" customHeight="1" x14ac:dyDescent="0.2">
      <c r="A44" s="2"/>
      <c r="B44" s="2"/>
      <c r="C44" s="2091" t="s">
        <v>298</v>
      </c>
      <c r="D44" s="2091"/>
      <c r="E44" s="2091"/>
      <c r="F44" s="2091"/>
      <c r="G44" s="57" t="str">
        <f t="shared" ref="G44:K45" si="32">G4</f>
        <v/>
      </c>
      <c r="H44" s="57" t="str">
        <f t="shared" si="32"/>
        <v/>
      </c>
      <c r="I44" s="2034">
        <f>IF(I4=K130,"",I4)</f>
        <v>0</v>
      </c>
      <c r="J44" s="2034"/>
      <c r="K44" s="57" t="str">
        <f t="shared" si="32"/>
        <v/>
      </c>
      <c r="L44" s="2034">
        <f>IF(L4=K130,"",L4)</f>
        <v>0</v>
      </c>
      <c r="M44" s="2034"/>
      <c r="N44" s="57" t="str">
        <f>N4</f>
        <v/>
      </c>
      <c r="O44" s="2034">
        <f>IF(O4=K130,"",O4)</f>
        <v>0</v>
      </c>
      <c r="P44" s="2034"/>
      <c r="Q44" s="12"/>
      <c r="R44" s="2"/>
      <c r="S44" s="591"/>
      <c r="T44" s="591"/>
      <c r="U44" s="591"/>
      <c r="V44" s="591"/>
      <c r="W44" s="591"/>
      <c r="X44" s="591"/>
      <c r="Y44" s="591"/>
      <c r="Z44" s="591"/>
      <c r="AA44" s="591"/>
      <c r="AB44" s="591"/>
      <c r="AC44" s="591"/>
      <c r="AD44" s="591"/>
      <c r="AE44" s="591"/>
      <c r="AF44" s="591"/>
      <c r="AG44" s="591"/>
      <c r="AH44" s="591"/>
      <c r="AI44" s="591"/>
      <c r="AJ44" s="591"/>
      <c r="AK44" s="591"/>
      <c r="AL44" s="591"/>
      <c r="AM44" s="591"/>
      <c r="AN44" s="591"/>
      <c r="AO44" s="591"/>
      <c r="AP44" s="591"/>
      <c r="AQ44" s="591"/>
      <c r="AR44" s="591"/>
      <c r="AS44" s="591"/>
      <c r="AT44" s="591"/>
      <c r="AU44" s="591"/>
      <c r="AV44" s="591"/>
      <c r="AW44" s="591"/>
      <c r="AX44" s="591"/>
      <c r="AY44" s="591"/>
      <c r="AZ44" s="2"/>
      <c r="BA44" s="2"/>
      <c r="BB44" s="591"/>
    </row>
    <row r="45" spans="1:54" ht="22.5" customHeight="1" x14ac:dyDescent="0.2">
      <c r="A45" s="2"/>
      <c r="B45" s="2"/>
      <c r="C45" s="2081" t="s">
        <v>315</v>
      </c>
      <c r="D45" s="2081"/>
      <c r="E45" s="2082"/>
      <c r="F45" s="2082"/>
      <c r="G45" s="58" t="str">
        <f t="shared" si="32"/>
        <v/>
      </c>
      <c r="H45" s="58" t="str">
        <f t="shared" si="32"/>
        <v/>
      </c>
      <c r="I45" s="488" t="str">
        <f>I6</f>
        <v>DAL</v>
      </c>
      <c r="J45" s="489" t="str">
        <f>J6</f>
        <v>AL</v>
      </c>
      <c r="K45" s="58" t="str">
        <f t="shared" si="32"/>
        <v/>
      </c>
      <c r="L45" s="488" t="str">
        <f>L6</f>
        <v>DAL</v>
      </c>
      <c r="M45" s="489" t="str">
        <f>M6</f>
        <v>AL</v>
      </c>
      <c r="N45" s="58" t="str">
        <f>N5</f>
        <v/>
      </c>
      <c r="O45" s="488" t="str">
        <f>O6</f>
        <v>DAL</v>
      </c>
      <c r="P45" s="489" t="str">
        <f>P6</f>
        <v>AL</v>
      </c>
      <c r="Q45" s="12"/>
      <c r="R45" s="2"/>
      <c r="S45" s="591"/>
      <c r="T45" s="591"/>
      <c r="U45" s="591"/>
      <c r="V45" s="591"/>
      <c r="W45" s="591"/>
      <c r="X45" s="591"/>
      <c r="Y45" s="591"/>
      <c r="Z45" s="591"/>
      <c r="AA45" s="591"/>
      <c r="AB45" s="591"/>
      <c r="AC45" s="591"/>
      <c r="AD45" s="591"/>
      <c r="AE45" s="591"/>
      <c r="AF45" s="591"/>
      <c r="AG45" s="591"/>
      <c r="AH45" s="591"/>
      <c r="AI45" s="591"/>
      <c r="AJ45" s="591"/>
      <c r="AK45" s="591"/>
      <c r="AL45" s="591"/>
      <c r="AM45" s="591"/>
      <c r="AN45" s="591"/>
      <c r="AO45" s="591"/>
      <c r="AP45" s="591"/>
      <c r="AQ45" s="591"/>
      <c r="AR45" s="591"/>
      <c r="AS45" s="591"/>
      <c r="AT45" s="591"/>
      <c r="AU45" s="591"/>
      <c r="AV45" s="591"/>
      <c r="AW45" s="591"/>
      <c r="AX45" s="591"/>
      <c r="AY45" s="591"/>
      <c r="AZ45" s="2"/>
      <c r="BA45" s="2"/>
      <c r="BB45" s="591"/>
    </row>
    <row r="46" spans="1:54" ht="21.95" customHeight="1" x14ac:dyDescent="0.2">
      <c r="A46" s="2"/>
      <c r="B46" s="7"/>
      <c r="C46" s="2079" t="s">
        <v>193</v>
      </c>
      <c r="D46" s="2080"/>
      <c r="E46" s="2157">
        <f>IF(E150=1,SUM(E8:E38),SUM(G46:H46)+K46+N46-SUMIF(G42:N42,K134,G46:N46))</f>
        <v>0</v>
      </c>
      <c r="F46" s="2158"/>
      <c r="G46" s="881">
        <f>IF(ISERROR(G$155),0,SUM(G8:G38)-SUMIF($E8:$E38,$V4,G8:G38)+IF(ISERROR(VLOOKUP(G1,IMPOSTAZIONI!$B$401:$AM$407,$E$149,FALSE)),0,VLOOKUP(G1,IMPOSTAZIONI!$B$401:$AM$407,$E$149,FALSE)))</f>
        <v>0</v>
      </c>
      <c r="H46" s="882">
        <f>IF(ISERROR(H$155),0,SUM(H8:H38)-SUMIF($E8:$E38,$V4,H8:H38)+IF(ISERROR(VLOOKUP(H1,IMPOSTAZIONI!$B$401:$AM$407,$E$149,FALSE)),0,VLOOKUP(H1,IMPOSTAZIONI!$B$401:$AM$407,$E$149,FALSE)))</f>
        <v>0</v>
      </c>
      <c r="I46" s="884"/>
      <c r="J46" s="883"/>
      <c r="K46" s="297">
        <f>IF(ISERROR(I$155),0,SUM(K8:K38)-SUMIF($E8:$E38,$V4,K8:K38)+IF(ISERROR(VLOOKUP(K1,IMPOSTAZIONI!$B$401:$AM$407,$E$149,FALSE)),0,VLOOKUP(K1,IMPOSTAZIONI!$B$401:$AM$407,$E$149,FALSE)))</f>
        <v>0</v>
      </c>
      <c r="L46" s="884"/>
      <c r="M46" s="883"/>
      <c r="N46" s="297">
        <f>IF(ISERROR(J$155),0,SUM(N8:N38)-SUMIF($E8:$E38,$V4,N8:N38)+IF(ISERROR(VLOOKUP(N1,IMPOSTAZIONI!$B$401:$AM$407,$E$149,FALSE)),0,VLOOKUP(N1,IMPOSTAZIONI!$B$401:$AM$407,$E$149,FALSE)))</f>
        <v>0</v>
      </c>
      <c r="O46" s="885"/>
      <c r="P46" s="886"/>
      <c r="Q46" s="12"/>
      <c r="R46" s="2"/>
      <c r="S46" s="591"/>
      <c r="T46" s="591"/>
      <c r="U46" s="591"/>
      <c r="V46" s="591"/>
      <c r="W46" s="591"/>
      <c r="X46" s="591"/>
      <c r="Y46" s="591"/>
      <c r="Z46" s="591"/>
      <c r="AA46" s="591"/>
      <c r="AB46" s="591"/>
      <c r="AC46" s="591"/>
      <c r="AD46" s="591"/>
      <c r="AE46" s="591"/>
      <c r="AF46" s="591"/>
      <c r="AG46" s="591"/>
      <c r="AH46" s="591"/>
      <c r="AI46" s="591"/>
      <c r="AJ46" s="591"/>
      <c r="AK46" s="591"/>
      <c r="AL46" s="591"/>
      <c r="AM46" s="591"/>
      <c r="AN46" s="591"/>
      <c r="AO46" s="591"/>
      <c r="AP46" s="591"/>
      <c r="AQ46" s="591"/>
      <c r="AR46" s="591"/>
      <c r="AS46" s="591"/>
      <c r="AT46" s="591"/>
      <c r="AU46" s="591"/>
      <c r="AV46" s="591"/>
      <c r="AW46" s="591"/>
      <c r="AX46" s="591"/>
      <c r="AY46" s="591"/>
      <c r="AZ46" s="2"/>
      <c r="BA46" s="2"/>
      <c r="BB46" s="591"/>
    </row>
    <row r="47" spans="1:54" ht="16.5" customHeight="1" x14ac:dyDescent="0.2">
      <c r="A47" s="2"/>
      <c r="B47" s="7"/>
      <c r="C47" s="2179" t="s">
        <v>194</v>
      </c>
      <c r="D47" s="2180"/>
      <c r="E47" s="2177">
        <f>E46-E48</f>
        <v>0</v>
      </c>
      <c r="F47" s="2178"/>
      <c r="G47" s="238">
        <f>G46-G48</f>
        <v>0</v>
      </c>
      <c r="H47" s="652">
        <f>H46-H48</f>
        <v>0</v>
      </c>
      <c r="I47" s="2"/>
      <c r="J47" s="2"/>
      <c r="K47" s="654">
        <f>K46-K48</f>
        <v>0</v>
      </c>
      <c r="L47" s="2"/>
      <c r="M47" s="2"/>
      <c r="N47" s="654">
        <f>N46-N48</f>
        <v>0</v>
      </c>
      <c r="O47" s="2"/>
      <c r="P47" s="2"/>
      <c r="Q47" s="12"/>
      <c r="R47" s="2"/>
      <c r="S47" s="591"/>
      <c r="T47" s="591"/>
      <c r="U47" s="591"/>
      <c r="V47" s="591"/>
      <c r="W47" s="591"/>
      <c r="X47" s="591"/>
      <c r="Y47" s="591"/>
      <c r="Z47" s="591"/>
      <c r="AA47" s="591"/>
      <c r="AB47" s="591"/>
      <c r="AC47" s="591"/>
      <c r="AD47" s="591"/>
      <c r="AE47" s="591"/>
      <c r="AF47" s="591"/>
      <c r="AG47" s="591"/>
      <c r="AH47" s="591"/>
      <c r="AI47" s="591"/>
      <c r="AJ47" s="591"/>
      <c r="AK47" s="591"/>
      <c r="AL47" s="591"/>
      <c r="AM47" s="591"/>
      <c r="AN47" s="591"/>
      <c r="AO47" s="591"/>
      <c r="AP47" s="591"/>
      <c r="AQ47" s="591"/>
      <c r="AR47" s="591"/>
      <c r="AS47" s="591"/>
      <c r="AT47" s="591"/>
      <c r="AU47" s="591"/>
      <c r="AV47" s="591"/>
      <c r="AW47" s="591"/>
      <c r="AX47" s="591"/>
      <c r="AY47" s="591"/>
      <c r="AZ47" s="2"/>
      <c r="BA47" s="2"/>
      <c r="BB47" s="591"/>
    </row>
    <row r="48" spans="1:54" ht="16.5" customHeight="1" x14ac:dyDescent="0.2">
      <c r="A48" s="2"/>
      <c r="B48" s="7"/>
      <c r="C48" s="2070" t="s">
        <v>195</v>
      </c>
      <c r="D48" s="2071"/>
      <c r="E48" s="2181">
        <f>IF(I163=0,0,SUM(G48:H48)+K48+N48-SUMIF(G42:N42,K134,G48:N48))</f>
        <v>0</v>
      </c>
      <c r="F48" s="2182"/>
      <c r="G48" s="239">
        <f>IF(AND(C61=1,G63&lt;&gt;0),G87,IF(G152=0,SUM(R8:R38)-SUMIF($E8:$E38,$V4,R8:R38)+VLOOKUP(G1,IMPOSTAZIONI!$B$419:$AK$425,$E$149,FALSE),G98))</f>
        <v>0</v>
      </c>
      <c r="H48" s="653">
        <f>IF(AND(C61=1,H63&lt;&gt;0),H87,IF(H152=0,SUM(S8:S38)-SUMIF($E8:$E38,$V4,S8:S38)+VLOOKUP(H1,IMPOSTAZIONI!$B$419:$AK$425,$E$149,FALSE),H98))</f>
        <v>0</v>
      </c>
      <c r="I48" s="59"/>
      <c r="J48" s="139"/>
      <c r="K48" s="655">
        <f>IF(AND(C61=1,K63&lt;&gt;0),I87,IF(I152=0,SUM(T8:T38)-SUMIF($E8:$E38,$V4,T8:T38)+VLOOKUP(K1,IMPOSTAZIONI!$B$419:$AK$425,$E$149,FALSE),K98))</f>
        <v>0</v>
      </c>
      <c r="L48" s="59"/>
      <c r="M48" s="139"/>
      <c r="N48" s="655">
        <f>IF(AND(C61=1,N63&lt;&gt;0),K87,IF(J152=0,SUM(U8:U38)-SUMIF($E8:$E38,$V4,U8:U38)+VLOOKUP(N1,IMPOSTAZIONI!$B$419:$AK$425,$E$149,FALSE),N98))</f>
        <v>0</v>
      </c>
      <c r="O48" s="2"/>
      <c r="P48" s="2"/>
      <c r="Q48" s="13"/>
      <c r="R48" s="2"/>
      <c r="S48" s="591"/>
      <c r="T48" s="591"/>
      <c r="U48" s="591"/>
      <c r="V48" s="591"/>
      <c r="W48" s="591"/>
      <c r="X48" s="591"/>
      <c r="Y48" s="591"/>
      <c r="Z48" s="591"/>
      <c r="AA48" s="591"/>
      <c r="AB48" s="591"/>
      <c r="AC48" s="591"/>
      <c r="AD48" s="591"/>
      <c r="AE48" s="591"/>
      <c r="AF48" s="591"/>
      <c r="AG48" s="591"/>
      <c r="AH48" s="591"/>
      <c r="AI48" s="591"/>
      <c r="AJ48" s="591"/>
      <c r="AK48" s="591"/>
      <c r="AL48" s="591"/>
      <c r="AM48" s="591"/>
      <c r="AN48" s="591"/>
      <c r="AO48" s="591"/>
      <c r="AP48" s="591"/>
      <c r="AQ48" s="591"/>
      <c r="AR48" s="591"/>
      <c r="AS48" s="591"/>
      <c r="AT48" s="591"/>
      <c r="AU48" s="591"/>
      <c r="AV48" s="591"/>
      <c r="AW48" s="591"/>
      <c r="AX48" s="591"/>
      <c r="AY48" s="591"/>
      <c r="AZ48" s="2"/>
      <c r="BA48" s="2"/>
      <c r="BB48" s="591"/>
    </row>
    <row r="49" spans="1:54" ht="37.5" customHeight="1" x14ac:dyDescent="0.2">
      <c r="A49" s="2"/>
      <c r="B49" s="2"/>
      <c r="C49" s="14"/>
      <c r="D49" s="14"/>
      <c r="E49" s="12"/>
      <c r="F49" s="12"/>
      <c r="G49" s="11"/>
      <c r="H49" s="11"/>
      <c r="I49" s="12"/>
      <c r="J49" s="12"/>
      <c r="K49" s="11"/>
      <c r="L49" s="12"/>
      <c r="M49" s="12"/>
      <c r="N49" s="11"/>
      <c r="O49" s="12"/>
      <c r="P49" s="12"/>
      <c r="Q49" s="12"/>
      <c r="R49" s="12"/>
      <c r="S49" s="1308"/>
      <c r="T49" s="1308"/>
      <c r="U49" s="591"/>
      <c r="V49" s="591"/>
      <c r="W49" s="591"/>
      <c r="X49" s="591"/>
      <c r="Y49" s="591"/>
      <c r="Z49" s="591"/>
      <c r="AA49" s="591"/>
      <c r="AB49" s="591"/>
      <c r="AC49" s="591"/>
      <c r="AD49" s="591"/>
      <c r="AE49" s="591"/>
      <c r="AF49" s="591"/>
      <c r="AG49" s="591"/>
      <c r="AH49" s="591"/>
      <c r="AI49" s="591"/>
      <c r="AJ49" s="591"/>
      <c r="AK49" s="591"/>
      <c r="AL49" s="591"/>
      <c r="AM49" s="591"/>
      <c r="AN49" s="591"/>
      <c r="AO49" s="591"/>
      <c r="AP49" s="591"/>
      <c r="AQ49" s="591"/>
      <c r="AR49" s="591"/>
      <c r="AS49" s="591"/>
      <c r="AT49" s="591"/>
      <c r="AU49" s="591"/>
      <c r="AV49" s="591"/>
      <c r="AW49" s="591"/>
      <c r="AX49" s="591"/>
      <c r="AY49" s="591"/>
      <c r="AZ49" s="2"/>
      <c r="BA49" s="2"/>
      <c r="BB49" s="591"/>
    </row>
    <row r="50" spans="1:54" ht="18.75" customHeight="1" x14ac:dyDescent="0.2">
      <c r="A50" s="2"/>
      <c r="B50" s="2"/>
      <c r="C50" s="2174" t="s">
        <v>196</v>
      </c>
      <c r="D50" s="2174"/>
      <c r="E50" s="2174"/>
      <c r="F50" s="96"/>
      <c r="G50" s="2225" t="s">
        <v>488</v>
      </c>
      <c r="H50" s="2226"/>
      <c r="I50" s="2226"/>
      <c r="J50" s="2226"/>
      <c r="K50" s="2226"/>
      <c r="L50" s="2226"/>
      <c r="M50" s="2227"/>
      <c r="N50" s="656"/>
      <c r="O50" s="656"/>
      <c r="P50" s="14"/>
      <c r="Q50" s="2"/>
      <c r="R50" s="15"/>
      <c r="S50" s="1309"/>
      <c r="T50" s="591"/>
      <c r="U50" s="591"/>
      <c r="V50" s="591"/>
      <c r="W50" s="591"/>
      <c r="X50" s="591"/>
      <c r="Y50" s="591"/>
      <c r="Z50" s="1308"/>
      <c r="AA50" s="1309"/>
      <c r="AB50" s="591"/>
      <c r="AC50" s="591"/>
      <c r="AD50" s="591"/>
      <c r="AE50" s="591"/>
      <c r="AF50" s="591"/>
      <c r="AG50" s="591"/>
      <c r="AH50" s="591"/>
      <c r="AI50" s="591"/>
      <c r="AJ50" s="591"/>
      <c r="AK50" s="591"/>
      <c r="AL50" s="591"/>
      <c r="AM50" s="591"/>
      <c r="AN50" s="591"/>
      <c r="AO50" s="591"/>
      <c r="AP50" s="591"/>
      <c r="AQ50" s="591"/>
      <c r="AR50" s="591"/>
      <c r="AS50" s="591"/>
      <c r="AT50" s="591"/>
      <c r="AU50" s="591"/>
      <c r="AV50" s="591"/>
      <c r="AW50" s="591"/>
      <c r="AX50" s="591"/>
      <c r="AY50" s="591"/>
      <c r="AZ50" s="2"/>
      <c r="BA50" s="2"/>
      <c r="BB50" s="591"/>
    </row>
    <row r="51" spans="1:54" ht="16.5" customHeight="1" x14ac:dyDescent="0.25">
      <c r="A51" s="2"/>
      <c r="B51" s="2"/>
      <c r="C51" s="2126" t="s">
        <v>197</v>
      </c>
      <c r="D51" s="2127"/>
      <c r="E51" s="2128"/>
      <c r="F51" s="554"/>
      <c r="G51" s="293" t="str">
        <f>VLOOKUP(M3,K144:M148,3,FALSE)</f>
        <v>IVA a debito</v>
      </c>
      <c r="H51" s="294" t="str">
        <f>VLOOKUP(M3,K144:O148,5,FALSE)</f>
        <v>IVA a credito</v>
      </c>
      <c r="I51" s="2214" t="s">
        <v>200</v>
      </c>
      <c r="J51" s="2215"/>
      <c r="K51" s="1303" t="s">
        <v>201</v>
      </c>
      <c r="L51" s="2214" t="s">
        <v>71</v>
      </c>
      <c r="M51" s="2215"/>
      <c r="N51" s="14"/>
      <c r="O51" s="14"/>
      <c r="P51" s="14"/>
      <c r="Q51" s="12"/>
      <c r="R51" s="2"/>
      <c r="S51" s="591"/>
      <c r="T51" s="591"/>
      <c r="U51" s="591"/>
      <c r="V51" s="591"/>
      <c r="W51" s="591"/>
      <c r="X51" s="591"/>
      <c r="Y51" s="591"/>
      <c r="Z51" s="591"/>
      <c r="AA51" s="591"/>
      <c r="AB51" s="591"/>
      <c r="AC51" s="591"/>
      <c r="AD51" s="591"/>
      <c r="AE51" s="591"/>
      <c r="AF51" s="591"/>
      <c r="AG51" s="591"/>
      <c r="AH51" s="591"/>
      <c r="AI51" s="591"/>
      <c r="AJ51" s="591"/>
      <c r="AK51" s="591"/>
      <c r="AL51" s="591"/>
      <c r="AM51" s="591"/>
      <c r="AN51" s="591"/>
      <c r="AO51" s="591"/>
      <c r="AP51" s="591"/>
      <c r="AQ51" s="591"/>
      <c r="AR51" s="591"/>
      <c r="AS51" s="591"/>
      <c r="AT51" s="591"/>
      <c r="AU51" s="591"/>
      <c r="AV51" s="591"/>
      <c r="AW51" s="591"/>
      <c r="AX51" s="591"/>
      <c r="AY51" s="591"/>
      <c r="AZ51" s="2"/>
      <c r="BA51" s="2"/>
      <c r="BB51" s="591"/>
    </row>
    <row r="52" spans="1:54" ht="16.5" customHeight="1" x14ac:dyDescent="0.2">
      <c r="A52" s="2"/>
      <c r="B52" s="2"/>
      <c r="C52" s="2129"/>
      <c r="D52" s="2130"/>
      <c r="E52" s="2131"/>
      <c r="F52" s="576"/>
      <c r="G52" s="295" t="str">
        <f>VLOOKUP(M3,K144:N148,4,FALSE)</f>
        <v>corrispettivi</v>
      </c>
      <c r="H52" s="296" t="str">
        <f>VLOOKUP(M3,K144:P148,6,FALSE)</f>
        <v>ACQUISTI</v>
      </c>
      <c r="I52" s="2212" t="s">
        <v>201</v>
      </c>
      <c r="J52" s="2213"/>
      <c r="K52" s="1304" t="s">
        <v>204</v>
      </c>
      <c r="L52" s="2212" t="s">
        <v>205</v>
      </c>
      <c r="M52" s="2213"/>
      <c r="N52" s="14"/>
      <c r="O52" s="14"/>
      <c r="P52" s="14"/>
      <c r="Q52" s="12"/>
      <c r="R52" s="2"/>
      <c r="S52" s="591"/>
      <c r="T52" s="591"/>
      <c r="U52" s="591"/>
      <c r="V52" s="591"/>
      <c r="W52" s="591"/>
      <c r="X52" s="591"/>
      <c r="Y52" s="591"/>
      <c r="Z52" s="591"/>
      <c r="AA52" s="591"/>
      <c r="AB52" s="591"/>
      <c r="AC52" s="591"/>
      <c r="AD52" s="591"/>
      <c r="AE52" s="591"/>
      <c r="AF52" s="591"/>
      <c r="AG52" s="591"/>
      <c r="AH52" s="591"/>
      <c r="AI52" s="591"/>
      <c r="AJ52" s="591"/>
      <c r="AK52" s="591"/>
      <c r="AL52" s="591"/>
      <c r="AM52" s="591"/>
      <c r="AN52" s="591"/>
      <c r="AO52" s="591"/>
      <c r="AP52" s="591"/>
      <c r="AQ52" s="591"/>
      <c r="AR52" s="591"/>
      <c r="AS52" s="591"/>
      <c r="AT52" s="591"/>
      <c r="AU52" s="591"/>
      <c r="AV52" s="591"/>
      <c r="AW52" s="591"/>
      <c r="AX52" s="591"/>
      <c r="AY52" s="591"/>
      <c r="AZ52" s="2"/>
      <c r="BA52" s="2"/>
      <c r="BB52" s="591"/>
    </row>
    <row r="53" spans="1:54" ht="16.5" customHeight="1" x14ac:dyDescent="0.2">
      <c r="A53" s="2"/>
      <c r="B53" s="2"/>
      <c r="C53" s="2132" t="s">
        <v>816</v>
      </c>
      <c r="D53" s="2133"/>
      <c r="E53" s="2134"/>
      <c r="F53" s="554"/>
      <c r="G53" s="2045">
        <f>E48</f>
        <v>0</v>
      </c>
      <c r="H53" s="2047"/>
      <c r="I53" s="2066">
        <f>G53+H53</f>
        <v>0</v>
      </c>
      <c r="J53" s="2067"/>
      <c r="K53" s="2183"/>
      <c r="L53" s="2066">
        <f>I53+K53</f>
        <v>0</v>
      </c>
      <c r="M53" s="2067"/>
      <c r="N53" s="14"/>
      <c r="O53" s="14"/>
      <c r="P53" s="14"/>
      <c r="Q53" s="12"/>
      <c r="R53" s="2"/>
      <c r="S53" s="591"/>
      <c r="T53" s="591"/>
      <c r="U53" s="591"/>
      <c r="V53" s="591"/>
      <c r="W53" s="591"/>
      <c r="X53" s="591"/>
      <c r="Y53" s="591"/>
      <c r="Z53" s="591"/>
      <c r="AA53" s="591"/>
      <c r="AB53" s="591"/>
      <c r="AC53" s="591"/>
      <c r="AD53" s="591"/>
      <c r="AE53" s="591"/>
      <c r="AF53" s="591"/>
      <c r="AG53" s="591"/>
      <c r="AH53" s="591"/>
      <c r="AI53" s="591"/>
      <c r="AJ53" s="591"/>
      <c r="AK53" s="591"/>
      <c r="AL53" s="591"/>
      <c r="AM53" s="591"/>
      <c r="AN53" s="591"/>
      <c r="AO53" s="591"/>
      <c r="AP53" s="591"/>
      <c r="AQ53" s="591"/>
      <c r="AR53" s="591"/>
      <c r="AS53" s="591"/>
      <c r="AT53" s="591"/>
      <c r="AU53" s="591"/>
      <c r="AV53" s="591"/>
      <c r="AW53" s="591"/>
      <c r="AX53" s="591"/>
      <c r="AY53" s="591"/>
      <c r="AZ53" s="2"/>
      <c r="BA53" s="2"/>
      <c r="BB53" s="591"/>
    </row>
    <row r="54" spans="1:54" ht="16.5" customHeight="1" x14ac:dyDescent="0.2">
      <c r="A54" s="2"/>
      <c r="B54" s="2"/>
      <c r="C54" s="2042"/>
      <c r="D54" s="2043"/>
      <c r="E54" s="2044"/>
      <c r="F54" s="577"/>
      <c r="G54" s="2046"/>
      <c r="H54" s="2048"/>
      <c r="I54" s="2068"/>
      <c r="J54" s="2069"/>
      <c r="K54" s="2184"/>
      <c r="L54" s="2068"/>
      <c r="M54" s="2069"/>
      <c r="N54" s="14"/>
      <c r="O54" s="14"/>
      <c r="P54" s="14"/>
      <c r="Q54" s="12"/>
      <c r="R54" s="2"/>
      <c r="S54" s="591"/>
      <c r="T54" s="591"/>
      <c r="U54" s="591"/>
      <c r="V54" s="591"/>
      <c r="W54" s="591"/>
      <c r="X54" s="591"/>
      <c r="Y54" s="591"/>
      <c r="Z54" s="591"/>
      <c r="AA54" s="591"/>
      <c r="AB54" s="591"/>
      <c r="AC54" s="591"/>
      <c r="AD54" s="591"/>
      <c r="AE54" s="591"/>
      <c r="AF54" s="591"/>
      <c r="AG54" s="591"/>
      <c r="AH54" s="591"/>
      <c r="AI54" s="591"/>
      <c r="AJ54" s="591"/>
      <c r="AK54" s="591"/>
      <c r="AL54" s="591"/>
      <c r="AM54" s="591"/>
      <c r="AN54" s="591"/>
      <c r="AO54" s="591"/>
      <c r="AP54" s="591"/>
      <c r="AQ54" s="591"/>
      <c r="AR54" s="591"/>
      <c r="AS54" s="591"/>
      <c r="AT54" s="591"/>
      <c r="AU54" s="591"/>
      <c r="AV54" s="591"/>
      <c r="AW54" s="591"/>
      <c r="AX54" s="591"/>
      <c r="AY54" s="591"/>
      <c r="AZ54" s="2"/>
      <c r="BA54" s="2"/>
      <c r="BB54" s="591"/>
    </row>
    <row r="55" spans="1:54" ht="16.5" customHeight="1" x14ac:dyDescent="0.2">
      <c r="A55" s="2"/>
      <c r="B55" s="2"/>
      <c r="C55" s="2132" t="s">
        <v>815</v>
      </c>
      <c r="D55" s="2133"/>
      <c r="E55" s="2134"/>
      <c r="F55" s="555"/>
      <c r="G55" s="16" t="s">
        <v>206</v>
      </c>
      <c r="H55" s="890" t="s">
        <v>207</v>
      </c>
      <c r="I55" s="2120" t="str">
        <f>VLOOKUP(M3,K144:Q148,7,FALSE)</f>
        <v>DEBITO +</v>
      </c>
      <c r="J55" s="2121"/>
      <c r="K55" s="891" t="s">
        <v>208</v>
      </c>
      <c r="L55" s="2120" t="str">
        <f>VLOOKUP(M3,K144:T148,9,FALSE)</f>
        <v>DEBITO +</v>
      </c>
      <c r="M55" s="2121"/>
      <c r="N55" s="14"/>
      <c r="O55" s="14"/>
      <c r="P55" s="12"/>
      <c r="Q55" s="2"/>
      <c r="R55" s="2"/>
      <c r="S55" s="591"/>
      <c r="T55" s="591"/>
      <c r="U55" s="591"/>
      <c r="V55" s="591"/>
      <c r="W55" s="591"/>
      <c r="X55" s="591"/>
      <c r="Y55" s="591"/>
      <c r="Z55" s="591"/>
      <c r="AA55" s="591"/>
      <c r="AB55" s="591"/>
      <c r="AC55" s="591"/>
      <c r="AD55" s="591"/>
      <c r="AE55" s="591"/>
      <c r="AF55" s="591"/>
      <c r="AG55" s="591"/>
      <c r="AH55" s="591"/>
      <c r="AI55" s="591"/>
      <c r="AJ55" s="591"/>
      <c r="AK55" s="591"/>
      <c r="AL55" s="591"/>
      <c r="AM55" s="591"/>
      <c r="AN55" s="591"/>
      <c r="AO55" s="591"/>
      <c r="AP55" s="591"/>
      <c r="AQ55" s="591"/>
      <c r="AR55" s="591"/>
      <c r="AS55" s="591"/>
      <c r="AT55" s="591"/>
      <c r="AU55" s="591"/>
      <c r="AV55" s="591"/>
      <c r="AW55" s="591"/>
      <c r="AX55" s="591"/>
      <c r="AY55" s="591"/>
      <c r="AZ55" s="2"/>
      <c r="BA55" s="2"/>
      <c r="BB55" s="591"/>
    </row>
    <row r="56" spans="1:54" ht="16.5" customHeight="1" x14ac:dyDescent="0.2">
      <c r="A56" s="2"/>
      <c r="B56" s="2"/>
      <c r="C56" s="2138"/>
      <c r="D56" s="2139"/>
      <c r="E56" s="1215"/>
      <c r="F56" s="514"/>
      <c r="G56" s="97"/>
      <c r="H56" s="14"/>
      <c r="I56" s="2123" t="str">
        <f>VLOOKUP(M3,K144:R148,8,FALSE)</f>
        <v>CREDITO -</v>
      </c>
      <c r="J56" s="2124"/>
      <c r="K56" s="14"/>
      <c r="L56" s="2123" t="str">
        <f>VLOOKUP(M3,K144:T148,10,FALSE)</f>
        <v>CREDITO -</v>
      </c>
      <c r="M56" s="2124"/>
      <c r="N56" s="14"/>
      <c r="O56" s="2122"/>
      <c r="P56" s="2122"/>
      <c r="Q56" s="14"/>
      <c r="R56" s="2"/>
      <c r="S56" s="591"/>
      <c r="T56" s="591"/>
      <c r="U56" s="591"/>
      <c r="V56" s="591"/>
      <c r="W56" s="591"/>
      <c r="X56" s="591"/>
      <c r="Y56" s="591"/>
      <c r="Z56" s="591"/>
      <c r="AA56" s="591"/>
      <c r="AB56" s="591"/>
      <c r="AC56" s="591"/>
      <c r="AD56" s="591"/>
      <c r="AE56" s="591"/>
      <c r="AF56" s="591"/>
      <c r="AG56" s="591"/>
      <c r="AH56" s="591"/>
      <c r="AI56" s="591"/>
      <c r="AJ56" s="591"/>
      <c r="AK56" s="591"/>
      <c r="AL56" s="591"/>
      <c r="AM56" s="591"/>
      <c r="AN56" s="591"/>
      <c r="AO56" s="591"/>
      <c r="AP56" s="591"/>
      <c r="AQ56" s="591"/>
      <c r="AR56" s="591"/>
      <c r="AS56" s="591"/>
      <c r="AT56" s="591"/>
      <c r="AU56" s="591"/>
      <c r="AV56" s="591"/>
      <c r="AW56" s="591"/>
      <c r="AX56" s="591"/>
      <c r="AY56" s="591"/>
      <c r="AZ56" s="2"/>
      <c r="BA56" s="2"/>
      <c r="BB56" s="591"/>
    </row>
    <row r="57" spans="1:54" ht="30" customHeight="1" x14ac:dyDescent="0.2">
      <c r="A57" s="2"/>
      <c r="B57" s="17"/>
      <c r="C57" s="2144" t="s">
        <v>346</v>
      </c>
      <c r="D57" s="2144"/>
      <c r="E57" s="2145"/>
      <c r="F57" s="2145"/>
      <c r="G57" s="892" t="s">
        <v>347</v>
      </c>
      <c r="H57" s="892"/>
      <c r="I57" s="892"/>
      <c r="J57" s="892"/>
      <c r="K57" s="892"/>
      <c r="L57" s="892"/>
      <c r="M57" s="892"/>
      <c r="N57" s="892"/>
      <c r="O57" s="2211" t="s">
        <v>405</v>
      </c>
      <c r="P57" s="2211"/>
      <c r="Q57" s="255"/>
      <c r="R57" s="255"/>
      <c r="S57" s="1307"/>
      <c r="T57" s="1307"/>
      <c r="U57" s="591"/>
      <c r="V57" s="591"/>
      <c r="W57" s="591"/>
      <c r="X57" s="591"/>
      <c r="Y57" s="591"/>
      <c r="Z57" s="591"/>
      <c r="AA57" s="1307"/>
      <c r="AB57" s="1307"/>
      <c r="AC57" s="591"/>
      <c r="AD57" s="591"/>
      <c r="AE57" s="591"/>
      <c r="AF57" s="591"/>
      <c r="AG57" s="591"/>
      <c r="AH57" s="591"/>
      <c r="AI57" s="591"/>
      <c r="AJ57" s="591"/>
      <c r="AK57" s="591"/>
      <c r="AL57" s="591"/>
      <c r="AM57" s="591"/>
      <c r="AN57" s="591"/>
      <c r="AO57" s="591"/>
      <c r="AP57" s="591"/>
      <c r="AQ57" s="591"/>
      <c r="AR57" s="591"/>
      <c r="AS57" s="591"/>
      <c r="AT57" s="591"/>
      <c r="AU57" s="591"/>
      <c r="AV57" s="591"/>
      <c r="AW57" s="591"/>
      <c r="AX57" s="591"/>
      <c r="AY57" s="591"/>
      <c r="AZ57" s="2"/>
      <c r="BA57" s="2"/>
      <c r="BB57" s="591"/>
    </row>
    <row r="58" spans="1:54" ht="24.75" customHeight="1" x14ac:dyDescent="0.2">
      <c r="A58" s="2"/>
      <c r="B58" s="2"/>
      <c r="C58" s="2143">
        <f>IMPOSTAZIONI!T73</f>
        <v>0</v>
      </c>
      <c r="D58" s="2143"/>
      <c r="E58" s="2143"/>
      <c r="F58" s="2143"/>
      <c r="G58" s="893" t="str">
        <f>IMPOSTAZIONI!Y75</f>
        <v>Indirizzo esteso UBICAZIONE dell' Esercizio (facoltativo)</v>
      </c>
      <c r="H58" s="893"/>
      <c r="I58" s="893"/>
      <c r="J58" s="893"/>
      <c r="K58" s="893"/>
      <c r="L58" s="893"/>
      <c r="M58" s="893"/>
      <c r="N58" s="893"/>
      <c r="O58" s="1113" t="s">
        <v>344</v>
      </c>
      <c r="P58" s="2119">
        <v>9</v>
      </c>
      <c r="Q58" s="2119"/>
      <c r="R58" s="14"/>
      <c r="S58" s="591"/>
      <c r="T58" s="591"/>
      <c r="U58" s="591"/>
      <c r="V58" s="591"/>
      <c r="W58" s="591"/>
      <c r="X58" s="591"/>
      <c r="Y58" s="591"/>
      <c r="Z58" s="591"/>
      <c r="AA58" s="591"/>
      <c r="AB58" s="591"/>
      <c r="AC58" s="591"/>
      <c r="AD58" s="591"/>
      <c r="AE58" s="591"/>
      <c r="AF58" s="591"/>
      <c r="AG58" s="591"/>
      <c r="AH58" s="591"/>
      <c r="AI58" s="591"/>
      <c r="AJ58" s="591"/>
      <c r="AK58" s="591"/>
      <c r="AL58" s="591"/>
      <c r="AM58" s="591"/>
      <c r="AN58" s="591"/>
      <c r="AO58" s="591"/>
      <c r="AP58" s="591"/>
      <c r="AQ58" s="591"/>
      <c r="AR58" s="591"/>
      <c r="AS58" s="591"/>
      <c r="AT58" s="591"/>
      <c r="AU58" s="591"/>
      <c r="AV58" s="591"/>
      <c r="AW58" s="591"/>
      <c r="AX58" s="591"/>
      <c r="AY58" s="591"/>
      <c r="AZ58" s="2"/>
      <c r="BA58" s="2"/>
      <c r="BB58" s="591"/>
    </row>
    <row r="59" spans="1:54" ht="15.75" customHeight="1" x14ac:dyDescent="0.2">
      <c r="A59" s="2"/>
      <c r="B59" s="2"/>
      <c r="C59" s="2146" t="s">
        <v>248</v>
      </c>
      <c r="D59" s="2146"/>
      <c r="E59" s="2146"/>
      <c r="F59" s="2"/>
      <c r="G59" s="2"/>
      <c r="H59" s="2"/>
      <c r="I59" s="2"/>
      <c r="J59" s="2"/>
      <c r="K59" s="2"/>
      <c r="L59" s="2"/>
      <c r="M59" s="2"/>
      <c r="N59" s="2"/>
      <c r="O59" s="2"/>
      <c r="P59" s="2"/>
      <c r="Q59" s="2"/>
      <c r="R59" s="2"/>
      <c r="S59" s="591"/>
      <c r="T59" s="591"/>
      <c r="U59" s="591"/>
      <c r="V59" s="591"/>
      <c r="W59" s="591"/>
      <c r="X59" s="591"/>
      <c r="Y59" s="591"/>
      <c r="Z59" s="591"/>
      <c r="AA59" s="591"/>
      <c r="AB59" s="591"/>
      <c r="AC59" s="591"/>
      <c r="AD59" s="591"/>
      <c r="AE59" s="591"/>
      <c r="AF59" s="591"/>
      <c r="AG59" s="591"/>
      <c r="AH59" s="591"/>
      <c r="AI59" s="591"/>
      <c r="AJ59" s="591"/>
      <c r="AK59" s="591"/>
      <c r="AL59" s="591"/>
      <c r="AM59" s="591"/>
      <c r="AN59" s="591"/>
      <c r="AO59" s="591"/>
      <c r="AP59" s="591"/>
      <c r="AQ59" s="591"/>
      <c r="AR59" s="591"/>
      <c r="AS59" s="591"/>
      <c r="AT59" s="591"/>
      <c r="AU59" s="591"/>
      <c r="AV59" s="591"/>
      <c r="AW59" s="591"/>
      <c r="AX59" s="591"/>
      <c r="AY59" s="591"/>
      <c r="AZ59" s="591"/>
      <c r="BA59" s="591"/>
      <c r="BB59" s="591"/>
    </row>
    <row r="60" spans="1:54" ht="15" hidden="1" customHeight="1" x14ac:dyDescent="0.2">
      <c r="A60" s="2"/>
      <c r="B60" s="2"/>
      <c r="C60" s="2"/>
      <c r="D60" s="2"/>
      <c r="E60" s="2"/>
      <c r="F60" s="2"/>
      <c r="G60" s="2"/>
      <c r="H60" s="2"/>
      <c r="I60" s="2"/>
      <c r="J60" s="2"/>
      <c r="K60" s="2"/>
      <c r="L60" s="2"/>
      <c r="M60" s="2"/>
      <c r="N60" s="2"/>
      <c r="O60" s="2"/>
      <c r="P60" s="1012" t="s">
        <v>765</v>
      </c>
      <c r="Q60" s="2"/>
      <c r="R60" s="2"/>
      <c r="S60" s="591"/>
      <c r="T60" s="591"/>
      <c r="U60" s="591"/>
      <c r="V60" s="591"/>
      <c r="W60" s="591"/>
      <c r="X60" s="591"/>
      <c r="Y60" s="591"/>
      <c r="Z60" s="591"/>
      <c r="AA60" s="591"/>
      <c r="AB60" s="591"/>
      <c r="AC60" s="591"/>
      <c r="AD60" s="591"/>
      <c r="AE60" s="591"/>
      <c r="AF60" s="591"/>
      <c r="AG60" s="591"/>
      <c r="AH60" s="591"/>
      <c r="AI60" s="591"/>
      <c r="AJ60" s="591"/>
      <c r="AK60" s="591"/>
      <c r="AL60" s="591"/>
      <c r="AM60" s="591"/>
      <c r="AN60" s="591"/>
      <c r="AO60" s="591"/>
      <c r="AP60" s="591"/>
      <c r="AQ60" s="591"/>
      <c r="AR60" s="591"/>
      <c r="AS60" s="591"/>
      <c r="AT60" s="591"/>
      <c r="AU60" s="591"/>
      <c r="AV60" s="591"/>
      <c r="AW60" s="591"/>
      <c r="AX60" s="591"/>
      <c r="AY60" s="591"/>
      <c r="AZ60" s="591"/>
      <c r="BA60" s="591"/>
      <c r="BB60" s="591"/>
    </row>
    <row r="61" spans="1:54" ht="16.5" hidden="1" customHeight="1" x14ac:dyDescent="0.2">
      <c r="A61" s="2"/>
      <c r="B61" s="2"/>
      <c r="C61" s="1369">
        <f>IF(M3=K147,0,IF(T65=0,0,IF(E8=CONCATENATE(L131,"  "),0,IF(COUNTIF(G62:N62,$L$134)&gt;0,1,0))))</f>
        <v>0</v>
      </c>
      <c r="D61" s="1369">
        <f>IMPOSTAZIONI!H35</f>
        <v>0</v>
      </c>
      <c r="E61" s="2"/>
      <c r="F61" s="2"/>
      <c r="G61" s="1010" t="str">
        <f>IMPOSTAZIONI!$I$19</f>
        <v>Colonna 1</v>
      </c>
      <c r="H61" s="1010" t="str">
        <f>IMPOSTAZIONI!$M$19</f>
        <v>Colonna 2</v>
      </c>
      <c r="I61" s="101"/>
      <c r="J61" s="101"/>
      <c r="K61" s="1010" t="str">
        <f>IMPOSTAZIONI!$U$19</f>
        <v>Colonna 3</v>
      </c>
      <c r="L61" s="101"/>
      <c r="M61" s="101"/>
      <c r="N61" s="1010" t="str">
        <f>IMPOSTAZIONI!$AC$19</f>
        <v>Colonna 4</v>
      </c>
      <c r="O61" s="2"/>
      <c r="P61" s="1013" t="s">
        <v>766</v>
      </c>
      <c r="Q61" s="2"/>
      <c r="R61" s="2"/>
      <c r="S61" s="591"/>
      <c r="T61" s="591"/>
      <c r="U61" s="591"/>
      <c r="V61" s="591"/>
      <c r="W61" s="591"/>
      <c r="X61" s="591"/>
      <c r="Y61" s="591"/>
      <c r="Z61" s="591"/>
      <c r="AA61" s="591"/>
      <c r="AB61" s="591"/>
      <c r="AC61" s="591"/>
      <c r="AD61" s="591"/>
      <c r="AE61" s="591"/>
      <c r="AF61" s="591"/>
      <c r="AG61" s="591"/>
      <c r="AH61" s="591"/>
      <c r="AI61" s="591"/>
      <c r="AJ61" s="591"/>
      <c r="AK61" s="591"/>
      <c r="AL61" s="591"/>
      <c r="AM61" s="591"/>
      <c r="AN61" s="591"/>
      <c r="AO61" s="591"/>
      <c r="AP61" s="591"/>
      <c r="AQ61" s="591"/>
      <c r="AR61" s="591"/>
      <c r="AS61" s="591"/>
      <c r="AT61" s="591"/>
      <c r="AU61" s="591"/>
      <c r="AV61" s="591"/>
      <c r="AW61" s="591"/>
      <c r="AX61" s="591"/>
      <c r="AY61" s="591"/>
      <c r="AZ61" s="591"/>
      <c r="BA61" s="591"/>
      <c r="BB61" s="591"/>
    </row>
    <row r="62" spans="1:54" ht="20.25" hidden="1" customHeight="1" x14ac:dyDescent="0.2">
      <c r="A62" s="2"/>
      <c r="B62" s="2"/>
      <c r="C62" s="2"/>
      <c r="D62" s="2"/>
      <c r="E62" s="2"/>
      <c r="F62" s="2"/>
      <c r="G62" s="1011" t="str">
        <f>IF(IMPOSTAZIONI!$I$35=0,$L$135,IMPOSTAZIONI!$I$35)</f>
        <v>SCORPORO</v>
      </c>
      <c r="H62" s="1011" t="str">
        <f>IF(IMPOSTAZIONI!$M$35=0,$L$135,IMPOSTAZIONI!$M$35)</f>
        <v>SCORPORO</v>
      </c>
      <c r="I62" s="101"/>
      <c r="J62" s="101"/>
      <c r="K62" s="1011" t="str">
        <f>IF(IMPOSTAZIONI!$U$35=0,$L$135,IMPOSTAZIONI!$U$35)</f>
        <v>SCORPORO</v>
      </c>
      <c r="L62" s="101"/>
      <c r="M62" s="101"/>
      <c r="N62" s="1011" t="str">
        <f>IF(IMPOSTAZIONI!$AC$35=0,$L$135,IMPOSTAZIONI!$AC$35)</f>
        <v>SCORPORO</v>
      </c>
      <c r="O62" s="2"/>
      <c r="P62" s="2"/>
      <c r="Q62" s="2"/>
      <c r="R62" s="2"/>
      <c r="S62" s="2"/>
      <c r="T62" s="2"/>
      <c r="U62" s="2"/>
      <c r="V62" s="2"/>
      <c r="W62" s="2"/>
      <c r="X62" s="2"/>
      <c r="Y62" s="2"/>
      <c r="Z62" s="2"/>
      <c r="AA62" s="2"/>
      <c r="AB62" s="591"/>
      <c r="AC62" s="591"/>
      <c r="AD62" s="591"/>
      <c r="AE62" s="591"/>
      <c r="AF62" s="591"/>
      <c r="AG62" s="591"/>
      <c r="AH62" s="591"/>
      <c r="AI62" s="591"/>
      <c r="AJ62" s="591"/>
      <c r="AK62" s="591"/>
      <c r="AL62" s="591"/>
      <c r="AM62" s="591"/>
      <c r="AN62" s="591"/>
      <c r="AO62" s="591"/>
      <c r="AP62" s="591"/>
      <c r="AQ62" s="591"/>
      <c r="AR62" s="591"/>
      <c r="AS62" s="591"/>
      <c r="AT62" s="591"/>
      <c r="AU62" s="591"/>
      <c r="AV62" s="591"/>
      <c r="AW62" s="591"/>
      <c r="AX62" s="591"/>
      <c r="AY62" s="591"/>
      <c r="AZ62" s="591"/>
      <c r="BA62" s="591"/>
      <c r="BB62" s="591"/>
    </row>
    <row r="63" spans="1:54" ht="20.25" hidden="1" customHeight="1" x14ac:dyDescent="0.2">
      <c r="A63" s="2"/>
      <c r="B63" s="2"/>
      <c r="C63" s="2"/>
      <c r="D63" s="2"/>
      <c r="E63" s="2"/>
      <c r="F63" s="966" t="s">
        <v>814</v>
      </c>
      <c r="G63" s="965">
        <f>IF(G62=$L134,ROUND(G46,2),0)</f>
        <v>0</v>
      </c>
      <c r="H63" s="964">
        <f>IF(H62=$L134,ROUND(H46,2),0)</f>
        <v>0</v>
      </c>
      <c r="I63" s="2"/>
      <c r="J63" s="2"/>
      <c r="K63" s="963">
        <f>IF(K62=$L134,ROUND(K46,2),0)</f>
        <v>0</v>
      </c>
      <c r="L63" s="2"/>
      <c r="M63" s="2"/>
      <c r="N63" s="963">
        <f>IF(N62=$L134,ROUND(N46,2),0)</f>
        <v>0</v>
      </c>
      <c r="O63" s="2"/>
      <c r="P63" s="2"/>
      <c r="Q63" s="2"/>
      <c r="R63" s="2"/>
      <c r="S63" s="2"/>
      <c r="T63" s="2"/>
      <c r="U63" s="2"/>
      <c r="V63" s="2"/>
      <c r="W63" s="2"/>
      <c r="X63" s="2"/>
      <c r="Y63" s="2"/>
      <c r="Z63" s="2"/>
      <c r="AA63" s="2"/>
      <c r="AB63" s="591"/>
      <c r="AC63" s="591"/>
      <c r="AD63" s="591"/>
      <c r="AE63" s="591"/>
      <c r="AF63" s="591"/>
      <c r="AG63" s="591"/>
      <c r="AH63" s="591"/>
      <c r="AI63" s="591"/>
      <c r="AJ63" s="591"/>
      <c r="AK63" s="591"/>
      <c r="AL63" s="591"/>
      <c r="AM63" s="591"/>
      <c r="AN63" s="591"/>
      <c r="AO63" s="591"/>
      <c r="AP63" s="591"/>
      <c r="AQ63" s="591"/>
      <c r="AR63" s="591"/>
      <c r="AS63" s="591"/>
      <c r="AT63" s="591"/>
      <c r="AU63" s="591"/>
      <c r="AV63" s="591"/>
      <c r="AW63" s="591"/>
      <c r="AX63" s="591"/>
      <c r="AY63" s="591"/>
      <c r="AZ63" s="591"/>
      <c r="BA63" s="591"/>
      <c r="BB63" s="591"/>
    </row>
    <row r="64" spans="1:54" ht="3.75" hidden="1"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591"/>
      <c r="AC64" s="591"/>
      <c r="AD64" s="591"/>
      <c r="AE64" s="591"/>
      <c r="AF64" s="591"/>
      <c r="AG64" s="591"/>
      <c r="AH64" s="591"/>
      <c r="AI64" s="591"/>
      <c r="AJ64" s="591"/>
      <c r="AK64" s="591"/>
      <c r="AL64" s="591"/>
      <c r="AM64" s="591"/>
      <c r="AN64" s="591"/>
      <c r="AO64" s="591"/>
      <c r="AP64" s="591"/>
      <c r="AQ64" s="591"/>
      <c r="AR64" s="591"/>
      <c r="AS64" s="591"/>
      <c r="AT64" s="591"/>
      <c r="AU64" s="591"/>
      <c r="AV64" s="591"/>
      <c r="AW64" s="591"/>
      <c r="AX64" s="591"/>
      <c r="AY64" s="591"/>
      <c r="AZ64" s="591"/>
      <c r="BA64" s="591"/>
      <c r="BB64" s="591"/>
    </row>
    <row r="65" spans="1:54" ht="20.25" hidden="1" customHeight="1" x14ac:dyDescent="0.2">
      <c r="A65" s="2"/>
      <c r="B65" s="2"/>
      <c r="C65" s="2"/>
      <c r="D65" s="2"/>
      <c r="E65" s="2"/>
      <c r="F65" s="966" t="s">
        <v>744</v>
      </c>
      <c r="G65" s="967">
        <f>G63+H63+K63+N63</f>
        <v>0</v>
      </c>
      <c r="H65" s="1114" t="str">
        <f>IF(M3=K147,"",CONCATENATE("VENTILAZIONE ",IMPOSTAZIONI!D35,IMPOSTAZIONI!B32))</f>
        <v xml:space="preserve">VENTILAZIONE </v>
      </c>
      <c r="I65" s="2"/>
      <c r="J65" s="2"/>
      <c r="K65" s="2"/>
      <c r="L65" s="2"/>
      <c r="M65" s="2"/>
      <c r="N65" s="2"/>
      <c r="O65" s="2"/>
      <c r="P65" s="2"/>
      <c r="Q65" s="2"/>
      <c r="R65" s="2"/>
      <c r="S65" s="1111" t="str">
        <f>IMPOSTAZIONI!H143</f>
        <v>MENSILE</v>
      </c>
      <c r="T65" s="2019">
        <f>IMPOSTAZIONI!D35</f>
        <v>0</v>
      </c>
      <c r="U65" s="1116" t="str">
        <f>$C182</f>
        <v>01/01 - 30/09</v>
      </c>
      <c r="V65" s="1081" t="s">
        <v>790</v>
      </c>
      <c r="W65" s="2"/>
      <c r="X65" s="2"/>
      <c r="Y65" s="1081" t="s">
        <v>792</v>
      </c>
      <c r="Z65" s="2"/>
      <c r="AA65" s="2"/>
      <c r="AB65" s="591"/>
      <c r="AC65" s="591"/>
      <c r="AD65" s="591"/>
      <c r="AE65" s="591"/>
      <c r="AF65" s="591"/>
      <c r="AG65" s="591"/>
      <c r="AH65" s="591"/>
      <c r="AI65" s="591"/>
      <c r="AJ65" s="591"/>
      <c r="AK65" s="591"/>
      <c r="AL65" s="591"/>
      <c r="AM65" s="591"/>
      <c r="AN65" s="591"/>
      <c r="AO65" s="591"/>
      <c r="AP65" s="591"/>
      <c r="AQ65" s="591"/>
      <c r="AR65" s="591"/>
      <c r="AS65" s="591"/>
      <c r="AT65" s="591"/>
      <c r="AU65" s="591"/>
      <c r="AV65" s="591"/>
      <c r="AW65" s="591"/>
      <c r="AX65" s="591"/>
      <c r="AY65" s="591"/>
      <c r="AZ65" s="591"/>
      <c r="BA65" s="591"/>
      <c r="BB65" s="591"/>
    </row>
    <row r="66" spans="1:54" ht="20.25" hidden="1" customHeight="1" x14ac:dyDescent="0.2">
      <c r="A66" s="2"/>
      <c r="B66" s="2"/>
      <c r="C66" s="2"/>
      <c r="D66" s="2"/>
      <c r="E66" s="2"/>
      <c r="F66" s="2"/>
      <c r="G66" s="2"/>
      <c r="H66" s="10"/>
      <c r="I66" s="10"/>
      <c r="J66" s="10"/>
      <c r="K66" s="10"/>
      <c r="L66" s="10"/>
      <c r="M66" s="10"/>
      <c r="N66" s="1008" t="s">
        <v>746</v>
      </c>
      <c r="O66" s="2"/>
      <c r="P66" s="2"/>
      <c r="Q66" s="2"/>
      <c r="R66" s="2"/>
      <c r="S66" s="1112" t="str">
        <f>IMPOSTAZIONI!H144</f>
        <v>TRIMESTRALE</v>
      </c>
      <c r="T66" s="2020"/>
      <c r="U66" s="806" t="str">
        <f>U65</f>
        <v>01/01 - 30/09</v>
      </c>
      <c r="V66" s="478" t="s">
        <v>790</v>
      </c>
      <c r="W66" s="2"/>
      <c r="X66" s="2"/>
      <c r="Y66" s="478" t="s">
        <v>792</v>
      </c>
      <c r="Z66" s="2"/>
      <c r="AA66" s="2"/>
      <c r="AB66" s="591"/>
      <c r="AC66" s="591"/>
      <c r="AD66" s="591"/>
      <c r="AE66" s="591"/>
      <c r="AF66" s="591"/>
      <c r="AG66" s="591"/>
      <c r="AH66" s="591"/>
      <c r="AI66" s="591"/>
      <c r="AJ66" s="591"/>
      <c r="AK66" s="591"/>
      <c r="AM66" s="591"/>
      <c r="AN66" s="591"/>
      <c r="AO66" s="591"/>
      <c r="AP66" s="591"/>
      <c r="AQ66" s="591"/>
      <c r="AS66" s="591"/>
      <c r="AT66" s="591"/>
      <c r="AU66" s="591"/>
      <c r="AV66" s="591"/>
      <c r="AW66" s="591"/>
      <c r="AY66" s="591"/>
    </row>
    <row r="67" spans="1:54" ht="24" hidden="1" customHeight="1" x14ac:dyDescent="0.2">
      <c r="A67" s="2"/>
      <c r="B67" s="2"/>
      <c r="C67" s="1183" t="s">
        <v>747</v>
      </c>
      <c r="D67" s="1165"/>
      <c r="E67" s="1165"/>
      <c r="F67" s="1165"/>
      <c r="G67" s="1197" t="e">
        <f>VLOOKUP(T65,S65:V66,4,FALSE)</f>
        <v>#N/A</v>
      </c>
      <c r="H67" s="1165"/>
      <c r="I67" s="2136" t="s">
        <v>748</v>
      </c>
      <c r="J67" s="2136"/>
      <c r="K67" s="1167"/>
      <c r="L67" s="14"/>
      <c r="M67" s="14"/>
      <c r="N67" s="1009" t="s">
        <v>749</v>
      </c>
      <c r="O67" s="2"/>
      <c r="P67" s="2"/>
      <c r="Q67" s="2"/>
      <c r="R67" s="2"/>
      <c r="S67" s="1129" t="e">
        <f>VLOOKUP(G67,V65:Y66,4,FALSE)</f>
        <v>#N/A</v>
      </c>
      <c r="T67" s="1115" t="str">
        <f>IF(T65=S66,U66,U65)</f>
        <v>01/01 - 30/09</v>
      </c>
      <c r="U67" s="2"/>
      <c r="V67" s="2"/>
      <c r="W67" s="2"/>
      <c r="X67" s="2"/>
      <c r="Y67" s="2"/>
      <c r="Z67" s="2"/>
      <c r="AA67" s="2"/>
      <c r="AB67" s="591"/>
      <c r="AC67" s="591"/>
      <c r="AD67" s="591"/>
      <c r="AE67" s="591"/>
      <c r="AF67" s="591"/>
      <c r="AG67" s="591"/>
      <c r="AH67" s="591"/>
      <c r="AI67" s="591"/>
      <c r="AJ67" s="591"/>
      <c r="AK67" s="591"/>
      <c r="AM67" s="591"/>
      <c r="AN67" s="591"/>
      <c r="AO67" s="591"/>
      <c r="AP67" s="591"/>
      <c r="AQ67" s="591"/>
      <c r="AS67" s="591"/>
      <c r="AT67" s="591"/>
      <c r="AU67" s="591"/>
      <c r="AV67" s="591"/>
      <c r="AW67" s="591"/>
      <c r="AY67" s="591"/>
    </row>
    <row r="68" spans="1:54" ht="20.25" hidden="1" customHeight="1" x14ac:dyDescent="0.2">
      <c r="A68" s="2"/>
      <c r="B68" s="2"/>
      <c r="C68" s="1169" t="s">
        <v>750</v>
      </c>
      <c r="D68" s="14"/>
      <c r="E68" s="14"/>
      <c r="F68" s="14"/>
      <c r="G68" s="1209" t="str">
        <f>C95</f>
        <v>01/09 - 30/09</v>
      </c>
      <c r="H68" s="971" t="s">
        <v>751</v>
      </c>
      <c r="I68" s="2137" t="str">
        <f>T67</f>
        <v>01/01 - 30/09</v>
      </c>
      <c r="J68" s="2137"/>
      <c r="K68" s="1208" t="s">
        <v>752</v>
      </c>
      <c r="L68" s="2022" t="s">
        <v>195</v>
      </c>
      <c r="M68" s="2022"/>
      <c r="N68" s="972" t="s">
        <v>353</v>
      </c>
      <c r="O68" s="2"/>
      <c r="P68" s="2"/>
      <c r="Q68" s="2"/>
      <c r="R68" s="2"/>
      <c r="S68" s="2"/>
      <c r="T68" s="2"/>
      <c r="U68" s="2"/>
      <c r="V68" s="2"/>
      <c r="W68" s="2"/>
      <c r="X68" s="2"/>
      <c r="Y68" s="2"/>
      <c r="Z68" s="2"/>
      <c r="AA68" s="2"/>
      <c r="AB68" s="591"/>
      <c r="AC68" s="591"/>
      <c r="AD68" s="591"/>
      <c r="AE68" s="591"/>
      <c r="AF68" s="591"/>
      <c r="AG68" s="591"/>
      <c r="AH68" s="591"/>
      <c r="AI68" s="591"/>
      <c r="AJ68" s="591"/>
      <c r="AK68" s="591"/>
      <c r="AM68" s="591"/>
      <c r="AN68" s="591"/>
      <c r="AO68" s="591"/>
      <c r="AP68" s="591"/>
      <c r="AQ68" s="591"/>
      <c r="AS68" s="591"/>
      <c r="AT68" s="591"/>
      <c r="AU68" s="591"/>
      <c r="AV68" s="591"/>
      <c r="AW68" s="591"/>
      <c r="AY68" s="591"/>
    </row>
    <row r="69" spans="1:54" ht="20.25" hidden="1" customHeight="1" x14ac:dyDescent="0.2">
      <c r="A69" s="2"/>
      <c r="B69" s="2"/>
      <c r="C69" s="1198" t="s">
        <v>753</v>
      </c>
      <c r="D69" s="14"/>
      <c r="E69" s="14"/>
      <c r="F69" s="14"/>
      <c r="G69" s="1015"/>
      <c r="H69" s="1202">
        <f>IF(AND(IMPOSTAZIONI!AF$147="",G69&lt;&gt;0),E$163,IMPOSTAZIONI!AF$147)</f>
        <v>22</v>
      </c>
      <c r="I69" s="2024">
        <f>IF($T$65=$S$66,Z69,G69+AGO!I69)</f>
        <v>0</v>
      </c>
      <c r="J69" s="2025"/>
      <c r="K69" s="1201">
        <f>IF(I73=0,0,K73-SUM(K70:K72))</f>
        <v>0</v>
      </c>
      <c r="L69" s="2023" t="str">
        <f>CONCATENATE("al ",H69," %")</f>
        <v>al 22 %</v>
      </c>
      <c r="M69" s="2023"/>
      <c r="N69" s="973">
        <f>IF(SUM(I69:J72)=0,0,ROUND(G65-SUM(N70:N72),2))</f>
        <v>0</v>
      </c>
      <c r="O69" s="2"/>
      <c r="P69" s="2"/>
      <c r="Q69" s="2"/>
      <c r="R69" s="2"/>
      <c r="S69" s="974">
        <f>IF(ISERROR(G77),0,G77)</f>
        <v>0</v>
      </c>
      <c r="T69" s="975">
        <f>IF(ISERROR(G78),0,G78)</f>
        <v>0</v>
      </c>
      <c r="U69" s="976">
        <f>IF(ISERROR(G79),0,G79)</f>
        <v>0</v>
      </c>
      <c r="V69" s="2"/>
      <c r="W69" s="1117">
        <f>LUG!$G69</f>
        <v>0</v>
      </c>
      <c r="X69" s="1118">
        <f>AGO!$G69</f>
        <v>0</v>
      </c>
      <c r="Y69" s="1119">
        <f>SET!$G69</f>
        <v>0</v>
      </c>
      <c r="Z69" s="1120">
        <f>SUM(W69:Y69)+GIU!Z69</f>
        <v>0</v>
      </c>
      <c r="AA69" s="2"/>
      <c r="AB69" s="591"/>
      <c r="AC69" s="591"/>
      <c r="AD69" s="591"/>
      <c r="AE69" s="591"/>
      <c r="AF69" s="591"/>
      <c r="AG69" s="591"/>
      <c r="AH69" s="591"/>
      <c r="AI69" s="591"/>
      <c r="AJ69" s="591"/>
      <c r="AK69" s="591"/>
      <c r="AM69" s="591"/>
      <c r="AN69" s="591"/>
      <c r="AO69" s="591"/>
      <c r="AP69" s="591"/>
      <c r="AQ69" s="591"/>
      <c r="AS69" s="591"/>
      <c r="AT69" s="591"/>
      <c r="AU69" s="591"/>
      <c r="AV69" s="591"/>
      <c r="AW69" s="591"/>
      <c r="AY69" s="591"/>
    </row>
    <row r="70" spans="1:54" ht="20.25" hidden="1" customHeight="1" x14ac:dyDescent="0.25">
      <c r="A70" s="2"/>
      <c r="B70" s="2"/>
      <c r="C70" s="1199" t="s">
        <v>754</v>
      </c>
      <c r="D70" s="14"/>
      <c r="E70" s="14"/>
      <c r="F70" s="14"/>
      <c r="G70" s="1016"/>
      <c r="H70" s="1202">
        <f>IF(AND(IMPOSTAZIONI!AG$147="",G70&lt;&gt;0),E$163,IMPOSTAZIONI!AG$147)</f>
        <v>10</v>
      </c>
      <c r="I70" s="2026">
        <f>IF($T$65=$S$66,Z70,G70+AGO!I70)</f>
        <v>0</v>
      </c>
      <c r="J70" s="2027"/>
      <c r="K70" s="1201">
        <f>IF(I$73=0,0,ROUND(I70/I$73*100,2))</f>
        <v>0</v>
      </c>
      <c r="L70" s="2023" t="str">
        <f>CONCATENATE("al ",H70," %")</f>
        <v>al 10 %</v>
      </c>
      <c r="M70" s="2023"/>
      <c r="N70" s="977">
        <f>ROUND(G$65*K70/100,2)</f>
        <v>0</v>
      </c>
      <c r="O70" s="2"/>
      <c r="P70" s="2"/>
      <c r="Q70" s="2"/>
      <c r="R70" s="2"/>
      <c r="S70" s="978">
        <f>IF(ISERROR(H77),0,H77)</f>
        <v>0</v>
      </c>
      <c r="T70" s="968">
        <f>IF(ISERROR(H78),0,H78)</f>
        <v>0</v>
      </c>
      <c r="U70" s="979">
        <f>IF(ISERROR(H79),0,H79)</f>
        <v>0</v>
      </c>
      <c r="V70" s="2"/>
      <c r="W70" s="1121">
        <f>LUG!$G70</f>
        <v>0</v>
      </c>
      <c r="X70" s="1122">
        <f>AGO!$G70</f>
        <v>0</v>
      </c>
      <c r="Y70" s="1123">
        <f>SET!$G70</f>
        <v>0</v>
      </c>
      <c r="Z70" s="1124">
        <f>SUM(W70:Y70)+GIU!Z70</f>
        <v>0</v>
      </c>
      <c r="AA70" s="2"/>
      <c r="AB70" s="591"/>
      <c r="AC70" s="591"/>
      <c r="AD70" s="591"/>
      <c r="AE70" s="591"/>
      <c r="AF70" s="591"/>
      <c r="AG70" s="591"/>
      <c r="AH70" s="591"/>
      <c r="AI70" s="591"/>
      <c r="AJ70" s="591"/>
      <c r="AK70" s="591"/>
      <c r="AM70" s="591"/>
      <c r="AN70" s="591"/>
      <c r="AO70" s="591"/>
      <c r="AP70" s="591"/>
      <c r="AQ70" s="591"/>
      <c r="AS70" s="591"/>
      <c r="AT70" s="591"/>
      <c r="AU70" s="591"/>
      <c r="AV70" s="591"/>
      <c r="AW70" s="591"/>
      <c r="AY70" s="591"/>
    </row>
    <row r="71" spans="1:54" ht="20.25" hidden="1" customHeight="1" x14ac:dyDescent="0.2">
      <c r="A71" s="2"/>
      <c r="B71" s="2"/>
      <c r="C71" s="1200" t="s">
        <v>755</v>
      </c>
      <c r="D71" s="14"/>
      <c r="E71" s="14"/>
      <c r="F71" s="14"/>
      <c r="G71" s="1016"/>
      <c r="H71" s="1202">
        <f>IF(AND(IMPOSTAZIONI!AH$147="",G71&lt;&gt;0),E$163,IMPOSTAZIONI!AH$147)</f>
        <v>4</v>
      </c>
      <c r="I71" s="2026">
        <f>IF($T$65=$S$66,Z71,G71+AGO!I71)</f>
        <v>0</v>
      </c>
      <c r="J71" s="2027"/>
      <c r="K71" s="1201">
        <f>IF(I$73=0,0,ROUND(I71/I$73*100,2))</f>
        <v>0</v>
      </c>
      <c r="L71" s="2023" t="str">
        <f>CONCATENATE("al ",H71," %")</f>
        <v>al 4 %</v>
      </c>
      <c r="M71" s="2023"/>
      <c r="N71" s="977">
        <f>ROUND(G$65*K71/100,2)</f>
        <v>0</v>
      </c>
      <c r="O71" s="2"/>
      <c r="P71" s="2"/>
      <c r="Q71" s="2"/>
      <c r="R71" s="2"/>
      <c r="S71" s="978">
        <f>IF(ISERROR(I77),0,I77)</f>
        <v>0</v>
      </c>
      <c r="T71" s="968">
        <f>IF(ISERROR(I78),0,I78)</f>
        <v>0</v>
      </c>
      <c r="U71" s="979">
        <f>IF(ISERROR(I79),0,I79)</f>
        <v>0</v>
      </c>
      <c r="V71" s="2"/>
      <c r="W71" s="1121">
        <f>LUG!$G71</f>
        <v>0</v>
      </c>
      <c r="X71" s="1122">
        <f>AGO!$G71</f>
        <v>0</v>
      </c>
      <c r="Y71" s="1123">
        <f>SET!$G71</f>
        <v>0</v>
      </c>
      <c r="Z71" s="1124">
        <f>SUM(W71:Y71)+GIU!Z71</f>
        <v>0</v>
      </c>
      <c r="AA71" s="2"/>
      <c r="AB71" s="591"/>
      <c r="AC71" s="591"/>
      <c r="AD71" s="591"/>
      <c r="AE71" s="591"/>
      <c r="AF71" s="591"/>
      <c r="AG71" s="591"/>
      <c r="AH71" s="591"/>
      <c r="AI71" s="591"/>
      <c r="AJ71" s="591"/>
      <c r="AK71" s="591"/>
      <c r="AM71" s="591"/>
      <c r="AN71" s="591"/>
      <c r="AO71" s="591"/>
      <c r="AP71" s="591"/>
      <c r="AQ71" s="591"/>
      <c r="AS71" s="591"/>
      <c r="AT71" s="591"/>
      <c r="AU71" s="591"/>
      <c r="AV71" s="591"/>
      <c r="AW71" s="591"/>
      <c r="AY71" s="591"/>
    </row>
    <row r="72" spans="1:54" ht="20.25" hidden="1" customHeight="1" x14ac:dyDescent="0.2">
      <c r="A72" s="2"/>
      <c r="B72" s="2"/>
      <c r="C72" s="1171"/>
      <c r="D72" s="14"/>
      <c r="E72" s="14"/>
      <c r="F72" s="14"/>
      <c r="G72" s="1017"/>
      <c r="H72" s="1202" t="str">
        <f>IF(AND(IMPOSTAZIONI!AI$147="",G72&lt;&gt;0),E$163,IMPOSTAZIONI!AI$147)</f>
        <v/>
      </c>
      <c r="I72" s="2039">
        <f>IF($T$65=$S$66,Z72,G72+AGO!I72)</f>
        <v>0</v>
      </c>
      <c r="J72" s="2040"/>
      <c r="K72" s="1201">
        <f>IF(I$73=0,0,ROUND(I72/I$73*100,2))</f>
        <v>0</v>
      </c>
      <c r="L72" s="2023" t="str">
        <f>CONCATENATE("al ",H72," %")</f>
        <v>al  %</v>
      </c>
      <c r="M72" s="2023"/>
      <c r="N72" s="980">
        <f>ROUND(G$65*K72/100,2)</f>
        <v>0</v>
      </c>
      <c r="O72" s="2"/>
      <c r="P72" s="2"/>
      <c r="Q72" s="2"/>
      <c r="R72" s="2"/>
      <c r="S72" s="981">
        <f>IF(ISERROR(K77),0,K77)</f>
        <v>0</v>
      </c>
      <c r="T72" s="969">
        <f>IF(ISERROR(K78),0,K78)</f>
        <v>0</v>
      </c>
      <c r="U72" s="982">
        <f>IF(ISERROR(K79),0,K79)</f>
        <v>0</v>
      </c>
      <c r="V72" s="2"/>
      <c r="W72" s="1125">
        <f>LUG!$G72</f>
        <v>0</v>
      </c>
      <c r="X72" s="1126">
        <f>AGO!$G72</f>
        <v>0</v>
      </c>
      <c r="Y72" s="1127">
        <f>SET!$G72</f>
        <v>0</v>
      </c>
      <c r="Z72" s="1128">
        <f>SUM(W72:Y72)+GIU!Z72</f>
        <v>0</v>
      </c>
      <c r="AA72" s="2"/>
      <c r="AB72" s="591"/>
      <c r="AC72" s="591"/>
      <c r="AD72" s="591"/>
      <c r="AE72" s="591"/>
      <c r="AF72" s="591"/>
      <c r="AG72" s="591"/>
      <c r="AH72" s="591"/>
      <c r="AI72" s="591"/>
      <c r="AJ72" s="591"/>
      <c r="AK72" s="591"/>
      <c r="AM72" s="591"/>
      <c r="AN72" s="591"/>
      <c r="AO72" s="591"/>
      <c r="AP72" s="591"/>
      <c r="AQ72" s="591"/>
      <c r="AS72" s="591"/>
      <c r="AT72" s="591"/>
      <c r="AU72" s="591"/>
      <c r="AV72" s="591"/>
      <c r="AW72" s="591"/>
      <c r="AY72" s="591"/>
    </row>
    <row r="73" spans="1:54" ht="20.25" hidden="1" customHeight="1" x14ac:dyDescent="0.2">
      <c r="A73" s="2"/>
      <c r="B73" s="2"/>
      <c r="C73" s="1171"/>
      <c r="D73" s="14"/>
      <c r="E73" s="14"/>
      <c r="F73" s="983" t="s">
        <v>105</v>
      </c>
      <c r="G73" s="1014">
        <f>SUM(G69:G72)</f>
        <v>0</v>
      </c>
      <c r="H73" s="866"/>
      <c r="I73" s="2041">
        <f>SUM(I69:I72)</f>
        <v>0</v>
      </c>
      <c r="J73" s="2041"/>
      <c r="K73" s="1196">
        <v>100</v>
      </c>
      <c r="L73" s="2"/>
      <c r="M73" s="2"/>
      <c r="N73" s="967">
        <f>SUM(N69:N72)</f>
        <v>0</v>
      </c>
      <c r="O73" s="503" t="str">
        <f>IF(C61=0,"",IF(G65=N73,"OK",E163))</f>
        <v/>
      </c>
      <c r="P73" s="2"/>
      <c r="Q73" s="2"/>
      <c r="R73" s="2"/>
      <c r="S73" s="2"/>
      <c r="T73" s="2"/>
      <c r="U73" s="2"/>
      <c r="V73" s="2"/>
      <c r="W73" s="2"/>
      <c r="X73" s="2"/>
      <c r="Y73" s="2"/>
      <c r="Z73" s="2"/>
      <c r="AA73" s="2"/>
      <c r="AB73" s="591"/>
      <c r="AC73" s="591"/>
      <c r="AD73" s="591"/>
      <c r="AE73" s="591"/>
      <c r="AF73" s="591"/>
      <c r="AG73" s="591"/>
      <c r="AH73" s="591"/>
      <c r="AI73" s="591"/>
      <c r="AJ73" s="591"/>
      <c r="AK73" s="591"/>
      <c r="AM73" s="591"/>
      <c r="AN73" s="591"/>
      <c r="AO73" s="591"/>
      <c r="AP73" s="591"/>
      <c r="AQ73" s="591"/>
      <c r="AS73" s="591"/>
      <c r="AT73" s="591"/>
      <c r="AU73" s="591"/>
      <c r="AV73" s="591"/>
      <c r="AW73" s="591"/>
      <c r="AY73" s="591"/>
    </row>
    <row r="74" spans="1:54" ht="20.25" hidden="1" customHeight="1" x14ac:dyDescent="0.2">
      <c r="A74" s="2"/>
      <c r="B74" s="2"/>
      <c r="C74" s="1172"/>
      <c r="D74" s="1173"/>
      <c r="E74" s="1173"/>
      <c r="F74" s="1173"/>
      <c r="G74" s="1173"/>
      <c r="H74" s="1173"/>
      <c r="I74" s="2051" t="s">
        <v>756</v>
      </c>
      <c r="J74" s="2051"/>
      <c r="K74" s="2052"/>
      <c r="L74" s="14"/>
      <c r="M74" s="14"/>
      <c r="N74" s="139"/>
      <c r="O74" s="2"/>
      <c r="P74" s="2"/>
      <c r="Q74" s="2"/>
      <c r="R74" s="2"/>
      <c r="S74" s="2"/>
      <c r="T74" s="2"/>
      <c r="U74" s="2"/>
      <c r="V74" s="2"/>
      <c r="W74" s="2"/>
      <c r="X74" s="2"/>
      <c r="Y74" s="2"/>
      <c r="Z74" s="2"/>
      <c r="AA74" s="2"/>
      <c r="AB74" s="591"/>
      <c r="AC74" s="591"/>
      <c r="AD74" s="591"/>
      <c r="AE74" s="591"/>
      <c r="AF74" s="591"/>
      <c r="AG74" s="591"/>
      <c r="AH74" s="591"/>
      <c r="AI74" s="591"/>
      <c r="AJ74" s="591"/>
      <c r="AK74" s="591"/>
      <c r="AM74" s="591"/>
      <c r="AN74" s="591"/>
      <c r="AO74" s="591"/>
      <c r="AP74" s="591"/>
      <c r="AQ74" s="591"/>
      <c r="AS74" s="591"/>
      <c r="AT74" s="591"/>
      <c r="AU74" s="591"/>
      <c r="AV74" s="591"/>
      <c r="AW74" s="591"/>
      <c r="AY74" s="591"/>
    </row>
    <row r="75" spans="1:54" ht="11.25" hidden="1" customHeight="1" x14ac:dyDescent="0.2">
      <c r="A75" s="2"/>
      <c r="B75" s="2"/>
      <c r="C75" s="2"/>
      <c r="D75" s="2"/>
      <c r="E75" s="2"/>
      <c r="F75" s="2"/>
      <c r="G75" s="2"/>
      <c r="H75" s="2"/>
      <c r="I75" s="2"/>
      <c r="J75" s="2"/>
      <c r="K75" s="2"/>
      <c r="L75" s="14"/>
      <c r="M75" s="14"/>
      <c r="N75" s="139"/>
      <c r="O75" s="2"/>
      <c r="P75" s="2"/>
      <c r="Q75" s="2"/>
      <c r="R75" s="2"/>
      <c r="S75" s="2"/>
      <c r="T75" s="2"/>
      <c r="U75" s="2"/>
      <c r="V75" s="2"/>
      <c r="W75" s="2"/>
      <c r="X75" s="2"/>
      <c r="Y75" s="2"/>
      <c r="Z75" s="2"/>
      <c r="AA75" s="2"/>
      <c r="AB75" s="591"/>
      <c r="AC75" s="591"/>
      <c r="AD75" s="591"/>
      <c r="AE75" s="591"/>
      <c r="AF75" s="591"/>
      <c r="AG75" s="591"/>
      <c r="AH75" s="591"/>
      <c r="AI75" s="591"/>
      <c r="AJ75" s="591"/>
      <c r="AK75" s="591"/>
      <c r="AM75" s="591"/>
      <c r="AN75" s="591"/>
      <c r="AO75" s="591"/>
      <c r="AP75" s="591"/>
      <c r="AQ75" s="591"/>
      <c r="AS75" s="591"/>
      <c r="AT75" s="591"/>
      <c r="AU75" s="591"/>
      <c r="AV75" s="591"/>
      <c r="AW75" s="591"/>
      <c r="AY75" s="591"/>
    </row>
    <row r="76" spans="1:54" ht="20.25" hidden="1" customHeight="1" x14ac:dyDescent="0.2">
      <c r="A76" s="2"/>
      <c r="B76" s="2"/>
      <c r="C76" s="2"/>
      <c r="D76" s="2"/>
      <c r="E76" s="20"/>
      <c r="F76" s="984" t="s">
        <v>764</v>
      </c>
      <c r="G76" s="985">
        <f>H69</f>
        <v>22</v>
      </c>
      <c r="H76" s="985">
        <f>H70</f>
        <v>10</v>
      </c>
      <c r="I76" s="2142">
        <f>H71</f>
        <v>4</v>
      </c>
      <c r="J76" s="2142"/>
      <c r="K76" s="1162" t="str">
        <f>H72</f>
        <v/>
      </c>
      <c r="L76" s="2"/>
      <c r="M76" s="2"/>
      <c r="N76" s="986"/>
      <c r="O76" s="2"/>
      <c r="P76" s="2"/>
      <c r="Q76" s="2"/>
      <c r="R76" s="2"/>
      <c r="S76" s="2"/>
      <c r="T76" s="2"/>
      <c r="U76" s="2"/>
      <c r="V76" s="2"/>
      <c r="W76" s="2"/>
      <c r="X76" s="591"/>
      <c r="Y76" s="591"/>
      <c r="AB76" s="591"/>
      <c r="AC76" s="591"/>
      <c r="AD76" s="591"/>
      <c r="AE76" s="591"/>
      <c r="AF76" s="591"/>
      <c r="AG76" s="591"/>
      <c r="AH76" s="591"/>
      <c r="AI76" s="591"/>
      <c r="AJ76" s="591"/>
      <c r="AK76" s="591"/>
      <c r="AM76" s="591"/>
      <c r="AN76" s="591"/>
      <c r="AO76" s="591"/>
      <c r="AP76" s="591"/>
      <c r="AQ76" s="591"/>
      <c r="AS76" s="591"/>
      <c r="AT76" s="591"/>
      <c r="AU76" s="591"/>
      <c r="AV76" s="591"/>
      <c r="AW76" s="591"/>
      <c r="AY76" s="591"/>
    </row>
    <row r="77" spans="1:54" ht="20.25" hidden="1" customHeight="1" x14ac:dyDescent="0.2">
      <c r="A77" s="2"/>
      <c r="B77" s="2"/>
      <c r="C77" s="2"/>
      <c r="D77" s="2"/>
      <c r="E77" s="2"/>
      <c r="F77" s="987" t="s">
        <v>757</v>
      </c>
      <c r="G77" s="988">
        <f>N69-G78</f>
        <v>0</v>
      </c>
      <c r="H77" s="989">
        <f>N70-H78</f>
        <v>0</v>
      </c>
      <c r="I77" s="2037">
        <f>N71-I78</f>
        <v>0</v>
      </c>
      <c r="J77" s="2038"/>
      <c r="K77" s="989">
        <f>N72-K78</f>
        <v>0</v>
      </c>
      <c r="L77" s="2233">
        <f>SUM(S69:S72)</f>
        <v>0</v>
      </c>
      <c r="M77" s="2234"/>
      <c r="N77" s="990" t="s">
        <v>758</v>
      </c>
      <c r="O77" s="2"/>
      <c r="P77" s="2"/>
      <c r="Q77" s="2"/>
      <c r="R77" s="2"/>
      <c r="S77" s="2"/>
      <c r="T77" s="2"/>
      <c r="U77" s="2"/>
      <c r="V77" s="2"/>
      <c r="W77" s="2"/>
      <c r="X77" s="591"/>
      <c r="Y77" s="591"/>
      <c r="AG77" s="591"/>
      <c r="AH77" s="591"/>
      <c r="AI77" s="591"/>
      <c r="AJ77" s="591"/>
      <c r="AK77" s="591"/>
      <c r="AM77" s="591"/>
      <c r="AN77" s="591"/>
      <c r="AO77" s="591"/>
      <c r="AP77" s="591"/>
      <c r="AQ77" s="591"/>
      <c r="AS77" s="591"/>
      <c r="AT77" s="591"/>
      <c r="AU77" s="591"/>
      <c r="AV77" s="591"/>
      <c r="AW77" s="591"/>
      <c r="AY77" s="591"/>
    </row>
    <row r="78" spans="1:54" ht="20.25" hidden="1" customHeight="1" x14ac:dyDescent="0.2">
      <c r="A78" s="2"/>
      <c r="B78" s="2"/>
      <c r="C78" s="2"/>
      <c r="D78" s="2"/>
      <c r="E78" s="2"/>
      <c r="F78" s="991" t="s">
        <v>759</v>
      </c>
      <c r="G78" s="992">
        <f>IF(G76="",0,ROUND(N69*G76/(100+G76),2))</f>
        <v>0</v>
      </c>
      <c r="H78" s="993">
        <f>IF(H76="",0,ROUND(N70*H76/(100+H76),2))</f>
        <v>0</v>
      </c>
      <c r="I78" s="2140">
        <f>IF(I76="",0,ROUND(N71*I76/(100+I76),2))</f>
        <v>0</v>
      </c>
      <c r="J78" s="2141"/>
      <c r="K78" s="993">
        <f>IF(K76="",0,ROUND(N72*K76/(100+K76),2))</f>
        <v>0</v>
      </c>
      <c r="L78" s="2235">
        <f>SUM(T69:T72)</f>
        <v>0</v>
      </c>
      <c r="M78" s="2236"/>
      <c r="N78" s="994" t="s">
        <v>760</v>
      </c>
      <c r="O78" s="2"/>
      <c r="P78" s="2"/>
      <c r="Q78" s="2"/>
      <c r="R78" s="2"/>
      <c r="S78" s="2"/>
      <c r="T78" s="2"/>
      <c r="U78" s="128" t="s">
        <v>783</v>
      </c>
      <c r="V78" s="2"/>
      <c r="W78" s="2"/>
      <c r="X78" s="591"/>
      <c r="Y78" s="591"/>
      <c r="AG78" s="591"/>
      <c r="AH78" s="591"/>
      <c r="AI78" s="591"/>
      <c r="AJ78" s="591"/>
      <c r="AK78" s="591"/>
      <c r="AM78" s="591"/>
      <c r="AN78" s="591"/>
      <c r="AO78" s="591"/>
      <c r="AP78" s="591"/>
      <c r="AQ78" s="591"/>
      <c r="AS78" s="591"/>
      <c r="AT78" s="591"/>
      <c r="AU78" s="591"/>
      <c r="AV78" s="591"/>
      <c r="AW78" s="591"/>
      <c r="AY78" s="591"/>
    </row>
    <row r="79" spans="1:54" ht="20.25" hidden="1" customHeight="1" x14ac:dyDescent="0.2">
      <c r="A79" s="2"/>
      <c r="B79" s="2"/>
      <c r="C79" s="2"/>
      <c r="D79" s="2"/>
      <c r="E79" s="287"/>
      <c r="F79" s="995" t="s">
        <v>105</v>
      </c>
      <c r="G79" s="996">
        <f>G77+G78</f>
        <v>0</v>
      </c>
      <c r="H79" s="996">
        <f>H77+H78</f>
        <v>0</v>
      </c>
      <c r="I79" s="2135">
        <f>I77+I78</f>
        <v>0</v>
      </c>
      <c r="J79" s="2135"/>
      <c r="K79" s="996">
        <f>K77+K78</f>
        <v>0</v>
      </c>
      <c r="L79" s="287"/>
      <c r="M79" s="287"/>
      <c r="N79" s="996">
        <f>SUM(U69:U72)</f>
        <v>0</v>
      </c>
      <c r="O79" s="503" t="str">
        <f>IF(N79=N73,"OK",E163)</f>
        <v>OK</v>
      </c>
      <c r="P79" s="2"/>
      <c r="Q79" s="2"/>
      <c r="R79" s="924" t="str">
        <f>G62</f>
        <v>SCORPORO</v>
      </c>
      <c r="S79" s="997">
        <f>IF(R79=L$134,G$63,0)</f>
        <v>0</v>
      </c>
      <c r="T79" s="92">
        <f>G42</f>
        <v>0</v>
      </c>
      <c r="U79" s="997">
        <f>IF(T79=K$134,S79,0)</f>
        <v>0</v>
      </c>
      <c r="V79" s="2"/>
      <c r="W79" s="2"/>
      <c r="X79" s="591"/>
      <c r="Y79" s="591"/>
      <c r="AG79" s="591"/>
      <c r="AH79" s="591"/>
      <c r="AI79" s="591"/>
      <c r="AJ79" s="591"/>
      <c r="AK79" s="591"/>
      <c r="AM79" s="591"/>
      <c r="AN79" s="591"/>
      <c r="AO79" s="591"/>
      <c r="AP79" s="591"/>
      <c r="AQ79" s="591"/>
      <c r="AS79" s="591"/>
      <c r="AT79" s="591"/>
      <c r="AU79" s="591"/>
      <c r="AV79" s="591"/>
      <c r="AW79" s="591"/>
      <c r="AY79" s="591"/>
    </row>
    <row r="80" spans="1:54" ht="20.25" hidden="1" customHeight="1" x14ac:dyDescent="0.2">
      <c r="A80" s="2"/>
      <c r="B80" s="2"/>
      <c r="C80" s="2"/>
      <c r="D80" s="2"/>
      <c r="E80" s="2"/>
      <c r="F80" s="2"/>
      <c r="G80" s="2"/>
      <c r="H80" s="2"/>
      <c r="I80" s="2"/>
      <c r="J80" s="2"/>
      <c r="K80" s="2"/>
      <c r="L80" s="2"/>
      <c r="M80" s="2"/>
      <c r="N80" s="10"/>
      <c r="O80" s="2"/>
      <c r="P80" s="2"/>
      <c r="Q80" s="2"/>
      <c r="R80" s="924" t="str">
        <f>H62</f>
        <v>SCORPORO</v>
      </c>
      <c r="S80" s="998">
        <f>IF(R80=L$134,H63,0)</f>
        <v>0</v>
      </c>
      <c r="T80" s="92">
        <f>H42</f>
        <v>0</v>
      </c>
      <c r="U80" s="998">
        <f>IF(T80=K$134,S80,0)</f>
        <v>0</v>
      </c>
      <c r="V80" s="2"/>
      <c r="W80" s="2"/>
      <c r="X80" s="591"/>
      <c r="Y80" s="591"/>
      <c r="AG80" s="591"/>
      <c r="AH80" s="591"/>
      <c r="AI80" s="591"/>
      <c r="AJ80" s="591"/>
      <c r="AK80" s="591"/>
      <c r="AM80" s="591"/>
      <c r="AN80" s="591"/>
      <c r="AO80" s="591"/>
      <c r="AP80" s="591"/>
      <c r="AQ80" s="591"/>
      <c r="AS80" s="591"/>
      <c r="AT80" s="591"/>
      <c r="AU80" s="591"/>
      <c r="AV80" s="591"/>
      <c r="AW80" s="591"/>
      <c r="AY80" s="591"/>
    </row>
    <row r="81" spans="1:51" ht="20.25" hidden="1" customHeight="1" x14ac:dyDescent="0.2">
      <c r="A81" s="2"/>
      <c r="B81" s="2"/>
      <c r="C81" s="2"/>
      <c r="D81" s="2"/>
      <c r="E81" s="2"/>
      <c r="F81" s="2"/>
      <c r="G81" s="103" t="str">
        <f>G61</f>
        <v>Colonna 1</v>
      </c>
      <c r="H81" s="103" t="str">
        <f>H61</f>
        <v>Colonna 2</v>
      </c>
      <c r="I81" s="2053" t="str">
        <f>K61</f>
        <v>Colonna 3</v>
      </c>
      <c r="J81" s="2053"/>
      <c r="K81" s="103" t="str">
        <f>N61</f>
        <v>Colonna 4</v>
      </c>
      <c r="L81" s="2"/>
      <c r="M81" s="2"/>
      <c r="N81" s="14"/>
      <c r="O81" s="2"/>
      <c r="P81" s="2"/>
      <c r="Q81" s="2"/>
      <c r="R81" s="924" t="str">
        <f>K62</f>
        <v>SCORPORO</v>
      </c>
      <c r="S81" s="998">
        <f>IF(R81=L$134,K63,0)</f>
        <v>0</v>
      </c>
      <c r="T81" s="92">
        <f>K42</f>
        <v>0</v>
      </c>
      <c r="U81" s="998">
        <f>IF(T81=K$134,S81,0)</f>
        <v>0</v>
      </c>
      <c r="V81" s="2"/>
      <c r="W81" s="2"/>
      <c r="X81" s="591"/>
      <c r="Y81" s="591"/>
      <c r="AG81" s="591"/>
      <c r="AH81" s="591"/>
      <c r="AI81" s="591"/>
      <c r="AJ81" s="591"/>
      <c r="AK81" s="591"/>
      <c r="AM81" s="591"/>
      <c r="AN81" s="591"/>
      <c r="AO81" s="591"/>
      <c r="AP81" s="591"/>
      <c r="AQ81" s="591"/>
      <c r="AS81" s="591"/>
      <c r="AT81" s="591"/>
      <c r="AU81" s="591"/>
      <c r="AV81" s="591"/>
      <c r="AW81" s="591"/>
      <c r="AY81" s="591"/>
    </row>
    <row r="82" spans="1:51" ht="18" hidden="1" customHeight="1" x14ac:dyDescent="0.2">
      <c r="A82" s="2"/>
      <c r="B82" s="2"/>
      <c r="C82" s="2"/>
      <c r="D82" s="2"/>
      <c r="E82" s="2"/>
      <c r="F82" s="2"/>
      <c r="G82" s="1203" t="str">
        <f t="shared" ref="G82:H84" si="33">G43</f>
        <v/>
      </c>
      <c r="H82" s="1204" t="str">
        <f t="shared" si="33"/>
        <v/>
      </c>
      <c r="I82" s="2031" t="str">
        <f>K43</f>
        <v/>
      </c>
      <c r="J82" s="2031"/>
      <c r="K82" s="1205" t="str">
        <f>N43</f>
        <v/>
      </c>
      <c r="L82" s="2"/>
      <c r="M82" s="2"/>
      <c r="N82" s="14"/>
      <c r="O82" s="2"/>
      <c r="P82" s="2"/>
      <c r="Q82" s="2"/>
      <c r="R82" s="924" t="str">
        <f>N62</f>
        <v>SCORPORO</v>
      </c>
      <c r="S82" s="1007">
        <f>IF(R82=L$134,N63,0)</f>
        <v>0</v>
      </c>
      <c r="T82" s="92">
        <f>N42</f>
        <v>0</v>
      </c>
      <c r="U82" s="1007">
        <f>IF(T82=K$134,S82,0)</f>
        <v>0</v>
      </c>
      <c r="V82" s="2"/>
      <c r="W82" s="2"/>
      <c r="X82" s="591"/>
      <c r="Y82" s="591"/>
      <c r="AG82" s="591"/>
      <c r="AH82" s="591"/>
      <c r="AI82" s="591"/>
      <c r="AJ82" s="591"/>
      <c r="AK82" s="591"/>
      <c r="AM82" s="591"/>
      <c r="AN82" s="591"/>
      <c r="AO82" s="591"/>
      <c r="AP82" s="591"/>
      <c r="AQ82" s="591"/>
      <c r="AS82" s="591"/>
      <c r="AT82" s="591"/>
      <c r="AU82" s="591"/>
      <c r="AV82" s="591"/>
      <c r="AW82" s="591"/>
      <c r="AY82" s="591"/>
    </row>
    <row r="83" spans="1:51" ht="18" hidden="1" customHeight="1" x14ac:dyDescent="0.2">
      <c r="A83" s="2"/>
      <c r="B83" s="2"/>
      <c r="C83" s="2"/>
      <c r="D83" s="2"/>
      <c r="E83" s="2"/>
      <c r="F83" s="2"/>
      <c r="G83" s="1000" t="str">
        <f t="shared" si="33"/>
        <v/>
      </c>
      <c r="H83" s="1000" t="str">
        <f t="shared" si="33"/>
        <v/>
      </c>
      <c r="I83" s="2054" t="str">
        <f>K44</f>
        <v/>
      </c>
      <c r="J83" s="2054"/>
      <c r="K83" s="1000" t="str">
        <f>N44</f>
        <v/>
      </c>
      <c r="L83" s="2"/>
      <c r="M83" s="2"/>
      <c r="N83" s="14"/>
      <c r="O83" s="2"/>
      <c r="P83" s="2"/>
      <c r="Q83" s="2"/>
      <c r="R83" s="2"/>
      <c r="S83" s="999"/>
      <c r="T83" s="2"/>
      <c r="U83" s="999"/>
      <c r="V83" s="2"/>
      <c r="W83" s="2"/>
      <c r="X83" s="591"/>
      <c r="Y83" s="591"/>
      <c r="AG83" s="591"/>
      <c r="AH83" s="591"/>
      <c r="AI83" s="591"/>
      <c r="AJ83" s="591"/>
      <c r="AK83" s="591"/>
      <c r="AM83" s="591"/>
      <c r="AN83" s="591"/>
      <c r="AO83" s="591"/>
      <c r="AP83" s="591"/>
      <c r="AQ83" s="591"/>
      <c r="AS83" s="591"/>
      <c r="AT83" s="591"/>
      <c r="AU83" s="591"/>
      <c r="AV83" s="591"/>
      <c r="AW83" s="591"/>
      <c r="AY83" s="591"/>
    </row>
    <row r="84" spans="1:51" ht="18" hidden="1" customHeight="1" x14ac:dyDescent="0.2">
      <c r="A84" s="2"/>
      <c r="B84" s="2"/>
      <c r="C84" s="2"/>
      <c r="D84" s="2"/>
      <c r="E84" s="2"/>
      <c r="F84" s="2"/>
      <c r="G84" s="1001" t="str">
        <f t="shared" si="33"/>
        <v/>
      </c>
      <c r="H84" s="1001" t="str">
        <f t="shared" si="33"/>
        <v/>
      </c>
      <c r="I84" s="2055" t="str">
        <f>K45</f>
        <v/>
      </c>
      <c r="J84" s="2055"/>
      <c r="K84" s="1001" t="str">
        <f>N45</f>
        <v/>
      </c>
      <c r="L84" s="2"/>
      <c r="M84" s="2"/>
      <c r="N84" s="14"/>
      <c r="O84" s="2"/>
      <c r="P84" s="2"/>
      <c r="Q84" s="2"/>
      <c r="R84" s="2"/>
      <c r="S84" s="999"/>
      <c r="T84" s="2"/>
      <c r="U84" s="999"/>
      <c r="V84" s="2"/>
      <c r="W84" s="2"/>
      <c r="X84" s="591"/>
      <c r="Y84" s="591"/>
      <c r="AG84" s="591"/>
      <c r="AH84" s="591"/>
      <c r="AI84" s="591"/>
      <c r="AJ84" s="591"/>
      <c r="AK84" s="591"/>
      <c r="AM84" s="591"/>
      <c r="AN84" s="591"/>
      <c r="AO84" s="591"/>
      <c r="AP84" s="591"/>
      <c r="AQ84" s="591"/>
      <c r="AS84" s="591"/>
      <c r="AT84" s="591"/>
      <c r="AU84" s="591"/>
      <c r="AV84" s="591"/>
      <c r="AW84" s="591"/>
      <c r="AY84" s="591"/>
    </row>
    <row r="85" spans="1:51" ht="18" hidden="1" customHeight="1" x14ac:dyDescent="0.2">
      <c r="A85" s="2"/>
      <c r="B85" s="2"/>
      <c r="C85" s="2"/>
      <c r="D85" s="2"/>
      <c r="E85" s="2"/>
      <c r="F85" s="2"/>
      <c r="G85" s="1011" t="str">
        <f>VLOOKUP(G62,$L$134:$M$135,2,FALSE)</f>
        <v>SCORPORO</v>
      </c>
      <c r="H85" s="1011" t="str">
        <f>VLOOKUP(H62,$L$134:$M$135,2,FALSE)</f>
        <v>SCORPORO</v>
      </c>
      <c r="I85" s="2056" t="str">
        <f>VLOOKUP(K62,$L$134:$M$135,2,FALSE)</f>
        <v>SCORPORO</v>
      </c>
      <c r="J85" s="2056"/>
      <c r="K85" s="1011" t="str">
        <f>VLOOKUP(N62,$L$134:$M$135,2,FALSE)</f>
        <v>SCORPORO</v>
      </c>
      <c r="L85" s="2"/>
      <c r="M85" s="2"/>
      <c r="N85" s="14"/>
      <c r="O85" s="2"/>
      <c r="P85" s="2"/>
      <c r="Q85" s="2"/>
      <c r="R85" s="2"/>
      <c r="S85" s="999"/>
      <c r="T85" s="2"/>
      <c r="U85" s="999"/>
      <c r="V85" s="2"/>
      <c r="W85" s="2"/>
      <c r="X85" s="591"/>
      <c r="Y85" s="591"/>
      <c r="AG85" s="591"/>
      <c r="AH85" s="591"/>
      <c r="AI85" s="591"/>
      <c r="AJ85" s="591"/>
      <c r="AK85" s="591"/>
      <c r="AM85" s="591"/>
      <c r="AN85" s="591"/>
      <c r="AO85" s="591"/>
      <c r="AP85" s="591"/>
      <c r="AQ85" s="591"/>
      <c r="AS85" s="591"/>
      <c r="AT85" s="591"/>
      <c r="AU85" s="591"/>
      <c r="AV85" s="591"/>
      <c r="AW85" s="591"/>
      <c r="AY85" s="591"/>
    </row>
    <row r="86" spans="1:51" ht="20.25" hidden="1" customHeight="1" x14ac:dyDescent="0.2">
      <c r="A86" s="2"/>
      <c r="B86" s="2"/>
      <c r="C86" s="2"/>
      <c r="D86" s="2"/>
      <c r="E86" s="2"/>
      <c r="F86" s="1002" t="s">
        <v>761</v>
      </c>
      <c r="G86" s="1206">
        <f>IF($L77=0,0,$S79-G87)</f>
        <v>0</v>
      </c>
      <c r="H86" s="1206">
        <f>IF($L77=0,0,S80-H87)</f>
        <v>0</v>
      </c>
      <c r="I86" s="2035">
        <f>IF($L77=0,0,S81-I87)</f>
        <v>0</v>
      </c>
      <c r="J86" s="2036"/>
      <c r="K86" s="1206">
        <f>IF($L77=0,0,S82-K87)</f>
        <v>0</v>
      </c>
      <c r="L86" s="2237">
        <f>SUM(G86:K86)</f>
        <v>0</v>
      </c>
      <c r="M86" s="2237"/>
      <c r="N86" s="1003" t="s">
        <v>758</v>
      </c>
      <c r="O86" s="2"/>
      <c r="P86" s="2"/>
      <c r="Q86" s="2"/>
      <c r="R86" s="2"/>
      <c r="S86" s="999"/>
      <c r="T86" s="2"/>
      <c r="U86" s="999"/>
      <c r="V86" s="2"/>
      <c r="W86" s="2"/>
      <c r="X86" s="591"/>
      <c r="Y86" s="591"/>
      <c r="AG86" s="591"/>
      <c r="AH86" s="591"/>
      <c r="AI86" s="591"/>
      <c r="AJ86" s="591"/>
      <c r="AK86" s="591"/>
      <c r="AM86" s="591"/>
      <c r="AN86" s="591"/>
      <c r="AO86" s="591"/>
      <c r="AP86" s="591"/>
      <c r="AQ86" s="591"/>
      <c r="AS86" s="591"/>
      <c r="AT86" s="591"/>
      <c r="AU86" s="591"/>
      <c r="AV86" s="591"/>
      <c r="AW86" s="591"/>
      <c r="AY86" s="591"/>
    </row>
    <row r="87" spans="1:51" ht="20.25" hidden="1" customHeight="1" x14ac:dyDescent="0.2">
      <c r="A87" s="2"/>
      <c r="B87" s="2"/>
      <c r="C87" s="2"/>
      <c r="D87" s="2"/>
      <c r="E87" s="2"/>
      <c r="F87" s="1004" t="s">
        <v>762</v>
      </c>
      <c r="G87" s="1207">
        <f>IF($C$61=0,0,ROUND($L78*G89/100,2))</f>
        <v>0</v>
      </c>
      <c r="H87" s="1207">
        <f>IF($C$61=0,0,ROUND($L78*H89/100,2))</f>
        <v>0</v>
      </c>
      <c r="I87" s="2028">
        <f>IF($C$61=0,0,ROUND($L78*I89/100,2))</f>
        <v>0</v>
      </c>
      <c r="J87" s="2029"/>
      <c r="K87" s="1207">
        <f>IF($C$61=0,0,L78-G87-H87-I87)</f>
        <v>0</v>
      </c>
      <c r="L87" s="2125">
        <f>SUM(G87:K87)</f>
        <v>0</v>
      </c>
      <c r="M87" s="2125"/>
      <c r="N87" s="1005" t="s">
        <v>760</v>
      </c>
      <c r="O87" s="2"/>
      <c r="P87" s="2"/>
      <c r="Q87" s="2"/>
      <c r="R87" s="2"/>
      <c r="S87" s="999"/>
      <c r="T87" s="2"/>
      <c r="U87" s="999"/>
      <c r="V87" s="2"/>
      <c r="W87" s="2"/>
      <c r="X87" s="591"/>
      <c r="Y87" s="591"/>
      <c r="AG87" s="591"/>
      <c r="AH87" s="591"/>
      <c r="AI87" s="591"/>
      <c r="AJ87" s="591"/>
      <c r="AK87" s="591"/>
      <c r="AM87" s="591"/>
      <c r="AN87" s="591"/>
      <c r="AO87" s="591"/>
      <c r="AP87" s="591"/>
      <c r="AQ87" s="591"/>
      <c r="AS87" s="591"/>
      <c r="AT87" s="591"/>
      <c r="AU87" s="591"/>
      <c r="AV87" s="591"/>
      <c r="AW87" s="591"/>
      <c r="AY87" s="591"/>
    </row>
    <row r="88" spans="1:51" ht="20.25" hidden="1" customHeight="1" x14ac:dyDescent="0.2">
      <c r="A88" s="2"/>
      <c r="B88" s="2"/>
      <c r="C88" s="2"/>
      <c r="D88" s="2"/>
      <c r="E88" s="287"/>
      <c r="F88" s="995" t="s">
        <v>105</v>
      </c>
      <c r="G88" s="1020">
        <f>IF(G85=$M135,0,G86+G87)</f>
        <v>0</v>
      </c>
      <c r="H88" s="1020">
        <f>IF(H85=$M135,0,H86+H87)</f>
        <v>0</v>
      </c>
      <c r="I88" s="2216">
        <f>IF(I85=$M135,0,I86+I87)</f>
        <v>0</v>
      </c>
      <c r="J88" s="2216"/>
      <c r="K88" s="1020">
        <f>IF(K85=$M135,0,K86+K87)</f>
        <v>0</v>
      </c>
      <c r="L88" s="287"/>
      <c r="M88" s="287"/>
      <c r="N88" s="996">
        <f>SUM(G88:K88)</f>
        <v>0</v>
      </c>
      <c r="O88" s="503" t="str">
        <f>IF(N88=N79,"OK",E163)</f>
        <v>OK</v>
      </c>
      <c r="P88" s="2"/>
      <c r="Q88" s="2"/>
      <c r="R88" s="2"/>
      <c r="S88" s="1006"/>
      <c r="T88" s="2"/>
      <c r="U88" s="1006"/>
      <c r="V88" s="2"/>
      <c r="W88" s="2"/>
      <c r="X88" s="591"/>
      <c r="Y88" s="591"/>
      <c r="AG88" s="591"/>
      <c r="AH88" s="591"/>
      <c r="AI88" s="591"/>
      <c r="AJ88" s="591"/>
      <c r="AK88" s="591"/>
      <c r="AM88" s="591"/>
      <c r="AN88" s="591"/>
      <c r="AO88" s="591"/>
      <c r="AP88" s="591"/>
      <c r="AQ88" s="591"/>
      <c r="AS88" s="591"/>
      <c r="AT88" s="591"/>
      <c r="AU88" s="591"/>
      <c r="AV88" s="591"/>
      <c r="AW88" s="591"/>
      <c r="AY88" s="591"/>
    </row>
    <row r="89" spans="1:51" ht="20.25" hidden="1" customHeight="1" x14ac:dyDescent="0.2">
      <c r="A89" s="2"/>
      <c r="B89" s="2"/>
      <c r="C89" s="2"/>
      <c r="D89" s="2"/>
      <c r="E89" s="2"/>
      <c r="F89" s="970" t="s">
        <v>763</v>
      </c>
      <c r="G89" s="1021">
        <f>IF($C$61=0,0,IF(S79=0,0,ROUND($S79/$S89*100,10)))</f>
        <v>0</v>
      </c>
      <c r="H89" s="1021">
        <f>IF($C$61=0,0,IF(S80=0,0,ROUND(S80/$S89*100,10)))</f>
        <v>0</v>
      </c>
      <c r="I89" s="2101">
        <f>IF($C$61=0,0,IF(S81=0,0,ROUND(S81/$S89*100,10)))</f>
        <v>0</v>
      </c>
      <c r="J89" s="2101"/>
      <c r="K89" s="1021">
        <f>IF($C$61=0,0,IF(S82=0,0,100-G89-H89-I89))</f>
        <v>0</v>
      </c>
      <c r="L89" s="2"/>
      <c r="M89" s="2"/>
      <c r="N89" s="2"/>
      <c r="O89" s="2"/>
      <c r="P89" s="2"/>
      <c r="Q89" s="2"/>
      <c r="R89" s="2"/>
      <c r="S89" s="1006">
        <f>SUM(S79:S88)</f>
        <v>0</v>
      </c>
      <c r="T89" s="2"/>
      <c r="U89" s="1006">
        <f>SUM(U79:U88)</f>
        <v>0</v>
      </c>
      <c r="V89" s="2"/>
      <c r="W89" s="2"/>
      <c r="X89" s="591"/>
      <c r="Y89" s="591"/>
      <c r="Z89" s="591"/>
      <c r="AA89" s="591"/>
      <c r="AB89" s="591"/>
      <c r="AC89" s="591"/>
      <c r="AG89" s="591"/>
      <c r="AH89" s="591"/>
      <c r="AI89" s="591"/>
      <c r="AJ89" s="591"/>
      <c r="AK89" s="591"/>
      <c r="AM89" s="591"/>
      <c r="AN89" s="591"/>
      <c r="AO89" s="591"/>
      <c r="AP89" s="591"/>
      <c r="AQ89" s="591"/>
      <c r="AS89" s="591"/>
      <c r="AT89" s="591"/>
      <c r="AU89" s="591"/>
      <c r="AV89" s="591"/>
      <c r="AW89" s="591"/>
      <c r="AY89" s="591"/>
    </row>
    <row r="90" spans="1:51" ht="20.25" customHeight="1" x14ac:dyDescent="0.2">
      <c r="A90" s="2"/>
      <c r="B90" s="2"/>
      <c r="C90" s="2"/>
      <c r="D90" s="2"/>
      <c r="E90" s="2"/>
      <c r="F90" s="2"/>
      <c r="G90" s="2"/>
      <c r="H90" s="2"/>
      <c r="I90" s="2"/>
      <c r="J90" s="2"/>
      <c r="K90" s="2"/>
      <c r="L90" s="2"/>
      <c r="M90" s="2"/>
      <c r="N90" s="2"/>
      <c r="O90" s="2"/>
      <c r="P90" s="2"/>
      <c r="Q90" s="2"/>
      <c r="R90" s="2"/>
      <c r="S90" s="2"/>
      <c r="T90" s="2"/>
      <c r="U90" s="1110" t="e">
        <f>U89/S89*100</f>
        <v>#DIV/0!</v>
      </c>
      <c r="V90" s="2"/>
      <c r="W90" s="2"/>
      <c r="X90" s="591"/>
      <c r="Y90" s="591"/>
      <c r="Z90" s="591"/>
      <c r="AA90" s="591"/>
      <c r="AB90" s="591"/>
      <c r="AC90" s="591"/>
      <c r="AG90" s="591"/>
      <c r="AH90" s="591"/>
      <c r="AI90" s="591"/>
      <c r="AJ90" s="591"/>
      <c r="AK90" s="591"/>
      <c r="AM90" s="591"/>
      <c r="AN90" s="591"/>
      <c r="AO90" s="591"/>
      <c r="AP90" s="591"/>
      <c r="AQ90" s="591"/>
      <c r="AS90" s="591"/>
      <c r="AT90" s="591"/>
      <c r="AU90" s="591"/>
      <c r="AV90" s="591"/>
      <c r="AW90" s="591"/>
      <c r="AY90" s="591"/>
    </row>
    <row r="91" spans="1:51" ht="30" customHeight="1" x14ac:dyDescent="0.2">
      <c r="A91" s="2"/>
      <c r="B91" s="2"/>
      <c r="C91" s="2030" t="str">
        <f>IF(SUM(G150:J150)&gt;0,G151,IMPOSTAZIONI!Y383)</f>
        <v>Quest' area si attiva con colonne IVA "Aliquote diverse" - Al momento non c'è nessun importo da scorporare manualmente.</v>
      </c>
      <c r="D91" s="2030"/>
      <c r="E91" s="2030"/>
      <c r="F91" s="2030"/>
      <c r="G91" s="2030"/>
      <c r="H91" s="2030"/>
      <c r="I91" s="2030"/>
      <c r="J91" s="2030"/>
      <c r="K91" s="2030"/>
      <c r="L91" s="2030"/>
      <c r="M91" s="2030"/>
      <c r="N91" s="2030"/>
      <c r="O91" s="2030"/>
      <c r="P91" s="2030"/>
      <c r="Q91" s="98"/>
      <c r="R91" s="98"/>
      <c r="S91" s="98"/>
      <c r="T91" s="2"/>
      <c r="U91" s="2"/>
      <c r="V91" s="2"/>
      <c r="W91" s="2"/>
      <c r="X91" s="591"/>
      <c r="Y91" s="591"/>
      <c r="Z91" s="591"/>
      <c r="AA91" s="591"/>
      <c r="AB91" s="591"/>
      <c r="AC91" s="591"/>
      <c r="AG91" s="591"/>
      <c r="AH91" s="591"/>
      <c r="AI91" s="591"/>
      <c r="AJ91" s="591"/>
      <c r="AK91" s="591"/>
      <c r="AM91" s="591"/>
      <c r="AN91" s="591"/>
      <c r="AO91" s="591"/>
      <c r="AP91" s="591"/>
      <c r="AQ91" s="591"/>
      <c r="AS91" s="591"/>
      <c r="AT91" s="591"/>
      <c r="AU91" s="591"/>
      <c r="AV91" s="591"/>
      <c r="AW91" s="591"/>
      <c r="AY91" s="591"/>
    </row>
    <row r="92" spans="1:51" ht="5.25" customHeight="1" x14ac:dyDescent="0.2">
      <c r="A92" s="2"/>
      <c r="B92" s="2"/>
      <c r="C92" s="2"/>
      <c r="D92" s="2"/>
      <c r="E92" s="2"/>
      <c r="F92" s="2"/>
      <c r="G92" s="2"/>
      <c r="H92" s="2"/>
      <c r="I92" s="2"/>
      <c r="J92" s="2"/>
      <c r="K92" s="2"/>
      <c r="L92" s="2"/>
      <c r="M92" s="2"/>
      <c r="N92" s="2"/>
      <c r="O92" s="2"/>
      <c r="P92" s="2"/>
      <c r="Q92" s="2"/>
      <c r="R92" s="2"/>
      <c r="S92" s="2"/>
      <c r="T92" s="2"/>
      <c r="U92" s="2"/>
      <c r="V92" s="2"/>
      <c r="W92" s="2"/>
      <c r="X92" s="591"/>
      <c r="Y92" s="591"/>
      <c r="Z92" s="591"/>
      <c r="AA92" s="591"/>
      <c r="AB92" s="591"/>
      <c r="AC92" s="591"/>
      <c r="AG92" s="591"/>
      <c r="AH92" s="591"/>
      <c r="AI92" s="591"/>
      <c r="AJ92" s="591"/>
      <c r="AK92" s="591"/>
      <c r="AM92" s="591"/>
      <c r="AN92" s="591"/>
      <c r="AO92" s="591"/>
      <c r="AP92" s="591"/>
      <c r="AQ92" s="591"/>
      <c r="AS92" s="591"/>
      <c r="AT92" s="591"/>
      <c r="AU92" s="591"/>
      <c r="AV92" s="591"/>
      <c r="AW92" s="591"/>
      <c r="AY92" s="591"/>
    </row>
    <row r="93" spans="1:51" ht="18" customHeight="1" x14ac:dyDescent="0.2">
      <c r="A93" s="2"/>
      <c r="B93" s="2"/>
      <c r="C93" s="2111"/>
      <c r="D93" s="2111"/>
      <c r="E93" s="2112"/>
      <c r="F93" s="2113"/>
      <c r="G93" s="298" t="str">
        <f t="shared" ref="G93:H95" si="34">IF(G$155="X",G43,"")</f>
        <v/>
      </c>
      <c r="H93" s="298" t="str">
        <f t="shared" si="34"/>
        <v/>
      </c>
      <c r="I93" s="298"/>
      <c r="J93" s="298"/>
      <c r="K93" s="298" t="str">
        <f>IF(I$155="X",K43,"")</f>
        <v/>
      </c>
      <c r="L93" s="298"/>
      <c r="M93" s="298"/>
      <c r="N93" s="298" t="str">
        <f>IF(J$155="X",N43,"")</f>
        <v/>
      </c>
      <c r="O93" s="2033"/>
      <c r="P93" s="2033"/>
      <c r="Q93" s="12"/>
      <c r="R93" s="2"/>
      <c r="S93" s="2"/>
      <c r="T93" s="2"/>
      <c r="U93" s="2"/>
      <c r="V93" s="2"/>
      <c r="W93" s="2"/>
      <c r="X93" s="591"/>
      <c r="Y93" s="591"/>
      <c r="Z93" s="591"/>
      <c r="AA93" s="591"/>
      <c r="AB93" s="591"/>
      <c r="AC93" s="591"/>
      <c r="AG93" s="591"/>
      <c r="AH93" s="591"/>
      <c r="AI93" s="591"/>
      <c r="AJ93" s="591"/>
      <c r="AK93" s="591"/>
      <c r="AM93" s="591"/>
      <c r="AN93" s="591"/>
      <c r="AO93" s="591"/>
      <c r="AP93" s="591"/>
      <c r="AQ93" s="591"/>
      <c r="AS93" s="591"/>
      <c r="AT93" s="591"/>
      <c r="AU93" s="591"/>
      <c r="AV93" s="591"/>
      <c r="AW93" s="591"/>
      <c r="AY93" s="591"/>
    </row>
    <row r="94" spans="1:51" ht="18" customHeight="1" x14ac:dyDescent="0.2">
      <c r="A94" s="2"/>
      <c r="B94" s="2"/>
      <c r="C94" s="2114" t="str">
        <f>C44</f>
        <v>TOTALI DEL PERIODO:</v>
      </c>
      <c r="D94" s="2091"/>
      <c r="E94" s="2091"/>
      <c r="F94" s="2091"/>
      <c r="G94" s="57" t="str">
        <f t="shared" si="34"/>
        <v/>
      </c>
      <c r="H94" s="57" t="str">
        <f t="shared" si="34"/>
        <v/>
      </c>
      <c r="I94" s="57" t="s">
        <v>288</v>
      </c>
      <c r="J94" s="57"/>
      <c r="K94" s="57" t="str">
        <f>IF(I$155="X",K44,"")</f>
        <v/>
      </c>
      <c r="L94" s="57" t="s">
        <v>288</v>
      </c>
      <c r="M94" s="57"/>
      <c r="N94" s="57" t="str">
        <f>IF(J$155="X",N44,"")</f>
        <v/>
      </c>
      <c r="O94" s="85"/>
      <c r="P94" s="85"/>
      <c r="Q94" s="12"/>
      <c r="R94" s="2"/>
      <c r="S94" s="2"/>
      <c r="T94" s="2"/>
      <c r="U94" s="2"/>
      <c r="V94" s="2"/>
      <c r="W94" s="2"/>
      <c r="X94" s="591"/>
      <c r="Y94" s="591"/>
      <c r="Z94" s="591"/>
      <c r="AA94" s="591"/>
      <c r="AB94" s="591"/>
      <c r="AC94" s="591"/>
      <c r="AG94" s="591"/>
      <c r="AH94" s="591"/>
      <c r="AI94" s="591"/>
      <c r="AJ94" s="591"/>
      <c r="AK94" s="591"/>
      <c r="AM94" s="591"/>
      <c r="AN94" s="591"/>
      <c r="AO94" s="591"/>
      <c r="AP94" s="591"/>
      <c r="AQ94" s="591"/>
      <c r="AS94" s="591"/>
      <c r="AT94" s="591"/>
      <c r="AU94" s="591"/>
      <c r="AV94" s="591"/>
      <c r="AW94" s="591"/>
      <c r="AY94" s="591"/>
    </row>
    <row r="95" spans="1:51" ht="18" customHeight="1" x14ac:dyDescent="0.2">
      <c r="A95" s="2"/>
      <c r="B95" s="2"/>
      <c r="C95" s="2115" t="str">
        <f>C45</f>
        <v>01/09 - 30/09</v>
      </c>
      <c r="D95" s="2115"/>
      <c r="E95" s="2115"/>
      <c r="F95" s="2115"/>
      <c r="G95" s="90" t="str">
        <f t="shared" si="34"/>
        <v/>
      </c>
      <c r="H95" s="90" t="str">
        <f t="shared" si="34"/>
        <v/>
      </c>
      <c r="I95" s="90" t="s">
        <v>288</v>
      </c>
      <c r="J95" s="90"/>
      <c r="K95" s="90" t="str">
        <f>IF(I$155="X",K45,"")</f>
        <v/>
      </c>
      <c r="L95" s="90" t="s">
        <v>288</v>
      </c>
      <c r="M95" s="90"/>
      <c r="N95" s="90" t="str">
        <f>IF(J$155="X",N45,"")</f>
        <v/>
      </c>
      <c r="O95" s="89"/>
      <c r="P95" s="89"/>
      <c r="Q95" s="12"/>
      <c r="R95" s="2"/>
      <c r="S95" s="2"/>
      <c r="T95" s="2"/>
      <c r="U95" s="2"/>
      <c r="V95" s="2"/>
      <c r="W95" s="2"/>
      <c r="X95" s="591"/>
      <c r="Y95" s="591"/>
      <c r="Z95" s="591"/>
      <c r="AA95" s="591"/>
      <c r="AB95" s="591"/>
      <c r="AC95" s="591"/>
      <c r="AG95" s="591"/>
      <c r="AH95" s="591"/>
      <c r="AI95" s="591"/>
      <c r="AJ95" s="591"/>
      <c r="AK95" s="591"/>
      <c r="AM95" s="591"/>
      <c r="AN95" s="591"/>
      <c r="AO95" s="591"/>
      <c r="AP95" s="591"/>
      <c r="AQ95" s="591"/>
      <c r="AS95" s="591"/>
      <c r="AT95" s="591"/>
      <c r="AU95" s="591"/>
      <c r="AV95" s="591"/>
      <c r="AW95" s="591"/>
      <c r="AY95" s="591"/>
    </row>
    <row r="96" spans="1:51" ht="18.75" customHeight="1" x14ac:dyDescent="0.2">
      <c r="A96" s="2"/>
      <c r="B96" s="7"/>
      <c r="C96" s="2110"/>
      <c r="D96" s="2110"/>
      <c r="E96" s="2109"/>
      <c r="F96" s="2109"/>
      <c r="G96" s="297">
        <f>IF(G155="X",G46,0)</f>
        <v>0</v>
      </c>
      <c r="H96" s="297">
        <f>IF(H155="X",H46,0)</f>
        <v>0</v>
      </c>
      <c r="I96" s="657"/>
      <c r="J96" s="657"/>
      <c r="K96" s="297">
        <f>IF(I155="X",K46,0)</f>
        <v>0</v>
      </c>
      <c r="L96" s="657"/>
      <c r="M96" s="657"/>
      <c r="N96" s="297">
        <f>IF(J155="X",N46,0)</f>
        <v>0</v>
      </c>
      <c r="O96" s="2210" t="s">
        <v>353</v>
      </c>
      <c r="P96" s="2210"/>
      <c r="Q96" s="12"/>
      <c r="R96" s="462">
        <f>R97+R98</f>
        <v>0</v>
      </c>
      <c r="S96" s="2"/>
      <c r="T96" s="2"/>
      <c r="U96" s="2"/>
      <c r="V96" s="591"/>
      <c r="W96" s="591"/>
      <c r="X96" s="591"/>
      <c r="Y96" s="591"/>
      <c r="Z96" s="591"/>
      <c r="AA96" s="591"/>
      <c r="AB96" s="591"/>
      <c r="AC96" s="591"/>
      <c r="AG96" s="591"/>
      <c r="AH96" s="591"/>
      <c r="AI96" s="591"/>
      <c r="AJ96" s="591"/>
      <c r="AK96" s="591"/>
      <c r="AM96" s="591"/>
      <c r="AN96" s="591"/>
      <c r="AO96" s="591"/>
      <c r="AP96" s="591"/>
      <c r="AQ96" s="591"/>
      <c r="AS96" s="591"/>
      <c r="AT96" s="591"/>
      <c r="AU96" s="591"/>
      <c r="AV96" s="591"/>
      <c r="AW96" s="591"/>
      <c r="AY96" s="591"/>
    </row>
    <row r="97" spans="1:51" ht="18.75" customHeight="1" x14ac:dyDescent="0.25">
      <c r="A97" s="2"/>
      <c r="B97" s="7"/>
      <c r="C97" s="2032" t="s">
        <v>350</v>
      </c>
      <c r="D97" s="2032"/>
      <c r="E97" s="2032"/>
      <c r="F97" s="2032"/>
      <c r="G97" s="299"/>
      <c r="H97" s="299"/>
      <c r="I97" s="658"/>
      <c r="J97" s="658"/>
      <c r="K97" s="299"/>
      <c r="L97" s="658"/>
      <c r="M97" s="658"/>
      <c r="N97" s="299"/>
      <c r="O97" s="2221" t="s">
        <v>355</v>
      </c>
      <c r="P97" s="2221"/>
      <c r="Q97" s="12"/>
      <c r="R97" s="462">
        <f>SUM(G97:N97)</f>
        <v>0</v>
      </c>
      <c r="S97" s="462">
        <f>SUMIF($G$42:N$42,K$134,$G97:N97)</f>
        <v>0</v>
      </c>
      <c r="T97" s="1110" t="e">
        <f>S97/R97*100</f>
        <v>#DIV/0!</v>
      </c>
      <c r="U97" s="2"/>
      <c r="V97" s="591"/>
      <c r="W97" s="591"/>
      <c r="X97" s="591"/>
      <c r="Y97" s="591"/>
      <c r="Z97" s="591"/>
      <c r="AA97" s="591"/>
      <c r="AB97" s="591"/>
      <c r="AC97" s="591"/>
      <c r="AG97" s="591"/>
      <c r="AH97" s="591"/>
      <c r="AI97" s="591"/>
      <c r="AJ97" s="591"/>
      <c r="AK97" s="591"/>
      <c r="AM97" s="591"/>
      <c r="AN97" s="591"/>
      <c r="AO97" s="591"/>
      <c r="AP97" s="591"/>
      <c r="AQ97" s="591"/>
      <c r="AS97" s="591"/>
      <c r="AT97" s="591"/>
      <c r="AU97" s="591"/>
      <c r="AV97" s="591"/>
      <c r="AW97" s="591"/>
      <c r="AY97" s="591"/>
    </row>
    <row r="98" spans="1:51" ht="18.75" customHeight="1" x14ac:dyDescent="0.2">
      <c r="A98" s="2"/>
      <c r="B98" s="7"/>
      <c r="C98" s="2108" t="s">
        <v>490</v>
      </c>
      <c r="D98" s="2108"/>
      <c r="E98" s="2108"/>
      <c r="F98" s="2108"/>
      <c r="G98" s="300"/>
      <c r="H98" s="660"/>
      <c r="I98" s="659"/>
      <c r="J98" s="659"/>
      <c r="K98" s="660"/>
      <c r="L98" s="659"/>
      <c r="M98" s="659"/>
      <c r="N98" s="660"/>
      <c r="O98" s="2018" t="s">
        <v>349</v>
      </c>
      <c r="P98" s="2018"/>
      <c r="Q98" s="13"/>
      <c r="R98" s="462">
        <f>SUM(G98:N98)</f>
        <v>0</v>
      </c>
      <c r="S98" s="2"/>
      <c r="T98" s="2"/>
      <c r="U98" s="2"/>
      <c r="V98" s="591"/>
      <c r="W98" s="591"/>
      <c r="X98" s="591"/>
      <c r="Y98" s="591"/>
      <c r="Z98" s="591"/>
      <c r="AA98" s="591"/>
      <c r="AB98" s="591"/>
      <c r="AC98" s="591"/>
      <c r="AG98" s="591"/>
      <c r="AH98" s="591"/>
      <c r="AI98" s="591"/>
      <c r="AJ98" s="591"/>
      <c r="AK98" s="591"/>
      <c r="AM98" s="591"/>
      <c r="AN98" s="591"/>
      <c r="AO98" s="591"/>
      <c r="AP98" s="591"/>
      <c r="AQ98" s="591"/>
      <c r="AS98" s="591"/>
      <c r="AT98" s="591"/>
      <c r="AU98" s="591"/>
      <c r="AV98" s="591"/>
      <c r="AW98" s="591"/>
      <c r="AY98" s="591"/>
    </row>
    <row r="99" spans="1:51" ht="15" customHeight="1" x14ac:dyDescent="0.2">
      <c r="A99" s="2"/>
      <c r="B99" s="2"/>
      <c r="C99" s="10"/>
      <c r="D99" s="10"/>
      <c r="E99" s="10"/>
      <c r="F99" s="10"/>
      <c r="G99" s="91" t="str">
        <f>IF(AND(SUM(G97:G98)&lt;&gt;0,G152=0),$L$152,IF(G152=0,"",IF(G97=0,IMPOSTAZIONI!$J$383,IF((G97+G98)&lt;&gt;G96,IMPOSTAZIONI!$M$383,IMPOSTAZIONI!$H$383))))</f>
        <v/>
      </c>
      <c r="H99" s="91" t="str">
        <f>IF(AND(SUM(H97:H98)&lt;&gt;0,H152=0),$L$152,IF(H152=0,"",IF(H97=0,IMPOSTAZIONI!$J$383,IF((H97+H98)&lt;&gt;H96,IMPOSTAZIONI!$M$383,IMPOSTAZIONI!$H$383))))</f>
        <v/>
      </c>
      <c r="I99" s="91"/>
      <c r="J99" s="91"/>
      <c r="K99" s="91" t="str">
        <f>IF(AND(SUM(K97:K98)&lt;&gt;0,I152=0),$L$152,IF(I152=0,"",IF(K97=0,IMPOSTAZIONI!$J$383,IF((K97+K98)&lt;&gt;K96,IMPOSTAZIONI!$M$383,IMPOSTAZIONI!$H$383))))</f>
        <v/>
      </c>
      <c r="L99" s="91"/>
      <c r="M99" s="91"/>
      <c r="N99" s="91" t="str">
        <f>IF(AND(SUM(N97:N98)&lt;&gt;0,J152=0),$L$152,IF(J152=0,"",IF(N97=0,IMPOSTAZIONI!$J$383,IF((N97+N98)&lt;&gt;N96,IMPOSTAZIONI!$M$383,IMPOSTAZIONI!$H$383))))</f>
        <v/>
      </c>
      <c r="O99" s="10"/>
      <c r="P99" s="10"/>
      <c r="Q99" s="2"/>
      <c r="R99" s="2"/>
      <c r="S99" s="2"/>
      <c r="T99" s="2"/>
      <c r="U99" s="2"/>
      <c r="V99" s="591"/>
      <c r="W99" s="591"/>
      <c r="X99" s="591"/>
      <c r="Y99" s="591"/>
      <c r="Z99" s="591"/>
      <c r="AA99" s="591"/>
      <c r="AB99" s="591"/>
      <c r="AC99" s="591"/>
      <c r="AG99" s="591"/>
      <c r="AH99" s="591"/>
      <c r="AI99" s="591"/>
      <c r="AJ99" s="591"/>
      <c r="AK99" s="591"/>
      <c r="AM99" s="591"/>
      <c r="AN99" s="591"/>
      <c r="AO99" s="591"/>
      <c r="AP99" s="591"/>
      <c r="AQ99" s="591"/>
      <c r="AS99" s="591"/>
      <c r="AT99" s="591"/>
      <c r="AU99" s="591"/>
      <c r="AV99" s="591"/>
      <c r="AW99" s="591"/>
      <c r="AY99" s="591"/>
    </row>
    <row r="100" spans="1:51" ht="21" customHeight="1" x14ac:dyDescent="0.2">
      <c r="A100" s="2"/>
      <c r="B100" s="2"/>
      <c r="C100" s="2116" t="s">
        <v>354</v>
      </c>
      <c r="D100" s="2116"/>
      <c r="E100" s="2116"/>
      <c r="F100" s="2116"/>
      <c r="G100" s="2"/>
      <c r="H100" s="2"/>
      <c r="I100" s="2"/>
      <c r="J100" s="2"/>
      <c r="K100" s="2"/>
      <c r="L100" s="2"/>
      <c r="M100" s="2"/>
      <c r="N100" s="2"/>
      <c r="O100" s="2"/>
      <c r="P100" s="2"/>
      <c r="Q100" s="2"/>
      <c r="R100" s="2"/>
      <c r="S100" s="2"/>
      <c r="T100" s="128" t="s">
        <v>783</v>
      </c>
      <c r="U100" s="2"/>
      <c r="V100" s="591"/>
      <c r="W100" s="591"/>
      <c r="X100" s="591"/>
      <c r="Y100" s="591"/>
      <c r="Z100" s="591"/>
      <c r="AA100" s="591"/>
      <c r="AB100" s="591"/>
      <c r="AC100" s="591"/>
      <c r="AG100" s="591"/>
      <c r="AH100" s="591"/>
      <c r="AI100" s="591"/>
      <c r="AJ100" s="591"/>
      <c r="AK100" s="591"/>
      <c r="AM100" s="591"/>
      <c r="AN100" s="591"/>
      <c r="AO100" s="591"/>
      <c r="AP100" s="591"/>
      <c r="AQ100" s="591"/>
      <c r="AS100" s="591"/>
      <c r="AT100" s="591"/>
      <c r="AU100" s="591"/>
      <c r="AV100" s="591"/>
      <c r="AW100" s="591"/>
      <c r="AY100" s="591"/>
    </row>
    <row r="101" spans="1:51" ht="16.5" customHeight="1" x14ac:dyDescent="0.2">
      <c r="A101" s="2"/>
      <c r="B101" s="18" t="e">
        <f>VERIFICA!#REF!</f>
        <v>#REF!</v>
      </c>
      <c r="C101" s="2106" t="str">
        <f>IF(AND(RIEPILOGO!B8="",SUM(G101:N101)&gt;0),"ERROR",RIEPILOGO!B8)</f>
        <v>Aliquota 22 %</v>
      </c>
      <c r="D101" s="2106"/>
      <c r="E101" s="2106"/>
      <c r="F101" s="2106"/>
      <c r="G101" s="236"/>
      <c r="H101" s="236"/>
      <c r="I101" s="658"/>
      <c r="J101" s="658"/>
      <c r="K101" s="236"/>
      <c r="L101" s="658"/>
      <c r="M101" s="658"/>
      <c r="N101" s="236"/>
      <c r="O101" s="2218" t="s">
        <v>349</v>
      </c>
      <c r="P101" s="2218"/>
      <c r="Q101" s="12"/>
      <c r="R101" s="93">
        <f>SUM(G101:N101)</f>
        <v>0</v>
      </c>
      <c r="S101" s="93">
        <f>SUMIF($G$42:N$42,K$134,$G101:N101)</f>
        <v>0</v>
      </c>
      <c r="T101" s="1110" t="e">
        <f>S101/R101*100</f>
        <v>#DIV/0!</v>
      </c>
      <c r="U101" s="2"/>
      <c r="V101" s="591"/>
      <c r="W101" s="591"/>
      <c r="X101" s="591"/>
      <c r="Y101" s="591"/>
      <c r="Z101" s="591"/>
      <c r="AA101" s="591"/>
      <c r="AB101" s="591"/>
      <c r="AC101" s="591"/>
      <c r="AG101" s="591"/>
      <c r="AH101" s="591"/>
      <c r="AI101" s="591"/>
      <c r="AJ101" s="591"/>
      <c r="AK101" s="591"/>
      <c r="AM101" s="591"/>
      <c r="AN101" s="591"/>
      <c r="AO101" s="591"/>
      <c r="AP101" s="591"/>
      <c r="AQ101" s="591"/>
      <c r="AS101" s="591"/>
      <c r="AT101" s="591"/>
      <c r="AU101" s="591"/>
      <c r="AV101" s="591"/>
      <c r="AW101" s="591"/>
      <c r="AY101" s="591"/>
    </row>
    <row r="102" spans="1:51" ht="16.5" customHeight="1" x14ac:dyDescent="0.2">
      <c r="A102" s="2"/>
      <c r="B102" s="18" t="e">
        <f>VERIFICA!#REF!</f>
        <v>#REF!</v>
      </c>
      <c r="C102" s="2106" t="str">
        <f>IF(AND(RIEPILOGO!B9="",SUM(G102:N102)&gt;0),"ERROR",RIEPILOGO!B9)</f>
        <v>Aliquota 10 %</v>
      </c>
      <c r="D102" s="2106"/>
      <c r="E102" s="2106"/>
      <c r="F102" s="2106"/>
      <c r="G102" s="237"/>
      <c r="H102" s="237"/>
      <c r="I102" s="658"/>
      <c r="J102" s="658"/>
      <c r="K102" s="237"/>
      <c r="L102" s="658"/>
      <c r="M102" s="658"/>
      <c r="N102" s="237"/>
      <c r="O102" s="2218" t="s">
        <v>349</v>
      </c>
      <c r="P102" s="2218"/>
      <c r="Q102" s="12"/>
      <c r="R102" s="94">
        <f>SUM(G102:N102)</f>
        <v>0</v>
      </c>
      <c r="S102" s="94">
        <f>SUMIF($G$42:N$42,K$134,$G102:N102)</f>
        <v>0</v>
      </c>
      <c r="T102" s="1110" t="e">
        <f>S102/R102*100</f>
        <v>#DIV/0!</v>
      </c>
      <c r="U102" s="2"/>
      <c r="V102" s="591"/>
      <c r="W102" s="591"/>
      <c r="X102" s="591"/>
      <c r="Y102" s="591"/>
      <c r="Z102" s="591"/>
      <c r="AA102" s="591"/>
      <c r="AB102" s="591"/>
      <c r="AC102" s="591"/>
      <c r="AG102" s="591"/>
      <c r="AH102" s="591"/>
      <c r="AI102" s="591"/>
      <c r="AJ102" s="591"/>
      <c r="AK102" s="591"/>
      <c r="AM102" s="591"/>
      <c r="AN102" s="591"/>
      <c r="AO102" s="591"/>
      <c r="AP102" s="591"/>
      <c r="AQ102" s="591"/>
      <c r="AS102" s="591"/>
      <c r="AT102" s="591"/>
      <c r="AU102" s="591"/>
      <c r="AV102" s="591"/>
      <c r="AW102" s="591"/>
      <c r="AY102" s="591"/>
    </row>
    <row r="103" spans="1:51" ht="16.5" customHeight="1" x14ac:dyDescent="0.2">
      <c r="A103" s="2"/>
      <c r="B103" s="18" t="e">
        <f>VERIFICA!#REF!</f>
        <v>#REF!</v>
      </c>
      <c r="C103" s="2106" t="str">
        <f>IF(AND(RIEPILOGO!B10="",SUM(G103:N103)&gt;0),"ERROR",RIEPILOGO!B10)</f>
        <v>Aliquota 4 %</v>
      </c>
      <c r="D103" s="2106"/>
      <c r="E103" s="2106"/>
      <c r="F103" s="2106"/>
      <c r="G103" s="304"/>
      <c r="H103" s="304"/>
      <c r="I103" s="658"/>
      <c r="J103" s="658"/>
      <c r="K103" s="304"/>
      <c r="L103" s="658"/>
      <c r="M103" s="658"/>
      <c r="N103" s="304"/>
      <c r="O103" s="2218" t="s">
        <v>349</v>
      </c>
      <c r="P103" s="2218"/>
      <c r="Q103" s="12"/>
      <c r="R103" s="94">
        <f>SUM(G103:N103)</f>
        <v>0</v>
      </c>
      <c r="S103" s="94">
        <f>SUMIF($G$42:N$42,K$134,$G103:N103)</f>
        <v>0</v>
      </c>
      <c r="T103" s="1110" t="e">
        <f>S103/R103*100</f>
        <v>#DIV/0!</v>
      </c>
      <c r="U103" s="2"/>
      <c r="V103" s="591"/>
      <c r="W103" s="591"/>
      <c r="X103" s="591"/>
      <c r="Y103" s="591"/>
      <c r="Z103" s="591"/>
      <c r="AA103" s="591"/>
      <c r="AB103" s="591"/>
      <c r="AC103" s="591"/>
      <c r="AG103" s="591"/>
      <c r="AH103" s="591"/>
      <c r="AI103" s="591"/>
      <c r="AJ103" s="591"/>
      <c r="AK103" s="591"/>
      <c r="AM103" s="591"/>
      <c r="AN103" s="591"/>
      <c r="AO103" s="591"/>
      <c r="AP103" s="591"/>
      <c r="AQ103" s="591"/>
      <c r="AS103" s="591"/>
      <c r="AT103" s="591"/>
      <c r="AU103" s="591"/>
      <c r="AV103" s="591"/>
      <c r="AW103" s="591"/>
      <c r="AY103" s="591"/>
    </row>
    <row r="104" spans="1:51" ht="16.5" customHeight="1" x14ac:dyDescent="0.2">
      <c r="A104" s="2"/>
      <c r="B104" s="18" t="e">
        <f>VERIFICA!#REF!</f>
        <v>#REF!</v>
      </c>
      <c r="C104" s="2106" t="str">
        <f>IF(AND(RIEPILOGO!B11="",SUM(G104:N104)&gt;0),"ERROR",RIEPILOGO!B11)</f>
        <v/>
      </c>
      <c r="D104" s="2106"/>
      <c r="E104" s="2106"/>
      <c r="F104" s="2106"/>
      <c r="G104" s="304"/>
      <c r="H104" s="660"/>
      <c r="I104" s="659"/>
      <c r="J104" s="659"/>
      <c r="K104" s="660"/>
      <c r="L104" s="659"/>
      <c r="M104" s="659"/>
      <c r="N104" s="660"/>
      <c r="O104" s="2217" t="s">
        <v>349</v>
      </c>
      <c r="P104" s="2217"/>
      <c r="Q104" s="12"/>
      <c r="R104" s="95">
        <f>SUM(G104:N104)</f>
        <v>0</v>
      </c>
      <c r="S104" s="95">
        <f>SUMIF($G$42:N$42,K$134,$G104:N104)</f>
        <v>0</v>
      </c>
      <c r="T104" s="1110" t="e">
        <f>S104/R104*100</f>
        <v>#DIV/0!</v>
      </c>
      <c r="U104" s="2"/>
      <c r="V104" s="591"/>
      <c r="W104" s="591"/>
      <c r="X104" s="591"/>
      <c r="Y104" s="591"/>
      <c r="Z104" s="591"/>
      <c r="AA104" s="591"/>
      <c r="AB104" s="591"/>
      <c r="AC104" s="591"/>
      <c r="AG104" s="591"/>
      <c r="AH104" s="591"/>
      <c r="AI104" s="591"/>
      <c r="AJ104" s="591"/>
      <c r="AK104" s="591"/>
      <c r="AM104" s="591"/>
      <c r="AN104" s="591"/>
      <c r="AO104" s="591"/>
      <c r="AP104" s="591"/>
      <c r="AQ104" s="591"/>
      <c r="AS104" s="591"/>
      <c r="AT104" s="591"/>
      <c r="AU104" s="591"/>
      <c r="AV104" s="591"/>
      <c r="AW104" s="591"/>
      <c r="AY104" s="591"/>
    </row>
    <row r="105" spans="1:51" ht="15" customHeight="1" x14ac:dyDescent="0.2">
      <c r="A105" s="2"/>
      <c r="B105" s="2"/>
      <c r="C105" s="10"/>
      <c r="D105" s="10"/>
      <c r="E105" s="10"/>
      <c r="F105" s="10"/>
      <c r="G105" s="91" t="str">
        <f>IF(AND(SUM(G101:G104)&lt;&gt;0,G152=0),$L$152,IF(G152=0,"",IF(SUM(G101:G104)&lt;&gt;G98,IMPOSTAZIONI!$J$383,IF(SUM(G101:G104)&lt;&gt;G98,IMPOSTAZIONI!$M$383,IMPOSTAZIONI!$H$383))))</f>
        <v/>
      </c>
      <c r="H105" s="91" t="str">
        <f>IF(AND(SUM(H101:H104)&lt;&gt;0,H152=0),$L$152,IF(H152=0,"",IF(SUM(H101:H104)&lt;&gt;H98,IMPOSTAZIONI!$J$383,IF(SUM(H101:H104)&lt;&gt;H98,IMPOSTAZIONI!$M$383,IMPOSTAZIONI!$H$383))))</f>
        <v/>
      </c>
      <c r="I105" s="91"/>
      <c r="J105" s="91"/>
      <c r="K105" s="91" t="str">
        <f>IF(AND(SUM(K101:K104)&lt;&gt;0,I152=0),$L$152,IF(I152=0,"",IF(SUM(K101:K104)&lt;&gt;K98,IMPOSTAZIONI!$J$383,IF(SUM(K101:K104)&lt;&gt;K98,IMPOSTAZIONI!$M$383,IMPOSTAZIONI!$H$383))))</f>
        <v/>
      </c>
      <c r="L105" s="91"/>
      <c r="M105" s="91"/>
      <c r="N105" s="91" t="str">
        <f>IF(AND(SUM(N101:N104)&lt;&gt;0,J152=0),$L$152,IF(J152=0,"",IF(SUM(N101:N104)&lt;&gt;N98,IMPOSTAZIONI!$J$383,IF(SUM(N101:N104)&lt;&gt;N98,IMPOSTAZIONI!$M$383,IMPOSTAZIONI!$H$383))))</f>
        <v/>
      </c>
      <c r="O105" s="10"/>
      <c r="P105" s="10"/>
      <c r="Q105" s="2"/>
      <c r="R105" s="2"/>
      <c r="S105" s="2"/>
      <c r="T105" s="2"/>
      <c r="U105" s="2"/>
      <c r="V105" s="591"/>
      <c r="W105" s="591"/>
      <c r="X105" s="591"/>
      <c r="Y105" s="591"/>
      <c r="Z105" s="591"/>
      <c r="AA105" s="591"/>
      <c r="AB105" s="591"/>
      <c r="AC105" s="591"/>
      <c r="AG105" s="591"/>
      <c r="AH105" s="591"/>
      <c r="AI105" s="591"/>
      <c r="AJ105" s="591"/>
      <c r="AK105" s="591"/>
      <c r="AM105" s="591"/>
      <c r="AN105" s="591"/>
      <c r="AO105" s="591"/>
      <c r="AP105" s="591"/>
      <c r="AQ105" s="591"/>
      <c r="AS105" s="591"/>
      <c r="AT105" s="591"/>
      <c r="AU105" s="591"/>
      <c r="AV105" s="591"/>
      <c r="AW105" s="591"/>
      <c r="AY105" s="591"/>
    </row>
    <row r="106" spans="1:51" ht="21" customHeight="1" x14ac:dyDescent="0.2">
      <c r="A106" s="2"/>
      <c r="B106" s="2"/>
      <c r="C106" s="2"/>
      <c r="D106" s="2"/>
      <c r="E106" s="2"/>
      <c r="F106" s="2"/>
      <c r="G106" s="2"/>
      <c r="H106" s="2"/>
      <c r="I106" s="2"/>
      <c r="J106" s="2"/>
      <c r="K106" s="2"/>
      <c r="L106" s="2"/>
      <c r="M106" s="2"/>
      <c r="N106" s="2"/>
      <c r="O106" s="2"/>
      <c r="P106" s="2"/>
      <c r="Q106" s="2"/>
      <c r="R106" s="2"/>
      <c r="S106" s="2"/>
      <c r="T106" s="2"/>
      <c r="U106" s="2"/>
      <c r="V106" s="591"/>
      <c r="W106" s="591"/>
      <c r="X106" s="591"/>
      <c r="Y106" s="591"/>
      <c r="Z106" s="591"/>
      <c r="AA106" s="591"/>
      <c r="AB106" s="591"/>
      <c r="AC106" s="591"/>
      <c r="AG106" s="591"/>
      <c r="AH106" s="591"/>
      <c r="AI106" s="591"/>
      <c r="AJ106" s="591"/>
      <c r="AK106" s="591"/>
      <c r="AM106" s="591"/>
      <c r="AN106" s="591"/>
      <c r="AO106" s="591"/>
      <c r="AP106" s="591"/>
      <c r="AQ106" s="591"/>
      <c r="AS106" s="591"/>
      <c r="AT106" s="591"/>
      <c r="AU106" s="591"/>
      <c r="AV106" s="591"/>
      <c r="AW106" s="591"/>
      <c r="AY106" s="591"/>
    </row>
    <row r="107" spans="1:51" ht="21" customHeight="1" x14ac:dyDescent="0.2">
      <c r="A107" s="2"/>
      <c r="B107" s="2"/>
      <c r="C107" s="2"/>
      <c r="D107" s="2"/>
      <c r="E107" s="2"/>
      <c r="F107" s="278" t="s">
        <v>324</v>
      </c>
      <c r="G107" s="2"/>
      <c r="H107" s="2"/>
      <c r="I107" s="256"/>
      <c r="J107" s="256"/>
      <c r="K107" s="256"/>
      <c r="L107" s="2"/>
      <c r="M107" s="2"/>
      <c r="N107" s="2"/>
      <c r="O107" s="2"/>
      <c r="P107" s="2"/>
      <c r="Q107" s="2"/>
      <c r="R107" s="2"/>
      <c r="S107" s="2"/>
      <c r="T107" s="2"/>
      <c r="U107" s="2"/>
      <c r="V107" s="591"/>
      <c r="W107" s="591"/>
      <c r="X107" s="591"/>
      <c r="Y107" s="591"/>
      <c r="Z107" s="591"/>
      <c r="AA107" s="591"/>
      <c r="AB107" s="591"/>
      <c r="AC107" s="591"/>
      <c r="AG107" s="591"/>
      <c r="AH107" s="591"/>
      <c r="AI107" s="591"/>
      <c r="AJ107" s="591"/>
      <c r="AK107" s="591"/>
      <c r="AM107" s="591"/>
      <c r="AN107" s="591"/>
      <c r="AO107" s="591"/>
      <c r="AP107" s="591"/>
      <c r="AQ107" s="591"/>
      <c r="AS107" s="591"/>
      <c r="AT107" s="591"/>
      <c r="AU107" s="591"/>
      <c r="AV107" s="591"/>
      <c r="AW107" s="591"/>
      <c r="AY107" s="591"/>
    </row>
    <row r="108" spans="1:51" ht="18.75" customHeight="1" x14ac:dyDescent="0.2">
      <c r="A108" s="2"/>
      <c r="B108" s="2"/>
      <c r="C108" s="2"/>
      <c r="D108" s="2"/>
      <c r="E108" s="2"/>
      <c r="F108" s="763" t="s">
        <v>735</v>
      </c>
      <c r="G108" s="763"/>
      <c r="H108" s="763"/>
      <c r="I108" s="763"/>
      <c r="J108" s="2"/>
      <c r="K108" s="666">
        <f>E7</f>
        <v>0</v>
      </c>
      <c r="L108" s="2245">
        <f>K108-(SUM(G7:H7)+K7+N7)+SUMIF(G42:N42,K134,G7:N7)</f>
        <v>0</v>
      </c>
      <c r="M108" s="2246"/>
      <c r="N108" s="1045" t="s">
        <v>492</v>
      </c>
      <c r="O108" s="2"/>
      <c r="P108" s="2"/>
      <c r="Q108" s="2"/>
      <c r="R108" s="2"/>
      <c r="S108" s="2"/>
      <c r="T108" s="2"/>
      <c r="U108" s="2"/>
      <c r="V108" s="591"/>
      <c r="W108" s="591"/>
      <c r="X108" s="591"/>
      <c r="Y108" s="591"/>
      <c r="Z108" s="591"/>
      <c r="AA108" s="591"/>
      <c r="AB108" s="591"/>
      <c r="AC108" s="591"/>
      <c r="AG108" s="591"/>
      <c r="AH108" s="591"/>
      <c r="AI108" s="591"/>
      <c r="AJ108" s="591"/>
      <c r="AK108" s="591"/>
      <c r="AM108" s="591"/>
      <c r="AN108" s="591"/>
      <c r="AO108" s="591"/>
      <c r="AP108" s="591"/>
      <c r="AQ108" s="591"/>
      <c r="AS108" s="591"/>
      <c r="AT108" s="591"/>
      <c r="AU108" s="591"/>
      <c r="AV108" s="591"/>
      <c r="AW108" s="591"/>
      <c r="AY108" s="591"/>
    </row>
    <row r="109" spans="1:51" ht="18.75" customHeight="1" x14ac:dyDescent="0.2">
      <c r="A109" s="2"/>
      <c r="B109" s="2"/>
      <c r="C109" s="2"/>
      <c r="D109" s="2"/>
      <c r="E109" s="2"/>
      <c r="F109" s="764" t="s">
        <v>736</v>
      </c>
      <c r="G109" s="764"/>
      <c r="H109" s="764"/>
      <c r="I109" s="764"/>
      <c r="J109" s="2"/>
      <c r="K109" s="279">
        <f>E39</f>
        <v>0</v>
      </c>
      <c r="L109" s="2247">
        <f>K109-(SUM(G39:H39)+K39+N39)+SUMIF(G42:N42,K134,G39:N39)</f>
        <v>0</v>
      </c>
      <c r="M109" s="2248"/>
      <c r="N109" s="1046" t="s">
        <v>493</v>
      </c>
      <c r="O109" s="2"/>
      <c r="P109" s="2"/>
      <c r="Q109" s="2"/>
      <c r="R109" s="2"/>
      <c r="S109" s="2"/>
      <c r="T109" s="2"/>
      <c r="U109" s="2"/>
      <c r="V109" s="591"/>
      <c r="W109" s="591"/>
      <c r="X109" s="591"/>
      <c r="Y109" s="591"/>
      <c r="Z109" s="591"/>
      <c r="AA109" s="591"/>
      <c r="AB109" s="591"/>
      <c r="AC109" s="591"/>
      <c r="AG109" s="591"/>
      <c r="AH109" s="591"/>
      <c r="AI109" s="591"/>
      <c r="AJ109" s="591"/>
      <c r="AK109" s="591"/>
      <c r="AM109" s="591"/>
      <c r="AN109" s="591"/>
      <c r="AO109" s="591"/>
      <c r="AP109" s="591"/>
      <c r="AQ109" s="591"/>
      <c r="AS109" s="591"/>
      <c r="AT109" s="591"/>
      <c r="AU109" s="591"/>
      <c r="AV109" s="591"/>
      <c r="AW109" s="591"/>
      <c r="AY109" s="591"/>
    </row>
    <row r="110" spans="1:51" ht="19.5" customHeight="1" x14ac:dyDescent="0.25">
      <c r="A110" s="2"/>
      <c r="B110" s="2"/>
      <c r="C110" s="2"/>
      <c r="D110" s="2"/>
      <c r="E110" s="2"/>
      <c r="F110" s="661" t="s">
        <v>485</v>
      </c>
      <c r="G110" s="661"/>
      <c r="H110" s="661"/>
      <c r="I110" s="661"/>
      <c r="J110" s="2"/>
      <c r="K110" s="661"/>
      <c r="L110" s="668"/>
      <c r="M110" s="662"/>
      <c r="N110" s="2"/>
      <c r="O110" s="2"/>
      <c r="P110" s="2"/>
      <c r="Q110" s="2"/>
      <c r="R110" s="2"/>
      <c r="S110" s="2"/>
      <c r="T110" s="2"/>
      <c r="U110" s="2"/>
      <c r="V110" s="591"/>
      <c r="W110" s="591"/>
      <c r="X110" s="591"/>
      <c r="Y110" s="591"/>
      <c r="Z110" s="591"/>
      <c r="AA110" s="591"/>
      <c r="AB110" s="591"/>
      <c r="AC110" s="591"/>
      <c r="AG110" s="591"/>
      <c r="AH110" s="591"/>
      <c r="AI110" s="591"/>
      <c r="AJ110" s="591"/>
      <c r="AK110" s="591"/>
      <c r="AM110" s="591"/>
      <c r="AN110" s="591"/>
      <c r="AO110" s="591"/>
      <c r="AP110" s="591"/>
      <c r="AQ110" s="591"/>
      <c r="AS110" s="591"/>
      <c r="AT110" s="591"/>
      <c r="AU110" s="591"/>
      <c r="AV110" s="591"/>
      <c r="AW110" s="591"/>
      <c r="AY110" s="591"/>
    </row>
    <row r="111" spans="1:51" ht="19.5" customHeight="1" x14ac:dyDescent="0.2">
      <c r="A111" s="2"/>
      <c r="B111" s="2"/>
      <c r="C111" s="2"/>
      <c r="D111" s="2"/>
      <c r="E111" s="2"/>
      <c r="F111" s="663" t="s">
        <v>480</v>
      </c>
      <c r="G111" s="663"/>
      <c r="H111" s="663"/>
      <c r="I111" s="663"/>
      <c r="J111" s="2"/>
      <c r="K111" s="663"/>
      <c r="L111" s="669"/>
      <c r="M111" s="664"/>
      <c r="N111" s="2"/>
      <c r="O111" s="2"/>
      <c r="P111" s="2"/>
      <c r="Q111" s="2"/>
      <c r="R111" s="2"/>
      <c r="S111" s="2"/>
      <c r="T111" s="2"/>
      <c r="U111" s="2"/>
      <c r="V111" s="591"/>
      <c r="W111" s="591"/>
      <c r="X111" s="591"/>
      <c r="Y111" s="591"/>
      <c r="Z111" s="591"/>
      <c r="AA111" s="591"/>
      <c r="AB111" s="591"/>
      <c r="AC111" s="591"/>
      <c r="AG111" s="591"/>
      <c r="AH111" s="591"/>
      <c r="AI111" s="591"/>
      <c r="AJ111" s="591"/>
      <c r="AK111" s="591"/>
      <c r="AM111" s="591"/>
      <c r="AN111" s="591"/>
      <c r="AO111" s="591"/>
      <c r="AP111" s="591"/>
      <c r="AQ111" s="591"/>
      <c r="AS111" s="591"/>
      <c r="AT111" s="591"/>
      <c r="AU111" s="591"/>
      <c r="AV111" s="591"/>
      <c r="AW111" s="591"/>
      <c r="AY111" s="591"/>
    </row>
    <row r="112" spans="1:51" ht="21" customHeight="1" x14ac:dyDescent="0.2">
      <c r="A112" s="2"/>
      <c r="B112" s="2"/>
      <c r="C112" s="2"/>
      <c r="D112" s="2"/>
      <c r="E112" s="2"/>
      <c r="F112" s="104" t="s">
        <v>97</v>
      </c>
      <c r="G112" s="104"/>
      <c r="H112" s="104"/>
      <c r="I112" s="104"/>
      <c r="J112" s="2"/>
      <c r="K112" s="104"/>
      <c r="L112" s="484"/>
      <c r="M112" s="665"/>
      <c r="N112" s="2"/>
      <c r="O112" s="2"/>
      <c r="P112" s="2"/>
      <c r="Q112" s="2"/>
      <c r="R112" s="2"/>
      <c r="S112" s="2"/>
      <c r="T112" s="2"/>
      <c r="U112" s="2"/>
      <c r="V112" s="591"/>
      <c r="W112" s="591"/>
      <c r="X112" s="591"/>
      <c r="Y112" s="591"/>
      <c r="Z112" s="591"/>
      <c r="AA112" s="591"/>
      <c r="AB112" s="591"/>
      <c r="AC112" s="591"/>
      <c r="AG112" s="591"/>
      <c r="AH112" s="591"/>
      <c r="AI112" s="591"/>
      <c r="AJ112" s="591"/>
      <c r="AK112" s="591"/>
      <c r="AM112" s="591"/>
      <c r="AN112" s="591"/>
      <c r="AO112" s="591"/>
      <c r="AP112" s="591"/>
      <c r="AQ112" s="591"/>
      <c r="AS112" s="591"/>
      <c r="AT112" s="591"/>
      <c r="AU112" s="591"/>
      <c r="AV112" s="591"/>
      <c r="AW112" s="591"/>
      <c r="AY112" s="591"/>
    </row>
    <row r="113" spans="1:51" ht="12" customHeight="1" x14ac:dyDescent="0.2">
      <c r="A113" s="2"/>
      <c r="B113" s="2"/>
      <c r="C113" s="2"/>
      <c r="D113" s="2"/>
      <c r="E113" s="2"/>
      <c r="F113" s="2"/>
      <c r="G113" s="2"/>
      <c r="H113" s="2"/>
      <c r="I113" s="2"/>
      <c r="J113" s="2"/>
      <c r="K113" s="2"/>
      <c r="L113" s="14"/>
      <c r="M113" s="139"/>
      <c r="N113" s="2"/>
      <c r="O113" s="2"/>
      <c r="P113" s="2"/>
      <c r="Q113" s="2"/>
      <c r="R113" s="2"/>
      <c r="S113" s="2"/>
      <c r="T113" s="2"/>
      <c r="U113" s="2"/>
      <c r="V113" s="591"/>
      <c r="W113" s="591"/>
      <c r="X113" s="591"/>
      <c r="Y113" s="591"/>
      <c r="Z113" s="591"/>
      <c r="AA113" s="591"/>
      <c r="AB113" s="591"/>
      <c r="AC113" s="591"/>
      <c r="AG113" s="591"/>
      <c r="AH113" s="591"/>
      <c r="AI113" s="591"/>
      <c r="AJ113" s="591"/>
      <c r="AK113" s="591"/>
      <c r="AM113" s="591"/>
      <c r="AN113" s="591"/>
      <c r="AO113" s="591"/>
      <c r="AP113" s="591"/>
      <c r="AQ113" s="591"/>
      <c r="AS113" s="591"/>
      <c r="AT113" s="591"/>
      <c r="AU113" s="591"/>
      <c r="AV113" s="591"/>
      <c r="AW113" s="591"/>
      <c r="AY113" s="591"/>
    </row>
    <row r="114" spans="1:51" ht="15" hidden="1" customHeight="1" x14ac:dyDescent="0.2">
      <c r="A114" s="2"/>
      <c r="B114" s="2"/>
      <c r="C114" s="2"/>
      <c r="D114" s="2"/>
      <c r="E114" s="2"/>
      <c r="F114" s="2"/>
      <c r="G114" s="103">
        <f>IF(ISERROR(G$135),HLOOKUP(L$138,$J$138:$L$138,1,FALSE),HLOOKUP(G$135,$G$129:$I129,1,FALSE))</f>
        <v>3</v>
      </c>
      <c r="H114" s="103">
        <f>IF(ISERROR(H$135),HLOOKUP(K$138,$J$138:$L$138,1,FALSE),HLOOKUP(H$135,$G$129:$I129,1,FALSE))</f>
        <v>2</v>
      </c>
      <c r="I114" s="2053">
        <f>IF(ISERROR(I$135),HLOOKUP(J$138,$J$138:$L$138,1,FALSE),HLOOKUP(I$135,$G$129:$I129,1,FALSE))</f>
        <v>1</v>
      </c>
      <c r="J114" s="2053"/>
      <c r="K114" s="2"/>
      <c r="L114" s="14"/>
      <c r="M114" s="139"/>
      <c r="N114" s="2"/>
      <c r="O114" s="2"/>
      <c r="P114" s="2"/>
      <c r="Q114" s="2"/>
      <c r="R114" s="2"/>
      <c r="S114" s="2"/>
      <c r="T114" s="2"/>
      <c r="U114" s="2"/>
      <c r="V114" s="591"/>
      <c r="W114" s="591"/>
      <c r="X114" s="591"/>
      <c r="Y114" s="591"/>
      <c r="Z114" s="591"/>
      <c r="AA114" s="591"/>
      <c r="AB114" s="591"/>
      <c r="AC114" s="591"/>
      <c r="AG114" s="591"/>
      <c r="AH114" s="591"/>
      <c r="AI114" s="591"/>
      <c r="AJ114" s="591"/>
      <c r="AK114" s="591"/>
      <c r="AM114" s="591"/>
      <c r="AN114" s="591"/>
      <c r="AO114" s="591"/>
      <c r="AP114" s="591"/>
      <c r="AQ114" s="591"/>
      <c r="AS114" s="591"/>
      <c r="AT114" s="591"/>
      <c r="AU114" s="591"/>
      <c r="AV114" s="591"/>
      <c r="AW114" s="591"/>
      <c r="AY114" s="591"/>
    </row>
    <row r="115" spans="1:51" ht="21" hidden="1" customHeight="1" x14ac:dyDescent="0.2">
      <c r="A115" s="2"/>
      <c r="B115" s="2"/>
      <c r="C115" s="2"/>
      <c r="D115" s="2"/>
      <c r="E115" s="2"/>
      <c r="F115" s="2"/>
      <c r="G115" s="129">
        <f>IF(ISERROR(G$135),0,HLOOKUP(G$135,$G$129:$I130,2,FALSE))</f>
        <v>0</v>
      </c>
      <c r="H115" s="129">
        <f>IF(ISERROR(H$135),0,HLOOKUP(H$135,$G$129:$I130,2,FALSE))</f>
        <v>0</v>
      </c>
      <c r="I115" s="2244">
        <f>IF(ISERROR(I$135),0,HLOOKUP(I$135,$G$129:$I130,2,FALSE))</f>
        <v>0</v>
      </c>
      <c r="J115" s="2244"/>
      <c r="K115" s="2"/>
      <c r="L115" s="14"/>
      <c r="M115" s="139"/>
      <c r="N115" s="2"/>
      <c r="O115" s="2"/>
      <c r="P115" s="2"/>
      <c r="Q115" s="2"/>
      <c r="R115" s="2"/>
      <c r="S115" s="2"/>
      <c r="T115" s="2"/>
      <c r="U115" s="2"/>
      <c r="V115" s="591"/>
      <c r="W115" s="591"/>
      <c r="X115" s="591"/>
      <c r="Y115" s="591"/>
      <c r="Z115" s="591"/>
      <c r="AA115" s="591"/>
      <c r="AB115" s="591"/>
      <c r="AC115" s="591"/>
      <c r="AG115" s="591"/>
      <c r="AH115" s="591"/>
      <c r="AI115" s="591"/>
      <c r="AJ115" s="591"/>
      <c r="AK115" s="591"/>
      <c r="AM115" s="591"/>
      <c r="AN115" s="591"/>
      <c r="AO115" s="591"/>
      <c r="AP115" s="591"/>
      <c r="AQ115" s="591"/>
      <c r="AS115" s="591"/>
      <c r="AT115" s="591"/>
      <c r="AU115" s="591"/>
      <c r="AV115" s="591"/>
      <c r="AW115" s="591"/>
      <c r="AY115" s="591"/>
    </row>
    <row r="116" spans="1:51" ht="18" customHeight="1" x14ac:dyDescent="0.2">
      <c r="A116" s="2"/>
      <c r="B116" s="2"/>
      <c r="C116" s="2"/>
      <c r="D116" s="2"/>
      <c r="E116" s="2"/>
      <c r="F116" s="2"/>
      <c r="G116" s="280">
        <f>IF(ISERROR(G$135),HLOOKUP(L$138,$J$138:$L140,3,FALSE),HLOOKUP(G$135,$G$129:$I131,3,FALSE))</f>
        <v>0</v>
      </c>
      <c r="H116" s="280">
        <f>IF(ISERROR(H$135),HLOOKUP(K$138,$J$138:$L140,3,FALSE),HLOOKUP(H$135,$G$129:$I131,3,FALSE))</f>
        <v>0</v>
      </c>
      <c r="I116" s="2249">
        <f>IF(ISERROR(I$135),HLOOKUP(J$138,$J$138:$L140,3,FALSE),HLOOKUP(I$135,$G$129:$I131,3,FALSE))</f>
        <v>0</v>
      </c>
      <c r="J116" s="2250"/>
      <c r="K116" s="2"/>
      <c r="L116" s="14"/>
      <c r="M116" s="139"/>
      <c r="N116" s="2"/>
      <c r="O116" s="2"/>
      <c r="P116" s="2"/>
      <c r="Q116" s="2"/>
      <c r="R116" s="2"/>
      <c r="S116" s="2"/>
      <c r="T116" s="2"/>
      <c r="U116" s="2"/>
      <c r="V116" s="591"/>
      <c r="W116" s="591"/>
      <c r="X116" s="591"/>
      <c r="Y116" s="591"/>
      <c r="Z116" s="591"/>
      <c r="AA116" s="591"/>
      <c r="AB116" s="591"/>
      <c r="AC116" s="591"/>
      <c r="AG116" s="591"/>
      <c r="AH116" s="591"/>
      <c r="AI116" s="591"/>
      <c r="AJ116" s="591"/>
      <c r="AK116" s="591"/>
      <c r="AM116" s="591"/>
      <c r="AN116" s="591"/>
      <c r="AO116" s="591"/>
      <c r="AP116" s="591"/>
      <c r="AQ116" s="591"/>
      <c r="AS116" s="591"/>
      <c r="AT116" s="591"/>
      <c r="AU116" s="591"/>
      <c r="AV116" s="591"/>
      <c r="AW116" s="591"/>
      <c r="AY116" s="591"/>
    </row>
    <row r="117" spans="1:51" ht="18" customHeight="1" x14ac:dyDescent="0.2">
      <c r="A117" s="2"/>
      <c r="B117" s="2"/>
      <c r="C117" s="2"/>
      <c r="D117" s="2"/>
      <c r="E117" s="2"/>
      <c r="F117" s="2"/>
      <c r="G117" s="281">
        <f>IF(ISERROR(G$135),HLOOKUP(L$138,$J$138:$L141,4,FALSE),HLOOKUP(G$135,$G$129:$I132,4,FALSE))</f>
        <v>0</v>
      </c>
      <c r="H117" s="281">
        <f>IF(ISERROR(H$135),HLOOKUP(K$138,$J$138:$L141,4,FALSE),HLOOKUP(H$135,$G$129:$I132,4,FALSE))</f>
        <v>0</v>
      </c>
      <c r="I117" s="2251">
        <f>IF(ISERROR(I$135),HLOOKUP(J$138,$J$138:$L141,4,FALSE),HLOOKUP(I$135,$G$129:$I132,4,FALSE))</f>
        <v>0</v>
      </c>
      <c r="J117" s="2252"/>
      <c r="K117" s="2"/>
      <c r="L117" s="14"/>
      <c r="M117" s="139"/>
      <c r="N117" s="2"/>
      <c r="O117" s="2"/>
      <c r="P117" s="2"/>
      <c r="Q117" s="2"/>
      <c r="R117" s="2"/>
      <c r="S117" s="2"/>
      <c r="T117" s="2"/>
      <c r="U117" s="2"/>
      <c r="V117" s="591"/>
      <c r="W117" s="591"/>
      <c r="X117" s="591"/>
      <c r="Y117" s="591"/>
      <c r="Z117" s="591"/>
      <c r="AA117" s="591"/>
      <c r="AB117" s="591"/>
      <c r="AC117" s="591"/>
      <c r="AG117" s="591"/>
      <c r="AH117" s="591"/>
      <c r="AI117" s="591"/>
      <c r="AJ117" s="591"/>
      <c r="AK117" s="591"/>
      <c r="AM117" s="591"/>
      <c r="AN117" s="591"/>
      <c r="AO117" s="591"/>
      <c r="AP117" s="591"/>
      <c r="AQ117" s="591"/>
      <c r="AS117" s="591"/>
      <c r="AT117" s="591"/>
      <c r="AU117" s="591"/>
      <c r="AV117" s="591"/>
      <c r="AW117" s="591"/>
      <c r="AY117" s="591"/>
    </row>
    <row r="118" spans="1:51" ht="18" customHeight="1" x14ac:dyDescent="0.2">
      <c r="A118" s="2"/>
      <c r="B118" s="2"/>
      <c r="C118" s="2"/>
      <c r="D118" s="2"/>
      <c r="E118" s="2"/>
      <c r="F118" s="2"/>
      <c r="G118" s="282">
        <f>IF(ISERROR(G$135),HLOOKUP(L$138,$J$138:$L142,5,FALSE),HLOOKUP(G$135,$G$129:$I133,5,FALSE))</f>
        <v>0</v>
      </c>
      <c r="H118" s="282">
        <f>IF(ISERROR(H$135),HLOOKUP(K$138,$J$138:$L142,5,FALSE),HLOOKUP(H$135,$G$129:$I133,5,FALSE))</f>
        <v>0</v>
      </c>
      <c r="I118" s="2257">
        <f>IF(ISERROR(I$135),HLOOKUP(J$138,$J$138:$L142,5,FALSE),HLOOKUP(I$135,$G$129:$I133,5,FALSE))</f>
        <v>0</v>
      </c>
      <c r="J118" s="2258"/>
      <c r="K118" s="2"/>
      <c r="L118" s="14"/>
      <c r="M118" s="139"/>
      <c r="N118" s="2"/>
      <c r="O118" s="2"/>
      <c r="P118" s="2"/>
      <c r="Q118" s="2"/>
      <c r="R118" s="2"/>
      <c r="S118" s="2"/>
      <c r="T118" s="2"/>
      <c r="U118" s="2"/>
      <c r="V118" s="591"/>
      <c r="W118" s="591"/>
      <c r="X118" s="591"/>
      <c r="Y118" s="591"/>
      <c r="Z118" s="591"/>
      <c r="AA118" s="591"/>
      <c r="AB118" s="591"/>
      <c r="AC118" s="591"/>
      <c r="AG118" s="591"/>
      <c r="AH118" s="591"/>
      <c r="AI118" s="591"/>
      <c r="AJ118" s="591"/>
      <c r="AK118" s="591"/>
      <c r="AM118" s="591"/>
      <c r="AN118" s="591"/>
      <c r="AO118" s="591"/>
      <c r="AP118" s="591"/>
      <c r="AQ118" s="591"/>
      <c r="AS118" s="591"/>
      <c r="AT118" s="591"/>
      <c r="AU118" s="591"/>
      <c r="AV118" s="591"/>
      <c r="AW118" s="591"/>
      <c r="AY118" s="591"/>
    </row>
    <row r="119" spans="1:51" ht="21" hidden="1" customHeight="1" x14ac:dyDescent="0.2">
      <c r="A119" s="2"/>
      <c r="B119" s="2"/>
      <c r="C119" s="2"/>
      <c r="D119" s="2"/>
      <c r="E119" s="2"/>
      <c r="F119" s="2"/>
      <c r="G119" s="117" t="e">
        <f>IF(ISERROR(G$135),HLOOKUP(L$138,$J$138:$L139,2,FALSE),HLOOKUP(G$135,$G$129:$I136,8,FALSE))</f>
        <v>#N/A</v>
      </c>
      <c r="H119" s="117" t="e">
        <f>IF(ISERROR(H$135),HLOOKUP(K$138,$J$138:$L139,2,FALSE),HLOOKUP(H$135,$G$129:$I136,8,FALSE))</f>
        <v>#N/A</v>
      </c>
      <c r="I119" s="2259" t="e">
        <f>IF(ISERROR(I$135),HLOOKUP(J$138,$J$138:$L139,2,FALSE),HLOOKUP(I$135,$G$129:$I136,8,FALSE))</f>
        <v>#N/A</v>
      </c>
      <c r="J119" s="2259"/>
      <c r="K119" s="2"/>
      <c r="L119" s="14"/>
      <c r="M119" s="139"/>
      <c r="N119" s="2"/>
      <c r="O119" s="2"/>
      <c r="P119" s="2"/>
      <c r="Q119" s="2"/>
      <c r="R119" s="2"/>
      <c r="S119" s="2"/>
      <c r="T119" s="2"/>
      <c r="U119" s="2"/>
      <c r="V119" s="591"/>
      <c r="W119" s="591"/>
      <c r="X119" s="591"/>
      <c r="Y119" s="591"/>
      <c r="Z119" s="591"/>
      <c r="AA119" s="591"/>
      <c r="AB119" s="591"/>
      <c r="AC119" s="591"/>
      <c r="AG119" s="591"/>
      <c r="AH119" s="591"/>
      <c r="AI119" s="591"/>
      <c r="AJ119" s="591"/>
      <c r="AK119" s="591"/>
      <c r="AM119" s="591"/>
      <c r="AN119" s="591"/>
      <c r="AO119" s="591"/>
      <c r="AP119" s="591"/>
      <c r="AQ119" s="591"/>
      <c r="AS119" s="591"/>
      <c r="AT119" s="591"/>
      <c r="AU119" s="591"/>
      <c r="AV119" s="591"/>
      <c r="AW119" s="591"/>
      <c r="AY119" s="591"/>
    </row>
    <row r="120" spans="1:51" ht="4.5" customHeight="1" x14ac:dyDescent="0.2">
      <c r="A120" s="2"/>
      <c r="B120" s="2"/>
      <c r="C120" s="2"/>
      <c r="D120" s="2"/>
      <c r="E120" s="2"/>
      <c r="F120" s="2"/>
      <c r="G120" s="14"/>
      <c r="H120" s="14"/>
      <c r="I120" s="2202"/>
      <c r="J120" s="2202"/>
      <c r="K120" s="2"/>
      <c r="L120" s="14"/>
      <c r="M120" s="139"/>
      <c r="N120" s="2"/>
      <c r="O120" s="2"/>
      <c r="P120" s="2"/>
      <c r="Q120" s="2"/>
      <c r="R120" s="2"/>
      <c r="S120" s="2"/>
      <c r="T120" s="2"/>
      <c r="U120" s="2"/>
      <c r="V120" s="591"/>
      <c r="W120" s="591"/>
      <c r="X120" s="591"/>
      <c r="Y120" s="591"/>
      <c r="Z120" s="591"/>
      <c r="AA120" s="591"/>
      <c r="AB120" s="591"/>
      <c r="AC120" s="591"/>
      <c r="AG120" s="591"/>
      <c r="AH120" s="591"/>
      <c r="AI120" s="591"/>
      <c r="AJ120" s="591"/>
      <c r="AK120" s="591"/>
      <c r="AM120" s="591"/>
      <c r="AN120" s="591"/>
      <c r="AO120" s="591"/>
      <c r="AP120" s="591"/>
      <c r="AQ120" s="591"/>
      <c r="AS120" s="591"/>
      <c r="AT120" s="591"/>
      <c r="AU120" s="591"/>
      <c r="AV120" s="591"/>
      <c r="AW120" s="591"/>
      <c r="AY120" s="591"/>
    </row>
    <row r="121" spans="1:51" ht="18" customHeight="1" x14ac:dyDescent="0.25">
      <c r="A121" s="2"/>
      <c r="B121" s="2"/>
      <c r="C121" s="2"/>
      <c r="D121" s="2"/>
      <c r="E121" s="2"/>
      <c r="F121" s="283" t="s">
        <v>483</v>
      </c>
      <c r="G121" s="285">
        <f>IMPOSTAZIONI!T291</f>
        <v>0</v>
      </c>
      <c r="H121" s="285">
        <f>IMPOSTAZIONI!T292</f>
        <v>0</v>
      </c>
      <c r="I121" s="2253">
        <f>IMPOSTAZIONI!T293</f>
        <v>0</v>
      </c>
      <c r="J121" s="2254"/>
      <c r="K121" s="667">
        <f>SUM(G121:I121)</f>
        <v>0</v>
      </c>
      <c r="L121" s="14"/>
      <c r="M121" s="139"/>
      <c r="N121" s="2"/>
      <c r="O121" s="2"/>
      <c r="P121" s="2"/>
      <c r="Q121" s="2"/>
      <c r="R121" s="2"/>
      <c r="S121" s="2"/>
      <c r="T121" s="2"/>
      <c r="U121" s="2"/>
      <c r="V121" s="591"/>
      <c r="W121" s="591"/>
      <c r="X121" s="591"/>
      <c r="Y121" s="591"/>
      <c r="Z121" s="591"/>
      <c r="AA121" s="591"/>
      <c r="AB121" s="591"/>
      <c r="AC121" s="591"/>
      <c r="AG121" s="591"/>
      <c r="AH121" s="591"/>
      <c r="AI121" s="591"/>
      <c r="AJ121" s="591"/>
      <c r="AK121" s="591"/>
      <c r="AM121" s="591"/>
      <c r="AN121" s="591"/>
      <c r="AO121" s="591"/>
      <c r="AP121" s="591"/>
      <c r="AQ121" s="591"/>
      <c r="AS121" s="591"/>
      <c r="AT121" s="591"/>
      <c r="AU121" s="591"/>
      <c r="AV121" s="591"/>
      <c r="AW121" s="591"/>
      <c r="AY121" s="591"/>
    </row>
    <row r="122" spans="1:51" ht="18" customHeight="1" x14ac:dyDescent="0.2">
      <c r="A122" s="2"/>
      <c r="B122" s="2"/>
      <c r="C122" s="2"/>
      <c r="D122" s="2"/>
      <c r="E122" s="2"/>
      <c r="F122" s="284" t="s">
        <v>484</v>
      </c>
      <c r="G122" s="286">
        <f>IMPOSTAZIONI!Y291</f>
        <v>0</v>
      </c>
      <c r="H122" s="286">
        <f>IMPOSTAZIONI!Y292</f>
        <v>0</v>
      </c>
      <c r="I122" s="2255">
        <f>IMPOSTAZIONI!Y293</f>
        <v>0</v>
      </c>
      <c r="J122" s="2256"/>
      <c r="K122" s="310">
        <f>SUM(G122:I122)</f>
        <v>0</v>
      </c>
      <c r="L122" s="287"/>
      <c r="M122" s="311"/>
      <c r="N122" s="2"/>
      <c r="O122" s="2"/>
      <c r="P122" s="2"/>
      <c r="Q122" s="2"/>
      <c r="R122" s="2"/>
      <c r="S122" s="2"/>
      <c r="T122" s="2"/>
      <c r="U122" s="2"/>
      <c r="V122" s="591"/>
      <c r="W122" s="591"/>
      <c r="X122" s="591"/>
      <c r="Y122" s="591"/>
      <c r="Z122" s="591"/>
      <c r="AA122" s="591"/>
      <c r="AB122" s="591"/>
      <c r="AC122" s="591"/>
      <c r="AG122" s="591"/>
      <c r="AH122" s="591"/>
      <c r="AI122" s="591"/>
      <c r="AJ122" s="591"/>
      <c r="AK122" s="591"/>
      <c r="AM122" s="591"/>
      <c r="AN122" s="591"/>
      <c r="AO122" s="591"/>
      <c r="AP122" s="591"/>
      <c r="AQ122" s="591"/>
      <c r="AS122" s="591"/>
      <c r="AT122" s="591"/>
      <c r="AU122" s="591"/>
      <c r="AV122" s="591"/>
      <c r="AW122" s="591"/>
      <c r="AY122" s="591"/>
    </row>
    <row r="123" spans="1:51" ht="21" customHeight="1" x14ac:dyDescent="0.2">
      <c r="A123" s="2"/>
      <c r="B123" s="2"/>
      <c r="C123" s="2"/>
      <c r="D123" s="2"/>
      <c r="E123" s="2"/>
      <c r="F123" s="2"/>
      <c r="G123" s="2"/>
      <c r="H123" s="2"/>
      <c r="I123" s="2"/>
      <c r="J123" s="2"/>
      <c r="K123" s="2"/>
      <c r="L123" s="2"/>
      <c r="M123" s="2"/>
      <c r="N123" s="2"/>
      <c r="O123" s="2"/>
      <c r="P123" s="2"/>
      <c r="Q123" s="2"/>
      <c r="R123" s="2"/>
      <c r="S123" s="2"/>
      <c r="T123" s="2"/>
      <c r="U123" s="2"/>
      <c r="V123" s="591"/>
      <c r="W123" s="591"/>
      <c r="X123" s="591"/>
      <c r="Y123" s="591"/>
      <c r="Z123" s="591"/>
      <c r="AA123" s="591"/>
      <c r="AB123" s="591"/>
      <c r="AC123" s="591"/>
      <c r="AG123" s="591"/>
      <c r="AH123" s="591"/>
      <c r="AI123" s="591"/>
      <c r="AJ123" s="591"/>
      <c r="AK123" s="591"/>
      <c r="AM123" s="591"/>
      <c r="AN123" s="591"/>
      <c r="AO123" s="591"/>
      <c r="AP123" s="591"/>
      <c r="AQ123" s="591"/>
      <c r="AS123" s="591"/>
      <c r="AT123" s="591"/>
      <c r="AU123" s="591"/>
      <c r="AV123" s="591"/>
      <c r="AW123" s="591"/>
      <c r="AY123" s="591"/>
    </row>
    <row r="124" spans="1:51" ht="21" customHeight="1" x14ac:dyDescent="0.2">
      <c r="A124" s="2"/>
      <c r="B124" s="2"/>
      <c r="C124" s="287"/>
      <c r="D124" s="287"/>
      <c r="E124" s="287"/>
      <c r="F124" s="287"/>
      <c r="G124" s="287"/>
      <c r="H124" s="287"/>
      <c r="I124" s="287"/>
      <c r="J124" s="287"/>
      <c r="K124" s="287"/>
      <c r="L124" s="287"/>
      <c r="M124" s="287"/>
      <c r="N124" s="287"/>
      <c r="O124" s="287"/>
      <c r="P124" s="2"/>
      <c r="Q124" s="2"/>
      <c r="R124" s="2"/>
      <c r="S124" s="2"/>
      <c r="T124" s="2"/>
      <c r="U124" s="2"/>
      <c r="V124" s="591"/>
      <c r="W124" s="591"/>
      <c r="X124" s="591"/>
      <c r="Y124" s="591"/>
      <c r="Z124" s="591"/>
      <c r="AA124" s="591"/>
      <c r="AB124" s="591"/>
      <c r="AC124" s="591"/>
      <c r="AG124" s="591"/>
      <c r="AH124" s="591"/>
      <c r="AI124" s="591"/>
      <c r="AJ124" s="591"/>
      <c r="AK124" s="591"/>
      <c r="AM124" s="591"/>
      <c r="AN124" s="591"/>
      <c r="AO124" s="591"/>
      <c r="AP124" s="591"/>
      <c r="AQ124" s="591"/>
      <c r="AS124" s="591"/>
      <c r="AT124" s="591"/>
      <c r="AU124" s="591"/>
      <c r="AV124" s="591"/>
      <c r="AW124" s="591"/>
      <c r="AY124" s="591"/>
    </row>
    <row r="125" spans="1:51" ht="13.5" hidden="1" customHeight="1" x14ac:dyDescent="0.2">
      <c r="A125" s="2"/>
      <c r="B125" s="2"/>
      <c r="C125" s="2"/>
      <c r="D125" s="2"/>
      <c r="E125" s="2"/>
      <c r="F125" s="2"/>
      <c r="G125" s="2"/>
      <c r="H125" s="2"/>
      <c r="I125" s="2"/>
      <c r="J125" s="2"/>
      <c r="K125" s="2"/>
      <c r="L125" s="2"/>
      <c r="M125" s="2"/>
      <c r="N125" s="2"/>
      <c r="O125" s="2"/>
      <c r="P125" s="2"/>
      <c r="Q125" s="2"/>
      <c r="R125" s="2"/>
      <c r="S125" s="2"/>
      <c r="T125" s="2"/>
      <c r="U125" s="2"/>
      <c r="V125" s="591"/>
      <c r="W125" s="591"/>
      <c r="X125" s="591"/>
      <c r="Y125" s="591"/>
      <c r="Z125" s="591"/>
      <c r="AA125" s="591"/>
      <c r="AB125" s="591"/>
      <c r="AC125" s="591"/>
      <c r="AG125" s="591"/>
      <c r="AH125" s="591"/>
      <c r="AI125" s="591"/>
      <c r="AJ125" s="591"/>
      <c r="AK125" s="591"/>
      <c r="AM125" s="591"/>
      <c r="AN125" s="591"/>
      <c r="AO125" s="591"/>
      <c r="AP125" s="591"/>
      <c r="AQ125" s="591"/>
      <c r="AS125" s="591"/>
      <c r="AT125" s="591"/>
      <c r="AU125" s="591"/>
      <c r="AV125" s="591"/>
      <c r="AW125" s="591"/>
      <c r="AY125" s="591"/>
    </row>
    <row r="126" spans="1:51" ht="18.75" customHeight="1" x14ac:dyDescent="0.2">
      <c r="A126" s="2"/>
      <c r="B126" s="2"/>
      <c r="C126" s="2083" t="str">
        <f ca="1">Presentazione!D70</f>
        <v>Questo file risulta al momento completamente funzionante ed il sistema rileva tutti i suoi fogli.</v>
      </c>
      <c r="D126" s="2083"/>
      <c r="E126" s="2083"/>
      <c r="F126" s="2083"/>
      <c r="G126" s="2083"/>
      <c r="H126" s="2083"/>
      <c r="I126" s="2083"/>
      <c r="J126" s="2083"/>
      <c r="K126" s="2083"/>
      <c r="L126" s="2083"/>
      <c r="M126" s="2083"/>
      <c r="N126" s="553"/>
      <c r="O126" s="553"/>
      <c r="P126" s="553"/>
      <c r="Q126" s="2"/>
      <c r="R126" s="2"/>
      <c r="S126" s="2"/>
      <c r="T126" s="2"/>
      <c r="U126" s="2"/>
      <c r="V126" s="591"/>
      <c r="W126" s="591"/>
      <c r="X126" s="591"/>
      <c r="Y126" s="591"/>
      <c r="Z126" s="591"/>
      <c r="AA126" s="591"/>
      <c r="AB126" s="591"/>
      <c r="AC126" s="591"/>
      <c r="AG126" s="591"/>
      <c r="AH126" s="591"/>
      <c r="AI126" s="591"/>
      <c r="AJ126" s="591"/>
      <c r="AK126" s="591"/>
      <c r="AM126" s="591"/>
      <c r="AN126" s="591"/>
      <c r="AO126" s="591"/>
      <c r="AP126" s="591"/>
      <c r="AQ126" s="591"/>
      <c r="AS126" s="591"/>
      <c r="AT126" s="591"/>
      <c r="AU126" s="591"/>
      <c r="AV126" s="591"/>
      <c r="AW126" s="591"/>
      <c r="AY126" s="591"/>
    </row>
    <row r="127" spans="1:51" ht="33" customHeight="1" x14ac:dyDescent="0.25">
      <c r="A127" s="2"/>
      <c r="B127" s="2"/>
      <c r="C127" s="930" t="s">
        <v>716</v>
      </c>
      <c r="D127" s="930"/>
      <c r="E127" s="930"/>
      <c r="F127" s="930"/>
      <c r="G127" s="930"/>
      <c r="H127" s="2"/>
      <c r="I127" s="2"/>
      <c r="J127" s="2"/>
      <c r="K127" s="2"/>
      <c r="L127" s="2"/>
      <c r="M127" s="908" t="s">
        <v>581</v>
      </c>
      <c r="N127" s="2"/>
      <c r="O127" s="2"/>
      <c r="P127" s="2"/>
      <c r="Q127" s="2"/>
      <c r="R127" s="2"/>
      <c r="S127" s="2"/>
      <c r="T127" s="2"/>
      <c r="U127" s="2"/>
      <c r="V127" s="591"/>
      <c r="W127" s="591"/>
      <c r="X127" s="591"/>
      <c r="Y127" s="591"/>
      <c r="Z127" s="591"/>
      <c r="AA127" s="591"/>
      <c r="AB127" s="591"/>
      <c r="AC127" s="591"/>
      <c r="AG127" s="591"/>
      <c r="AH127" s="591"/>
      <c r="AI127" s="591"/>
      <c r="AJ127" s="591"/>
      <c r="AK127" s="591"/>
      <c r="AM127" s="591"/>
      <c r="AN127" s="591"/>
      <c r="AO127" s="591"/>
      <c r="AP127" s="591"/>
      <c r="AQ127" s="591"/>
      <c r="AS127" s="591"/>
      <c r="AT127" s="591"/>
      <c r="AU127" s="591"/>
      <c r="AV127" s="591"/>
      <c r="AW127" s="591"/>
      <c r="AY127" s="591"/>
    </row>
    <row r="128" spans="1:51" ht="21" hidden="1" customHeight="1" x14ac:dyDescent="0.2">
      <c r="A128" s="2"/>
      <c r="B128" s="2"/>
      <c r="C128" s="2"/>
      <c r="D128" s="2"/>
      <c r="E128" s="2"/>
      <c r="F128" s="2"/>
      <c r="G128" s="2"/>
      <c r="H128" s="2"/>
      <c r="I128" s="2"/>
      <c r="J128" s="2"/>
      <c r="K128" s="2"/>
      <c r="L128" s="2"/>
      <c r="M128" s="2"/>
      <c r="N128" s="2"/>
      <c r="O128" s="2"/>
      <c r="P128" s="2"/>
      <c r="Q128" s="2"/>
      <c r="R128" s="2"/>
      <c r="S128" s="2"/>
      <c r="T128" s="2"/>
      <c r="U128" s="2"/>
      <c r="V128" s="591"/>
      <c r="W128" s="591"/>
      <c r="X128" s="591"/>
      <c r="Y128" s="591"/>
      <c r="Z128" s="591"/>
      <c r="AA128" s="591"/>
      <c r="AB128" s="591"/>
      <c r="AC128" s="591"/>
      <c r="AG128" s="591"/>
      <c r="AH128" s="591"/>
      <c r="AI128" s="591"/>
      <c r="AJ128" s="591"/>
      <c r="AK128" s="591"/>
      <c r="AM128" s="591"/>
      <c r="AN128" s="591"/>
      <c r="AO128" s="591"/>
      <c r="AP128" s="591"/>
      <c r="AQ128" s="591"/>
      <c r="AS128" s="591"/>
      <c r="AT128" s="591"/>
      <c r="AU128" s="591"/>
      <c r="AV128" s="591"/>
      <c r="AW128" s="591"/>
      <c r="AY128" s="591"/>
    </row>
    <row r="129" spans="1:51" ht="15.75" hidden="1" customHeight="1" x14ac:dyDescent="0.2">
      <c r="A129" s="2"/>
      <c r="B129" s="2"/>
      <c r="C129" s="2"/>
      <c r="D129" s="2"/>
      <c r="E129" s="2"/>
      <c r="F129" s="2"/>
      <c r="G129" s="257">
        <v>1</v>
      </c>
      <c r="H129" s="257">
        <v>2</v>
      </c>
      <c r="I129" s="257">
        <v>3</v>
      </c>
      <c r="J129" s="2"/>
      <c r="K129" s="2"/>
      <c r="L129" s="2"/>
      <c r="M129" s="2"/>
      <c r="N129" s="2"/>
      <c r="O129" s="2"/>
      <c r="P129" s="2"/>
      <c r="Q129" s="2"/>
      <c r="R129" s="2"/>
      <c r="S129" s="2"/>
      <c r="T129" s="2"/>
      <c r="U129" s="2"/>
      <c r="V129" s="591"/>
      <c r="W129" s="591"/>
      <c r="X129" s="591"/>
      <c r="Y129" s="591"/>
      <c r="Z129" s="591"/>
      <c r="AA129" s="591"/>
      <c r="AB129" s="591"/>
      <c r="AC129" s="591"/>
      <c r="AG129" s="591"/>
      <c r="AH129" s="591"/>
      <c r="AI129" s="591"/>
      <c r="AJ129" s="591"/>
      <c r="AK129" s="591"/>
      <c r="AM129" s="591"/>
      <c r="AN129" s="591"/>
      <c r="AO129" s="591"/>
      <c r="AP129" s="591"/>
      <c r="AQ129" s="591"/>
      <c r="AS129" s="591"/>
      <c r="AT129" s="591"/>
      <c r="AU129" s="591"/>
      <c r="AV129" s="591"/>
      <c r="AW129" s="591"/>
      <c r="AY129" s="591"/>
    </row>
    <row r="130" spans="1:51" ht="15.75" hidden="1" customHeight="1" x14ac:dyDescent="0.2">
      <c r="A130" s="2"/>
      <c r="B130" s="2"/>
      <c r="C130" s="2"/>
      <c r="D130" s="2"/>
      <c r="E130" s="2"/>
      <c r="F130" s="2"/>
      <c r="G130" s="263">
        <f>IF(E$131=1,IMPOSTAZIONI!J94,0)</f>
        <v>0</v>
      </c>
      <c r="H130" s="263">
        <f>IF(E$132=1,IMPOSTAZIONI!J102,0)</f>
        <v>0</v>
      </c>
      <c r="I130" s="263">
        <f>IF(E$133=1,IMPOSTAZIONI!J110,0)</f>
        <v>0</v>
      </c>
      <c r="J130" s="2"/>
      <c r="K130" s="263" t="str">
        <f>IMPOSTAZIONI!C154</f>
        <v>Note</v>
      </c>
      <c r="L130" s="2"/>
      <c r="M130" s="2"/>
      <c r="N130" s="2"/>
      <c r="O130" s="2"/>
      <c r="P130" s="2"/>
      <c r="Q130" s="2"/>
      <c r="R130" s="2"/>
      <c r="S130" s="2"/>
      <c r="T130" s="2"/>
      <c r="U130" s="2"/>
      <c r="V130" s="591"/>
      <c r="W130" s="591"/>
      <c r="X130" s="591"/>
      <c r="Y130" s="591"/>
      <c r="Z130" s="591"/>
      <c r="AA130" s="591"/>
      <c r="AB130" s="591"/>
      <c r="AC130" s="591"/>
      <c r="AG130" s="591"/>
      <c r="AH130" s="591"/>
      <c r="AI130" s="591"/>
      <c r="AJ130" s="591"/>
      <c r="AK130" s="591"/>
      <c r="AM130" s="591"/>
      <c r="AN130" s="591"/>
      <c r="AO130" s="591"/>
      <c r="AP130" s="591"/>
      <c r="AQ130" s="591"/>
      <c r="AS130" s="591"/>
      <c r="AT130" s="591"/>
      <c r="AU130" s="591"/>
      <c r="AV130" s="591"/>
      <c r="AW130" s="591"/>
      <c r="AY130" s="591"/>
    </row>
    <row r="131" spans="1:51" ht="15.75" hidden="1" customHeight="1" x14ac:dyDescent="0.2">
      <c r="A131" s="2"/>
      <c r="B131" s="2"/>
      <c r="C131" s="2"/>
      <c r="D131" s="2"/>
      <c r="E131" s="263">
        <f>IF(IMPOSTAZIONI!W184=0,1,0)</f>
        <v>0</v>
      </c>
      <c r="F131" s="2"/>
      <c r="G131" s="267">
        <f>IF(E$131=1,IMPOSTAZIONI!J96,0)</f>
        <v>0</v>
      </c>
      <c r="H131" s="268">
        <f>IF(E$132=1,IMPOSTAZIONI!J104,0)</f>
        <v>0</v>
      </c>
      <c r="I131" s="269">
        <f>IF(E$133=1,IMPOSTAZIONI!J112,0)</f>
        <v>0</v>
      </c>
      <c r="J131" s="2"/>
      <c r="K131" s="2"/>
      <c r="L131" s="925" t="str">
        <f>Presentazione!$K$150</f>
        <v>attiva trim.</v>
      </c>
      <c r="M131" s="2"/>
      <c r="N131" s="2"/>
      <c r="O131" s="2"/>
      <c r="P131" s="2"/>
      <c r="Q131" s="2"/>
      <c r="R131" s="2"/>
      <c r="S131" s="2"/>
      <c r="T131" s="2"/>
      <c r="U131" s="2"/>
      <c r="V131" s="591"/>
      <c r="W131" s="591"/>
      <c r="X131" s="591"/>
      <c r="Y131" s="591"/>
      <c r="Z131" s="591"/>
      <c r="AA131" s="591"/>
      <c r="AB131" s="591"/>
      <c r="AC131" s="591"/>
      <c r="AG131" s="591"/>
      <c r="AH131" s="591"/>
      <c r="AI131" s="591"/>
      <c r="AJ131" s="591"/>
      <c r="AK131" s="591"/>
      <c r="AM131" s="591"/>
      <c r="AN131" s="591"/>
      <c r="AO131" s="591"/>
      <c r="AP131" s="591"/>
      <c r="AQ131" s="591"/>
      <c r="AS131" s="591"/>
      <c r="AT131" s="591"/>
      <c r="AU131" s="591"/>
      <c r="AV131" s="591"/>
      <c r="AW131" s="591"/>
      <c r="AY131" s="591"/>
    </row>
    <row r="132" spans="1:51" ht="15.75" hidden="1" customHeight="1" x14ac:dyDescent="0.2">
      <c r="A132" s="2"/>
      <c r="B132" s="2"/>
      <c r="C132" s="2"/>
      <c r="D132" s="2"/>
      <c r="E132" s="263">
        <f>IF(IMPOSTAZIONI!W185=0,1,0)</f>
        <v>0</v>
      </c>
      <c r="F132" s="2"/>
      <c r="G132" s="264">
        <f>IF(E$131=1,IMPOSTAZIONI!J97,0)</f>
        <v>0</v>
      </c>
      <c r="H132" s="266">
        <f>IF(E$132=1,IMPOSTAZIONI!J105,0)</f>
        <v>0</v>
      </c>
      <c r="I132" s="265">
        <f>IF(E$133=1,IMPOSTAZIONI!J113,0)</f>
        <v>0</v>
      </c>
      <c r="J132" s="2"/>
      <c r="K132" s="263" t="s">
        <v>356</v>
      </c>
      <c r="L132" s="2"/>
      <c r="M132" s="2"/>
      <c r="N132" s="2"/>
      <c r="O132" s="2"/>
      <c r="P132" s="2"/>
      <c r="Q132" s="2"/>
      <c r="R132" s="2"/>
      <c r="S132" s="2"/>
      <c r="T132" s="2"/>
      <c r="U132" s="2"/>
      <c r="V132" s="591"/>
      <c r="W132" s="591"/>
      <c r="X132" s="591"/>
      <c r="Y132" s="591"/>
      <c r="Z132" s="591"/>
      <c r="AA132" s="591"/>
      <c r="AB132" s="591"/>
      <c r="AC132" s="591"/>
      <c r="AG132" s="591"/>
      <c r="AH132" s="591"/>
      <c r="AI132" s="591"/>
      <c r="AJ132" s="591"/>
      <c r="AK132" s="591"/>
      <c r="AM132" s="591"/>
      <c r="AN132" s="591"/>
      <c r="AO132" s="591"/>
      <c r="AP132" s="591"/>
      <c r="AQ132" s="591"/>
      <c r="AS132" s="591"/>
      <c r="AT132" s="591"/>
      <c r="AU132" s="591"/>
      <c r="AV132" s="591"/>
      <c r="AW132" s="591"/>
      <c r="AY132" s="591"/>
    </row>
    <row r="133" spans="1:51" ht="15.75" hidden="1" customHeight="1" x14ac:dyDescent="0.2">
      <c r="A133" s="2"/>
      <c r="B133" s="2"/>
      <c r="C133" s="2"/>
      <c r="D133" s="2"/>
      <c r="E133" s="263">
        <f>IF(IMPOSTAZIONI!W186=0,1,0)</f>
        <v>0</v>
      </c>
      <c r="F133" s="2"/>
      <c r="G133" s="270">
        <f>IF(E$131=1,IMPOSTAZIONI!J98,0)</f>
        <v>0</v>
      </c>
      <c r="H133" s="271">
        <f>IF(E$132=1,IMPOSTAZIONI!J106,0)</f>
        <v>0</v>
      </c>
      <c r="I133" s="272">
        <f>IF(E$133=1,IMPOSTAZIONI!J114,0)</f>
        <v>0</v>
      </c>
      <c r="J133" s="2"/>
      <c r="K133" s="2"/>
      <c r="L133" s="2"/>
      <c r="M133" s="2"/>
      <c r="N133" s="2"/>
      <c r="O133" s="2"/>
      <c r="P133" s="2"/>
      <c r="Q133" s="2"/>
      <c r="R133" s="2"/>
      <c r="S133" s="2"/>
      <c r="T133" s="2"/>
      <c r="U133" s="2"/>
      <c r="V133" s="591"/>
      <c r="W133" s="591"/>
      <c r="X133" s="591"/>
      <c r="Y133" s="591"/>
      <c r="Z133" s="591"/>
      <c r="AA133" s="591"/>
      <c r="AB133" s="591"/>
      <c r="AC133" s="591"/>
      <c r="AG133" s="591"/>
      <c r="AH133" s="591"/>
      <c r="AI133" s="591"/>
      <c r="AJ133" s="591"/>
      <c r="AK133" s="591"/>
      <c r="AM133" s="591"/>
      <c r="AN133" s="591"/>
      <c r="AO133" s="591"/>
      <c r="AP133" s="591"/>
      <c r="AQ133" s="591"/>
      <c r="AS133" s="591"/>
      <c r="AT133" s="591"/>
      <c r="AU133" s="591"/>
      <c r="AV133" s="591"/>
      <c r="AW133" s="591"/>
      <c r="AY133" s="591"/>
    </row>
    <row r="134" spans="1:51" ht="15.75" hidden="1" customHeight="1" x14ac:dyDescent="0.2">
      <c r="A134" s="2"/>
      <c r="B134" s="2"/>
      <c r="C134" s="2"/>
      <c r="D134" s="2"/>
      <c r="E134" s="129"/>
      <c r="F134" s="2"/>
      <c r="G134" s="108">
        <f>IF(G130=0,0,G129)</f>
        <v>0</v>
      </c>
      <c r="H134" s="108">
        <f>IF(H130=0,0,H129)</f>
        <v>0</v>
      </c>
      <c r="I134" s="108">
        <f>IF(I130=0,0,I129)</f>
        <v>0</v>
      </c>
      <c r="J134" s="2"/>
      <c r="K134" s="263" t="str">
        <f>IMPOSTAZIONI!C146</f>
        <v>ESCLUDI</v>
      </c>
      <c r="L134" s="263" t="str">
        <f>IMPOSTAZIONI!H146</f>
        <v>VENTILAZIONE</v>
      </c>
      <c r="M134" s="306" t="s">
        <v>745</v>
      </c>
      <c r="N134" s="2"/>
      <c r="O134" s="2"/>
      <c r="P134" s="2"/>
      <c r="Q134" s="2"/>
      <c r="R134" s="2"/>
      <c r="S134" s="2"/>
      <c r="T134" s="2"/>
      <c r="U134" s="2"/>
      <c r="V134" s="591"/>
      <c r="W134" s="591"/>
      <c r="X134" s="591"/>
      <c r="Y134" s="591"/>
      <c r="Z134" s="591"/>
      <c r="AA134" s="591"/>
      <c r="AB134" s="591"/>
      <c r="AC134" s="591"/>
      <c r="AG134" s="591"/>
      <c r="AH134" s="591"/>
      <c r="AI134" s="591"/>
      <c r="AJ134" s="591"/>
      <c r="AK134" s="591"/>
      <c r="AM134" s="591"/>
      <c r="AN134" s="591"/>
      <c r="AO134" s="591"/>
      <c r="AP134" s="591"/>
      <c r="AQ134" s="591"/>
      <c r="AS134" s="591"/>
      <c r="AT134" s="591"/>
      <c r="AU134" s="591"/>
      <c r="AV134" s="591"/>
      <c r="AW134" s="591"/>
      <c r="AY134" s="591"/>
    </row>
    <row r="135" spans="1:51" ht="15.75" hidden="1" customHeight="1" x14ac:dyDescent="0.2">
      <c r="A135" s="2"/>
      <c r="B135" s="2"/>
      <c r="C135" s="2"/>
      <c r="D135" s="2"/>
      <c r="E135" s="274">
        <f>COUNTIF(G134:I134,0)</f>
        <v>3</v>
      </c>
      <c r="F135" s="2"/>
      <c r="G135" s="273" t="e">
        <f>SMALL($G134:$I134,$E135+1)</f>
        <v>#NUM!</v>
      </c>
      <c r="H135" s="273" t="e">
        <f>SMALL($G134:$I134,$E135+2)</f>
        <v>#NUM!</v>
      </c>
      <c r="I135" s="273" t="e">
        <f>SMALL($G134:$I134,$E135+3)</f>
        <v>#NUM!</v>
      </c>
      <c r="J135" s="2"/>
      <c r="K135" s="2"/>
      <c r="L135" s="263" t="str">
        <f>IMPOSTAZIONI!H148</f>
        <v>SCORPORO</v>
      </c>
      <c r="M135" s="306" t="s">
        <v>742</v>
      </c>
      <c r="N135" s="2"/>
      <c r="O135" s="2"/>
      <c r="P135" s="2"/>
      <c r="Q135" s="2"/>
      <c r="R135" s="2"/>
      <c r="S135" s="2"/>
      <c r="T135" s="2"/>
      <c r="U135" s="2"/>
      <c r="V135" s="591"/>
      <c r="W135" s="591"/>
      <c r="X135" s="591"/>
      <c r="Y135" s="591"/>
      <c r="Z135" s="591"/>
      <c r="AA135" s="591"/>
      <c r="AB135" s="591"/>
      <c r="AC135" s="591"/>
      <c r="AG135" s="591"/>
      <c r="AH135" s="591"/>
      <c r="AI135" s="591"/>
      <c r="AJ135" s="591"/>
      <c r="AK135" s="591"/>
      <c r="AM135" s="591"/>
      <c r="AN135" s="591"/>
      <c r="AO135" s="591"/>
      <c r="AP135" s="591"/>
      <c r="AQ135" s="591"/>
      <c r="AS135" s="591"/>
      <c r="AT135" s="591"/>
      <c r="AU135" s="591"/>
      <c r="AV135" s="591"/>
      <c r="AW135" s="591"/>
      <c r="AY135" s="591"/>
    </row>
    <row r="136" spans="1:51" ht="15.75" hidden="1" customHeight="1" x14ac:dyDescent="0.2">
      <c r="A136" s="2"/>
      <c r="B136" s="2"/>
      <c r="C136" s="2"/>
      <c r="D136" s="2"/>
      <c r="E136" s="274"/>
      <c r="F136" s="2"/>
      <c r="G136" s="275">
        <f>IF(E$131=1,CONCATENATE(IMPOSTAZIONI!I96,"-",IMPOSTAZIONI!I97,"-",IMPOSTAZIONI!I98),0)</f>
        <v>0</v>
      </c>
      <c r="H136" s="276">
        <f>IF(E$132=1,CONCATENATE(IMPOSTAZIONI!I104,"-",IMPOSTAZIONI!I105,"-",IMPOSTAZIONI!I106),0)</f>
        <v>0</v>
      </c>
      <c r="I136" s="277">
        <f>IF(E$133=1,CONCATENATE(IMPOSTAZIONI!I112,"-",IMPOSTAZIONI!I113,"-",IMPOSTAZIONI!I114),0)</f>
        <v>0</v>
      </c>
      <c r="J136" s="2"/>
      <c r="K136" s="2"/>
      <c r="L136" s="2"/>
      <c r="M136" s="2"/>
      <c r="N136" s="2"/>
      <c r="O136" s="2"/>
      <c r="P136" s="2"/>
      <c r="Q136" s="2"/>
      <c r="R136" s="2"/>
      <c r="S136" s="2"/>
      <c r="T136" s="2"/>
      <c r="U136" s="2"/>
      <c r="V136" s="591"/>
      <c r="W136" s="591"/>
      <c r="X136" s="591"/>
      <c r="Y136" s="591"/>
      <c r="Z136" s="591"/>
      <c r="AA136" s="591"/>
      <c r="AB136" s="591"/>
      <c r="AC136" s="591"/>
      <c r="AG136" s="591"/>
      <c r="AH136" s="591"/>
      <c r="AI136" s="591"/>
      <c r="AJ136" s="591"/>
      <c r="AK136" s="591"/>
      <c r="AM136" s="591"/>
      <c r="AN136" s="591"/>
      <c r="AO136" s="591"/>
      <c r="AP136" s="591"/>
      <c r="AQ136" s="591"/>
      <c r="AS136" s="591"/>
      <c r="AT136" s="591"/>
      <c r="AU136" s="591"/>
      <c r="AV136" s="591"/>
      <c r="AW136" s="591"/>
      <c r="AY136" s="591"/>
    </row>
    <row r="137" spans="1:51" ht="15.75" hidden="1" customHeight="1" x14ac:dyDescent="0.2">
      <c r="A137" s="2"/>
      <c r="B137" s="2"/>
      <c r="C137" s="2"/>
      <c r="D137" s="2"/>
      <c r="E137" s="129"/>
      <c r="F137" s="2"/>
      <c r="G137" s="273"/>
      <c r="H137" s="273"/>
      <c r="I137" s="2"/>
      <c r="J137" s="2"/>
      <c r="K137" s="2"/>
      <c r="L137" s="2"/>
      <c r="M137" s="2"/>
      <c r="N137" s="2"/>
      <c r="O137" s="2"/>
      <c r="P137" s="2"/>
      <c r="Q137" s="2"/>
      <c r="R137" s="2"/>
      <c r="S137" s="2"/>
      <c r="T137" s="2"/>
      <c r="U137" s="2"/>
      <c r="V137" s="591"/>
      <c r="W137" s="591"/>
      <c r="X137" s="591"/>
      <c r="Y137" s="591"/>
      <c r="Z137" s="591"/>
      <c r="AA137" s="591"/>
      <c r="AB137" s="591"/>
      <c r="AC137" s="591"/>
      <c r="AG137" s="591"/>
      <c r="AH137" s="591"/>
      <c r="AI137" s="591"/>
      <c r="AJ137" s="591"/>
      <c r="AK137" s="591"/>
      <c r="AM137" s="591"/>
      <c r="AN137" s="591"/>
      <c r="AO137" s="591"/>
      <c r="AP137" s="591"/>
      <c r="AQ137" s="591"/>
      <c r="AS137" s="591"/>
      <c r="AT137" s="591"/>
      <c r="AU137" s="591"/>
      <c r="AV137" s="591"/>
      <c r="AW137" s="591"/>
      <c r="AY137" s="591"/>
    </row>
    <row r="138" spans="1:51" ht="15.75" hidden="1" customHeight="1" x14ac:dyDescent="0.2">
      <c r="A138" s="2"/>
      <c r="B138" s="2"/>
      <c r="C138" s="2"/>
      <c r="D138" s="2"/>
      <c r="E138" s="129"/>
      <c r="F138" s="2"/>
      <c r="G138" s="273"/>
      <c r="H138" s="273"/>
      <c r="I138" s="273"/>
      <c r="J138" s="148">
        <v>1</v>
      </c>
      <c r="K138" s="148">
        <v>2</v>
      </c>
      <c r="L138" s="148">
        <v>3</v>
      </c>
      <c r="M138" s="2"/>
      <c r="N138" s="2"/>
      <c r="O138" s="2"/>
      <c r="P138" s="2"/>
      <c r="Q138" s="2"/>
      <c r="R138" s="2"/>
      <c r="S138" s="2"/>
      <c r="T138" s="2"/>
      <c r="U138" s="2"/>
      <c r="V138" s="591"/>
      <c r="W138" s="591"/>
      <c r="X138" s="591"/>
      <c r="Y138" s="591"/>
      <c r="Z138" s="591"/>
      <c r="AA138" s="591"/>
      <c r="AB138" s="591"/>
      <c r="AC138" s="591"/>
      <c r="AG138" s="591"/>
      <c r="AH138" s="591"/>
      <c r="AI138" s="591"/>
      <c r="AJ138" s="591"/>
      <c r="AK138" s="591"/>
      <c r="AM138" s="591"/>
      <c r="AN138" s="591"/>
      <c r="AO138" s="591"/>
      <c r="AP138" s="591"/>
      <c r="AQ138" s="591"/>
      <c r="AS138" s="591"/>
      <c r="AT138" s="591"/>
      <c r="AU138" s="591"/>
      <c r="AV138" s="591"/>
      <c r="AW138" s="591"/>
      <c r="AY138" s="591"/>
    </row>
    <row r="139" spans="1:51" ht="15.75" hidden="1" customHeight="1" x14ac:dyDescent="0.2">
      <c r="A139" s="2"/>
      <c r="B139" s="2"/>
      <c r="C139" s="148">
        <v>1</v>
      </c>
      <c r="D139" s="148">
        <f>IF(I139=0,0,1)</f>
        <v>0</v>
      </c>
      <c r="E139" s="263" t="str">
        <f>IMPOSTAZIONI!B298</f>
        <v>--</v>
      </c>
      <c r="F139" s="2"/>
      <c r="G139" s="305">
        <f>VLOOKUP(E139,IMPOSTAZIONI!$B$298:$AK$304,$E$149,FALSE)</f>
        <v>0</v>
      </c>
      <c r="H139" s="306" t="str">
        <f>IF(G139&gt;0,IF(AND(ISERROR(HLOOKUP(E139,G$136:I$136,1,FALSE)),ISERROR(HLOOKUP(E139,G$1:N$1,1,FALSE))),E139,"OK"),"")</f>
        <v/>
      </c>
      <c r="I139" s="307">
        <f>IF(H139="OK",0,IF(H139="",0,1))</f>
        <v>0</v>
      </c>
      <c r="J139" s="263" t="e">
        <f>VLOOKUP(C139,$D$139:$H$148,5,FALSE)</f>
        <v>#N/A</v>
      </c>
      <c r="K139" s="263" t="e">
        <f>VLOOKUP(C140,$D$139:$H$148,5,FALSE)</f>
        <v>#N/A</v>
      </c>
      <c r="L139" s="263" t="e">
        <f>VLOOKUP(C141,$D$139:$H$148,5,FALSE)</f>
        <v>#N/A</v>
      </c>
      <c r="M139" s="2"/>
      <c r="N139" s="2"/>
      <c r="O139" s="2"/>
      <c r="P139" s="2"/>
      <c r="Q139" s="2"/>
      <c r="R139" s="2"/>
      <c r="S139" s="2"/>
      <c r="T139" s="2"/>
      <c r="U139" s="2"/>
      <c r="V139" s="591"/>
      <c r="W139" s="591"/>
      <c r="X139" s="591"/>
      <c r="Y139" s="591"/>
      <c r="Z139" s="591"/>
      <c r="AA139" s="591"/>
      <c r="AB139" s="591"/>
      <c r="AC139" s="591"/>
      <c r="AG139" s="591"/>
      <c r="AH139" s="591"/>
      <c r="AI139" s="591"/>
      <c r="AJ139" s="591"/>
      <c r="AK139" s="591"/>
      <c r="AM139" s="591"/>
      <c r="AN139" s="591"/>
      <c r="AO139" s="591"/>
      <c r="AP139" s="591"/>
      <c r="AQ139" s="591"/>
      <c r="AS139" s="591"/>
      <c r="AT139" s="591"/>
      <c r="AU139" s="591"/>
      <c r="AV139" s="591"/>
      <c r="AW139" s="591"/>
      <c r="AY139" s="591"/>
    </row>
    <row r="140" spans="1:51" ht="15.75" hidden="1" customHeight="1" x14ac:dyDescent="0.2">
      <c r="A140" s="2"/>
      <c r="B140" s="2"/>
      <c r="C140" s="148">
        <v>2</v>
      </c>
      <c r="D140" s="103">
        <f>IF(I140=0,0,COUNTIF(D$139:D139,"&gt;0")+1)</f>
        <v>0</v>
      </c>
      <c r="E140" s="263" t="str">
        <f>IMPOSTAZIONI!B299</f>
        <v>--</v>
      </c>
      <c r="F140" s="2"/>
      <c r="G140" s="305">
        <f>VLOOKUP(E140,IMPOSTAZIONI!$B$298:$AK$304,$E$149,FALSE)</f>
        <v>0</v>
      </c>
      <c r="H140" s="306" t="str">
        <f>IF(G140&gt;0,IF(AND(ISERROR(HLOOKUP(E140,G$136:I$136,1,FALSE)),ISERROR(HLOOKUP(E140,G$1:N$1,1,FALSE))),E140,"OK"),"")</f>
        <v/>
      </c>
      <c r="I140" s="307">
        <f t="shared" ref="I140:I148" si="35">IF(H140="OK",0,IF(H140="",0,1))</f>
        <v>0</v>
      </c>
      <c r="J140" s="267">
        <f>IF(ISERROR(J$139),0,HLOOKUP(J$139,IMPOSTAZIONI!$AB$183:$AH$187,3,FALSE))</f>
        <v>0</v>
      </c>
      <c r="K140" s="267">
        <f>IF(ISERROR(K$139),0,HLOOKUP(K$139,IMPOSTAZIONI!$AB$183:$AH$187,3,FALSE))</f>
        <v>0</v>
      </c>
      <c r="L140" s="268">
        <f>IF(ISERROR(L$139),0,HLOOKUP(L$139,IMPOSTAZIONI!$AB$183:$AH$187,3,FALSE))</f>
        <v>0</v>
      </c>
      <c r="M140" s="2"/>
      <c r="N140" s="2"/>
      <c r="O140" s="2"/>
      <c r="P140" s="2"/>
      <c r="Q140" s="2"/>
      <c r="R140" s="2"/>
      <c r="S140" s="2"/>
      <c r="T140" s="2"/>
      <c r="U140" s="2"/>
      <c r="V140" s="591"/>
      <c r="W140" s="591"/>
      <c r="X140" s="591"/>
      <c r="Y140" s="591"/>
      <c r="Z140" s="591"/>
      <c r="AA140" s="591"/>
      <c r="AB140" s="591"/>
      <c r="AC140" s="591"/>
      <c r="AG140" s="591"/>
      <c r="AH140" s="591"/>
      <c r="AI140" s="591"/>
      <c r="AJ140" s="591"/>
      <c r="AK140" s="591"/>
      <c r="AM140" s="591"/>
      <c r="AN140" s="591"/>
      <c r="AO140" s="591"/>
      <c r="AP140" s="591"/>
      <c r="AQ140" s="591"/>
      <c r="AS140" s="591"/>
      <c r="AT140" s="591"/>
      <c r="AU140" s="591"/>
      <c r="AV140" s="591"/>
      <c r="AW140" s="591"/>
      <c r="AY140" s="591"/>
    </row>
    <row r="141" spans="1:51" ht="15.75" hidden="1" customHeight="1" x14ac:dyDescent="0.2">
      <c r="A141" s="2"/>
      <c r="B141" s="2"/>
      <c r="C141" s="148">
        <v>3</v>
      </c>
      <c r="D141" s="103">
        <f>IF(I141=0,0,COUNTIF(D$139:D140,"&gt;0")+1)</f>
        <v>0</v>
      </c>
      <c r="E141" s="263" t="str">
        <f>IMPOSTAZIONI!B300</f>
        <v>--</v>
      </c>
      <c r="F141" s="2"/>
      <c r="G141" s="305">
        <f>VLOOKUP(E141,IMPOSTAZIONI!$B$298:$AK$304,$E$149,FALSE)</f>
        <v>0</v>
      </c>
      <c r="H141" s="306" t="str">
        <f>IF(G141&gt;0,IF(AND(ISERROR(HLOOKUP(E141,G$136:I$136,1,FALSE)),ISERROR(HLOOKUP(E141,G$1:N$1,1,FALSE))),E141,"OK"),"")</f>
        <v/>
      </c>
      <c r="I141" s="307">
        <f t="shared" si="35"/>
        <v>0</v>
      </c>
      <c r="J141" s="264">
        <f>IF(ISERROR(J$139),0,HLOOKUP(J$139,IMPOSTAZIONI!$AB$183:$AH$187,4,FALSE))</f>
        <v>0</v>
      </c>
      <c r="K141" s="264">
        <f>IF(ISERROR(K$139),0,HLOOKUP(K$139,IMPOSTAZIONI!$AB$183:$AH$187,4,FALSE))</f>
        <v>0</v>
      </c>
      <c r="L141" s="266">
        <f>IF(ISERROR(L$139),0,HLOOKUP(L$139,IMPOSTAZIONI!$AB$183:$AH$187,4,FALSE))</f>
        <v>0</v>
      </c>
      <c r="M141" s="2"/>
      <c r="N141" s="2"/>
      <c r="O141" s="2"/>
      <c r="P141" s="2"/>
      <c r="Q141" s="2"/>
      <c r="R141" s="2"/>
      <c r="S141" s="2"/>
      <c r="T141" s="2"/>
      <c r="U141" s="2"/>
      <c r="V141" s="591"/>
      <c r="W141" s="591"/>
      <c r="X141" s="591"/>
      <c r="Y141" s="591"/>
      <c r="Z141" s="591"/>
      <c r="AA141" s="591"/>
      <c r="AB141" s="591"/>
      <c r="AC141" s="591"/>
      <c r="AG141" s="591"/>
      <c r="AH141" s="591"/>
      <c r="AI141" s="591"/>
      <c r="AJ141" s="591"/>
      <c r="AK141" s="591"/>
      <c r="AM141" s="591"/>
      <c r="AN141" s="591"/>
      <c r="AO141" s="591"/>
      <c r="AP141" s="591"/>
      <c r="AQ141" s="591"/>
      <c r="AS141" s="591"/>
      <c r="AT141" s="591"/>
      <c r="AU141" s="591"/>
      <c r="AV141" s="591"/>
      <c r="AW141" s="591"/>
      <c r="AY141" s="591"/>
    </row>
    <row r="142" spans="1:51" ht="15.75" hidden="1" customHeight="1" x14ac:dyDescent="0.2">
      <c r="A142" s="2"/>
      <c r="B142" s="2"/>
      <c r="C142" s="103"/>
      <c r="D142" s="591"/>
      <c r="E142" s="591"/>
      <c r="F142" s="591"/>
      <c r="G142" s="591"/>
      <c r="H142" s="591"/>
      <c r="I142" s="591"/>
      <c r="J142" s="270">
        <f>IF(ISERROR(J$139),0,HLOOKUP(J$139,IMPOSTAZIONI!$AB$183:$AH$187,5,FALSE))</f>
        <v>0</v>
      </c>
      <c r="K142" s="270">
        <f>IF(ISERROR(K$139),0,HLOOKUP(K$139,IMPOSTAZIONI!$AB$183:$AH$187,5,FALSE))</f>
        <v>0</v>
      </c>
      <c r="L142" s="271">
        <f>IF(ISERROR(L$139),0,HLOOKUP(L$139,IMPOSTAZIONI!$AB$183:$AH$187,5,FALSE))</f>
        <v>0</v>
      </c>
      <c r="M142" s="2"/>
      <c r="N142" s="2"/>
      <c r="O142" s="2"/>
      <c r="P142" s="2"/>
      <c r="Q142" s="2"/>
      <c r="R142" s="2"/>
      <c r="S142" s="2"/>
      <c r="T142" s="2"/>
      <c r="U142" s="2"/>
      <c r="V142" s="591"/>
      <c r="W142" s="591"/>
      <c r="X142" s="591"/>
      <c r="Y142" s="591"/>
      <c r="Z142" s="591"/>
      <c r="AA142" s="591"/>
      <c r="AB142" s="591"/>
      <c r="AC142" s="591"/>
      <c r="AG142" s="591"/>
      <c r="AH142" s="591"/>
      <c r="AI142" s="591"/>
      <c r="AJ142" s="591"/>
      <c r="AK142" s="591"/>
      <c r="AM142" s="591"/>
      <c r="AN142" s="591"/>
      <c r="AO142" s="591"/>
      <c r="AP142" s="591"/>
      <c r="AQ142" s="591"/>
      <c r="AS142" s="591"/>
      <c r="AT142" s="591"/>
      <c r="AU142" s="591"/>
      <c r="AV142" s="591"/>
      <c r="AW142" s="591"/>
      <c r="AY142" s="591"/>
    </row>
    <row r="143" spans="1:51" ht="15.75" hidden="1" customHeight="1" x14ac:dyDescent="0.2">
      <c r="A143" s="2"/>
      <c r="B143" s="2"/>
      <c r="C143" s="103"/>
      <c r="D143" s="591"/>
      <c r="E143" s="591"/>
      <c r="F143" s="591"/>
      <c r="G143" s="591"/>
      <c r="H143" s="591"/>
      <c r="I143" s="591"/>
      <c r="J143" s="2"/>
      <c r="K143" s="2"/>
      <c r="L143" s="2"/>
      <c r="M143" s="2"/>
      <c r="N143" s="2"/>
      <c r="O143" s="2"/>
      <c r="P143" s="2"/>
      <c r="Q143" s="2"/>
      <c r="R143" s="2"/>
      <c r="S143" s="2"/>
      <c r="T143" s="2"/>
      <c r="U143" s="2"/>
      <c r="V143" s="591"/>
      <c r="W143" s="591"/>
      <c r="X143" s="591"/>
      <c r="Y143" s="591"/>
      <c r="Z143" s="591"/>
      <c r="AA143" s="591"/>
      <c r="AB143" s="591"/>
      <c r="AC143" s="591"/>
      <c r="AG143" s="591"/>
      <c r="AH143" s="591"/>
      <c r="AI143" s="591"/>
      <c r="AJ143" s="591"/>
      <c r="AK143" s="591"/>
      <c r="AM143" s="591"/>
      <c r="AN143" s="591"/>
      <c r="AO143" s="591"/>
      <c r="AP143" s="591"/>
      <c r="AQ143" s="591"/>
      <c r="AS143" s="591"/>
      <c r="AT143" s="591"/>
      <c r="AU143" s="591"/>
      <c r="AV143" s="591"/>
      <c r="AW143" s="591"/>
      <c r="AY143" s="591"/>
    </row>
    <row r="144" spans="1:51" ht="15.75" hidden="1" customHeight="1" x14ac:dyDescent="0.2">
      <c r="A144" s="2"/>
      <c r="B144" s="2"/>
      <c r="C144" s="103"/>
      <c r="D144" s="591"/>
      <c r="E144" s="591"/>
      <c r="F144" s="591"/>
      <c r="G144" s="591"/>
      <c r="H144" s="591"/>
      <c r="I144" s="591"/>
      <c r="J144" s="2"/>
      <c r="K144" s="2102" t="s">
        <v>543</v>
      </c>
      <c r="L144" s="2103"/>
      <c r="M144" s="1297" t="s">
        <v>198</v>
      </c>
      <c r="N144" s="1298" t="s">
        <v>202</v>
      </c>
      <c r="O144" s="1297" t="s">
        <v>199</v>
      </c>
      <c r="P144" s="1298" t="s">
        <v>203</v>
      </c>
      <c r="Q144" s="1297" t="s">
        <v>65</v>
      </c>
      <c r="R144" s="1298" t="s">
        <v>66</v>
      </c>
      <c r="S144" s="1297" t="s">
        <v>65</v>
      </c>
      <c r="T144" s="1298" t="s">
        <v>66</v>
      </c>
      <c r="U144" s="2"/>
      <c r="V144" s="591"/>
      <c r="W144" s="591"/>
      <c r="X144" s="591"/>
      <c r="Y144" s="591"/>
      <c r="Z144" s="591"/>
      <c r="AA144" s="591"/>
      <c r="AB144" s="591"/>
      <c r="AC144" s="591"/>
      <c r="AG144" s="591"/>
      <c r="AH144" s="591"/>
      <c r="AI144" s="591"/>
      <c r="AJ144" s="591"/>
      <c r="AK144" s="591"/>
      <c r="AM144" s="591"/>
      <c r="AN144" s="591"/>
      <c r="AO144" s="591"/>
      <c r="AP144" s="591"/>
      <c r="AQ144" s="591"/>
      <c r="AS144" s="591"/>
      <c r="AT144" s="591"/>
      <c r="AU144" s="591"/>
      <c r="AV144" s="591"/>
      <c r="AW144" s="591"/>
      <c r="AY144" s="591"/>
    </row>
    <row r="145" spans="1:51" ht="15.75" hidden="1" customHeight="1" x14ac:dyDescent="0.2">
      <c r="A145" s="2"/>
      <c r="B145" s="2"/>
      <c r="C145" s="103"/>
      <c r="D145" s="103">
        <f>IF(I145=0,0,COUNTIF(D$139:D144,"&gt;0")+1)</f>
        <v>0</v>
      </c>
      <c r="E145" s="263" t="str">
        <f>IMPOSTAZIONI!B301</f>
        <v>--</v>
      </c>
      <c r="F145" s="2"/>
      <c r="G145" s="305">
        <f>VLOOKUP(E145,IMPOSTAZIONI!$B$298:$AK$304,$E$149,FALSE)</f>
        <v>0</v>
      </c>
      <c r="H145" s="306" t="str">
        <f>IF(G145&gt;0,IF(AND(ISERROR(HLOOKUP(E145,G$136:I$136,1,FALSE)),ISERROR(HLOOKUP(E145,G$1:N$1,1,FALSE))),E145,"OK"),"")</f>
        <v/>
      </c>
      <c r="I145" s="307">
        <f t="shared" si="35"/>
        <v>0</v>
      </c>
      <c r="J145" s="2"/>
      <c r="K145" s="2102" t="s">
        <v>58</v>
      </c>
      <c r="L145" s="2103"/>
      <c r="M145" s="100" t="s">
        <v>198</v>
      </c>
      <c r="N145" s="1299" t="s">
        <v>202</v>
      </c>
      <c r="O145" s="100" t="s">
        <v>199</v>
      </c>
      <c r="P145" s="1299" t="s">
        <v>203</v>
      </c>
      <c r="Q145" s="100" t="s">
        <v>65</v>
      </c>
      <c r="R145" s="1299" t="s">
        <v>66</v>
      </c>
      <c r="S145" s="100" t="s">
        <v>65</v>
      </c>
      <c r="T145" s="1299" t="s">
        <v>66</v>
      </c>
      <c r="U145" s="2"/>
      <c r="V145" s="591"/>
      <c r="W145" s="591"/>
      <c r="X145" s="591"/>
      <c r="Y145" s="591"/>
      <c r="Z145" s="591"/>
      <c r="AA145" s="591"/>
      <c r="AB145" s="591"/>
      <c r="AC145" s="591"/>
      <c r="AG145" s="591"/>
      <c r="AH145" s="591"/>
      <c r="AI145" s="591"/>
      <c r="AJ145" s="591"/>
      <c r="AK145" s="591"/>
      <c r="AM145" s="591"/>
      <c r="AN145" s="591"/>
      <c r="AO145" s="591"/>
      <c r="AP145" s="591"/>
      <c r="AQ145" s="591"/>
      <c r="AS145" s="591"/>
      <c r="AT145" s="591"/>
      <c r="AU145" s="591"/>
      <c r="AV145" s="591"/>
      <c r="AW145" s="591"/>
      <c r="AY145" s="591"/>
    </row>
    <row r="146" spans="1:51" ht="15.75" hidden="1" customHeight="1" x14ac:dyDescent="0.2">
      <c r="A146" s="2"/>
      <c r="B146" s="2"/>
      <c r="C146" s="103"/>
      <c r="D146" s="103">
        <f>IF(I146=0,0,COUNTIF(D$139:D145,"&gt;0")+1)</f>
        <v>0</v>
      </c>
      <c r="E146" s="263" t="str">
        <f>IMPOSTAZIONI!B302</f>
        <v/>
      </c>
      <c r="F146" s="2"/>
      <c r="G146" s="305">
        <f>VLOOKUP(E146,IMPOSTAZIONI!$B$298:$AK$304,$E$149,FALSE)</f>
        <v>0</v>
      </c>
      <c r="H146" s="306" t="str">
        <f>IF(G146&gt;0,IF(AND(ISERROR(HLOOKUP(E146,G$136:I$136,1,FALSE)),ISERROR(HLOOKUP(E146,G$1:N$1,1,FALSE))),E146,"OK"),"")</f>
        <v/>
      </c>
      <c r="I146" s="307">
        <f t="shared" si="35"/>
        <v>0</v>
      </c>
      <c r="J146" s="2"/>
      <c r="K146" s="2102" t="s">
        <v>59</v>
      </c>
      <c r="L146" s="2103"/>
      <c r="M146" s="100" t="s">
        <v>198</v>
      </c>
      <c r="N146" s="1299" t="s">
        <v>62</v>
      </c>
      <c r="O146" s="100" t="s">
        <v>199</v>
      </c>
      <c r="P146" s="1299" t="s">
        <v>203</v>
      </c>
      <c r="Q146" s="100" t="s">
        <v>65</v>
      </c>
      <c r="R146" s="1299" t="s">
        <v>66</v>
      </c>
      <c r="S146" s="100" t="s">
        <v>65</v>
      </c>
      <c r="T146" s="1299" t="s">
        <v>66</v>
      </c>
      <c r="U146" s="2"/>
      <c r="V146" s="591"/>
      <c r="W146" s="591"/>
      <c r="X146" s="591"/>
      <c r="Y146" s="591"/>
      <c r="Z146" s="591"/>
      <c r="AA146" s="591"/>
      <c r="AB146" s="591"/>
      <c r="AC146" s="591"/>
      <c r="AG146" s="591"/>
      <c r="AH146" s="591"/>
      <c r="AI146" s="591"/>
      <c r="AJ146" s="591"/>
      <c r="AK146" s="591"/>
      <c r="AM146" s="591"/>
      <c r="AN146" s="591"/>
      <c r="AO146" s="591"/>
      <c r="AP146" s="591"/>
      <c r="AQ146" s="591"/>
      <c r="AS146" s="591"/>
      <c r="AT146" s="591"/>
      <c r="AU146" s="591"/>
      <c r="AV146" s="591"/>
      <c r="AW146" s="591"/>
      <c r="AY146" s="591"/>
    </row>
    <row r="147" spans="1:51" ht="15.75" hidden="1" customHeight="1" x14ac:dyDescent="0.2">
      <c r="A147" s="2"/>
      <c r="B147" s="2"/>
      <c r="C147" s="103"/>
      <c r="D147" s="103">
        <f>IF(I147=0,0,COUNTIF(D$139:D146,"&gt;0")+1)</f>
        <v>0</v>
      </c>
      <c r="E147" s="263" t="str">
        <f>IMPOSTAZIONI!B303</f>
        <v/>
      </c>
      <c r="F147" s="2"/>
      <c r="G147" s="305">
        <f>VLOOKUP(E147,IMPOSTAZIONI!$B$298:$AK$304,$E$149,FALSE)</f>
        <v>0</v>
      </c>
      <c r="H147" s="306" t="str">
        <f>IF(G147&gt;0,IF(AND(ISERROR(HLOOKUP(E147,G$136:I$136,1,FALSE)),ISERROR(HLOOKUP(E147,G$1:N$1,1,FALSE))),E147,"OK"),"")</f>
        <v/>
      </c>
      <c r="I147" s="307">
        <f t="shared" si="35"/>
        <v>0</v>
      </c>
      <c r="J147" s="2"/>
      <c r="K147" s="2102" t="s">
        <v>60</v>
      </c>
      <c r="L147" s="2103"/>
      <c r="M147" s="100" t="s">
        <v>199</v>
      </c>
      <c r="N147" s="1299" t="s">
        <v>203</v>
      </c>
      <c r="O147" s="100" t="s">
        <v>198</v>
      </c>
      <c r="P147" s="1299" t="s">
        <v>63</v>
      </c>
      <c r="Q147" s="100" t="s">
        <v>67</v>
      </c>
      <c r="R147" s="1299" t="s">
        <v>68</v>
      </c>
      <c r="S147" s="100" t="s">
        <v>67</v>
      </c>
      <c r="T147" s="1299" t="s">
        <v>68</v>
      </c>
      <c r="U147" s="2"/>
      <c r="V147" s="591"/>
      <c r="W147" s="591"/>
      <c r="X147" s="591"/>
      <c r="Y147" s="591"/>
      <c r="Z147" s="591"/>
      <c r="AA147" s="591"/>
      <c r="AB147" s="591"/>
      <c r="AC147" s="591"/>
      <c r="AG147" s="591"/>
      <c r="AH147" s="591"/>
      <c r="AI147" s="591"/>
      <c r="AJ147" s="591"/>
      <c r="AK147" s="591"/>
      <c r="AM147" s="591"/>
      <c r="AN147" s="591"/>
      <c r="AO147" s="591"/>
      <c r="AP147" s="591"/>
      <c r="AQ147" s="591"/>
      <c r="AS147" s="591"/>
      <c r="AT147" s="591"/>
      <c r="AU147" s="591"/>
      <c r="AV147" s="591"/>
      <c r="AW147" s="591"/>
      <c r="AY147" s="591"/>
    </row>
    <row r="148" spans="1:51" ht="15.75" hidden="1" customHeight="1" x14ac:dyDescent="0.2">
      <c r="A148" s="2"/>
      <c r="B148" s="2"/>
      <c r="C148" s="103"/>
      <c r="D148" s="103">
        <f>IF(I148=0,0,COUNTIF(D$139:D147,"&gt;0")+1)</f>
        <v>0</v>
      </c>
      <c r="E148" s="263" t="str">
        <f>IMPOSTAZIONI!B304</f>
        <v/>
      </c>
      <c r="F148" s="2"/>
      <c r="G148" s="305">
        <f>VLOOKUP(E148,IMPOSTAZIONI!$B$298:$AK$304,$E$149,FALSE)</f>
        <v>0</v>
      </c>
      <c r="H148" s="306" t="str">
        <f>IF(G148&gt;0,IF(AND(ISERROR(HLOOKUP(E148,G$136:I$136,1,FALSE)),ISERROR(HLOOKUP(E148,G$1:N$1,1,FALSE))),E148,"OK"),"")</f>
        <v/>
      </c>
      <c r="I148" s="307">
        <f t="shared" si="35"/>
        <v>0</v>
      </c>
      <c r="J148" s="2"/>
      <c r="K148" s="2102" t="s">
        <v>61</v>
      </c>
      <c r="L148" s="2103"/>
      <c r="M148" s="100" t="s">
        <v>195</v>
      </c>
      <c r="N148" s="1301" t="s">
        <v>64</v>
      </c>
      <c r="O148" s="1300" t="s">
        <v>195</v>
      </c>
      <c r="P148" s="1301" t="s">
        <v>64</v>
      </c>
      <c r="Q148" s="1300" t="s">
        <v>69</v>
      </c>
      <c r="R148" s="1301"/>
      <c r="S148" s="1300" t="s">
        <v>70</v>
      </c>
      <c r="T148" s="1301"/>
      <c r="U148" s="2"/>
      <c r="V148" s="591"/>
      <c r="W148" s="591"/>
      <c r="X148" s="591"/>
      <c r="Y148" s="591"/>
      <c r="Z148" s="591"/>
      <c r="AA148" s="591"/>
      <c r="AB148" s="591"/>
      <c r="AC148" s="591"/>
      <c r="AG148" s="591"/>
      <c r="AH148" s="591"/>
      <c r="AI148" s="591"/>
      <c r="AJ148" s="591"/>
      <c r="AK148" s="591"/>
      <c r="AM148" s="591"/>
      <c r="AN148" s="591"/>
      <c r="AO148" s="591"/>
      <c r="AP148" s="591"/>
      <c r="AQ148" s="591"/>
      <c r="AS148" s="591"/>
      <c r="AT148" s="591"/>
      <c r="AU148" s="591"/>
      <c r="AV148" s="591"/>
      <c r="AW148" s="591"/>
      <c r="AY148" s="591"/>
    </row>
    <row r="149" spans="1:51" ht="15.75" hidden="1" customHeight="1" x14ac:dyDescent="0.2">
      <c r="A149" s="2"/>
      <c r="B149" s="2"/>
      <c r="C149" s="2"/>
      <c r="D149" s="2"/>
      <c r="E149" s="306">
        <v>27</v>
      </c>
      <c r="F149" s="2"/>
      <c r="G149" s="306" t="str">
        <f>IF(MAX(D139:D148)&gt;C141,K132,"")</f>
        <v/>
      </c>
      <c r="H149" s="308">
        <f>IF((MAX(D139:D148)+3-E135)&gt;3,K132,MAX(D139:D148))</f>
        <v>0</v>
      </c>
      <c r="I149" s="273"/>
      <c r="J149" s="2"/>
      <c r="K149" s="2099"/>
      <c r="L149" s="2099"/>
      <c r="M149" s="1302"/>
      <c r="N149" s="1302"/>
      <c r="O149" s="2"/>
      <c r="P149" s="2"/>
      <c r="Q149" s="2"/>
      <c r="R149" s="2"/>
      <c r="S149" s="2"/>
      <c r="T149" s="2"/>
      <c r="U149" s="2"/>
      <c r="V149" s="591"/>
      <c r="W149" s="591"/>
      <c r="X149" s="591"/>
      <c r="Y149" s="591"/>
      <c r="Z149" s="591"/>
      <c r="AA149" s="591"/>
      <c r="AB149" s="591"/>
      <c r="AC149" s="591"/>
      <c r="AG149" s="591"/>
      <c r="AH149" s="591"/>
      <c r="AI149" s="591"/>
      <c r="AJ149" s="591"/>
      <c r="AK149" s="591"/>
      <c r="AM149" s="591"/>
      <c r="AN149" s="591"/>
      <c r="AO149" s="591"/>
      <c r="AP149" s="591"/>
      <c r="AQ149" s="591"/>
      <c r="AS149" s="591"/>
      <c r="AT149" s="591"/>
      <c r="AU149" s="591"/>
      <c r="AV149" s="591"/>
      <c r="AW149" s="591"/>
      <c r="AY149" s="591"/>
    </row>
    <row r="150" spans="1:51" ht="21" hidden="1" customHeight="1" x14ac:dyDescent="0.2">
      <c r="A150" s="2"/>
      <c r="B150" s="2"/>
      <c r="C150" s="2"/>
      <c r="D150" s="2"/>
      <c r="E150" s="807">
        <f>VLOOKUP(E3,STORICO!C153:AO197,39,FALSE)</f>
        <v>0</v>
      </c>
      <c r="F150" s="2"/>
      <c r="G150" s="1211">
        <f>IF(AND(G152&gt;0,OR(G99&lt;&gt;"OK",G105&lt;&gt;"OK")),1,0)</f>
        <v>0</v>
      </c>
      <c r="H150" s="1211">
        <f>IF(AND(H152&gt;0,OR(H99&lt;&gt;"OK",H105&lt;&gt;"OK")),1,0)</f>
        <v>0</v>
      </c>
      <c r="I150" s="1211">
        <f>IF(AND(I152&gt;0,OR(K99&lt;&gt;"OK",K105&lt;&gt;"OK")),1,0)</f>
        <v>0</v>
      </c>
      <c r="J150" s="1211">
        <f>IF(AND(J152&gt;0,OR(N99&lt;&gt;"OK",N105&lt;&gt;"OK")),1,0)</f>
        <v>0</v>
      </c>
      <c r="K150" s="2"/>
      <c r="L150" s="2"/>
      <c r="M150" s="2"/>
      <c r="N150" s="2"/>
      <c r="O150" s="2"/>
      <c r="P150" s="2"/>
      <c r="Q150" s="2"/>
      <c r="R150" s="2"/>
      <c r="S150" s="2"/>
      <c r="T150" s="2"/>
      <c r="U150" s="2"/>
      <c r="V150" s="591"/>
      <c r="W150" s="591"/>
      <c r="X150" s="591"/>
      <c r="Y150" s="591"/>
      <c r="Z150" s="591"/>
      <c r="AA150" s="591"/>
      <c r="AB150" s="591"/>
      <c r="AC150" s="591"/>
      <c r="AG150" s="591"/>
      <c r="AH150" s="591"/>
      <c r="AI150" s="591"/>
      <c r="AJ150" s="591"/>
      <c r="AK150" s="591"/>
      <c r="AM150" s="591"/>
      <c r="AN150" s="591"/>
      <c r="AO150" s="591"/>
      <c r="AP150" s="591"/>
      <c r="AQ150" s="591"/>
      <c r="AS150" s="591"/>
      <c r="AT150" s="591"/>
      <c r="AU150" s="591"/>
      <c r="AV150" s="591"/>
      <c r="AW150" s="591"/>
      <c r="AY150" s="591"/>
    </row>
    <row r="151" spans="1:51" ht="21" hidden="1" customHeight="1" x14ac:dyDescent="0.2">
      <c r="A151" s="2"/>
      <c r="B151" s="2"/>
      <c r="C151" s="2"/>
      <c r="D151" s="2"/>
      <c r="E151" s="2"/>
      <c r="F151" s="2"/>
      <c r="G151" s="1212" t="str">
        <f>IMPOSTAZIONI!Y382</f>
        <v>Hai delle colonne ALIQUOTE DIVERSE che DEVI SCORPORARE manualmente qui.</v>
      </c>
      <c r="H151" s="1212"/>
      <c r="I151" s="1212"/>
      <c r="J151" s="1212"/>
      <c r="K151" s="1213"/>
      <c r="L151" s="1213"/>
      <c r="M151" s="1213"/>
      <c r="N151" s="1213"/>
      <c r="O151" s="688"/>
      <c r="P151" s="688"/>
      <c r="Q151" s="688"/>
      <c r="R151" s="99"/>
      <c r="S151" s="1306"/>
      <c r="T151" s="591"/>
      <c r="U151" s="591"/>
      <c r="V151" s="591"/>
      <c r="W151" s="591"/>
      <c r="X151" s="591"/>
      <c r="Y151" s="591"/>
      <c r="Z151" s="591"/>
      <c r="AA151" s="591"/>
      <c r="AB151" s="591"/>
      <c r="AC151" s="591"/>
      <c r="AG151" s="591"/>
      <c r="AH151" s="591"/>
      <c r="AI151" s="591"/>
      <c r="AJ151" s="591"/>
      <c r="AK151" s="591"/>
      <c r="AM151" s="591"/>
      <c r="AN151" s="591"/>
      <c r="AO151" s="591"/>
      <c r="AP151" s="591"/>
      <c r="AQ151" s="591"/>
      <c r="AS151" s="591"/>
      <c r="AT151" s="591"/>
      <c r="AU151" s="591"/>
      <c r="AV151" s="591"/>
      <c r="AW151" s="591"/>
      <c r="AY151" s="591"/>
    </row>
    <row r="152" spans="1:51" ht="21" hidden="1" customHeight="1" x14ac:dyDescent="0.2">
      <c r="A152" s="2"/>
      <c r="B152" s="2"/>
      <c r="C152" s="2"/>
      <c r="D152" s="2"/>
      <c r="E152" s="92" t="str">
        <f>IMPOSTAZIONI!J383</f>
        <v>INSERISCI</v>
      </c>
      <c r="F152" s="2"/>
      <c r="G152" s="86">
        <f>IF(G46=0,0,IF(AND(G62&lt;&gt;$L134,G155="X"),1,0))</f>
        <v>0</v>
      </c>
      <c r="H152" s="87">
        <f>IF(H46=0,0,IF(AND(H62&lt;&gt;$L134,H155="X"),1,0))</f>
        <v>0</v>
      </c>
      <c r="I152" s="87">
        <f>IF(K46=0,0,IF(AND(K62&lt;&gt;$L134,I155="X"),1,0))</f>
        <v>0</v>
      </c>
      <c r="J152" s="88">
        <f>IF(N46=0,0,IF(AND(N62&lt;&gt;$L134,J155="X"),1,0))</f>
        <v>0</v>
      </c>
      <c r="K152" s="100" t="str">
        <f>IMPOSTAZIONI!M383</f>
        <v>VERIFICA</v>
      </c>
      <c r="L152" s="92" t="str">
        <f>IMPOSTAZIONI!P383</f>
        <v>CANCELLA</v>
      </c>
      <c r="M152" s="2"/>
      <c r="N152" s="2"/>
      <c r="O152" s="2"/>
      <c r="P152" s="2"/>
      <c r="Q152" s="2"/>
      <c r="R152" s="2"/>
      <c r="S152" s="591"/>
      <c r="T152" s="591"/>
      <c r="U152" s="591"/>
      <c r="V152" s="591"/>
      <c r="W152" s="591"/>
      <c r="X152" s="591"/>
      <c r="Y152" s="591"/>
      <c r="Z152" s="591"/>
      <c r="AA152" s="591"/>
      <c r="AB152" s="591"/>
      <c r="AC152" s="591"/>
      <c r="AG152" s="591"/>
      <c r="AH152" s="591"/>
      <c r="AI152" s="591"/>
      <c r="AJ152" s="591"/>
      <c r="AK152" s="591"/>
      <c r="AM152" s="591"/>
      <c r="AN152" s="591"/>
      <c r="AO152" s="591"/>
      <c r="AP152" s="591"/>
      <c r="AQ152" s="591"/>
      <c r="AS152" s="591"/>
      <c r="AT152" s="591"/>
      <c r="AU152" s="591"/>
      <c r="AV152" s="591"/>
      <c r="AW152" s="591"/>
      <c r="AY152" s="591"/>
    </row>
    <row r="153" spans="1:51" hidden="1" x14ac:dyDescent="0.2">
      <c r="A153" s="2"/>
      <c r="B153" s="2"/>
      <c r="C153" s="2"/>
      <c r="D153" s="2"/>
      <c r="E153" s="2"/>
      <c r="F153" s="2"/>
      <c r="G153" s="756">
        <f>G46</f>
        <v>0</v>
      </c>
      <c r="H153" s="757">
        <f>H46</f>
        <v>0</v>
      </c>
      <c r="I153" s="757">
        <f>K46</f>
        <v>0</v>
      </c>
      <c r="J153" s="758">
        <f>N46</f>
        <v>0</v>
      </c>
      <c r="K153" s="2"/>
      <c r="L153" s="2"/>
      <c r="M153" s="2"/>
      <c r="N153" s="2"/>
      <c r="O153" s="2"/>
      <c r="P153" s="2"/>
      <c r="Q153" s="2"/>
      <c r="R153" s="2"/>
      <c r="S153" s="591"/>
      <c r="T153" s="591"/>
      <c r="U153" s="591"/>
      <c r="V153" s="591"/>
      <c r="W153" s="591"/>
      <c r="X153" s="591"/>
      <c r="Y153" s="591"/>
      <c r="Z153" s="591"/>
      <c r="AA153" s="591"/>
      <c r="AB153" s="591"/>
      <c r="AC153" s="591"/>
      <c r="AG153" s="591"/>
      <c r="AH153" s="591"/>
      <c r="AI153" s="591"/>
      <c r="AJ153" s="591"/>
      <c r="AK153" s="591"/>
      <c r="AM153" s="591"/>
      <c r="AN153" s="591"/>
      <c r="AO153" s="591"/>
      <c r="AP153" s="591"/>
      <c r="AQ153" s="591"/>
      <c r="AS153" s="591"/>
      <c r="AT153" s="591"/>
      <c r="AU153" s="591"/>
      <c r="AV153" s="591"/>
      <c r="AW153" s="591"/>
      <c r="AY153" s="591"/>
    </row>
    <row r="154" spans="1:51" ht="16.5" hidden="1" customHeight="1" x14ac:dyDescent="0.2">
      <c r="A154" s="2"/>
      <c r="B154" s="2"/>
      <c r="C154" s="2"/>
      <c r="D154" s="2"/>
      <c r="E154" s="2"/>
      <c r="F154" s="2"/>
      <c r="G154" s="756">
        <f>G48</f>
        <v>0</v>
      </c>
      <c r="H154" s="757">
        <f>H48</f>
        <v>0</v>
      </c>
      <c r="I154" s="757">
        <f>K48</f>
        <v>0</v>
      </c>
      <c r="J154" s="758">
        <f>N48</f>
        <v>0</v>
      </c>
      <c r="K154" s="2"/>
      <c r="L154" s="2"/>
      <c r="M154" s="2"/>
      <c r="N154" s="2"/>
      <c r="O154" s="2"/>
      <c r="P154" s="2"/>
      <c r="Q154" s="2"/>
      <c r="R154" s="2"/>
      <c r="S154" s="591"/>
      <c r="T154" s="591"/>
      <c r="U154" s="591"/>
      <c r="V154" s="591"/>
      <c r="W154" s="591"/>
      <c r="X154" s="591"/>
      <c r="Y154" s="591"/>
      <c r="Z154" s="591"/>
      <c r="AA154" s="591"/>
      <c r="AB154" s="591"/>
      <c r="AC154" s="591"/>
      <c r="AG154" s="591"/>
      <c r="AH154" s="591"/>
      <c r="AI154" s="591"/>
      <c r="AJ154" s="591"/>
      <c r="AK154" s="591"/>
      <c r="AM154" s="591"/>
      <c r="AN154" s="591"/>
      <c r="AO154" s="591"/>
      <c r="AP154" s="591"/>
      <c r="AQ154" s="591"/>
      <c r="AS154" s="591"/>
      <c r="AT154" s="591"/>
      <c r="AU154" s="591"/>
      <c r="AV154" s="591"/>
      <c r="AW154" s="591"/>
      <c r="AY154" s="591"/>
    </row>
    <row r="155" spans="1:51" ht="15" hidden="1" customHeight="1" x14ac:dyDescent="0.2">
      <c r="A155" s="2"/>
      <c r="B155" s="2"/>
      <c r="C155" s="2"/>
      <c r="D155" s="2"/>
      <c r="E155" s="2"/>
      <c r="F155" s="2"/>
      <c r="G155" s="753">
        <f>IF(G156="",0,VLOOKUP(G156,IMPOSTAZIONI!$R$131:$AD$145,13,FALSE))</f>
        <v>0</v>
      </c>
      <c r="H155" s="754">
        <f>IF(H156="",0,VLOOKUP(H156,IMPOSTAZIONI!$R$131:$AD$145,13,FALSE))</f>
        <v>0</v>
      </c>
      <c r="I155" s="754">
        <f>IF(I156="",0,VLOOKUP(I156,IMPOSTAZIONI!$R$131:$AD$145,13,FALSE))</f>
        <v>0</v>
      </c>
      <c r="J155" s="755">
        <f>IF(J156="",0,VLOOKUP(J156,IMPOSTAZIONI!$R$131:$AD$145,13,FALSE))</f>
        <v>0</v>
      </c>
      <c r="K155" s="2"/>
      <c r="L155" s="2"/>
      <c r="M155" s="2"/>
      <c r="N155" s="2"/>
      <c r="O155" s="2"/>
      <c r="P155" s="2"/>
      <c r="Q155" s="2"/>
      <c r="R155" s="2"/>
      <c r="S155" s="591"/>
      <c r="T155" s="591"/>
      <c r="U155" s="591"/>
      <c r="V155" s="591"/>
      <c r="W155" s="591"/>
      <c r="X155" s="591"/>
      <c r="Y155" s="591"/>
      <c r="Z155" s="591"/>
      <c r="AA155" s="591"/>
      <c r="AB155" s="591"/>
      <c r="AC155" s="591"/>
      <c r="AG155" s="591"/>
      <c r="AH155" s="591"/>
      <c r="AI155" s="591"/>
      <c r="AJ155" s="591"/>
      <c r="AK155" s="591"/>
      <c r="AM155" s="591"/>
      <c r="AN155" s="591"/>
      <c r="AO155" s="591"/>
      <c r="AP155" s="591"/>
      <c r="AQ155" s="591"/>
      <c r="AS155" s="591"/>
      <c r="AT155" s="591"/>
      <c r="AU155" s="591"/>
      <c r="AV155" s="591"/>
      <c r="AW155" s="591"/>
      <c r="AY155" s="591"/>
    </row>
    <row r="156" spans="1:51" ht="15" hidden="1" customHeight="1" x14ac:dyDescent="0.2">
      <c r="A156" s="2"/>
      <c r="B156" s="2"/>
      <c r="C156" s="2"/>
      <c r="D156" s="2"/>
      <c r="E156" s="2"/>
      <c r="F156" s="56"/>
      <c r="G156" s="752" t="str">
        <f>IMPOSTAZIONI!F218</f>
        <v/>
      </c>
      <c r="H156" s="752" t="str">
        <f>IMPOSTAZIONI!K218</f>
        <v/>
      </c>
      <c r="I156" s="752" t="str">
        <f>IMPOSTAZIONI!P218</f>
        <v/>
      </c>
      <c r="J156" s="752" t="str">
        <f>IMPOSTAZIONI!U218</f>
        <v/>
      </c>
      <c r="K156" s="2100" t="s">
        <v>195</v>
      </c>
      <c r="L156" s="2100"/>
      <c r="M156" s="2"/>
      <c r="N156" s="2"/>
      <c r="O156" s="2"/>
      <c r="P156" s="2"/>
      <c r="Q156" s="2"/>
      <c r="R156" s="2"/>
      <c r="S156" s="591"/>
      <c r="T156" s="591"/>
      <c r="U156" s="591"/>
      <c r="V156" s="591"/>
      <c r="W156" s="591"/>
      <c r="X156" s="591"/>
      <c r="Y156" s="591"/>
      <c r="Z156" s="591"/>
      <c r="AA156" s="591"/>
      <c r="AB156" s="591"/>
      <c r="AC156" s="591"/>
      <c r="AG156" s="591"/>
      <c r="AH156" s="591"/>
      <c r="AI156" s="591"/>
      <c r="AJ156" s="591"/>
      <c r="AK156" s="591"/>
      <c r="AM156" s="591"/>
      <c r="AN156" s="591"/>
      <c r="AO156" s="591"/>
      <c r="AP156" s="591"/>
      <c r="AQ156" s="591"/>
      <c r="AS156" s="591"/>
      <c r="AT156" s="591"/>
      <c r="AU156" s="591"/>
      <c r="AV156" s="591"/>
      <c r="AW156" s="591"/>
      <c r="AY156" s="591"/>
    </row>
    <row r="157" spans="1:51" ht="15" hidden="1" customHeight="1" x14ac:dyDescent="0.2">
      <c r="A157" s="2"/>
      <c r="B157" s="2"/>
      <c r="C157" s="2"/>
      <c r="D157" s="2"/>
      <c r="E157" s="288" t="str">
        <f>IMPOSTAZIONI!B321</f>
        <v>SC</v>
      </c>
      <c r="F157" s="56"/>
      <c r="G157" s="288" t="str">
        <f>IF(MID(G1,7,2)="",$E157,MID(G1,7,2))</f>
        <v>SC</v>
      </c>
      <c r="H157" s="288" t="str">
        <f>IF(MID(H1,7,2)="",$E157,MID(H1,7,2))</f>
        <v>SC</v>
      </c>
      <c r="I157" s="288" t="str">
        <f>IF(MID(K1,7,2)="",$E157,MID(K1,7,2))</f>
        <v>SC</v>
      </c>
      <c r="J157" s="288" t="str">
        <f>IF(MID(N1,7,2)="",$E157,MID(N1,7,2))</f>
        <v>SC</v>
      </c>
      <c r="K157" s="2100" t="str">
        <f>IMPOSTAZIONI!AH7</f>
        <v>Categoria</v>
      </c>
      <c r="L157" s="2100"/>
      <c r="M157" s="2"/>
      <c r="N157" s="2"/>
      <c r="O157" s="2"/>
      <c r="P157" s="2"/>
      <c r="Q157" s="2"/>
      <c r="R157" s="2"/>
      <c r="S157" s="591"/>
      <c r="T157" s="591"/>
      <c r="U157" s="591"/>
      <c r="V157" s="591"/>
      <c r="W157" s="591"/>
      <c r="X157" s="591"/>
      <c r="Y157" s="591"/>
      <c r="Z157" s="591"/>
      <c r="AA157" s="591"/>
      <c r="AB157" s="591"/>
      <c r="AC157" s="591"/>
      <c r="AG157" s="591"/>
      <c r="AH157" s="591"/>
      <c r="AI157" s="591"/>
      <c r="AJ157" s="591"/>
      <c r="AK157" s="591"/>
      <c r="AM157" s="591"/>
      <c r="AN157" s="591"/>
      <c r="AO157" s="591"/>
      <c r="AP157" s="591"/>
      <c r="AQ157" s="591"/>
      <c r="AS157" s="591"/>
      <c r="AT157" s="591"/>
      <c r="AU157" s="591"/>
      <c r="AV157" s="591"/>
      <c r="AW157" s="591"/>
      <c r="AY157" s="591"/>
    </row>
    <row r="158" spans="1:51" ht="15" hidden="1" customHeight="1" x14ac:dyDescent="0.2">
      <c r="A158" s="2"/>
      <c r="B158" s="2"/>
      <c r="C158" s="2"/>
      <c r="D158" s="2"/>
      <c r="E158" s="288" t="str">
        <f>IMPOSTAZIONI!B351</f>
        <v>%</v>
      </c>
      <c r="F158" s="56"/>
      <c r="G158" s="288" t="str">
        <f>IF(OR(G155&gt;0,G155="X"),$E158,IF(G156="","",MID(G1,4,2)))</f>
        <v/>
      </c>
      <c r="H158" s="288" t="str">
        <f>IF(OR(H155&gt;0,H155="X"),$E158,IF(H156="","",MID(H1,4,2)))</f>
        <v/>
      </c>
      <c r="I158" s="288" t="str">
        <f>IF(OR(I155&gt;0,I155="X"),$E158,IF(I156="","",MID(K1,4,2)))</f>
        <v/>
      </c>
      <c r="J158" s="288" t="str">
        <f>IF(OR(J155&gt;0,J155="X"),$E158,IF(J156="","",MID(N1,4,2)))</f>
        <v/>
      </c>
      <c r="K158" s="2100" t="str">
        <f>IMPOSTAZIONI!B337</f>
        <v>NO IVA</v>
      </c>
      <c r="L158" s="2100"/>
      <c r="M158" s="2"/>
      <c r="N158" s="2"/>
      <c r="O158" s="2"/>
      <c r="P158" s="2"/>
      <c r="Q158" s="2"/>
      <c r="R158" s="2"/>
      <c r="S158" s="591"/>
      <c r="T158" s="591"/>
      <c r="U158" s="591"/>
      <c r="V158" s="591"/>
      <c r="W158" s="591"/>
      <c r="X158" s="591"/>
      <c r="Y158" s="591"/>
      <c r="Z158" s="591"/>
      <c r="AA158" s="591"/>
      <c r="AB158" s="591"/>
      <c r="AC158" s="591"/>
      <c r="AG158" s="591"/>
      <c r="AH158" s="591"/>
      <c r="AI158" s="591"/>
      <c r="AJ158" s="591"/>
      <c r="AK158" s="591"/>
      <c r="AM158" s="591"/>
      <c r="AN158" s="591"/>
      <c r="AO158" s="591"/>
      <c r="AP158" s="591"/>
      <c r="AQ158" s="591"/>
      <c r="AS158" s="591"/>
      <c r="AT158" s="591"/>
      <c r="AU158" s="591"/>
      <c r="AV158" s="591"/>
      <c r="AW158" s="591"/>
      <c r="AY158" s="591"/>
    </row>
    <row r="159" spans="1:51" ht="15" hidden="1" customHeight="1" x14ac:dyDescent="0.2">
      <c r="A159" s="2"/>
      <c r="B159" s="2"/>
      <c r="C159" s="2"/>
      <c r="D159" s="2"/>
      <c r="E159" s="288"/>
      <c r="F159" s="56"/>
      <c r="G159" s="376" t="str">
        <f>MID(G1,1,2)</f>
        <v>--</v>
      </c>
      <c r="H159" s="376" t="str">
        <f>MID(H1,1,2)</f>
        <v>--</v>
      </c>
      <c r="I159" s="376" t="str">
        <f>MID(K1,1,2)</f>
        <v>--</v>
      </c>
      <c r="J159" s="376" t="str">
        <f>MID(N1,1,2)</f>
        <v>--</v>
      </c>
      <c r="K159" s="2100" t="str">
        <f>IMPOSTAZIONI!B354</f>
        <v>TIPO</v>
      </c>
      <c r="L159" s="2100"/>
      <c r="M159" s="2"/>
      <c r="N159" s="2"/>
      <c r="O159" s="2"/>
      <c r="P159" s="2"/>
      <c r="Q159" s="2"/>
      <c r="R159" s="2"/>
      <c r="S159" s="591"/>
      <c r="T159" s="591"/>
      <c r="U159" s="591"/>
      <c r="V159" s="591"/>
      <c r="W159" s="591"/>
      <c r="X159" s="591"/>
      <c r="Y159" s="591"/>
      <c r="Z159" s="591"/>
      <c r="AA159" s="591"/>
      <c r="AB159" s="591"/>
      <c r="AC159" s="591"/>
      <c r="AG159" s="591"/>
      <c r="AH159" s="591"/>
      <c r="AI159" s="591"/>
      <c r="AJ159" s="591"/>
      <c r="AK159" s="591"/>
      <c r="AM159" s="591"/>
      <c r="AN159" s="591"/>
      <c r="AO159" s="591"/>
      <c r="AP159" s="591"/>
      <c r="AQ159" s="591"/>
      <c r="AS159" s="591"/>
      <c r="AT159" s="591"/>
      <c r="AU159" s="591"/>
      <c r="AV159" s="591"/>
      <c r="AW159" s="591"/>
      <c r="AY159" s="591"/>
    </row>
    <row r="160" spans="1:51" ht="15" hidden="1" customHeight="1" x14ac:dyDescent="0.2">
      <c r="A160" s="2"/>
      <c r="B160" s="2"/>
      <c r="C160" s="2"/>
      <c r="D160" s="2"/>
      <c r="E160" s="288"/>
      <c r="F160" s="56"/>
      <c r="G160" s="951">
        <f>SUM(G101:G104)</f>
        <v>0</v>
      </c>
      <c r="H160" s="377">
        <f>SUM(H101:H104)</f>
        <v>0</v>
      </c>
      <c r="I160" s="377">
        <f>SUM(K101:K104)</f>
        <v>0</v>
      </c>
      <c r="J160" s="377">
        <f>SUM(N101:N104)</f>
        <v>0</v>
      </c>
      <c r="K160" s="2107" t="s">
        <v>529</v>
      </c>
      <c r="L160" s="2107"/>
      <c r="M160" s="14"/>
      <c r="N160" s="14"/>
      <c r="O160" s="14"/>
      <c r="P160" s="14"/>
      <c r="Q160" s="14"/>
      <c r="R160" s="2"/>
      <c r="S160" s="591"/>
      <c r="T160" s="591"/>
      <c r="U160" s="591"/>
      <c r="V160" s="591"/>
      <c r="W160" s="591"/>
      <c r="X160" s="591"/>
      <c r="Y160" s="591"/>
      <c r="Z160" s="591"/>
      <c r="AA160" s="591"/>
      <c r="AB160" s="591"/>
      <c r="AC160" s="591"/>
      <c r="AG160" s="591"/>
      <c r="AH160" s="591"/>
      <c r="AI160" s="591"/>
      <c r="AJ160" s="591"/>
      <c r="AK160" s="591"/>
      <c r="AM160" s="591"/>
      <c r="AN160" s="591"/>
      <c r="AO160" s="591"/>
      <c r="AP160" s="591"/>
      <c r="AQ160" s="591"/>
      <c r="AS160" s="591"/>
      <c r="AT160" s="591"/>
      <c r="AU160" s="591"/>
      <c r="AV160" s="591"/>
      <c r="AW160" s="591"/>
      <c r="AY160" s="591"/>
    </row>
    <row r="161" spans="1:51" ht="15" hidden="1" customHeight="1" x14ac:dyDescent="0.2">
      <c r="A161" s="2"/>
      <c r="B161" s="2"/>
      <c r="C161" s="2"/>
      <c r="D161" s="2"/>
      <c r="E161" s="72"/>
      <c r="F161" s="2"/>
      <c r="G161" s="950">
        <f>IF(AND(G42=$K134,G62=$L135),G48,0)</f>
        <v>0</v>
      </c>
      <c r="H161" s="950">
        <f>IF(AND(H42=$K134,H62=$L135),H48,0)</f>
        <v>0</v>
      </c>
      <c r="I161" s="950">
        <f>IF(AND(K42=$K134,K62=$L135),K48,0)</f>
        <v>0</v>
      </c>
      <c r="J161" s="950">
        <f>IF(AND(N42=$K134,N62=$L135),N48,0)</f>
        <v>0</v>
      </c>
      <c r="K161" s="211"/>
      <c r="L161" s="211"/>
      <c r="M161" s="211"/>
      <c r="N161" s="211"/>
      <c r="O161" s="211"/>
      <c r="P161" s="211"/>
      <c r="Q161" s="211"/>
      <c r="R161" s="2"/>
      <c r="S161" s="591"/>
      <c r="T161" s="591"/>
      <c r="U161" s="591"/>
      <c r="V161" s="591"/>
      <c r="W161" s="591"/>
      <c r="X161" s="591"/>
      <c r="Y161" s="591"/>
      <c r="Z161" s="591"/>
      <c r="AA161" s="591"/>
      <c r="AB161" s="591"/>
      <c r="AC161" s="591"/>
      <c r="AG161" s="591"/>
      <c r="AH161" s="591"/>
      <c r="AI161" s="591"/>
      <c r="AJ161" s="591"/>
      <c r="AK161" s="591"/>
      <c r="AM161" s="591"/>
      <c r="AN161" s="591"/>
      <c r="AO161" s="591"/>
      <c r="AP161" s="591"/>
      <c r="AQ161" s="591"/>
      <c r="AS161" s="591"/>
      <c r="AT161" s="591"/>
      <c r="AU161" s="591"/>
      <c r="AV161" s="591"/>
      <c r="AW161" s="591"/>
      <c r="AY161" s="591"/>
    </row>
    <row r="162" spans="1:51" hidden="1" x14ac:dyDescent="0.2">
      <c r="A162" s="2"/>
      <c r="B162" s="2086">
        <f>Presentazione!Q13</f>
        <v>45292</v>
      </c>
      <c r="C162" s="2087"/>
      <c r="D162" s="2088"/>
      <c r="E162" s="288" t="str">
        <f>CONCATENATE(CASSA!X485,"    ")</f>
        <v xml:space="preserve">Chiuso    </v>
      </c>
      <c r="F162" s="2"/>
      <c r="G162" s="950">
        <f>IF(G62&lt;&gt;$L134,G48-G161,0)</f>
        <v>0</v>
      </c>
      <c r="H162" s="950">
        <f>IF(H62&lt;&gt;$L134,H48-H161,0)</f>
        <v>0</v>
      </c>
      <c r="I162" s="950">
        <f>IF(K62&lt;&gt;$L134,K48-I161,0)</f>
        <v>0</v>
      </c>
      <c r="J162" s="950">
        <f>IF(N62&lt;&gt;$L134,N48-J161,0)</f>
        <v>0</v>
      </c>
      <c r="K162" s="2"/>
      <c r="L162" s="2"/>
      <c r="M162" s="2"/>
      <c r="N162" s="2"/>
      <c r="O162" s="2"/>
      <c r="P162" s="2"/>
      <c r="Q162" s="2"/>
      <c r="R162" s="2"/>
      <c r="S162" s="591"/>
      <c r="T162" s="591"/>
      <c r="U162" s="591"/>
      <c r="V162" s="591"/>
      <c r="W162" s="591"/>
      <c r="X162" s="591"/>
      <c r="Y162" s="591"/>
      <c r="Z162" s="591"/>
      <c r="AA162" s="591"/>
      <c r="AB162" s="591"/>
      <c r="AC162" s="591"/>
      <c r="AG162" s="591"/>
      <c r="AH162" s="591"/>
      <c r="AI162" s="591"/>
      <c r="AJ162" s="591"/>
      <c r="AK162" s="591"/>
      <c r="AM162" s="591"/>
      <c r="AN162" s="591"/>
      <c r="AO162" s="591"/>
      <c r="AP162" s="591"/>
      <c r="AQ162" s="591"/>
      <c r="AS162" s="591"/>
      <c r="AT162" s="591"/>
      <c r="AU162" s="591"/>
      <c r="AV162" s="591"/>
      <c r="AW162" s="591"/>
      <c r="AY162" s="591"/>
    </row>
    <row r="163" spans="1:51" ht="15" hidden="1" customHeight="1" x14ac:dyDescent="0.2">
      <c r="A163" s="2"/>
      <c r="B163" s="2086">
        <f>Presentazione!R13</f>
        <v>45382</v>
      </c>
      <c r="C163" s="2087"/>
      <c r="D163" s="2088"/>
      <c r="E163" s="288" t="str">
        <f>CONCATENATE(IMPOSTAZIONI!L188,"    ")</f>
        <v xml:space="preserve">ERROR    </v>
      </c>
      <c r="F163" s="232"/>
      <c r="G163" s="233" t="s">
        <v>299</v>
      </c>
      <c r="H163" s="60">
        <f>IMPOSTAZIONI!N387</f>
        <v>18</v>
      </c>
      <c r="I163" s="288">
        <f>IMPOSTAZIONI!Y153</f>
        <v>0</v>
      </c>
      <c r="J163" s="140" t="s">
        <v>463</v>
      </c>
      <c r="K163" s="233" t="s">
        <v>549</v>
      </c>
      <c r="L163" s="60">
        <f>Presentazione!E159</f>
        <v>0</v>
      </c>
      <c r="M163" s="170" t="s">
        <v>398</v>
      </c>
      <c r="N163" s="79">
        <v>1</v>
      </c>
      <c r="O163" s="508">
        <f>IF(OR(COUNTIF(G99:N99,E152)&gt;0,COUNTIF(G99:N99,K152)&gt;0,COUNTIF(G99:N99,L152)&gt;0,COUNTIF(G105:N105,E152)&gt;0,COUNTIF(G105:N105,K152)&gt;0,COUNTIF(G105:N105,L152)&gt;0,COUNTIF(C101:F104,"ERROR")&gt;0,COUNTIF(E8:F38,E163)&gt;0),1,0)</f>
        <v>0</v>
      </c>
      <c r="P163" s="509" t="s">
        <v>550</v>
      </c>
      <c r="Q163" s="2"/>
      <c r="R163" s="2"/>
      <c r="S163" s="591"/>
      <c r="T163" s="591"/>
      <c r="U163" s="591"/>
      <c r="V163" s="591"/>
      <c r="W163" s="591"/>
      <c r="X163" s="591"/>
      <c r="Y163" s="591"/>
      <c r="Z163" s="591"/>
      <c r="AA163" s="591"/>
      <c r="AB163" s="591"/>
      <c r="AC163" s="591"/>
      <c r="AG163" s="591"/>
      <c r="AH163" s="591"/>
      <c r="AI163" s="591"/>
      <c r="AJ163" s="591"/>
      <c r="AK163" s="591"/>
      <c r="AM163" s="591"/>
      <c r="AN163" s="591"/>
      <c r="AO163" s="591"/>
      <c r="AP163" s="591"/>
      <c r="AQ163" s="591"/>
      <c r="AS163" s="591"/>
      <c r="AT163" s="591"/>
      <c r="AU163" s="591"/>
      <c r="AV163" s="591"/>
      <c r="AW163" s="591"/>
      <c r="AY163" s="591"/>
    </row>
    <row r="164" spans="1:51" ht="15" hidden="1" customHeight="1" x14ac:dyDescent="0.2">
      <c r="A164" s="2"/>
      <c r="B164" s="2"/>
      <c r="C164" s="2"/>
      <c r="D164" s="2"/>
      <c r="E164" s="2"/>
      <c r="F164" s="2"/>
      <c r="G164" s="950">
        <f>IF(G42=$K134,0,G87)</f>
        <v>0</v>
      </c>
      <c r="H164" s="950">
        <f>IF(H42=$K134,0,H87)</f>
        <v>0</v>
      </c>
      <c r="I164" s="950">
        <f>IF(K42=$K134,0,I87)</f>
        <v>0</v>
      </c>
      <c r="J164" s="950">
        <f>IF(N42=$K134,0,K87)</f>
        <v>0</v>
      </c>
      <c r="K164" s="2"/>
      <c r="L164" s="2"/>
      <c r="M164" s="2"/>
      <c r="N164" s="2"/>
      <c r="O164" s="2"/>
      <c r="P164" s="2"/>
      <c r="Q164" s="2"/>
      <c r="R164" s="2"/>
      <c r="S164" s="591"/>
      <c r="T164" s="591"/>
      <c r="U164" s="591"/>
      <c r="V164" s="591"/>
      <c r="W164" s="591"/>
      <c r="X164" s="591"/>
      <c r="Y164" s="591"/>
      <c r="Z164" s="591"/>
      <c r="AA164" s="591"/>
      <c r="AB164" s="591"/>
      <c r="AC164" s="591"/>
      <c r="AG164" s="591"/>
      <c r="AH164" s="591"/>
      <c r="AI164" s="591"/>
      <c r="AJ164" s="591"/>
      <c r="AK164" s="591"/>
      <c r="AM164" s="591"/>
      <c r="AN164" s="591"/>
      <c r="AO164" s="591"/>
      <c r="AP164" s="591"/>
      <c r="AQ164" s="591"/>
      <c r="AS164" s="591"/>
      <c r="AT164" s="591"/>
      <c r="AU164" s="591"/>
      <c r="AV164" s="591"/>
      <c r="AW164" s="591"/>
      <c r="AY164" s="591"/>
    </row>
    <row r="165" spans="1:51" hidden="1" x14ac:dyDescent="0.2">
      <c r="A165" s="2"/>
      <c r="B165" s="2"/>
      <c r="C165" s="2"/>
      <c r="D165" s="2"/>
      <c r="E165" s="2"/>
      <c r="F165" s="2"/>
      <c r="G165" s="2"/>
      <c r="H165" s="2"/>
      <c r="I165" s="2"/>
      <c r="J165" s="2"/>
      <c r="K165" s="2"/>
      <c r="L165" s="2"/>
      <c r="M165" s="2"/>
      <c r="N165" s="2"/>
      <c r="O165" s="2"/>
      <c r="P165" s="2"/>
      <c r="Q165" s="2"/>
      <c r="R165" s="2"/>
      <c r="S165" s="591"/>
      <c r="T165" s="591"/>
      <c r="U165" s="591"/>
      <c r="V165" s="591"/>
      <c r="W165" s="591"/>
      <c r="X165" s="591"/>
      <c r="Y165" s="591"/>
      <c r="Z165" s="591"/>
      <c r="AA165" s="591"/>
      <c r="AB165" s="591"/>
      <c r="AC165" s="591"/>
      <c r="AG165" s="591"/>
      <c r="AH165" s="591"/>
      <c r="AI165" s="591"/>
      <c r="AJ165" s="591"/>
      <c r="AK165" s="591"/>
      <c r="AM165" s="591"/>
      <c r="AN165" s="591"/>
      <c r="AO165" s="591"/>
      <c r="AP165" s="591"/>
      <c r="AQ165" s="591"/>
      <c r="AS165" s="591"/>
      <c r="AT165" s="591"/>
      <c r="AU165" s="591"/>
      <c r="AV165" s="591"/>
      <c r="AW165" s="591"/>
      <c r="AY165" s="591"/>
    </row>
    <row r="166" spans="1:51" ht="22.5" customHeight="1" x14ac:dyDescent="0.2">
      <c r="A166" s="2"/>
      <c r="B166" s="2"/>
      <c r="C166" s="2"/>
      <c r="D166" s="2"/>
      <c r="E166" s="2"/>
      <c r="F166" s="2"/>
      <c r="G166" s="624">
        <v>1</v>
      </c>
      <c r="H166" s="624">
        <v>2</v>
      </c>
      <c r="I166" s="2229">
        <v>5</v>
      </c>
      <c r="J166" s="2229"/>
      <c r="K166" s="624">
        <v>8</v>
      </c>
      <c r="L166" s="2"/>
      <c r="M166" s="2228" t="s">
        <v>193</v>
      </c>
      <c r="N166" s="2228"/>
      <c r="O166" s="2"/>
      <c r="P166" s="2"/>
      <c r="Q166" s="2"/>
      <c r="R166" s="591"/>
      <c r="S166" s="591"/>
      <c r="T166" s="591"/>
      <c r="U166" s="591"/>
      <c r="V166" s="591"/>
      <c r="W166" s="591"/>
      <c r="X166" s="591"/>
      <c r="Y166" s="591"/>
      <c r="Z166" s="591"/>
      <c r="AA166" s="591"/>
      <c r="AB166" s="591"/>
      <c r="AC166" s="591"/>
      <c r="AG166" s="591"/>
      <c r="AS166" s="591"/>
    </row>
    <row r="167" spans="1:51" ht="18" customHeight="1" x14ac:dyDescent="0.2">
      <c r="A167" s="2"/>
      <c r="B167" s="2"/>
      <c r="C167" s="2084" t="s">
        <v>175</v>
      </c>
      <c r="D167" s="2084"/>
      <c r="E167" s="2085">
        <f>E43</f>
        <v>2024</v>
      </c>
      <c r="F167" s="2085">
        <f>F43</f>
        <v>0</v>
      </c>
      <c r="G167" s="590" t="str">
        <f>G43</f>
        <v/>
      </c>
      <c r="H167" s="590" t="str">
        <f>H43</f>
        <v/>
      </c>
      <c r="I167" s="2232" t="str">
        <f>K43</f>
        <v/>
      </c>
      <c r="J167" s="2232"/>
      <c r="K167" s="590" t="str">
        <f>N43</f>
        <v/>
      </c>
      <c r="L167" s="2"/>
      <c r="M167" s="908" t="s">
        <v>717</v>
      </c>
      <c r="N167" s="2"/>
      <c r="O167" s="2"/>
      <c r="P167" s="2"/>
      <c r="Q167" s="2"/>
      <c r="R167" s="591"/>
      <c r="S167" s="591"/>
      <c r="T167" s="591"/>
      <c r="U167" s="591"/>
      <c r="V167" s="591"/>
      <c r="W167" s="591"/>
      <c r="X167" s="591"/>
      <c r="Y167" s="591"/>
      <c r="Z167" s="591"/>
      <c r="AA167" s="591"/>
      <c r="AB167" s="591"/>
      <c r="AC167" s="591"/>
      <c r="AG167" s="591"/>
      <c r="AS167" s="591"/>
    </row>
    <row r="168" spans="1:51" ht="22.5" customHeight="1" x14ac:dyDescent="0.2">
      <c r="A168" s="2"/>
      <c r="B168" s="2"/>
      <c r="C168" s="2091" t="s">
        <v>298</v>
      </c>
      <c r="D168" s="2091"/>
      <c r="E168" s="2091"/>
      <c r="F168" s="2091"/>
      <c r="G168" s="57" t="str">
        <f>G44</f>
        <v/>
      </c>
      <c r="H168" s="57" t="str">
        <f>H44</f>
        <v/>
      </c>
      <c r="I168" s="2230" t="str">
        <f>K44</f>
        <v/>
      </c>
      <c r="J168" s="2230"/>
      <c r="K168" s="57" t="str">
        <f>N44</f>
        <v/>
      </c>
      <c r="L168" s="2"/>
      <c r="M168" s="2228" t="s">
        <v>719</v>
      </c>
      <c r="N168" s="2228"/>
      <c r="O168" s="2"/>
      <c r="P168" s="2"/>
      <c r="Q168" s="2"/>
      <c r="R168" s="591"/>
      <c r="S168" s="591"/>
      <c r="T168" s="591"/>
      <c r="U168" s="591"/>
      <c r="V168" s="591"/>
      <c r="W168" s="591"/>
      <c r="X168" s="591"/>
      <c r="Y168" s="591"/>
      <c r="Z168" s="591"/>
      <c r="AA168" s="591"/>
      <c r="AB168" s="591"/>
      <c r="AC168" s="591"/>
      <c r="AG168" s="591"/>
      <c r="AS168" s="591"/>
    </row>
    <row r="169" spans="1:51" ht="19.5" customHeight="1" x14ac:dyDescent="0.2">
      <c r="A169" s="2"/>
      <c r="B169" s="2"/>
      <c r="C169" s="2094" t="str">
        <f>C95</f>
        <v>01/09 - 30/09</v>
      </c>
      <c r="D169" s="2095"/>
      <c r="E169" s="2095"/>
      <c r="F169" s="2095"/>
      <c r="G169" s="90" t="str">
        <f>G45</f>
        <v/>
      </c>
      <c r="H169" s="90" t="str">
        <f>H45</f>
        <v/>
      </c>
      <c r="I169" s="2231" t="str">
        <f>K45</f>
        <v/>
      </c>
      <c r="J169" s="2231"/>
      <c r="K169" s="90" t="str">
        <f>N45</f>
        <v/>
      </c>
      <c r="L169" s="2"/>
      <c r="M169" s="12"/>
      <c r="N169" s="2"/>
      <c r="O169" s="2"/>
      <c r="P169" s="2"/>
      <c r="Q169" s="2"/>
      <c r="R169" s="591"/>
      <c r="S169" s="591"/>
      <c r="T169" s="591"/>
      <c r="U169" s="591"/>
      <c r="V169" s="591"/>
      <c r="W169" s="591"/>
      <c r="X169" s="591"/>
      <c r="Y169" s="591"/>
      <c r="Z169" s="591"/>
      <c r="AA169" s="591"/>
      <c r="AB169" s="591"/>
      <c r="AC169" s="591"/>
      <c r="AG169" s="591"/>
      <c r="AS169" s="591"/>
    </row>
    <row r="170" spans="1:51" ht="7.5" customHeight="1" x14ac:dyDescent="0.2">
      <c r="A170" s="2"/>
      <c r="B170" s="2"/>
      <c r="C170" s="2089"/>
      <c r="D170" s="2090"/>
      <c r="E170" s="484"/>
      <c r="F170" s="2"/>
      <c r="G170" s="597">
        <f>IF(AND(G$180&lt;&gt;0,G$180&gt;0),IF(($E$171*9)&gt;=G$180,0,1),IF(AND(G$180&lt;&gt;0,G$180&lt;0),IF(($E$171*9)&lt;=G$180,0,1),0))</f>
        <v>0</v>
      </c>
      <c r="H170" s="597">
        <f>IF(AND(H$180&lt;&gt;0,H$180&gt;0),IF(($E$171*9)&gt;=H$180,0,1),IF(AND(H$180&lt;&gt;0,H$180&lt;0),IF(($E$171*9)&lt;=H$180,0,1),0))</f>
        <v>0</v>
      </c>
      <c r="I170" s="2104">
        <f>IF(AND(I$180&lt;&gt;0,I$180&gt;0),IF(($E$171*9)&gt;=I$180,0,1),IF(AND(I$180&lt;&gt;0,I$180&lt;0),IF(($E$171*9)&lt;=I$180,0,1),0))</f>
        <v>0</v>
      </c>
      <c r="J170" s="2105"/>
      <c r="K170" s="597">
        <f>IF(AND(K$180&lt;&gt;0,K$180&gt;0),IF(($E$171*9)&gt;=K$180,0,1),IF(AND(K$180&lt;&gt;0,K$180&lt;0),IF(($E$171*9)&lt;=K$180,0,1),0))</f>
        <v>0</v>
      </c>
      <c r="L170" s="2"/>
      <c r="M170" s="2"/>
      <c r="N170" s="2"/>
      <c r="O170" s="2"/>
      <c r="P170" s="2"/>
      <c r="Q170" s="2"/>
      <c r="R170" s="591"/>
      <c r="S170" s="591"/>
      <c r="T170" s="591"/>
      <c r="U170" s="591"/>
      <c r="V170" s="591"/>
      <c r="W170" s="591"/>
      <c r="X170" s="591"/>
      <c r="Y170" s="591"/>
      <c r="Z170" s="591"/>
      <c r="AA170" s="591"/>
      <c r="AB170" s="591"/>
      <c r="AC170" s="591"/>
      <c r="AG170" s="591"/>
      <c r="AS170" s="591"/>
    </row>
    <row r="171" spans="1:51" ht="7.5" customHeight="1" x14ac:dyDescent="0.2">
      <c r="A171" s="2"/>
      <c r="B171" s="2"/>
      <c r="C171" s="2096" t="s">
        <v>587</v>
      </c>
      <c r="D171" s="2096"/>
      <c r="E171" s="2098">
        <f>IF(OR(M166=0,M168=""),0,IF(M168=E220,E221,MAX(G180:K180)/10))</f>
        <v>0</v>
      </c>
      <c r="F171" s="2"/>
      <c r="G171" s="598">
        <f>IF(AND(G$180&lt;&gt;0,G$180&gt;0),IF(($E$171*8)&gt;=G$180,0,1),IF(AND(G$180&lt;&gt;0,G$180&lt;0),IF(($E$171*8)&lt;=G$180,0,1),0))</f>
        <v>0</v>
      </c>
      <c r="H171" s="598">
        <f>IF(AND(H$180&lt;&gt;0,H$180&gt;0),IF(($E$171*8)&gt;=H$180,0,1),IF(AND(H$180&lt;&gt;0,H$180&lt;0),IF(($E$171*8)&lt;=H$180,0,1),0))</f>
        <v>0</v>
      </c>
      <c r="I171" s="2061">
        <f>IF(AND(I$180&lt;&gt;0,I$180&gt;0),IF(($E$171*8)&gt;=I$180,0,1),IF(AND(I$180&lt;&gt;0,I$180&lt;0),IF(($E$171*8)&lt;=I$180,0,1),0))</f>
        <v>0</v>
      </c>
      <c r="J171" s="2062"/>
      <c r="K171" s="598">
        <f>IF(AND(K$180&lt;&gt;0,K$180&gt;0),IF(($E$171*8)&gt;=K$180,0,1),IF(AND(K$180&lt;&gt;0,K$180&lt;0),IF(($E$171*8)&lt;=K$180,0,1),0))</f>
        <v>0</v>
      </c>
      <c r="L171" s="2"/>
      <c r="M171" s="2"/>
      <c r="N171" s="2"/>
      <c r="O171" s="2"/>
      <c r="P171" s="2"/>
      <c r="Q171" s="2"/>
      <c r="R171" s="591"/>
      <c r="S171" s="591"/>
      <c r="T171" s="591"/>
      <c r="U171" s="591"/>
      <c r="V171" s="591"/>
      <c r="W171" s="591"/>
      <c r="X171" s="591"/>
      <c r="AA171" s="591"/>
      <c r="AB171" s="591"/>
      <c r="AC171" s="591"/>
      <c r="AG171" s="591"/>
      <c r="AS171" s="591"/>
    </row>
    <row r="172" spans="1:51" ht="7.5" customHeight="1" x14ac:dyDescent="0.2">
      <c r="A172" s="2"/>
      <c r="B172" s="2"/>
      <c r="C172" s="2097"/>
      <c r="D172" s="2097"/>
      <c r="E172" s="2098"/>
      <c r="F172" s="2"/>
      <c r="G172" s="598">
        <f>IF(AND(G$180&lt;&gt;0,G$180&gt;0),IF(($E$171*7)&gt;=G$180,0,1),IF(AND(G$180&lt;&gt;0,G$180&lt;0),IF(($E$171*7)&lt;=G$180,0,1),0))</f>
        <v>0</v>
      </c>
      <c r="H172" s="598">
        <f>IF(AND(H$180&lt;&gt;0,H$180&gt;0),IF(($E$171*7)&gt;=H$180,0,1),IF(AND(H$180&lt;&gt;0,H$180&lt;0),IF(($E$171*7)&lt;=H$180,0,1),0))</f>
        <v>0</v>
      </c>
      <c r="I172" s="2061">
        <f>IF(AND(I$180&lt;&gt;0,I$180&gt;0),IF(($E$171*7)&gt;=I$180,0,1),IF(AND(I$180&lt;&gt;0,I$180&lt;0),IF(($E$171*7)&lt;=I$180,0,1),0))</f>
        <v>0</v>
      </c>
      <c r="J172" s="2062"/>
      <c r="K172" s="598">
        <f>IF(AND(K$180&lt;&gt;0,K$180&gt;0),IF(($E$171*7)&gt;=K$180,0,1),IF(AND(K$180&lt;&gt;0,K$180&lt;0),IF(($E$171*7)&lt;=K$180,0,1),0))</f>
        <v>0</v>
      </c>
      <c r="L172" s="2"/>
      <c r="M172" s="2"/>
      <c r="N172" s="2"/>
      <c r="O172" s="2"/>
      <c r="P172" s="2"/>
      <c r="Q172" s="2"/>
      <c r="R172" s="591"/>
      <c r="S172" s="591"/>
      <c r="T172" s="591"/>
      <c r="U172" s="591"/>
      <c r="V172" s="591"/>
      <c r="W172" s="591"/>
      <c r="X172" s="591"/>
      <c r="AA172" s="591"/>
      <c r="AB172" s="591"/>
      <c r="AC172" s="591"/>
      <c r="AG172" s="591"/>
      <c r="AS172" s="591"/>
    </row>
    <row r="173" spans="1:51" ht="7.5" customHeight="1" x14ac:dyDescent="0.2">
      <c r="A173" s="2"/>
      <c r="B173" s="2"/>
      <c r="C173" s="2"/>
      <c r="D173" s="2"/>
      <c r="E173" s="2"/>
      <c r="F173" s="2"/>
      <c r="G173" s="598">
        <f>IF(AND(G$180&lt;&gt;0,G$180&gt;0),IF(($E$171*6)&gt;=G$180,0,1),IF(AND(G$180&lt;&gt;0,G$180&lt;0),IF(($E$171*6)&lt;=G$180,0,1),0))</f>
        <v>0</v>
      </c>
      <c r="H173" s="598">
        <f>IF(AND(H$180&lt;&gt;0,H$180&gt;0),IF(($E$171*6)&gt;=H$180,0,1),IF(AND(H$180&lt;&gt;0,H$180&lt;0),IF(($E$171*6)&lt;=H$180,0,1),0))</f>
        <v>0</v>
      </c>
      <c r="I173" s="2061">
        <f>IF(AND(I$180&lt;&gt;0,I$180&gt;0),IF(($E$171*6)&gt;=I$180,0,1),IF(AND(I$180&lt;&gt;0,I$180&lt;0),IF(($E$171*6)&lt;=I$180,0,1),0))</f>
        <v>0</v>
      </c>
      <c r="J173" s="2062"/>
      <c r="K173" s="598">
        <f>IF(AND(K$180&lt;&gt;0,K$180&gt;0),IF(($E$171*6)&gt;=K$180,0,1),IF(AND(K$180&lt;&gt;0,K$180&lt;0),IF(($E$171*6)&lt;=K$180,0,1),0))</f>
        <v>0</v>
      </c>
      <c r="L173" s="2"/>
      <c r="M173" s="2"/>
      <c r="N173" s="2"/>
      <c r="O173" s="2"/>
      <c r="P173" s="2"/>
      <c r="Q173" s="2"/>
      <c r="R173" s="591"/>
      <c r="S173" s="591"/>
      <c r="T173" s="591"/>
      <c r="U173" s="591"/>
      <c r="V173" s="591"/>
      <c r="W173" s="591"/>
      <c r="X173" s="591"/>
      <c r="AA173" s="591"/>
      <c r="AB173" s="591"/>
      <c r="AC173" s="591"/>
      <c r="AG173" s="591"/>
      <c r="AS173" s="591"/>
    </row>
    <row r="174" spans="1:51" ht="7.5" customHeight="1" x14ac:dyDescent="0.2">
      <c r="A174" s="2"/>
      <c r="B174" s="2"/>
      <c r="C174" s="2"/>
      <c r="D174" s="2"/>
      <c r="E174" s="2"/>
      <c r="F174" s="2"/>
      <c r="G174" s="598">
        <f>IF(AND(G$180&lt;&gt;0,G$180&gt;0),IF(($E$171*5)&gt;=G$180,0,1),IF(AND(G$180&lt;&gt;0,G$180&lt;0),IF(($E$171*5)&lt;=G$180,0,1),0))</f>
        <v>0</v>
      </c>
      <c r="H174" s="598">
        <f>IF(AND(H$180&lt;&gt;0,H$180&gt;0),IF(($E$171*5)&gt;=H$180,0,1),IF(AND(H$180&lt;&gt;0,H$180&lt;0),IF(($E$171*5)&lt;=H$180,0,1),0))</f>
        <v>0</v>
      </c>
      <c r="I174" s="2061">
        <f>IF(AND(I$180&lt;&gt;0,I$180&gt;0),IF(($E$171*5)&gt;=I$180,0,1),IF(AND(I$180&lt;&gt;0,I$180&lt;0),IF(($E$171*5)&lt;=I$180,0,1),0))</f>
        <v>0</v>
      </c>
      <c r="J174" s="2062"/>
      <c r="K174" s="598">
        <f>IF(AND(K$180&lt;&gt;0,K$180&gt;0),IF(($E$171*5)&gt;=K$180,0,1),IF(AND(K$180&lt;&gt;0,K$180&lt;0),IF(($E$171*5)&lt;=K$180,0,1),0))</f>
        <v>0</v>
      </c>
      <c r="L174" s="2"/>
      <c r="M174" s="2"/>
      <c r="N174" s="2"/>
      <c r="O174" s="2"/>
      <c r="P174" s="2"/>
      <c r="Q174" s="2"/>
      <c r="R174" s="591"/>
      <c r="S174" s="591"/>
      <c r="T174" s="591"/>
      <c r="U174" s="591"/>
      <c r="V174" s="591"/>
      <c r="W174" s="591"/>
      <c r="X174" s="591"/>
      <c r="AA174" s="591"/>
      <c r="AB174" s="591"/>
      <c r="AC174" s="591"/>
      <c r="AG174" s="591"/>
      <c r="AS174" s="591"/>
    </row>
    <row r="175" spans="1:51" ht="7.5" customHeight="1" x14ac:dyDescent="0.2">
      <c r="A175" s="2"/>
      <c r="B175" s="2"/>
      <c r="C175" s="2"/>
      <c r="D175" s="2"/>
      <c r="E175" s="2"/>
      <c r="F175" s="2"/>
      <c r="G175" s="598">
        <f>IF(AND(G$180&lt;&gt;0,G$180&gt;0),IF(($E$171*4)&gt;=G$180,0,1),IF(AND(G$180&lt;&gt;0,G$180&lt;0),IF(($E$171*4)&lt;=G$180,0,1),0))</f>
        <v>0</v>
      </c>
      <c r="H175" s="598">
        <f>IF(AND(H$180&lt;&gt;0,H$180&gt;0),IF(($E$171*4)&gt;=H$180,0,1),IF(AND(H$180&lt;&gt;0,H$180&lt;0),IF(($E$171*4)&lt;=H$180,0,1),0))</f>
        <v>0</v>
      </c>
      <c r="I175" s="2061">
        <f>IF(AND(I$180&lt;&gt;0,I$180&gt;0),IF(($E$171*4)&gt;=I$180,0,1),IF(AND(I$180&lt;&gt;0,I$180&lt;0),IF(($E$171*4)&lt;=I$180,0,1),0))</f>
        <v>0</v>
      </c>
      <c r="J175" s="2062"/>
      <c r="K175" s="598">
        <f>IF(AND(K$180&lt;&gt;0,K$180&gt;0),IF(($E$171*4)&gt;=K$180,0,1),IF(AND(K$180&lt;&gt;0,K$180&lt;0),IF(($E$171*4)&lt;=K$180,0,1),0))</f>
        <v>0</v>
      </c>
      <c r="L175" s="2"/>
      <c r="M175" s="2"/>
      <c r="N175" s="2"/>
      <c r="O175" s="2"/>
      <c r="P175" s="2"/>
      <c r="Q175" s="2"/>
      <c r="R175" s="591"/>
      <c r="S175" s="591"/>
      <c r="T175" s="591"/>
      <c r="U175" s="591"/>
      <c r="V175" s="591"/>
      <c r="W175" s="591"/>
      <c r="X175" s="591"/>
      <c r="AA175" s="591"/>
      <c r="AB175" s="591"/>
      <c r="AC175" s="591"/>
      <c r="AG175" s="591"/>
      <c r="AS175" s="591"/>
    </row>
    <row r="176" spans="1:51" ht="7.5" customHeight="1" x14ac:dyDescent="0.2">
      <c r="A176" s="2"/>
      <c r="B176" s="2"/>
      <c r="C176" s="2"/>
      <c r="D176" s="2"/>
      <c r="E176" s="2"/>
      <c r="F176" s="2"/>
      <c r="G176" s="598">
        <f>IF(AND(G$180&lt;&gt;0,G$180&gt;0),IF(($E$171*3)&gt;=G$180,0,1),IF(AND(G$180&lt;&gt;0,G$180&lt;0),IF(($E$171*3)&lt;=G$180,0,1),0))</f>
        <v>0</v>
      </c>
      <c r="H176" s="598">
        <f>IF(AND(H$180&lt;&gt;0,H$180&gt;0),IF(($E$171*3)&gt;=H$180,0,1),IF(AND(H$180&lt;&gt;0,H$180&lt;0),IF(($E$171*3)&lt;=H$180,0,1),0))</f>
        <v>0</v>
      </c>
      <c r="I176" s="2061">
        <f>IF(AND(I$180&lt;&gt;0,I$180&gt;0),IF(($E$171*3)&gt;=I$180,0,1),IF(AND(I$180&lt;&gt;0,I$180&lt;0),IF(($E$171*3)&lt;=I$180,0,1),0))</f>
        <v>0</v>
      </c>
      <c r="J176" s="2062"/>
      <c r="K176" s="598">
        <f>IF(AND(K$180&lt;&gt;0,K$180&gt;0),IF(($E$171*3)&gt;=K$180,0,1),IF(AND(K$180&lt;&gt;0,K$180&lt;0),IF(($E$171*3)&lt;=K$180,0,1),0))</f>
        <v>0</v>
      </c>
      <c r="L176" s="2"/>
      <c r="M176" s="2"/>
      <c r="N176" s="2"/>
      <c r="O176" s="2"/>
      <c r="P176" s="2"/>
      <c r="Q176" s="2"/>
      <c r="R176" s="591"/>
      <c r="S176" s="591"/>
      <c r="T176" s="591"/>
      <c r="U176" s="591"/>
      <c r="V176" s="591"/>
      <c r="W176" s="591"/>
      <c r="X176" s="591"/>
      <c r="AA176" s="591"/>
      <c r="AB176" s="591"/>
      <c r="AC176" s="591"/>
      <c r="AG176" s="591"/>
      <c r="AS176" s="591"/>
    </row>
    <row r="177" spans="1:45" ht="7.5" customHeight="1" x14ac:dyDescent="0.2">
      <c r="A177" s="2"/>
      <c r="B177" s="2"/>
      <c r="C177" s="2"/>
      <c r="D177" s="2"/>
      <c r="E177" s="2"/>
      <c r="F177" s="2"/>
      <c r="G177" s="598">
        <f>IF(AND(G$180&lt;&gt;0,G$180&gt;0),IF(($E$171*2)&gt;=G$180,0,1),IF(AND(G$180&lt;&gt;0,G$180&lt;0),IF(($E$171*2)&lt;=G$180,0,1),0))</f>
        <v>0</v>
      </c>
      <c r="H177" s="598">
        <f>IF(AND(H$180&lt;&gt;0,H$180&gt;0),IF(($E$171*2)&gt;=H$180,0,1),IF(AND(H$180&lt;&gt;0,H$180&lt;0),IF(($E$171*2)&lt;=H$180,0,1),0))</f>
        <v>0</v>
      </c>
      <c r="I177" s="2061">
        <f>IF(AND(I$180&lt;&gt;0,I$180&gt;0),IF(($E$171*2)&gt;=I$180,0,1),IF(AND(I$180&lt;&gt;0,I$180&lt;0),IF(($E$171*2)&lt;=I$180,0,1),0))</f>
        <v>0</v>
      </c>
      <c r="J177" s="2062"/>
      <c r="K177" s="598">
        <f>IF(AND(K$180&lt;&gt;0,K$180&gt;0),IF(($E$171*2)&gt;=K$180,0,1),IF(AND(K$180&lt;&gt;0,K$180&lt;0),IF(($E$171*2)&lt;=K$180,0,1),0))</f>
        <v>0</v>
      </c>
      <c r="L177" s="2"/>
      <c r="M177" s="2"/>
      <c r="N177" s="2"/>
      <c r="O177" s="2"/>
      <c r="P177" s="2"/>
      <c r="Q177" s="2"/>
      <c r="R177" s="591"/>
      <c r="S177" s="591"/>
      <c r="T177" s="591"/>
      <c r="U177" s="591"/>
      <c r="V177" s="591"/>
      <c r="W177" s="591"/>
      <c r="X177" s="591"/>
      <c r="AA177" s="591"/>
      <c r="AB177" s="591"/>
      <c r="AC177" s="591"/>
      <c r="AG177" s="591"/>
      <c r="AS177" s="591"/>
    </row>
    <row r="178" spans="1:45" ht="7.5" customHeight="1" x14ac:dyDescent="0.2">
      <c r="A178" s="2"/>
      <c r="B178" s="2"/>
      <c r="C178" s="2"/>
      <c r="D178" s="2"/>
      <c r="E178" s="2"/>
      <c r="F178" s="2"/>
      <c r="G178" s="598">
        <f>IF(AND(G$180&lt;&gt;0,G$180&gt;0),IF(($E$171*1)&gt;=G$180,0,1),IF(AND(G$180&lt;&gt;0,G$180&lt;0),IF(($E$171*1)&lt;=G$180,0,1),0))</f>
        <v>0</v>
      </c>
      <c r="H178" s="598">
        <f>IF(AND(H$180&lt;&gt;0,H$180&gt;0),IF(($E$171*1)&gt;=H$180,0,1),IF(AND(H$180&lt;&gt;0,H$180&lt;0),IF(($E$171*1)&lt;=H$180,0,1),0))</f>
        <v>0</v>
      </c>
      <c r="I178" s="2061">
        <f>IF(AND(I$180&lt;&gt;0,I$180&gt;0),IF(($E$171*1)&gt;=I$180,0,1),IF(AND(I$180&lt;&gt;0,I$180&lt;0),IF(($E$171*1)&lt;=I$180,0,1),0))</f>
        <v>0</v>
      </c>
      <c r="J178" s="2062"/>
      <c r="K178" s="598">
        <f>IF(AND(K$180&lt;&gt;0,K$180&gt;0),IF(($E$171*1)&gt;=K$180,0,1),IF(AND(K$180&lt;&gt;0,K$180&lt;0),IF(($E$171*1)&lt;=K$180,0,1),0))</f>
        <v>0</v>
      </c>
      <c r="L178" s="2"/>
      <c r="M178" s="2"/>
      <c r="N178" s="2"/>
      <c r="O178" s="2"/>
      <c r="P178" s="2"/>
      <c r="Q178" s="2"/>
      <c r="R178" s="591"/>
      <c r="S178" s="591"/>
      <c r="T178" s="591"/>
      <c r="U178" s="591"/>
      <c r="V178" s="591"/>
      <c r="W178" s="591"/>
      <c r="X178" s="591"/>
      <c r="AA178" s="591"/>
      <c r="AB178" s="591"/>
      <c r="AC178" s="591"/>
      <c r="AG178" s="591"/>
      <c r="AS178" s="591"/>
    </row>
    <row r="179" spans="1:45" ht="7.5" customHeight="1" x14ac:dyDescent="0.2">
      <c r="A179" s="2"/>
      <c r="B179" s="2"/>
      <c r="C179" s="2"/>
      <c r="D179" s="2"/>
      <c r="E179" s="2"/>
      <c r="F179" s="2"/>
      <c r="G179" s="599">
        <f>IF(G180&lt;&gt;0,1,0)</f>
        <v>0</v>
      </c>
      <c r="H179" s="599">
        <f>IF(H180&lt;&gt;0,1,0)</f>
        <v>0</v>
      </c>
      <c r="I179" s="2199">
        <f>IF(I180&lt;&gt;0,1,0)</f>
        <v>0</v>
      </c>
      <c r="J179" s="2200"/>
      <c r="K179" s="599">
        <f>IF(K180&lt;&gt;0,1,0)</f>
        <v>0</v>
      </c>
      <c r="L179" s="2"/>
      <c r="M179" s="2"/>
      <c r="N179" s="2"/>
      <c r="O179" s="2"/>
      <c r="P179" s="2"/>
      <c r="Q179" s="2"/>
      <c r="R179" s="591"/>
      <c r="S179" s="591"/>
      <c r="T179" s="591"/>
      <c r="U179" s="591"/>
      <c r="V179" s="591"/>
      <c r="W179" s="591"/>
      <c r="X179" s="591"/>
      <c r="AA179" s="591"/>
      <c r="AB179" s="591"/>
      <c r="AC179" s="591"/>
      <c r="AG179" s="591"/>
      <c r="AS179" s="591"/>
    </row>
    <row r="180" spans="1:45" ht="21.95" customHeight="1" x14ac:dyDescent="0.2">
      <c r="A180" s="2"/>
      <c r="B180" s="7"/>
      <c r="C180" s="2092" t="s">
        <v>582</v>
      </c>
      <c r="D180" s="2092"/>
      <c r="E180" s="2093">
        <f>SUM(G180:K180)</f>
        <v>0</v>
      </c>
      <c r="F180" s="2093"/>
      <c r="G180" s="623">
        <f>VLOOKUP($M166,$C46:G48,G166+4,FALSE)</f>
        <v>0</v>
      </c>
      <c r="H180" s="623">
        <f>VLOOKUP($M166,$C46:H48,H166+4,FALSE)</f>
        <v>0</v>
      </c>
      <c r="I180" s="2196">
        <f>VLOOKUP($M166,$C46:K48,I166+4,FALSE)</f>
        <v>0</v>
      </c>
      <c r="J180" s="2196"/>
      <c r="K180" s="623">
        <f>VLOOKUP($M166,$C46:N48,K166+4,FALSE)</f>
        <v>0</v>
      </c>
      <c r="L180" s="2"/>
      <c r="M180" s="12"/>
      <c r="N180" s="2"/>
      <c r="O180" s="2"/>
      <c r="P180" s="2"/>
      <c r="Q180" s="2"/>
      <c r="R180" s="591"/>
      <c r="S180" s="591"/>
      <c r="T180" s="591"/>
      <c r="U180" s="591"/>
      <c r="V180" s="591"/>
      <c r="W180" s="591"/>
      <c r="X180" s="591"/>
      <c r="AA180" s="591"/>
      <c r="AB180" s="591"/>
      <c r="AC180" s="591"/>
      <c r="AG180" s="591"/>
      <c r="AS180" s="591"/>
    </row>
    <row r="181" spans="1:45" ht="11.25" customHeight="1" x14ac:dyDescent="0.2">
      <c r="A181" s="2"/>
      <c r="B181" s="2"/>
      <c r="C181" s="2"/>
      <c r="D181" s="2"/>
      <c r="E181" s="2"/>
      <c r="F181" s="2"/>
      <c r="G181" s="2"/>
      <c r="H181" s="2"/>
      <c r="I181" s="2201"/>
      <c r="J181" s="2201"/>
      <c r="K181" s="2"/>
      <c r="L181" s="2"/>
      <c r="M181" s="2"/>
      <c r="N181" s="2"/>
      <c r="O181" s="2"/>
      <c r="P181" s="2"/>
      <c r="Q181" s="2"/>
      <c r="R181" s="591"/>
      <c r="S181" s="591"/>
      <c r="T181" s="591"/>
      <c r="U181" s="591"/>
      <c r="V181" s="591"/>
      <c r="W181" s="591"/>
      <c r="X181" s="591"/>
      <c r="AA181" s="591"/>
      <c r="AB181" s="591"/>
      <c r="AC181" s="591"/>
      <c r="AG181" s="591"/>
      <c r="AS181" s="591"/>
    </row>
    <row r="182" spans="1:45" ht="19.5" customHeight="1" x14ac:dyDescent="0.2">
      <c r="A182" s="2"/>
      <c r="B182" s="2"/>
      <c r="C182" s="2095" t="str">
        <f>CONCATENATE("01/01 - ",RIGHT(C169,5))</f>
        <v>01/01 - 30/09</v>
      </c>
      <c r="D182" s="2095"/>
      <c r="E182" s="2095"/>
      <c r="F182" s="2095"/>
      <c r="G182" s="2"/>
      <c r="H182" s="2"/>
      <c r="I182" s="2202"/>
      <c r="J182" s="2202"/>
      <c r="K182" s="2"/>
      <c r="L182" s="2"/>
      <c r="M182" s="2"/>
      <c r="N182" s="2"/>
      <c r="O182" s="2"/>
      <c r="P182" s="2"/>
      <c r="Q182" s="2"/>
      <c r="R182" s="591"/>
      <c r="S182" s="591"/>
      <c r="T182" s="591"/>
      <c r="U182" s="591"/>
      <c r="V182" s="591"/>
      <c r="W182" s="591"/>
      <c r="X182" s="591"/>
      <c r="AA182" s="591"/>
      <c r="AB182" s="591"/>
      <c r="AC182" s="591"/>
      <c r="AG182" s="591"/>
      <c r="AS182" s="591"/>
    </row>
    <row r="183" spans="1:45" ht="7.5" customHeight="1" x14ac:dyDescent="0.2">
      <c r="A183" s="2"/>
      <c r="B183" s="2"/>
      <c r="C183" s="2089"/>
      <c r="D183" s="2090"/>
      <c r="E183" s="484"/>
      <c r="F183" s="2"/>
      <c r="G183" s="597">
        <f>IF(AND(G$193&lt;&gt;0,G$193&gt;0),IF(($E$184*9)&gt;=G$193,0,1),IF(AND(G$193&lt;&gt;0,G$193&lt;0),IF(($E$184*9)&lt;=G$193,0,1),0))</f>
        <v>0</v>
      </c>
      <c r="H183" s="597">
        <f>IF(AND(H$193&lt;&gt;0,H$193&gt;0),IF(($E$184*9)&gt;=H$193,0,1),IF(AND(H$193&lt;&gt;0,H$193&lt;0),IF(($E$184*9)&lt;=H$193,0,1),0))</f>
        <v>0</v>
      </c>
      <c r="I183" s="2104">
        <f>IF(AND(I$193&lt;&gt;0,I$193&gt;0),IF(($E$184*9)&gt;=I$193,0,1),IF(AND(I$193&lt;&gt;0,I$193&lt;0),IF(($E$184*9)&lt;=I$193,0,1),0))</f>
        <v>0</v>
      </c>
      <c r="J183" s="2105"/>
      <c r="K183" s="597">
        <f>IF(AND(K$193&lt;&gt;0,K$193&gt;0),IF(($E$184*9)&gt;=K$193,0,1),IF(AND(K$193&lt;&gt;0,K$193&lt;0),IF(($E$184*9)&lt;=K$193,0,1),0))</f>
        <v>0</v>
      </c>
      <c r="L183" s="2"/>
      <c r="M183" s="2"/>
      <c r="N183" s="2"/>
      <c r="O183" s="2"/>
      <c r="P183" s="2"/>
      <c r="Q183" s="2"/>
      <c r="R183" s="591"/>
      <c r="S183" s="591"/>
      <c r="T183" s="591"/>
      <c r="U183" s="591"/>
      <c r="V183" s="591"/>
      <c r="W183" s="591"/>
      <c r="X183" s="591"/>
      <c r="AA183" s="591"/>
      <c r="AB183" s="591"/>
      <c r="AC183" s="591"/>
      <c r="AG183" s="591"/>
      <c r="AS183" s="591"/>
    </row>
    <row r="184" spans="1:45" ht="7.5" customHeight="1" x14ac:dyDescent="0.2">
      <c r="A184" s="2"/>
      <c r="B184" s="2"/>
      <c r="C184" s="2096" t="s">
        <v>587</v>
      </c>
      <c r="D184" s="2096"/>
      <c r="E184" s="2098">
        <f>IF(OR(M166=0,M168=""),0,IF(M168=E220,E221,MAX(G193:K193)/10))</f>
        <v>0</v>
      </c>
      <c r="F184" s="2"/>
      <c r="G184" s="598">
        <f>IF(AND(G$193&lt;&gt;0,G$193&gt;0),IF(($E$184*8)&gt;=G$193,0,1),IF(AND(G$193&lt;&gt;0,G$193&lt;0),IF(($E$184*8)&lt;=G$193,0,1),0))</f>
        <v>0</v>
      </c>
      <c r="H184" s="598">
        <f>IF(AND(H$193&lt;&gt;0,H$193&gt;0),IF(($E$184*8)&gt;=H$193,0,1),IF(AND(H$193&lt;&gt;0,H$193&lt;0),IF(($E$184*8)&lt;=H$193,0,1),0))</f>
        <v>0</v>
      </c>
      <c r="I184" s="2061">
        <f>IF(AND(I$193&lt;&gt;0,I$193&gt;0),IF(($E$184*8)&gt;=I$193,0,1),IF(AND(I$193&lt;&gt;0,I$193&lt;0),IF(($E$184*8)&lt;=I$193,0,1),0))</f>
        <v>0</v>
      </c>
      <c r="J184" s="2062"/>
      <c r="K184" s="598">
        <f>IF(AND(K$193&lt;&gt;0,K$193&gt;0),IF(($E$184*8)&gt;=K$193,0,1),IF(AND(K$193&lt;&gt;0,K$193&lt;0),IF(($E$184*8)&lt;=K$193,0,1),0))</f>
        <v>0</v>
      </c>
      <c r="L184" s="2"/>
      <c r="M184" s="2"/>
      <c r="N184" s="2"/>
      <c r="O184" s="2"/>
      <c r="P184" s="2"/>
      <c r="Q184" s="2"/>
      <c r="R184" s="591"/>
      <c r="S184" s="591"/>
      <c r="T184" s="591"/>
      <c r="U184" s="591"/>
      <c r="V184" s="591"/>
      <c r="W184" s="591"/>
      <c r="X184" s="591"/>
      <c r="AA184" s="591"/>
      <c r="AB184" s="591"/>
      <c r="AC184" s="591"/>
      <c r="AG184" s="591"/>
      <c r="AS184" s="591"/>
    </row>
    <row r="185" spans="1:45" ht="7.5" customHeight="1" x14ac:dyDescent="0.2">
      <c r="A185" s="2"/>
      <c r="B185" s="2"/>
      <c r="C185" s="2097"/>
      <c r="D185" s="2097"/>
      <c r="E185" s="2098"/>
      <c r="F185" s="2"/>
      <c r="G185" s="598">
        <f>IF(AND(G$193&lt;&gt;0,G$193&gt;0),IF(($E$184*7)&gt;=G$193,0,1),IF(AND(G$193&lt;&gt;0,G$193&lt;0),IF(($E$184*7)&lt;=G$193,0,1),0))</f>
        <v>0</v>
      </c>
      <c r="H185" s="598">
        <f>IF(AND(H$193&lt;&gt;0,H$193&gt;0),IF(($E$184*7)&gt;=H$193,0,1),IF(AND(H$193&lt;&gt;0,H$193&lt;0),IF(($E$184*7)&lt;=H$193,0,1),0))</f>
        <v>0</v>
      </c>
      <c r="I185" s="2061">
        <f>IF(AND(I$193&lt;&gt;0,I$193&gt;0),IF(($E$184*7)&gt;=I$193,0,1),IF(AND(I$193&lt;&gt;0,I$193&lt;0),IF(($E$184*7)&lt;=I$193,0,1),0))</f>
        <v>0</v>
      </c>
      <c r="J185" s="2062"/>
      <c r="K185" s="598">
        <f>IF(AND(K$193&lt;&gt;0,K$193&gt;0),IF(($E$184*7)&gt;=K$193,0,1),IF(AND(K$193&lt;&gt;0,K$193&lt;0),IF(($E$184*7)&lt;=K$193,0,1),0))</f>
        <v>0</v>
      </c>
      <c r="L185" s="2"/>
      <c r="M185" s="2"/>
      <c r="N185" s="2"/>
      <c r="O185" s="2"/>
      <c r="P185" s="2"/>
      <c r="Q185" s="2"/>
      <c r="R185" s="591"/>
      <c r="S185" s="591"/>
      <c r="T185" s="591"/>
      <c r="U185" s="591"/>
      <c r="V185" s="591"/>
      <c r="W185" s="591"/>
      <c r="X185" s="591"/>
      <c r="AA185" s="591"/>
      <c r="AB185" s="591"/>
      <c r="AC185" s="591"/>
      <c r="AG185" s="591"/>
      <c r="AS185" s="591"/>
    </row>
    <row r="186" spans="1:45" ht="7.5" customHeight="1" x14ac:dyDescent="0.2">
      <c r="A186" s="2"/>
      <c r="B186" s="2"/>
      <c r="C186" s="2"/>
      <c r="D186" s="2"/>
      <c r="E186" s="2"/>
      <c r="F186" s="2"/>
      <c r="G186" s="598">
        <f>IF(AND(G$193&lt;&gt;0,G$193&gt;0),IF(($E$184*6)&gt;=G$193,0,1),IF(AND(G$193&lt;&gt;0,G$193&lt;0),IF(($E$184*6)&lt;=G$193,0,1),0))</f>
        <v>0</v>
      </c>
      <c r="H186" s="598">
        <f>IF(AND(H$193&lt;&gt;0,H$193&gt;0),IF(($E$184*6)&gt;=H$193,0,1),IF(AND(H$193&lt;&gt;0,H$193&lt;0),IF(($E$184*6)&lt;=H$193,0,1),0))</f>
        <v>0</v>
      </c>
      <c r="I186" s="2061">
        <f>IF(AND(I$193&lt;&gt;0,I$193&gt;0),IF(($E$184*6)&gt;=I$193,0,1),IF(AND(I$193&lt;&gt;0,I$193&lt;0),IF(($E$184*6)&lt;=I$193,0,1),0))</f>
        <v>0</v>
      </c>
      <c r="J186" s="2062"/>
      <c r="K186" s="598">
        <f>IF(AND(K$193&lt;&gt;0,K$193&gt;0),IF(($E$184*6)&gt;=K$193,0,1),IF(AND(K$193&lt;&gt;0,K$193&lt;0),IF(($E$184*6)&lt;=K$193,0,1),0))</f>
        <v>0</v>
      </c>
      <c r="L186" s="2"/>
      <c r="M186" s="2"/>
      <c r="N186" s="2"/>
      <c r="O186" s="2"/>
      <c r="P186" s="2"/>
      <c r="Q186" s="2"/>
      <c r="R186" s="591"/>
      <c r="S186" s="591"/>
      <c r="T186" s="591"/>
      <c r="U186" s="591"/>
      <c r="V186" s="591"/>
      <c r="W186" s="591"/>
      <c r="X186" s="591"/>
      <c r="AA186" s="591"/>
      <c r="AB186" s="591"/>
      <c r="AC186" s="591"/>
      <c r="AG186" s="591"/>
      <c r="AS186" s="591"/>
    </row>
    <row r="187" spans="1:45" ht="7.5" customHeight="1" x14ac:dyDescent="0.2">
      <c r="A187" s="2"/>
      <c r="B187" s="2"/>
      <c r="C187" s="2"/>
      <c r="D187" s="2"/>
      <c r="E187" s="2"/>
      <c r="F187" s="2"/>
      <c r="G187" s="598">
        <f>IF(AND(G$193&lt;&gt;0,G$193&gt;0),IF(($E$184*5)&gt;=G$193,0,1),IF(AND(G$193&lt;&gt;0,G$193&lt;0),IF(($E$184*5)&lt;=G$193,0,1),0))</f>
        <v>0</v>
      </c>
      <c r="H187" s="598">
        <f>IF(AND(H$193&lt;&gt;0,H$193&gt;0),IF(($E$184*5)&gt;=H$193,0,1),IF(AND(H$193&lt;&gt;0,H$193&lt;0),IF(($E$184*5)&lt;=H$193,0,1),0))</f>
        <v>0</v>
      </c>
      <c r="I187" s="2061">
        <f>IF(AND(I$193&lt;&gt;0,I$193&gt;0),IF(($E$184*5)&gt;=I$193,0,1),IF(AND(I$193&lt;&gt;0,I$193&lt;0),IF(($E$184*5)&lt;=I$193,0,1),0))</f>
        <v>0</v>
      </c>
      <c r="J187" s="2062"/>
      <c r="K187" s="598">
        <f>IF(AND(K$193&lt;&gt;0,K$193&gt;0),IF(($E$184*5)&gt;=K$193,0,1),IF(AND(K$193&lt;&gt;0,K$193&lt;0),IF(($E$184*5)&lt;=K$193,0,1),0))</f>
        <v>0</v>
      </c>
      <c r="L187" s="2"/>
      <c r="M187" s="2"/>
      <c r="N187" s="2"/>
      <c r="O187" s="2"/>
      <c r="P187" s="2"/>
      <c r="Q187" s="2"/>
      <c r="R187" s="591"/>
      <c r="S187" s="591"/>
      <c r="T187" s="591"/>
      <c r="U187" s="591"/>
      <c r="V187" s="591"/>
      <c r="W187" s="591"/>
      <c r="X187" s="591"/>
      <c r="AA187" s="591"/>
      <c r="AB187" s="591"/>
      <c r="AC187" s="591"/>
      <c r="AG187" s="591"/>
      <c r="AS187" s="591"/>
    </row>
    <row r="188" spans="1:45" ht="7.5" customHeight="1" x14ac:dyDescent="0.2">
      <c r="A188" s="2"/>
      <c r="B188" s="2"/>
      <c r="C188" s="2"/>
      <c r="D188" s="2"/>
      <c r="E188" s="2"/>
      <c r="F188" s="2"/>
      <c r="G188" s="598">
        <f>IF(AND(G$193&lt;&gt;0,G$193&gt;0),IF(($E$184*4)&gt;=G$193,0,1),IF(AND(G$193&lt;&gt;0,G$193&lt;0),IF(($E$184*4)&lt;=G$193,0,1),0))</f>
        <v>0</v>
      </c>
      <c r="H188" s="598">
        <f>IF(AND(H$193&lt;&gt;0,H$193&gt;0),IF(($E$184*4)&gt;=H$193,0,1),IF(AND(H$193&lt;&gt;0,H$193&lt;0),IF(($E$184*4)&lt;=H$193,0,1),0))</f>
        <v>0</v>
      </c>
      <c r="I188" s="2061">
        <f>IF(AND(I$193&lt;&gt;0,I$193&gt;0),IF(($E$184*4)&gt;=I$193,0,1),IF(AND(I$193&lt;&gt;0,I$193&lt;0),IF(($E$184*4)&lt;=I$193,0,1),0))</f>
        <v>0</v>
      </c>
      <c r="J188" s="2062"/>
      <c r="K188" s="598">
        <f>IF(AND(K$193&lt;&gt;0,K$193&gt;0),IF(($E$184*4)&gt;=K$193,0,1),IF(AND(K$193&lt;&gt;0,K$193&lt;0),IF(($E$184*4)&lt;=K$193,0,1),0))</f>
        <v>0</v>
      </c>
      <c r="L188" s="2"/>
      <c r="M188" s="2"/>
      <c r="N188" s="2"/>
      <c r="O188" s="2"/>
      <c r="P188" s="2"/>
      <c r="Q188" s="2"/>
      <c r="R188" s="591"/>
      <c r="S188" s="591"/>
      <c r="T188" s="591"/>
      <c r="U188" s="591"/>
      <c r="V188" s="591"/>
      <c r="W188" s="591"/>
      <c r="X188" s="591"/>
      <c r="AA188" s="591"/>
      <c r="AB188" s="591"/>
      <c r="AC188" s="591"/>
      <c r="AG188" s="591"/>
      <c r="AS188" s="591"/>
    </row>
    <row r="189" spans="1:45" ht="7.5" customHeight="1" x14ac:dyDescent="0.2">
      <c r="A189" s="2"/>
      <c r="B189" s="2"/>
      <c r="C189" s="2"/>
      <c r="D189" s="2"/>
      <c r="E189" s="2"/>
      <c r="F189" s="2"/>
      <c r="G189" s="598">
        <f>IF(AND(G$193&lt;&gt;0,G$193&gt;0),IF(($E$184*3)&gt;=G$193,0,1),IF(AND(G$193&lt;&gt;0,G$193&lt;0),IF(($E$184*3)&lt;=G$193,0,1),0))</f>
        <v>0</v>
      </c>
      <c r="H189" s="598">
        <f>IF(AND(H$193&lt;&gt;0,H$193&gt;0),IF(($E$184*3)&gt;=H$193,0,1),IF(AND(H$193&lt;&gt;0,H$193&lt;0),IF(($E$184*3)&lt;=H$193,0,1),0))</f>
        <v>0</v>
      </c>
      <c r="I189" s="2061">
        <f>IF(AND(I$193&lt;&gt;0,I$193&gt;0),IF(($E$184*3)&gt;=I$193,0,1),IF(AND(I$193&lt;&gt;0,I$193&lt;0),IF(($E$184*3)&lt;=I$193,0,1),0))</f>
        <v>0</v>
      </c>
      <c r="J189" s="2062"/>
      <c r="K189" s="598">
        <f>IF(AND(K$193&lt;&gt;0,K$193&gt;0),IF(($E$184*3)&gt;=K$193,0,1),IF(AND(K$193&lt;&gt;0,K$193&lt;0),IF(($E$184*3)&lt;=K$193,0,1),0))</f>
        <v>0</v>
      </c>
      <c r="L189" s="2"/>
      <c r="M189" s="2"/>
      <c r="N189" s="2"/>
      <c r="O189" s="2"/>
      <c r="P189" s="2"/>
      <c r="Q189" s="2"/>
      <c r="R189" s="591"/>
      <c r="S189" s="591"/>
      <c r="T189" s="591"/>
      <c r="U189" s="591"/>
      <c r="V189" s="591"/>
      <c r="W189" s="591"/>
      <c r="X189" s="591"/>
      <c r="AA189" s="591"/>
      <c r="AB189" s="591"/>
      <c r="AC189" s="591"/>
      <c r="AG189" s="591"/>
      <c r="AS189" s="591"/>
    </row>
    <row r="190" spans="1:45" ht="7.5" customHeight="1" x14ac:dyDescent="0.2">
      <c r="A190" s="2"/>
      <c r="B190" s="2"/>
      <c r="C190" s="2"/>
      <c r="D190" s="2"/>
      <c r="E190" s="2"/>
      <c r="F190" s="2"/>
      <c r="G190" s="598">
        <f>IF(AND(G$193&lt;&gt;0,G$193&gt;0),IF(($E$184*2)&gt;=G$193,0,1),IF(AND(G$193&lt;&gt;0,G$193&lt;0),IF(($E$184*2)&lt;=G$193,0,1),0))</f>
        <v>0</v>
      </c>
      <c r="H190" s="598">
        <f>IF(AND(H$193&lt;&gt;0,H$193&gt;0),IF(($E$184*2)&gt;=H$193,0,1),IF(AND(H$193&lt;&gt;0,H$193&lt;0),IF(($E$184*2)&lt;=H$193,0,1),0))</f>
        <v>0</v>
      </c>
      <c r="I190" s="2061">
        <f>IF(AND(I$193&lt;&gt;0,I$193&gt;0),IF(($E$184*2)&gt;=I$193,0,1),IF(AND(I$193&lt;&gt;0,I$193&lt;0),IF(($E$184*2)&lt;=I$193,0,1),0))</f>
        <v>0</v>
      </c>
      <c r="J190" s="2062"/>
      <c r="K190" s="598">
        <f>IF(AND(K$193&lt;&gt;0,K$193&gt;0),IF(($E$184*2)&gt;=K$193,0,1),IF(AND(K$193&lt;&gt;0,K$193&lt;0),IF(($E$184*2)&lt;=K$193,0,1),0))</f>
        <v>0</v>
      </c>
      <c r="L190" s="2"/>
      <c r="M190" s="2"/>
      <c r="N190" s="2"/>
      <c r="O190" s="2"/>
      <c r="P190" s="2"/>
      <c r="Q190" s="2"/>
      <c r="R190" s="591"/>
      <c r="S190" s="591"/>
      <c r="T190" s="591"/>
      <c r="U190" s="591"/>
      <c r="V190" s="591"/>
      <c r="W190" s="591"/>
      <c r="X190" s="591"/>
      <c r="AA190" s="591"/>
      <c r="AB190" s="591"/>
      <c r="AC190" s="591"/>
      <c r="AG190" s="591"/>
      <c r="AS190" s="591"/>
    </row>
    <row r="191" spans="1:45" ht="7.5" customHeight="1" x14ac:dyDescent="0.2">
      <c r="A191" s="2"/>
      <c r="B191" s="2"/>
      <c r="C191" s="2"/>
      <c r="D191" s="2"/>
      <c r="E191" s="2"/>
      <c r="F191" s="2"/>
      <c r="G191" s="598">
        <f>IF(AND(G$193&lt;&gt;0,G$193&gt;0),IF(($E$184*1)&gt;=G$193,0,1),IF(AND(G$193&lt;&gt;0,G$193&lt;0),IF(($E$184*1)&lt;=G$193,0,1),0))</f>
        <v>0</v>
      </c>
      <c r="H191" s="598">
        <f>IF(AND(H$193&lt;&gt;0,H$193&gt;0),IF(($E$184*1)&gt;=H$193,0,1),IF(AND(H$193&lt;&gt;0,H$193&lt;0),IF(($E$184*1)&lt;=H$193,0,1),0))</f>
        <v>0</v>
      </c>
      <c r="I191" s="2061">
        <f>IF(AND(I$193&lt;&gt;0,I$193&gt;0),IF(($E$184*1)&gt;=I$193,0,1),IF(AND(I$193&lt;&gt;0,I$193&lt;0),IF(($E$184*1)&lt;=I$193,0,1),0))</f>
        <v>0</v>
      </c>
      <c r="J191" s="2062"/>
      <c r="K191" s="598">
        <f>IF(AND(K$193&lt;&gt;0,K$193&gt;0),IF(($E$184*1)&gt;=K$193,0,1),IF(AND(K$193&lt;&gt;0,K$193&lt;0),IF(($E$184*1)&lt;=K$193,0,1),0))</f>
        <v>0</v>
      </c>
      <c r="L191" s="2"/>
      <c r="M191" s="2"/>
      <c r="N191" s="2"/>
      <c r="O191" s="2"/>
      <c r="P191" s="2"/>
      <c r="Q191" s="2"/>
      <c r="R191" s="591"/>
      <c r="S191" s="591"/>
      <c r="T191" s="591"/>
      <c r="U191" s="591"/>
      <c r="V191" s="591"/>
      <c r="W191" s="591"/>
      <c r="X191" s="591"/>
      <c r="AA191" s="591"/>
      <c r="AB191" s="591"/>
      <c r="AC191" s="591"/>
      <c r="AG191" s="591"/>
      <c r="AS191" s="591"/>
    </row>
    <row r="192" spans="1:45" ht="7.5" customHeight="1" x14ac:dyDescent="0.2">
      <c r="A192" s="2"/>
      <c r="B192" s="2"/>
      <c r="C192" s="2"/>
      <c r="D192" s="2"/>
      <c r="E192" s="2"/>
      <c r="F192" s="2"/>
      <c r="G192" s="599">
        <f>IF(G193&lt;&gt;0,1,0)</f>
        <v>0</v>
      </c>
      <c r="H192" s="599">
        <f>IF(H193&lt;&gt;0,1,0)</f>
        <v>0</v>
      </c>
      <c r="I192" s="2199">
        <f>IF(I193&lt;&gt;0,1,0)</f>
        <v>0</v>
      </c>
      <c r="J192" s="2200"/>
      <c r="K192" s="599">
        <f>IF(K193&lt;&gt;0,1,0)</f>
        <v>0</v>
      </c>
      <c r="L192" s="2"/>
      <c r="M192" s="2"/>
      <c r="N192" s="2"/>
      <c r="O192" s="2"/>
      <c r="P192" s="2"/>
      <c r="Q192" s="2"/>
      <c r="R192" s="591"/>
      <c r="S192" s="591"/>
      <c r="T192" s="591"/>
      <c r="U192" s="591"/>
      <c r="V192" s="591"/>
      <c r="W192" s="591"/>
      <c r="X192" s="591"/>
      <c r="AA192" s="591"/>
      <c r="AB192" s="591"/>
      <c r="AC192" s="591"/>
      <c r="AG192" s="591"/>
      <c r="AS192" s="591"/>
    </row>
    <row r="193" spans="1:45" ht="21.95" customHeight="1" x14ac:dyDescent="0.2">
      <c r="A193" s="2"/>
      <c r="B193" s="7"/>
      <c r="C193" s="2092" t="s">
        <v>582</v>
      </c>
      <c r="D193" s="2092"/>
      <c r="E193" s="2093">
        <f>SUM(G193:K193)</f>
        <v>0</v>
      </c>
      <c r="F193" s="2093"/>
      <c r="G193" s="623">
        <f>VLOOKUP($M166,$C215:G217,G214,FALSE)</f>
        <v>0</v>
      </c>
      <c r="H193" s="623">
        <f>VLOOKUP($M166,$C215:H217,H214,FALSE)</f>
        <v>0</v>
      </c>
      <c r="I193" s="2196">
        <f>VLOOKUP($M166,$C215:I217,I214,FALSE)</f>
        <v>0</v>
      </c>
      <c r="J193" s="2196"/>
      <c r="K193" s="623">
        <f>VLOOKUP($M166,$C215:J217,J214,FALSE)</f>
        <v>0</v>
      </c>
      <c r="L193" s="2"/>
      <c r="M193" s="12"/>
      <c r="N193" s="2"/>
      <c r="O193" s="2"/>
      <c r="P193" s="2"/>
      <c r="Q193" s="2"/>
      <c r="R193" s="591"/>
      <c r="S193" s="591"/>
      <c r="T193" s="591"/>
      <c r="U193" s="591"/>
      <c r="V193" s="591"/>
      <c r="W193" s="591"/>
      <c r="X193" s="591"/>
      <c r="AA193" s="591"/>
      <c r="AB193" s="591"/>
      <c r="AC193" s="591"/>
      <c r="AG193" s="591"/>
      <c r="AS193" s="591"/>
    </row>
    <row r="194" spans="1:45" ht="11.25" customHeight="1" x14ac:dyDescent="0.2">
      <c r="A194" s="2"/>
      <c r="B194" s="2"/>
      <c r="C194" s="2"/>
      <c r="D194" s="2"/>
      <c r="E194" s="2"/>
      <c r="F194" s="2"/>
      <c r="G194" s="2"/>
      <c r="H194" s="2"/>
      <c r="I194" s="2203"/>
      <c r="J194" s="2203"/>
      <c r="K194" s="2"/>
      <c r="L194" s="2"/>
      <c r="M194" s="2"/>
      <c r="N194" s="2"/>
      <c r="O194" s="2"/>
      <c r="P194" s="2"/>
      <c r="Q194" s="2"/>
      <c r="R194" s="591"/>
      <c r="S194" s="591"/>
      <c r="T194" s="591"/>
      <c r="U194" s="591"/>
      <c r="V194" s="591"/>
      <c r="W194" s="591"/>
      <c r="X194" s="591"/>
      <c r="AA194" s="591"/>
      <c r="AB194" s="591"/>
      <c r="AC194" s="591"/>
      <c r="AG194" s="591"/>
      <c r="AS194" s="591"/>
    </row>
    <row r="195" spans="1:45" ht="19.5" customHeight="1" x14ac:dyDescent="0.2">
      <c r="A195" s="2"/>
      <c r="B195" s="2"/>
      <c r="C195" s="2063" t="e">
        <f>VLOOKUP(I207,I220:K229,3,FALSE)</f>
        <v>#N/A</v>
      </c>
      <c r="D195" s="2063"/>
      <c r="E195" s="2063"/>
      <c r="F195" s="2063"/>
      <c r="G195" s="2063"/>
      <c r="H195" s="2063"/>
      <c r="I195" s="2202"/>
      <c r="J195" s="2202"/>
      <c r="K195" s="2"/>
      <c r="L195" s="2"/>
      <c r="M195" s="2"/>
      <c r="N195" s="2"/>
      <c r="O195" s="2"/>
      <c r="P195" s="2"/>
      <c r="Q195" s="2"/>
      <c r="R195" s="591"/>
      <c r="S195" s="591"/>
      <c r="T195" s="591"/>
      <c r="U195" s="591"/>
      <c r="V195" s="591"/>
      <c r="W195" s="591"/>
      <c r="X195" s="591"/>
      <c r="AA195" s="591"/>
      <c r="AB195" s="591"/>
      <c r="AC195" s="591"/>
      <c r="AG195" s="591"/>
      <c r="AS195" s="591"/>
    </row>
    <row r="196" spans="1:45" ht="7.5" customHeight="1" x14ac:dyDescent="0.2">
      <c r="A196" s="2"/>
      <c r="B196" s="2"/>
      <c r="C196" s="2064"/>
      <c r="D196" s="2065"/>
      <c r="E196" s="484"/>
      <c r="F196" s="2"/>
      <c r="G196" s="594" t="e">
        <f>IF(AND(G$206&lt;&gt;0,G$206&gt;0),IF(($E$197*9)&gt;=G$206,0,1),IF(AND(G$206&lt;&gt;0,G$206&lt;0),IF(($E$197*9)&lt;=G$206,0,1),0))</f>
        <v>#N/A</v>
      </c>
      <c r="H196" s="594" t="e">
        <f>IF(AND(H$206&lt;&gt;0,H$206&gt;0),IF(($E$197*9)&gt;=H$206,0,1),IF(AND(H$206&lt;&gt;0,H$206&lt;0),IF(($E$197*9)&lt;=H$206,0,1),0))</f>
        <v>#N/A</v>
      </c>
      <c r="I196" s="2197" t="e">
        <f>IF(AND(I$206&lt;&gt;0,I$206&gt;0),IF(($E$197*9)&gt;=I$206,0,1),IF(AND(I$206&lt;&gt;0,I$206&lt;0),IF(($E$197*9)&lt;=I$206,0,1),0))</f>
        <v>#N/A</v>
      </c>
      <c r="J196" s="2198"/>
      <c r="K196" s="594" t="e">
        <f>IF(AND(K$206&lt;&gt;0,K$206&gt;0),IF(($E$197*9)&gt;=K$206,0,1),IF(AND(K$206&lt;&gt;0,K$206&lt;0),IF(($E$197*9)&lt;=K$206,0,1),0))</f>
        <v>#N/A</v>
      </c>
      <c r="L196" s="2"/>
      <c r="M196" s="2"/>
      <c r="N196" s="2"/>
      <c r="O196" s="2"/>
      <c r="P196" s="2"/>
      <c r="Q196" s="2"/>
      <c r="R196" s="591"/>
      <c r="S196" s="591"/>
      <c r="T196" s="591"/>
      <c r="U196" s="591"/>
      <c r="V196" s="591"/>
      <c r="W196" s="591"/>
      <c r="X196" s="591"/>
      <c r="AA196" s="591"/>
      <c r="AB196" s="591"/>
      <c r="AC196" s="591"/>
      <c r="AG196" s="591"/>
      <c r="AS196" s="591"/>
    </row>
    <row r="197" spans="1:45" ht="7.5" customHeight="1" x14ac:dyDescent="0.2">
      <c r="A197" s="2"/>
      <c r="B197" s="2"/>
      <c r="C197" s="2096" t="s">
        <v>587</v>
      </c>
      <c r="D197" s="2096"/>
      <c r="E197" s="2098">
        <f>IF(OR(M166=0,M168=""),0,IF(M168=E220,E221,MAX(G206:K206)/10))</f>
        <v>0</v>
      </c>
      <c r="F197" s="2"/>
      <c r="G197" s="595" t="e">
        <f>IF(AND(G$206&lt;&gt;0,G$206&gt;0),IF(($E$197*8)&gt;=G$206,0,1),IF(AND(G$206&lt;&gt;0,G$206&lt;0),IF(($E$197*8)&lt;=G$206,0,1),0))</f>
        <v>#N/A</v>
      </c>
      <c r="H197" s="595" t="e">
        <f>IF(AND(H$206&lt;&gt;0,H$206&gt;0),IF(($E$197*8)&gt;=H$206,0,1),IF(AND(H$206&lt;&gt;0,H$206&lt;0),IF(($E$197*8)&lt;=H$206,0,1),0))</f>
        <v>#N/A</v>
      </c>
      <c r="I197" s="2049" t="e">
        <f>IF(AND(I$206&lt;&gt;0,I$206&gt;0),IF(($E$197*8)&gt;=I$206,0,1),IF(AND(I$206&lt;&gt;0,I$206&lt;0),IF(($E$197*8)&lt;=I$206,0,1),0))</f>
        <v>#N/A</v>
      </c>
      <c r="J197" s="2050"/>
      <c r="K197" s="595" t="e">
        <f>IF(AND(K$206&lt;&gt;0,K$206&gt;0),IF(($E$197*8)&gt;=K$206,0,1),IF(AND(K$206&lt;&gt;0,K$206&lt;0),IF(($E$197*8)&lt;=K$206,0,1),0))</f>
        <v>#N/A</v>
      </c>
      <c r="L197" s="2"/>
      <c r="M197" s="2"/>
      <c r="N197" s="2"/>
      <c r="O197" s="2"/>
      <c r="P197" s="2"/>
      <c r="Q197" s="2"/>
      <c r="R197" s="591"/>
      <c r="S197" s="591"/>
      <c r="T197" s="591"/>
      <c r="U197" s="591"/>
      <c r="V197" s="591"/>
      <c r="W197" s="591"/>
      <c r="X197" s="591"/>
      <c r="AA197" s="591"/>
      <c r="AB197" s="591"/>
      <c r="AC197" s="591"/>
      <c r="AG197" s="591"/>
      <c r="AS197" s="591"/>
    </row>
    <row r="198" spans="1:45" ht="7.5" customHeight="1" x14ac:dyDescent="0.2">
      <c r="A198" s="2"/>
      <c r="B198" s="2"/>
      <c r="C198" s="2097"/>
      <c r="D198" s="2097"/>
      <c r="E198" s="2098"/>
      <c r="F198" s="2"/>
      <c r="G198" s="595" t="e">
        <f>IF(AND(G$206&lt;&gt;0,G$206&gt;0),IF(($E$197*7)&gt;=G$206,0,1),IF(AND(G$206&lt;&gt;0,G$206&lt;0),IF(($E$197*7)&lt;=G$206,0,1),0))</f>
        <v>#N/A</v>
      </c>
      <c r="H198" s="595" t="e">
        <f>IF(AND(H$206&lt;&gt;0,H$206&gt;0),IF(($E$197*7)&gt;=H$206,0,1),IF(AND(H$206&lt;&gt;0,H$206&lt;0),IF(($E$197*7)&lt;=H$206,0,1),0))</f>
        <v>#N/A</v>
      </c>
      <c r="I198" s="2049" t="e">
        <f>IF(AND(I$206&lt;&gt;0,I$206&gt;0),IF(($E$197*7)&gt;=I$206,0,1),IF(AND(I$206&lt;&gt;0,I$206&lt;0),IF(($E$197*7)&lt;=I$206,0,1),0))</f>
        <v>#N/A</v>
      </c>
      <c r="J198" s="2050"/>
      <c r="K198" s="595" t="e">
        <f>IF(AND(K$206&lt;&gt;0,K$206&gt;0),IF(($E$197*7)&gt;=K$206,0,1),IF(AND(K$206&lt;&gt;0,K$206&lt;0),IF(($E$197*7)&lt;=K$206,0,1),0))</f>
        <v>#N/A</v>
      </c>
      <c r="L198" s="2"/>
      <c r="M198" s="2"/>
      <c r="N198" s="2"/>
      <c r="O198" s="2"/>
      <c r="P198" s="2"/>
      <c r="Q198" s="2"/>
      <c r="R198" s="591"/>
      <c r="S198" s="591"/>
      <c r="T198" s="591"/>
      <c r="U198" s="591"/>
      <c r="V198" s="591"/>
      <c r="W198" s="591"/>
      <c r="X198" s="591"/>
      <c r="AA198" s="591"/>
      <c r="AB198" s="591"/>
      <c r="AC198" s="591"/>
      <c r="AG198" s="591"/>
      <c r="AS198" s="591"/>
    </row>
    <row r="199" spans="1:45" ht="7.5" customHeight="1" x14ac:dyDescent="0.2">
      <c r="A199" s="2"/>
      <c r="B199" s="2"/>
      <c r="C199" s="2"/>
      <c r="D199" s="2"/>
      <c r="E199" s="2"/>
      <c r="F199" s="2"/>
      <c r="G199" s="595" t="e">
        <f>IF(AND(G$206&lt;&gt;0,G$206&gt;0),IF(($E$197*6)&gt;=G$206,0,1),IF(AND(G$206&lt;&gt;0,G$206&lt;0),IF(($E$197*6)&lt;=G$206,0,1),0))</f>
        <v>#N/A</v>
      </c>
      <c r="H199" s="595" t="e">
        <f>IF(AND(H$206&lt;&gt;0,H$206&gt;0),IF(($E$197*6)&gt;=H$206,0,1),IF(AND(H$206&lt;&gt;0,H$206&lt;0),IF(($E$197*6)&lt;=H$206,0,1),0))</f>
        <v>#N/A</v>
      </c>
      <c r="I199" s="2049" t="e">
        <f>IF(AND(I$206&lt;&gt;0,I$206&gt;0),IF(($E$197*6)&gt;=I$206,0,1),IF(AND(I$206&lt;&gt;0,I$206&lt;0),IF(($E$197*6)&lt;=I$206,0,1),0))</f>
        <v>#N/A</v>
      </c>
      <c r="J199" s="2050"/>
      <c r="K199" s="595" t="e">
        <f>IF(AND(K$206&lt;&gt;0,K$206&gt;0),IF(($E$197*6)&gt;=K$206,0,1),IF(AND(K$206&lt;&gt;0,K$206&lt;0),IF(($E$197*6)&lt;=K$206,0,1),0))</f>
        <v>#N/A</v>
      </c>
      <c r="L199" s="2"/>
      <c r="M199" s="2"/>
      <c r="N199" s="2"/>
      <c r="O199" s="2"/>
      <c r="P199" s="2"/>
      <c r="Q199" s="2"/>
      <c r="R199" s="591"/>
      <c r="S199" s="591"/>
      <c r="T199" s="591"/>
      <c r="U199" s="591"/>
      <c r="V199" s="591"/>
      <c r="W199" s="591"/>
      <c r="X199" s="591"/>
      <c r="AA199" s="591"/>
      <c r="AB199" s="591"/>
      <c r="AC199" s="591"/>
      <c r="AG199" s="591"/>
      <c r="AS199" s="591"/>
    </row>
    <row r="200" spans="1:45" ht="7.5" customHeight="1" x14ac:dyDescent="0.2">
      <c r="A200" s="2"/>
      <c r="B200" s="2"/>
      <c r="C200" s="2"/>
      <c r="D200" s="2"/>
      <c r="E200" s="2"/>
      <c r="F200" s="2"/>
      <c r="G200" s="595" t="e">
        <f>IF(AND(G$206&lt;&gt;0,G$206&gt;0),IF(($E$197*5)&gt;=G$206,0,1),IF(AND(G$206&lt;&gt;0,G$206&lt;0),IF(($E$197*5)&lt;=G$206,0,1),0))</f>
        <v>#N/A</v>
      </c>
      <c r="H200" s="595" t="e">
        <f>IF(AND(H$206&lt;&gt;0,H$206&gt;0),IF(($E$197*5)&gt;=H$206,0,1),IF(AND(H$206&lt;&gt;0,H$206&lt;0),IF(($E$197*5)&lt;=H$206,0,1),0))</f>
        <v>#N/A</v>
      </c>
      <c r="I200" s="2049" t="e">
        <f>IF(AND(I$206&lt;&gt;0,I$206&gt;0),IF(($E$197*5)&gt;=I$206,0,1),IF(AND(I$206&lt;&gt;0,I$206&lt;0),IF(($E$197*5)&lt;=I$206,0,1),0))</f>
        <v>#N/A</v>
      </c>
      <c r="J200" s="2050"/>
      <c r="K200" s="595" t="e">
        <f>IF(AND(K$206&lt;&gt;0,K$206&gt;0),IF(($E$197*5)&gt;=K$206,0,1),IF(AND(K$206&lt;&gt;0,K$206&lt;0),IF(($E$197*5)&lt;=K$206,0,1),0))</f>
        <v>#N/A</v>
      </c>
      <c r="L200" s="2"/>
      <c r="M200" s="2"/>
      <c r="N200" s="2"/>
      <c r="O200" s="2"/>
      <c r="P200" s="2"/>
      <c r="Q200" s="2"/>
      <c r="R200" s="591"/>
      <c r="S200" s="591"/>
      <c r="T200" s="591"/>
      <c r="U200" s="591"/>
      <c r="V200" s="591"/>
      <c r="W200" s="591"/>
      <c r="X200" s="591"/>
      <c r="AA200" s="591"/>
      <c r="AB200" s="591"/>
      <c r="AC200" s="591"/>
      <c r="AG200" s="591"/>
      <c r="AS200" s="591"/>
    </row>
    <row r="201" spans="1:45" ht="7.5" customHeight="1" x14ac:dyDescent="0.2">
      <c r="A201" s="2"/>
      <c r="B201" s="2"/>
      <c r="C201" s="2"/>
      <c r="D201" s="2"/>
      <c r="E201" s="2"/>
      <c r="F201" s="2"/>
      <c r="G201" s="595" t="e">
        <f>IF(AND(G$206&lt;&gt;0,G$206&gt;0),IF(($E$197*4)&gt;=G$206,0,1),IF(AND(G$206&lt;&gt;0,G$206&lt;0),IF(($E$197*4)&lt;=G$206,0,1),0))</f>
        <v>#N/A</v>
      </c>
      <c r="H201" s="595" t="e">
        <f>IF(AND(H$206&lt;&gt;0,H$206&gt;0),IF(($E$197*4)&gt;=H$206,0,1),IF(AND(H$206&lt;&gt;0,H$206&lt;0),IF(($E$197*4)&lt;=H$206,0,1),0))</f>
        <v>#N/A</v>
      </c>
      <c r="I201" s="2049" t="e">
        <f>IF(AND(I$206&lt;&gt;0,I$206&gt;0),IF(($E$197*4)&gt;=I$206,0,1),IF(AND(I$206&lt;&gt;0,I$206&lt;0),IF(($E$197*4)&lt;=I$206,0,1),0))</f>
        <v>#N/A</v>
      </c>
      <c r="J201" s="2050"/>
      <c r="K201" s="595" t="e">
        <f>IF(AND(K$206&lt;&gt;0,K$206&gt;0),IF(($E$197*4)&gt;=K$206,0,1),IF(AND(K$206&lt;&gt;0,K$206&lt;0),IF(($E$197*4)&lt;=K$206,0,1),0))</f>
        <v>#N/A</v>
      </c>
      <c r="L201" s="2"/>
      <c r="M201" s="2"/>
      <c r="N201" s="2"/>
      <c r="O201" s="2"/>
      <c r="P201" s="2"/>
      <c r="Q201" s="2"/>
      <c r="R201" s="591"/>
      <c r="S201" s="591"/>
      <c r="T201" s="591"/>
      <c r="U201" s="591"/>
      <c r="V201" s="591"/>
      <c r="W201" s="591"/>
      <c r="X201" s="591"/>
      <c r="AA201" s="591"/>
      <c r="AB201" s="591"/>
      <c r="AC201" s="591"/>
      <c r="AG201" s="591"/>
      <c r="AS201" s="591"/>
    </row>
    <row r="202" spans="1:45" ht="7.5" customHeight="1" x14ac:dyDescent="0.2">
      <c r="A202" s="2"/>
      <c r="B202" s="2"/>
      <c r="C202" s="2"/>
      <c r="D202" s="2"/>
      <c r="E202" s="2"/>
      <c r="F202" s="2"/>
      <c r="G202" s="595" t="e">
        <f>IF(AND(G$206&lt;&gt;0,G$206&gt;0),IF(($E$197*3)&gt;=G$206,0,1),IF(AND(G$206&lt;&gt;0,G$206&lt;0),IF(($E$197*3)&lt;=G$206,0,1),0))</f>
        <v>#N/A</v>
      </c>
      <c r="H202" s="595" t="e">
        <f>IF(AND(H$206&lt;&gt;0,H$206&gt;0),IF(($E$197*3)&gt;=H$206,0,1),IF(AND(H$206&lt;&gt;0,H$206&lt;0),IF(($E$197*3)&lt;=H$206,0,1),0))</f>
        <v>#N/A</v>
      </c>
      <c r="I202" s="2049" t="e">
        <f>IF(AND(I$206&lt;&gt;0,I$206&gt;0),IF(($E$197*3)&gt;=I$206,0,1),IF(AND(I$206&lt;&gt;0,I$206&lt;0),IF(($E$197*3)&lt;=I$206,0,1),0))</f>
        <v>#N/A</v>
      </c>
      <c r="J202" s="2050"/>
      <c r="K202" s="595" t="e">
        <f>IF(AND(K$206&lt;&gt;0,K$206&gt;0),IF(($E$197*3)&gt;=K$206,0,1),IF(AND(K$206&lt;&gt;0,K$206&lt;0),IF(($E$197*3)&lt;=K$206,0,1),0))</f>
        <v>#N/A</v>
      </c>
      <c r="L202" s="2"/>
      <c r="M202" s="2"/>
      <c r="N202" s="2"/>
      <c r="O202" s="2"/>
      <c r="P202" s="2"/>
      <c r="Q202" s="2"/>
      <c r="R202" s="591"/>
      <c r="S202" s="591"/>
      <c r="T202" s="591"/>
      <c r="U202" s="591"/>
      <c r="V202" s="591"/>
      <c r="W202" s="591"/>
      <c r="X202" s="591"/>
      <c r="AA202" s="591"/>
      <c r="AB202" s="591"/>
      <c r="AC202" s="591"/>
      <c r="AG202" s="591"/>
      <c r="AS202" s="591"/>
    </row>
    <row r="203" spans="1:45" ht="7.5" customHeight="1" x14ac:dyDescent="0.2">
      <c r="A203" s="2"/>
      <c r="B203" s="2"/>
      <c r="C203" s="2"/>
      <c r="D203" s="2"/>
      <c r="E203" s="2"/>
      <c r="F203" s="2"/>
      <c r="G203" s="595" t="e">
        <f>IF(AND(G$206&lt;&gt;0,G$206&gt;0),IF(($E$197*2)&gt;=G$206,0,1),IF(AND(G$206&lt;&gt;0,G$206&lt;0),IF(($E$197*2)&lt;=G$206,0,1),0))</f>
        <v>#N/A</v>
      </c>
      <c r="H203" s="595" t="e">
        <f>IF(AND(H$206&lt;&gt;0,H$206&gt;0),IF(($E$197*2)&gt;=H$206,0,1),IF(AND(H$206&lt;&gt;0,H$206&lt;0),IF(($E$197*2)&lt;=H$206,0,1),0))</f>
        <v>#N/A</v>
      </c>
      <c r="I203" s="2049" t="e">
        <f>IF(AND(I$206&lt;&gt;0,I$206&gt;0),IF(($E$197*2)&gt;=I$206,0,1),IF(AND(I$206&lt;&gt;0,I$206&lt;0),IF(($E$197*2)&lt;=I$206,0,1),0))</f>
        <v>#N/A</v>
      </c>
      <c r="J203" s="2050"/>
      <c r="K203" s="595" t="e">
        <f>IF(AND(K$206&lt;&gt;0,K$206&gt;0),IF(($E$197*2)&gt;=K$206,0,1),IF(AND(K$206&lt;&gt;0,K$206&lt;0),IF(($E$197*2)&lt;=K$206,0,1),0))</f>
        <v>#N/A</v>
      </c>
      <c r="L203" s="2"/>
      <c r="M203" s="2"/>
      <c r="N203" s="2"/>
      <c r="O203" s="2"/>
      <c r="P203" s="2"/>
      <c r="Q203" s="2"/>
      <c r="R203" s="591"/>
      <c r="S203" s="591"/>
      <c r="T203" s="591"/>
      <c r="U203" s="591"/>
      <c r="V203" s="591"/>
      <c r="W203" s="591"/>
      <c r="X203" s="591"/>
      <c r="AA203" s="591"/>
      <c r="AB203" s="591"/>
      <c r="AC203" s="591"/>
      <c r="AG203" s="591"/>
      <c r="AS203" s="591"/>
    </row>
    <row r="204" spans="1:45" ht="7.5" customHeight="1" x14ac:dyDescent="0.2">
      <c r="A204" s="2"/>
      <c r="B204" s="2"/>
      <c r="C204" s="2"/>
      <c r="D204" s="2"/>
      <c r="E204" s="2"/>
      <c r="F204" s="2"/>
      <c r="G204" s="595" t="e">
        <f>IF(AND(G$206&lt;&gt;0,G$206&gt;0),IF(($E$197*1)&gt;=G$206,0,1),IF(AND(G$206&lt;&gt;0,G$206&lt;0),IF(($E$197*1)&lt;=G$206,0,1),0))</f>
        <v>#N/A</v>
      </c>
      <c r="H204" s="595" t="e">
        <f>IF(AND(H$206&lt;&gt;0,H$206&gt;0),IF(($E$197*1)&gt;=H$206,0,1),IF(AND(H$206&lt;&gt;0,H$206&lt;0),IF(($E$197*1)&lt;=H$206,0,1),0))</f>
        <v>#N/A</v>
      </c>
      <c r="I204" s="2049" t="e">
        <f>IF(AND(I$206&lt;&gt;0,I$206&gt;0),IF(($E$197*1)&gt;=I$206,0,1),IF(AND(I$206&lt;&gt;0,I$206&lt;0),IF(($E$197*1)&lt;=I$206,0,1),0))</f>
        <v>#N/A</v>
      </c>
      <c r="J204" s="2050"/>
      <c r="K204" s="595" t="e">
        <f>IF(AND(K$206&lt;&gt;0,K$206&gt;0),IF(($E$197*1)&gt;=K$206,0,1),IF(AND(K$206&lt;&gt;0,K$206&lt;0),IF(($E$197*1)&lt;=K$206,0,1),0))</f>
        <v>#N/A</v>
      </c>
      <c r="L204" s="2"/>
      <c r="M204" s="2"/>
      <c r="N204" s="2"/>
      <c r="O204" s="2"/>
      <c r="P204" s="2"/>
      <c r="Q204" s="2"/>
      <c r="R204" s="591"/>
      <c r="S204" s="591"/>
      <c r="T204" s="591"/>
      <c r="U204" s="591"/>
      <c r="V204" s="591"/>
      <c r="W204" s="591"/>
      <c r="X204" s="591"/>
      <c r="AA204" s="591"/>
      <c r="AB204" s="591"/>
      <c r="AC204" s="591"/>
      <c r="AG204" s="591"/>
      <c r="AS204" s="591"/>
    </row>
    <row r="205" spans="1:45" ht="7.5" customHeight="1" x14ac:dyDescent="0.2">
      <c r="A205" s="2"/>
      <c r="B205" s="2"/>
      <c r="C205" s="2"/>
      <c r="D205" s="2"/>
      <c r="E205" s="2"/>
      <c r="F205" s="2"/>
      <c r="G205" s="596" t="e">
        <f>IF(G206&lt;&gt;0,1,0)</f>
        <v>#N/A</v>
      </c>
      <c r="H205" s="596" t="e">
        <f>IF(H206&lt;&gt;0,1,0)</f>
        <v>#N/A</v>
      </c>
      <c r="I205" s="2194" t="e">
        <f>IF(I206&lt;&gt;0,1,0)</f>
        <v>#N/A</v>
      </c>
      <c r="J205" s="2195"/>
      <c r="K205" s="596" t="e">
        <f>IF(K206&lt;&gt;0,1,0)</f>
        <v>#N/A</v>
      </c>
      <c r="L205" s="2"/>
      <c r="M205" s="2"/>
      <c r="N205" s="2"/>
      <c r="O205" s="2"/>
      <c r="P205" s="2"/>
      <c r="Q205" s="2"/>
      <c r="R205" s="591"/>
      <c r="S205" s="591"/>
      <c r="T205" s="591"/>
      <c r="U205" s="591"/>
      <c r="V205" s="591"/>
      <c r="W205" s="591"/>
      <c r="X205" s="591"/>
      <c r="AA205" s="591"/>
      <c r="AB205" s="591"/>
      <c r="AC205" s="591"/>
      <c r="AG205" s="591"/>
      <c r="AS205" s="591"/>
    </row>
    <row r="206" spans="1:45" ht="21.95" customHeight="1" x14ac:dyDescent="0.2">
      <c r="A206" s="2"/>
      <c r="B206" s="7"/>
      <c r="C206" s="2092" t="s">
        <v>582</v>
      </c>
      <c r="D206" s="2092"/>
      <c r="E206" s="2093" t="e">
        <f>SUM(G206:K206)</f>
        <v>#N/A</v>
      </c>
      <c r="F206" s="2093"/>
      <c r="G206" s="623" t="e">
        <f>HLOOKUP(G1,STORICO!$E$109:$Y$140,VLOOKUP(CONCATENATE($M166,$I207),STORICO!$AP$111:$AQ$140,2,FALSE),FALSE)</f>
        <v>#N/A</v>
      </c>
      <c r="H206" s="623" t="e">
        <f>HLOOKUP(H1,STORICO!$E$109:$Y$140,VLOOKUP(CONCATENATE($M166,$I207),STORICO!$AP$111:$AQ$140,2,FALSE),FALSE)</f>
        <v>#N/A</v>
      </c>
      <c r="I206" s="2196" t="e">
        <f>HLOOKUP(K1,STORICO!$E$109:$Y$140,VLOOKUP(CONCATENATE($M166,$I207),STORICO!$AP$111:$AQ$140,2,FALSE),FALSE)</f>
        <v>#N/A</v>
      </c>
      <c r="J206" s="2196"/>
      <c r="K206" s="623" t="e">
        <f>HLOOKUP(N1,STORICO!$E$109:$Y$140,VLOOKUP(CONCATENATE($M166,$I207),STORICO!$AP$111:$AQ$140,2,FALSE),FALSE)</f>
        <v>#N/A</v>
      </c>
      <c r="L206" s="2"/>
      <c r="M206" s="12"/>
      <c r="N206" s="2"/>
      <c r="O206" s="2"/>
      <c r="P206" s="2"/>
      <c r="Q206" s="2"/>
      <c r="R206" s="591"/>
      <c r="S206" s="591"/>
      <c r="T206" s="591"/>
      <c r="U206" s="591"/>
      <c r="V206" s="591"/>
      <c r="W206" s="591"/>
      <c r="X206" s="591"/>
      <c r="AA206" s="591"/>
      <c r="AB206" s="591"/>
      <c r="AC206" s="591"/>
      <c r="AG206" s="591"/>
      <c r="AS206" s="591"/>
    </row>
    <row r="207" spans="1:45" ht="18.75" customHeight="1" x14ac:dyDescent="0.2">
      <c r="A207" s="2"/>
      <c r="B207" s="2"/>
      <c r="C207" s="2059" t="s">
        <v>563</v>
      </c>
      <c r="D207" s="2059"/>
      <c r="E207" s="2059"/>
      <c r="F207" s="2059"/>
      <c r="G207" s="2059"/>
      <c r="H207" s="2060"/>
      <c r="I207" s="2191"/>
      <c r="J207" s="2192"/>
      <c r="K207" s="2193"/>
      <c r="L207" s="2"/>
      <c r="M207" s="2"/>
      <c r="N207" s="2"/>
      <c r="O207" s="2"/>
      <c r="P207" s="2"/>
      <c r="Q207" s="2"/>
      <c r="R207" s="591"/>
      <c r="S207" s="591"/>
      <c r="T207" s="591"/>
      <c r="U207" s="591"/>
      <c r="V207" s="591"/>
      <c r="W207" s="591"/>
      <c r="X207" s="591"/>
      <c r="AA207" s="591"/>
      <c r="AB207" s="591"/>
      <c r="AC207" s="591"/>
      <c r="AG207" s="591"/>
      <c r="AS207" s="591"/>
    </row>
    <row r="208" spans="1:45" ht="18.75" customHeight="1" x14ac:dyDescent="0.2">
      <c r="A208" s="2"/>
      <c r="B208" s="2"/>
      <c r="C208" s="14"/>
      <c r="D208" s="14"/>
      <c r="E208" s="14"/>
      <c r="F208" s="14"/>
      <c r="G208" s="14"/>
      <c r="H208" s="14"/>
      <c r="I208" s="14"/>
      <c r="J208" s="2"/>
      <c r="K208" s="2"/>
      <c r="L208" s="2"/>
      <c r="M208" s="2"/>
      <c r="N208" s="2"/>
      <c r="O208" s="2"/>
      <c r="P208" s="2"/>
      <c r="Q208" s="2"/>
      <c r="R208" s="591"/>
      <c r="S208" s="591"/>
      <c r="T208" s="591"/>
      <c r="U208" s="591"/>
      <c r="V208" s="591"/>
      <c r="W208" s="591"/>
      <c r="X208" s="591"/>
      <c r="AA208" s="591"/>
      <c r="AB208" s="591"/>
      <c r="AC208" s="591"/>
      <c r="AG208" s="591"/>
      <c r="AS208" s="591"/>
    </row>
    <row r="209" spans="1:45" ht="18.75" customHeight="1" x14ac:dyDescent="0.2">
      <c r="A209" s="2"/>
      <c r="B209" s="2"/>
      <c r="C209" s="2"/>
      <c r="D209" s="2"/>
      <c r="E209" s="2"/>
      <c r="F209" s="2"/>
      <c r="G209" s="2"/>
      <c r="H209" s="2"/>
      <c r="I209" s="2"/>
      <c r="J209" s="2"/>
      <c r="K209" s="638" t="str">
        <f ca="1">Presentazione!$H$13</f>
        <v/>
      </c>
      <c r="L209" s="2"/>
      <c r="M209" s="2"/>
      <c r="N209" s="2"/>
      <c r="O209" s="2"/>
      <c r="P209" s="2"/>
      <c r="Q209" s="2"/>
      <c r="R209" s="591"/>
      <c r="S209" s="591"/>
      <c r="T209" s="591"/>
      <c r="U209" s="591"/>
      <c r="V209" s="591"/>
      <c r="W209" s="591"/>
      <c r="X209" s="591"/>
      <c r="AA209" s="591"/>
      <c r="AB209" s="591"/>
      <c r="AC209" s="591"/>
      <c r="AG209" s="591"/>
      <c r="AS209" s="591"/>
    </row>
    <row r="210" spans="1:45" ht="18.75" customHeight="1" x14ac:dyDescent="0.2">
      <c r="A210" s="2"/>
      <c r="B210" s="2"/>
      <c r="C210" s="2"/>
      <c r="D210" s="2"/>
      <c r="E210" s="2"/>
      <c r="F210" s="2"/>
      <c r="G210" s="2"/>
      <c r="H210" s="2"/>
      <c r="I210" s="2"/>
      <c r="J210" s="2"/>
      <c r="K210" s="639" t="str">
        <f ca="1">IF(Presentazione!$J$165=Presentazione!$K$83,CONCATENATE(Presentazione!$F$77,"   -   ","P.I./C.F ",Presentazione!$K$79),Presentazione!$I$157)</f>
        <v>Sistema parzialmente attivato. Inserisci il tuo CODICE di PROPRIETA' nel foglio Presentazione.</v>
      </c>
      <c r="L210" s="2"/>
      <c r="M210" s="2"/>
      <c r="N210" s="2"/>
      <c r="O210" s="2"/>
      <c r="P210" s="2"/>
      <c r="Q210" s="2"/>
      <c r="R210" s="591"/>
      <c r="S210" s="591"/>
      <c r="T210" s="591"/>
      <c r="U210" s="591"/>
      <c r="V210" s="591"/>
      <c r="W210" s="591"/>
      <c r="X210" s="591"/>
      <c r="AA210" s="591"/>
      <c r="AB210" s="591"/>
      <c r="AC210" s="591"/>
      <c r="AG210" s="591"/>
      <c r="AS210" s="591"/>
    </row>
    <row r="211" spans="1:45" ht="18.75" customHeight="1" x14ac:dyDescent="0.2">
      <c r="A211" s="2"/>
      <c r="B211" s="2"/>
      <c r="C211" s="2"/>
      <c r="D211" s="2"/>
      <c r="E211" s="2"/>
      <c r="F211" s="2"/>
      <c r="G211" s="2"/>
      <c r="H211" s="2"/>
      <c r="I211" s="2"/>
      <c r="J211" s="2"/>
      <c r="K211" s="2"/>
      <c r="L211" s="2"/>
      <c r="M211" s="2"/>
      <c r="N211" s="2"/>
      <c r="O211" s="2"/>
      <c r="P211" s="2"/>
      <c r="Q211" s="2"/>
      <c r="R211" s="591"/>
      <c r="S211" s="591"/>
      <c r="T211" s="591"/>
      <c r="U211" s="591"/>
      <c r="V211" s="591"/>
      <c r="W211" s="591"/>
      <c r="X211" s="591"/>
      <c r="AA211" s="591"/>
      <c r="AB211" s="591"/>
      <c r="AC211" s="591"/>
      <c r="AG211" s="591"/>
      <c r="AS211" s="591"/>
    </row>
    <row r="212" spans="1:45" ht="18.75" customHeight="1" x14ac:dyDescent="0.2">
      <c r="A212" s="2"/>
      <c r="B212" s="2"/>
      <c r="C212" s="637" t="str">
        <f>CASSA!B108</f>
        <v>www.marcopiccoli.it   -   Registro dei Corrispettivi 5.2.4 3txt - per EXCEL .xlsm</v>
      </c>
      <c r="D212" s="2"/>
      <c r="E212" s="2"/>
      <c r="F212" s="2"/>
      <c r="G212" s="2"/>
      <c r="H212" s="2"/>
      <c r="I212" s="2"/>
      <c r="J212" s="2"/>
      <c r="K212" s="2"/>
      <c r="L212" s="2"/>
      <c r="M212" s="2"/>
      <c r="N212" s="2"/>
      <c r="O212" s="2"/>
      <c r="P212" s="2"/>
      <c r="Q212" s="2"/>
      <c r="R212" s="591"/>
      <c r="S212" s="591"/>
      <c r="T212" s="591"/>
      <c r="U212" s="591"/>
      <c r="V212" s="591"/>
      <c r="W212" s="591"/>
      <c r="X212" s="591"/>
      <c r="AA212" s="591"/>
      <c r="AB212" s="591"/>
      <c r="AC212" s="591"/>
      <c r="AG212" s="591"/>
      <c r="AS212" s="591"/>
    </row>
    <row r="213" spans="1:45" ht="18.75" customHeight="1" x14ac:dyDescent="0.2">
      <c r="A213" s="2"/>
      <c r="B213" s="2"/>
      <c r="C213" s="2"/>
      <c r="D213" s="2"/>
      <c r="E213" s="2"/>
      <c r="F213" s="2"/>
      <c r="G213" s="2"/>
      <c r="H213" s="2"/>
      <c r="I213" s="2"/>
      <c r="J213" s="2"/>
      <c r="K213" s="2"/>
      <c r="L213" s="2"/>
      <c r="M213" s="2"/>
      <c r="N213" s="2"/>
      <c r="O213" s="2"/>
      <c r="P213" s="2"/>
      <c r="Q213" s="2"/>
      <c r="R213" s="591"/>
      <c r="S213" s="591"/>
      <c r="T213" s="591"/>
      <c r="U213" s="591"/>
      <c r="V213" s="591"/>
      <c r="W213" s="591"/>
      <c r="X213" s="591"/>
      <c r="AA213" s="591"/>
      <c r="AB213" s="591"/>
      <c r="AC213" s="591"/>
      <c r="AG213" s="591"/>
      <c r="AS213" s="591"/>
    </row>
    <row r="214" spans="1:45" ht="18.75" hidden="1" customHeight="1" x14ac:dyDescent="0.2">
      <c r="A214" s="2"/>
      <c r="B214" s="2"/>
      <c r="C214" s="2"/>
      <c r="D214" s="600">
        <v>27</v>
      </c>
      <c r="E214" s="2"/>
      <c r="F214" s="2"/>
      <c r="G214" s="148">
        <v>5</v>
      </c>
      <c r="H214" s="148">
        <v>6</v>
      </c>
      <c r="I214" s="148">
        <v>7</v>
      </c>
      <c r="J214" s="148">
        <v>8</v>
      </c>
      <c r="K214" s="2"/>
      <c r="L214" s="2"/>
      <c r="M214" s="2"/>
      <c r="N214" s="2"/>
      <c r="O214" s="2"/>
      <c r="P214" s="2"/>
      <c r="Q214" s="2"/>
      <c r="R214" s="591"/>
      <c r="S214" s="591"/>
      <c r="T214" s="591"/>
      <c r="U214" s="591"/>
      <c r="V214" s="591"/>
      <c r="W214" s="591"/>
      <c r="X214" s="591"/>
      <c r="AA214" s="591"/>
      <c r="AB214" s="591"/>
      <c r="AC214" s="591"/>
      <c r="AG214" s="591"/>
      <c r="AS214" s="591"/>
    </row>
    <row r="215" spans="1:45" ht="21.95" hidden="1" customHeight="1" x14ac:dyDescent="0.2">
      <c r="A215" s="2"/>
      <c r="B215" s="7"/>
      <c r="C215" s="2187" t="str">
        <f>C46</f>
        <v>LORDO</v>
      </c>
      <c r="D215" s="2187"/>
      <c r="E215" s="2188">
        <f>SUM(G215:J215)</f>
        <v>0</v>
      </c>
      <c r="F215" s="2188"/>
      <c r="G215" s="602">
        <f>VLOOKUP(G$1,IMPOSTAZIONI!$B$298:$AM$304,$D$214,FALSE)</f>
        <v>0</v>
      </c>
      <c r="H215" s="602">
        <f>VLOOKUP(H$1,IMPOSTAZIONI!$B$298:$AM$304,$D$214,FALSE)</f>
        <v>0</v>
      </c>
      <c r="I215" s="602">
        <f>VLOOKUP(K$1,IMPOSTAZIONI!$B$298:$AM$304,$D$214,FALSE)</f>
        <v>0</v>
      </c>
      <c r="J215" s="602">
        <f>VLOOKUP(N$1,IMPOSTAZIONI!$B$298:$AM$304,$D$214,FALSE)</f>
        <v>0</v>
      </c>
      <c r="K215" s="14"/>
      <c r="L215" s="2"/>
      <c r="M215" s="12"/>
      <c r="N215" s="2"/>
      <c r="O215" s="2"/>
      <c r="P215" s="2"/>
      <c r="Q215" s="2"/>
      <c r="R215" s="591"/>
      <c r="S215" s="591"/>
      <c r="T215" s="591"/>
      <c r="U215" s="591"/>
      <c r="V215" s="591"/>
      <c r="W215" s="591"/>
      <c r="X215" s="591"/>
      <c r="AA215" s="591"/>
      <c r="AB215" s="591"/>
      <c r="AC215" s="591"/>
      <c r="AG215" s="591"/>
      <c r="AS215" s="591"/>
    </row>
    <row r="216" spans="1:45" hidden="1" x14ac:dyDescent="0.2">
      <c r="A216" s="2"/>
      <c r="B216" s="7"/>
      <c r="C216" s="2189" t="str">
        <f>C47</f>
        <v>NETTO</v>
      </c>
      <c r="D216" s="2189"/>
      <c r="E216" s="2190">
        <f>SUM(G216:J216)</f>
        <v>4000</v>
      </c>
      <c r="F216" s="2190"/>
      <c r="G216" s="601">
        <f>VLOOKUP(G$1,IMPOSTAZIONI!$B$391:$AM$397,$D$214,FALSE)</f>
        <v>1000</v>
      </c>
      <c r="H216" s="601">
        <f>VLOOKUP(H$1,IMPOSTAZIONI!$B$391:$AM$397,$D$214,FALSE)</f>
        <v>1000</v>
      </c>
      <c r="I216" s="601">
        <f>VLOOKUP(K$1,IMPOSTAZIONI!$B$391:$AM$397,$D$214,FALSE)</f>
        <v>1000</v>
      </c>
      <c r="J216" s="601">
        <f>VLOOKUP(N$1,IMPOSTAZIONI!$B$391:$AM$397,$D$214,FALSE)</f>
        <v>1000</v>
      </c>
      <c r="K216" s="14"/>
      <c r="L216" s="2"/>
      <c r="M216" s="12"/>
      <c r="N216" s="2"/>
      <c r="O216" s="2"/>
      <c r="P216" s="2"/>
      <c r="Q216" s="2"/>
      <c r="R216" s="591"/>
      <c r="S216" s="591"/>
      <c r="T216" s="591"/>
      <c r="U216" s="591"/>
      <c r="V216" s="591"/>
      <c r="W216" s="591"/>
      <c r="X216" s="591"/>
      <c r="AA216" s="591"/>
      <c r="AB216" s="591"/>
      <c r="AC216" s="591"/>
      <c r="AG216" s="591"/>
      <c r="AS216" s="591"/>
    </row>
    <row r="217" spans="1:45" ht="21.95" hidden="1" customHeight="1" x14ac:dyDescent="0.2">
      <c r="A217" s="2"/>
      <c r="B217" s="7"/>
      <c r="C217" s="2185" t="str">
        <f>C48</f>
        <v>IVA</v>
      </c>
      <c r="D217" s="2185"/>
      <c r="E217" s="2186">
        <f>SUM(G217:J217)</f>
        <v>-4000</v>
      </c>
      <c r="F217" s="2186"/>
      <c r="G217" s="603">
        <f>G215-G216</f>
        <v>-1000</v>
      </c>
      <c r="H217" s="603">
        <f>H215-H216</f>
        <v>-1000</v>
      </c>
      <c r="I217" s="603">
        <f>I215-I216</f>
        <v>-1000</v>
      </c>
      <c r="J217" s="603">
        <f>J215-J216</f>
        <v>-1000</v>
      </c>
      <c r="K217" s="14"/>
      <c r="L217" s="2"/>
      <c r="M217" s="12"/>
      <c r="N217" s="2"/>
      <c r="O217" s="2"/>
      <c r="P217" s="2"/>
      <c r="Q217" s="2"/>
      <c r="R217" s="591"/>
      <c r="S217" s="591"/>
      <c r="T217" s="591"/>
      <c r="U217" s="591"/>
      <c r="V217" s="591"/>
      <c r="W217" s="591"/>
      <c r="X217" s="591"/>
      <c r="AA217" s="591"/>
      <c r="AB217" s="591"/>
      <c r="AC217" s="591"/>
      <c r="AG217" s="591"/>
      <c r="AS217" s="591"/>
    </row>
    <row r="218" spans="1:45" ht="18.75" hidden="1" customHeight="1" x14ac:dyDescent="0.2">
      <c r="A218" s="2"/>
      <c r="B218" s="2"/>
      <c r="C218" s="2"/>
      <c r="D218" s="2"/>
      <c r="E218" s="2"/>
      <c r="F218" s="2"/>
      <c r="G218" s="2"/>
      <c r="H218" s="2"/>
      <c r="I218" s="2"/>
      <c r="J218" s="2"/>
      <c r="K218" s="2"/>
      <c r="L218" s="2"/>
      <c r="M218" s="2"/>
      <c r="N218" s="2"/>
      <c r="O218" s="2"/>
      <c r="P218" s="2"/>
      <c r="Q218" s="2"/>
      <c r="R218" s="591"/>
      <c r="S218" s="591"/>
      <c r="T218" s="591"/>
      <c r="U218" s="591"/>
      <c r="V218" s="591"/>
      <c r="W218" s="591"/>
      <c r="X218" s="591"/>
      <c r="AA218" s="591"/>
      <c r="AB218" s="591"/>
      <c r="AC218" s="591"/>
      <c r="AG218" s="591"/>
      <c r="AS218" s="591"/>
    </row>
    <row r="219" spans="1:45" hidden="1" x14ac:dyDescent="0.2">
      <c r="A219" s="2"/>
      <c r="B219" s="2"/>
      <c r="C219" s="2"/>
      <c r="D219" s="2"/>
      <c r="E219" s="931" t="s">
        <v>718</v>
      </c>
      <c r="F219" s="2"/>
      <c r="G219" s="592" t="s">
        <v>175</v>
      </c>
      <c r="H219" s="2"/>
      <c r="I219" s="2"/>
      <c r="J219" s="2"/>
      <c r="K219" s="2"/>
      <c r="L219" s="2"/>
      <c r="M219" s="2"/>
      <c r="N219" s="2"/>
      <c r="O219" s="2"/>
      <c r="P219" s="2"/>
      <c r="Q219" s="2"/>
      <c r="R219" s="591"/>
      <c r="S219" s="591"/>
      <c r="T219" s="591"/>
      <c r="U219" s="591"/>
      <c r="V219" s="591"/>
      <c r="W219" s="591"/>
      <c r="X219" s="591"/>
      <c r="AA219" s="591"/>
      <c r="AB219" s="591"/>
      <c r="AC219" s="591"/>
      <c r="AG219" s="591"/>
      <c r="AS219" s="591"/>
    </row>
    <row r="220" spans="1:45" ht="14.25" hidden="1" customHeight="1" x14ac:dyDescent="0.2">
      <c r="A220" s="2"/>
      <c r="B220" s="2"/>
      <c r="C220" s="2"/>
      <c r="D220" s="2"/>
      <c r="E220" s="932" t="s">
        <v>719</v>
      </c>
      <c r="F220" s="2"/>
      <c r="G220" s="593">
        <f>STORICO!C16</f>
        <v>2024</v>
      </c>
      <c r="H220" s="2"/>
      <c r="I220" s="592" t="str">
        <f t="shared" ref="I220:I229" si="36">CONCATENATE(G$219,"   ",G220)</f>
        <v>ANNO   2024</v>
      </c>
      <c r="J220" s="2"/>
      <c r="K220" s="592" t="s">
        <v>583</v>
      </c>
      <c r="L220" s="2"/>
      <c r="M220" s="2"/>
      <c r="N220" s="2"/>
      <c r="O220" s="2"/>
      <c r="P220" s="2"/>
      <c r="Q220" s="2"/>
      <c r="R220" s="591"/>
      <c r="S220" s="591"/>
      <c r="T220" s="591"/>
      <c r="U220" s="591"/>
      <c r="V220" s="591"/>
      <c r="W220" s="591"/>
      <c r="X220" s="591"/>
      <c r="AA220" s="591"/>
      <c r="AB220" s="591"/>
      <c r="AC220" s="591"/>
      <c r="AG220" s="591"/>
      <c r="AS220" s="591"/>
    </row>
    <row r="221" spans="1:45" ht="14.25" hidden="1" customHeight="1" x14ac:dyDescent="0.2">
      <c r="A221" s="2"/>
      <c r="B221" s="2"/>
      <c r="C221" s="2"/>
      <c r="D221" s="2"/>
      <c r="E221" s="933">
        <f>IF(ISERROR(G206),MAX(G180:K180,G193:K193)/10,MAX(G180:K180,G193:K193,G206:K206)/10)</f>
        <v>0</v>
      </c>
      <c r="F221" s="2"/>
      <c r="G221" s="593">
        <f>STORICO!C27</f>
        <v>2023</v>
      </c>
      <c r="H221" s="2"/>
      <c r="I221" s="592" t="str">
        <f t="shared" si="36"/>
        <v>ANNO   2023</v>
      </c>
      <c r="J221" s="2"/>
      <c r="K221" s="592" t="s">
        <v>584</v>
      </c>
      <c r="L221" s="2"/>
      <c r="M221" s="2"/>
      <c r="N221" s="2"/>
      <c r="O221" s="2"/>
      <c r="P221" s="2"/>
      <c r="Q221" s="2"/>
      <c r="AA221" s="591"/>
      <c r="AB221" s="591"/>
      <c r="AC221" s="591"/>
      <c r="AG221" s="591"/>
      <c r="AS221" s="591"/>
    </row>
    <row r="222" spans="1:45" ht="14.25" hidden="1" customHeight="1" x14ac:dyDescent="0.2">
      <c r="A222" s="2"/>
      <c r="B222" s="2"/>
      <c r="C222" s="2"/>
      <c r="D222" s="2"/>
      <c r="E222" s="2"/>
      <c r="F222" s="2"/>
      <c r="G222" s="593">
        <f>STORICO!C33</f>
        <v>2022</v>
      </c>
      <c r="H222" s="2"/>
      <c r="I222" s="592" t="str">
        <f t="shared" si="36"/>
        <v>ANNO   2022</v>
      </c>
      <c r="J222" s="2"/>
      <c r="K222" s="592" t="s">
        <v>585</v>
      </c>
      <c r="L222" s="2"/>
      <c r="M222" s="2"/>
      <c r="N222" s="2"/>
      <c r="O222" s="2"/>
      <c r="P222" s="2"/>
      <c r="Q222" s="2"/>
      <c r="AA222" s="591"/>
      <c r="AB222" s="591"/>
      <c r="AC222" s="591"/>
      <c r="AG222" s="591"/>
      <c r="AS222" s="591"/>
    </row>
    <row r="223" spans="1:45" ht="14.25" hidden="1" customHeight="1" x14ac:dyDescent="0.2">
      <c r="A223" s="2"/>
      <c r="B223" s="2"/>
      <c r="C223" s="2"/>
      <c r="D223" s="2"/>
      <c r="E223" s="2"/>
      <c r="F223" s="2"/>
      <c r="G223" s="593">
        <f>STORICO!C39</f>
        <v>2021</v>
      </c>
      <c r="H223" s="2"/>
      <c r="I223" s="592" t="str">
        <f t="shared" si="36"/>
        <v>ANNO   2021</v>
      </c>
      <c r="J223" s="2"/>
      <c r="K223" s="592" t="s">
        <v>586</v>
      </c>
      <c r="L223" s="2"/>
      <c r="M223" s="2"/>
      <c r="N223" s="2"/>
      <c r="O223" s="2"/>
      <c r="P223" s="2"/>
      <c r="Q223" s="2"/>
      <c r="AA223" s="591"/>
      <c r="AB223" s="591"/>
      <c r="AC223" s="591"/>
      <c r="AG223" s="591"/>
      <c r="AS223" s="591"/>
    </row>
    <row r="224" spans="1:45" ht="14.25" hidden="1" customHeight="1" x14ac:dyDescent="0.2">
      <c r="A224" s="2"/>
      <c r="B224" s="2"/>
      <c r="C224" s="2"/>
      <c r="D224" s="2"/>
      <c r="E224" s="934" t="str">
        <f>C215</f>
        <v>LORDO</v>
      </c>
      <c r="F224" s="2"/>
      <c r="G224" s="593" t="str">
        <f>CONCATENATE(G220," + ",G221)</f>
        <v>2024 + 2023</v>
      </c>
      <c r="H224" s="2"/>
      <c r="I224" s="592" t="str">
        <f t="shared" si="36"/>
        <v>ANNO   2024 + 2023</v>
      </c>
      <c r="J224" s="2"/>
      <c r="K224" s="592" t="str">
        <f>CONCATENATE(K220," + ",K221)</f>
        <v>ANNO IN CORSO + ANNO PRECEDENTE 1</v>
      </c>
      <c r="L224" s="2"/>
      <c r="M224" s="2"/>
      <c r="N224" s="2"/>
      <c r="O224" s="2"/>
      <c r="P224" s="2"/>
      <c r="Q224" s="2"/>
      <c r="AA224" s="591"/>
      <c r="AB224" s="591"/>
      <c r="AC224" s="591"/>
      <c r="AG224" s="591"/>
      <c r="AS224" s="591"/>
    </row>
    <row r="225" spans="1:45" ht="14.25" hidden="1" customHeight="1" x14ac:dyDescent="0.2">
      <c r="A225" s="2"/>
      <c r="B225" s="2"/>
      <c r="C225" s="2"/>
      <c r="D225" s="2"/>
      <c r="E225" s="934" t="str">
        <f>C216</f>
        <v>NETTO</v>
      </c>
      <c r="F225" s="2"/>
      <c r="G225" s="593" t="str">
        <f>CONCATENATE(G220," + ",G221," + ",G222)</f>
        <v>2024 + 2023 + 2022</v>
      </c>
      <c r="H225" s="2"/>
      <c r="I225" s="592" t="str">
        <f t="shared" si="36"/>
        <v>ANNO   2024 + 2023 + 2022</v>
      </c>
      <c r="J225" s="2"/>
      <c r="K225" s="592" t="str">
        <f>CONCATENATE(K220," + ",K221," + 2")</f>
        <v>ANNO IN CORSO + ANNO PRECEDENTE 1 + 2</v>
      </c>
      <c r="L225" s="2"/>
      <c r="M225" s="2"/>
      <c r="N225" s="2"/>
      <c r="O225" s="2"/>
      <c r="P225" s="2"/>
      <c r="Q225" s="2"/>
      <c r="AA225" s="591"/>
      <c r="AB225" s="591"/>
      <c r="AC225" s="591"/>
      <c r="AG225" s="591"/>
      <c r="AS225" s="591"/>
    </row>
    <row r="226" spans="1:45" ht="14.25" hidden="1" customHeight="1" x14ac:dyDescent="0.2">
      <c r="A226" s="2"/>
      <c r="B226" s="2"/>
      <c r="C226" s="2"/>
      <c r="D226" s="2"/>
      <c r="E226" s="934" t="str">
        <f>C217</f>
        <v>IVA</v>
      </c>
      <c r="F226" s="2"/>
      <c r="G226" s="593" t="str">
        <f>CONCATENATE(G220," + ",G221," + ",G222," + ",G223)</f>
        <v>2024 + 2023 + 2022 + 2021</v>
      </c>
      <c r="H226" s="2"/>
      <c r="I226" s="592" t="str">
        <f t="shared" si="36"/>
        <v>ANNO   2024 + 2023 + 2022 + 2021</v>
      </c>
      <c r="J226" s="2"/>
      <c r="K226" s="592" t="str">
        <f>CONCATENATE(K220," + ",K221," + 2 + 3")</f>
        <v>ANNO IN CORSO + ANNO PRECEDENTE 1 + 2 + 3</v>
      </c>
      <c r="L226" s="2"/>
      <c r="M226" s="2"/>
      <c r="N226" s="2"/>
      <c r="O226" s="2"/>
      <c r="P226" s="2"/>
      <c r="Q226" s="2"/>
      <c r="AA226" s="591"/>
      <c r="AB226" s="591"/>
      <c r="AC226" s="591"/>
      <c r="AG226" s="591"/>
      <c r="AS226" s="591"/>
    </row>
    <row r="227" spans="1:45" ht="14.25" hidden="1" customHeight="1" x14ac:dyDescent="0.2">
      <c r="A227" s="2"/>
      <c r="B227" s="2"/>
      <c r="C227" s="2"/>
      <c r="D227" s="2"/>
      <c r="E227" s="2"/>
      <c r="F227" s="2"/>
      <c r="G227" s="593" t="str">
        <f>CONCATENATE(G221," + ",G222)</f>
        <v>2023 + 2022</v>
      </c>
      <c r="H227" s="2"/>
      <c r="I227" s="592" t="str">
        <f t="shared" si="36"/>
        <v>ANNO   2023 + 2022</v>
      </c>
      <c r="J227" s="2"/>
      <c r="K227" s="592" t="str">
        <f>CONCATENATE(K221," + 2")</f>
        <v>ANNO PRECEDENTE 1 + 2</v>
      </c>
      <c r="L227" s="2"/>
      <c r="M227" s="2"/>
      <c r="N227" s="2"/>
      <c r="O227" s="2"/>
      <c r="P227" s="2"/>
      <c r="Q227" s="2"/>
      <c r="AA227" s="591"/>
      <c r="AB227" s="591"/>
      <c r="AC227" s="591"/>
      <c r="AG227" s="591"/>
      <c r="AS227" s="591"/>
    </row>
    <row r="228" spans="1:45" ht="14.25" hidden="1" customHeight="1" x14ac:dyDescent="0.2">
      <c r="A228" s="2"/>
      <c r="B228" s="2"/>
      <c r="C228" s="2"/>
      <c r="D228" s="2"/>
      <c r="E228" s="2"/>
      <c r="F228" s="2"/>
      <c r="G228" s="593" t="str">
        <f>CONCATENATE(G221," + ",G222," + ",G223)</f>
        <v>2023 + 2022 + 2021</v>
      </c>
      <c r="H228" s="2"/>
      <c r="I228" s="592" t="str">
        <f t="shared" si="36"/>
        <v>ANNO   2023 + 2022 + 2021</v>
      </c>
      <c r="J228" s="2"/>
      <c r="K228" s="592" t="str">
        <f>CONCATENATE(K221," + 2 + 3")</f>
        <v>ANNO PRECEDENTE 1 + 2 + 3</v>
      </c>
      <c r="L228" s="2"/>
      <c r="M228" s="2"/>
      <c r="N228" s="2"/>
      <c r="O228" s="2"/>
      <c r="P228" s="2"/>
      <c r="Q228" s="2"/>
      <c r="AA228" s="591"/>
      <c r="AB228" s="591"/>
      <c r="AC228" s="591"/>
      <c r="AG228" s="591"/>
      <c r="AS228" s="591"/>
    </row>
    <row r="229" spans="1:45" ht="14.25" hidden="1" customHeight="1" x14ac:dyDescent="0.2">
      <c r="A229" s="2"/>
      <c r="B229" s="2"/>
      <c r="C229" s="2"/>
      <c r="D229" s="2"/>
      <c r="E229" s="2"/>
      <c r="F229" s="2"/>
      <c r="G229" s="593" t="str">
        <f>CONCATENATE(G222," + ",G223)</f>
        <v>2022 + 2021</v>
      </c>
      <c r="H229" s="2"/>
      <c r="I229" s="592" t="str">
        <f t="shared" si="36"/>
        <v>ANNO   2022 + 2021</v>
      </c>
      <c r="J229" s="2"/>
      <c r="K229" s="592" t="str">
        <f>CONCATENATE(K222," + 3")</f>
        <v>ANNO PRECEDENTE 2 + 3</v>
      </c>
      <c r="L229" s="2"/>
      <c r="M229" s="2"/>
      <c r="N229" s="2"/>
      <c r="O229" s="2"/>
      <c r="P229" s="2"/>
      <c r="Q229" s="2"/>
      <c r="AA229" s="591"/>
      <c r="AB229" s="591"/>
      <c r="AC229" s="591"/>
      <c r="AG229" s="591"/>
      <c r="AS229" s="591"/>
    </row>
    <row r="230" spans="1:45" hidden="1" x14ac:dyDescent="0.2">
      <c r="A230" s="2"/>
      <c r="B230" s="2"/>
      <c r="C230" s="2"/>
      <c r="D230" s="2"/>
      <c r="E230" s="2"/>
      <c r="F230" s="2"/>
      <c r="G230" s="2"/>
      <c r="H230" s="2"/>
      <c r="I230" s="2"/>
      <c r="J230" s="2"/>
      <c r="K230" s="2"/>
      <c r="L230" s="2"/>
      <c r="M230" s="2"/>
      <c r="N230" s="2"/>
      <c r="O230" s="2"/>
      <c r="P230" s="2"/>
      <c r="Q230" s="2"/>
      <c r="AA230" s="591"/>
      <c r="AB230" s="591"/>
      <c r="AC230" s="591"/>
      <c r="AG230" s="591"/>
      <c r="AS230" s="591"/>
    </row>
    <row r="231" spans="1:45" x14ac:dyDescent="0.2">
      <c r="A231" s="2"/>
      <c r="B231" s="2"/>
      <c r="C231" s="2"/>
      <c r="D231" s="2"/>
      <c r="E231" s="2"/>
      <c r="F231" s="2"/>
      <c r="G231" s="1433" t="s">
        <v>572</v>
      </c>
      <c r="H231" s="1434" t="s">
        <v>869</v>
      </c>
      <c r="I231" s="2"/>
      <c r="J231" s="2"/>
      <c r="K231" s="2"/>
      <c r="L231" s="1433" t="s">
        <v>572</v>
      </c>
      <c r="M231" s="1434" t="s">
        <v>870</v>
      </c>
      <c r="N231" s="2"/>
      <c r="O231" s="2"/>
      <c r="P231" s="2"/>
      <c r="Q231" s="2"/>
      <c r="AA231" s="591"/>
      <c r="AB231" s="591"/>
      <c r="AC231" s="591"/>
      <c r="AG231" s="591"/>
      <c r="AS231" s="591"/>
    </row>
  </sheetData>
  <sheetProtection algorithmName="SHA-512" hashValue="bbVwTwZuXzI3qAzLJm/uZGn629yzkW6L44REeWmbHM3d+NI3J0jFmQC0xKT7/rJpe1oDmoFaG4Uc4Cl1QKsJYA==" saltValue="4XmQWQxEWJ5s/2tlex0ToQ==" spinCount="100000" sheet="1" objects="1" scenarios="1" selectLockedCells="1"/>
  <mergeCells count="242">
    <mergeCell ref="AN6:AQ6"/>
    <mergeCell ref="I205:J205"/>
    <mergeCell ref="I196:J196"/>
    <mergeCell ref="I197:J197"/>
    <mergeCell ref="I198:J198"/>
    <mergeCell ref="I199:J199"/>
    <mergeCell ref="I193:J193"/>
    <mergeCell ref="I195:J195"/>
    <mergeCell ref="I194:J194"/>
    <mergeCell ref="I189:J189"/>
    <mergeCell ref="I185:J185"/>
    <mergeCell ref="I186:J186"/>
    <mergeCell ref="I187:J187"/>
    <mergeCell ref="I188:J188"/>
    <mergeCell ref="I179:J179"/>
    <mergeCell ref="I180:J180"/>
    <mergeCell ref="I181:J181"/>
    <mergeCell ref="I182:J182"/>
    <mergeCell ref="I183:J183"/>
    <mergeCell ref="I184:J184"/>
    <mergeCell ref="I173:J173"/>
    <mergeCell ref="I174:J174"/>
    <mergeCell ref="I175:J175"/>
    <mergeCell ref="I176:J176"/>
    <mergeCell ref="I206:J206"/>
    <mergeCell ref="I207:K207"/>
    <mergeCell ref="I200:J200"/>
    <mergeCell ref="I201:J201"/>
    <mergeCell ref="I202:J202"/>
    <mergeCell ref="I203:J203"/>
    <mergeCell ref="I204:J204"/>
    <mergeCell ref="I190:J190"/>
    <mergeCell ref="I191:J191"/>
    <mergeCell ref="I192:J192"/>
    <mergeCell ref="I177:J177"/>
    <mergeCell ref="I178:J178"/>
    <mergeCell ref="O102:P102"/>
    <mergeCell ref="O103:P103"/>
    <mergeCell ref="I169:J169"/>
    <mergeCell ref="I170:J170"/>
    <mergeCell ref="I171:J171"/>
    <mergeCell ref="I172:J172"/>
    <mergeCell ref="L53:M54"/>
    <mergeCell ref="L55:M55"/>
    <mergeCell ref="L109:M109"/>
    <mergeCell ref="C126:M126"/>
    <mergeCell ref="K156:L156"/>
    <mergeCell ref="I118:J118"/>
    <mergeCell ref="M168:N168"/>
    <mergeCell ref="M166:N166"/>
    <mergeCell ref="K149:L149"/>
    <mergeCell ref="I78:J78"/>
    <mergeCell ref="C55:E55"/>
    <mergeCell ref="C53:E53"/>
    <mergeCell ref="C54:E54"/>
    <mergeCell ref="O101:P101"/>
    <mergeCell ref="O97:P97"/>
    <mergeCell ref="O96:P96"/>
    <mergeCell ref="I52:J52"/>
    <mergeCell ref="I53:J54"/>
    <mergeCell ref="I55:J55"/>
    <mergeCell ref="I168:J168"/>
    <mergeCell ref="I56:J56"/>
    <mergeCell ref="I119:J119"/>
    <mergeCell ref="C91:P91"/>
    <mergeCell ref="O104:P104"/>
    <mergeCell ref="L4:M5"/>
    <mergeCell ref="L44:M44"/>
    <mergeCell ref="I4:J5"/>
    <mergeCell ref="I44:J44"/>
    <mergeCell ref="L51:M51"/>
    <mergeCell ref="L52:M52"/>
    <mergeCell ref="K158:L158"/>
    <mergeCell ref="K157:L157"/>
    <mergeCell ref="I120:J120"/>
    <mergeCell ref="I121:J121"/>
    <mergeCell ref="K146:L146"/>
    <mergeCell ref="K145:L145"/>
    <mergeCell ref="I122:J122"/>
    <mergeCell ref="K144:L144"/>
    <mergeCell ref="K147:L147"/>
    <mergeCell ref="K148:L148"/>
    <mergeCell ref="C217:D217"/>
    <mergeCell ref="E217:F217"/>
    <mergeCell ref="C215:D215"/>
    <mergeCell ref="E215:F215"/>
    <mergeCell ref="C216:D216"/>
    <mergeCell ref="E216:F216"/>
    <mergeCell ref="K159:L159"/>
    <mergeCell ref="K160:L160"/>
    <mergeCell ref="B162:D162"/>
    <mergeCell ref="C167:D167"/>
    <mergeCell ref="E167:F167"/>
    <mergeCell ref="I166:J166"/>
    <mergeCell ref="I167:J167"/>
    <mergeCell ref="C169:F169"/>
    <mergeCell ref="C171:D172"/>
    <mergeCell ref="C170:D170"/>
    <mergeCell ref="C195:H195"/>
    <mergeCell ref="C193:D193"/>
    <mergeCell ref="E193:F193"/>
    <mergeCell ref="C196:D196"/>
    <mergeCell ref="C180:D180"/>
    <mergeCell ref="E180:F180"/>
    <mergeCell ref="C182:F182"/>
    <mergeCell ref="C207:H207"/>
    <mergeCell ref="G53:G54"/>
    <mergeCell ref="O98:P98"/>
    <mergeCell ref="K53:K54"/>
    <mergeCell ref="P58:Q58"/>
    <mergeCell ref="C56:D56"/>
    <mergeCell ref="H53:H54"/>
    <mergeCell ref="C57:F57"/>
    <mergeCell ref="C59:E59"/>
    <mergeCell ref="O57:P57"/>
    <mergeCell ref="L78:M78"/>
    <mergeCell ref="I72:J72"/>
    <mergeCell ref="L72:M72"/>
    <mergeCell ref="I73:J73"/>
    <mergeCell ref="I74:K74"/>
    <mergeCell ref="C95:F95"/>
    <mergeCell ref="C96:D96"/>
    <mergeCell ref="C98:F98"/>
    <mergeCell ref="C97:F97"/>
    <mergeCell ref="C102:F102"/>
    <mergeCell ref="C100:F100"/>
    <mergeCell ref="I79:J79"/>
    <mergeCell ref="I81:J81"/>
    <mergeCell ref="I82:J82"/>
    <mergeCell ref="I71:J71"/>
    <mergeCell ref="L71:M71"/>
    <mergeCell ref="L77:M77"/>
    <mergeCell ref="I67:J67"/>
    <mergeCell ref="I68:J68"/>
    <mergeCell ref="L68:M68"/>
    <mergeCell ref="I69:J69"/>
    <mergeCell ref="I76:J76"/>
    <mergeCell ref="I77:J77"/>
    <mergeCell ref="E32:F32"/>
    <mergeCell ref="E23:F23"/>
    <mergeCell ref="E14:F14"/>
    <mergeCell ref="E12:F12"/>
    <mergeCell ref="E13:F13"/>
    <mergeCell ref="E17:F17"/>
    <mergeCell ref="E15:F15"/>
    <mergeCell ref="E19:F19"/>
    <mergeCell ref="E18:F18"/>
    <mergeCell ref="C4:D5"/>
    <mergeCell ref="O4:P5"/>
    <mergeCell ref="E4:F5"/>
    <mergeCell ref="E28:F28"/>
    <mergeCell ref="E24:F24"/>
    <mergeCell ref="E25:F25"/>
    <mergeCell ref="E26:F26"/>
    <mergeCell ref="C6:D6"/>
    <mergeCell ref="E16:F16"/>
    <mergeCell ref="E21:F21"/>
    <mergeCell ref="E6:F6"/>
    <mergeCell ref="E7:F7"/>
    <mergeCell ref="E8:F8"/>
    <mergeCell ref="C197:D198"/>
    <mergeCell ref="E171:E172"/>
    <mergeCell ref="B163:D163"/>
    <mergeCell ref="E197:E198"/>
    <mergeCell ref="C184:D185"/>
    <mergeCell ref="E184:E185"/>
    <mergeCell ref="C183:D183"/>
    <mergeCell ref="C206:D206"/>
    <mergeCell ref="E206:F206"/>
    <mergeCell ref="C168:F168"/>
    <mergeCell ref="C2:I2"/>
    <mergeCell ref="J2:P2"/>
    <mergeCell ref="C3:D3"/>
    <mergeCell ref="E3:G3"/>
    <mergeCell ref="M3:P3"/>
    <mergeCell ref="H3:L3"/>
    <mergeCell ref="E48:F48"/>
    <mergeCell ref="E47:F47"/>
    <mergeCell ref="E36:F36"/>
    <mergeCell ref="E30:F30"/>
    <mergeCell ref="C45:F45"/>
    <mergeCell ref="C39:D39"/>
    <mergeCell ref="E35:F35"/>
    <mergeCell ref="E20:F20"/>
    <mergeCell ref="C46:D46"/>
    <mergeCell ref="E22:F22"/>
    <mergeCell ref="E31:F31"/>
    <mergeCell ref="E27:F27"/>
    <mergeCell ref="C44:F44"/>
    <mergeCell ref="C43:D43"/>
    <mergeCell ref="E29:F29"/>
    <mergeCell ref="C7:D7"/>
    <mergeCell ref="E11:F11"/>
    <mergeCell ref="E9:F9"/>
    <mergeCell ref="I117:J117"/>
    <mergeCell ref="L56:M56"/>
    <mergeCell ref="L108:M108"/>
    <mergeCell ref="I114:J114"/>
    <mergeCell ref="I115:J115"/>
    <mergeCell ref="C104:F104"/>
    <mergeCell ref="E96:F96"/>
    <mergeCell ref="I83:J83"/>
    <mergeCell ref="I88:J88"/>
    <mergeCell ref="C101:F101"/>
    <mergeCell ref="I89:J89"/>
    <mergeCell ref="I84:J84"/>
    <mergeCell ref="I85:J85"/>
    <mergeCell ref="I86:J86"/>
    <mergeCell ref="I87:J87"/>
    <mergeCell ref="C58:F58"/>
    <mergeCell ref="C94:F94"/>
    <mergeCell ref="E93:F93"/>
    <mergeCell ref="C93:D93"/>
    <mergeCell ref="C103:F103"/>
    <mergeCell ref="I116:J116"/>
    <mergeCell ref="L69:M69"/>
    <mergeCell ref="I70:J70"/>
    <mergeCell ref="L70:M70"/>
    <mergeCell ref="T65:T66"/>
    <mergeCell ref="AS7:AW7"/>
    <mergeCell ref="AB7:AE7"/>
    <mergeCell ref="AG7:AK7"/>
    <mergeCell ref="L87:M87"/>
    <mergeCell ref="L86:M86"/>
    <mergeCell ref="O93:P93"/>
    <mergeCell ref="O56:P56"/>
    <mergeCell ref="C50:E50"/>
    <mergeCell ref="C51:E51"/>
    <mergeCell ref="C52:E52"/>
    <mergeCell ref="G50:M50"/>
    <mergeCell ref="I51:J51"/>
    <mergeCell ref="E10:F10"/>
    <mergeCell ref="C47:D47"/>
    <mergeCell ref="C48:D48"/>
    <mergeCell ref="E46:F46"/>
    <mergeCell ref="O44:P44"/>
    <mergeCell ref="E33:F33"/>
    <mergeCell ref="E34:F34"/>
    <mergeCell ref="E37:F37"/>
    <mergeCell ref="E38:F38"/>
    <mergeCell ref="E43:F43"/>
    <mergeCell ref="E39:F39"/>
  </mergeCells>
  <phoneticPr fontId="24" type="noConversion"/>
  <conditionalFormatting sqref="C57 G57">
    <cfRule type="expression" dxfId="2847" priority="1" stopIfTrue="1">
      <formula>C58=0</formula>
    </cfRule>
  </conditionalFormatting>
  <conditionalFormatting sqref="F121:F122">
    <cfRule type="expression" dxfId="2846" priority="2" stopIfTrue="1">
      <formula>SUM($G121:$I121)=0</formula>
    </cfRule>
  </conditionalFormatting>
  <conditionalFormatting sqref="G184:H192 K197:K205 K184:K192 K171:K179 G171:H179 G197:H205">
    <cfRule type="cellIs" dxfId="2845" priority="3" stopIfTrue="1" operator="equal">
      <formula>0</formula>
    </cfRule>
    <cfRule type="expression" dxfId="2844" priority="4" stopIfTrue="1">
      <formula>AND(G171=1,G170=0)</formula>
    </cfRule>
  </conditionalFormatting>
  <conditionalFormatting sqref="I171:J179 I184:J192 I197:J205">
    <cfRule type="cellIs" dxfId="2843" priority="5" stopIfTrue="1" operator="equal">
      <formula>0</formula>
    </cfRule>
    <cfRule type="expression" dxfId="2842" priority="6" stopIfTrue="1">
      <formula>AND($I171=1,$I170=0)</formula>
    </cfRule>
  </conditionalFormatting>
  <conditionalFormatting sqref="I93">
    <cfRule type="expression" dxfId="2841" priority="7" stopIfTrue="1">
      <formula>AND(I$155="X",I$93&lt;&gt;"")</formula>
    </cfRule>
  </conditionalFormatting>
  <conditionalFormatting sqref="I97">
    <cfRule type="expression" dxfId="2840" priority="8" stopIfTrue="1">
      <formula>AND(I$152=0,I$97&lt;&gt;0)</formula>
    </cfRule>
    <cfRule type="expression" dxfId="2839" priority="9" stopIfTrue="1">
      <formula>I$152=0</formula>
    </cfRule>
  </conditionalFormatting>
  <conditionalFormatting sqref="G98:I98">
    <cfRule type="expression" dxfId="2838" priority="10" stopIfTrue="1">
      <formula>AND(G$152=0,G$98&lt;&gt;0)</formula>
    </cfRule>
    <cfRule type="expression" dxfId="2837" priority="11" stopIfTrue="1">
      <formula>G$152=0</formula>
    </cfRule>
  </conditionalFormatting>
  <conditionalFormatting sqref="J93">
    <cfRule type="expression" dxfId="2836" priority="12" stopIfTrue="1">
      <formula>AND(I$155="X",J$93&lt;&gt;"")</formula>
    </cfRule>
  </conditionalFormatting>
  <conditionalFormatting sqref="J97">
    <cfRule type="expression" dxfId="2835" priority="13" stopIfTrue="1">
      <formula>AND(I$152=0,J$97&lt;&gt;0)</formula>
    </cfRule>
    <cfRule type="expression" dxfId="2834" priority="14" stopIfTrue="1">
      <formula>I$152=0</formula>
    </cfRule>
  </conditionalFormatting>
  <conditionalFormatting sqref="J98">
    <cfRule type="expression" dxfId="2833" priority="15" stopIfTrue="1">
      <formula>AND(I$152=0,J$98&lt;&gt;0)</formula>
    </cfRule>
    <cfRule type="expression" dxfId="2832" priority="16" stopIfTrue="1">
      <formula>I$152=0</formula>
    </cfRule>
  </conditionalFormatting>
  <conditionalFormatting sqref="G101:I101">
    <cfRule type="expression" dxfId="2831" priority="17" stopIfTrue="1">
      <formula>AND(G$152=0,G$101&lt;&gt;0)</formula>
    </cfRule>
    <cfRule type="expression" dxfId="2830" priority="18" stopIfTrue="1">
      <formula>AND($C101="ERROR",G101&gt;0)</formula>
    </cfRule>
    <cfRule type="expression" dxfId="2829" priority="19" stopIfTrue="1">
      <formula>G$152=0</formula>
    </cfRule>
  </conditionalFormatting>
  <conditionalFormatting sqref="G102:I102">
    <cfRule type="expression" dxfId="2828" priority="20" stopIfTrue="1">
      <formula>AND(G$152=0,G$102&lt;&gt;0)</formula>
    </cfRule>
    <cfRule type="expression" dxfId="2827" priority="21" stopIfTrue="1">
      <formula>AND($C102="ERROR",G102&gt;0)</formula>
    </cfRule>
    <cfRule type="expression" dxfId="2826" priority="22" stopIfTrue="1">
      <formula>G$152=0</formula>
    </cfRule>
  </conditionalFormatting>
  <conditionalFormatting sqref="G103:I103">
    <cfRule type="expression" dxfId="2825" priority="23" stopIfTrue="1">
      <formula>AND(G$152=0,G$103&lt;&gt;0)</formula>
    </cfRule>
    <cfRule type="expression" dxfId="2824" priority="24" stopIfTrue="1">
      <formula>AND($C103="ERROR",G103&gt;0)</formula>
    </cfRule>
    <cfRule type="expression" dxfId="2823" priority="25" stopIfTrue="1">
      <formula>G$152=0</formula>
    </cfRule>
  </conditionalFormatting>
  <conditionalFormatting sqref="G104:I104">
    <cfRule type="expression" dxfId="2822" priority="26" stopIfTrue="1">
      <formula>AND(G$152=0,G$104&lt;&gt;0)</formula>
    </cfRule>
    <cfRule type="expression" dxfId="2821" priority="27" stopIfTrue="1">
      <formula>AND($C104="ERROR",G104&gt;0)</formula>
    </cfRule>
    <cfRule type="expression" dxfId="2820" priority="28" stopIfTrue="1">
      <formula>G$152=0</formula>
    </cfRule>
  </conditionalFormatting>
  <conditionalFormatting sqref="J101">
    <cfRule type="expression" dxfId="2819" priority="29" stopIfTrue="1">
      <formula>AND(I$152=0,J$101&lt;&gt;0)</formula>
    </cfRule>
    <cfRule type="expression" dxfId="2818" priority="30" stopIfTrue="1">
      <formula>AND($C101="ERROR",J101&gt;0)</formula>
    </cfRule>
    <cfRule type="expression" dxfId="2817" priority="31" stopIfTrue="1">
      <formula>I$152=0</formula>
    </cfRule>
  </conditionalFormatting>
  <conditionalFormatting sqref="J102">
    <cfRule type="expression" dxfId="2816" priority="32" stopIfTrue="1">
      <formula>AND(I$152=0,J$102&lt;&gt;0)</formula>
    </cfRule>
    <cfRule type="expression" dxfId="2815" priority="33" stopIfTrue="1">
      <formula>AND($C102="ERROR",J102&gt;0)</formula>
    </cfRule>
    <cfRule type="expression" dxfId="2814" priority="34" stopIfTrue="1">
      <formula>I$152=0</formula>
    </cfRule>
  </conditionalFormatting>
  <conditionalFormatting sqref="J103">
    <cfRule type="expression" dxfId="2813" priority="35" stopIfTrue="1">
      <formula>AND(I$152=0,J$103&lt;&gt;0)</formula>
    </cfRule>
    <cfRule type="expression" dxfId="2812" priority="36" stopIfTrue="1">
      <formula>AND($C103="ERROR",J103&gt;0)</formula>
    </cfRule>
    <cfRule type="expression" dxfId="2811" priority="37" stopIfTrue="1">
      <formula>I$152=0</formula>
    </cfRule>
  </conditionalFormatting>
  <conditionalFormatting sqref="J104">
    <cfRule type="expression" dxfId="2810" priority="38" stopIfTrue="1">
      <formula>AND(I$152=0,J$104&lt;&gt;0)</formula>
    </cfRule>
    <cfRule type="expression" dxfId="2809" priority="39" stopIfTrue="1">
      <formula>AND($C104="ERROR",J104&gt;0)</formula>
    </cfRule>
    <cfRule type="expression" dxfId="2808" priority="40" stopIfTrue="1">
      <formula>I$152=0</formula>
    </cfRule>
  </conditionalFormatting>
  <conditionalFormatting sqref="O101:P104">
    <cfRule type="expression" dxfId="2807" priority="41" stopIfTrue="1">
      <formula>SUM($G$152:$J$152)=0</formula>
    </cfRule>
    <cfRule type="expression" dxfId="2806" priority="42" stopIfTrue="1">
      <formula>$B101=""</formula>
    </cfRule>
  </conditionalFormatting>
  <conditionalFormatting sqref="E8:F38">
    <cfRule type="expression" dxfId="2805" priority="43" stopIfTrue="1">
      <formula>$AA8=$Y$6</formula>
    </cfRule>
    <cfRule type="expression" dxfId="2804" priority="44" stopIfTrue="1">
      <formula>AND($AA8=0,$E8=0)</formula>
    </cfRule>
    <cfRule type="expression" dxfId="2803" priority="45" stopIfTrue="1">
      <formula>$AA8=0</formula>
    </cfRule>
  </conditionalFormatting>
  <conditionalFormatting sqref="I6 L6 O6">
    <cfRule type="expression" dxfId="2802" priority="46" stopIfTrue="1">
      <formula>I6=""</formula>
    </cfRule>
    <cfRule type="expression" dxfId="2801" priority="47" stopIfTrue="1">
      <formula>OR(I4=0,I4=$K$130)</formula>
    </cfRule>
    <cfRule type="expression" dxfId="2800" priority="48" stopIfTrue="1">
      <formula>I4&lt;&gt;$K$130</formula>
    </cfRule>
  </conditionalFormatting>
  <conditionalFormatting sqref="J6 M6 P6">
    <cfRule type="expression" dxfId="2799" priority="49" stopIfTrue="1">
      <formula>J6=""</formula>
    </cfRule>
    <cfRule type="expression" dxfId="2798" priority="50" stopIfTrue="1">
      <formula>OR(I4=0,I4=$K$130)</formula>
    </cfRule>
    <cfRule type="expression" dxfId="2797" priority="51" stopIfTrue="1">
      <formula>I4&lt;&gt;$K$130</formula>
    </cfRule>
  </conditionalFormatting>
  <conditionalFormatting sqref="I53">
    <cfRule type="expression" dxfId="2796" priority="52" stopIfTrue="1">
      <formula>ISERROR($G$155)</formula>
    </cfRule>
    <cfRule type="expression" dxfId="2795" priority="53" stopIfTrue="1">
      <formula>ISERROR($I53)</formula>
    </cfRule>
  </conditionalFormatting>
  <conditionalFormatting sqref="G39:H39">
    <cfRule type="expression" dxfId="2794" priority="54" stopIfTrue="1">
      <formula>ISERROR($G$155)</formula>
    </cfRule>
    <cfRule type="expression" dxfId="2793" priority="55" stopIfTrue="1">
      <formula>OR($I$163=0,G$4="")</formula>
    </cfRule>
    <cfRule type="expression" dxfId="2792" priority="56" stopIfTrue="1">
      <formula>OR(G$4="",ISERROR(G$155))</formula>
    </cfRule>
  </conditionalFormatting>
  <conditionalFormatting sqref="G97:H97">
    <cfRule type="expression" dxfId="2791" priority="57" stopIfTrue="1">
      <formula>AND(G$152=0,G$97&lt;&gt;0)</formula>
    </cfRule>
    <cfRule type="expression" dxfId="2790" priority="58" stopIfTrue="1">
      <formula>G$152=0</formula>
    </cfRule>
    <cfRule type="expression" dxfId="2789" priority="59" stopIfTrue="1">
      <formula>AND(G$96&lt;&gt;0,G$97="")</formula>
    </cfRule>
  </conditionalFormatting>
  <conditionalFormatting sqref="C101:F104">
    <cfRule type="cellIs" dxfId="2788" priority="60" stopIfTrue="1" operator="equal">
      <formula>"ERROR"</formula>
    </cfRule>
    <cfRule type="expression" dxfId="2787" priority="61" stopIfTrue="1">
      <formula>ISBLANK($B101)</formula>
    </cfRule>
    <cfRule type="expression" dxfId="2786" priority="62" stopIfTrue="1">
      <formula>SUM($G$152:$J$152)=0</formula>
    </cfRule>
  </conditionalFormatting>
  <conditionalFormatting sqref="K73">
    <cfRule type="expression" dxfId="2785" priority="63" stopIfTrue="1">
      <formula>ISERROR(K73)</formula>
    </cfRule>
    <cfRule type="expression" dxfId="2784" priority="64" stopIfTrue="1">
      <formula>I73=0</formula>
    </cfRule>
    <cfRule type="expression" dxfId="2783" priority="65" stopIfTrue="1">
      <formula>$C$61=0</formula>
    </cfRule>
  </conditionalFormatting>
  <conditionalFormatting sqref="G70:G71">
    <cfRule type="expression" dxfId="2782" priority="66" stopIfTrue="1">
      <formula>$C$61=0</formula>
    </cfRule>
    <cfRule type="expression" dxfId="2781" priority="67" stopIfTrue="1">
      <formula>SUM($G$69:$G$72)=0</formula>
    </cfRule>
    <cfRule type="expression" dxfId="2780" priority="68" stopIfTrue="1">
      <formula>AND(G70&lt;&gt;0,ISERROR(H70))</formula>
    </cfRule>
  </conditionalFormatting>
  <conditionalFormatting sqref="G72">
    <cfRule type="expression" dxfId="2779" priority="69" stopIfTrue="1">
      <formula>$C$61=0</formula>
    </cfRule>
    <cfRule type="expression" dxfId="2778" priority="70" stopIfTrue="1">
      <formula>SUM($G$69:$G$72)=0</formula>
    </cfRule>
    <cfRule type="expression" dxfId="2777" priority="71" stopIfTrue="1">
      <formula>AND(G72&lt;&gt;0,ISERROR(H72))</formula>
    </cfRule>
  </conditionalFormatting>
  <conditionalFormatting sqref="G69">
    <cfRule type="expression" dxfId="2776" priority="72" stopIfTrue="1">
      <formula>$C$61=0</formula>
    </cfRule>
    <cfRule type="expression" dxfId="2775" priority="73" stopIfTrue="1">
      <formula>SUM($G$69:$G$72)=0</formula>
    </cfRule>
    <cfRule type="expression" dxfId="2774" priority="74" stopIfTrue="1">
      <formula>AND(G69&lt;&gt;0,ISERROR(H69))</formula>
    </cfRule>
  </conditionalFormatting>
  <conditionalFormatting sqref="I74">
    <cfRule type="expression" dxfId="2773" priority="75" stopIfTrue="1">
      <formula>$C$61=0</formula>
    </cfRule>
    <cfRule type="expression" dxfId="2772" priority="76" stopIfTrue="1">
      <formula>I73=0</formula>
    </cfRule>
  </conditionalFormatting>
  <conditionalFormatting sqref="G89:K89">
    <cfRule type="cellIs" dxfId="2771" priority="77" stopIfTrue="1" operator="equal">
      <formula>0</formula>
    </cfRule>
    <cfRule type="expression" dxfId="2770" priority="78" stopIfTrue="1">
      <formula>G$88=0</formula>
    </cfRule>
  </conditionalFormatting>
  <conditionalFormatting sqref="I77:J78">
    <cfRule type="expression" dxfId="2769" priority="79" stopIfTrue="1">
      <formula>$C$61=0</formula>
    </cfRule>
    <cfRule type="expression" dxfId="2768" priority="80" stopIfTrue="1">
      <formula>ISERROR($I77)</formula>
    </cfRule>
    <cfRule type="cellIs" dxfId="2767" priority="81" stopIfTrue="1" operator="equal">
      <formula>0</formula>
    </cfRule>
  </conditionalFormatting>
  <conditionalFormatting sqref="I79:J79">
    <cfRule type="expression" dxfId="2766" priority="82" stopIfTrue="1">
      <formula>ISERROR($I79)</formula>
    </cfRule>
    <cfRule type="expression" dxfId="2765" priority="83" stopIfTrue="1">
      <formula>$C$61=0</formula>
    </cfRule>
    <cfRule type="cellIs" dxfId="2764" priority="84" stopIfTrue="1" operator="equal">
      <formula>0</formula>
    </cfRule>
  </conditionalFormatting>
  <conditionalFormatting sqref="L77:M78">
    <cfRule type="expression" dxfId="2763" priority="85" stopIfTrue="1">
      <formula>ISERROR($L77)</formula>
    </cfRule>
    <cfRule type="expression" dxfId="2762" priority="86" stopIfTrue="1">
      <formula>$C$61=0</formula>
    </cfRule>
  </conditionalFormatting>
  <conditionalFormatting sqref="G93:H93">
    <cfRule type="expression" dxfId="2761" priority="87" stopIfTrue="1">
      <formula>AND(G$155="X",G$93&lt;&gt;"")</formula>
    </cfRule>
  </conditionalFormatting>
  <conditionalFormatting sqref="G81:K81">
    <cfRule type="expression" dxfId="2760" priority="88" stopIfTrue="1">
      <formula>$C$61=0</formula>
    </cfRule>
    <cfRule type="expression" dxfId="2759" priority="89" stopIfTrue="1">
      <formula>G$89&lt;&gt;0</formula>
    </cfRule>
  </conditionalFormatting>
  <conditionalFormatting sqref="I88:J88">
    <cfRule type="expression" dxfId="2758" priority="90" stopIfTrue="1">
      <formula>ISERROR($I88)</formula>
    </cfRule>
    <cfRule type="cellIs" dxfId="2757" priority="91" stopIfTrue="1" operator="equal">
      <formula>0</formula>
    </cfRule>
    <cfRule type="expression" dxfId="2756" priority="92" stopIfTrue="1">
      <formula>$C$61=0</formula>
    </cfRule>
  </conditionalFormatting>
  <conditionalFormatting sqref="H69:H72">
    <cfRule type="expression" dxfId="2755" priority="93" stopIfTrue="1">
      <formula>ISERROR(H69)</formula>
    </cfRule>
    <cfRule type="expression" dxfId="2754" priority="94" stopIfTrue="1">
      <formula>$C$61=0</formula>
    </cfRule>
    <cfRule type="expression" dxfId="2753" priority="95" stopIfTrue="1">
      <formula>$H69=$E$163</formula>
    </cfRule>
  </conditionalFormatting>
  <conditionalFormatting sqref="G76:H76 K76">
    <cfRule type="expression" dxfId="2752" priority="96" stopIfTrue="1">
      <formula>ISERROR(G76)</formula>
    </cfRule>
    <cfRule type="expression" dxfId="2751" priority="97" stopIfTrue="1">
      <formula>$C$61=0</formula>
    </cfRule>
    <cfRule type="expression" dxfId="2750" priority="98" stopIfTrue="1">
      <formula>G$76=$E$163</formula>
    </cfRule>
  </conditionalFormatting>
  <conditionalFormatting sqref="I76:J76">
    <cfRule type="expression" dxfId="2749" priority="99" stopIfTrue="1">
      <formula>ISERROR($I76)</formula>
    </cfRule>
    <cfRule type="expression" dxfId="2748" priority="100" stopIfTrue="1">
      <formula>$C$61=0</formula>
    </cfRule>
    <cfRule type="expression" dxfId="2747" priority="101" stopIfTrue="1">
      <formula>$I76=$E$163</formula>
    </cfRule>
  </conditionalFormatting>
  <conditionalFormatting sqref="K69:K72">
    <cfRule type="expression" dxfId="2746" priority="102" stopIfTrue="1">
      <formula>OR(ISERROR(H69),ISERROR(K69))</formula>
    </cfRule>
    <cfRule type="expression" dxfId="2745" priority="103" stopIfTrue="1">
      <formula>AND($I69=0,$C$61&lt;&gt;0,$G69=0)</formula>
    </cfRule>
    <cfRule type="expression" dxfId="2744" priority="104" stopIfTrue="1">
      <formula>$C$61=0</formula>
    </cfRule>
  </conditionalFormatting>
  <conditionalFormatting sqref="L93">
    <cfRule type="expression" dxfId="2743" priority="105" stopIfTrue="1">
      <formula>AND(J$155="X",L$93&lt;&gt;"")</formula>
    </cfRule>
  </conditionalFormatting>
  <conditionalFormatting sqref="L97">
    <cfRule type="expression" dxfId="2742" priority="106" stopIfTrue="1">
      <formula>AND(J$152=0,L$97&lt;&gt;0)</formula>
    </cfRule>
    <cfRule type="expression" dxfId="2741" priority="107" stopIfTrue="1">
      <formula>J$152=0</formula>
    </cfRule>
  </conditionalFormatting>
  <conditionalFormatting sqref="K98:L98">
    <cfRule type="expression" dxfId="2740" priority="108" stopIfTrue="1">
      <formula>AND(I$152=0,K$98&lt;&gt;0)</formula>
    </cfRule>
    <cfRule type="expression" dxfId="2739" priority="109" stopIfTrue="1">
      <formula>I$152=0</formula>
    </cfRule>
  </conditionalFormatting>
  <conditionalFormatting sqref="N98">
    <cfRule type="expression" dxfId="2738" priority="110" stopIfTrue="1">
      <formula>AND(J$152=0,N$98&lt;&gt;0)</formula>
    </cfRule>
    <cfRule type="expression" dxfId="2737" priority="111" stopIfTrue="1">
      <formula>J$152=0</formula>
    </cfRule>
  </conditionalFormatting>
  <conditionalFormatting sqref="M93">
    <cfRule type="expression" dxfId="2736" priority="112" stopIfTrue="1">
      <formula>AND(J$155="X",M$93&lt;&gt;"")</formula>
    </cfRule>
  </conditionalFormatting>
  <conditionalFormatting sqref="M97">
    <cfRule type="expression" dxfId="2735" priority="113" stopIfTrue="1">
      <formula>AND(J$152=0,M$97&lt;&gt;0)</formula>
    </cfRule>
    <cfRule type="expression" dxfId="2734" priority="114" stopIfTrue="1">
      <formula>J$152=0</formula>
    </cfRule>
  </conditionalFormatting>
  <conditionalFormatting sqref="M98">
    <cfRule type="expression" dxfId="2733" priority="115" stopIfTrue="1">
      <formula>AND(J$152=0,M$98&lt;&gt;0)</formula>
    </cfRule>
    <cfRule type="expression" dxfId="2732" priority="116" stopIfTrue="1">
      <formula>J$152=0</formula>
    </cfRule>
  </conditionalFormatting>
  <conditionalFormatting sqref="K101:L101">
    <cfRule type="expression" dxfId="2731" priority="117" stopIfTrue="1">
      <formula>AND(I$152=0,K$101&lt;&gt;0)</formula>
    </cfRule>
    <cfRule type="expression" dxfId="2730" priority="118" stopIfTrue="1">
      <formula>AND($C101="ERROR",K101&gt;0)</formula>
    </cfRule>
    <cfRule type="expression" dxfId="2729" priority="119" stopIfTrue="1">
      <formula>I$152=0</formula>
    </cfRule>
  </conditionalFormatting>
  <conditionalFormatting sqref="K102:L102">
    <cfRule type="expression" dxfId="2728" priority="120" stopIfTrue="1">
      <formula>AND(I$152=0,K$102&lt;&gt;0)</formula>
    </cfRule>
    <cfRule type="expression" dxfId="2727" priority="121" stopIfTrue="1">
      <formula>AND($C102="ERROR",K102&gt;0)</formula>
    </cfRule>
    <cfRule type="expression" dxfId="2726" priority="122" stopIfTrue="1">
      <formula>I$152=0</formula>
    </cfRule>
  </conditionalFormatting>
  <conditionalFormatting sqref="K103:L103">
    <cfRule type="expression" dxfId="2725" priority="123" stopIfTrue="1">
      <formula>AND(I$152=0,K$103&lt;&gt;0)</formula>
    </cfRule>
    <cfRule type="expression" dxfId="2724" priority="124" stopIfTrue="1">
      <formula>AND($C103="ERROR",K103&gt;0)</formula>
    </cfRule>
    <cfRule type="expression" dxfId="2723" priority="125" stopIfTrue="1">
      <formula>I$152=0</formula>
    </cfRule>
  </conditionalFormatting>
  <conditionalFormatting sqref="K104:L104">
    <cfRule type="expression" dxfId="2722" priority="126" stopIfTrue="1">
      <formula>AND(I$152=0,K$104&lt;&gt;0)</formula>
    </cfRule>
    <cfRule type="expression" dxfId="2721" priority="127" stopIfTrue="1">
      <formula>AND($C104="ERROR",K104&gt;0)</formula>
    </cfRule>
    <cfRule type="expression" dxfId="2720" priority="128" stopIfTrue="1">
      <formula>I$152=0</formula>
    </cfRule>
  </conditionalFormatting>
  <conditionalFormatting sqref="N101">
    <cfRule type="expression" dxfId="2719" priority="129" stopIfTrue="1">
      <formula>AND(J$152=0,N$101&lt;&gt;0)</formula>
    </cfRule>
    <cfRule type="expression" dxfId="2718" priority="130" stopIfTrue="1">
      <formula>AND($C101="ERROR",N101&gt;0)</formula>
    </cfRule>
    <cfRule type="expression" dxfId="2717" priority="131" stopIfTrue="1">
      <formula>J$152=0</formula>
    </cfRule>
  </conditionalFormatting>
  <conditionalFormatting sqref="N102">
    <cfRule type="expression" dxfId="2716" priority="132" stopIfTrue="1">
      <formula>AND(J$152=0,N$102&lt;&gt;0)</formula>
    </cfRule>
    <cfRule type="expression" dxfId="2715" priority="133" stopIfTrue="1">
      <formula>AND($C102="ERROR",N102&gt;0)</formula>
    </cfRule>
    <cfRule type="expression" dxfId="2714" priority="134" stopIfTrue="1">
      <formula>J$152=0</formula>
    </cfRule>
  </conditionalFormatting>
  <conditionalFormatting sqref="N103">
    <cfRule type="expression" dxfId="2713" priority="135" stopIfTrue="1">
      <formula>AND(J$152=0,N$103&lt;&gt;0)</formula>
    </cfRule>
    <cfRule type="expression" dxfId="2712" priority="136" stopIfTrue="1">
      <formula>AND($C103="ERROR",N103&gt;0)</formula>
    </cfRule>
    <cfRule type="expression" dxfId="2711" priority="137" stopIfTrue="1">
      <formula>J$152=0</formula>
    </cfRule>
  </conditionalFormatting>
  <conditionalFormatting sqref="N104">
    <cfRule type="expression" dxfId="2710" priority="138" stopIfTrue="1">
      <formula>AND(J$152=0,N$104&lt;&gt;0)</formula>
    </cfRule>
    <cfRule type="expression" dxfId="2709" priority="139" stopIfTrue="1">
      <formula>AND($C104="ERROR",N104&gt;0)</formula>
    </cfRule>
    <cfRule type="expression" dxfId="2708" priority="140" stopIfTrue="1">
      <formula>J$152=0</formula>
    </cfRule>
  </conditionalFormatting>
  <conditionalFormatting sqref="M101">
    <cfRule type="expression" dxfId="2707" priority="141" stopIfTrue="1">
      <formula>AND(J$152=0,M$101&lt;&gt;0)</formula>
    </cfRule>
    <cfRule type="expression" dxfId="2706" priority="142" stopIfTrue="1">
      <formula>AND($C101="ERROR",M101&gt;0)</formula>
    </cfRule>
    <cfRule type="expression" dxfId="2705" priority="143" stopIfTrue="1">
      <formula>J$152=0</formula>
    </cfRule>
  </conditionalFormatting>
  <conditionalFormatting sqref="M102">
    <cfRule type="expression" dxfId="2704" priority="144" stopIfTrue="1">
      <formula>AND(J$152=0,M$102&lt;&gt;0)</formula>
    </cfRule>
    <cfRule type="expression" dxfId="2703" priority="145" stopIfTrue="1">
      <formula>AND($C102="ERROR",M102&gt;0)</formula>
    </cfRule>
    <cfRule type="expression" dxfId="2702" priority="146" stopIfTrue="1">
      <formula>J$152=0</formula>
    </cfRule>
  </conditionalFormatting>
  <conditionalFormatting sqref="M103">
    <cfRule type="expression" dxfId="2701" priority="147" stopIfTrue="1">
      <formula>AND(J$152=0,M$103&lt;&gt;0)</formula>
    </cfRule>
    <cfRule type="expression" dxfId="2700" priority="148" stopIfTrue="1">
      <formula>AND($C103="ERROR",M103&gt;0)</formula>
    </cfRule>
    <cfRule type="expression" dxfId="2699" priority="149" stopIfTrue="1">
      <formula>J$152=0</formula>
    </cfRule>
  </conditionalFormatting>
  <conditionalFormatting sqref="M104">
    <cfRule type="expression" dxfId="2698" priority="150" stopIfTrue="1">
      <formula>AND(J$152=0,M$104&lt;&gt;0)</formula>
    </cfRule>
    <cfRule type="expression" dxfId="2697" priority="151" stopIfTrue="1">
      <formula>AND($C104="ERROR",M104&gt;0)</formula>
    </cfRule>
    <cfRule type="expression" dxfId="2696" priority="152" stopIfTrue="1">
      <formula>J$152=0</formula>
    </cfRule>
  </conditionalFormatting>
  <conditionalFormatting sqref="K97">
    <cfRule type="expression" dxfId="2695" priority="153" stopIfTrue="1">
      <formula>AND(I$152=0,K$97&lt;&gt;0)</formula>
    </cfRule>
    <cfRule type="expression" dxfId="2694" priority="154" stopIfTrue="1">
      <formula>I$152=0</formula>
    </cfRule>
    <cfRule type="expression" dxfId="2693" priority="155" stopIfTrue="1">
      <formula>AND(K$96&lt;&gt;0,K$97="")</formula>
    </cfRule>
  </conditionalFormatting>
  <conditionalFormatting sqref="N97">
    <cfRule type="expression" dxfId="2692" priority="156" stopIfTrue="1">
      <formula>AND(J$152=0,N$97&lt;&gt;0)</formula>
    </cfRule>
    <cfRule type="expression" dxfId="2691" priority="157" stopIfTrue="1">
      <formula>J$152=0</formula>
    </cfRule>
    <cfRule type="expression" dxfId="2690" priority="158" stopIfTrue="1">
      <formula>AND(N$96&lt;&gt;0,N$97="")</formula>
    </cfRule>
  </conditionalFormatting>
  <conditionalFormatting sqref="G83:I83 K83">
    <cfRule type="expression" dxfId="2689" priority="159" stopIfTrue="1">
      <formula>$C$61=0</formula>
    </cfRule>
    <cfRule type="expression" dxfId="2688" priority="160" stopIfTrue="1">
      <formula>G85=$M$135</formula>
    </cfRule>
    <cfRule type="cellIs" dxfId="2687" priority="161" stopIfTrue="1" operator="equal">
      <formula>0</formula>
    </cfRule>
  </conditionalFormatting>
  <conditionalFormatting sqref="G84:I84 K84">
    <cfRule type="expression" dxfId="2686" priority="162" stopIfTrue="1">
      <formula>$C$61=0</formula>
    </cfRule>
    <cfRule type="expression" dxfId="2685" priority="163" stopIfTrue="1">
      <formula>G85=$M$135</formula>
    </cfRule>
    <cfRule type="cellIs" dxfId="2684" priority="164" stopIfTrue="1" operator="equal">
      <formula>0</formula>
    </cfRule>
  </conditionalFormatting>
  <conditionalFormatting sqref="K86 G86:H86">
    <cfRule type="expression" dxfId="2683" priority="165" stopIfTrue="1">
      <formula>$C$61=0</formula>
    </cfRule>
    <cfRule type="expression" dxfId="2682" priority="166" stopIfTrue="1">
      <formula>G85=$M$135</formula>
    </cfRule>
  </conditionalFormatting>
  <conditionalFormatting sqref="G82:K82">
    <cfRule type="expression" dxfId="2681" priority="167" stopIfTrue="1">
      <formula>$C$61=0</formula>
    </cfRule>
    <cfRule type="expression" dxfId="2680" priority="168" stopIfTrue="1">
      <formula>G85=$M$135</formula>
    </cfRule>
    <cfRule type="cellIs" dxfId="2679" priority="169" stopIfTrue="1" operator="equal">
      <formula>0</formula>
    </cfRule>
  </conditionalFormatting>
  <conditionalFormatting sqref="I86:J86">
    <cfRule type="expression" dxfId="2678" priority="170" stopIfTrue="1">
      <formula>$C$61=0</formula>
    </cfRule>
    <cfRule type="expression" dxfId="2677" priority="171" stopIfTrue="1">
      <formula>$I85=$M$135</formula>
    </cfRule>
  </conditionalFormatting>
  <conditionalFormatting sqref="G87:H87 K87">
    <cfRule type="expression" dxfId="2676" priority="172" stopIfTrue="1">
      <formula>G85=$M$135</formula>
    </cfRule>
    <cfRule type="expression" dxfId="2675" priority="173" stopIfTrue="1">
      <formula>$C$61=0</formula>
    </cfRule>
  </conditionalFormatting>
  <conditionalFormatting sqref="I87:J87">
    <cfRule type="expression" dxfId="2674" priority="174" stopIfTrue="1">
      <formula>$I85=$M$135</formula>
    </cfRule>
    <cfRule type="expression" dxfId="2673" priority="175" stopIfTrue="1">
      <formula>$C$61=0</formula>
    </cfRule>
  </conditionalFormatting>
  <conditionalFormatting sqref="K93">
    <cfRule type="expression" dxfId="2672" priority="176" stopIfTrue="1">
      <formula>AND(I$155="X",K$93&lt;&gt;"")</formula>
    </cfRule>
  </conditionalFormatting>
  <conditionalFormatting sqref="N93">
    <cfRule type="expression" dxfId="2671" priority="177" stopIfTrue="1">
      <formula>AND(J$155="X",N$93&lt;&gt;"")</formula>
    </cfRule>
  </conditionalFormatting>
  <conditionalFormatting sqref="L69:M72">
    <cfRule type="expression" dxfId="2670" priority="178" stopIfTrue="1">
      <formula>OR(ISERROR($L69),$H69="")</formula>
    </cfRule>
    <cfRule type="expression" dxfId="2669" priority="179" stopIfTrue="1">
      <formula>$C$61=0</formula>
    </cfRule>
    <cfRule type="expression" dxfId="2668" priority="180" stopIfTrue="1">
      <formula>$H69=$E$163</formula>
    </cfRule>
  </conditionalFormatting>
  <conditionalFormatting sqref="I85:J85">
    <cfRule type="expression" dxfId="2667" priority="181" stopIfTrue="1">
      <formula>$C$61=0</formula>
    </cfRule>
    <cfRule type="expression" dxfId="2666" priority="182" stopIfTrue="1">
      <formula>$I85=$M$135</formula>
    </cfRule>
  </conditionalFormatting>
  <conditionalFormatting sqref="I51:J52 L51:M52">
    <cfRule type="expression" dxfId="2665" priority="183" stopIfTrue="1">
      <formula>ISERROR(I55)</formula>
    </cfRule>
  </conditionalFormatting>
  <conditionalFormatting sqref="K51:K52">
    <cfRule type="expression" dxfId="2664" priority="184" stopIfTrue="1">
      <formula>ISERROR(G51)</formula>
    </cfRule>
  </conditionalFormatting>
  <conditionalFormatting sqref="I7:I39">
    <cfRule type="expression" dxfId="2663" priority="185" stopIfTrue="1">
      <formula>OR($I$4=0,$I$4&lt;&gt;$K$130)</formula>
    </cfRule>
    <cfRule type="expression" dxfId="2662" priority="186" stopIfTrue="1">
      <formula>$AA7&lt;&gt;0</formula>
    </cfRule>
  </conditionalFormatting>
  <conditionalFormatting sqref="J7:J39">
    <cfRule type="expression" dxfId="2661" priority="187" stopIfTrue="1">
      <formula>OR($I$4=0,$I$4&lt;&gt;$K$130)</formula>
    </cfRule>
    <cfRule type="expression" dxfId="2660" priority="188" stopIfTrue="1">
      <formula>$AA7&lt;&gt;0</formula>
    </cfRule>
  </conditionalFormatting>
  <conditionalFormatting sqref="L7:L39">
    <cfRule type="expression" dxfId="2659" priority="189" stopIfTrue="1">
      <formula>OR($L$4=0,$L$4&lt;&gt;$K$130)</formula>
    </cfRule>
    <cfRule type="expression" dxfId="2658" priority="190" stopIfTrue="1">
      <formula>$AA7&lt;&gt;0</formula>
    </cfRule>
  </conditionalFormatting>
  <conditionalFormatting sqref="M7:M39">
    <cfRule type="expression" dxfId="2657" priority="191" stopIfTrue="1">
      <formula>OR($L$4=0,$L$4&lt;&gt;$K$130)</formula>
    </cfRule>
    <cfRule type="expression" dxfId="2656" priority="192" stopIfTrue="1">
      <formula>$AA7&lt;&gt;0</formula>
    </cfRule>
  </conditionalFormatting>
  <conditionalFormatting sqref="O7:O39">
    <cfRule type="expression" dxfId="2655" priority="193" stopIfTrue="1">
      <formula>OR($O$4=0,$O$4&lt;&gt;$K$130)</formula>
    </cfRule>
    <cfRule type="expression" dxfId="2654" priority="194" stopIfTrue="1">
      <formula>$AA7&lt;&gt;0</formula>
    </cfRule>
  </conditionalFormatting>
  <conditionalFormatting sqref="P7:P39">
    <cfRule type="expression" dxfId="2653" priority="195" stopIfTrue="1">
      <formula>OR($O$4=0,$O$4&lt;&gt;$K$130)</formula>
    </cfRule>
    <cfRule type="expression" dxfId="2652" priority="196" stopIfTrue="1">
      <formula>$AA7&lt;&gt;0</formula>
    </cfRule>
  </conditionalFormatting>
  <conditionalFormatting sqref="K39">
    <cfRule type="expression" dxfId="2651" priority="197" stopIfTrue="1">
      <formula>ISERROR($G$155)</formula>
    </cfRule>
    <cfRule type="expression" dxfId="2650" priority="198" stopIfTrue="1">
      <formula>OR($I$163=0,K$4="")</formula>
    </cfRule>
    <cfRule type="expression" dxfId="2649" priority="199" stopIfTrue="1">
      <formula>OR(K$4="",ISERROR(I$155))</formula>
    </cfRule>
  </conditionalFormatting>
  <conditionalFormatting sqref="N39">
    <cfRule type="expression" dxfId="2648" priority="200" stopIfTrue="1">
      <formula>ISERROR($G$155)</formula>
    </cfRule>
    <cfRule type="expression" dxfId="2647" priority="201" stopIfTrue="1">
      <formula>OR($I$163=0,N$4="")</formula>
    </cfRule>
    <cfRule type="expression" dxfId="2646" priority="202" stopIfTrue="1">
      <formula>OR(N$4="",ISERROR(J$155))</formula>
    </cfRule>
  </conditionalFormatting>
  <conditionalFormatting sqref="G8:H38 K8:K38 N8:N38">
    <cfRule type="expression" dxfId="2645" priority="203" stopIfTrue="1">
      <formula>$AA8=$Y$6</formula>
    </cfRule>
    <cfRule type="expression" dxfId="2644" priority="204" stopIfTrue="1">
      <formula>OR($AA8=0,$E8=$E$162)</formula>
    </cfRule>
  </conditionalFormatting>
  <conditionalFormatting sqref="C8:D38">
    <cfRule type="expression" dxfId="2643" priority="205" stopIfTrue="1">
      <formula>$AA8=$Y$6</formula>
    </cfRule>
    <cfRule type="expression" dxfId="2642" priority="206" stopIfTrue="1">
      <formula>AND($L$163=0,OR($V8&lt;$B$162,$V8&gt;$B$163))</formula>
    </cfRule>
    <cfRule type="expression" dxfId="2641" priority="207" stopIfTrue="1">
      <formula>AND($AA8=0,$E8=0)</formula>
    </cfRule>
  </conditionalFormatting>
  <conditionalFormatting sqref="G46:H46 K46 N46">
    <cfRule type="expression" dxfId="2640" priority="208" stopIfTrue="1">
      <formula>G$42=$K$134</formula>
    </cfRule>
    <cfRule type="expression" dxfId="2639" priority="209" stopIfTrue="1">
      <formula>OR($I$163=0,G$4="")</formula>
    </cfRule>
    <cfRule type="expression" dxfId="2638" priority="210" stopIfTrue="1">
      <formula>G44=""</formula>
    </cfRule>
  </conditionalFormatting>
  <conditionalFormatting sqref="G47:H47 K47 N47">
    <cfRule type="expression" dxfId="2637" priority="211" stopIfTrue="1">
      <formula>OR(ISERROR(G47),G$4="")</formula>
    </cfRule>
    <cfRule type="expression" dxfId="2636" priority="212" stopIfTrue="1">
      <formula>G$42=$K$134</formula>
    </cfRule>
    <cfRule type="expression" dxfId="2635" priority="213" stopIfTrue="1">
      <formula>AND(G$46&gt;0,OR(G$99=$E$152,G$99=$K$152))</formula>
    </cfRule>
  </conditionalFormatting>
  <conditionalFormatting sqref="G48:H48 K48 N48">
    <cfRule type="expression" dxfId="2634" priority="214" stopIfTrue="1">
      <formula>OR(ISERROR(G48),G$4="")</formula>
    </cfRule>
    <cfRule type="expression" dxfId="2633" priority="215" stopIfTrue="1">
      <formula>G$42=$K$134</formula>
    </cfRule>
    <cfRule type="expression" dxfId="2632" priority="216" stopIfTrue="1">
      <formula>AND(G$46&gt;0,OR(G$99=$E$152,G$99=$K$152,COUNTIF($C$101:$F$104,"ERROR")&gt;0,G$105=$E$152,G$105=$K$152))</formula>
    </cfRule>
  </conditionalFormatting>
  <conditionalFormatting sqref="I69:J72">
    <cfRule type="expression" dxfId="2631" priority="217" stopIfTrue="1">
      <formula>$C$61=0</formula>
    </cfRule>
    <cfRule type="expression" dxfId="2630" priority="218" stopIfTrue="1">
      <formula>$Z69=0</formula>
    </cfRule>
    <cfRule type="expression" dxfId="2629" priority="219" stopIfTrue="1">
      <formula>$I69=0</formula>
    </cfRule>
  </conditionalFormatting>
  <conditionalFormatting sqref="G61:H62 K61:K62 N61:N62">
    <cfRule type="expression" dxfId="2628" priority="220" stopIfTrue="1">
      <formula>$C$61=0</formula>
    </cfRule>
    <cfRule type="expression" dxfId="2627" priority="221" stopIfTrue="1">
      <formula>G$62=$L$135</formula>
    </cfRule>
  </conditionalFormatting>
  <conditionalFormatting sqref="M166:N166">
    <cfRule type="expression" dxfId="2626" priority="222" stopIfTrue="1">
      <formula>ISBLANK($M166)</formula>
    </cfRule>
  </conditionalFormatting>
  <conditionalFormatting sqref="F107 N108:N109 F108:I109 K108:K109">
    <cfRule type="expression" dxfId="2625" priority="223" stopIfTrue="1">
      <formula>$L$108=0</formula>
    </cfRule>
  </conditionalFormatting>
  <conditionalFormatting sqref="G116:J118 K121:K122 L108:M109">
    <cfRule type="cellIs" dxfId="2624" priority="224" stopIfTrue="1" operator="equal">
      <formula>0</formula>
    </cfRule>
  </conditionalFormatting>
  <conditionalFormatting sqref="L113:M121">
    <cfRule type="expression" dxfId="2623" priority="225" stopIfTrue="1">
      <formula>$L$109=0</formula>
    </cfRule>
  </conditionalFormatting>
  <conditionalFormatting sqref="L122:M122">
    <cfRule type="expression" dxfId="2622" priority="226" stopIfTrue="1">
      <formula>$K$122=0</formula>
    </cfRule>
  </conditionalFormatting>
  <conditionalFormatting sqref="K53:K54 H53:H54">
    <cfRule type="expression" dxfId="2621" priority="227" stopIfTrue="1">
      <formula>ISERROR($G$155)</formula>
    </cfRule>
  </conditionalFormatting>
  <conditionalFormatting sqref="L180 P46 L193 L206 L215:L217">
    <cfRule type="expression" dxfId="2620" priority="228" stopIfTrue="1">
      <formula>$O$44=""</formula>
    </cfRule>
    <cfRule type="expression" dxfId="2619" priority="229" stopIfTrue="1">
      <formula>$O$44=0</formula>
    </cfRule>
  </conditionalFormatting>
  <conditionalFormatting sqref="G180:I180 K180 G215:J217 G193:I193 K206 K193 G206:I206">
    <cfRule type="expression" dxfId="2618" priority="230" stopIfTrue="1">
      <formula>ISERROR(G180)</formula>
    </cfRule>
    <cfRule type="cellIs" dxfId="2617" priority="231" stopIfTrue="1" operator="equal">
      <formula>0</formula>
    </cfRule>
  </conditionalFormatting>
  <conditionalFormatting sqref="G183:K183 G170:K170 G196:K196 G121:J122">
    <cfRule type="cellIs" dxfId="2616" priority="232" stopIfTrue="1" operator="equal">
      <formula>0</formula>
    </cfRule>
  </conditionalFormatting>
  <conditionalFormatting sqref="C126:P126">
    <cfRule type="expression" dxfId="2615" priority="233" stopIfTrue="1">
      <formula>ISERROR($H$163)</formula>
    </cfRule>
  </conditionalFormatting>
  <conditionalFormatting sqref="G53:G54">
    <cfRule type="expression" dxfId="2614" priority="234" stopIfTrue="1">
      <formula>ISERROR($G$155)</formula>
    </cfRule>
    <cfRule type="expression" dxfId="2613" priority="235" stopIfTrue="1">
      <formula>ISERROR(G53)</formula>
    </cfRule>
  </conditionalFormatting>
  <conditionalFormatting sqref="O95:P95">
    <cfRule type="expression" dxfId="2612" priority="236" stopIfTrue="1">
      <formula>$O$44=""</formula>
    </cfRule>
  </conditionalFormatting>
  <conditionalFormatting sqref="O94:P94">
    <cfRule type="expression" dxfId="2611" priority="237" stopIfTrue="1">
      <formula>$O$44=""</formula>
    </cfRule>
  </conditionalFormatting>
  <conditionalFormatting sqref="AA8:AA38 O44:P44 G58 C58 I44:J44 L44:M44 G152:J152 L168 E6:F6 K42 N42 G42:H42">
    <cfRule type="cellIs" dxfId="2610" priority="238" stopIfTrue="1" operator="equal">
      <formula>0</formula>
    </cfRule>
  </conditionalFormatting>
  <conditionalFormatting sqref="W8:Z38 R8:U37 AB8:AE38 AG8:AK37 AM8:AQ37 AS8:AW37 AY8:AY37">
    <cfRule type="cellIs" dxfId="2609" priority="239" stopIfTrue="1" operator="equal">
      <formula>0</formula>
    </cfRule>
  </conditionalFormatting>
  <conditionalFormatting sqref="O45:P45 L169">
    <cfRule type="expression" dxfId="2608" priority="240" stopIfTrue="1">
      <formula>$O$4=$K$130</formula>
    </cfRule>
    <cfRule type="expression" dxfId="2607" priority="241" stopIfTrue="1">
      <formula>$O$44=0</formula>
    </cfRule>
  </conditionalFormatting>
  <conditionalFormatting sqref="E47:F48">
    <cfRule type="expression" dxfId="2606" priority="242" stopIfTrue="1">
      <formula>ISERROR(E47)</formula>
    </cfRule>
  </conditionalFormatting>
  <conditionalFormatting sqref="G168:I169 K168:K169 E197:E198 E206:F206 E171:E172 E180:F180 E184:E185 E193:F193 G94:N95 N44:N45 G44:H45 K44:K45 E221 G51:H52">
    <cfRule type="expression" dxfId="2605" priority="243" stopIfTrue="1">
      <formula>ISERROR(E44)</formula>
    </cfRule>
  </conditionalFormatting>
  <conditionalFormatting sqref="G167:I167 K167 N43 G43:H43 K43">
    <cfRule type="cellIs" dxfId="2604" priority="244" stopIfTrue="1" operator="equal">
      <formula>0</formula>
    </cfRule>
  </conditionalFormatting>
  <conditionalFormatting sqref="G99:N99 G105:N105 H139:H141 H145:H148">
    <cfRule type="cellIs" dxfId="2603" priority="245" stopIfTrue="1" operator="equal">
      <formula>"OK"</formula>
    </cfRule>
  </conditionalFormatting>
  <conditionalFormatting sqref="I139:I141 I145:I148">
    <cfRule type="cellIs" dxfId="2602" priority="246" stopIfTrue="1" operator="greaterThan">
      <formula>0</formula>
    </cfRule>
  </conditionalFormatting>
  <conditionalFormatting sqref="F110:I112 K110:M112">
    <cfRule type="expression" dxfId="2601" priority="247" stopIfTrue="1">
      <formula>$L$108=0</formula>
    </cfRule>
  </conditionalFormatting>
  <conditionalFormatting sqref="C195:H195">
    <cfRule type="expression" dxfId="2600" priority="248" stopIfTrue="1">
      <formula>ISERROR($C$195)</formula>
    </cfRule>
  </conditionalFormatting>
  <conditionalFormatting sqref="C2:J2">
    <cfRule type="expression" dxfId="2599" priority="249" stopIfTrue="1">
      <formula>$I$163=0</formula>
    </cfRule>
  </conditionalFormatting>
  <conditionalFormatting sqref="L96:M96 I96:J96">
    <cfRule type="expression" dxfId="2598" priority="250" stopIfTrue="1">
      <formula>ISERROR($G$155)</formula>
    </cfRule>
    <cfRule type="expression" dxfId="2597" priority="251" stopIfTrue="1">
      <formula>I96=0</formula>
    </cfRule>
  </conditionalFormatting>
  <conditionalFormatting sqref="N7 G7:H7 K7">
    <cfRule type="expression" dxfId="2596" priority="252" stopIfTrue="1">
      <formula>$I$163=0</formula>
    </cfRule>
  </conditionalFormatting>
  <conditionalFormatting sqref="I48:J48">
    <cfRule type="expression" dxfId="2595" priority="253" stopIfTrue="1">
      <formula>$I$4=$K$130</formula>
    </cfRule>
  </conditionalFormatting>
  <conditionalFormatting sqref="L48:M48">
    <cfRule type="expression" dxfId="2594" priority="254" stopIfTrue="1">
      <formula>$L$4=$K$130</formula>
    </cfRule>
  </conditionalFormatting>
  <conditionalFormatting sqref="I45:J45">
    <cfRule type="expression" dxfId="2593" priority="255" stopIfTrue="1">
      <formula>$I$4=$K$130</formula>
    </cfRule>
    <cfRule type="expression" dxfId="2592" priority="256" stopIfTrue="1">
      <formula>$I$44=0</formula>
    </cfRule>
  </conditionalFormatting>
  <conditionalFormatting sqref="L45:M45">
    <cfRule type="expression" dxfId="2591" priority="257" stopIfTrue="1">
      <formula>$L$4=$K$130</formula>
    </cfRule>
    <cfRule type="expression" dxfId="2590" priority="258" stopIfTrue="1">
      <formula>$L$44=0</formula>
    </cfRule>
  </conditionalFormatting>
  <conditionalFormatting sqref="L53">
    <cfRule type="expression" dxfId="2589" priority="259" stopIfTrue="1">
      <formula>ISERROR($G$155)</formula>
    </cfRule>
    <cfRule type="expression" dxfId="2588" priority="260" stopIfTrue="1">
      <formula>ISERROR($L$53)</formula>
    </cfRule>
  </conditionalFormatting>
  <conditionalFormatting sqref="O96:P98 C97:F98">
    <cfRule type="expression" dxfId="2587" priority="261" stopIfTrue="1">
      <formula>SUM($G$152:$J$152)=0</formula>
    </cfRule>
  </conditionalFormatting>
  <conditionalFormatting sqref="G155:J155">
    <cfRule type="cellIs" dxfId="2586" priority="262" stopIfTrue="1" operator="equal">
      <formula>0</formula>
    </cfRule>
  </conditionalFormatting>
  <conditionalFormatting sqref="G157:J159">
    <cfRule type="cellIs" dxfId="2585" priority="263" stopIfTrue="1" operator="equal">
      <formula>$E$157</formula>
    </cfRule>
  </conditionalFormatting>
  <conditionalFormatting sqref="Q91:S91">
    <cfRule type="expression" dxfId="2584" priority="264" stopIfTrue="1">
      <formula>SUM($G$152:$J$152)=0</formula>
    </cfRule>
  </conditionalFormatting>
  <conditionalFormatting sqref="I4:J5">
    <cfRule type="expression" dxfId="2583" priority="265" stopIfTrue="1">
      <formula>$I$6=""</formula>
    </cfRule>
    <cfRule type="cellIs" dxfId="2582" priority="266" stopIfTrue="1" operator="equal">
      <formula>0</formula>
    </cfRule>
    <cfRule type="expression" dxfId="2581" priority="267" stopIfTrue="1">
      <formula>$I$4=$K$130</formula>
    </cfRule>
  </conditionalFormatting>
  <conditionalFormatting sqref="L4:M5">
    <cfRule type="expression" dxfId="2580" priority="268" stopIfTrue="1">
      <formula>$L$6=""</formula>
    </cfRule>
    <cfRule type="cellIs" dxfId="2579" priority="269" stopIfTrue="1" operator="equal">
      <formula>0</formula>
    </cfRule>
    <cfRule type="expression" dxfId="2578" priority="270" stopIfTrue="1">
      <formula>$L$4=$K$130</formula>
    </cfRule>
  </conditionalFormatting>
  <conditionalFormatting sqref="O4:P5">
    <cfRule type="expression" dxfId="2577" priority="271" stopIfTrue="1">
      <formula>$O$6=""</formula>
    </cfRule>
    <cfRule type="cellIs" dxfId="2576" priority="272" stopIfTrue="1" operator="equal">
      <formula>0</formula>
    </cfRule>
    <cfRule type="expression" dxfId="2575" priority="273" stopIfTrue="1">
      <formula>$O$4=$K$130</formula>
    </cfRule>
  </conditionalFormatting>
  <conditionalFormatting sqref="E46:F46">
    <cfRule type="expression" dxfId="2574" priority="274" stopIfTrue="1">
      <formula>ISERROR($E$46)</formula>
    </cfRule>
  </conditionalFormatting>
  <conditionalFormatting sqref="I46">
    <cfRule type="expression" dxfId="2573" priority="275" stopIfTrue="1">
      <formula>$I$44=""</formula>
    </cfRule>
    <cfRule type="expression" dxfId="2572" priority="276" stopIfTrue="1">
      <formula>$I$44=0</formula>
    </cfRule>
  </conditionalFormatting>
  <conditionalFormatting sqref="L46">
    <cfRule type="expression" dxfId="2571" priority="277" stopIfTrue="1">
      <formula>$L$44=""</formula>
    </cfRule>
    <cfRule type="expression" dxfId="2570" priority="278" stopIfTrue="1">
      <formula>$L$44=0</formula>
    </cfRule>
  </conditionalFormatting>
  <conditionalFormatting sqref="O46">
    <cfRule type="expression" dxfId="2569" priority="279" stopIfTrue="1">
      <formula>$O$44=""</formula>
    </cfRule>
    <cfRule type="expression" dxfId="2568" priority="280" stopIfTrue="1">
      <formula>$O$44=0</formula>
    </cfRule>
  </conditionalFormatting>
  <conditionalFormatting sqref="J46">
    <cfRule type="expression" dxfId="2567" priority="281" stopIfTrue="1">
      <formula>$I$44=""</formula>
    </cfRule>
    <cfRule type="expression" dxfId="2566" priority="282" stopIfTrue="1">
      <formula>$I$44=0</formula>
    </cfRule>
  </conditionalFormatting>
  <conditionalFormatting sqref="M46">
    <cfRule type="expression" dxfId="2565" priority="283" stopIfTrue="1">
      <formula>$L$44=""</formula>
    </cfRule>
    <cfRule type="expression" dxfId="2564" priority="284" stopIfTrue="1">
      <formula>$L$44=0</formula>
    </cfRule>
  </conditionalFormatting>
  <conditionalFormatting sqref="G96:H96 K96 N96">
    <cfRule type="expression" dxfId="2563" priority="285" stopIfTrue="1">
      <formula>ISERROR($G$155)</formula>
    </cfRule>
    <cfRule type="expression" dxfId="2562" priority="286" stopIfTrue="1">
      <formula>G96=0</formula>
    </cfRule>
    <cfRule type="expression" dxfId="2561" priority="287" stopIfTrue="1">
      <formula>G96&lt;&gt;0</formula>
    </cfRule>
  </conditionalFormatting>
  <conditionalFormatting sqref="M168:N168">
    <cfRule type="expression" dxfId="2560" priority="288" stopIfTrue="1">
      <formula>$M$168=""</formula>
    </cfRule>
  </conditionalFormatting>
  <conditionalFormatting sqref="G63:H63 K63 N63">
    <cfRule type="expression" dxfId="2559" priority="289" stopIfTrue="1">
      <formula>$C$61=0</formula>
    </cfRule>
    <cfRule type="cellIs" dxfId="2558" priority="290" stopIfTrue="1" operator="equal">
      <formula>0</formula>
    </cfRule>
  </conditionalFormatting>
  <conditionalFormatting sqref="F63 F65 F73 F76:F79 F86:F89 N78:N79 N88 L86:N87 K68 C68:C69 I67:J68">
    <cfRule type="expression" dxfId="2557" priority="291" stopIfTrue="1">
      <formula>$C$61=0</formula>
    </cfRule>
  </conditionalFormatting>
  <conditionalFormatting sqref="G65">
    <cfRule type="expression" dxfId="2556" priority="292" stopIfTrue="1">
      <formula>$C$61=0</formula>
    </cfRule>
    <cfRule type="cellIs" dxfId="2555" priority="293" stopIfTrue="1" operator="equal">
      <formula>0</formula>
    </cfRule>
  </conditionalFormatting>
  <conditionalFormatting sqref="N66:N67 N74:N77 L68:N68">
    <cfRule type="expression" dxfId="2554" priority="294" stopIfTrue="1">
      <formula>$C$61=0</formula>
    </cfRule>
  </conditionalFormatting>
  <conditionalFormatting sqref="G68:H68">
    <cfRule type="expression" dxfId="2553" priority="295" stopIfTrue="1">
      <formula>ISERROR(G68)</formula>
    </cfRule>
    <cfRule type="expression" dxfId="2552" priority="296" stopIfTrue="1">
      <formula>$C$61=0</formula>
    </cfRule>
  </conditionalFormatting>
  <conditionalFormatting sqref="N73">
    <cfRule type="expression" dxfId="2551" priority="297" stopIfTrue="1">
      <formula>$C$61=0</formula>
    </cfRule>
    <cfRule type="expression" dxfId="2550" priority="298" stopIfTrue="1">
      <formula>ISERROR(N73)</formula>
    </cfRule>
  </conditionalFormatting>
  <conditionalFormatting sqref="O73 O79 O88">
    <cfRule type="expression" dxfId="2549" priority="299" stopIfTrue="1">
      <formula>O73=$E$163</formula>
    </cfRule>
    <cfRule type="expression" dxfId="2548" priority="300" stopIfTrue="1">
      <formula>$C$61=0</formula>
    </cfRule>
    <cfRule type="expression" dxfId="2547" priority="301" stopIfTrue="1">
      <formula>ISERROR(O73)</formula>
    </cfRule>
  </conditionalFormatting>
  <conditionalFormatting sqref="C67">
    <cfRule type="expression" dxfId="2546" priority="302" stopIfTrue="1">
      <formula>$C$61=0</formula>
    </cfRule>
  </conditionalFormatting>
  <conditionalFormatting sqref="G73 I73">
    <cfRule type="expression" dxfId="2545" priority="303" stopIfTrue="1">
      <formula>ISERROR(G73)</formula>
    </cfRule>
    <cfRule type="expression" dxfId="2544" priority="304" stopIfTrue="1">
      <formula>G73=0</formula>
    </cfRule>
    <cfRule type="expression" dxfId="2543" priority="305" stopIfTrue="1">
      <formula>$C$61=0</formula>
    </cfRule>
  </conditionalFormatting>
  <conditionalFormatting sqref="G77:H78 K77:K78">
    <cfRule type="expression" dxfId="2542" priority="306" stopIfTrue="1">
      <formula>$C$61=0</formula>
    </cfRule>
    <cfRule type="expression" dxfId="2541" priority="307" stopIfTrue="1">
      <formula>ISERROR(G77)</formula>
    </cfRule>
    <cfRule type="cellIs" dxfId="2540" priority="308" stopIfTrue="1" operator="equal">
      <formula>0</formula>
    </cfRule>
  </conditionalFormatting>
  <conditionalFormatting sqref="G79:H79 K79">
    <cfRule type="expression" dxfId="2539" priority="309" stopIfTrue="1">
      <formula>ISERROR(G79)</formula>
    </cfRule>
    <cfRule type="expression" dxfId="2538" priority="310" stopIfTrue="1">
      <formula>$C$61=0</formula>
    </cfRule>
    <cfRule type="cellIs" dxfId="2537" priority="311" stopIfTrue="1" operator="equal">
      <formula>0</formula>
    </cfRule>
  </conditionalFormatting>
  <conditionalFormatting sqref="N69:N72">
    <cfRule type="expression" dxfId="2536" priority="312" stopIfTrue="1">
      <formula>$C$61=0</formula>
    </cfRule>
    <cfRule type="cellIs" dxfId="2535" priority="313" stopIfTrue="1" operator="equal">
      <formula>0</formula>
    </cfRule>
    <cfRule type="expression" dxfId="2534" priority="314" stopIfTrue="1">
      <formula>ISERROR(N69)</formula>
    </cfRule>
  </conditionalFormatting>
  <conditionalFormatting sqref="C70:C71">
    <cfRule type="expression" dxfId="2533" priority="315" stopIfTrue="1">
      <formula>$C$61=0</formula>
    </cfRule>
    <cfRule type="expression" dxfId="2532" priority="316" stopIfTrue="1">
      <formula>$G$73&lt;&gt;0</formula>
    </cfRule>
  </conditionalFormatting>
  <conditionalFormatting sqref="P60:P61">
    <cfRule type="expression" dxfId="2531" priority="317" stopIfTrue="1">
      <formula>$C$61=1</formula>
    </cfRule>
  </conditionalFormatting>
  <conditionalFormatting sqref="H66:M66">
    <cfRule type="expression" dxfId="2530" priority="318" stopIfTrue="1">
      <formula>$C$61=0</formula>
    </cfRule>
  </conditionalFormatting>
  <conditionalFormatting sqref="H65">
    <cfRule type="expression" dxfId="2529" priority="319" stopIfTrue="1">
      <formula>AND($C$61=0,$D$61&gt;0)</formula>
    </cfRule>
    <cfRule type="expression" dxfId="2528" priority="320" stopIfTrue="1">
      <formula>$C$61=0</formula>
    </cfRule>
  </conditionalFormatting>
  <conditionalFormatting sqref="G67">
    <cfRule type="expression" dxfId="2527" priority="321" stopIfTrue="1">
      <formula>$C$61=0</formula>
    </cfRule>
    <cfRule type="expression" dxfId="2526" priority="322" stopIfTrue="1">
      <formula>ISERROR(G67)</formula>
    </cfRule>
  </conditionalFormatting>
  <conditionalFormatting sqref="G88:H88 K88">
    <cfRule type="expression" dxfId="2525" priority="323" stopIfTrue="1">
      <formula>ISERROR(G88)</formula>
    </cfRule>
    <cfRule type="cellIs" dxfId="2524" priority="324" stopIfTrue="1" operator="equal">
      <formula>0</formula>
    </cfRule>
    <cfRule type="expression" dxfId="2523" priority="325" stopIfTrue="1">
      <formula>$C$61=0</formula>
    </cfRule>
  </conditionalFormatting>
  <conditionalFormatting sqref="C91:P91">
    <cfRule type="expression" dxfId="2522" priority="326" stopIfTrue="1">
      <formula>SUM($G$150:$J$150)=0</formula>
    </cfRule>
  </conditionalFormatting>
  <conditionalFormatting sqref="G85:H85 K85">
    <cfRule type="expression" dxfId="2521" priority="327" stopIfTrue="1">
      <formula>$C$61=0</formula>
    </cfRule>
    <cfRule type="expression" dxfId="2520" priority="328" stopIfTrue="1">
      <formula>G85=$M$135</formula>
    </cfRule>
  </conditionalFormatting>
  <conditionalFormatting sqref="I55:J56 L55:M56">
    <cfRule type="cellIs" dxfId="2519" priority="329" stopIfTrue="1" operator="equal">
      <formula>0</formula>
    </cfRule>
    <cfRule type="expression" dxfId="2518" priority="330" stopIfTrue="1">
      <formula>ISERROR(I55)</formula>
    </cfRule>
  </conditionalFormatting>
  <dataValidations count="7">
    <dataValidation type="whole" operator="lessThanOrEqual" allowBlank="1" showInputMessage="1" showErrorMessage="1" sqref="F52">
      <formula1>E162</formula1>
    </dataValidation>
    <dataValidation type="list" allowBlank="1" showInputMessage="1" showErrorMessage="1" sqref="I207">
      <formula1>$I$219:$I$229</formula1>
    </dataValidation>
    <dataValidation type="decimal" operator="greaterThan" allowBlank="1" showInputMessage="1" showErrorMessage="1" errorTitle="ATTENZIONE !!!" error="E' ammesso solo un valore POSITIVO" sqref="G53:G54">
      <formula1>0</formula1>
    </dataValidation>
    <dataValidation type="decimal" operator="lessThan" allowBlank="1" showInputMessage="1" showErrorMessage="1" errorTitle="ATTENZIONE !!!" error="E' ammesso solo un valore NEGATIVO" sqref="H53:H54">
      <formula1>0</formula1>
    </dataValidation>
    <dataValidation type="list" allowBlank="1" showInputMessage="1" showErrorMessage="1" sqref="M168:N168">
      <formula1>$E$218:$E$220</formula1>
    </dataValidation>
    <dataValidation type="list" allowBlank="1" showInputMessage="1" showErrorMessage="1" sqref="M166">
      <formula1>$E$223:$E$226</formula1>
    </dataValidation>
    <dataValidation type="list" allowBlank="1" showInputMessage="1" showErrorMessage="1" sqref="M3:P3">
      <formula1>$K$144:$K$149</formula1>
    </dataValidation>
  </dataValidations>
  <hyperlinks>
    <hyperlink ref="G231" location="Presentazione!I106" display="QUI"/>
    <hyperlink ref="L231" location="Presentazione!K83" display="QUI"/>
  </hyperlinks>
  <printOptions horizontalCentered="1"/>
  <pageMargins left="0.39370078740157483" right="0" top="0.39370078740157483" bottom="0" header="0" footer="0"/>
  <pageSetup paperSize="9" scale="72"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5">
    <pageSetUpPr autoPageBreaks="0"/>
  </sheetPr>
  <dimension ref="A1:BB231"/>
  <sheetViews>
    <sheetView showGridLines="0" showRowColHeaders="0" topLeftCell="A2" zoomScaleNormal="100" workbookViewId="0">
      <selection activeCell="G8" sqref="G8"/>
    </sheetView>
  </sheetViews>
  <sheetFormatPr defaultRowHeight="12.75" x14ac:dyDescent="0.2"/>
  <cols>
    <col min="1" max="2" width="2.85546875" style="4" customWidth="1"/>
    <col min="3" max="4" width="5" style="4" customWidth="1"/>
    <col min="5" max="5" width="15.7109375" style="4" customWidth="1"/>
    <col min="6" max="6" width="1.42578125" style="4" customWidth="1"/>
    <col min="7" max="8" width="15.7109375" style="4" customWidth="1"/>
    <col min="9" max="10" width="7.85546875" style="4" customWidth="1"/>
    <col min="11" max="11" width="15.7109375" style="4" customWidth="1"/>
    <col min="12" max="13" width="7.85546875" style="4" customWidth="1"/>
    <col min="14" max="14" width="15.7109375" style="4" customWidth="1"/>
    <col min="15" max="16" width="7.85546875" style="4" customWidth="1"/>
    <col min="17" max="17" width="2.140625" style="4" customWidth="1"/>
    <col min="18" max="31" width="11" style="4" hidden="1" customWidth="1"/>
    <col min="32" max="32" width="6.42578125" style="4" hidden="1" customWidth="1"/>
    <col min="33" max="37" width="11" style="4" hidden="1" customWidth="1"/>
    <col min="38" max="38" width="6.42578125" style="4" hidden="1" customWidth="1"/>
    <col min="39" max="43" width="11" style="4" hidden="1" customWidth="1"/>
    <col min="44" max="44" width="6.42578125" style="4" hidden="1" customWidth="1"/>
    <col min="45" max="49" width="11" style="4" hidden="1" customWidth="1"/>
    <col min="50" max="50" width="6.42578125" style="4" hidden="1" customWidth="1"/>
    <col min="51" max="51" width="11" style="4" hidden="1" customWidth="1"/>
    <col min="52" max="52" width="35.7109375" style="4" customWidth="1"/>
    <col min="53" max="16384" width="9.140625" style="4"/>
  </cols>
  <sheetData>
    <row r="1" spans="1:53" ht="15" hidden="1" customHeight="1" x14ac:dyDescent="0.2">
      <c r="A1" s="540"/>
      <c r="B1" s="2"/>
      <c r="C1" s="2"/>
      <c r="D1" s="2"/>
      <c r="E1" s="2"/>
      <c r="F1" s="2"/>
      <c r="G1" s="253" t="str">
        <f>CONCATENATE(IMPOSTAZIONI!F220,"-",IMPOSTAZIONI!F221,"-",IMPOSTAZIONI!F222)</f>
        <v>--</v>
      </c>
      <c r="H1" s="253" t="str">
        <f>CONCATENATE(IMPOSTAZIONI!K220,"-",IMPOSTAZIONI!K221,"-",IMPOSTAZIONI!K222)</f>
        <v>--</v>
      </c>
      <c r="I1" s="253"/>
      <c r="J1" s="253"/>
      <c r="K1" s="253" t="str">
        <f>CONCATENATE(IMPOSTAZIONI!P220,"-",IMPOSTAZIONI!P221,"-",IMPOSTAZIONI!P222)</f>
        <v>--</v>
      </c>
      <c r="L1" s="253"/>
      <c r="M1" s="253"/>
      <c r="N1" s="253" t="str">
        <f>CONCATENATE(IMPOSTAZIONI!U220,"-",IMPOSTAZIONI!U221,"-",IMPOSTAZIONI!U222)</f>
        <v>--</v>
      </c>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591"/>
    </row>
    <row r="2" spans="1:53" ht="18" customHeight="1" x14ac:dyDescent="0.2">
      <c r="A2" s="540"/>
      <c r="B2" s="2"/>
      <c r="C2" s="2057" t="str">
        <f>CONCATENATE(IMPOSTAZIONI!C73," - P.I. ",IMPOSTAZIONI!O73)</f>
        <v>Inserisci la tua Ragione Sociale - P.I. 01234567891</v>
      </c>
      <c r="D2" s="2057"/>
      <c r="E2" s="2057"/>
      <c r="F2" s="2057"/>
      <c r="G2" s="2057"/>
      <c r="H2" s="2057"/>
      <c r="I2" s="2057"/>
      <c r="J2" s="2058" t="str">
        <f>CONCATENATE(IMPOSTAZIONI!C75," - ",IMPOSTAZIONI!M75," - ",IMPOSTAZIONI!O75," - ",IMPOSTAZIONI!V75)</f>
        <v xml:space="preserve">Indirizzo per esteso -  -  - </v>
      </c>
      <c r="K2" s="2058"/>
      <c r="L2" s="2058"/>
      <c r="M2" s="2058"/>
      <c r="N2" s="2058"/>
      <c r="O2" s="2058"/>
      <c r="P2" s="2058"/>
      <c r="Q2" s="3"/>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row>
    <row r="3" spans="1:53" ht="24.75" customHeight="1" x14ac:dyDescent="0.2">
      <c r="A3" s="2"/>
      <c r="B3" s="5"/>
      <c r="C3" s="2222" t="s">
        <v>98</v>
      </c>
      <c r="D3" s="2222"/>
      <c r="E3" s="2223" t="s">
        <v>316</v>
      </c>
      <c r="F3" s="2223"/>
      <c r="G3" s="2223"/>
      <c r="H3" s="2073" t="str">
        <f>IF(I163=0,IMPOSTAZIONI!Y384,"")</f>
        <v>Devi convalidare il foglio IMPOSTAZIONI</v>
      </c>
      <c r="I3" s="2073"/>
      <c r="J3" s="2073"/>
      <c r="K3" s="2073"/>
      <c r="L3" s="2073"/>
      <c r="M3" s="2072" t="s">
        <v>543</v>
      </c>
      <c r="N3" s="2072"/>
      <c r="O3" s="2072"/>
      <c r="P3" s="2072"/>
      <c r="Q3" s="3"/>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row>
    <row r="4" spans="1:53" ht="18" customHeight="1" x14ac:dyDescent="0.2">
      <c r="A4" s="2"/>
      <c r="B4" s="2"/>
      <c r="C4" s="2147" t="s">
        <v>175</v>
      </c>
      <c r="D4" s="2148"/>
      <c r="E4" s="2170" t="str">
        <f>IMPOSTAZIONI!E24</f>
        <v>TOTALE</v>
      </c>
      <c r="F4" s="2171"/>
      <c r="G4" s="291" t="str">
        <f>IF($I$163=0,"",IMPOSTAZIONI!G220)</f>
        <v/>
      </c>
      <c r="H4" s="291" t="str">
        <f>IF($I$163=0,"",IMPOSTAZIONI!L220)</f>
        <v/>
      </c>
      <c r="I4" s="2164">
        <f>IMPOSTAZIONI!Q25</f>
        <v>0</v>
      </c>
      <c r="J4" s="2165"/>
      <c r="K4" s="291" t="str">
        <f>IF($I$163=0,"",IMPOSTAZIONI!Q220)</f>
        <v/>
      </c>
      <c r="L4" s="2164">
        <f>IMPOSTAZIONI!Y25</f>
        <v>0</v>
      </c>
      <c r="M4" s="2165"/>
      <c r="N4" s="291" t="str">
        <f>IF($I$163=0,"",IMPOSTAZIONI!V220)</f>
        <v/>
      </c>
      <c r="O4" s="2164">
        <f>IMPOSTAZIONI!AG25</f>
        <v>0</v>
      </c>
      <c r="P4" s="2165"/>
      <c r="Q4" s="83"/>
      <c r="R4" s="2"/>
      <c r="S4" s="2"/>
      <c r="T4" s="2"/>
      <c r="U4" s="2"/>
      <c r="V4" s="251" t="str">
        <f>CONCATENATE(L131,"  ")</f>
        <v xml:space="preserve">attiva trim.  </v>
      </c>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row>
    <row r="5" spans="1:53" ht="18" customHeight="1" x14ac:dyDescent="0.2">
      <c r="A5" s="2"/>
      <c r="B5" s="2"/>
      <c r="C5" s="2149"/>
      <c r="D5" s="2150"/>
      <c r="E5" s="2172"/>
      <c r="F5" s="2173"/>
      <c r="G5" s="292" t="str">
        <f>IF($I$163=0,"",IMPOSTAZIONI!G221)</f>
        <v/>
      </c>
      <c r="H5" s="292" t="str">
        <f>IF($I$163=0,"",IMPOSTAZIONI!L221)</f>
        <v/>
      </c>
      <c r="I5" s="2166"/>
      <c r="J5" s="2167"/>
      <c r="K5" s="292" t="str">
        <f>IF($I$163=0,"",IMPOSTAZIONI!Q221)</f>
        <v/>
      </c>
      <c r="L5" s="2166"/>
      <c r="M5" s="2167"/>
      <c r="N5" s="292" t="str">
        <f>IF($I$163=0,"",IMPOSTAZIONI!V221)</f>
        <v/>
      </c>
      <c r="O5" s="2166"/>
      <c r="P5" s="2167"/>
      <c r="Q5" s="83"/>
      <c r="R5" s="2"/>
      <c r="S5" s="2"/>
      <c r="T5" s="2"/>
      <c r="U5" s="2"/>
      <c r="V5" s="257"/>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row>
    <row r="6" spans="1:53" ht="18" customHeight="1" x14ac:dyDescent="0.2">
      <c r="A6" s="2"/>
      <c r="B6" s="2"/>
      <c r="C6" s="2151">
        <f>IMPOSTAZIONI!$AH$52</f>
        <v>2024</v>
      </c>
      <c r="D6" s="2152"/>
      <c r="E6" s="2153">
        <f>IMPOSTAZIONI!E25</f>
        <v>0</v>
      </c>
      <c r="F6" s="2154"/>
      <c r="G6" s="55" t="str">
        <f>IF($I$163=0,"",IMPOSTAZIONI!G222)</f>
        <v/>
      </c>
      <c r="H6" s="55" t="str">
        <f>IF($I$163=0,"",IMPOSTAZIONI!L222)</f>
        <v/>
      </c>
      <c r="I6" s="834" t="str">
        <f>IMPOSTAZIONI!Q26</f>
        <v>DAL</v>
      </c>
      <c r="J6" s="835" t="str">
        <f>IMPOSTAZIONI!S26</f>
        <v>AL</v>
      </c>
      <c r="K6" s="55" t="str">
        <f>IF($I$163=0,"",IMPOSTAZIONI!Q222)</f>
        <v/>
      </c>
      <c r="L6" s="834" t="str">
        <f>IMPOSTAZIONI!Y26</f>
        <v>DAL</v>
      </c>
      <c r="M6" s="835" t="str">
        <f>IMPOSTAZIONI!AA26</f>
        <v>AL</v>
      </c>
      <c r="N6" s="55" t="str">
        <f>IF($I$163=0,"",IMPOSTAZIONI!V222)</f>
        <v/>
      </c>
      <c r="O6" s="834" t="str">
        <f>IMPOSTAZIONI!AG26</f>
        <v>DAL</v>
      </c>
      <c r="P6" s="835" t="str">
        <f>IMPOSTAZIONI!AI26</f>
        <v>AL</v>
      </c>
      <c r="Q6" s="83"/>
      <c r="R6" s="2"/>
      <c r="S6" s="2"/>
      <c r="T6" s="2"/>
      <c r="U6" s="2"/>
      <c r="V6" s="2"/>
      <c r="W6" s="2"/>
      <c r="X6" s="2"/>
      <c r="Y6" s="501" t="str">
        <f>CASSA!W484</f>
        <v>F</v>
      </c>
      <c r="Z6" s="502" t="str">
        <f>CASSA!W485</f>
        <v>C</v>
      </c>
      <c r="AA6" s="2"/>
      <c r="AB6" s="2"/>
      <c r="AC6" s="2"/>
      <c r="AD6" s="2"/>
      <c r="AE6" s="2"/>
      <c r="AF6" s="2"/>
      <c r="AG6" s="148">
        <f>IF(SUM(G152:J152)&gt;0,1,0)</f>
        <v>0</v>
      </c>
      <c r="AH6" s="1096" t="str">
        <f>$C101</f>
        <v>Aliquota 22 %</v>
      </c>
      <c r="AI6" s="1096" t="str">
        <f>$C102</f>
        <v>Aliquota 10 %</v>
      </c>
      <c r="AJ6" s="1096" t="str">
        <f>$C103</f>
        <v>Aliquota 4 %</v>
      </c>
      <c r="AK6" s="1096" t="str">
        <f>$C104</f>
        <v/>
      </c>
      <c r="AL6" s="2"/>
      <c r="AM6" s="1097" t="s">
        <v>537</v>
      </c>
      <c r="AN6" s="2204" t="s">
        <v>782</v>
      </c>
      <c r="AO6" s="2204"/>
      <c r="AP6" s="2204"/>
      <c r="AQ6" s="2204"/>
      <c r="AR6" s="2"/>
      <c r="AS6" s="148"/>
      <c r="AT6" s="1096" t="str">
        <f>$C101</f>
        <v>Aliquota 22 %</v>
      </c>
      <c r="AU6" s="1096" t="str">
        <f>$C102</f>
        <v>Aliquota 10 %</v>
      </c>
      <c r="AV6" s="1096" t="str">
        <f>$C103</f>
        <v>Aliquota 4 %</v>
      </c>
      <c r="AW6" s="1096" t="str">
        <f>$C104</f>
        <v/>
      </c>
      <c r="AX6" s="2"/>
      <c r="AY6" s="1097" t="s">
        <v>537</v>
      </c>
      <c r="AZ6" s="1382" t="s">
        <v>14</v>
      </c>
      <c r="BA6" s="2"/>
    </row>
    <row r="7" spans="1:53" ht="20.25" customHeight="1" x14ac:dyDescent="0.2">
      <c r="A7" s="2"/>
      <c r="B7" s="2"/>
      <c r="C7" s="2242" t="s">
        <v>177</v>
      </c>
      <c r="D7" s="2243"/>
      <c r="E7" s="2175">
        <f>IMPOSTAZIONI!AB265</f>
        <v>0</v>
      </c>
      <c r="F7" s="2176"/>
      <c r="G7" s="1439">
        <f>IMPOSTAZIONI!$AC276</f>
        <v>0</v>
      </c>
      <c r="H7" s="1439">
        <f>IMPOSTAZIONI!$AC277</f>
        <v>0</v>
      </c>
      <c r="I7" s="832"/>
      <c r="J7" s="833"/>
      <c r="K7" s="1439">
        <f>IMPOSTAZIONI!$AC278</f>
        <v>0</v>
      </c>
      <c r="L7" s="832"/>
      <c r="M7" s="833"/>
      <c r="N7" s="1439">
        <f>IMPOSTAZIONI!$AC279</f>
        <v>0</v>
      </c>
      <c r="O7" s="832"/>
      <c r="P7" s="833"/>
      <c r="Q7" s="83"/>
      <c r="R7" s="552" t="s">
        <v>195</v>
      </c>
      <c r="S7" s="552"/>
      <c r="T7" s="552"/>
      <c r="U7" s="552"/>
      <c r="V7" s="507">
        <f>V8-1</f>
        <v>45565</v>
      </c>
      <c r="W7" s="2"/>
      <c r="X7" s="2"/>
      <c r="Y7" s="2"/>
      <c r="Z7" s="2"/>
      <c r="AA7" s="2"/>
      <c r="AB7" s="2021" t="s">
        <v>739</v>
      </c>
      <c r="AC7" s="2021"/>
      <c r="AD7" s="2021"/>
      <c r="AE7" s="2021"/>
      <c r="AF7" s="2"/>
      <c r="AG7" s="2021" t="s">
        <v>781</v>
      </c>
      <c r="AH7" s="2021"/>
      <c r="AI7" s="2021"/>
      <c r="AJ7" s="2021"/>
      <c r="AK7" s="2021"/>
      <c r="AL7" s="2"/>
      <c r="AM7" s="2"/>
      <c r="AN7" s="2"/>
      <c r="AO7" s="2"/>
      <c r="AP7" s="2"/>
      <c r="AQ7" s="2"/>
      <c r="AR7" s="2"/>
      <c r="AS7" s="2021" t="s">
        <v>784</v>
      </c>
      <c r="AT7" s="2021"/>
      <c r="AU7" s="2021"/>
      <c r="AV7" s="2021"/>
      <c r="AW7" s="2021"/>
      <c r="AX7" s="2"/>
      <c r="AY7" s="1097" t="s">
        <v>739</v>
      </c>
      <c r="AZ7" s="1383"/>
      <c r="BA7" s="2"/>
    </row>
    <row r="8" spans="1:53" ht="20.25" customHeight="1" x14ac:dyDescent="0.2">
      <c r="A8" s="2"/>
      <c r="B8" s="18">
        <v>1</v>
      </c>
      <c r="C8" s="234">
        <f>B8</f>
        <v>1</v>
      </c>
      <c r="D8" s="235">
        <v>10</v>
      </c>
      <c r="E8" s="2168" t="str">
        <f t="shared" ref="E8:E38" si="0">IF(AND(L$163=0,OR(V8&lt;B$162,V8&gt;B$163)),CONCATENATE(L$131,"  "),IF(AND((SUM(G8:H8)+K8+N8)&lt;&gt;0,AA8=Z$6),E$163,IF(AND((SUM(G8:H8)+K8+N8)=0,AA8=Z$6),E$162,IF(ISERROR($H$163),0,SUM(G8:H8)+K8+N8-SUMIF(G$42:N$42,K$134,G8:N8)))))</f>
        <v xml:space="preserve">attiva trim.  </v>
      </c>
      <c r="F8" s="2169"/>
      <c r="G8" s="304"/>
      <c r="H8" s="304"/>
      <c r="I8" s="830"/>
      <c r="J8" s="831"/>
      <c r="K8" s="304"/>
      <c r="L8" s="830"/>
      <c r="M8" s="831"/>
      <c r="N8" s="304"/>
      <c r="O8" s="830"/>
      <c r="P8" s="831"/>
      <c r="Q8" s="83"/>
      <c r="R8" s="1050">
        <f>IF(G$62=$L$134,0,IF(AND($L$163=0,$V8&gt;$B$163),0,IF(G$155="X",0,ROUND((G8*G$155)/(100+G$155),2))))</f>
        <v>0</v>
      </c>
      <c r="S8" s="1051">
        <f t="shared" ref="S8:S38" si="1">IF(H$62=$L$134,0,IF(AND($L$163=0,$V8&gt;$B$163),0,IF(H$155="X",0,ROUND((H8*H$155)/(100+H$155),2))))</f>
        <v>0</v>
      </c>
      <c r="T8" s="1051">
        <f>IF(K$62=$L$134,0,IF(AND($L$163=0,$V8&gt;$B$163),0,IF(I$155="X",0,ROUND((K8*I$155)/(100+I$155),2))))</f>
        <v>0</v>
      </c>
      <c r="U8" s="1052">
        <f>IF(N$62=$L$134,0,IF(AND($L$163=0,$V8&gt;$B$163),0,IF(J$155="X",0,ROUND((N8*J$155)/(100+J$155),2))))</f>
        <v>0</v>
      </c>
      <c r="V8" s="231">
        <f>DATE(C$6,D8,C8)</f>
        <v>45566</v>
      </c>
      <c r="W8" s="1050">
        <f t="shared" ref="W8:W38" si="2">IF(AND($L$163=0,$V8&gt;$B$163),0,G8-R8)</f>
        <v>0</v>
      </c>
      <c r="X8" s="1051">
        <f t="shared" ref="X8:X38" si="3">IF(AND($L$163=0,$V8&gt;$B$163),0,H8-S8)</f>
        <v>0</v>
      </c>
      <c r="Y8" s="1051">
        <f t="shared" ref="Y8:Y38" si="4">IF(AND($L$163=0,$V8&gt;$B$163),0,K8-T8)</f>
        <v>0</v>
      </c>
      <c r="Z8" s="1052">
        <f t="shared" ref="Z8:Z38" si="5">IF(AND($L$163=0,$V8&gt;$B$163),0,N8-U8)</f>
        <v>0</v>
      </c>
      <c r="AA8" s="822">
        <f>VLOOKUP(V8,CASSA!$B$114:$C$479,2,FALSE)</f>
        <v>0</v>
      </c>
      <c r="AB8" s="1050">
        <f>IF(AND(G$62=$L$134,$L$78&lt;&gt;0),$L$78/$G$65*G8,0)</f>
        <v>0</v>
      </c>
      <c r="AC8" s="1051">
        <f>IF(AND(H$62=$L$134,$L$78&lt;&gt;0),$L$78/$G$65*H8,0)</f>
        <v>0</v>
      </c>
      <c r="AD8" s="1051">
        <f>IF(AND(K$62=$L$134,$L$78&lt;&gt;0),$L$78/$G$65*K8,0)</f>
        <v>0</v>
      </c>
      <c r="AE8" s="1052">
        <f>IF(AND(N$62=$L$134,$L$78&lt;&gt;0),$L$78/$G$65*N8,0)</f>
        <v>0</v>
      </c>
      <c r="AF8" s="2"/>
      <c r="AG8" s="1087">
        <f>SUMIF($G$152:$J$152,1,W8:Z8)-SUM(AH8:AK8)</f>
        <v>0</v>
      </c>
      <c r="AH8" s="1088">
        <f>IF(AND($AG$6=1,$R$101&lt;&gt;0),$R$101/$R$96*SUMIF($G$152:$J$152,1,$W8:$Z8),0)</f>
        <v>0</v>
      </c>
      <c r="AI8" s="1051">
        <f>IF(AND($AG$6=1,$R$102&lt;&gt;0),$R$102/$R$96*SUMIF($G$152:$J$152,1,$W8:$Z8),0)</f>
        <v>0</v>
      </c>
      <c r="AJ8" s="1051">
        <f>IF(AND($AG$6=1,$R$103&lt;&gt;0),$R$103/$R$96*SUMIF($G$152:$J$152,1,$W8:$Z8),0)</f>
        <v>0</v>
      </c>
      <c r="AK8" s="1089">
        <f t="shared" ref="AK8:AK38" si="6">IF(AND($AG$6=1,$R$104&lt;&gt;0),$R$104/$R$96*SUMIF($G$152:$J$152,1,$W8:$Z8),0)</f>
        <v>0</v>
      </c>
      <c r="AL8" s="2"/>
      <c r="AM8" s="1087">
        <f t="shared" ref="AM8:AM38" si="7">SUMIF($G$42:$N$42,$K$134,$G8:$N8)</f>
        <v>0</v>
      </c>
      <c r="AN8" s="1104">
        <f>IF(G$42=$K$134,R8,0)</f>
        <v>0</v>
      </c>
      <c r="AO8" s="1051">
        <f>IF(H$42=$K$134,S8,0)</f>
        <v>0</v>
      </c>
      <c r="AP8" s="1051">
        <f>IF(K$42=$K$134,T8,0)</f>
        <v>0</v>
      </c>
      <c r="AQ8" s="1089">
        <f>IF(N$42=$K$134,U8,0)</f>
        <v>0</v>
      </c>
      <c r="AR8" s="2"/>
      <c r="AS8" s="1087">
        <f>IF(AG8&lt;&gt;0,AG8*$T$97/100,0)</f>
        <v>0</v>
      </c>
      <c r="AT8" s="1088">
        <f>IF(AH8&lt;&gt;0,AH8*$T$101/100,0)</f>
        <v>0</v>
      </c>
      <c r="AU8" s="1051">
        <f>IF(AI8&lt;&gt;0,AI8*$T$102/100,0)</f>
        <v>0</v>
      </c>
      <c r="AV8" s="1051">
        <f>IF(AJ8&lt;&gt;0,AJ8*$T$103/100,0)</f>
        <v>0</v>
      </c>
      <c r="AW8" s="1089">
        <f>IF(AK8&lt;&gt;0,AK8*$T$104/100,0)</f>
        <v>0</v>
      </c>
      <c r="AX8" s="2"/>
      <c r="AY8" s="1087">
        <f>IF(SUM(AB8:AE8)=0,0,SUM(AB8:AE8)*U$90/100)</f>
        <v>0</v>
      </c>
      <c r="AZ8" s="1384" t="s">
        <v>850</v>
      </c>
      <c r="BA8" s="2"/>
    </row>
    <row r="9" spans="1:53" ht="20.25" customHeight="1" x14ac:dyDescent="0.2">
      <c r="A9" s="2"/>
      <c r="B9" s="18">
        <v>2</v>
      </c>
      <c r="C9" s="234">
        <f>IF(D9="--","--",C8+1)</f>
        <v>2</v>
      </c>
      <c r="D9" s="235">
        <f t="shared" ref="D9:D38" si="8">IF(MONTH(V9)=D$8,D8,"--")</f>
        <v>10</v>
      </c>
      <c r="E9" s="2159" t="str">
        <f t="shared" si="0"/>
        <v xml:space="preserve">attiva trim.  </v>
      </c>
      <c r="F9" s="2160"/>
      <c r="G9" s="237"/>
      <c r="H9" s="237"/>
      <c r="I9" s="828"/>
      <c r="J9" s="829"/>
      <c r="K9" s="237"/>
      <c r="L9" s="828"/>
      <c r="M9" s="829"/>
      <c r="N9" s="237"/>
      <c r="O9" s="828"/>
      <c r="P9" s="829"/>
      <c r="Q9" s="83"/>
      <c r="R9" s="1053">
        <f t="shared" ref="R9:R38" si="9">IF(G$62=$L$134,0,IF(AND($L$163=0,$V9&gt;$B$163),0,IF(G$155="X",0,ROUND((G9*G$155)/(100+G$155),2))))</f>
        <v>0</v>
      </c>
      <c r="S9" s="1054">
        <f t="shared" si="1"/>
        <v>0</v>
      </c>
      <c r="T9" s="1054">
        <f t="shared" ref="T9:T38" si="10">IF(K$62=$L$134,0,IF(AND($L$163=0,$V9&gt;$B$163),0,IF(I$155="X",0,ROUND((K9*I$155)/(100+I$155),2))))</f>
        <v>0</v>
      </c>
      <c r="U9" s="1055">
        <f t="shared" ref="U9:U38" si="11">IF(N$62=$L$134,0,IF(AND($L$163=0,$V9&gt;$B$163),0,IF(J$155="X",0,ROUND((N9*J$155)/(100+J$155),2))))</f>
        <v>0</v>
      </c>
      <c r="V9" s="231">
        <f>V8+1</f>
        <v>45567</v>
      </c>
      <c r="W9" s="1053">
        <f t="shared" si="2"/>
        <v>0</v>
      </c>
      <c r="X9" s="1054">
        <f t="shared" si="3"/>
        <v>0</v>
      </c>
      <c r="Y9" s="1054">
        <f t="shared" si="4"/>
        <v>0</v>
      </c>
      <c r="Z9" s="1055">
        <f t="shared" si="5"/>
        <v>0</v>
      </c>
      <c r="AA9" s="822">
        <f>VLOOKUP(V9,CASSA!$B$114:$C$479,2,FALSE)</f>
        <v>0</v>
      </c>
      <c r="AB9" s="1053">
        <f t="shared" ref="AB9:AB38" si="12">IF(AND(G$62=$L$134,$L$78&lt;&gt;0),$L$78/$G$65*G9,0)</f>
        <v>0</v>
      </c>
      <c r="AC9" s="1054">
        <f t="shared" ref="AC9:AC38" si="13">IF(AND(H$62=$L$134,$L$78&lt;&gt;0),$L$78/$G$65*H9,0)</f>
        <v>0</v>
      </c>
      <c r="AD9" s="1054">
        <f t="shared" ref="AD9:AD38" si="14">IF(AND(K$62=$L$134,$L$78&lt;&gt;0),$L$78/$G$65*K9,0)</f>
        <v>0</v>
      </c>
      <c r="AE9" s="1055">
        <f t="shared" ref="AE9:AE38" si="15">IF(AND(N$62=$L$134,$L$78&lt;&gt;0),$L$78/$G$65*N9,0)</f>
        <v>0</v>
      </c>
      <c r="AF9" s="2"/>
      <c r="AG9" s="1090">
        <f t="shared" ref="AG9:AG38" si="16">SUMIF($G$152:$J$152,1,W9:Z9)-SUM(AH9:AK9)</f>
        <v>0</v>
      </c>
      <c r="AH9" s="1091">
        <f t="shared" ref="AH9:AH38" si="17">IF(AND($AG$6=1,$R$101&lt;&gt;0),$R$101/$R$96*SUMIF($G$152:$J$152,1,$W9:$Z9),0)</f>
        <v>0</v>
      </c>
      <c r="AI9" s="1054">
        <f t="shared" ref="AI9:AI38" si="18">IF(AND($AG$6=1,$R$102&lt;&gt;0),$R$102/$R$96*SUMIF($G$152:$J$152,1,$W9:$Z9),0)</f>
        <v>0</v>
      </c>
      <c r="AJ9" s="1054">
        <f t="shared" ref="AJ9:AJ38" si="19">IF(AND($AG$6=1,$R$103&lt;&gt;0),$R$103/$R$96*SUMIF($G$152:$J$152,1,$W9:$Z9),0)</f>
        <v>0</v>
      </c>
      <c r="AK9" s="1092">
        <f t="shared" si="6"/>
        <v>0</v>
      </c>
      <c r="AL9" s="2"/>
      <c r="AM9" s="1090">
        <f t="shared" si="7"/>
        <v>0</v>
      </c>
      <c r="AN9" s="1105">
        <f t="shared" ref="AN9:AN38" si="20">IF(G$42=$K$134,R9,0)</f>
        <v>0</v>
      </c>
      <c r="AO9" s="1054">
        <f t="shared" ref="AO9:AO38" si="21">IF(H$42=$K$134,S9,0)</f>
        <v>0</v>
      </c>
      <c r="AP9" s="1054">
        <f t="shared" ref="AP9:AP38" si="22">IF(K$42=$K$134,T9,0)</f>
        <v>0</v>
      </c>
      <c r="AQ9" s="1092">
        <f t="shared" ref="AQ9:AQ38" si="23">IF(N$42=$K$134,U9,0)</f>
        <v>0</v>
      </c>
      <c r="AR9" s="2"/>
      <c r="AS9" s="1090">
        <f t="shared" ref="AS9:AS38" si="24">IF(AG9&lt;&gt;0,AG9*$T$97/100,0)</f>
        <v>0</v>
      </c>
      <c r="AT9" s="1091">
        <f t="shared" ref="AT9:AT38" si="25">IF(AH9&lt;&gt;0,AH9*$T$101/100,0)</f>
        <v>0</v>
      </c>
      <c r="AU9" s="1054">
        <f t="shared" ref="AU9:AU38" si="26">IF(AI9&lt;&gt;0,AI9*$T$102/100,0)</f>
        <v>0</v>
      </c>
      <c r="AV9" s="1054">
        <f t="shared" ref="AV9:AV38" si="27">IF(AJ9&lt;&gt;0,AJ9*$T$103/100,0)</f>
        <v>0</v>
      </c>
      <c r="AW9" s="1092">
        <f t="shared" ref="AW9:AW38" si="28">IF(AK9&lt;&gt;0,AK9*$T$104/100,0)</f>
        <v>0</v>
      </c>
      <c r="AX9" s="2"/>
      <c r="AY9" s="1090">
        <f t="shared" ref="AY9:AY38" si="29">IF(SUM(AB9:AE9)=0,0,SUM(AB9:AE9)*U$90/100)</f>
        <v>0</v>
      </c>
      <c r="AZ9" s="1385" t="s">
        <v>851</v>
      </c>
      <c r="BA9" s="2"/>
    </row>
    <row r="10" spans="1:53" ht="20.25" customHeight="1" x14ac:dyDescent="0.2">
      <c r="A10" s="2"/>
      <c r="B10" s="18">
        <v>3</v>
      </c>
      <c r="C10" s="234">
        <f t="shared" ref="C10:C38" si="30">IF(D10="--","--",C9+1)</f>
        <v>3</v>
      </c>
      <c r="D10" s="235">
        <f t="shared" si="8"/>
        <v>10</v>
      </c>
      <c r="E10" s="2159" t="str">
        <f t="shared" si="0"/>
        <v xml:space="preserve">attiva trim.  </v>
      </c>
      <c r="F10" s="2160"/>
      <c r="G10" s="237"/>
      <c r="H10" s="237"/>
      <c r="I10" s="828"/>
      <c r="J10" s="829"/>
      <c r="K10" s="237"/>
      <c r="L10" s="828"/>
      <c r="M10" s="829"/>
      <c r="N10" s="237"/>
      <c r="O10" s="828"/>
      <c r="P10" s="829"/>
      <c r="Q10" s="83"/>
      <c r="R10" s="1053">
        <f t="shared" si="9"/>
        <v>0</v>
      </c>
      <c r="S10" s="1054">
        <f t="shared" si="1"/>
        <v>0</v>
      </c>
      <c r="T10" s="1054">
        <f t="shared" si="10"/>
        <v>0</v>
      </c>
      <c r="U10" s="1055">
        <f t="shared" si="11"/>
        <v>0</v>
      </c>
      <c r="V10" s="231">
        <f t="shared" ref="V10:V38" si="31">V9+1</f>
        <v>45568</v>
      </c>
      <c r="W10" s="1053">
        <f t="shared" si="2"/>
        <v>0</v>
      </c>
      <c r="X10" s="1054">
        <f t="shared" si="3"/>
        <v>0</v>
      </c>
      <c r="Y10" s="1054">
        <f t="shared" si="4"/>
        <v>0</v>
      </c>
      <c r="Z10" s="1055">
        <f t="shared" si="5"/>
        <v>0</v>
      </c>
      <c r="AA10" s="822">
        <f>VLOOKUP(V10,CASSA!$B$114:$C$479,2,FALSE)</f>
        <v>0</v>
      </c>
      <c r="AB10" s="1053">
        <f t="shared" si="12"/>
        <v>0</v>
      </c>
      <c r="AC10" s="1054">
        <f t="shared" si="13"/>
        <v>0</v>
      </c>
      <c r="AD10" s="1054">
        <f t="shared" si="14"/>
        <v>0</v>
      </c>
      <c r="AE10" s="1055">
        <f t="shared" si="15"/>
        <v>0</v>
      </c>
      <c r="AF10" s="2"/>
      <c r="AG10" s="1090">
        <f t="shared" si="16"/>
        <v>0</v>
      </c>
      <c r="AH10" s="1091">
        <f t="shared" si="17"/>
        <v>0</v>
      </c>
      <c r="AI10" s="1054">
        <f t="shared" si="18"/>
        <v>0</v>
      </c>
      <c r="AJ10" s="1054">
        <f t="shared" si="19"/>
        <v>0</v>
      </c>
      <c r="AK10" s="1092">
        <f t="shared" si="6"/>
        <v>0</v>
      </c>
      <c r="AL10" s="2"/>
      <c r="AM10" s="1090">
        <f t="shared" si="7"/>
        <v>0</v>
      </c>
      <c r="AN10" s="1105">
        <f t="shared" si="20"/>
        <v>0</v>
      </c>
      <c r="AO10" s="1054">
        <f t="shared" si="21"/>
        <v>0</v>
      </c>
      <c r="AP10" s="1054">
        <f t="shared" si="22"/>
        <v>0</v>
      </c>
      <c r="AQ10" s="1092">
        <f t="shared" si="23"/>
        <v>0</v>
      </c>
      <c r="AR10" s="2"/>
      <c r="AS10" s="1090">
        <f t="shared" si="24"/>
        <v>0</v>
      </c>
      <c r="AT10" s="1091">
        <f t="shared" si="25"/>
        <v>0</v>
      </c>
      <c r="AU10" s="1054">
        <f t="shared" si="26"/>
        <v>0</v>
      </c>
      <c r="AV10" s="1054">
        <f t="shared" si="27"/>
        <v>0</v>
      </c>
      <c r="AW10" s="1092">
        <f t="shared" si="28"/>
        <v>0</v>
      </c>
      <c r="AX10" s="2"/>
      <c r="AY10" s="1090">
        <f t="shared" si="29"/>
        <v>0</v>
      </c>
      <c r="AZ10" s="1385" t="s">
        <v>852</v>
      </c>
      <c r="BA10" s="2"/>
    </row>
    <row r="11" spans="1:53" ht="20.25" customHeight="1" x14ac:dyDescent="0.2">
      <c r="A11" s="2"/>
      <c r="B11" s="18">
        <v>4</v>
      </c>
      <c r="C11" s="234">
        <f t="shared" si="30"/>
        <v>4</v>
      </c>
      <c r="D11" s="235">
        <f t="shared" si="8"/>
        <v>10</v>
      </c>
      <c r="E11" s="2159" t="str">
        <f t="shared" si="0"/>
        <v xml:space="preserve">attiva trim.  </v>
      </c>
      <c r="F11" s="2160"/>
      <c r="G11" s="237"/>
      <c r="H11" s="237"/>
      <c r="I11" s="828"/>
      <c r="J11" s="829"/>
      <c r="K11" s="237"/>
      <c r="L11" s="828"/>
      <c r="M11" s="829"/>
      <c r="N11" s="237"/>
      <c r="O11" s="828"/>
      <c r="P11" s="829"/>
      <c r="Q11" s="6"/>
      <c r="R11" s="1053">
        <f t="shared" si="9"/>
        <v>0</v>
      </c>
      <c r="S11" s="1054">
        <f t="shared" si="1"/>
        <v>0</v>
      </c>
      <c r="T11" s="1054">
        <f t="shared" si="10"/>
        <v>0</v>
      </c>
      <c r="U11" s="1055">
        <f t="shared" si="11"/>
        <v>0</v>
      </c>
      <c r="V11" s="231">
        <f t="shared" si="31"/>
        <v>45569</v>
      </c>
      <c r="W11" s="1053">
        <f t="shared" si="2"/>
        <v>0</v>
      </c>
      <c r="X11" s="1054">
        <f t="shared" si="3"/>
        <v>0</v>
      </c>
      <c r="Y11" s="1054">
        <f t="shared" si="4"/>
        <v>0</v>
      </c>
      <c r="Z11" s="1055">
        <f t="shared" si="5"/>
        <v>0</v>
      </c>
      <c r="AA11" s="822">
        <f>VLOOKUP(V11,CASSA!$B$114:$C$479,2,FALSE)</f>
        <v>0</v>
      </c>
      <c r="AB11" s="1053">
        <f t="shared" si="12"/>
        <v>0</v>
      </c>
      <c r="AC11" s="1054">
        <f t="shared" si="13"/>
        <v>0</v>
      </c>
      <c r="AD11" s="1054">
        <f t="shared" si="14"/>
        <v>0</v>
      </c>
      <c r="AE11" s="1055">
        <f t="shared" si="15"/>
        <v>0</v>
      </c>
      <c r="AF11" s="2"/>
      <c r="AG11" s="1090">
        <f t="shared" si="16"/>
        <v>0</v>
      </c>
      <c r="AH11" s="1091">
        <f t="shared" si="17"/>
        <v>0</v>
      </c>
      <c r="AI11" s="1054">
        <f t="shared" si="18"/>
        <v>0</v>
      </c>
      <c r="AJ11" s="1054">
        <f t="shared" si="19"/>
        <v>0</v>
      </c>
      <c r="AK11" s="1092">
        <f t="shared" si="6"/>
        <v>0</v>
      </c>
      <c r="AL11" s="2"/>
      <c r="AM11" s="1090">
        <f t="shared" si="7"/>
        <v>0</v>
      </c>
      <c r="AN11" s="1105">
        <f t="shared" si="20"/>
        <v>0</v>
      </c>
      <c r="AO11" s="1054">
        <f t="shared" si="21"/>
        <v>0</v>
      </c>
      <c r="AP11" s="1054">
        <f t="shared" si="22"/>
        <v>0</v>
      </c>
      <c r="AQ11" s="1092">
        <f t="shared" si="23"/>
        <v>0</v>
      </c>
      <c r="AR11" s="2"/>
      <c r="AS11" s="1090">
        <f t="shared" si="24"/>
        <v>0</v>
      </c>
      <c r="AT11" s="1091">
        <f t="shared" si="25"/>
        <v>0</v>
      </c>
      <c r="AU11" s="1054">
        <f t="shared" si="26"/>
        <v>0</v>
      </c>
      <c r="AV11" s="1054">
        <f t="shared" si="27"/>
        <v>0</v>
      </c>
      <c r="AW11" s="1092">
        <f t="shared" si="28"/>
        <v>0</v>
      </c>
      <c r="AX11" s="2"/>
      <c r="AY11" s="1090">
        <f t="shared" si="29"/>
        <v>0</v>
      </c>
      <c r="AZ11" s="1385" t="s">
        <v>853</v>
      </c>
      <c r="BA11" s="2"/>
    </row>
    <row r="12" spans="1:53" ht="20.25" customHeight="1" x14ac:dyDescent="0.2">
      <c r="A12" s="2"/>
      <c r="B12" s="18">
        <v>5</v>
      </c>
      <c r="C12" s="234">
        <f t="shared" si="30"/>
        <v>5</v>
      </c>
      <c r="D12" s="235">
        <f t="shared" si="8"/>
        <v>10</v>
      </c>
      <c r="E12" s="2159" t="str">
        <f t="shared" si="0"/>
        <v xml:space="preserve">attiva trim.  </v>
      </c>
      <c r="F12" s="2160"/>
      <c r="G12" s="237"/>
      <c r="H12" s="237"/>
      <c r="I12" s="828"/>
      <c r="J12" s="829"/>
      <c r="K12" s="237"/>
      <c r="L12" s="828"/>
      <c r="M12" s="829"/>
      <c r="N12" s="237"/>
      <c r="O12" s="828"/>
      <c r="P12" s="829"/>
      <c r="Q12" s="6"/>
      <c r="R12" s="1053">
        <f t="shared" si="9"/>
        <v>0</v>
      </c>
      <c r="S12" s="1054">
        <f t="shared" si="1"/>
        <v>0</v>
      </c>
      <c r="T12" s="1054">
        <f t="shared" si="10"/>
        <v>0</v>
      </c>
      <c r="U12" s="1055">
        <f t="shared" si="11"/>
        <v>0</v>
      </c>
      <c r="V12" s="231">
        <f t="shared" si="31"/>
        <v>45570</v>
      </c>
      <c r="W12" s="1053">
        <f t="shared" si="2"/>
        <v>0</v>
      </c>
      <c r="X12" s="1054">
        <f t="shared" si="3"/>
        <v>0</v>
      </c>
      <c r="Y12" s="1054">
        <f t="shared" si="4"/>
        <v>0</v>
      </c>
      <c r="Z12" s="1055">
        <f t="shared" si="5"/>
        <v>0</v>
      </c>
      <c r="AA12" s="822">
        <f>VLOOKUP(V12,CASSA!$B$114:$C$479,2,FALSE)</f>
        <v>0</v>
      </c>
      <c r="AB12" s="1053">
        <f t="shared" si="12"/>
        <v>0</v>
      </c>
      <c r="AC12" s="1054">
        <f t="shared" si="13"/>
        <v>0</v>
      </c>
      <c r="AD12" s="1054">
        <f t="shared" si="14"/>
        <v>0</v>
      </c>
      <c r="AE12" s="1055">
        <f t="shared" si="15"/>
        <v>0</v>
      </c>
      <c r="AF12" s="2"/>
      <c r="AG12" s="1090">
        <f t="shared" si="16"/>
        <v>0</v>
      </c>
      <c r="AH12" s="1091">
        <f t="shared" si="17"/>
        <v>0</v>
      </c>
      <c r="AI12" s="1054">
        <f t="shared" si="18"/>
        <v>0</v>
      </c>
      <c r="AJ12" s="1054">
        <f t="shared" si="19"/>
        <v>0</v>
      </c>
      <c r="AK12" s="1092">
        <f t="shared" si="6"/>
        <v>0</v>
      </c>
      <c r="AL12" s="2"/>
      <c r="AM12" s="1090">
        <f t="shared" si="7"/>
        <v>0</v>
      </c>
      <c r="AN12" s="1105">
        <f t="shared" si="20"/>
        <v>0</v>
      </c>
      <c r="AO12" s="1054">
        <f t="shared" si="21"/>
        <v>0</v>
      </c>
      <c r="AP12" s="1054">
        <f t="shared" si="22"/>
        <v>0</v>
      </c>
      <c r="AQ12" s="1092">
        <f t="shared" si="23"/>
        <v>0</v>
      </c>
      <c r="AR12" s="2"/>
      <c r="AS12" s="1090">
        <f t="shared" si="24"/>
        <v>0</v>
      </c>
      <c r="AT12" s="1091">
        <f t="shared" si="25"/>
        <v>0</v>
      </c>
      <c r="AU12" s="1054">
        <f t="shared" si="26"/>
        <v>0</v>
      </c>
      <c r="AV12" s="1054">
        <f t="shared" si="27"/>
        <v>0</v>
      </c>
      <c r="AW12" s="1092">
        <f t="shared" si="28"/>
        <v>0</v>
      </c>
      <c r="AX12" s="2"/>
      <c r="AY12" s="1090">
        <f t="shared" si="29"/>
        <v>0</v>
      </c>
      <c r="AZ12" s="1385"/>
      <c r="BA12" s="2"/>
    </row>
    <row r="13" spans="1:53" ht="20.25" customHeight="1" x14ac:dyDescent="0.2">
      <c r="A13" s="2"/>
      <c r="B13" s="18">
        <v>6</v>
      </c>
      <c r="C13" s="234">
        <f t="shared" si="30"/>
        <v>6</v>
      </c>
      <c r="D13" s="235">
        <f t="shared" si="8"/>
        <v>10</v>
      </c>
      <c r="E13" s="2159" t="str">
        <f t="shared" si="0"/>
        <v xml:space="preserve">attiva trim.  </v>
      </c>
      <c r="F13" s="2160"/>
      <c r="G13" s="237"/>
      <c r="H13" s="237"/>
      <c r="I13" s="828"/>
      <c r="J13" s="829"/>
      <c r="K13" s="237"/>
      <c r="L13" s="828"/>
      <c r="M13" s="829"/>
      <c r="N13" s="237"/>
      <c r="O13" s="828"/>
      <c r="P13" s="829"/>
      <c r="Q13" s="6"/>
      <c r="R13" s="1053">
        <f t="shared" si="9"/>
        <v>0</v>
      </c>
      <c r="S13" s="1054">
        <f t="shared" si="1"/>
        <v>0</v>
      </c>
      <c r="T13" s="1054">
        <f t="shared" si="10"/>
        <v>0</v>
      </c>
      <c r="U13" s="1055">
        <f t="shared" si="11"/>
        <v>0</v>
      </c>
      <c r="V13" s="231">
        <f t="shared" si="31"/>
        <v>45571</v>
      </c>
      <c r="W13" s="1053">
        <f t="shared" si="2"/>
        <v>0</v>
      </c>
      <c r="X13" s="1054">
        <f t="shared" si="3"/>
        <v>0</v>
      </c>
      <c r="Y13" s="1054">
        <f t="shared" si="4"/>
        <v>0</v>
      </c>
      <c r="Z13" s="1055">
        <f t="shared" si="5"/>
        <v>0</v>
      </c>
      <c r="AA13" s="822">
        <f>VLOOKUP(V13,CASSA!$B$114:$C$479,2,FALSE)</f>
        <v>0</v>
      </c>
      <c r="AB13" s="1053">
        <f t="shared" si="12"/>
        <v>0</v>
      </c>
      <c r="AC13" s="1054">
        <f t="shared" si="13"/>
        <v>0</v>
      </c>
      <c r="AD13" s="1054">
        <f t="shared" si="14"/>
        <v>0</v>
      </c>
      <c r="AE13" s="1055">
        <f t="shared" si="15"/>
        <v>0</v>
      </c>
      <c r="AF13" s="2"/>
      <c r="AG13" s="1090">
        <f t="shared" si="16"/>
        <v>0</v>
      </c>
      <c r="AH13" s="1091">
        <f t="shared" si="17"/>
        <v>0</v>
      </c>
      <c r="AI13" s="1054">
        <f t="shared" si="18"/>
        <v>0</v>
      </c>
      <c r="AJ13" s="1054">
        <f t="shared" si="19"/>
        <v>0</v>
      </c>
      <c r="AK13" s="1092">
        <f t="shared" si="6"/>
        <v>0</v>
      </c>
      <c r="AL13" s="2"/>
      <c r="AM13" s="1090">
        <f t="shared" si="7"/>
        <v>0</v>
      </c>
      <c r="AN13" s="1105">
        <f t="shared" si="20"/>
        <v>0</v>
      </c>
      <c r="AO13" s="1054">
        <f t="shared" si="21"/>
        <v>0</v>
      </c>
      <c r="AP13" s="1054">
        <f t="shared" si="22"/>
        <v>0</v>
      </c>
      <c r="AQ13" s="1092">
        <f t="shared" si="23"/>
        <v>0</v>
      </c>
      <c r="AR13" s="2"/>
      <c r="AS13" s="1090">
        <f t="shared" si="24"/>
        <v>0</v>
      </c>
      <c r="AT13" s="1091">
        <f t="shared" si="25"/>
        <v>0</v>
      </c>
      <c r="AU13" s="1054">
        <f t="shared" si="26"/>
        <v>0</v>
      </c>
      <c r="AV13" s="1054">
        <f t="shared" si="27"/>
        <v>0</v>
      </c>
      <c r="AW13" s="1092">
        <f t="shared" si="28"/>
        <v>0</v>
      </c>
      <c r="AX13" s="2"/>
      <c r="AY13" s="1090">
        <f t="shared" si="29"/>
        <v>0</v>
      </c>
      <c r="AZ13" s="1385"/>
      <c r="BA13" s="2"/>
    </row>
    <row r="14" spans="1:53" ht="20.25" customHeight="1" x14ac:dyDescent="0.2">
      <c r="A14" s="2"/>
      <c r="B14" s="18">
        <v>7</v>
      </c>
      <c r="C14" s="234">
        <f t="shared" si="30"/>
        <v>7</v>
      </c>
      <c r="D14" s="235">
        <f t="shared" si="8"/>
        <v>10</v>
      </c>
      <c r="E14" s="2159" t="str">
        <f t="shared" si="0"/>
        <v xml:space="preserve">attiva trim.  </v>
      </c>
      <c r="F14" s="2160"/>
      <c r="G14" s="237"/>
      <c r="H14" s="237"/>
      <c r="I14" s="828"/>
      <c r="J14" s="829"/>
      <c r="K14" s="237"/>
      <c r="L14" s="828"/>
      <c r="M14" s="829"/>
      <c r="N14" s="237"/>
      <c r="O14" s="828"/>
      <c r="P14" s="829"/>
      <c r="Q14" s="6"/>
      <c r="R14" s="1053">
        <f t="shared" si="9"/>
        <v>0</v>
      </c>
      <c r="S14" s="1054">
        <f t="shared" si="1"/>
        <v>0</v>
      </c>
      <c r="T14" s="1054">
        <f t="shared" si="10"/>
        <v>0</v>
      </c>
      <c r="U14" s="1055">
        <f t="shared" si="11"/>
        <v>0</v>
      </c>
      <c r="V14" s="231">
        <f t="shared" si="31"/>
        <v>45572</v>
      </c>
      <c r="W14" s="1053">
        <f t="shared" si="2"/>
        <v>0</v>
      </c>
      <c r="X14" s="1054">
        <f t="shared" si="3"/>
        <v>0</v>
      </c>
      <c r="Y14" s="1054">
        <f t="shared" si="4"/>
        <v>0</v>
      </c>
      <c r="Z14" s="1055">
        <f t="shared" si="5"/>
        <v>0</v>
      </c>
      <c r="AA14" s="822">
        <f>VLOOKUP(V14,CASSA!$B$114:$C$479,2,FALSE)</f>
        <v>0</v>
      </c>
      <c r="AB14" s="1053">
        <f t="shared" si="12"/>
        <v>0</v>
      </c>
      <c r="AC14" s="1054">
        <f t="shared" si="13"/>
        <v>0</v>
      </c>
      <c r="AD14" s="1054">
        <f t="shared" si="14"/>
        <v>0</v>
      </c>
      <c r="AE14" s="1055">
        <f t="shared" si="15"/>
        <v>0</v>
      </c>
      <c r="AF14" s="2"/>
      <c r="AG14" s="1090">
        <f t="shared" si="16"/>
        <v>0</v>
      </c>
      <c r="AH14" s="1091">
        <f t="shared" si="17"/>
        <v>0</v>
      </c>
      <c r="AI14" s="1054">
        <f t="shared" si="18"/>
        <v>0</v>
      </c>
      <c r="AJ14" s="1054">
        <f t="shared" si="19"/>
        <v>0</v>
      </c>
      <c r="AK14" s="1092">
        <f t="shared" si="6"/>
        <v>0</v>
      </c>
      <c r="AL14" s="2"/>
      <c r="AM14" s="1090">
        <f t="shared" si="7"/>
        <v>0</v>
      </c>
      <c r="AN14" s="1105">
        <f t="shared" si="20"/>
        <v>0</v>
      </c>
      <c r="AO14" s="1054">
        <f t="shared" si="21"/>
        <v>0</v>
      </c>
      <c r="AP14" s="1054">
        <f t="shared" si="22"/>
        <v>0</v>
      </c>
      <c r="AQ14" s="1092">
        <f t="shared" si="23"/>
        <v>0</v>
      </c>
      <c r="AR14" s="2"/>
      <c r="AS14" s="1090">
        <f t="shared" si="24"/>
        <v>0</v>
      </c>
      <c r="AT14" s="1091">
        <f t="shared" si="25"/>
        <v>0</v>
      </c>
      <c r="AU14" s="1054">
        <f t="shared" si="26"/>
        <v>0</v>
      </c>
      <c r="AV14" s="1054">
        <f t="shared" si="27"/>
        <v>0</v>
      </c>
      <c r="AW14" s="1092">
        <f t="shared" si="28"/>
        <v>0</v>
      </c>
      <c r="AX14" s="2"/>
      <c r="AY14" s="1090">
        <f t="shared" si="29"/>
        <v>0</v>
      </c>
      <c r="AZ14" s="1385"/>
      <c r="BA14" s="2"/>
    </row>
    <row r="15" spans="1:53" ht="20.25" customHeight="1" x14ac:dyDescent="0.2">
      <c r="A15" s="2"/>
      <c r="B15" s="18">
        <v>8</v>
      </c>
      <c r="C15" s="234">
        <f t="shared" si="30"/>
        <v>8</v>
      </c>
      <c r="D15" s="235">
        <f t="shared" si="8"/>
        <v>10</v>
      </c>
      <c r="E15" s="2159" t="str">
        <f t="shared" si="0"/>
        <v xml:space="preserve">attiva trim.  </v>
      </c>
      <c r="F15" s="2160"/>
      <c r="G15" s="237"/>
      <c r="H15" s="237"/>
      <c r="I15" s="828"/>
      <c r="J15" s="829"/>
      <c r="K15" s="237"/>
      <c r="L15" s="828"/>
      <c r="M15" s="829"/>
      <c r="N15" s="237"/>
      <c r="O15" s="828"/>
      <c r="P15" s="829"/>
      <c r="Q15" s="6"/>
      <c r="R15" s="1053">
        <f t="shared" si="9"/>
        <v>0</v>
      </c>
      <c r="S15" s="1054">
        <f t="shared" si="1"/>
        <v>0</v>
      </c>
      <c r="T15" s="1054">
        <f t="shared" si="10"/>
        <v>0</v>
      </c>
      <c r="U15" s="1055">
        <f t="shared" si="11"/>
        <v>0</v>
      </c>
      <c r="V15" s="231">
        <f t="shared" si="31"/>
        <v>45573</v>
      </c>
      <c r="W15" s="1053">
        <f t="shared" si="2"/>
        <v>0</v>
      </c>
      <c r="X15" s="1054">
        <f t="shared" si="3"/>
        <v>0</v>
      </c>
      <c r="Y15" s="1054">
        <f t="shared" si="4"/>
        <v>0</v>
      </c>
      <c r="Z15" s="1055">
        <f t="shared" si="5"/>
        <v>0</v>
      </c>
      <c r="AA15" s="822">
        <f>VLOOKUP(V15,CASSA!$B$114:$C$479,2,FALSE)</f>
        <v>0</v>
      </c>
      <c r="AB15" s="1053">
        <f t="shared" si="12"/>
        <v>0</v>
      </c>
      <c r="AC15" s="1054">
        <f t="shared" si="13"/>
        <v>0</v>
      </c>
      <c r="AD15" s="1054">
        <f t="shared" si="14"/>
        <v>0</v>
      </c>
      <c r="AE15" s="1055">
        <f t="shared" si="15"/>
        <v>0</v>
      </c>
      <c r="AF15" s="2"/>
      <c r="AG15" s="1090">
        <f t="shared" si="16"/>
        <v>0</v>
      </c>
      <c r="AH15" s="1091">
        <f t="shared" si="17"/>
        <v>0</v>
      </c>
      <c r="AI15" s="1054">
        <f t="shared" si="18"/>
        <v>0</v>
      </c>
      <c r="AJ15" s="1054">
        <f t="shared" si="19"/>
        <v>0</v>
      </c>
      <c r="AK15" s="1092">
        <f t="shared" si="6"/>
        <v>0</v>
      </c>
      <c r="AL15" s="2"/>
      <c r="AM15" s="1090">
        <f t="shared" si="7"/>
        <v>0</v>
      </c>
      <c r="AN15" s="1105">
        <f t="shared" si="20"/>
        <v>0</v>
      </c>
      <c r="AO15" s="1054">
        <f t="shared" si="21"/>
        <v>0</v>
      </c>
      <c r="AP15" s="1054">
        <f t="shared" si="22"/>
        <v>0</v>
      </c>
      <c r="AQ15" s="1092">
        <f t="shared" si="23"/>
        <v>0</v>
      </c>
      <c r="AR15" s="2"/>
      <c r="AS15" s="1090">
        <f t="shared" si="24"/>
        <v>0</v>
      </c>
      <c r="AT15" s="1091">
        <f t="shared" si="25"/>
        <v>0</v>
      </c>
      <c r="AU15" s="1054">
        <f t="shared" si="26"/>
        <v>0</v>
      </c>
      <c r="AV15" s="1054">
        <f t="shared" si="27"/>
        <v>0</v>
      </c>
      <c r="AW15" s="1092">
        <f t="shared" si="28"/>
        <v>0</v>
      </c>
      <c r="AX15" s="2"/>
      <c r="AY15" s="1090">
        <f t="shared" si="29"/>
        <v>0</v>
      </c>
      <c r="AZ15" s="1385"/>
      <c r="BA15" s="2"/>
    </row>
    <row r="16" spans="1:53" ht="20.25" customHeight="1" x14ac:dyDescent="0.2">
      <c r="A16" s="2"/>
      <c r="B16" s="18">
        <v>9</v>
      </c>
      <c r="C16" s="234">
        <f t="shared" si="30"/>
        <v>9</v>
      </c>
      <c r="D16" s="235">
        <f t="shared" si="8"/>
        <v>10</v>
      </c>
      <c r="E16" s="2159" t="str">
        <f t="shared" si="0"/>
        <v xml:space="preserve">attiva trim.  </v>
      </c>
      <c r="F16" s="2160"/>
      <c r="G16" s="237"/>
      <c r="H16" s="237"/>
      <c r="I16" s="828"/>
      <c r="J16" s="829"/>
      <c r="K16" s="237"/>
      <c r="L16" s="828"/>
      <c r="M16" s="829"/>
      <c r="N16" s="237"/>
      <c r="O16" s="828"/>
      <c r="P16" s="829"/>
      <c r="Q16" s="6"/>
      <c r="R16" s="1053">
        <f t="shared" si="9"/>
        <v>0</v>
      </c>
      <c r="S16" s="1054">
        <f t="shared" si="1"/>
        <v>0</v>
      </c>
      <c r="T16" s="1054">
        <f t="shared" si="10"/>
        <v>0</v>
      </c>
      <c r="U16" s="1055">
        <f t="shared" si="11"/>
        <v>0</v>
      </c>
      <c r="V16" s="231">
        <f t="shared" si="31"/>
        <v>45574</v>
      </c>
      <c r="W16" s="1053">
        <f t="shared" si="2"/>
        <v>0</v>
      </c>
      <c r="X16" s="1054">
        <f t="shared" si="3"/>
        <v>0</v>
      </c>
      <c r="Y16" s="1054">
        <f t="shared" si="4"/>
        <v>0</v>
      </c>
      <c r="Z16" s="1055">
        <f t="shared" si="5"/>
        <v>0</v>
      </c>
      <c r="AA16" s="822">
        <f>VLOOKUP(V16,CASSA!$B$114:$C$479,2,FALSE)</f>
        <v>0</v>
      </c>
      <c r="AB16" s="1053">
        <f t="shared" si="12"/>
        <v>0</v>
      </c>
      <c r="AC16" s="1054">
        <f t="shared" si="13"/>
        <v>0</v>
      </c>
      <c r="AD16" s="1054">
        <f t="shared" si="14"/>
        <v>0</v>
      </c>
      <c r="AE16" s="1055">
        <f t="shared" si="15"/>
        <v>0</v>
      </c>
      <c r="AF16" s="2"/>
      <c r="AG16" s="1090">
        <f t="shared" si="16"/>
        <v>0</v>
      </c>
      <c r="AH16" s="1091">
        <f t="shared" si="17"/>
        <v>0</v>
      </c>
      <c r="AI16" s="1054">
        <f t="shared" si="18"/>
        <v>0</v>
      </c>
      <c r="AJ16" s="1054">
        <f t="shared" si="19"/>
        <v>0</v>
      </c>
      <c r="AK16" s="1092">
        <f t="shared" si="6"/>
        <v>0</v>
      </c>
      <c r="AL16" s="2"/>
      <c r="AM16" s="1090">
        <f t="shared" si="7"/>
        <v>0</v>
      </c>
      <c r="AN16" s="1105">
        <f t="shared" si="20"/>
        <v>0</v>
      </c>
      <c r="AO16" s="1054">
        <f t="shared" si="21"/>
        <v>0</v>
      </c>
      <c r="AP16" s="1054">
        <f t="shared" si="22"/>
        <v>0</v>
      </c>
      <c r="AQ16" s="1092">
        <f t="shared" si="23"/>
        <v>0</v>
      </c>
      <c r="AR16" s="2"/>
      <c r="AS16" s="1090">
        <f t="shared" si="24"/>
        <v>0</v>
      </c>
      <c r="AT16" s="1091">
        <f t="shared" si="25"/>
        <v>0</v>
      </c>
      <c r="AU16" s="1054">
        <f t="shared" si="26"/>
        <v>0</v>
      </c>
      <c r="AV16" s="1054">
        <f t="shared" si="27"/>
        <v>0</v>
      </c>
      <c r="AW16" s="1092">
        <f t="shared" si="28"/>
        <v>0</v>
      </c>
      <c r="AX16" s="2"/>
      <c r="AY16" s="1090">
        <f t="shared" si="29"/>
        <v>0</v>
      </c>
      <c r="AZ16" s="1385"/>
      <c r="BA16" s="2"/>
    </row>
    <row r="17" spans="1:53" ht="20.25" customHeight="1" x14ac:dyDescent="0.2">
      <c r="A17" s="2"/>
      <c r="B17" s="18">
        <v>10</v>
      </c>
      <c r="C17" s="234">
        <f t="shared" si="30"/>
        <v>10</v>
      </c>
      <c r="D17" s="235">
        <f t="shared" si="8"/>
        <v>10</v>
      </c>
      <c r="E17" s="2159" t="str">
        <f t="shared" si="0"/>
        <v xml:space="preserve">attiva trim.  </v>
      </c>
      <c r="F17" s="2160"/>
      <c r="G17" s="237"/>
      <c r="H17" s="237"/>
      <c r="I17" s="828"/>
      <c r="J17" s="829"/>
      <c r="K17" s="237"/>
      <c r="L17" s="828"/>
      <c r="M17" s="829"/>
      <c r="N17" s="237"/>
      <c r="O17" s="828"/>
      <c r="P17" s="829"/>
      <c r="Q17" s="6"/>
      <c r="R17" s="1053">
        <f t="shared" si="9"/>
        <v>0</v>
      </c>
      <c r="S17" s="1054">
        <f t="shared" si="1"/>
        <v>0</v>
      </c>
      <c r="T17" s="1054">
        <f t="shared" si="10"/>
        <v>0</v>
      </c>
      <c r="U17" s="1055">
        <f t="shared" si="11"/>
        <v>0</v>
      </c>
      <c r="V17" s="231">
        <f t="shared" si="31"/>
        <v>45575</v>
      </c>
      <c r="W17" s="1053">
        <f t="shared" si="2"/>
        <v>0</v>
      </c>
      <c r="X17" s="1054">
        <f t="shared" si="3"/>
        <v>0</v>
      </c>
      <c r="Y17" s="1054">
        <f t="shared" si="4"/>
        <v>0</v>
      </c>
      <c r="Z17" s="1055">
        <f t="shared" si="5"/>
        <v>0</v>
      </c>
      <c r="AA17" s="822">
        <f>VLOOKUP(V17,CASSA!$B$114:$C$479,2,FALSE)</f>
        <v>0</v>
      </c>
      <c r="AB17" s="1053">
        <f t="shared" si="12"/>
        <v>0</v>
      </c>
      <c r="AC17" s="1054">
        <f t="shared" si="13"/>
        <v>0</v>
      </c>
      <c r="AD17" s="1054">
        <f t="shared" si="14"/>
        <v>0</v>
      </c>
      <c r="AE17" s="1055">
        <f t="shared" si="15"/>
        <v>0</v>
      </c>
      <c r="AF17" s="2"/>
      <c r="AG17" s="1090">
        <f t="shared" si="16"/>
        <v>0</v>
      </c>
      <c r="AH17" s="1091">
        <f t="shared" si="17"/>
        <v>0</v>
      </c>
      <c r="AI17" s="1054">
        <f t="shared" si="18"/>
        <v>0</v>
      </c>
      <c r="AJ17" s="1054">
        <f t="shared" si="19"/>
        <v>0</v>
      </c>
      <c r="AK17" s="1092">
        <f t="shared" si="6"/>
        <v>0</v>
      </c>
      <c r="AL17" s="2"/>
      <c r="AM17" s="1090">
        <f t="shared" si="7"/>
        <v>0</v>
      </c>
      <c r="AN17" s="1105">
        <f t="shared" si="20"/>
        <v>0</v>
      </c>
      <c r="AO17" s="1054">
        <f t="shared" si="21"/>
        <v>0</v>
      </c>
      <c r="AP17" s="1054">
        <f t="shared" si="22"/>
        <v>0</v>
      </c>
      <c r="AQ17" s="1092">
        <f t="shared" si="23"/>
        <v>0</v>
      </c>
      <c r="AR17" s="2"/>
      <c r="AS17" s="1090">
        <f t="shared" si="24"/>
        <v>0</v>
      </c>
      <c r="AT17" s="1091">
        <f t="shared" si="25"/>
        <v>0</v>
      </c>
      <c r="AU17" s="1054">
        <f t="shared" si="26"/>
        <v>0</v>
      </c>
      <c r="AV17" s="1054">
        <f t="shared" si="27"/>
        <v>0</v>
      </c>
      <c r="AW17" s="1092">
        <f t="shared" si="28"/>
        <v>0</v>
      </c>
      <c r="AX17" s="2"/>
      <c r="AY17" s="1090">
        <f t="shared" si="29"/>
        <v>0</v>
      </c>
      <c r="AZ17" s="1385"/>
      <c r="BA17" s="2"/>
    </row>
    <row r="18" spans="1:53" ht="20.25" customHeight="1" x14ac:dyDescent="0.2">
      <c r="A18" s="2"/>
      <c r="B18" s="18">
        <v>11</v>
      </c>
      <c r="C18" s="234">
        <f t="shared" si="30"/>
        <v>11</v>
      </c>
      <c r="D18" s="235">
        <f t="shared" si="8"/>
        <v>10</v>
      </c>
      <c r="E18" s="2159" t="str">
        <f t="shared" si="0"/>
        <v xml:space="preserve">attiva trim.  </v>
      </c>
      <c r="F18" s="2160"/>
      <c r="G18" s="237"/>
      <c r="H18" s="237"/>
      <c r="I18" s="828"/>
      <c r="J18" s="829"/>
      <c r="K18" s="237"/>
      <c r="L18" s="828"/>
      <c r="M18" s="829"/>
      <c r="N18" s="237"/>
      <c r="O18" s="828"/>
      <c r="P18" s="829"/>
      <c r="Q18" s="6"/>
      <c r="R18" s="1053">
        <f t="shared" si="9"/>
        <v>0</v>
      </c>
      <c r="S18" s="1054">
        <f t="shared" si="1"/>
        <v>0</v>
      </c>
      <c r="T18" s="1054">
        <f t="shared" si="10"/>
        <v>0</v>
      </c>
      <c r="U18" s="1055">
        <f t="shared" si="11"/>
        <v>0</v>
      </c>
      <c r="V18" s="231">
        <f t="shared" si="31"/>
        <v>45576</v>
      </c>
      <c r="W18" s="1053">
        <f t="shared" si="2"/>
        <v>0</v>
      </c>
      <c r="X18" s="1054">
        <f t="shared" si="3"/>
        <v>0</v>
      </c>
      <c r="Y18" s="1054">
        <f t="shared" si="4"/>
        <v>0</v>
      </c>
      <c r="Z18" s="1055">
        <f t="shared" si="5"/>
        <v>0</v>
      </c>
      <c r="AA18" s="822">
        <f>VLOOKUP(V18,CASSA!$B$114:$C$479,2,FALSE)</f>
        <v>0</v>
      </c>
      <c r="AB18" s="1053">
        <f t="shared" si="12"/>
        <v>0</v>
      </c>
      <c r="AC18" s="1054">
        <f t="shared" si="13"/>
        <v>0</v>
      </c>
      <c r="AD18" s="1054">
        <f t="shared" si="14"/>
        <v>0</v>
      </c>
      <c r="AE18" s="1055">
        <f t="shared" si="15"/>
        <v>0</v>
      </c>
      <c r="AF18" s="2"/>
      <c r="AG18" s="1090">
        <f t="shared" si="16"/>
        <v>0</v>
      </c>
      <c r="AH18" s="1091">
        <f t="shared" si="17"/>
        <v>0</v>
      </c>
      <c r="AI18" s="1054">
        <f t="shared" si="18"/>
        <v>0</v>
      </c>
      <c r="AJ18" s="1054">
        <f t="shared" si="19"/>
        <v>0</v>
      </c>
      <c r="AK18" s="1092">
        <f t="shared" si="6"/>
        <v>0</v>
      </c>
      <c r="AL18" s="2"/>
      <c r="AM18" s="1090">
        <f t="shared" si="7"/>
        <v>0</v>
      </c>
      <c r="AN18" s="1105">
        <f t="shared" si="20"/>
        <v>0</v>
      </c>
      <c r="AO18" s="1054">
        <f t="shared" si="21"/>
        <v>0</v>
      </c>
      <c r="AP18" s="1054">
        <f t="shared" si="22"/>
        <v>0</v>
      </c>
      <c r="AQ18" s="1092">
        <f t="shared" si="23"/>
        <v>0</v>
      </c>
      <c r="AR18" s="2"/>
      <c r="AS18" s="1090">
        <f t="shared" si="24"/>
        <v>0</v>
      </c>
      <c r="AT18" s="1091">
        <f t="shared" si="25"/>
        <v>0</v>
      </c>
      <c r="AU18" s="1054">
        <f t="shared" si="26"/>
        <v>0</v>
      </c>
      <c r="AV18" s="1054">
        <f t="shared" si="27"/>
        <v>0</v>
      </c>
      <c r="AW18" s="1092">
        <f t="shared" si="28"/>
        <v>0</v>
      </c>
      <c r="AX18" s="2"/>
      <c r="AY18" s="1090">
        <f t="shared" si="29"/>
        <v>0</v>
      </c>
      <c r="AZ18" s="1385"/>
      <c r="BA18" s="2"/>
    </row>
    <row r="19" spans="1:53" ht="20.25" customHeight="1" x14ac:dyDescent="0.2">
      <c r="A19" s="2"/>
      <c r="B19" s="18">
        <v>12</v>
      </c>
      <c r="C19" s="234">
        <f t="shared" si="30"/>
        <v>12</v>
      </c>
      <c r="D19" s="235">
        <f t="shared" si="8"/>
        <v>10</v>
      </c>
      <c r="E19" s="2159" t="str">
        <f t="shared" si="0"/>
        <v xml:space="preserve">attiva trim.  </v>
      </c>
      <c r="F19" s="2160"/>
      <c r="G19" s="237"/>
      <c r="H19" s="237"/>
      <c r="I19" s="828"/>
      <c r="J19" s="829"/>
      <c r="K19" s="237"/>
      <c r="L19" s="828"/>
      <c r="M19" s="829"/>
      <c r="N19" s="237"/>
      <c r="O19" s="828"/>
      <c r="P19" s="829"/>
      <c r="Q19" s="6"/>
      <c r="R19" s="1053">
        <f t="shared" si="9"/>
        <v>0</v>
      </c>
      <c r="S19" s="1054">
        <f t="shared" si="1"/>
        <v>0</v>
      </c>
      <c r="T19" s="1054">
        <f t="shared" si="10"/>
        <v>0</v>
      </c>
      <c r="U19" s="1055">
        <f t="shared" si="11"/>
        <v>0</v>
      </c>
      <c r="V19" s="231">
        <f t="shared" si="31"/>
        <v>45577</v>
      </c>
      <c r="W19" s="1053">
        <f t="shared" si="2"/>
        <v>0</v>
      </c>
      <c r="X19" s="1054">
        <f t="shared" si="3"/>
        <v>0</v>
      </c>
      <c r="Y19" s="1054">
        <f t="shared" si="4"/>
        <v>0</v>
      </c>
      <c r="Z19" s="1055">
        <f t="shared" si="5"/>
        <v>0</v>
      </c>
      <c r="AA19" s="822">
        <f>VLOOKUP(V19,CASSA!$B$114:$C$479,2,FALSE)</f>
        <v>0</v>
      </c>
      <c r="AB19" s="1053">
        <f t="shared" si="12"/>
        <v>0</v>
      </c>
      <c r="AC19" s="1054">
        <f t="shared" si="13"/>
        <v>0</v>
      </c>
      <c r="AD19" s="1054">
        <f t="shared" si="14"/>
        <v>0</v>
      </c>
      <c r="AE19" s="1055">
        <f t="shared" si="15"/>
        <v>0</v>
      </c>
      <c r="AF19" s="2"/>
      <c r="AG19" s="1090">
        <f t="shared" si="16"/>
        <v>0</v>
      </c>
      <c r="AH19" s="1091">
        <f t="shared" si="17"/>
        <v>0</v>
      </c>
      <c r="AI19" s="1054">
        <f t="shared" si="18"/>
        <v>0</v>
      </c>
      <c r="AJ19" s="1054">
        <f t="shared" si="19"/>
        <v>0</v>
      </c>
      <c r="AK19" s="1092">
        <f t="shared" si="6"/>
        <v>0</v>
      </c>
      <c r="AL19" s="2"/>
      <c r="AM19" s="1090">
        <f t="shared" si="7"/>
        <v>0</v>
      </c>
      <c r="AN19" s="1105">
        <f t="shared" si="20"/>
        <v>0</v>
      </c>
      <c r="AO19" s="1054">
        <f t="shared" si="21"/>
        <v>0</v>
      </c>
      <c r="AP19" s="1054">
        <f t="shared" si="22"/>
        <v>0</v>
      </c>
      <c r="AQ19" s="1092">
        <f t="shared" si="23"/>
        <v>0</v>
      </c>
      <c r="AR19" s="2"/>
      <c r="AS19" s="1090">
        <f t="shared" si="24"/>
        <v>0</v>
      </c>
      <c r="AT19" s="1091">
        <f t="shared" si="25"/>
        <v>0</v>
      </c>
      <c r="AU19" s="1054">
        <f t="shared" si="26"/>
        <v>0</v>
      </c>
      <c r="AV19" s="1054">
        <f t="shared" si="27"/>
        <v>0</v>
      </c>
      <c r="AW19" s="1092">
        <f t="shared" si="28"/>
        <v>0</v>
      </c>
      <c r="AX19" s="2"/>
      <c r="AY19" s="1090">
        <f t="shared" si="29"/>
        <v>0</v>
      </c>
      <c r="AZ19" s="1385"/>
      <c r="BA19" s="2"/>
    </row>
    <row r="20" spans="1:53" ht="20.25" customHeight="1" x14ac:dyDescent="0.2">
      <c r="A20" s="2"/>
      <c r="B20" s="18">
        <v>13</v>
      </c>
      <c r="C20" s="234">
        <f t="shared" si="30"/>
        <v>13</v>
      </c>
      <c r="D20" s="235">
        <f t="shared" si="8"/>
        <v>10</v>
      </c>
      <c r="E20" s="2159" t="str">
        <f t="shared" si="0"/>
        <v xml:space="preserve">attiva trim.  </v>
      </c>
      <c r="F20" s="2160"/>
      <c r="G20" s="237"/>
      <c r="H20" s="237"/>
      <c r="I20" s="828"/>
      <c r="J20" s="829"/>
      <c r="K20" s="237"/>
      <c r="L20" s="828"/>
      <c r="M20" s="829"/>
      <c r="N20" s="237"/>
      <c r="O20" s="828"/>
      <c r="P20" s="829"/>
      <c r="Q20" s="6"/>
      <c r="R20" s="1053">
        <f t="shared" si="9"/>
        <v>0</v>
      </c>
      <c r="S20" s="1054">
        <f t="shared" si="1"/>
        <v>0</v>
      </c>
      <c r="T20" s="1054">
        <f t="shared" si="10"/>
        <v>0</v>
      </c>
      <c r="U20" s="1055">
        <f t="shared" si="11"/>
        <v>0</v>
      </c>
      <c r="V20" s="231">
        <f t="shared" si="31"/>
        <v>45578</v>
      </c>
      <c r="W20" s="1053">
        <f t="shared" si="2"/>
        <v>0</v>
      </c>
      <c r="X20" s="1054">
        <f t="shared" si="3"/>
        <v>0</v>
      </c>
      <c r="Y20" s="1054">
        <f t="shared" si="4"/>
        <v>0</v>
      </c>
      <c r="Z20" s="1055">
        <f t="shared" si="5"/>
        <v>0</v>
      </c>
      <c r="AA20" s="822">
        <f>VLOOKUP(V20,CASSA!$B$114:$C$479,2,FALSE)</f>
        <v>0</v>
      </c>
      <c r="AB20" s="1053">
        <f t="shared" si="12"/>
        <v>0</v>
      </c>
      <c r="AC20" s="1054">
        <f t="shared" si="13"/>
        <v>0</v>
      </c>
      <c r="AD20" s="1054">
        <f t="shared" si="14"/>
        <v>0</v>
      </c>
      <c r="AE20" s="1055">
        <f t="shared" si="15"/>
        <v>0</v>
      </c>
      <c r="AF20" s="2"/>
      <c r="AG20" s="1090">
        <f t="shared" si="16"/>
        <v>0</v>
      </c>
      <c r="AH20" s="1091">
        <f t="shared" si="17"/>
        <v>0</v>
      </c>
      <c r="AI20" s="1054">
        <f t="shared" si="18"/>
        <v>0</v>
      </c>
      <c r="AJ20" s="1054">
        <f t="shared" si="19"/>
        <v>0</v>
      </c>
      <c r="AK20" s="1092">
        <f t="shared" si="6"/>
        <v>0</v>
      </c>
      <c r="AL20" s="2"/>
      <c r="AM20" s="1090">
        <f t="shared" si="7"/>
        <v>0</v>
      </c>
      <c r="AN20" s="1105">
        <f t="shared" si="20"/>
        <v>0</v>
      </c>
      <c r="AO20" s="1054">
        <f t="shared" si="21"/>
        <v>0</v>
      </c>
      <c r="AP20" s="1054">
        <f t="shared" si="22"/>
        <v>0</v>
      </c>
      <c r="AQ20" s="1092">
        <f t="shared" si="23"/>
        <v>0</v>
      </c>
      <c r="AR20" s="2"/>
      <c r="AS20" s="1090">
        <f t="shared" si="24"/>
        <v>0</v>
      </c>
      <c r="AT20" s="1091">
        <f t="shared" si="25"/>
        <v>0</v>
      </c>
      <c r="AU20" s="1054">
        <f t="shared" si="26"/>
        <v>0</v>
      </c>
      <c r="AV20" s="1054">
        <f t="shared" si="27"/>
        <v>0</v>
      </c>
      <c r="AW20" s="1092">
        <f t="shared" si="28"/>
        <v>0</v>
      </c>
      <c r="AX20" s="2"/>
      <c r="AY20" s="1090">
        <f t="shared" si="29"/>
        <v>0</v>
      </c>
      <c r="AZ20" s="1385"/>
      <c r="BA20" s="2"/>
    </row>
    <row r="21" spans="1:53" ht="20.25" customHeight="1" x14ac:dyDescent="0.2">
      <c r="A21" s="2"/>
      <c r="B21" s="18">
        <v>14</v>
      </c>
      <c r="C21" s="234">
        <f t="shared" si="30"/>
        <v>14</v>
      </c>
      <c r="D21" s="235">
        <f t="shared" si="8"/>
        <v>10</v>
      </c>
      <c r="E21" s="2159" t="str">
        <f t="shared" si="0"/>
        <v xml:space="preserve">attiva trim.  </v>
      </c>
      <c r="F21" s="2160"/>
      <c r="G21" s="237"/>
      <c r="H21" s="237"/>
      <c r="I21" s="828"/>
      <c r="J21" s="829"/>
      <c r="K21" s="237"/>
      <c r="L21" s="828"/>
      <c r="M21" s="829"/>
      <c r="N21" s="237"/>
      <c r="O21" s="828"/>
      <c r="P21" s="829"/>
      <c r="Q21" s="6"/>
      <c r="R21" s="1053">
        <f t="shared" si="9"/>
        <v>0</v>
      </c>
      <c r="S21" s="1054">
        <f t="shared" si="1"/>
        <v>0</v>
      </c>
      <c r="T21" s="1054">
        <f t="shared" si="10"/>
        <v>0</v>
      </c>
      <c r="U21" s="1055">
        <f t="shared" si="11"/>
        <v>0</v>
      </c>
      <c r="V21" s="231">
        <f t="shared" si="31"/>
        <v>45579</v>
      </c>
      <c r="W21" s="1053">
        <f t="shared" si="2"/>
        <v>0</v>
      </c>
      <c r="X21" s="1054">
        <f t="shared" si="3"/>
        <v>0</v>
      </c>
      <c r="Y21" s="1054">
        <f t="shared" si="4"/>
        <v>0</v>
      </c>
      <c r="Z21" s="1055">
        <f t="shared" si="5"/>
        <v>0</v>
      </c>
      <c r="AA21" s="822">
        <f>VLOOKUP(V21,CASSA!$B$114:$C$479,2,FALSE)</f>
        <v>0</v>
      </c>
      <c r="AB21" s="1053">
        <f t="shared" si="12"/>
        <v>0</v>
      </c>
      <c r="AC21" s="1054">
        <f t="shared" si="13"/>
        <v>0</v>
      </c>
      <c r="AD21" s="1054">
        <f t="shared" si="14"/>
        <v>0</v>
      </c>
      <c r="AE21" s="1055">
        <f t="shared" si="15"/>
        <v>0</v>
      </c>
      <c r="AF21" s="2"/>
      <c r="AG21" s="1090">
        <f t="shared" si="16"/>
        <v>0</v>
      </c>
      <c r="AH21" s="1091">
        <f t="shared" si="17"/>
        <v>0</v>
      </c>
      <c r="AI21" s="1054">
        <f t="shared" si="18"/>
        <v>0</v>
      </c>
      <c r="AJ21" s="1054">
        <f t="shared" si="19"/>
        <v>0</v>
      </c>
      <c r="AK21" s="1092">
        <f t="shared" si="6"/>
        <v>0</v>
      </c>
      <c r="AL21" s="2"/>
      <c r="AM21" s="1090">
        <f t="shared" si="7"/>
        <v>0</v>
      </c>
      <c r="AN21" s="1105">
        <f t="shared" si="20"/>
        <v>0</v>
      </c>
      <c r="AO21" s="1054">
        <f t="shared" si="21"/>
        <v>0</v>
      </c>
      <c r="AP21" s="1054">
        <f t="shared" si="22"/>
        <v>0</v>
      </c>
      <c r="AQ21" s="1092">
        <f t="shared" si="23"/>
        <v>0</v>
      </c>
      <c r="AR21" s="2"/>
      <c r="AS21" s="1090">
        <f t="shared" si="24"/>
        <v>0</v>
      </c>
      <c r="AT21" s="1091">
        <f t="shared" si="25"/>
        <v>0</v>
      </c>
      <c r="AU21" s="1054">
        <f t="shared" si="26"/>
        <v>0</v>
      </c>
      <c r="AV21" s="1054">
        <f t="shared" si="27"/>
        <v>0</v>
      </c>
      <c r="AW21" s="1092">
        <f t="shared" si="28"/>
        <v>0</v>
      </c>
      <c r="AX21" s="2"/>
      <c r="AY21" s="1090">
        <f t="shared" si="29"/>
        <v>0</v>
      </c>
      <c r="AZ21" s="1385"/>
      <c r="BA21" s="2"/>
    </row>
    <row r="22" spans="1:53" ht="20.25" customHeight="1" x14ac:dyDescent="0.2">
      <c r="A22" s="2"/>
      <c r="B22" s="18">
        <v>15</v>
      </c>
      <c r="C22" s="234">
        <f t="shared" si="30"/>
        <v>15</v>
      </c>
      <c r="D22" s="235">
        <f t="shared" si="8"/>
        <v>10</v>
      </c>
      <c r="E22" s="2159" t="str">
        <f t="shared" si="0"/>
        <v xml:space="preserve">attiva trim.  </v>
      </c>
      <c r="F22" s="2160"/>
      <c r="G22" s="237"/>
      <c r="H22" s="237"/>
      <c r="I22" s="828"/>
      <c r="J22" s="829"/>
      <c r="K22" s="237"/>
      <c r="L22" s="828"/>
      <c r="M22" s="829"/>
      <c r="N22" s="237"/>
      <c r="O22" s="828"/>
      <c r="P22" s="829"/>
      <c r="Q22" s="6"/>
      <c r="R22" s="1053">
        <f t="shared" si="9"/>
        <v>0</v>
      </c>
      <c r="S22" s="1054">
        <f t="shared" si="1"/>
        <v>0</v>
      </c>
      <c r="T22" s="1054">
        <f t="shared" si="10"/>
        <v>0</v>
      </c>
      <c r="U22" s="1055">
        <f t="shared" si="11"/>
        <v>0</v>
      </c>
      <c r="V22" s="231">
        <f t="shared" si="31"/>
        <v>45580</v>
      </c>
      <c r="W22" s="1053">
        <f t="shared" si="2"/>
        <v>0</v>
      </c>
      <c r="X22" s="1054">
        <f t="shared" si="3"/>
        <v>0</v>
      </c>
      <c r="Y22" s="1054">
        <f t="shared" si="4"/>
        <v>0</v>
      </c>
      <c r="Z22" s="1055">
        <f t="shared" si="5"/>
        <v>0</v>
      </c>
      <c r="AA22" s="822">
        <f>VLOOKUP(V22,CASSA!$B$114:$C$479,2,FALSE)</f>
        <v>0</v>
      </c>
      <c r="AB22" s="1053">
        <f t="shared" si="12"/>
        <v>0</v>
      </c>
      <c r="AC22" s="1054">
        <f t="shared" si="13"/>
        <v>0</v>
      </c>
      <c r="AD22" s="1054">
        <f t="shared" si="14"/>
        <v>0</v>
      </c>
      <c r="AE22" s="1055">
        <f t="shared" si="15"/>
        <v>0</v>
      </c>
      <c r="AF22" s="2"/>
      <c r="AG22" s="1090">
        <f t="shared" si="16"/>
        <v>0</v>
      </c>
      <c r="AH22" s="1091">
        <f t="shared" si="17"/>
        <v>0</v>
      </c>
      <c r="AI22" s="1054">
        <f t="shared" si="18"/>
        <v>0</v>
      </c>
      <c r="AJ22" s="1054">
        <f t="shared" si="19"/>
        <v>0</v>
      </c>
      <c r="AK22" s="1092">
        <f t="shared" si="6"/>
        <v>0</v>
      </c>
      <c r="AL22" s="2"/>
      <c r="AM22" s="1090">
        <f t="shared" si="7"/>
        <v>0</v>
      </c>
      <c r="AN22" s="1105">
        <f t="shared" si="20"/>
        <v>0</v>
      </c>
      <c r="AO22" s="1054">
        <f t="shared" si="21"/>
        <v>0</v>
      </c>
      <c r="AP22" s="1054">
        <f t="shared" si="22"/>
        <v>0</v>
      </c>
      <c r="AQ22" s="1092">
        <f t="shared" si="23"/>
        <v>0</v>
      </c>
      <c r="AR22" s="2"/>
      <c r="AS22" s="1090">
        <f t="shared" si="24"/>
        <v>0</v>
      </c>
      <c r="AT22" s="1091">
        <f t="shared" si="25"/>
        <v>0</v>
      </c>
      <c r="AU22" s="1054">
        <f t="shared" si="26"/>
        <v>0</v>
      </c>
      <c r="AV22" s="1054">
        <f t="shared" si="27"/>
        <v>0</v>
      </c>
      <c r="AW22" s="1092">
        <f t="shared" si="28"/>
        <v>0</v>
      </c>
      <c r="AX22" s="2"/>
      <c r="AY22" s="1090">
        <f t="shared" si="29"/>
        <v>0</v>
      </c>
      <c r="AZ22" s="1385"/>
      <c r="BA22" s="2"/>
    </row>
    <row r="23" spans="1:53" ht="20.25" customHeight="1" x14ac:dyDescent="0.2">
      <c r="A23" s="2"/>
      <c r="B23" s="18">
        <v>16</v>
      </c>
      <c r="C23" s="234">
        <f t="shared" si="30"/>
        <v>16</v>
      </c>
      <c r="D23" s="235">
        <f t="shared" si="8"/>
        <v>10</v>
      </c>
      <c r="E23" s="2159" t="str">
        <f t="shared" si="0"/>
        <v xml:space="preserve">attiva trim.  </v>
      </c>
      <c r="F23" s="2160"/>
      <c r="G23" s="237"/>
      <c r="H23" s="237"/>
      <c r="I23" s="828"/>
      <c r="J23" s="829"/>
      <c r="K23" s="237"/>
      <c r="L23" s="828"/>
      <c r="M23" s="829"/>
      <c r="N23" s="237"/>
      <c r="O23" s="828"/>
      <c r="P23" s="829"/>
      <c r="Q23" s="6"/>
      <c r="R23" s="1053">
        <f t="shared" si="9"/>
        <v>0</v>
      </c>
      <c r="S23" s="1054">
        <f t="shared" si="1"/>
        <v>0</v>
      </c>
      <c r="T23" s="1054">
        <f t="shared" si="10"/>
        <v>0</v>
      </c>
      <c r="U23" s="1055">
        <f t="shared" si="11"/>
        <v>0</v>
      </c>
      <c r="V23" s="231">
        <f t="shared" si="31"/>
        <v>45581</v>
      </c>
      <c r="W23" s="1053">
        <f t="shared" si="2"/>
        <v>0</v>
      </c>
      <c r="X23" s="1054">
        <f t="shared" si="3"/>
        <v>0</v>
      </c>
      <c r="Y23" s="1054">
        <f t="shared" si="4"/>
        <v>0</v>
      </c>
      <c r="Z23" s="1055">
        <f t="shared" si="5"/>
        <v>0</v>
      </c>
      <c r="AA23" s="822">
        <f>VLOOKUP(V23,CASSA!$B$114:$C$479,2,FALSE)</f>
        <v>0</v>
      </c>
      <c r="AB23" s="1053">
        <f t="shared" si="12"/>
        <v>0</v>
      </c>
      <c r="AC23" s="1054">
        <f t="shared" si="13"/>
        <v>0</v>
      </c>
      <c r="AD23" s="1054">
        <f t="shared" si="14"/>
        <v>0</v>
      </c>
      <c r="AE23" s="1055">
        <f t="shared" si="15"/>
        <v>0</v>
      </c>
      <c r="AF23" s="2"/>
      <c r="AG23" s="1090">
        <f t="shared" si="16"/>
        <v>0</v>
      </c>
      <c r="AH23" s="1091">
        <f t="shared" si="17"/>
        <v>0</v>
      </c>
      <c r="AI23" s="1054">
        <f t="shared" si="18"/>
        <v>0</v>
      </c>
      <c r="AJ23" s="1054">
        <f t="shared" si="19"/>
        <v>0</v>
      </c>
      <c r="AK23" s="1092">
        <f t="shared" si="6"/>
        <v>0</v>
      </c>
      <c r="AL23" s="2"/>
      <c r="AM23" s="1090">
        <f t="shared" si="7"/>
        <v>0</v>
      </c>
      <c r="AN23" s="1105">
        <f t="shared" si="20"/>
        <v>0</v>
      </c>
      <c r="AO23" s="1054">
        <f t="shared" si="21"/>
        <v>0</v>
      </c>
      <c r="AP23" s="1054">
        <f t="shared" si="22"/>
        <v>0</v>
      </c>
      <c r="AQ23" s="1092">
        <f t="shared" si="23"/>
        <v>0</v>
      </c>
      <c r="AR23" s="2"/>
      <c r="AS23" s="1090">
        <f t="shared" si="24"/>
        <v>0</v>
      </c>
      <c r="AT23" s="1091">
        <f t="shared" si="25"/>
        <v>0</v>
      </c>
      <c r="AU23" s="1054">
        <f t="shared" si="26"/>
        <v>0</v>
      </c>
      <c r="AV23" s="1054">
        <f t="shared" si="27"/>
        <v>0</v>
      </c>
      <c r="AW23" s="1092">
        <f t="shared" si="28"/>
        <v>0</v>
      </c>
      <c r="AX23" s="2"/>
      <c r="AY23" s="1090">
        <f t="shared" si="29"/>
        <v>0</v>
      </c>
      <c r="AZ23" s="1385"/>
      <c r="BA23" s="2"/>
    </row>
    <row r="24" spans="1:53" ht="20.25" customHeight="1" x14ac:dyDescent="0.2">
      <c r="A24" s="2"/>
      <c r="B24" s="18">
        <v>17</v>
      </c>
      <c r="C24" s="234">
        <f t="shared" si="30"/>
        <v>17</v>
      </c>
      <c r="D24" s="235">
        <f t="shared" si="8"/>
        <v>10</v>
      </c>
      <c r="E24" s="2159" t="str">
        <f t="shared" si="0"/>
        <v xml:space="preserve">attiva trim.  </v>
      </c>
      <c r="F24" s="2160"/>
      <c r="G24" s="237"/>
      <c r="H24" s="237"/>
      <c r="I24" s="828"/>
      <c r="J24" s="829"/>
      <c r="K24" s="237"/>
      <c r="L24" s="828"/>
      <c r="M24" s="829"/>
      <c r="N24" s="237"/>
      <c r="O24" s="828"/>
      <c r="P24" s="829"/>
      <c r="Q24" s="6"/>
      <c r="R24" s="1053">
        <f t="shared" si="9"/>
        <v>0</v>
      </c>
      <c r="S24" s="1054">
        <f t="shared" si="1"/>
        <v>0</v>
      </c>
      <c r="T24" s="1054">
        <f t="shared" si="10"/>
        <v>0</v>
      </c>
      <c r="U24" s="1055">
        <f t="shared" si="11"/>
        <v>0</v>
      </c>
      <c r="V24" s="231">
        <f t="shared" si="31"/>
        <v>45582</v>
      </c>
      <c r="W24" s="1053">
        <f t="shared" si="2"/>
        <v>0</v>
      </c>
      <c r="X24" s="1054">
        <f t="shared" si="3"/>
        <v>0</v>
      </c>
      <c r="Y24" s="1054">
        <f t="shared" si="4"/>
        <v>0</v>
      </c>
      <c r="Z24" s="1055">
        <f t="shared" si="5"/>
        <v>0</v>
      </c>
      <c r="AA24" s="822">
        <f>VLOOKUP(V24,CASSA!$B$114:$C$479,2,FALSE)</f>
        <v>0</v>
      </c>
      <c r="AB24" s="1053">
        <f t="shared" si="12"/>
        <v>0</v>
      </c>
      <c r="AC24" s="1054">
        <f t="shared" si="13"/>
        <v>0</v>
      </c>
      <c r="AD24" s="1054">
        <f t="shared" si="14"/>
        <v>0</v>
      </c>
      <c r="AE24" s="1055">
        <f t="shared" si="15"/>
        <v>0</v>
      </c>
      <c r="AF24" s="2"/>
      <c r="AG24" s="1090">
        <f t="shared" si="16"/>
        <v>0</v>
      </c>
      <c r="AH24" s="1091">
        <f t="shared" si="17"/>
        <v>0</v>
      </c>
      <c r="AI24" s="1054">
        <f t="shared" si="18"/>
        <v>0</v>
      </c>
      <c r="AJ24" s="1054">
        <f t="shared" si="19"/>
        <v>0</v>
      </c>
      <c r="AK24" s="1092">
        <f t="shared" si="6"/>
        <v>0</v>
      </c>
      <c r="AL24" s="2"/>
      <c r="AM24" s="1090">
        <f t="shared" si="7"/>
        <v>0</v>
      </c>
      <c r="AN24" s="1105">
        <f t="shared" si="20"/>
        <v>0</v>
      </c>
      <c r="AO24" s="1054">
        <f t="shared" si="21"/>
        <v>0</v>
      </c>
      <c r="AP24" s="1054">
        <f t="shared" si="22"/>
        <v>0</v>
      </c>
      <c r="AQ24" s="1092">
        <f t="shared" si="23"/>
        <v>0</v>
      </c>
      <c r="AR24" s="2"/>
      <c r="AS24" s="1090">
        <f t="shared" si="24"/>
        <v>0</v>
      </c>
      <c r="AT24" s="1091">
        <f t="shared" si="25"/>
        <v>0</v>
      </c>
      <c r="AU24" s="1054">
        <f t="shared" si="26"/>
        <v>0</v>
      </c>
      <c r="AV24" s="1054">
        <f t="shared" si="27"/>
        <v>0</v>
      </c>
      <c r="AW24" s="1092">
        <f t="shared" si="28"/>
        <v>0</v>
      </c>
      <c r="AX24" s="2"/>
      <c r="AY24" s="1090">
        <f t="shared" si="29"/>
        <v>0</v>
      </c>
      <c r="AZ24" s="1385"/>
      <c r="BA24" s="2"/>
    </row>
    <row r="25" spans="1:53" ht="20.25" customHeight="1" x14ac:dyDescent="0.2">
      <c r="A25" s="2"/>
      <c r="B25" s="18">
        <v>18</v>
      </c>
      <c r="C25" s="234">
        <f t="shared" si="30"/>
        <v>18</v>
      </c>
      <c r="D25" s="235">
        <f t="shared" si="8"/>
        <v>10</v>
      </c>
      <c r="E25" s="2159" t="str">
        <f t="shared" si="0"/>
        <v xml:space="preserve">attiva trim.  </v>
      </c>
      <c r="F25" s="2160"/>
      <c r="G25" s="237"/>
      <c r="H25" s="237"/>
      <c r="I25" s="828"/>
      <c r="J25" s="829"/>
      <c r="K25" s="237"/>
      <c r="L25" s="828"/>
      <c r="M25" s="829"/>
      <c r="N25" s="237"/>
      <c r="O25" s="828"/>
      <c r="P25" s="829"/>
      <c r="Q25" s="6"/>
      <c r="R25" s="1053">
        <f t="shared" si="9"/>
        <v>0</v>
      </c>
      <c r="S25" s="1054">
        <f t="shared" si="1"/>
        <v>0</v>
      </c>
      <c r="T25" s="1054">
        <f t="shared" si="10"/>
        <v>0</v>
      </c>
      <c r="U25" s="1055">
        <f t="shared" si="11"/>
        <v>0</v>
      </c>
      <c r="V25" s="231">
        <f t="shared" si="31"/>
        <v>45583</v>
      </c>
      <c r="W25" s="1053">
        <f t="shared" si="2"/>
        <v>0</v>
      </c>
      <c r="X25" s="1054">
        <f t="shared" si="3"/>
        <v>0</v>
      </c>
      <c r="Y25" s="1054">
        <f t="shared" si="4"/>
        <v>0</v>
      </c>
      <c r="Z25" s="1055">
        <f t="shared" si="5"/>
        <v>0</v>
      </c>
      <c r="AA25" s="822">
        <f>VLOOKUP(V25,CASSA!$B$114:$C$479,2,FALSE)</f>
        <v>0</v>
      </c>
      <c r="AB25" s="1053">
        <f t="shared" si="12"/>
        <v>0</v>
      </c>
      <c r="AC25" s="1054">
        <f t="shared" si="13"/>
        <v>0</v>
      </c>
      <c r="AD25" s="1054">
        <f t="shared" si="14"/>
        <v>0</v>
      </c>
      <c r="AE25" s="1055">
        <f t="shared" si="15"/>
        <v>0</v>
      </c>
      <c r="AF25" s="2"/>
      <c r="AG25" s="1090">
        <f t="shared" si="16"/>
        <v>0</v>
      </c>
      <c r="AH25" s="1091">
        <f t="shared" si="17"/>
        <v>0</v>
      </c>
      <c r="AI25" s="1054">
        <f t="shared" si="18"/>
        <v>0</v>
      </c>
      <c r="AJ25" s="1054">
        <f t="shared" si="19"/>
        <v>0</v>
      </c>
      <c r="AK25" s="1092">
        <f t="shared" si="6"/>
        <v>0</v>
      </c>
      <c r="AL25" s="2"/>
      <c r="AM25" s="1090">
        <f t="shared" si="7"/>
        <v>0</v>
      </c>
      <c r="AN25" s="1105">
        <f t="shared" si="20"/>
        <v>0</v>
      </c>
      <c r="AO25" s="1054">
        <f t="shared" si="21"/>
        <v>0</v>
      </c>
      <c r="AP25" s="1054">
        <f t="shared" si="22"/>
        <v>0</v>
      </c>
      <c r="AQ25" s="1092">
        <f t="shared" si="23"/>
        <v>0</v>
      </c>
      <c r="AR25" s="2"/>
      <c r="AS25" s="1090">
        <f t="shared" si="24"/>
        <v>0</v>
      </c>
      <c r="AT25" s="1091">
        <f t="shared" si="25"/>
        <v>0</v>
      </c>
      <c r="AU25" s="1054">
        <f t="shared" si="26"/>
        <v>0</v>
      </c>
      <c r="AV25" s="1054">
        <f t="shared" si="27"/>
        <v>0</v>
      </c>
      <c r="AW25" s="1092">
        <f t="shared" si="28"/>
        <v>0</v>
      </c>
      <c r="AX25" s="2"/>
      <c r="AY25" s="1090">
        <f t="shared" si="29"/>
        <v>0</v>
      </c>
      <c r="AZ25" s="1385"/>
      <c r="BA25" s="2"/>
    </row>
    <row r="26" spans="1:53" ht="20.25" customHeight="1" x14ac:dyDescent="0.2">
      <c r="A26" s="2"/>
      <c r="B26" s="18">
        <v>19</v>
      </c>
      <c r="C26" s="234">
        <f t="shared" si="30"/>
        <v>19</v>
      </c>
      <c r="D26" s="235">
        <f t="shared" si="8"/>
        <v>10</v>
      </c>
      <c r="E26" s="2159" t="str">
        <f t="shared" si="0"/>
        <v xml:space="preserve">attiva trim.  </v>
      </c>
      <c r="F26" s="2160"/>
      <c r="G26" s="237"/>
      <c r="H26" s="237"/>
      <c r="I26" s="828"/>
      <c r="J26" s="829"/>
      <c r="K26" s="237"/>
      <c r="L26" s="828"/>
      <c r="M26" s="829"/>
      <c r="N26" s="237"/>
      <c r="O26" s="828"/>
      <c r="P26" s="829"/>
      <c r="Q26" s="6"/>
      <c r="R26" s="1053">
        <f t="shared" si="9"/>
        <v>0</v>
      </c>
      <c r="S26" s="1054">
        <f t="shared" si="1"/>
        <v>0</v>
      </c>
      <c r="T26" s="1054">
        <f t="shared" si="10"/>
        <v>0</v>
      </c>
      <c r="U26" s="1055">
        <f t="shared" si="11"/>
        <v>0</v>
      </c>
      <c r="V26" s="231">
        <f t="shared" si="31"/>
        <v>45584</v>
      </c>
      <c r="W26" s="1053">
        <f t="shared" si="2"/>
        <v>0</v>
      </c>
      <c r="X26" s="1054">
        <f t="shared" si="3"/>
        <v>0</v>
      </c>
      <c r="Y26" s="1054">
        <f t="shared" si="4"/>
        <v>0</v>
      </c>
      <c r="Z26" s="1055">
        <f t="shared" si="5"/>
        <v>0</v>
      </c>
      <c r="AA26" s="822">
        <f>VLOOKUP(V26,CASSA!$B$114:$C$479,2,FALSE)</f>
        <v>0</v>
      </c>
      <c r="AB26" s="1053">
        <f t="shared" si="12"/>
        <v>0</v>
      </c>
      <c r="AC26" s="1054">
        <f t="shared" si="13"/>
        <v>0</v>
      </c>
      <c r="AD26" s="1054">
        <f t="shared" si="14"/>
        <v>0</v>
      </c>
      <c r="AE26" s="1055">
        <f t="shared" si="15"/>
        <v>0</v>
      </c>
      <c r="AF26" s="2"/>
      <c r="AG26" s="1090">
        <f t="shared" si="16"/>
        <v>0</v>
      </c>
      <c r="AH26" s="1091">
        <f t="shared" si="17"/>
        <v>0</v>
      </c>
      <c r="AI26" s="1054">
        <f t="shared" si="18"/>
        <v>0</v>
      </c>
      <c r="AJ26" s="1054">
        <f t="shared" si="19"/>
        <v>0</v>
      </c>
      <c r="AK26" s="1092">
        <f t="shared" si="6"/>
        <v>0</v>
      </c>
      <c r="AL26" s="2"/>
      <c r="AM26" s="1090">
        <f t="shared" si="7"/>
        <v>0</v>
      </c>
      <c r="AN26" s="1105">
        <f t="shared" si="20"/>
        <v>0</v>
      </c>
      <c r="AO26" s="1054">
        <f t="shared" si="21"/>
        <v>0</v>
      </c>
      <c r="AP26" s="1054">
        <f t="shared" si="22"/>
        <v>0</v>
      </c>
      <c r="AQ26" s="1092">
        <f t="shared" si="23"/>
        <v>0</v>
      </c>
      <c r="AR26" s="2"/>
      <c r="AS26" s="1090">
        <f t="shared" si="24"/>
        <v>0</v>
      </c>
      <c r="AT26" s="1091">
        <f t="shared" si="25"/>
        <v>0</v>
      </c>
      <c r="AU26" s="1054">
        <f t="shared" si="26"/>
        <v>0</v>
      </c>
      <c r="AV26" s="1054">
        <f t="shared" si="27"/>
        <v>0</v>
      </c>
      <c r="AW26" s="1092">
        <f t="shared" si="28"/>
        <v>0</v>
      </c>
      <c r="AX26" s="2"/>
      <c r="AY26" s="1090">
        <f t="shared" si="29"/>
        <v>0</v>
      </c>
      <c r="AZ26" s="1385"/>
      <c r="BA26" s="2"/>
    </row>
    <row r="27" spans="1:53" ht="20.25" customHeight="1" x14ac:dyDescent="0.2">
      <c r="A27" s="2"/>
      <c r="B27" s="18">
        <v>20</v>
      </c>
      <c r="C27" s="234">
        <f t="shared" si="30"/>
        <v>20</v>
      </c>
      <c r="D27" s="235">
        <f t="shared" si="8"/>
        <v>10</v>
      </c>
      <c r="E27" s="2159" t="str">
        <f t="shared" si="0"/>
        <v xml:space="preserve">attiva trim.  </v>
      </c>
      <c r="F27" s="2160"/>
      <c r="G27" s="237"/>
      <c r="H27" s="237"/>
      <c r="I27" s="828"/>
      <c r="J27" s="829"/>
      <c r="K27" s="237"/>
      <c r="L27" s="828"/>
      <c r="M27" s="829"/>
      <c r="N27" s="237"/>
      <c r="O27" s="828"/>
      <c r="P27" s="829"/>
      <c r="Q27" s="6"/>
      <c r="R27" s="1053">
        <f t="shared" si="9"/>
        <v>0</v>
      </c>
      <c r="S27" s="1054">
        <f t="shared" si="1"/>
        <v>0</v>
      </c>
      <c r="T27" s="1054">
        <f t="shared" si="10"/>
        <v>0</v>
      </c>
      <c r="U27" s="1055">
        <f t="shared" si="11"/>
        <v>0</v>
      </c>
      <c r="V27" s="231">
        <f t="shared" si="31"/>
        <v>45585</v>
      </c>
      <c r="W27" s="1053">
        <f t="shared" si="2"/>
        <v>0</v>
      </c>
      <c r="X27" s="1054">
        <f t="shared" si="3"/>
        <v>0</v>
      </c>
      <c r="Y27" s="1054">
        <f t="shared" si="4"/>
        <v>0</v>
      </c>
      <c r="Z27" s="1055">
        <f t="shared" si="5"/>
        <v>0</v>
      </c>
      <c r="AA27" s="822">
        <f>VLOOKUP(V27,CASSA!$B$114:$C$479,2,FALSE)</f>
        <v>0</v>
      </c>
      <c r="AB27" s="1053">
        <f t="shared" si="12"/>
        <v>0</v>
      </c>
      <c r="AC27" s="1054">
        <f t="shared" si="13"/>
        <v>0</v>
      </c>
      <c r="AD27" s="1054">
        <f t="shared" si="14"/>
        <v>0</v>
      </c>
      <c r="AE27" s="1055">
        <f t="shared" si="15"/>
        <v>0</v>
      </c>
      <c r="AF27" s="2"/>
      <c r="AG27" s="1090">
        <f t="shared" si="16"/>
        <v>0</v>
      </c>
      <c r="AH27" s="1091">
        <f t="shared" si="17"/>
        <v>0</v>
      </c>
      <c r="AI27" s="1054">
        <f t="shared" si="18"/>
        <v>0</v>
      </c>
      <c r="AJ27" s="1054">
        <f t="shared" si="19"/>
        <v>0</v>
      </c>
      <c r="AK27" s="1092">
        <f t="shared" si="6"/>
        <v>0</v>
      </c>
      <c r="AL27" s="2"/>
      <c r="AM27" s="1090">
        <f t="shared" si="7"/>
        <v>0</v>
      </c>
      <c r="AN27" s="1105">
        <f t="shared" si="20"/>
        <v>0</v>
      </c>
      <c r="AO27" s="1054">
        <f t="shared" si="21"/>
        <v>0</v>
      </c>
      <c r="AP27" s="1054">
        <f t="shared" si="22"/>
        <v>0</v>
      </c>
      <c r="AQ27" s="1092">
        <f t="shared" si="23"/>
        <v>0</v>
      </c>
      <c r="AR27" s="2"/>
      <c r="AS27" s="1090">
        <f t="shared" si="24"/>
        <v>0</v>
      </c>
      <c r="AT27" s="1091">
        <f t="shared" si="25"/>
        <v>0</v>
      </c>
      <c r="AU27" s="1054">
        <f t="shared" si="26"/>
        <v>0</v>
      </c>
      <c r="AV27" s="1054">
        <f t="shared" si="27"/>
        <v>0</v>
      </c>
      <c r="AW27" s="1092">
        <f t="shared" si="28"/>
        <v>0</v>
      </c>
      <c r="AX27" s="2"/>
      <c r="AY27" s="1090">
        <f t="shared" si="29"/>
        <v>0</v>
      </c>
      <c r="AZ27" s="1385"/>
      <c r="BA27" s="2"/>
    </row>
    <row r="28" spans="1:53" ht="20.25" customHeight="1" x14ac:dyDescent="0.2">
      <c r="A28" s="2"/>
      <c r="B28" s="18">
        <v>21</v>
      </c>
      <c r="C28" s="234">
        <f t="shared" si="30"/>
        <v>21</v>
      </c>
      <c r="D28" s="235">
        <f t="shared" si="8"/>
        <v>10</v>
      </c>
      <c r="E28" s="2159" t="str">
        <f t="shared" si="0"/>
        <v xml:space="preserve">attiva trim.  </v>
      </c>
      <c r="F28" s="2160"/>
      <c r="G28" s="237"/>
      <c r="H28" s="237"/>
      <c r="I28" s="828"/>
      <c r="J28" s="829"/>
      <c r="K28" s="237"/>
      <c r="L28" s="828"/>
      <c r="M28" s="829"/>
      <c r="N28" s="237"/>
      <c r="O28" s="828"/>
      <c r="P28" s="829"/>
      <c r="Q28" s="6"/>
      <c r="R28" s="1053">
        <f t="shared" si="9"/>
        <v>0</v>
      </c>
      <c r="S28" s="1054">
        <f t="shared" si="1"/>
        <v>0</v>
      </c>
      <c r="T28" s="1054">
        <f t="shared" si="10"/>
        <v>0</v>
      </c>
      <c r="U28" s="1055">
        <f t="shared" si="11"/>
        <v>0</v>
      </c>
      <c r="V28" s="231">
        <f t="shared" si="31"/>
        <v>45586</v>
      </c>
      <c r="W28" s="1053">
        <f t="shared" si="2"/>
        <v>0</v>
      </c>
      <c r="X28" s="1054">
        <f t="shared" si="3"/>
        <v>0</v>
      </c>
      <c r="Y28" s="1054">
        <f t="shared" si="4"/>
        <v>0</v>
      </c>
      <c r="Z28" s="1055">
        <f t="shared" si="5"/>
        <v>0</v>
      </c>
      <c r="AA28" s="822">
        <f>VLOOKUP(V28,CASSA!$B$114:$C$479,2,FALSE)</f>
        <v>0</v>
      </c>
      <c r="AB28" s="1053">
        <f t="shared" si="12"/>
        <v>0</v>
      </c>
      <c r="AC28" s="1054">
        <f t="shared" si="13"/>
        <v>0</v>
      </c>
      <c r="AD28" s="1054">
        <f t="shared" si="14"/>
        <v>0</v>
      </c>
      <c r="AE28" s="1055">
        <f t="shared" si="15"/>
        <v>0</v>
      </c>
      <c r="AF28" s="2"/>
      <c r="AG28" s="1090">
        <f t="shared" si="16"/>
        <v>0</v>
      </c>
      <c r="AH28" s="1091">
        <f t="shared" si="17"/>
        <v>0</v>
      </c>
      <c r="AI28" s="1054">
        <f t="shared" si="18"/>
        <v>0</v>
      </c>
      <c r="AJ28" s="1054">
        <f t="shared" si="19"/>
        <v>0</v>
      </c>
      <c r="AK28" s="1092">
        <f t="shared" si="6"/>
        <v>0</v>
      </c>
      <c r="AL28" s="2"/>
      <c r="AM28" s="1090">
        <f t="shared" si="7"/>
        <v>0</v>
      </c>
      <c r="AN28" s="1105">
        <f t="shared" si="20"/>
        <v>0</v>
      </c>
      <c r="AO28" s="1054">
        <f t="shared" si="21"/>
        <v>0</v>
      </c>
      <c r="AP28" s="1054">
        <f t="shared" si="22"/>
        <v>0</v>
      </c>
      <c r="AQ28" s="1092">
        <f t="shared" si="23"/>
        <v>0</v>
      </c>
      <c r="AR28" s="2"/>
      <c r="AS28" s="1090">
        <f t="shared" si="24"/>
        <v>0</v>
      </c>
      <c r="AT28" s="1091">
        <f t="shared" si="25"/>
        <v>0</v>
      </c>
      <c r="AU28" s="1054">
        <f t="shared" si="26"/>
        <v>0</v>
      </c>
      <c r="AV28" s="1054">
        <f t="shared" si="27"/>
        <v>0</v>
      </c>
      <c r="AW28" s="1092">
        <f t="shared" si="28"/>
        <v>0</v>
      </c>
      <c r="AX28" s="2"/>
      <c r="AY28" s="1090">
        <f t="shared" si="29"/>
        <v>0</v>
      </c>
      <c r="AZ28" s="1385"/>
      <c r="BA28" s="2"/>
    </row>
    <row r="29" spans="1:53" ht="20.25" customHeight="1" x14ac:dyDescent="0.2">
      <c r="A29" s="2"/>
      <c r="B29" s="18">
        <v>22</v>
      </c>
      <c r="C29" s="234">
        <f t="shared" si="30"/>
        <v>22</v>
      </c>
      <c r="D29" s="235">
        <f t="shared" si="8"/>
        <v>10</v>
      </c>
      <c r="E29" s="2159" t="str">
        <f t="shared" si="0"/>
        <v xml:space="preserve">attiva trim.  </v>
      </c>
      <c r="F29" s="2160"/>
      <c r="G29" s="237"/>
      <c r="H29" s="237"/>
      <c r="I29" s="828"/>
      <c r="J29" s="829"/>
      <c r="K29" s="237"/>
      <c r="L29" s="828"/>
      <c r="M29" s="829"/>
      <c r="N29" s="237"/>
      <c r="O29" s="828"/>
      <c r="P29" s="829"/>
      <c r="Q29" s="6"/>
      <c r="R29" s="1053">
        <f t="shared" si="9"/>
        <v>0</v>
      </c>
      <c r="S29" s="1054">
        <f t="shared" si="1"/>
        <v>0</v>
      </c>
      <c r="T29" s="1054">
        <f t="shared" si="10"/>
        <v>0</v>
      </c>
      <c r="U29" s="1055">
        <f t="shared" si="11"/>
        <v>0</v>
      </c>
      <c r="V29" s="231">
        <f t="shared" si="31"/>
        <v>45587</v>
      </c>
      <c r="W29" s="1053">
        <f t="shared" si="2"/>
        <v>0</v>
      </c>
      <c r="X29" s="1054">
        <f t="shared" si="3"/>
        <v>0</v>
      </c>
      <c r="Y29" s="1054">
        <f t="shared" si="4"/>
        <v>0</v>
      </c>
      <c r="Z29" s="1055">
        <f t="shared" si="5"/>
        <v>0</v>
      </c>
      <c r="AA29" s="822">
        <f>VLOOKUP(V29,CASSA!$B$114:$C$479,2,FALSE)</f>
        <v>0</v>
      </c>
      <c r="AB29" s="1053">
        <f t="shared" si="12"/>
        <v>0</v>
      </c>
      <c r="AC29" s="1054">
        <f t="shared" si="13"/>
        <v>0</v>
      </c>
      <c r="AD29" s="1054">
        <f t="shared" si="14"/>
        <v>0</v>
      </c>
      <c r="AE29" s="1055">
        <f t="shared" si="15"/>
        <v>0</v>
      </c>
      <c r="AF29" s="2"/>
      <c r="AG29" s="1090">
        <f t="shared" si="16"/>
        <v>0</v>
      </c>
      <c r="AH29" s="1091">
        <f t="shared" si="17"/>
        <v>0</v>
      </c>
      <c r="AI29" s="1054">
        <f t="shared" si="18"/>
        <v>0</v>
      </c>
      <c r="AJ29" s="1054">
        <f t="shared" si="19"/>
        <v>0</v>
      </c>
      <c r="AK29" s="1092">
        <f t="shared" si="6"/>
        <v>0</v>
      </c>
      <c r="AL29" s="2"/>
      <c r="AM29" s="1090">
        <f t="shared" si="7"/>
        <v>0</v>
      </c>
      <c r="AN29" s="1105">
        <f t="shared" si="20"/>
        <v>0</v>
      </c>
      <c r="AO29" s="1054">
        <f t="shared" si="21"/>
        <v>0</v>
      </c>
      <c r="AP29" s="1054">
        <f t="shared" si="22"/>
        <v>0</v>
      </c>
      <c r="AQ29" s="1092">
        <f t="shared" si="23"/>
        <v>0</v>
      </c>
      <c r="AR29" s="2"/>
      <c r="AS29" s="1090">
        <f t="shared" si="24"/>
        <v>0</v>
      </c>
      <c r="AT29" s="1091">
        <f t="shared" si="25"/>
        <v>0</v>
      </c>
      <c r="AU29" s="1054">
        <f t="shared" si="26"/>
        <v>0</v>
      </c>
      <c r="AV29" s="1054">
        <f t="shared" si="27"/>
        <v>0</v>
      </c>
      <c r="AW29" s="1092">
        <f t="shared" si="28"/>
        <v>0</v>
      </c>
      <c r="AX29" s="2"/>
      <c r="AY29" s="1090">
        <f t="shared" si="29"/>
        <v>0</v>
      </c>
      <c r="AZ29" s="1385"/>
      <c r="BA29" s="2"/>
    </row>
    <row r="30" spans="1:53" ht="20.25" customHeight="1" x14ac:dyDescent="0.2">
      <c r="A30" s="2"/>
      <c r="B30" s="18">
        <v>23</v>
      </c>
      <c r="C30" s="234">
        <f t="shared" si="30"/>
        <v>23</v>
      </c>
      <c r="D30" s="235">
        <f t="shared" si="8"/>
        <v>10</v>
      </c>
      <c r="E30" s="2159" t="str">
        <f t="shared" si="0"/>
        <v xml:space="preserve">attiva trim.  </v>
      </c>
      <c r="F30" s="2160"/>
      <c r="G30" s="237"/>
      <c r="H30" s="237"/>
      <c r="I30" s="828"/>
      <c r="J30" s="829"/>
      <c r="K30" s="237"/>
      <c r="L30" s="828"/>
      <c r="M30" s="829"/>
      <c r="N30" s="237"/>
      <c r="O30" s="828"/>
      <c r="P30" s="829"/>
      <c r="Q30" s="6"/>
      <c r="R30" s="1053">
        <f t="shared" si="9"/>
        <v>0</v>
      </c>
      <c r="S30" s="1054">
        <f t="shared" si="1"/>
        <v>0</v>
      </c>
      <c r="T30" s="1054">
        <f t="shared" si="10"/>
        <v>0</v>
      </c>
      <c r="U30" s="1055">
        <f t="shared" si="11"/>
        <v>0</v>
      </c>
      <c r="V30" s="231">
        <f t="shared" si="31"/>
        <v>45588</v>
      </c>
      <c r="W30" s="1053">
        <f t="shared" si="2"/>
        <v>0</v>
      </c>
      <c r="X30" s="1054">
        <f t="shared" si="3"/>
        <v>0</v>
      </c>
      <c r="Y30" s="1054">
        <f t="shared" si="4"/>
        <v>0</v>
      </c>
      <c r="Z30" s="1055">
        <f t="shared" si="5"/>
        <v>0</v>
      </c>
      <c r="AA30" s="822">
        <f>VLOOKUP(V30,CASSA!$B$114:$C$479,2,FALSE)</f>
        <v>0</v>
      </c>
      <c r="AB30" s="1053">
        <f t="shared" si="12"/>
        <v>0</v>
      </c>
      <c r="AC30" s="1054">
        <f t="shared" si="13"/>
        <v>0</v>
      </c>
      <c r="AD30" s="1054">
        <f t="shared" si="14"/>
        <v>0</v>
      </c>
      <c r="AE30" s="1055">
        <f t="shared" si="15"/>
        <v>0</v>
      </c>
      <c r="AF30" s="2"/>
      <c r="AG30" s="1090">
        <f t="shared" si="16"/>
        <v>0</v>
      </c>
      <c r="AH30" s="1091">
        <f t="shared" si="17"/>
        <v>0</v>
      </c>
      <c r="AI30" s="1054">
        <f t="shared" si="18"/>
        <v>0</v>
      </c>
      <c r="AJ30" s="1054">
        <f t="shared" si="19"/>
        <v>0</v>
      </c>
      <c r="AK30" s="1092">
        <f t="shared" si="6"/>
        <v>0</v>
      </c>
      <c r="AL30" s="2"/>
      <c r="AM30" s="1090">
        <f t="shared" si="7"/>
        <v>0</v>
      </c>
      <c r="AN30" s="1105">
        <f t="shared" si="20"/>
        <v>0</v>
      </c>
      <c r="AO30" s="1054">
        <f t="shared" si="21"/>
        <v>0</v>
      </c>
      <c r="AP30" s="1054">
        <f t="shared" si="22"/>
        <v>0</v>
      </c>
      <c r="AQ30" s="1092">
        <f t="shared" si="23"/>
        <v>0</v>
      </c>
      <c r="AR30" s="2"/>
      <c r="AS30" s="1090">
        <f t="shared" si="24"/>
        <v>0</v>
      </c>
      <c r="AT30" s="1091">
        <f t="shared" si="25"/>
        <v>0</v>
      </c>
      <c r="AU30" s="1054">
        <f t="shared" si="26"/>
        <v>0</v>
      </c>
      <c r="AV30" s="1054">
        <f t="shared" si="27"/>
        <v>0</v>
      </c>
      <c r="AW30" s="1092">
        <f t="shared" si="28"/>
        <v>0</v>
      </c>
      <c r="AX30" s="2"/>
      <c r="AY30" s="1090">
        <f t="shared" si="29"/>
        <v>0</v>
      </c>
      <c r="AZ30" s="1385"/>
      <c r="BA30" s="2"/>
    </row>
    <row r="31" spans="1:53" ht="20.25" customHeight="1" x14ac:dyDescent="0.2">
      <c r="A31" s="2"/>
      <c r="B31" s="18">
        <v>24</v>
      </c>
      <c r="C31" s="234">
        <f t="shared" si="30"/>
        <v>24</v>
      </c>
      <c r="D31" s="235">
        <f t="shared" si="8"/>
        <v>10</v>
      </c>
      <c r="E31" s="2159" t="str">
        <f t="shared" si="0"/>
        <v xml:space="preserve">attiva trim.  </v>
      </c>
      <c r="F31" s="2160"/>
      <c r="G31" s="237"/>
      <c r="H31" s="237"/>
      <c r="I31" s="828"/>
      <c r="J31" s="829"/>
      <c r="K31" s="237"/>
      <c r="L31" s="828"/>
      <c r="M31" s="829"/>
      <c r="N31" s="237"/>
      <c r="O31" s="828"/>
      <c r="P31" s="829"/>
      <c r="Q31" s="6"/>
      <c r="R31" s="1053">
        <f t="shared" si="9"/>
        <v>0</v>
      </c>
      <c r="S31" s="1054">
        <f t="shared" si="1"/>
        <v>0</v>
      </c>
      <c r="T31" s="1054">
        <f t="shared" si="10"/>
        <v>0</v>
      </c>
      <c r="U31" s="1055">
        <f t="shared" si="11"/>
        <v>0</v>
      </c>
      <c r="V31" s="231">
        <f t="shared" si="31"/>
        <v>45589</v>
      </c>
      <c r="W31" s="1053">
        <f t="shared" si="2"/>
        <v>0</v>
      </c>
      <c r="X31" s="1054">
        <f t="shared" si="3"/>
        <v>0</v>
      </c>
      <c r="Y31" s="1054">
        <f t="shared" si="4"/>
        <v>0</v>
      </c>
      <c r="Z31" s="1055">
        <f t="shared" si="5"/>
        <v>0</v>
      </c>
      <c r="AA31" s="822">
        <f>VLOOKUP(V31,CASSA!$B$114:$C$479,2,FALSE)</f>
        <v>0</v>
      </c>
      <c r="AB31" s="1053">
        <f t="shared" si="12"/>
        <v>0</v>
      </c>
      <c r="AC31" s="1054">
        <f t="shared" si="13"/>
        <v>0</v>
      </c>
      <c r="AD31" s="1054">
        <f t="shared" si="14"/>
        <v>0</v>
      </c>
      <c r="AE31" s="1055">
        <f t="shared" si="15"/>
        <v>0</v>
      </c>
      <c r="AF31" s="2"/>
      <c r="AG31" s="1090">
        <f t="shared" si="16"/>
        <v>0</v>
      </c>
      <c r="AH31" s="1091">
        <f t="shared" si="17"/>
        <v>0</v>
      </c>
      <c r="AI31" s="1054">
        <f t="shared" si="18"/>
        <v>0</v>
      </c>
      <c r="AJ31" s="1054">
        <f t="shared" si="19"/>
        <v>0</v>
      </c>
      <c r="AK31" s="1092">
        <f t="shared" si="6"/>
        <v>0</v>
      </c>
      <c r="AL31" s="2"/>
      <c r="AM31" s="1090">
        <f t="shared" si="7"/>
        <v>0</v>
      </c>
      <c r="AN31" s="1105">
        <f t="shared" si="20"/>
        <v>0</v>
      </c>
      <c r="AO31" s="1054">
        <f t="shared" si="21"/>
        <v>0</v>
      </c>
      <c r="AP31" s="1054">
        <f t="shared" si="22"/>
        <v>0</v>
      </c>
      <c r="AQ31" s="1092">
        <f t="shared" si="23"/>
        <v>0</v>
      </c>
      <c r="AR31" s="2"/>
      <c r="AS31" s="1090">
        <f t="shared" si="24"/>
        <v>0</v>
      </c>
      <c r="AT31" s="1091">
        <f t="shared" si="25"/>
        <v>0</v>
      </c>
      <c r="AU31" s="1054">
        <f t="shared" si="26"/>
        <v>0</v>
      </c>
      <c r="AV31" s="1054">
        <f t="shared" si="27"/>
        <v>0</v>
      </c>
      <c r="AW31" s="1092">
        <f t="shared" si="28"/>
        <v>0</v>
      </c>
      <c r="AX31" s="2"/>
      <c r="AY31" s="1090">
        <f t="shared" si="29"/>
        <v>0</v>
      </c>
      <c r="AZ31" s="1385"/>
      <c r="BA31" s="2"/>
    </row>
    <row r="32" spans="1:53" ht="20.25" customHeight="1" x14ac:dyDescent="0.2">
      <c r="A32" s="2"/>
      <c r="B32" s="18">
        <v>25</v>
      </c>
      <c r="C32" s="234">
        <f t="shared" si="30"/>
        <v>25</v>
      </c>
      <c r="D32" s="235">
        <f t="shared" si="8"/>
        <v>10</v>
      </c>
      <c r="E32" s="2159" t="str">
        <f t="shared" si="0"/>
        <v xml:space="preserve">attiva trim.  </v>
      </c>
      <c r="F32" s="2160"/>
      <c r="G32" s="237"/>
      <c r="H32" s="237"/>
      <c r="I32" s="828"/>
      <c r="J32" s="829"/>
      <c r="K32" s="237"/>
      <c r="L32" s="828"/>
      <c r="M32" s="829"/>
      <c r="N32" s="237"/>
      <c r="O32" s="828"/>
      <c r="P32" s="829"/>
      <c r="Q32" s="6"/>
      <c r="R32" s="1053">
        <f t="shared" si="9"/>
        <v>0</v>
      </c>
      <c r="S32" s="1054">
        <f t="shared" si="1"/>
        <v>0</v>
      </c>
      <c r="T32" s="1054">
        <f t="shared" si="10"/>
        <v>0</v>
      </c>
      <c r="U32" s="1055">
        <f t="shared" si="11"/>
        <v>0</v>
      </c>
      <c r="V32" s="231">
        <f t="shared" si="31"/>
        <v>45590</v>
      </c>
      <c r="W32" s="1053">
        <f t="shared" si="2"/>
        <v>0</v>
      </c>
      <c r="X32" s="1054">
        <f t="shared" si="3"/>
        <v>0</v>
      </c>
      <c r="Y32" s="1054">
        <f t="shared" si="4"/>
        <v>0</v>
      </c>
      <c r="Z32" s="1055">
        <f t="shared" si="5"/>
        <v>0</v>
      </c>
      <c r="AA32" s="822">
        <f>VLOOKUP(V32,CASSA!$B$114:$C$479,2,FALSE)</f>
        <v>0</v>
      </c>
      <c r="AB32" s="1053">
        <f t="shared" si="12"/>
        <v>0</v>
      </c>
      <c r="AC32" s="1054">
        <f t="shared" si="13"/>
        <v>0</v>
      </c>
      <c r="AD32" s="1054">
        <f t="shared" si="14"/>
        <v>0</v>
      </c>
      <c r="AE32" s="1055">
        <f t="shared" si="15"/>
        <v>0</v>
      </c>
      <c r="AF32" s="2"/>
      <c r="AG32" s="1090">
        <f t="shared" si="16"/>
        <v>0</v>
      </c>
      <c r="AH32" s="1091">
        <f t="shared" si="17"/>
        <v>0</v>
      </c>
      <c r="AI32" s="1054">
        <f t="shared" si="18"/>
        <v>0</v>
      </c>
      <c r="AJ32" s="1054">
        <f t="shared" si="19"/>
        <v>0</v>
      </c>
      <c r="AK32" s="1092">
        <f t="shared" si="6"/>
        <v>0</v>
      </c>
      <c r="AL32" s="2"/>
      <c r="AM32" s="1090">
        <f t="shared" si="7"/>
        <v>0</v>
      </c>
      <c r="AN32" s="1105">
        <f t="shared" si="20"/>
        <v>0</v>
      </c>
      <c r="AO32" s="1054">
        <f t="shared" si="21"/>
        <v>0</v>
      </c>
      <c r="AP32" s="1054">
        <f t="shared" si="22"/>
        <v>0</v>
      </c>
      <c r="AQ32" s="1092">
        <f t="shared" si="23"/>
        <v>0</v>
      </c>
      <c r="AR32" s="2"/>
      <c r="AS32" s="1090">
        <f t="shared" si="24"/>
        <v>0</v>
      </c>
      <c r="AT32" s="1091">
        <f t="shared" si="25"/>
        <v>0</v>
      </c>
      <c r="AU32" s="1054">
        <f t="shared" si="26"/>
        <v>0</v>
      </c>
      <c r="AV32" s="1054">
        <f t="shared" si="27"/>
        <v>0</v>
      </c>
      <c r="AW32" s="1092">
        <f t="shared" si="28"/>
        <v>0</v>
      </c>
      <c r="AX32" s="2"/>
      <c r="AY32" s="1090">
        <f t="shared" si="29"/>
        <v>0</v>
      </c>
      <c r="AZ32" s="1385"/>
      <c r="BA32" s="2"/>
    </row>
    <row r="33" spans="1:54" ht="20.25" customHeight="1" x14ac:dyDescent="0.2">
      <c r="A33" s="2"/>
      <c r="B33" s="18">
        <v>26</v>
      </c>
      <c r="C33" s="234">
        <f t="shared" si="30"/>
        <v>26</v>
      </c>
      <c r="D33" s="235">
        <f t="shared" si="8"/>
        <v>10</v>
      </c>
      <c r="E33" s="2159" t="str">
        <f t="shared" si="0"/>
        <v xml:space="preserve">attiva trim.  </v>
      </c>
      <c r="F33" s="2160"/>
      <c r="G33" s="237"/>
      <c r="H33" s="237"/>
      <c r="I33" s="828"/>
      <c r="J33" s="829"/>
      <c r="K33" s="237"/>
      <c r="L33" s="828"/>
      <c r="M33" s="829"/>
      <c r="N33" s="237"/>
      <c r="O33" s="828"/>
      <c r="P33" s="829"/>
      <c r="Q33" s="6"/>
      <c r="R33" s="1053">
        <f t="shared" si="9"/>
        <v>0</v>
      </c>
      <c r="S33" s="1054">
        <f t="shared" si="1"/>
        <v>0</v>
      </c>
      <c r="T33" s="1054">
        <f t="shared" si="10"/>
        <v>0</v>
      </c>
      <c r="U33" s="1055">
        <f t="shared" si="11"/>
        <v>0</v>
      </c>
      <c r="V33" s="231">
        <f t="shared" si="31"/>
        <v>45591</v>
      </c>
      <c r="W33" s="1053">
        <f t="shared" si="2"/>
        <v>0</v>
      </c>
      <c r="X33" s="1054">
        <f t="shared" si="3"/>
        <v>0</v>
      </c>
      <c r="Y33" s="1054">
        <f t="shared" si="4"/>
        <v>0</v>
      </c>
      <c r="Z33" s="1055">
        <f t="shared" si="5"/>
        <v>0</v>
      </c>
      <c r="AA33" s="822">
        <f>VLOOKUP(V33,CASSA!$B$114:$C$479,2,FALSE)</f>
        <v>0</v>
      </c>
      <c r="AB33" s="1053">
        <f t="shared" si="12"/>
        <v>0</v>
      </c>
      <c r="AC33" s="1054">
        <f t="shared" si="13"/>
        <v>0</v>
      </c>
      <c r="AD33" s="1054">
        <f t="shared" si="14"/>
        <v>0</v>
      </c>
      <c r="AE33" s="1055">
        <f t="shared" si="15"/>
        <v>0</v>
      </c>
      <c r="AF33" s="2"/>
      <c r="AG33" s="1090">
        <f t="shared" si="16"/>
        <v>0</v>
      </c>
      <c r="AH33" s="1091">
        <f t="shared" si="17"/>
        <v>0</v>
      </c>
      <c r="AI33" s="1054">
        <f t="shared" si="18"/>
        <v>0</v>
      </c>
      <c r="AJ33" s="1054">
        <f t="shared" si="19"/>
        <v>0</v>
      </c>
      <c r="AK33" s="1092">
        <f t="shared" si="6"/>
        <v>0</v>
      </c>
      <c r="AL33" s="2"/>
      <c r="AM33" s="1090">
        <f t="shared" si="7"/>
        <v>0</v>
      </c>
      <c r="AN33" s="1105">
        <f t="shared" si="20"/>
        <v>0</v>
      </c>
      <c r="AO33" s="1054">
        <f t="shared" si="21"/>
        <v>0</v>
      </c>
      <c r="AP33" s="1054">
        <f t="shared" si="22"/>
        <v>0</v>
      </c>
      <c r="AQ33" s="1092">
        <f t="shared" si="23"/>
        <v>0</v>
      </c>
      <c r="AR33" s="2"/>
      <c r="AS33" s="1090">
        <f t="shared" si="24"/>
        <v>0</v>
      </c>
      <c r="AT33" s="1091">
        <f t="shared" si="25"/>
        <v>0</v>
      </c>
      <c r="AU33" s="1054">
        <f t="shared" si="26"/>
        <v>0</v>
      </c>
      <c r="AV33" s="1054">
        <f t="shared" si="27"/>
        <v>0</v>
      </c>
      <c r="AW33" s="1092">
        <f t="shared" si="28"/>
        <v>0</v>
      </c>
      <c r="AX33" s="2"/>
      <c r="AY33" s="1090">
        <f t="shared" si="29"/>
        <v>0</v>
      </c>
      <c r="AZ33" s="1385"/>
      <c r="BA33" s="2"/>
    </row>
    <row r="34" spans="1:54" ht="20.25" customHeight="1" x14ac:dyDescent="0.2">
      <c r="A34" s="2"/>
      <c r="B34" s="18">
        <v>27</v>
      </c>
      <c r="C34" s="234">
        <f t="shared" si="30"/>
        <v>27</v>
      </c>
      <c r="D34" s="235">
        <f t="shared" si="8"/>
        <v>10</v>
      </c>
      <c r="E34" s="2159" t="str">
        <f t="shared" si="0"/>
        <v xml:space="preserve">attiva trim.  </v>
      </c>
      <c r="F34" s="2160"/>
      <c r="G34" s="237"/>
      <c r="H34" s="237"/>
      <c r="I34" s="828"/>
      <c r="J34" s="829"/>
      <c r="K34" s="237"/>
      <c r="L34" s="828"/>
      <c r="M34" s="829"/>
      <c r="N34" s="237"/>
      <c r="O34" s="828"/>
      <c r="P34" s="829"/>
      <c r="Q34" s="6"/>
      <c r="R34" s="1053">
        <f t="shared" si="9"/>
        <v>0</v>
      </c>
      <c r="S34" s="1054">
        <f t="shared" si="1"/>
        <v>0</v>
      </c>
      <c r="T34" s="1054">
        <f t="shared" si="10"/>
        <v>0</v>
      </c>
      <c r="U34" s="1055">
        <f t="shared" si="11"/>
        <v>0</v>
      </c>
      <c r="V34" s="231">
        <f t="shared" si="31"/>
        <v>45592</v>
      </c>
      <c r="W34" s="1053">
        <f t="shared" si="2"/>
        <v>0</v>
      </c>
      <c r="X34" s="1054">
        <f t="shared" si="3"/>
        <v>0</v>
      </c>
      <c r="Y34" s="1054">
        <f t="shared" si="4"/>
        <v>0</v>
      </c>
      <c r="Z34" s="1055">
        <f t="shared" si="5"/>
        <v>0</v>
      </c>
      <c r="AA34" s="822">
        <f>VLOOKUP(V34,CASSA!$B$114:$C$479,2,FALSE)</f>
        <v>0</v>
      </c>
      <c r="AB34" s="1053">
        <f t="shared" si="12"/>
        <v>0</v>
      </c>
      <c r="AC34" s="1054">
        <f t="shared" si="13"/>
        <v>0</v>
      </c>
      <c r="AD34" s="1054">
        <f t="shared" si="14"/>
        <v>0</v>
      </c>
      <c r="AE34" s="1055">
        <f t="shared" si="15"/>
        <v>0</v>
      </c>
      <c r="AF34" s="2"/>
      <c r="AG34" s="1090">
        <f t="shared" si="16"/>
        <v>0</v>
      </c>
      <c r="AH34" s="1091">
        <f t="shared" si="17"/>
        <v>0</v>
      </c>
      <c r="AI34" s="1054">
        <f t="shared" si="18"/>
        <v>0</v>
      </c>
      <c r="AJ34" s="1054">
        <f t="shared" si="19"/>
        <v>0</v>
      </c>
      <c r="AK34" s="1092">
        <f t="shared" si="6"/>
        <v>0</v>
      </c>
      <c r="AL34" s="2"/>
      <c r="AM34" s="1090">
        <f t="shared" si="7"/>
        <v>0</v>
      </c>
      <c r="AN34" s="1105">
        <f t="shared" si="20"/>
        <v>0</v>
      </c>
      <c r="AO34" s="1054">
        <f t="shared" si="21"/>
        <v>0</v>
      </c>
      <c r="AP34" s="1054">
        <f t="shared" si="22"/>
        <v>0</v>
      </c>
      <c r="AQ34" s="1092">
        <f t="shared" si="23"/>
        <v>0</v>
      </c>
      <c r="AR34" s="2"/>
      <c r="AS34" s="1090">
        <f t="shared" si="24"/>
        <v>0</v>
      </c>
      <c r="AT34" s="1091">
        <f t="shared" si="25"/>
        <v>0</v>
      </c>
      <c r="AU34" s="1054">
        <f t="shared" si="26"/>
        <v>0</v>
      </c>
      <c r="AV34" s="1054">
        <f t="shared" si="27"/>
        <v>0</v>
      </c>
      <c r="AW34" s="1092">
        <f t="shared" si="28"/>
        <v>0</v>
      </c>
      <c r="AX34" s="2"/>
      <c r="AY34" s="1090">
        <f t="shared" si="29"/>
        <v>0</v>
      </c>
      <c r="AZ34" s="1385"/>
      <c r="BA34" s="2"/>
    </row>
    <row r="35" spans="1:54" ht="20.25" customHeight="1" x14ac:dyDescent="0.2">
      <c r="A35" s="2"/>
      <c r="B35" s="18">
        <v>28</v>
      </c>
      <c r="C35" s="234">
        <f t="shared" si="30"/>
        <v>28</v>
      </c>
      <c r="D35" s="235">
        <f t="shared" si="8"/>
        <v>10</v>
      </c>
      <c r="E35" s="2159" t="str">
        <f t="shared" si="0"/>
        <v xml:space="preserve">attiva trim.  </v>
      </c>
      <c r="F35" s="2160"/>
      <c r="G35" s="237"/>
      <c r="H35" s="237"/>
      <c r="I35" s="828"/>
      <c r="J35" s="829"/>
      <c r="K35" s="237"/>
      <c r="L35" s="828"/>
      <c r="M35" s="829"/>
      <c r="N35" s="237"/>
      <c r="O35" s="828"/>
      <c r="P35" s="829"/>
      <c r="Q35" s="6"/>
      <c r="R35" s="1053">
        <f t="shared" si="9"/>
        <v>0</v>
      </c>
      <c r="S35" s="1054">
        <f t="shared" si="1"/>
        <v>0</v>
      </c>
      <c r="T35" s="1054">
        <f t="shared" si="10"/>
        <v>0</v>
      </c>
      <c r="U35" s="1055">
        <f t="shared" si="11"/>
        <v>0</v>
      </c>
      <c r="V35" s="231">
        <f t="shared" si="31"/>
        <v>45593</v>
      </c>
      <c r="W35" s="1053">
        <f t="shared" si="2"/>
        <v>0</v>
      </c>
      <c r="X35" s="1054">
        <f t="shared" si="3"/>
        <v>0</v>
      </c>
      <c r="Y35" s="1054">
        <f t="shared" si="4"/>
        <v>0</v>
      </c>
      <c r="Z35" s="1055">
        <f t="shared" si="5"/>
        <v>0</v>
      </c>
      <c r="AA35" s="822">
        <f>VLOOKUP(V35,CASSA!$B$114:$C$479,2,FALSE)</f>
        <v>0</v>
      </c>
      <c r="AB35" s="1053">
        <f t="shared" si="12"/>
        <v>0</v>
      </c>
      <c r="AC35" s="1054">
        <f t="shared" si="13"/>
        <v>0</v>
      </c>
      <c r="AD35" s="1054">
        <f t="shared" si="14"/>
        <v>0</v>
      </c>
      <c r="AE35" s="1055">
        <f t="shared" si="15"/>
        <v>0</v>
      </c>
      <c r="AF35" s="2"/>
      <c r="AG35" s="1090">
        <f t="shared" si="16"/>
        <v>0</v>
      </c>
      <c r="AH35" s="1091">
        <f t="shared" si="17"/>
        <v>0</v>
      </c>
      <c r="AI35" s="1054">
        <f t="shared" si="18"/>
        <v>0</v>
      </c>
      <c r="AJ35" s="1054">
        <f t="shared" si="19"/>
        <v>0</v>
      </c>
      <c r="AK35" s="1092">
        <f t="shared" si="6"/>
        <v>0</v>
      </c>
      <c r="AL35" s="2"/>
      <c r="AM35" s="1090">
        <f t="shared" si="7"/>
        <v>0</v>
      </c>
      <c r="AN35" s="1105">
        <f t="shared" si="20"/>
        <v>0</v>
      </c>
      <c r="AO35" s="1054">
        <f t="shared" si="21"/>
        <v>0</v>
      </c>
      <c r="AP35" s="1054">
        <f t="shared" si="22"/>
        <v>0</v>
      </c>
      <c r="AQ35" s="1092">
        <f t="shared" si="23"/>
        <v>0</v>
      </c>
      <c r="AR35" s="2"/>
      <c r="AS35" s="1090">
        <f t="shared" si="24"/>
        <v>0</v>
      </c>
      <c r="AT35" s="1091">
        <f t="shared" si="25"/>
        <v>0</v>
      </c>
      <c r="AU35" s="1054">
        <f t="shared" si="26"/>
        <v>0</v>
      </c>
      <c r="AV35" s="1054">
        <f t="shared" si="27"/>
        <v>0</v>
      </c>
      <c r="AW35" s="1092">
        <f t="shared" si="28"/>
        <v>0</v>
      </c>
      <c r="AX35" s="2"/>
      <c r="AY35" s="1090">
        <f t="shared" si="29"/>
        <v>0</v>
      </c>
      <c r="AZ35" s="1385"/>
      <c r="BA35" s="2"/>
    </row>
    <row r="36" spans="1:54" ht="20.25" customHeight="1" x14ac:dyDescent="0.2">
      <c r="A36" s="2"/>
      <c r="B36" s="18">
        <v>29</v>
      </c>
      <c r="C36" s="234">
        <f t="shared" si="30"/>
        <v>29</v>
      </c>
      <c r="D36" s="235">
        <f t="shared" si="8"/>
        <v>10</v>
      </c>
      <c r="E36" s="2159" t="str">
        <f t="shared" si="0"/>
        <v xml:space="preserve">attiva trim.  </v>
      </c>
      <c r="F36" s="2160"/>
      <c r="G36" s="237"/>
      <c r="H36" s="237"/>
      <c r="I36" s="828"/>
      <c r="J36" s="829"/>
      <c r="K36" s="237"/>
      <c r="L36" s="828"/>
      <c r="M36" s="829"/>
      <c r="N36" s="237"/>
      <c r="O36" s="828"/>
      <c r="P36" s="829"/>
      <c r="Q36" s="6"/>
      <c r="R36" s="1053">
        <f t="shared" si="9"/>
        <v>0</v>
      </c>
      <c r="S36" s="1054">
        <f t="shared" si="1"/>
        <v>0</v>
      </c>
      <c r="T36" s="1054">
        <f t="shared" si="10"/>
        <v>0</v>
      </c>
      <c r="U36" s="1055">
        <f t="shared" si="11"/>
        <v>0</v>
      </c>
      <c r="V36" s="231">
        <f t="shared" si="31"/>
        <v>45594</v>
      </c>
      <c r="W36" s="1053">
        <f t="shared" si="2"/>
        <v>0</v>
      </c>
      <c r="X36" s="1054">
        <f t="shared" si="3"/>
        <v>0</v>
      </c>
      <c r="Y36" s="1054">
        <f t="shared" si="4"/>
        <v>0</v>
      </c>
      <c r="Z36" s="1055">
        <f t="shared" si="5"/>
        <v>0</v>
      </c>
      <c r="AA36" s="822">
        <f>VLOOKUP(V36,CASSA!$B$114:$C$479,2,FALSE)</f>
        <v>0</v>
      </c>
      <c r="AB36" s="1053">
        <f t="shared" si="12"/>
        <v>0</v>
      </c>
      <c r="AC36" s="1054">
        <f t="shared" si="13"/>
        <v>0</v>
      </c>
      <c r="AD36" s="1054">
        <f t="shared" si="14"/>
        <v>0</v>
      </c>
      <c r="AE36" s="1055">
        <f t="shared" si="15"/>
        <v>0</v>
      </c>
      <c r="AF36" s="2"/>
      <c r="AG36" s="1090">
        <f t="shared" si="16"/>
        <v>0</v>
      </c>
      <c r="AH36" s="1091">
        <f t="shared" si="17"/>
        <v>0</v>
      </c>
      <c r="AI36" s="1054">
        <f t="shared" si="18"/>
        <v>0</v>
      </c>
      <c r="AJ36" s="1054">
        <f t="shared" si="19"/>
        <v>0</v>
      </c>
      <c r="AK36" s="1092">
        <f t="shared" si="6"/>
        <v>0</v>
      </c>
      <c r="AL36" s="2"/>
      <c r="AM36" s="1090">
        <f t="shared" si="7"/>
        <v>0</v>
      </c>
      <c r="AN36" s="1105">
        <f t="shared" si="20"/>
        <v>0</v>
      </c>
      <c r="AO36" s="1054">
        <f t="shared" si="21"/>
        <v>0</v>
      </c>
      <c r="AP36" s="1054">
        <f t="shared" si="22"/>
        <v>0</v>
      </c>
      <c r="AQ36" s="1092">
        <f t="shared" si="23"/>
        <v>0</v>
      </c>
      <c r="AR36" s="2"/>
      <c r="AS36" s="1090">
        <f t="shared" si="24"/>
        <v>0</v>
      </c>
      <c r="AT36" s="1091">
        <f t="shared" si="25"/>
        <v>0</v>
      </c>
      <c r="AU36" s="1054">
        <f t="shared" si="26"/>
        <v>0</v>
      </c>
      <c r="AV36" s="1054">
        <f t="shared" si="27"/>
        <v>0</v>
      </c>
      <c r="AW36" s="1092">
        <f t="shared" si="28"/>
        <v>0</v>
      </c>
      <c r="AX36" s="2"/>
      <c r="AY36" s="1090">
        <f t="shared" si="29"/>
        <v>0</v>
      </c>
      <c r="AZ36" s="1385"/>
      <c r="BA36" s="2"/>
    </row>
    <row r="37" spans="1:54" ht="20.25" customHeight="1" x14ac:dyDescent="0.2">
      <c r="A37" s="2"/>
      <c r="B37" s="18">
        <v>30</v>
      </c>
      <c r="C37" s="234">
        <f t="shared" si="30"/>
        <v>30</v>
      </c>
      <c r="D37" s="235">
        <f t="shared" si="8"/>
        <v>10</v>
      </c>
      <c r="E37" s="2159" t="str">
        <f t="shared" si="0"/>
        <v xml:space="preserve">attiva trim.  </v>
      </c>
      <c r="F37" s="2160"/>
      <c r="G37" s="237"/>
      <c r="H37" s="237"/>
      <c r="I37" s="828"/>
      <c r="J37" s="829"/>
      <c r="K37" s="237"/>
      <c r="L37" s="828"/>
      <c r="M37" s="829"/>
      <c r="N37" s="237"/>
      <c r="O37" s="828"/>
      <c r="P37" s="829"/>
      <c r="Q37" s="6"/>
      <c r="R37" s="1053">
        <f t="shared" si="9"/>
        <v>0</v>
      </c>
      <c r="S37" s="1054">
        <f t="shared" si="1"/>
        <v>0</v>
      </c>
      <c r="T37" s="1054">
        <f t="shared" si="10"/>
        <v>0</v>
      </c>
      <c r="U37" s="1055">
        <f t="shared" si="11"/>
        <v>0</v>
      </c>
      <c r="V37" s="231">
        <f t="shared" si="31"/>
        <v>45595</v>
      </c>
      <c r="W37" s="1053">
        <f t="shared" si="2"/>
        <v>0</v>
      </c>
      <c r="X37" s="1054">
        <f t="shared" si="3"/>
        <v>0</v>
      </c>
      <c r="Y37" s="1054">
        <f t="shared" si="4"/>
        <v>0</v>
      </c>
      <c r="Z37" s="1055">
        <f t="shared" si="5"/>
        <v>0</v>
      </c>
      <c r="AA37" s="822">
        <f>VLOOKUP(V37,CASSA!$B$114:$C$479,2,FALSE)</f>
        <v>0</v>
      </c>
      <c r="AB37" s="1053">
        <f t="shared" si="12"/>
        <v>0</v>
      </c>
      <c r="AC37" s="1054">
        <f t="shared" si="13"/>
        <v>0</v>
      </c>
      <c r="AD37" s="1054">
        <f t="shared" si="14"/>
        <v>0</v>
      </c>
      <c r="AE37" s="1055">
        <f t="shared" si="15"/>
        <v>0</v>
      </c>
      <c r="AF37" s="2"/>
      <c r="AG37" s="1090">
        <f t="shared" si="16"/>
        <v>0</v>
      </c>
      <c r="AH37" s="1091">
        <f t="shared" si="17"/>
        <v>0</v>
      </c>
      <c r="AI37" s="1054">
        <f t="shared" si="18"/>
        <v>0</v>
      </c>
      <c r="AJ37" s="1054">
        <f t="shared" si="19"/>
        <v>0</v>
      </c>
      <c r="AK37" s="1092">
        <f t="shared" si="6"/>
        <v>0</v>
      </c>
      <c r="AL37" s="2"/>
      <c r="AM37" s="1090">
        <f t="shared" si="7"/>
        <v>0</v>
      </c>
      <c r="AN37" s="1105">
        <f t="shared" si="20"/>
        <v>0</v>
      </c>
      <c r="AO37" s="1054">
        <f t="shared" si="21"/>
        <v>0</v>
      </c>
      <c r="AP37" s="1054">
        <f t="shared" si="22"/>
        <v>0</v>
      </c>
      <c r="AQ37" s="1092">
        <f t="shared" si="23"/>
        <v>0</v>
      </c>
      <c r="AR37" s="2"/>
      <c r="AS37" s="1090">
        <f t="shared" si="24"/>
        <v>0</v>
      </c>
      <c r="AT37" s="1091">
        <f t="shared" si="25"/>
        <v>0</v>
      </c>
      <c r="AU37" s="1054">
        <f t="shared" si="26"/>
        <v>0</v>
      </c>
      <c r="AV37" s="1054">
        <f t="shared" si="27"/>
        <v>0</v>
      </c>
      <c r="AW37" s="1092">
        <f t="shared" si="28"/>
        <v>0</v>
      </c>
      <c r="AX37" s="2"/>
      <c r="AY37" s="1090">
        <f t="shared" si="29"/>
        <v>0</v>
      </c>
      <c r="AZ37" s="1385"/>
      <c r="BA37" s="2"/>
    </row>
    <row r="38" spans="1:54" ht="20.25" customHeight="1" x14ac:dyDescent="0.2">
      <c r="A38" s="2"/>
      <c r="B38" s="18">
        <v>31</v>
      </c>
      <c r="C38" s="234">
        <f t="shared" si="30"/>
        <v>31</v>
      </c>
      <c r="D38" s="235">
        <f t="shared" si="8"/>
        <v>10</v>
      </c>
      <c r="E38" s="2162" t="str">
        <f t="shared" si="0"/>
        <v xml:space="preserve">attiva trim.  </v>
      </c>
      <c r="F38" s="2163"/>
      <c r="G38" s="824"/>
      <c r="H38" s="824"/>
      <c r="I38" s="836"/>
      <c r="J38" s="837"/>
      <c r="K38" s="824"/>
      <c r="L38" s="836"/>
      <c r="M38" s="837"/>
      <c r="N38" s="824"/>
      <c r="O38" s="836"/>
      <c r="P38" s="837"/>
      <c r="Q38" s="6"/>
      <c r="R38" s="1056">
        <f t="shared" si="9"/>
        <v>0</v>
      </c>
      <c r="S38" s="1057">
        <f t="shared" si="1"/>
        <v>0</v>
      </c>
      <c r="T38" s="1057">
        <f t="shared" si="10"/>
        <v>0</v>
      </c>
      <c r="U38" s="1058">
        <f t="shared" si="11"/>
        <v>0</v>
      </c>
      <c r="V38" s="231">
        <f t="shared" si="31"/>
        <v>45596</v>
      </c>
      <c r="W38" s="1056">
        <f t="shared" si="2"/>
        <v>0</v>
      </c>
      <c r="X38" s="1057">
        <f t="shared" si="3"/>
        <v>0</v>
      </c>
      <c r="Y38" s="1057">
        <f t="shared" si="4"/>
        <v>0</v>
      </c>
      <c r="Z38" s="1058">
        <f t="shared" si="5"/>
        <v>0</v>
      </c>
      <c r="AA38" s="822">
        <f>VLOOKUP(V38,CASSA!$B$114:$C$479,2,FALSE)</f>
        <v>0</v>
      </c>
      <c r="AB38" s="1056">
        <f t="shared" si="12"/>
        <v>0</v>
      </c>
      <c r="AC38" s="1057">
        <f t="shared" si="13"/>
        <v>0</v>
      </c>
      <c r="AD38" s="1057">
        <f t="shared" si="14"/>
        <v>0</v>
      </c>
      <c r="AE38" s="1058">
        <f t="shared" si="15"/>
        <v>0</v>
      </c>
      <c r="AF38" s="2"/>
      <c r="AG38" s="1093">
        <f t="shared" si="16"/>
        <v>0</v>
      </c>
      <c r="AH38" s="1094">
        <f t="shared" si="17"/>
        <v>0</v>
      </c>
      <c r="AI38" s="1057">
        <f t="shared" si="18"/>
        <v>0</v>
      </c>
      <c r="AJ38" s="1057">
        <f t="shared" si="19"/>
        <v>0</v>
      </c>
      <c r="AK38" s="1095">
        <f t="shared" si="6"/>
        <v>0</v>
      </c>
      <c r="AL38" s="2"/>
      <c r="AM38" s="1093">
        <f t="shared" si="7"/>
        <v>0</v>
      </c>
      <c r="AN38" s="1106">
        <f t="shared" si="20"/>
        <v>0</v>
      </c>
      <c r="AO38" s="1057">
        <f t="shared" si="21"/>
        <v>0</v>
      </c>
      <c r="AP38" s="1057">
        <f t="shared" si="22"/>
        <v>0</v>
      </c>
      <c r="AQ38" s="1095">
        <f t="shared" si="23"/>
        <v>0</v>
      </c>
      <c r="AR38" s="2"/>
      <c r="AS38" s="1093">
        <f t="shared" si="24"/>
        <v>0</v>
      </c>
      <c r="AT38" s="1094">
        <f t="shared" si="25"/>
        <v>0</v>
      </c>
      <c r="AU38" s="1057">
        <f t="shared" si="26"/>
        <v>0</v>
      </c>
      <c r="AV38" s="1057">
        <f t="shared" si="27"/>
        <v>0</v>
      </c>
      <c r="AW38" s="1095">
        <f t="shared" si="28"/>
        <v>0</v>
      </c>
      <c r="AX38" s="2"/>
      <c r="AY38" s="1093">
        <f t="shared" si="29"/>
        <v>0</v>
      </c>
      <c r="AZ38" s="1386"/>
      <c r="BA38" s="2"/>
    </row>
    <row r="39" spans="1:54" ht="20.25" customHeight="1" x14ac:dyDescent="0.2">
      <c r="A39" s="2"/>
      <c r="B39" s="7"/>
      <c r="C39" s="2077" t="s">
        <v>177</v>
      </c>
      <c r="D39" s="2078"/>
      <c r="E39" s="2074">
        <f>IMPOSTAZIONI!AE265</f>
        <v>0</v>
      </c>
      <c r="F39" s="2075"/>
      <c r="G39" s="1440">
        <f>IF(ISERROR(G$155),0,SUM(G7:G38)-SUMIF($E8:$E38,$V4,G8:G38))</f>
        <v>0</v>
      </c>
      <c r="H39" s="1440">
        <f>IF(ISERROR(H$155),0,SUM(H7:H38)-SUMIF($E8:$E38,$V4,H8:H38))</f>
        <v>0</v>
      </c>
      <c r="I39" s="838"/>
      <c r="J39" s="839"/>
      <c r="K39" s="1440">
        <f>IF(ISERROR(I$155),0,SUM(K7:K38)-SUMIF($E8:$E38,$V4,K8:K38))</f>
        <v>0</v>
      </c>
      <c r="L39" s="838"/>
      <c r="M39" s="839"/>
      <c r="N39" s="1440">
        <f>IF(ISERROR(J$155),0,SUM(N7:N38)-SUMIF($E8:$E38,$V4,N8:N38))</f>
        <v>0</v>
      </c>
      <c r="O39" s="838"/>
      <c r="P39" s="839"/>
      <c r="Q39" s="6"/>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1383"/>
      <c r="BA39" s="2"/>
    </row>
    <row r="40" spans="1:54" ht="3" customHeight="1" x14ac:dyDescent="0.2">
      <c r="A40" s="2"/>
      <c r="B40" s="2"/>
      <c r="C40" s="8"/>
      <c r="D40" s="9"/>
      <c r="E40" s="825"/>
      <c r="F40" s="826"/>
      <c r="G40" s="827"/>
      <c r="H40" s="827"/>
      <c r="I40" s="825"/>
      <c r="J40" s="826"/>
      <c r="K40" s="827"/>
      <c r="L40" s="825"/>
      <c r="M40" s="826"/>
      <c r="N40" s="827"/>
      <c r="O40" s="825"/>
      <c r="P40" s="826"/>
      <c r="Q40" s="6"/>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row>
    <row r="41" spans="1:54" ht="6" customHeight="1" x14ac:dyDescent="0.2">
      <c r="A41" s="2"/>
      <c r="B41" s="2"/>
      <c r="C41" s="10"/>
      <c r="D41" s="10"/>
      <c r="E41" s="11"/>
      <c r="F41" s="11"/>
      <c r="G41" s="11"/>
      <c r="H41" s="11"/>
      <c r="I41" s="11"/>
      <c r="J41" s="11"/>
      <c r="K41" s="11"/>
      <c r="L41" s="11"/>
      <c r="M41" s="11"/>
      <c r="N41" s="11"/>
      <c r="O41" s="11"/>
      <c r="P41" s="11"/>
      <c r="Q41" s="1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row>
    <row r="42" spans="1:54" ht="18.75" customHeight="1" x14ac:dyDescent="0.2">
      <c r="A42" s="2"/>
      <c r="B42" s="2"/>
      <c r="C42" s="946" t="s">
        <v>657</v>
      </c>
      <c r="D42" s="14"/>
      <c r="E42" s="12"/>
      <c r="F42" s="12"/>
      <c r="G42" s="957">
        <f>IMPOSTAZIONI!I33</f>
        <v>0</v>
      </c>
      <c r="H42" s="957">
        <f>IMPOSTAZIONI!M33</f>
        <v>0</v>
      </c>
      <c r="I42" s="12"/>
      <c r="J42" s="12"/>
      <c r="K42" s="957">
        <f>IMPOSTAZIONI!U33</f>
        <v>0</v>
      </c>
      <c r="L42" s="12"/>
      <c r="M42" s="12"/>
      <c r="N42" s="957">
        <f>IMPOSTAZIONI!AC33</f>
        <v>0</v>
      </c>
      <c r="O42" s="12"/>
      <c r="P42" s="12"/>
      <c r="Q42" s="12"/>
      <c r="R42" s="2"/>
      <c r="S42" s="591"/>
      <c r="T42" s="591"/>
      <c r="U42" s="591"/>
      <c r="V42" s="591"/>
      <c r="W42" s="591"/>
      <c r="X42" s="591"/>
      <c r="Y42" s="591"/>
      <c r="Z42" s="591"/>
      <c r="AA42" s="591"/>
      <c r="AB42" s="591"/>
      <c r="AC42" s="591"/>
      <c r="AD42" s="591"/>
      <c r="AE42" s="591"/>
      <c r="AF42" s="591"/>
      <c r="AG42" s="591"/>
      <c r="AH42" s="591"/>
      <c r="AI42" s="591"/>
      <c r="AJ42" s="591"/>
      <c r="AK42" s="591"/>
      <c r="AL42" s="591"/>
      <c r="AM42" s="591"/>
      <c r="AN42" s="591"/>
      <c r="AO42" s="591"/>
      <c r="AP42" s="591"/>
      <c r="AQ42" s="591"/>
      <c r="AR42" s="591"/>
      <c r="AS42" s="591"/>
      <c r="AT42" s="591"/>
      <c r="AU42" s="591"/>
      <c r="AV42" s="591"/>
      <c r="AW42" s="591"/>
      <c r="AX42" s="591"/>
      <c r="AY42" s="591"/>
      <c r="AZ42" s="2"/>
      <c r="BA42" s="2"/>
      <c r="BB42" s="591"/>
    </row>
    <row r="43" spans="1:54" ht="18" customHeight="1" x14ac:dyDescent="0.2">
      <c r="A43" s="2"/>
      <c r="B43" s="2"/>
      <c r="C43" s="2161" t="s">
        <v>175</v>
      </c>
      <c r="D43" s="2161"/>
      <c r="E43" s="2076">
        <f>C6</f>
        <v>2024</v>
      </c>
      <c r="F43" s="2076"/>
      <c r="G43" s="888" t="str">
        <f>G6</f>
        <v/>
      </c>
      <c r="H43" s="889" t="str">
        <f>H6</f>
        <v/>
      </c>
      <c r="I43" s="2"/>
      <c r="J43" s="2"/>
      <c r="K43" s="887" t="str">
        <f>K6</f>
        <v/>
      </c>
      <c r="L43" s="2"/>
      <c r="M43" s="2"/>
      <c r="N43" s="887" t="str">
        <f>N6</f>
        <v/>
      </c>
      <c r="O43" s="2"/>
      <c r="P43" s="2"/>
      <c r="Q43" s="12"/>
      <c r="R43" s="2"/>
      <c r="S43" s="591"/>
      <c r="T43" s="591"/>
      <c r="U43" s="591"/>
      <c r="V43" s="591"/>
      <c r="W43" s="591"/>
      <c r="X43" s="591"/>
      <c r="Y43" s="591"/>
      <c r="Z43" s="591"/>
      <c r="AA43" s="591"/>
      <c r="AB43" s="591"/>
      <c r="AC43" s="591"/>
      <c r="AD43" s="591"/>
      <c r="AE43" s="591"/>
      <c r="AF43" s="591"/>
      <c r="AG43" s="591"/>
      <c r="AH43" s="591"/>
      <c r="AI43" s="591"/>
      <c r="AJ43" s="591"/>
      <c r="AK43" s="591"/>
      <c r="AL43" s="591"/>
      <c r="AM43" s="591"/>
      <c r="AN43" s="591"/>
      <c r="AO43" s="591"/>
      <c r="AP43" s="591"/>
      <c r="AQ43" s="591"/>
      <c r="AR43" s="591"/>
      <c r="AS43" s="591"/>
      <c r="AT43" s="591"/>
      <c r="AU43" s="591"/>
      <c r="AV43" s="591"/>
      <c r="AW43" s="591"/>
      <c r="AX43" s="591"/>
      <c r="AY43" s="591"/>
      <c r="AZ43" s="2"/>
      <c r="BA43" s="2"/>
      <c r="BB43" s="591"/>
    </row>
    <row r="44" spans="1:54" ht="22.5" customHeight="1" x14ac:dyDescent="0.2">
      <c r="A44" s="2"/>
      <c r="B44" s="2"/>
      <c r="C44" s="2091" t="s">
        <v>298</v>
      </c>
      <c r="D44" s="2091"/>
      <c r="E44" s="2091"/>
      <c r="F44" s="2091"/>
      <c r="G44" s="57" t="str">
        <f t="shared" ref="G44:K45" si="32">G4</f>
        <v/>
      </c>
      <c r="H44" s="57" t="str">
        <f t="shared" si="32"/>
        <v/>
      </c>
      <c r="I44" s="2034">
        <f>IF(I4=K130,"",I4)</f>
        <v>0</v>
      </c>
      <c r="J44" s="2034"/>
      <c r="K44" s="57" t="str">
        <f t="shared" si="32"/>
        <v/>
      </c>
      <c r="L44" s="2034">
        <f>IF(L4=K130,"",L4)</f>
        <v>0</v>
      </c>
      <c r="M44" s="2034"/>
      <c r="N44" s="57" t="str">
        <f>N4</f>
        <v/>
      </c>
      <c r="O44" s="2034">
        <f>IF(O4=K130,"",O4)</f>
        <v>0</v>
      </c>
      <c r="P44" s="2034"/>
      <c r="Q44" s="12"/>
      <c r="R44" s="2"/>
      <c r="S44" s="591"/>
      <c r="T44" s="591"/>
      <c r="U44" s="591"/>
      <c r="V44" s="591"/>
      <c r="W44" s="591"/>
      <c r="X44" s="591"/>
      <c r="Y44" s="591"/>
      <c r="Z44" s="591"/>
      <c r="AA44" s="591"/>
      <c r="AB44" s="591"/>
      <c r="AC44" s="591"/>
      <c r="AD44" s="591"/>
      <c r="AE44" s="591"/>
      <c r="AF44" s="591"/>
      <c r="AG44" s="591"/>
      <c r="AH44" s="591"/>
      <c r="AI44" s="591"/>
      <c r="AJ44" s="591"/>
      <c r="AK44" s="591"/>
      <c r="AL44" s="591"/>
      <c r="AM44" s="591"/>
      <c r="AN44" s="591"/>
      <c r="AO44" s="591"/>
      <c r="AP44" s="591"/>
      <c r="AQ44" s="591"/>
      <c r="AR44" s="591"/>
      <c r="AS44" s="591"/>
      <c r="AT44" s="591"/>
      <c r="AU44" s="591"/>
      <c r="AV44" s="591"/>
      <c r="AW44" s="591"/>
      <c r="AX44" s="591"/>
      <c r="AY44" s="591"/>
      <c r="AZ44" s="2"/>
      <c r="BA44" s="2"/>
      <c r="BB44" s="591"/>
    </row>
    <row r="45" spans="1:54" ht="22.5" customHeight="1" x14ac:dyDescent="0.2">
      <c r="A45" s="2"/>
      <c r="B45" s="2"/>
      <c r="C45" s="2081" t="s">
        <v>317</v>
      </c>
      <c r="D45" s="2081"/>
      <c r="E45" s="2082"/>
      <c r="F45" s="2082"/>
      <c r="G45" s="58" t="str">
        <f t="shared" si="32"/>
        <v/>
      </c>
      <c r="H45" s="58" t="str">
        <f t="shared" si="32"/>
        <v/>
      </c>
      <c r="I45" s="488" t="str">
        <f>I6</f>
        <v>DAL</v>
      </c>
      <c r="J45" s="489" t="str">
        <f>J6</f>
        <v>AL</v>
      </c>
      <c r="K45" s="58" t="str">
        <f t="shared" si="32"/>
        <v/>
      </c>
      <c r="L45" s="488" t="str">
        <f>L6</f>
        <v>DAL</v>
      </c>
      <c r="M45" s="489" t="str">
        <f>M6</f>
        <v>AL</v>
      </c>
      <c r="N45" s="58" t="str">
        <f>N5</f>
        <v/>
      </c>
      <c r="O45" s="488" t="str">
        <f>O6</f>
        <v>DAL</v>
      </c>
      <c r="P45" s="489" t="str">
        <f>P6</f>
        <v>AL</v>
      </c>
      <c r="Q45" s="12"/>
      <c r="R45" s="2"/>
      <c r="S45" s="591"/>
      <c r="T45" s="591"/>
      <c r="U45" s="591"/>
      <c r="V45" s="591"/>
      <c r="W45" s="591"/>
      <c r="X45" s="591"/>
      <c r="Y45" s="591"/>
      <c r="Z45" s="591"/>
      <c r="AA45" s="591"/>
      <c r="AB45" s="591"/>
      <c r="AC45" s="591"/>
      <c r="AD45" s="591"/>
      <c r="AE45" s="591"/>
      <c r="AF45" s="591"/>
      <c r="AG45" s="591"/>
      <c r="AH45" s="591"/>
      <c r="AI45" s="591"/>
      <c r="AJ45" s="591"/>
      <c r="AK45" s="591"/>
      <c r="AL45" s="591"/>
      <c r="AM45" s="591"/>
      <c r="AN45" s="591"/>
      <c r="AO45" s="591"/>
      <c r="AP45" s="591"/>
      <c r="AQ45" s="591"/>
      <c r="AR45" s="591"/>
      <c r="AS45" s="591"/>
      <c r="AT45" s="591"/>
      <c r="AU45" s="591"/>
      <c r="AV45" s="591"/>
      <c r="AW45" s="591"/>
      <c r="AX45" s="591"/>
      <c r="AY45" s="591"/>
      <c r="AZ45" s="2"/>
      <c r="BA45" s="2"/>
      <c r="BB45" s="591"/>
    </row>
    <row r="46" spans="1:54" ht="21.95" customHeight="1" x14ac:dyDescent="0.2">
      <c r="A46" s="2"/>
      <c r="B46" s="7"/>
      <c r="C46" s="2079" t="s">
        <v>193</v>
      </c>
      <c r="D46" s="2080"/>
      <c r="E46" s="2157">
        <f>IF(E150=1,SUM(E8:E38),SUM(G46:H46)+K46+N46-SUMIF(G42:N42,K134,G46:N46))</f>
        <v>0</v>
      </c>
      <c r="F46" s="2158"/>
      <c r="G46" s="881">
        <f>IF(ISERROR(G$155),0,SUM(G8:G38)-SUMIF($E8:$E38,$V4,G8:G38)+IF(ISERROR(VLOOKUP(G1,IMPOSTAZIONI!$B$401:$AM$407,$E$149,FALSE)),0,VLOOKUP(G1,IMPOSTAZIONI!$B$401:$AM$407,$E$149,FALSE)))</f>
        <v>0</v>
      </c>
      <c r="H46" s="882">
        <f>IF(ISERROR(H$155),0,SUM(H8:H38)-SUMIF($E8:$E38,$V4,H8:H38)+IF(ISERROR(VLOOKUP(H1,IMPOSTAZIONI!$B$401:$AM$407,$E$149,FALSE)),0,VLOOKUP(H1,IMPOSTAZIONI!$B$401:$AM$407,$E$149,FALSE)))</f>
        <v>0</v>
      </c>
      <c r="I46" s="884"/>
      <c r="J46" s="883"/>
      <c r="K46" s="297">
        <f>IF(ISERROR(I$155),0,SUM(K8:K38)-SUMIF($E8:$E38,$V4,K8:K38)+IF(ISERROR(VLOOKUP(K1,IMPOSTAZIONI!$B$401:$AM$407,$E$149,FALSE)),0,VLOOKUP(K1,IMPOSTAZIONI!$B$401:$AM$407,$E$149,FALSE)))</f>
        <v>0</v>
      </c>
      <c r="L46" s="884"/>
      <c r="M46" s="883"/>
      <c r="N46" s="297">
        <f>IF(ISERROR(J$155),0,SUM(N8:N38)-SUMIF($E8:$E38,$V4,N8:N38)+IF(ISERROR(VLOOKUP(N1,IMPOSTAZIONI!$B$401:$AM$407,$E$149,FALSE)),0,VLOOKUP(N1,IMPOSTAZIONI!$B$401:$AM$407,$E$149,FALSE)))</f>
        <v>0</v>
      </c>
      <c r="O46" s="885"/>
      <c r="P46" s="886"/>
      <c r="Q46" s="12"/>
      <c r="R46" s="2"/>
      <c r="S46" s="591"/>
      <c r="T46" s="591"/>
      <c r="U46" s="591"/>
      <c r="V46" s="591"/>
      <c r="W46" s="591"/>
      <c r="X46" s="591"/>
      <c r="Y46" s="591"/>
      <c r="Z46" s="591"/>
      <c r="AA46" s="591"/>
      <c r="AB46" s="591"/>
      <c r="AC46" s="591"/>
      <c r="AD46" s="591"/>
      <c r="AE46" s="591"/>
      <c r="AF46" s="591"/>
      <c r="AG46" s="591"/>
      <c r="AH46" s="591"/>
      <c r="AI46" s="591"/>
      <c r="AJ46" s="591"/>
      <c r="AK46" s="591"/>
      <c r="AL46" s="591"/>
      <c r="AM46" s="591"/>
      <c r="AN46" s="591"/>
      <c r="AO46" s="591"/>
      <c r="AP46" s="591"/>
      <c r="AQ46" s="591"/>
      <c r="AR46" s="591"/>
      <c r="AS46" s="591"/>
      <c r="AT46" s="591"/>
      <c r="AU46" s="591"/>
      <c r="AV46" s="591"/>
      <c r="AW46" s="591"/>
      <c r="AX46" s="591"/>
      <c r="AY46" s="591"/>
      <c r="AZ46" s="2"/>
      <c r="BA46" s="2"/>
      <c r="BB46" s="591"/>
    </row>
    <row r="47" spans="1:54" ht="16.5" customHeight="1" x14ac:dyDescent="0.2">
      <c r="A47" s="2"/>
      <c r="B47" s="7"/>
      <c r="C47" s="2179" t="s">
        <v>194</v>
      </c>
      <c r="D47" s="2180"/>
      <c r="E47" s="2177">
        <f>E46-E48</f>
        <v>0</v>
      </c>
      <c r="F47" s="2178"/>
      <c r="G47" s="238">
        <f>G46-G48</f>
        <v>0</v>
      </c>
      <c r="H47" s="652">
        <f>H46-H48</f>
        <v>0</v>
      </c>
      <c r="I47" s="2"/>
      <c r="J47" s="2"/>
      <c r="K47" s="654">
        <f>K46-K48</f>
        <v>0</v>
      </c>
      <c r="L47" s="2"/>
      <c r="M47" s="2"/>
      <c r="N47" s="654">
        <f>N46-N48</f>
        <v>0</v>
      </c>
      <c r="O47" s="2"/>
      <c r="P47" s="2"/>
      <c r="Q47" s="12"/>
      <c r="R47" s="2"/>
      <c r="S47" s="591"/>
      <c r="T47" s="591"/>
      <c r="U47" s="591"/>
      <c r="V47" s="591"/>
      <c r="W47" s="591"/>
      <c r="X47" s="591"/>
      <c r="Y47" s="591"/>
      <c r="Z47" s="591"/>
      <c r="AA47" s="591"/>
      <c r="AB47" s="591"/>
      <c r="AC47" s="591"/>
      <c r="AD47" s="591"/>
      <c r="AE47" s="591"/>
      <c r="AF47" s="591"/>
      <c r="AG47" s="591"/>
      <c r="AH47" s="591"/>
      <c r="AI47" s="591"/>
      <c r="AJ47" s="591"/>
      <c r="AK47" s="591"/>
      <c r="AL47" s="591"/>
      <c r="AM47" s="591"/>
      <c r="AN47" s="591"/>
      <c r="AO47" s="591"/>
      <c r="AP47" s="591"/>
      <c r="AQ47" s="591"/>
      <c r="AR47" s="591"/>
      <c r="AS47" s="591"/>
      <c r="AT47" s="591"/>
      <c r="AU47" s="591"/>
      <c r="AV47" s="591"/>
      <c r="AW47" s="591"/>
      <c r="AX47" s="591"/>
      <c r="AY47" s="591"/>
      <c r="AZ47" s="2"/>
      <c r="BA47" s="2"/>
      <c r="BB47" s="591"/>
    </row>
    <row r="48" spans="1:54" ht="16.5" customHeight="1" x14ac:dyDescent="0.2">
      <c r="A48" s="2"/>
      <c r="B48" s="7"/>
      <c r="C48" s="2070" t="s">
        <v>195</v>
      </c>
      <c r="D48" s="2071"/>
      <c r="E48" s="2181">
        <f>IF(I163=0,0,SUM(G48:H48)+K48+N48-SUMIF(G42:N42,K134,G48:N48))</f>
        <v>0</v>
      </c>
      <c r="F48" s="2182"/>
      <c r="G48" s="239">
        <f>IF(AND(C61=1,G63&lt;&gt;0),G87,IF(G152=0,SUM(R8:R38)-SUMIF($E8:$E38,$V4,R8:R38)+VLOOKUP(G1,IMPOSTAZIONI!$B$419:$AK$425,$E$149,FALSE),G98))</f>
        <v>0</v>
      </c>
      <c r="H48" s="653">
        <f>IF(AND(C61=1,H63&lt;&gt;0),H87,IF(H152=0,SUM(S8:S38)-SUMIF($E8:$E38,$V4,S8:S38)+VLOOKUP(H1,IMPOSTAZIONI!$B$419:$AK$425,$E$149,FALSE),H98))</f>
        <v>0</v>
      </c>
      <c r="I48" s="59"/>
      <c r="J48" s="139"/>
      <c r="K48" s="655">
        <f>IF(AND(C61=1,K63&lt;&gt;0),I87,IF(I152=0,SUM(T8:T38)-SUMIF($E8:$E38,$V4,T8:T38)+VLOOKUP(K1,IMPOSTAZIONI!$B$419:$AK$425,$E$149,FALSE),K98))</f>
        <v>0</v>
      </c>
      <c r="L48" s="59"/>
      <c r="M48" s="139"/>
      <c r="N48" s="655">
        <f>IF(AND(C61=1,N63&lt;&gt;0),K87,IF(J152=0,SUM(U8:U38)-SUMIF($E8:$E38,$V4,U8:U38)+VLOOKUP(N1,IMPOSTAZIONI!$B$419:$AK$425,$E$149,FALSE),N98))</f>
        <v>0</v>
      </c>
      <c r="O48" s="2"/>
      <c r="P48" s="2"/>
      <c r="Q48" s="13"/>
      <c r="R48" s="2"/>
      <c r="S48" s="591"/>
      <c r="T48" s="591"/>
      <c r="U48" s="591"/>
      <c r="V48" s="591"/>
      <c r="W48" s="591"/>
      <c r="X48" s="591"/>
      <c r="Y48" s="591"/>
      <c r="Z48" s="591"/>
      <c r="AA48" s="591"/>
      <c r="AB48" s="591"/>
      <c r="AC48" s="591"/>
      <c r="AD48" s="591"/>
      <c r="AE48" s="591"/>
      <c r="AF48" s="591"/>
      <c r="AG48" s="591"/>
      <c r="AH48" s="591"/>
      <c r="AI48" s="591"/>
      <c r="AJ48" s="591"/>
      <c r="AK48" s="591"/>
      <c r="AL48" s="591"/>
      <c r="AM48" s="591"/>
      <c r="AN48" s="591"/>
      <c r="AO48" s="591"/>
      <c r="AP48" s="591"/>
      <c r="AQ48" s="591"/>
      <c r="AR48" s="591"/>
      <c r="AS48" s="591"/>
      <c r="AT48" s="591"/>
      <c r="AU48" s="591"/>
      <c r="AV48" s="591"/>
      <c r="AW48" s="591"/>
      <c r="AX48" s="591"/>
      <c r="AY48" s="591"/>
      <c r="AZ48" s="2"/>
      <c r="BA48" s="2"/>
      <c r="BB48" s="591"/>
    </row>
    <row r="49" spans="1:54" ht="37.5" customHeight="1" x14ac:dyDescent="0.2">
      <c r="A49" s="2"/>
      <c r="B49" s="2"/>
      <c r="C49" s="14"/>
      <c r="D49" s="14"/>
      <c r="E49" s="12"/>
      <c r="F49" s="12"/>
      <c r="G49" s="11"/>
      <c r="H49" s="11"/>
      <c r="I49" s="12"/>
      <c r="J49" s="12"/>
      <c r="K49" s="11"/>
      <c r="L49" s="12"/>
      <c r="M49" s="12"/>
      <c r="N49" s="11"/>
      <c r="O49" s="12"/>
      <c r="P49" s="12"/>
      <c r="Q49" s="12"/>
      <c r="R49" s="12"/>
      <c r="S49" s="1308"/>
      <c r="T49" s="1308"/>
      <c r="U49" s="591"/>
      <c r="V49" s="591"/>
      <c r="W49" s="591"/>
      <c r="X49" s="591"/>
      <c r="Y49" s="591"/>
      <c r="Z49" s="591"/>
      <c r="AA49" s="591"/>
      <c r="AB49" s="591"/>
      <c r="AC49" s="591"/>
      <c r="AD49" s="591"/>
      <c r="AE49" s="591"/>
      <c r="AF49" s="591"/>
      <c r="AG49" s="591"/>
      <c r="AH49" s="591"/>
      <c r="AI49" s="591"/>
      <c r="AJ49" s="591"/>
      <c r="AK49" s="591"/>
      <c r="AL49" s="591"/>
      <c r="AM49" s="591"/>
      <c r="AN49" s="591"/>
      <c r="AO49" s="591"/>
      <c r="AP49" s="591"/>
      <c r="AQ49" s="591"/>
      <c r="AR49" s="591"/>
      <c r="AS49" s="591"/>
      <c r="AT49" s="591"/>
      <c r="AU49" s="591"/>
      <c r="AV49" s="591"/>
      <c r="AW49" s="591"/>
      <c r="AX49" s="591"/>
      <c r="AY49" s="591"/>
      <c r="AZ49" s="2"/>
      <c r="BA49" s="2"/>
      <c r="BB49" s="591"/>
    </row>
    <row r="50" spans="1:54" ht="18.75" customHeight="1" x14ac:dyDescent="0.2">
      <c r="A50" s="2"/>
      <c r="B50" s="2"/>
      <c r="C50" s="2174" t="s">
        <v>196</v>
      </c>
      <c r="D50" s="2174"/>
      <c r="E50" s="2174"/>
      <c r="F50" s="96"/>
      <c r="G50" s="2225" t="s">
        <v>488</v>
      </c>
      <c r="H50" s="2226"/>
      <c r="I50" s="2226"/>
      <c r="J50" s="2226"/>
      <c r="K50" s="2226"/>
      <c r="L50" s="2226"/>
      <c r="M50" s="2227"/>
      <c r="N50" s="656"/>
      <c r="O50" s="656"/>
      <c r="P50" s="14"/>
      <c r="Q50" s="2"/>
      <c r="R50" s="15"/>
      <c r="S50" s="1309"/>
      <c r="T50" s="591"/>
      <c r="U50" s="591"/>
      <c r="V50" s="591"/>
      <c r="W50" s="591"/>
      <c r="X50" s="591"/>
      <c r="Y50" s="591"/>
      <c r="Z50" s="1308"/>
      <c r="AA50" s="1309"/>
      <c r="AB50" s="591"/>
      <c r="AC50" s="591"/>
      <c r="AD50" s="591"/>
      <c r="AE50" s="591"/>
      <c r="AF50" s="591"/>
      <c r="AG50" s="591"/>
      <c r="AH50" s="591"/>
      <c r="AI50" s="591"/>
      <c r="AJ50" s="591"/>
      <c r="AK50" s="591"/>
      <c r="AL50" s="591"/>
      <c r="AM50" s="591"/>
      <c r="AN50" s="591"/>
      <c r="AO50" s="591"/>
      <c r="AP50" s="591"/>
      <c r="AQ50" s="591"/>
      <c r="AR50" s="591"/>
      <c r="AS50" s="591"/>
      <c r="AT50" s="591"/>
      <c r="AU50" s="591"/>
      <c r="AV50" s="591"/>
      <c r="AW50" s="591"/>
      <c r="AX50" s="591"/>
      <c r="AY50" s="591"/>
      <c r="AZ50" s="2"/>
      <c r="BA50" s="2"/>
      <c r="BB50" s="591"/>
    </row>
    <row r="51" spans="1:54" ht="16.5" customHeight="1" x14ac:dyDescent="0.25">
      <c r="A51" s="2"/>
      <c r="B51" s="2"/>
      <c r="C51" s="2126" t="s">
        <v>197</v>
      </c>
      <c r="D51" s="2127"/>
      <c r="E51" s="2128"/>
      <c r="F51" s="554"/>
      <c r="G51" s="293" t="str">
        <f>VLOOKUP(M3,K144:M148,3,FALSE)</f>
        <v>IVA a debito</v>
      </c>
      <c r="H51" s="294" t="str">
        <f>VLOOKUP(M3,K144:O148,5,FALSE)</f>
        <v>IVA a credito</v>
      </c>
      <c r="I51" s="2214" t="s">
        <v>200</v>
      </c>
      <c r="J51" s="2215"/>
      <c r="K51" s="1303" t="s">
        <v>201</v>
      </c>
      <c r="L51" s="2214" t="s">
        <v>71</v>
      </c>
      <c r="M51" s="2215"/>
      <c r="N51" s="14"/>
      <c r="O51" s="14"/>
      <c r="P51" s="14"/>
      <c r="Q51" s="12"/>
      <c r="R51" s="2"/>
      <c r="S51" s="591"/>
      <c r="T51" s="591"/>
      <c r="U51" s="591"/>
      <c r="V51" s="591"/>
      <c r="W51" s="591"/>
      <c r="X51" s="591"/>
      <c r="Y51" s="591"/>
      <c r="Z51" s="591"/>
      <c r="AA51" s="591"/>
      <c r="AB51" s="591"/>
      <c r="AC51" s="591"/>
      <c r="AD51" s="591"/>
      <c r="AE51" s="591"/>
      <c r="AF51" s="591"/>
      <c r="AG51" s="591"/>
      <c r="AH51" s="591"/>
      <c r="AI51" s="591"/>
      <c r="AJ51" s="591"/>
      <c r="AK51" s="591"/>
      <c r="AL51" s="591"/>
      <c r="AM51" s="591"/>
      <c r="AN51" s="591"/>
      <c r="AO51" s="591"/>
      <c r="AP51" s="591"/>
      <c r="AQ51" s="591"/>
      <c r="AR51" s="591"/>
      <c r="AS51" s="591"/>
      <c r="AT51" s="591"/>
      <c r="AU51" s="591"/>
      <c r="AV51" s="591"/>
      <c r="AW51" s="591"/>
      <c r="AX51" s="591"/>
      <c r="AY51" s="591"/>
      <c r="AZ51" s="2"/>
      <c r="BA51" s="2"/>
      <c r="BB51" s="591"/>
    </row>
    <row r="52" spans="1:54" ht="16.5" customHeight="1" x14ac:dyDescent="0.2">
      <c r="A52" s="2"/>
      <c r="B52" s="2"/>
      <c r="C52" s="2129"/>
      <c r="D52" s="2130"/>
      <c r="E52" s="2131"/>
      <c r="F52" s="576"/>
      <c r="G52" s="295" t="str">
        <f>VLOOKUP(M3,K144:N148,4,FALSE)</f>
        <v>corrispettivi</v>
      </c>
      <c r="H52" s="296" t="str">
        <f>VLOOKUP(M3,K144:P148,6,FALSE)</f>
        <v>ACQUISTI</v>
      </c>
      <c r="I52" s="2212" t="s">
        <v>201</v>
      </c>
      <c r="J52" s="2213"/>
      <c r="K52" s="1304" t="s">
        <v>204</v>
      </c>
      <c r="L52" s="2212" t="s">
        <v>205</v>
      </c>
      <c r="M52" s="2213"/>
      <c r="N52" s="14"/>
      <c r="O52" s="14"/>
      <c r="P52" s="14"/>
      <c r="Q52" s="12"/>
      <c r="R52" s="2"/>
      <c r="S52" s="591"/>
      <c r="T52" s="591"/>
      <c r="U52" s="591"/>
      <c r="V52" s="591"/>
      <c r="W52" s="591"/>
      <c r="X52" s="591"/>
      <c r="Y52" s="591"/>
      <c r="Z52" s="591"/>
      <c r="AA52" s="591"/>
      <c r="AB52" s="591"/>
      <c r="AC52" s="591"/>
      <c r="AD52" s="591"/>
      <c r="AE52" s="591"/>
      <c r="AF52" s="591"/>
      <c r="AG52" s="591"/>
      <c r="AH52" s="591"/>
      <c r="AI52" s="591"/>
      <c r="AJ52" s="591"/>
      <c r="AK52" s="591"/>
      <c r="AL52" s="591"/>
      <c r="AM52" s="591"/>
      <c r="AN52" s="591"/>
      <c r="AO52" s="591"/>
      <c r="AP52" s="591"/>
      <c r="AQ52" s="591"/>
      <c r="AR52" s="591"/>
      <c r="AS52" s="591"/>
      <c r="AT52" s="591"/>
      <c r="AU52" s="591"/>
      <c r="AV52" s="591"/>
      <c r="AW52" s="591"/>
      <c r="AX52" s="591"/>
      <c r="AY52" s="591"/>
      <c r="AZ52" s="2"/>
      <c r="BA52" s="2"/>
      <c r="BB52" s="591"/>
    </row>
    <row r="53" spans="1:54" ht="16.5" customHeight="1" x14ac:dyDescent="0.2">
      <c r="A53" s="2"/>
      <c r="B53" s="2"/>
      <c r="C53" s="2132" t="s">
        <v>816</v>
      </c>
      <c r="D53" s="2133"/>
      <c r="E53" s="2134"/>
      <c r="F53" s="554"/>
      <c r="G53" s="2045">
        <f>E48</f>
        <v>0</v>
      </c>
      <c r="H53" s="2047"/>
      <c r="I53" s="2066">
        <f>G53+H53</f>
        <v>0</v>
      </c>
      <c r="J53" s="2067"/>
      <c r="K53" s="2183"/>
      <c r="L53" s="2066">
        <f>I53+K53</f>
        <v>0</v>
      </c>
      <c r="M53" s="2067"/>
      <c r="N53" s="14"/>
      <c r="O53" s="14"/>
      <c r="P53" s="14"/>
      <c r="Q53" s="12"/>
      <c r="R53" s="2"/>
      <c r="S53" s="591"/>
      <c r="T53" s="591"/>
      <c r="U53" s="591"/>
      <c r="V53" s="591"/>
      <c r="W53" s="591"/>
      <c r="X53" s="591"/>
      <c r="Y53" s="591"/>
      <c r="Z53" s="591"/>
      <c r="AA53" s="591"/>
      <c r="AB53" s="591"/>
      <c r="AC53" s="591"/>
      <c r="AD53" s="591"/>
      <c r="AE53" s="591"/>
      <c r="AF53" s="591"/>
      <c r="AG53" s="591"/>
      <c r="AH53" s="591"/>
      <c r="AI53" s="591"/>
      <c r="AJ53" s="591"/>
      <c r="AK53" s="591"/>
      <c r="AL53" s="591"/>
      <c r="AM53" s="591"/>
      <c r="AN53" s="591"/>
      <c r="AO53" s="591"/>
      <c r="AP53" s="591"/>
      <c r="AQ53" s="591"/>
      <c r="AR53" s="591"/>
      <c r="AS53" s="591"/>
      <c r="AT53" s="591"/>
      <c r="AU53" s="591"/>
      <c r="AV53" s="591"/>
      <c r="AW53" s="591"/>
      <c r="AX53" s="591"/>
      <c r="AY53" s="591"/>
      <c r="AZ53" s="2"/>
      <c r="BA53" s="2"/>
      <c r="BB53" s="591"/>
    </row>
    <row r="54" spans="1:54" ht="16.5" customHeight="1" x14ac:dyDescent="0.2">
      <c r="A54" s="2"/>
      <c r="B54" s="2"/>
      <c r="C54" s="2042"/>
      <c r="D54" s="2043"/>
      <c r="E54" s="2044"/>
      <c r="F54" s="577"/>
      <c r="G54" s="2046"/>
      <c r="H54" s="2048"/>
      <c r="I54" s="2068"/>
      <c r="J54" s="2069"/>
      <c r="K54" s="2184"/>
      <c r="L54" s="2068"/>
      <c r="M54" s="2069"/>
      <c r="N54" s="14"/>
      <c r="O54" s="14"/>
      <c r="P54" s="14"/>
      <c r="Q54" s="12"/>
      <c r="R54" s="2"/>
      <c r="S54" s="591"/>
      <c r="T54" s="591"/>
      <c r="U54" s="591"/>
      <c r="V54" s="591"/>
      <c r="W54" s="591"/>
      <c r="X54" s="591"/>
      <c r="Y54" s="591"/>
      <c r="Z54" s="591"/>
      <c r="AA54" s="591"/>
      <c r="AB54" s="591"/>
      <c r="AC54" s="591"/>
      <c r="AD54" s="591"/>
      <c r="AE54" s="591"/>
      <c r="AF54" s="591"/>
      <c r="AG54" s="591"/>
      <c r="AH54" s="591"/>
      <c r="AI54" s="591"/>
      <c r="AJ54" s="591"/>
      <c r="AK54" s="591"/>
      <c r="AL54" s="591"/>
      <c r="AM54" s="591"/>
      <c r="AN54" s="591"/>
      <c r="AO54" s="591"/>
      <c r="AP54" s="591"/>
      <c r="AQ54" s="591"/>
      <c r="AR54" s="591"/>
      <c r="AS54" s="591"/>
      <c r="AT54" s="591"/>
      <c r="AU54" s="591"/>
      <c r="AV54" s="591"/>
      <c r="AW54" s="591"/>
      <c r="AX54" s="591"/>
      <c r="AY54" s="591"/>
      <c r="AZ54" s="2"/>
      <c r="BA54" s="2"/>
      <c r="BB54" s="591"/>
    </row>
    <row r="55" spans="1:54" ht="16.5" customHeight="1" x14ac:dyDescent="0.2">
      <c r="A55" s="2"/>
      <c r="B55" s="2"/>
      <c r="C55" s="2132" t="s">
        <v>815</v>
      </c>
      <c r="D55" s="2133"/>
      <c r="E55" s="2134"/>
      <c r="F55" s="555"/>
      <c r="G55" s="16" t="s">
        <v>206</v>
      </c>
      <c r="H55" s="890" t="s">
        <v>207</v>
      </c>
      <c r="I55" s="2120" t="str">
        <f>VLOOKUP(M3,K144:Q148,7,FALSE)</f>
        <v>DEBITO +</v>
      </c>
      <c r="J55" s="2121"/>
      <c r="K55" s="891" t="s">
        <v>208</v>
      </c>
      <c r="L55" s="2120" t="str">
        <f>VLOOKUP(M3,K144:T148,9,FALSE)</f>
        <v>DEBITO +</v>
      </c>
      <c r="M55" s="2121"/>
      <c r="N55" s="14"/>
      <c r="O55" s="14"/>
      <c r="P55" s="12"/>
      <c r="Q55" s="2"/>
      <c r="R55" s="2"/>
      <c r="S55" s="591"/>
      <c r="T55" s="591"/>
      <c r="U55" s="591"/>
      <c r="V55" s="591"/>
      <c r="W55" s="591"/>
      <c r="X55" s="591"/>
      <c r="Y55" s="591"/>
      <c r="Z55" s="591"/>
      <c r="AA55" s="591"/>
      <c r="AB55" s="591"/>
      <c r="AC55" s="591"/>
      <c r="AD55" s="591"/>
      <c r="AE55" s="591"/>
      <c r="AF55" s="591"/>
      <c r="AG55" s="591"/>
      <c r="AH55" s="591"/>
      <c r="AI55" s="591"/>
      <c r="AJ55" s="591"/>
      <c r="AK55" s="591"/>
      <c r="AL55" s="591"/>
      <c r="AM55" s="591"/>
      <c r="AN55" s="591"/>
      <c r="AO55" s="591"/>
      <c r="AP55" s="591"/>
      <c r="AQ55" s="591"/>
      <c r="AR55" s="591"/>
      <c r="AS55" s="591"/>
      <c r="AT55" s="591"/>
      <c r="AU55" s="591"/>
      <c r="AV55" s="591"/>
      <c r="AW55" s="591"/>
      <c r="AX55" s="591"/>
      <c r="AY55" s="591"/>
      <c r="AZ55" s="2"/>
      <c r="BA55" s="2"/>
      <c r="BB55" s="591"/>
    </row>
    <row r="56" spans="1:54" ht="16.5" customHeight="1" x14ac:dyDescent="0.2">
      <c r="A56" s="2"/>
      <c r="B56" s="2"/>
      <c r="C56" s="2138"/>
      <c r="D56" s="2139"/>
      <c r="E56" s="1215"/>
      <c r="F56" s="514"/>
      <c r="G56" s="97"/>
      <c r="H56" s="14"/>
      <c r="I56" s="2123" t="str">
        <f>VLOOKUP(M3,K144:R148,8,FALSE)</f>
        <v>CREDITO -</v>
      </c>
      <c r="J56" s="2124"/>
      <c r="K56" s="14"/>
      <c r="L56" s="2123" t="str">
        <f>VLOOKUP(M3,K144:T148,10,FALSE)</f>
        <v>CREDITO -</v>
      </c>
      <c r="M56" s="2124"/>
      <c r="N56" s="14"/>
      <c r="O56" s="2122"/>
      <c r="P56" s="2122"/>
      <c r="Q56" s="14"/>
      <c r="R56" s="2"/>
      <c r="S56" s="591"/>
      <c r="T56" s="591"/>
      <c r="U56" s="591"/>
      <c r="V56" s="591"/>
      <c r="W56" s="591"/>
      <c r="X56" s="591"/>
      <c r="Y56" s="591"/>
      <c r="Z56" s="591"/>
      <c r="AA56" s="591"/>
      <c r="AB56" s="591"/>
      <c r="AC56" s="591"/>
      <c r="AD56" s="591"/>
      <c r="AE56" s="591"/>
      <c r="AF56" s="591"/>
      <c r="AG56" s="591"/>
      <c r="AH56" s="591"/>
      <c r="AI56" s="591"/>
      <c r="AJ56" s="591"/>
      <c r="AK56" s="591"/>
      <c r="AL56" s="591"/>
      <c r="AM56" s="591"/>
      <c r="AN56" s="591"/>
      <c r="AO56" s="591"/>
      <c r="AP56" s="591"/>
      <c r="AQ56" s="591"/>
      <c r="AR56" s="591"/>
      <c r="AS56" s="591"/>
      <c r="AT56" s="591"/>
      <c r="AU56" s="591"/>
      <c r="AV56" s="591"/>
      <c r="AW56" s="591"/>
      <c r="AX56" s="591"/>
      <c r="AY56" s="591"/>
      <c r="AZ56" s="2"/>
      <c r="BA56" s="2"/>
      <c r="BB56" s="591"/>
    </row>
    <row r="57" spans="1:54" ht="30" customHeight="1" x14ac:dyDescent="0.2">
      <c r="A57" s="2"/>
      <c r="B57" s="17"/>
      <c r="C57" s="2144" t="s">
        <v>346</v>
      </c>
      <c r="D57" s="2144"/>
      <c r="E57" s="2145"/>
      <c r="F57" s="2145"/>
      <c r="G57" s="892" t="s">
        <v>347</v>
      </c>
      <c r="H57" s="892"/>
      <c r="I57" s="892"/>
      <c r="J57" s="892"/>
      <c r="K57" s="892"/>
      <c r="L57" s="892"/>
      <c r="M57" s="892"/>
      <c r="N57" s="892"/>
      <c r="O57" s="2211" t="s">
        <v>405</v>
      </c>
      <c r="P57" s="2211"/>
      <c r="Q57" s="255"/>
      <c r="R57" s="255"/>
      <c r="S57" s="1307"/>
      <c r="T57" s="1307"/>
      <c r="U57" s="591"/>
      <c r="V57" s="591"/>
      <c r="W57" s="591"/>
      <c r="X57" s="591"/>
      <c r="Y57" s="591"/>
      <c r="Z57" s="591"/>
      <c r="AA57" s="1307"/>
      <c r="AB57" s="1307"/>
      <c r="AC57" s="591"/>
      <c r="AD57" s="591"/>
      <c r="AE57" s="591"/>
      <c r="AF57" s="591"/>
      <c r="AG57" s="591"/>
      <c r="AH57" s="591"/>
      <c r="AI57" s="591"/>
      <c r="AJ57" s="591"/>
      <c r="AK57" s="591"/>
      <c r="AL57" s="591"/>
      <c r="AM57" s="591"/>
      <c r="AN57" s="591"/>
      <c r="AO57" s="591"/>
      <c r="AP57" s="591"/>
      <c r="AQ57" s="591"/>
      <c r="AR57" s="591"/>
      <c r="AS57" s="591"/>
      <c r="AT57" s="591"/>
      <c r="AU57" s="591"/>
      <c r="AV57" s="591"/>
      <c r="AW57" s="591"/>
      <c r="AX57" s="591"/>
      <c r="AY57" s="591"/>
      <c r="AZ57" s="2"/>
      <c r="BA57" s="2"/>
      <c r="BB57" s="591"/>
    </row>
    <row r="58" spans="1:54" ht="24.75" customHeight="1" x14ac:dyDescent="0.2">
      <c r="A58" s="2"/>
      <c r="B58" s="2"/>
      <c r="C58" s="2143">
        <f>IMPOSTAZIONI!T73</f>
        <v>0</v>
      </c>
      <c r="D58" s="2143"/>
      <c r="E58" s="2143"/>
      <c r="F58" s="2143"/>
      <c r="G58" s="893" t="str">
        <f>IMPOSTAZIONI!Y75</f>
        <v>Indirizzo esteso UBICAZIONE dell' Esercizio (facoltativo)</v>
      </c>
      <c r="H58" s="893"/>
      <c r="I58" s="893"/>
      <c r="J58" s="893"/>
      <c r="K58" s="893"/>
      <c r="L58" s="893"/>
      <c r="M58" s="893"/>
      <c r="N58" s="893"/>
      <c r="O58" s="1113" t="s">
        <v>344</v>
      </c>
      <c r="P58" s="2119">
        <v>10</v>
      </c>
      <c r="Q58" s="2119"/>
      <c r="R58" s="14"/>
      <c r="S58" s="591"/>
      <c r="T58" s="591"/>
      <c r="U58" s="591"/>
      <c r="V58" s="591"/>
      <c r="W58" s="591"/>
      <c r="X58" s="591"/>
      <c r="Y58" s="591"/>
      <c r="Z58" s="591"/>
      <c r="AA58" s="591"/>
      <c r="AB58" s="591"/>
      <c r="AC58" s="591"/>
      <c r="AD58" s="591"/>
      <c r="AE58" s="591"/>
      <c r="AF58" s="591"/>
      <c r="AG58" s="591"/>
      <c r="AH58" s="591"/>
      <c r="AI58" s="591"/>
      <c r="AJ58" s="591"/>
      <c r="AK58" s="591"/>
      <c r="AL58" s="591"/>
      <c r="AM58" s="591"/>
      <c r="AN58" s="591"/>
      <c r="AO58" s="591"/>
      <c r="AP58" s="591"/>
      <c r="AQ58" s="591"/>
      <c r="AR58" s="591"/>
      <c r="AS58" s="591"/>
      <c r="AT58" s="591"/>
      <c r="AU58" s="591"/>
      <c r="AV58" s="591"/>
      <c r="AW58" s="591"/>
      <c r="AX58" s="591"/>
      <c r="AY58" s="591"/>
      <c r="AZ58" s="2"/>
      <c r="BA58" s="2"/>
      <c r="BB58" s="591"/>
    </row>
    <row r="59" spans="1:54" ht="15.75" customHeight="1" x14ac:dyDescent="0.2">
      <c r="A59" s="2"/>
      <c r="B59" s="2"/>
      <c r="C59" s="2146" t="s">
        <v>248</v>
      </c>
      <c r="D59" s="2146"/>
      <c r="E59" s="2146"/>
      <c r="F59" s="2"/>
      <c r="G59" s="2"/>
      <c r="H59" s="2"/>
      <c r="I59" s="2"/>
      <c r="J59" s="2"/>
      <c r="K59" s="2"/>
      <c r="L59" s="2"/>
      <c r="M59" s="2"/>
      <c r="N59" s="2"/>
      <c r="O59" s="2"/>
      <c r="P59" s="2"/>
      <c r="Q59" s="2"/>
      <c r="R59" s="2"/>
      <c r="S59" s="591"/>
      <c r="T59" s="591"/>
      <c r="U59" s="591"/>
      <c r="V59" s="591"/>
      <c r="W59" s="591"/>
      <c r="X59" s="591"/>
      <c r="Y59" s="591"/>
      <c r="Z59" s="591"/>
      <c r="AA59" s="591"/>
      <c r="AB59" s="591"/>
      <c r="AC59" s="591"/>
      <c r="AD59" s="591"/>
      <c r="AE59" s="591"/>
      <c r="AF59" s="591"/>
      <c r="AG59" s="591"/>
      <c r="AH59" s="591"/>
      <c r="AI59" s="591"/>
      <c r="AJ59" s="591"/>
      <c r="AK59" s="591"/>
      <c r="AL59" s="591"/>
      <c r="AM59" s="591"/>
      <c r="AN59" s="591"/>
      <c r="AO59" s="591"/>
      <c r="AP59" s="591"/>
      <c r="AQ59" s="591"/>
      <c r="AR59" s="591"/>
      <c r="AS59" s="591"/>
      <c r="AT59" s="591"/>
      <c r="AU59" s="591"/>
      <c r="AV59" s="591"/>
      <c r="AW59" s="591"/>
      <c r="AX59" s="591"/>
      <c r="AY59" s="591"/>
      <c r="AZ59" s="591"/>
      <c r="BA59" s="591"/>
      <c r="BB59" s="591"/>
    </row>
    <row r="60" spans="1:54" ht="15" hidden="1" customHeight="1" x14ac:dyDescent="0.2">
      <c r="A60" s="2"/>
      <c r="B60" s="2"/>
      <c r="C60" s="2"/>
      <c r="D60" s="2"/>
      <c r="E60" s="2"/>
      <c r="F60" s="2"/>
      <c r="G60" s="2"/>
      <c r="H60" s="2"/>
      <c r="I60" s="2"/>
      <c r="J60" s="2"/>
      <c r="K60" s="2"/>
      <c r="L60" s="2"/>
      <c r="M60" s="2"/>
      <c r="N60" s="2"/>
      <c r="O60" s="2"/>
      <c r="P60" s="1012" t="s">
        <v>765</v>
      </c>
      <c r="Q60" s="2"/>
      <c r="R60" s="2"/>
      <c r="S60" s="591"/>
      <c r="T60" s="591"/>
      <c r="U60" s="591"/>
      <c r="V60" s="591"/>
      <c r="W60" s="591"/>
      <c r="X60" s="591"/>
      <c r="Y60" s="591"/>
      <c r="Z60" s="591"/>
      <c r="AA60" s="591"/>
      <c r="AB60" s="591"/>
      <c r="AC60" s="591"/>
      <c r="AD60" s="591"/>
      <c r="AE60" s="591"/>
      <c r="AF60" s="591"/>
      <c r="AG60" s="591"/>
      <c r="AH60" s="591"/>
      <c r="AI60" s="591"/>
      <c r="AJ60" s="591"/>
      <c r="AK60" s="591"/>
      <c r="AL60" s="591"/>
      <c r="AM60" s="591"/>
      <c r="AN60" s="591"/>
      <c r="AO60" s="591"/>
      <c r="AP60" s="591"/>
      <c r="AQ60" s="591"/>
      <c r="AR60" s="591"/>
      <c r="AS60" s="591"/>
      <c r="AT60" s="591"/>
      <c r="AU60" s="591"/>
      <c r="AV60" s="591"/>
      <c r="AW60" s="591"/>
      <c r="AX60" s="591"/>
      <c r="AY60" s="591"/>
      <c r="AZ60" s="591"/>
      <c r="BA60" s="591"/>
      <c r="BB60" s="591"/>
    </row>
    <row r="61" spans="1:54" ht="16.5" hidden="1" customHeight="1" x14ac:dyDescent="0.2">
      <c r="A61" s="2"/>
      <c r="B61" s="2"/>
      <c r="C61" s="1369">
        <f>IF(M3=K147,0,IF(T65=0,0,IF(E8=CONCATENATE(L131,"  "),0,IF(COUNTIF(G62:N62,$L$134)&gt;0,1,0))))</f>
        <v>0</v>
      </c>
      <c r="D61" s="1369">
        <f>IMPOSTAZIONI!H35</f>
        <v>0</v>
      </c>
      <c r="E61" s="2"/>
      <c r="F61" s="2"/>
      <c r="G61" s="1010" t="str">
        <f>IMPOSTAZIONI!$I$19</f>
        <v>Colonna 1</v>
      </c>
      <c r="H61" s="1010" t="str">
        <f>IMPOSTAZIONI!$M$19</f>
        <v>Colonna 2</v>
      </c>
      <c r="I61" s="101"/>
      <c r="J61" s="101"/>
      <c r="K61" s="1010" t="str">
        <f>IMPOSTAZIONI!$U$19</f>
        <v>Colonna 3</v>
      </c>
      <c r="L61" s="101"/>
      <c r="M61" s="101"/>
      <c r="N61" s="1010" t="str">
        <f>IMPOSTAZIONI!$AC$19</f>
        <v>Colonna 4</v>
      </c>
      <c r="O61" s="2"/>
      <c r="P61" s="1013" t="s">
        <v>766</v>
      </c>
      <c r="Q61" s="2"/>
      <c r="R61" s="2"/>
      <c r="S61" s="591"/>
      <c r="T61" s="591"/>
      <c r="U61" s="591"/>
      <c r="V61" s="591"/>
      <c r="W61" s="591"/>
      <c r="X61" s="591"/>
      <c r="Y61" s="591"/>
      <c r="Z61" s="591"/>
      <c r="AA61" s="591"/>
      <c r="AB61" s="591"/>
      <c r="AC61" s="591"/>
      <c r="AD61" s="591"/>
      <c r="AE61" s="591"/>
      <c r="AF61" s="591"/>
      <c r="AG61" s="591"/>
      <c r="AH61" s="591"/>
      <c r="AI61" s="591"/>
      <c r="AJ61" s="591"/>
      <c r="AK61" s="591"/>
      <c r="AL61" s="591"/>
      <c r="AM61" s="591"/>
      <c r="AN61" s="591"/>
      <c r="AO61" s="591"/>
      <c r="AP61" s="591"/>
      <c r="AQ61" s="591"/>
      <c r="AR61" s="591"/>
      <c r="AS61" s="591"/>
      <c r="AT61" s="591"/>
      <c r="AU61" s="591"/>
      <c r="AV61" s="591"/>
      <c r="AW61" s="591"/>
      <c r="AX61" s="591"/>
      <c r="AY61" s="591"/>
      <c r="AZ61" s="591"/>
      <c r="BA61" s="591"/>
      <c r="BB61" s="591"/>
    </row>
    <row r="62" spans="1:54" ht="20.25" hidden="1" customHeight="1" x14ac:dyDescent="0.2">
      <c r="A62" s="2"/>
      <c r="B62" s="2"/>
      <c r="C62" s="2"/>
      <c r="D62" s="2"/>
      <c r="E62" s="2"/>
      <c r="F62" s="2"/>
      <c r="G62" s="1011" t="str">
        <f>IF(IMPOSTAZIONI!$I$35=0,$L$135,IMPOSTAZIONI!$I$35)</f>
        <v>SCORPORO</v>
      </c>
      <c r="H62" s="1011" t="str">
        <f>IF(IMPOSTAZIONI!$M$35=0,$L$135,IMPOSTAZIONI!$M$35)</f>
        <v>SCORPORO</v>
      </c>
      <c r="I62" s="101"/>
      <c r="J62" s="101"/>
      <c r="K62" s="1011" t="str">
        <f>IF(IMPOSTAZIONI!$U$35=0,$L$135,IMPOSTAZIONI!$U$35)</f>
        <v>SCORPORO</v>
      </c>
      <c r="L62" s="101"/>
      <c r="M62" s="101"/>
      <c r="N62" s="1011" t="str">
        <f>IF(IMPOSTAZIONI!$AC$35=0,$L$135,IMPOSTAZIONI!$AC$35)</f>
        <v>SCORPORO</v>
      </c>
      <c r="O62" s="2"/>
      <c r="P62" s="2"/>
      <c r="Q62" s="2"/>
      <c r="R62" s="2"/>
      <c r="S62" s="2"/>
      <c r="T62" s="2"/>
      <c r="U62" s="2"/>
      <c r="V62" s="2"/>
      <c r="W62" s="2"/>
      <c r="X62" s="2"/>
      <c r="Y62" s="2"/>
      <c r="Z62" s="2"/>
      <c r="AA62" s="2"/>
      <c r="AB62" s="591"/>
      <c r="AC62" s="591"/>
      <c r="AD62" s="591"/>
      <c r="AE62" s="591"/>
      <c r="AF62" s="591"/>
      <c r="AG62" s="591"/>
      <c r="AH62" s="591"/>
      <c r="AI62" s="591"/>
      <c r="AJ62" s="591"/>
      <c r="AK62" s="591"/>
      <c r="AL62" s="591"/>
      <c r="AM62" s="591"/>
      <c r="AN62" s="591"/>
      <c r="AO62" s="591"/>
      <c r="AP62" s="591"/>
      <c r="AQ62" s="591"/>
      <c r="AR62" s="591"/>
      <c r="AS62" s="591"/>
      <c r="AT62" s="591"/>
      <c r="AU62" s="591"/>
      <c r="AV62" s="591"/>
      <c r="AW62" s="591"/>
      <c r="AX62" s="591"/>
      <c r="AY62" s="591"/>
      <c r="AZ62" s="591"/>
      <c r="BA62" s="591"/>
      <c r="BB62" s="591"/>
    </row>
    <row r="63" spans="1:54" ht="20.25" hidden="1" customHeight="1" x14ac:dyDescent="0.2">
      <c r="A63" s="2"/>
      <c r="B63" s="2"/>
      <c r="C63" s="2"/>
      <c r="D63" s="2"/>
      <c r="E63" s="2"/>
      <c r="F63" s="966" t="s">
        <v>814</v>
      </c>
      <c r="G63" s="965">
        <f>IF(G62=$L134,ROUND(G46,2),0)</f>
        <v>0</v>
      </c>
      <c r="H63" s="964">
        <f>IF(H62=$L134,ROUND(H46,2),0)</f>
        <v>0</v>
      </c>
      <c r="I63" s="2"/>
      <c r="J63" s="2"/>
      <c r="K63" s="963">
        <f>IF(K62=$L134,ROUND(K46,2),0)</f>
        <v>0</v>
      </c>
      <c r="L63" s="2"/>
      <c r="M63" s="2"/>
      <c r="N63" s="963">
        <f>IF(N62=$L134,ROUND(N46,2),0)</f>
        <v>0</v>
      </c>
      <c r="O63" s="2"/>
      <c r="P63" s="2"/>
      <c r="Q63" s="2"/>
      <c r="R63" s="2"/>
      <c r="S63" s="2"/>
      <c r="T63" s="2"/>
      <c r="U63" s="2"/>
      <c r="V63" s="2"/>
      <c r="W63" s="2"/>
      <c r="X63" s="2"/>
      <c r="Y63" s="2"/>
      <c r="Z63" s="2"/>
      <c r="AA63" s="2"/>
      <c r="AB63" s="591"/>
      <c r="AC63" s="591"/>
      <c r="AD63" s="591"/>
      <c r="AE63" s="591"/>
      <c r="AF63" s="591"/>
      <c r="AG63" s="591"/>
      <c r="AH63" s="591"/>
      <c r="AI63" s="591"/>
      <c r="AJ63" s="591"/>
      <c r="AK63" s="591"/>
      <c r="AL63" s="591"/>
      <c r="AM63" s="591"/>
      <c r="AN63" s="591"/>
      <c r="AO63" s="591"/>
      <c r="AP63" s="591"/>
      <c r="AQ63" s="591"/>
      <c r="AR63" s="591"/>
      <c r="AS63" s="591"/>
      <c r="AT63" s="591"/>
      <c r="AU63" s="591"/>
      <c r="AV63" s="591"/>
      <c r="AW63" s="591"/>
      <c r="AX63" s="591"/>
      <c r="AY63" s="591"/>
      <c r="AZ63" s="591"/>
      <c r="BA63" s="591"/>
      <c r="BB63" s="591"/>
    </row>
    <row r="64" spans="1:54" ht="3.75" hidden="1"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591"/>
      <c r="AC64" s="591"/>
      <c r="AD64" s="591"/>
      <c r="AE64" s="591"/>
      <c r="AF64" s="591"/>
      <c r="AG64" s="591"/>
      <c r="AH64" s="591"/>
      <c r="AI64" s="591"/>
      <c r="AJ64" s="591"/>
      <c r="AK64" s="591"/>
      <c r="AL64" s="591"/>
      <c r="AM64" s="591"/>
      <c r="AN64" s="591"/>
      <c r="AO64" s="591"/>
      <c r="AP64" s="591"/>
      <c r="AQ64" s="591"/>
      <c r="AR64" s="591"/>
      <c r="AS64" s="591"/>
      <c r="AT64" s="591"/>
      <c r="AU64" s="591"/>
      <c r="AV64" s="591"/>
      <c r="AW64" s="591"/>
      <c r="AX64" s="591"/>
      <c r="AY64" s="591"/>
      <c r="AZ64" s="591"/>
      <c r="BA64" s="591"/>
      <c r="BB64" s="591"/>
    </row>
    <row r="65" spans="1:54" ht="20.25" hidden="1" customHeight="1" x14ac:dyDescent="0.2">
      <c r="A65" s="2"/>
      <c r="B65" s="2"/>
      <c r="C65" s="2"/>
      <c r="D65" s="2"/>
      <c r="E65" s="2"/>
      <c r="F65" s="966" t="s">
        <v>744</v>
      </c>
      <c r="G65" s="967">
        <f>G63+H63+K63+N63</f>
        <v>0</v>
      </c>
      <c r="H65" s="1114" t="str">
        <f>IF(M3=K147,"",CONCATENATE("VENTILAZIONE ",IMPOSTAZIONI!D35,IMPOSTAZIONI!B32))</f>
        <v xml:space="preserve">VENTILAZIONE </v>
      </c>
      <c r="I65" s="2"/>
      <c r="J65" s="2"/>
      <c r="K65" s="2"/>
      <c r="L65" s="2"/>
      <c r="M65" s="2"/>
      <c r="N65" s="2"/>
      <c r="O65" s="2"/>
      <c r="P65" s="2"/>
      <c r="Q65" s="2"/>
      <c r="R65" s="2"/>
      <c r="S65" s="1111" t="str">
        <f>IMPOSTAZIONI!H143</f>
        <v>MENSILE</v>
      </c>
      <c r="T65" s="2019">
        <f>IMPOSTAZIONI!D35</f>
        <v>0</v>
      </c>
      <c r="U65" s="1116" t="str">
        <f>$C182</f>
        <v>01/01 - 31/10</v>
      </c>
      <c r="V65" s="1081" t="s">
        <v>790</v>
      </c>
      <c r="W65" s="2"/>
      <c r="X65" s="2"/>
      <c r="Y65" s="1081" t="s">
        <v>792</v>
      </c>
      <c r="Z65" s="2"/>
      <c r="AA65" s="2"/>
      <c r="AB65" s="591"/>
      <c r="AC65" s="591"/>
      <c r="AD65" s="591"/>
      <c r="AE65" s="591"/>
      <c r="AF65" s="591"/>
      <c r="AG65" s="591"/>
      <c r="AH65" s="591"/>
      <c r="AI65" s="591"/>
      <c r="AJ65" s="591"/>
      <c r="AK65" s="591"/>
      <c r="AL65" s="591"/>
      <c r="AM65" s="591"/>
      <c r="AN65" s="591"/>
      <c r="AO65" s="591"/>
      <c r="AP65" s="591"/>
      <c r="AQ65" s="591"/>
      <c r="AR65" s="591"/>
      <c r="AS65" s="591"/>
      <c r="AT65" s="591"/>
      <c r="AU65" s="591"/>
      <c r="AV65" s="591"/>
      <c r="AW65" s="591"/>
      <c r="AX65" s="591"/>
      <c r="AY65" s="591"/>
      <c r="AZ65" s="591"/>
      <c r="BA65" s="591"/>
      <c r="BB65" s="591"/>
    </row>
    <row r="66" spans="1:54" ht="20.25" hidden="1" customHeight="1" x14ac:dyDescent="0.2">
      <c r="A66" s="2"/>
      <c r="B66" s="2"/>
      <c r="C66" s="2"/>
      <c r="D66" s="2"/>
      <c r="E66" s="2"/>
      <c r="F66" s="2"/>
      <c r="G66" s="2"/>
      <c r="H66" s="10"/>
      <c r="I66" s="10"/>
      <c r="J66" s="10"/>
      <c r="K66" s="10"/>
      <c r="L66" s="10"/>
      <c r="M66" s="10"/>
      <c r="N66" s="1008" t="s">
        <v>746</v>
      </c>
      <c r="O66" s="2"/>
      <c r="P66" s="2"/>
      <c r="Q66" s="2"/>
      <c r="R66" s="2"/>
      <c r="S66" s="1112" t="str">
        <f>IMPOSTAZIONI!H144</f>
        <v>TRIMESTRALE</v>
      </c>
      <c r="T66" s="2020"/>
      <c r="U66" s="806" t="str">
        <f>DIC!U65</f>
        <v>01/01 - 31/12</v>
      </c>
      <c r="V66" s="478" t="s">
        <v>791</v>
      </c>
      <c r="W66" s="2"/>
      <c r="X66" s="2"/>
      <c r="Y66" s="478" t="s">
        <v>793</v>
      </c>
      <c r="Z66" s="2"/>
      <c r="AA66" s="2"/>
      <c r="AB66" s="591"/>
      <c r="AC66" s="591"/>
      <c r="AD66" s="591"/>
      <c r="AE66" s="591"/>
      <c r="AF66" s="591"/>
      <c r="AG66" s="591"/>
      <c r="AH66" s="591"/>
      <c r="AI66" s="591"/>
      <c r="AJ66" s="591"/>
      <c r="AK66" s="591"/>
      <c r="AM66" s="591"/>
      <c r="AN66" s="591"/>
      <c r="AO66" s="591"/>
      <c r="AP66" s="591"/>
      <c r="AQ66" s="591"/>
      <c r="AS66" s="591"/>
      <c r="AT66" s="591"/>
      <c r="AU66" s="591"/>
      <c r="AV66" s="591"/>
      <c r="AW66" s="591"/>
      <c r="AY66" s="591"/>
    </row>
    <row r="67" spans="1:54" ht="24" hidden="1" customHeight="1" x14ac:dyDescent="0.2">
      <c r="A67" s="2"/>
      <c r="B67" s="2"/>
      <c r="C67" s="1183" t="s">
        <v>747</v>
      </c>
      <c r="D67" s="1165"/>
      <c r="E67" s="1165"/>
      <c r="F67" s="1165"/>
      <c r="G67" s="1197" t="e">
        <f>VLOOKUP(T65,S65:V66,4,FALSE)</f>
        <v>#N/A</v>
      </c>
      <c r="H67" s="1165"/>
      <c r="I67" s="2136" t="s">
        <v>748</v>
      </c>
      <c r="J67" s="2136"/>
      <c r="K67" s="1167"/>
      <c r="L67" s="14"/>
      <c r="M67" s="14"/>
      <c r="N67" s="1009" t="s">
        <v>749</v>
      </c>
      <c r="O67" s="2"/>
      <c r="P67" s="2"/>
      <c r="Q67" s="2"/>
      <c r="R67" s="2"/>
      <c r="S67" s="1129" t="e">
        <f>VLOOKUP(G67,V65:Y66,4,FALSE)</f>
        <v>#N/A</v>
      </c>
      <c r="T67" s="1115" t="str">
        <f>IF(T65=S66,U66,U65)</f>
        <v>01/01 - 31/10</v>
      </c>
      <c r="U67" s="2"/>
      <c r="V67" s="2"/>
      <c r="W67" s="2"/>
      <c r="X67" s="2"/>
      <c r="Y67" s="2"/>
      <c r="Z67" s="2"/>
      <c r="AA67" s="2"/>
      <c r="AB67" s="591"/>
      <c r="AC67" s="591"/>
      <c r="AD67" s="591"/>
      <c r="AE67" s="591"/>
      <c r="AF67" s="591"/>
      <c r="AG67" s="591"/>
      <c r="AH67" s="591"/>
      <c r="AI67" s="591"/>
      <c r="AJ67" s="591"/>
      <c r="AK67" s="591"/>
      <c r="AM67" s="591"/>
      <c r="AN67" s="591"/>
      <c r="AO67" s="591"/>
      <c r="AP67" s="591"/>
      <c r="AQ67" s="591"/>
      <c r="AS67" s="591"/>
      <c r="AT67" s="591"/>
      <c r="AU67" s="591"/>
      <c r="AV67" s="591"/>
      <c r="AW67" s="591"/>
      <c r="AY67" s="591"/>
    </row>
    <row r="68" spans="1:54" ht="20.25" hidden="1" customHeight="1" x14ac:dyDescent="0.2">
      <c r="A68" s="2"/>
      <c r="B68" s="2"/>
      <c r="C68" s="1169" t="s">
        <v>750</v>
      </c>
      <c r="D68" s="14"/>
      <c r="E68" s="14"/>
      <c r="F68" s="14"/>
      <c r="G68" s="1209" t="str">
        <f>C95</f>
        <v>01/10 - 31/10</v>
      </c>
      <c r="H68" s="971" t="s">
        <v>751</v>
      </c>
      <c r="I68" s="2137" t="str">
        <f>T67</f>
        <v>01/01 - 31/10</v>
      </c>
      <c r="J68" s="2137"/>
      <c r="K68" s="1208" t="s">
        <v>752</v>
      </c>
      <c r="L68" s="2022" t="s">
        <v>195</v>
      </c>
      <c r="M68" s="2022"/>
      <c r="N68" s="972" t="s">
        <v>353</v>
      </c>
      <c r="O68" s="2"/>
      <c r="P68" s="2"/>
      <c r="Q68" s="2"/>
      <c r="R68" s="2"/>
      <c r="S68" s="2"/>
      <c r="T68" s="2"/>
      <c r="U68" s="2"/>
      <c r="V68" s="2"/>
      <c r="W68" s="2"/>
      <c r="X68" s="2"/>
      <c r="Y68" s="2"/>
      <c r="Z68" s="2"/>
      <c r="AA68" s="2"/>
      <c r="AB68" s="591"/>
      <c r="AC68" s="591"/>
      <c r="AD68" s="591"/>
      <c r="AE68" s="591"/>
      <c r="AF68" s="591"/>
      <c r="AG68" s="591"/>
      <c r="AH68" s="591"/>
      <c r="AI68" s="591"/>
      <c r="AJ68" s="591"/>
      <c r="AK68" s="591"/>
      <c r="AM68" s="591"/>
      <c r="AN68" s="591"/>
      <c r="AO68" s="591"/>
      <c r="AP68" s="591"/>
      <c r="AQ68" s="591"/>
      <c r="AS68" s="591"/>
      <c r="AT68" s="591"/>
      <c r="AU68" s="591"/>
      <c r="AV68" s="591"/>
      <c r="AW68" s="591"/>
      <c r="AY68" s="591"/>
    </row>
    <row r="69" spans="1:54" ht="20.25" hidden="1" customHeight="1" x14ac:dyDescent="0.2">
      <c r="A69" s="2"/>
      <c r="B69" s="2"/>
      <c r="C69" s="1198" t="s">
        <v>753</v>
      </c>
      <c r="D69" s="14"/>
      <c r="E69" s="14"/>
      <c r="F69" s="14"/>
      <c r="G69" s="1015"/>
      <c r="H69" s="1202">
        <f>IF(AND(IMPOSTAZIONI!AF$147="",G69&lt;&gt;0),E$163,IMPOSTAZIONI!AF$147)</f>
        <v>22</v>
      </c>
      <c r="I69" s="2024">
        <f>IF($T$65=$S$66,Z69,G69+SET!I69)</f>
        <v>0</v>
      </c>
      <c r="J69" s="2025"/>
      <c r="K69" s="1201">
        <f>IF(I73=0,0,K73-SUM(K70:K72))</f>
        <v>0</v>
      </c>
      <c r="L69" s="2023" t="str">
        <f>CONCATENATE("al ",H69," %")</f>
        <v>al 22 %</v>
      </c>
      <c r="M69" s="2023"/>
      <c r="N69" s="973">
        <f>IF(SUM(I69:J72)=0,0,ROUND(G65-SUM(N70:N72),2))</f>
        <v>0</v>
      </c>
      <c r="O69" s="2"/>
      <c r="P69" s="2"/>
      <c r="Q69" s="2"/>
      <c r="R69" s="2"/>
      <c r="S69" s="974">
        <f>IF(ISERROR(G77),0,G77)</f>
        <v>0</v>
      </c>
      <c r="T69" s="975">
        <f>IF(ISERROR(G78),0,G78)</f>
        <v>0</v>
      </c>
      <c r="U69" s="976">
        <f>IF(ISERROR(G79),0,G79)</f>
        <v>0</v>
      </c>
      <c r="V69" s="2"/>
      <c r="W69" s="1117">
        <f>OTT!$G69</f>
        <v>0</v>
      </c>
      <c r="X69" s="1118">
        <f>NOV!$G69</f>
        <v>0</v>
      </c>
      <c r="Y69" s="1119">
        <f>DIC!$G69</f>
        <v>0</v>
      </c>
      <c r="Z69" s="1120">
        <f>SUM(W69:Y69)+SET!Z69</f>
        <v>0</v>
      </c>
      <c r="AA69" s="2"/>
      <c r="AB69" s="591"/>
      <c r="AC69" s="591"/>
      <c r="AD69" s="591"/>
      <c r="AE69" s="591"/>
      <c r="AF69" s="591"/>
      <c r="AG69" s="591"/>
      <c r="AH69" s="591"/>
      <c r="AI69" s="591"/>
      <c r="AJ69" s="591"/>
      <c r="AK69" s="591"/>
      <c r="AM69" s="591"/>
      <c r="AN69" s="591"/>
      <c r="AO69" s="591"/>
      <c r="AP69" s="591"/>
      <c r="AQ69" s="591"/>
      <c r="AS69" s="591"/>
      <c r="AT69" s="591"/>
      <c r="AU69" s="591"/>
      <c r="AV69" s="591"/>
      <c r="AW69" s="591"/>
      <c r="AY69" s="591"/>
    </row>
    <row r="70" spans="1:54" ht="20.25" hidden="1" customHeight="1" x14ac:dyDescent="0.25">
      <c r="A70" s="2"/>
      <c r="B70" s="2"/>
      <c r="C70" s="1199" t="s">
        <v>754</v>
      </c>
      <c r="D70" s="14"/>
      <c r="E70" s="14"/>
      <c r="F70" s="14"/>
      <c r="G70" s="1016"/>
      <c r="H70" s="1202">
        <f>IF(AND(IMPOSTAZIONI!AG$147="",G70&lt;&gt;0),E$163,IMPOSTAZIONI!AG$147)</f>
        <v>10</v>
      </c>
      <c r="I70" s="2026">
        <f>IF($T$65=$S$66,Z70,G70+SET!I70)</f>
        <v>0</v>
      </c>
      <c r="J70" s="2027"/>
      <c r="K70" s="1201">
        <f>IF(I$73=0,0,ROUND(I70/I$73*100,2))</f>
        <v>0</v>
      </c>
      <c r="L70" s="2023" t="str">
        <f>CONCATENATE("al ",H70," %")</f>
        <v>al 10 %</v>
      </c>
      <c r="M70" s="2023"/>
      <c r="N70" s="977">
        <f>ROUND(G$65*K70/100,2)</f>
        <v>0</v>
      </c>
      <c r="O70" s="2"/>
      <c r="P70" s="2"/>
      <c r="Q70" s="2"/>
      <c r="R70" s="2"/>
      <c r="S70" s="978">
        <f>IF(ISERROR(H77),0,H77)</f>
        <v>0</v>
      </c>
      <c r="T70" s="968">
        <f>IF(ISERROR(H78),0,H78)</f>
        <v>0</v>
      </c>
      <c r="U70" s="979">
        <f>IF(ISERROR(H79),0,H79)</f>
        <v>0</v>
      </c>
      <c r="V70" s="2"/>
      <c r="W70" s="1121">
        <f>OTT!$G70</f>
        <v>0</v>
      </c>
      <c r="X70" s="1122">
        <f>NOV!$G70</f>
        <v>0</v>
      </c>
      <c r="Y70" s="1123">
        <f>DIC!$G70</f>
        <v>0</v>
      </c>
      <c r="Z70" s="1124">
        <f>SUM(W70:Y70)+SET!Z70</f>
        <v>0</v>
      </c>
      <c r="AA70" s="2"/>
      <c r="AB70" s="591"/>
      <c r="AC70" s="591"/>
      <c r="AD70" s="591"/>
      <c r="AE70" s="591"/>
      <c r="AF70" s="591"/>
      <c r="AG70" s="591"/>
      <c r="AH70" s="591"/>
      <c r="AI70" s="591"/>
      <c r="AJ70" s="591"/>
      <c r="AK70" s="591"/>
      <c r="AM70" s="591"/>
      <c r="AN70" s="591"/>
      <c r="AO70" s="591"/>
      <c r="AP70" s="591"/>
      <c r="AQ70" s="591"/>
      <c r="AS70" s="591"/>
      <c r="AT70" s="591"/>
      <c r="AU70" s="591"/>
      <c r="AV70" s="591"/>
      <c r="AW70" s="591"/>
      <c r="AY70" s="591"/>
    </row>
    <row r="71" spans="1:54" ht="20.25" hidden="1" customHeight="1" x14ac:dyDescent="0.2">
      <c r="A71" s="2"/>
      <c r="B71" s="2"/>
      <c r="C71" s="1200" t="s">
        <v>755</v>
      </c>
      <c r="D71" s="14"/>
      <c r="E71" s="14"/>
      <c r="F71" s="14"/>
      <c r="G71" s="1016"/>
      <c r="H71" s="1202">
        <f>IF(AND(IMPOSTAZIONI!AH$147="",G71&lt;&gt;0),E$163,IMPOSTAZIONI!AH$147)</f>
        <v>4</v>
      </c>
      <c r="I71" s="2026">
        <f>IF($T$65=$S$66,Z71,G71+SET!I71)</f>
        <v>0</v>
      </c>
      <c r="J71" s="2027"/>
      <c r="K71" s="1201">
        <f>IF(I$73=0,0,ROUND(I71/I$73*100,2))</f>
        <v>0</v>
      </c>
      <c r="L71" s="2023" t="str">
        <f>CONCATENATE("al ",H71," %")</f>
        <v>al 4 %</v>
      </c>
      <c r="M71" s="2023"/>
      <c r="N71" s="977">
        <f>ROUND(G$65*K71/100,2)</f>
        <v>0</v>
      </c>
      <c r="O71" s="2"/>
      <c r="P71" s="2"/>
      <c r="Q71" s="2"/>
      <c r="R71" s="2"/>
      <c r="S71" s="978">
        <f>IF(ISERROR(I77),0,I77)</f>
        <v>0</v>
      </c>
      <c r="T71" s="968">
        <f>IF(ISERROR(I78),0,I78)</f>
        <v>0</v>
      </c>
      <c r="U71" s="979">
        <f>IF(ISERROR(I79),0,I79)</f>
        <v>0</v>
      </c>
      <c r="V71" s="2"/>
      <c r="W71" s="1121">
        <f>OTT!$G71</f>
        <v>0</v>
      </c>
      <c r="X71" s="1122">
        <f>NOV!$G71</f>
        <v>0</v>
      </c>
      <c r="Y71" s="1123">
        <f>DIC!$G71</f>
        <v>0</v>
      </c>
      <c r="Z71" s="1124">
        <f>SUM(W71:Y71)+SET!Z71</f>
        <v>0</v>
      </c>
      <c r="AA71" s="2"/>
      <c r="AB71" s="591"/>
      <c r="AC71" s="591"/>
      <c r="AD71" s="591"/>
      <c r="AE71" s="591"/>
      <c r="AF71" s="591"/>
      <c r="AG71" s="591"/>
      <c r="AH71" s="591"/>
      <c r="AI71" s="591"/>
      <c r="AJ71" s="591"/>
      <c r="AK71" s="591"/>
      <c r="AM71" s="591"/>
      <c r="AN71" s="591"/>
      <c r="AO71" s="591"/>
      <c r="AP71" s="591"/>
      <c r="AQ71" s="591"/>
      <c r="AS71" s="591"/>
      <c r="AT71" s="591"/>
      <c r="AU71" s="591"/>
      <c r="AV71" s="591"/>
      <c r="AW71" s="591"/>
      <c r="AY71" s="591"/>
    </row>
    <row r="72" spans="1:54" ht="20.25" hidden="1" customHeight="1" x14ac:dyDescent="0.2">
      <c r="A72" s="2"/>
      <c r="B72" s="2"/>
      <c r="C72" s="1171"/>
      <c r="D72" s="14"/>
      <c r="E72" s="14"/>
      <c r="F72" s="14"/>
      <c r="G72" s="1017"/>
      <c r="H72" s="1202" t="str">
        <f>IF(AND(IMPOSTAZIONI!AI$147="",G72&lt;&gt;0),E$163,IMPOSTAZIONI!AI$147)</f>
        <v/>
      </c>
      <c r="I72" s="2039">
        <f>IF($T$65=$S$66,Z72,G72+SET!I72)</f>
        <v>0</v>
      </c>
      <c r="J72" s="2040"/>
      <c r="K72" s="1201">
        <f>IF(I$73=0,0,ROUND(I72/I$73*100,2))</f>
        <v>0</v>
      </c>
      <c r="L72" s="2023" t="str">
        <f>CONCATENATE("al ",H72," %")</f>
        <v>al  %</v>
      </c>
      <c r="M72" s="2023"/>
      <c r="N72" s="980">
        <f>ROUND(G$65*K72/100,2)</f>
        <v>0</v>
      </c>
      <c r="O72" s="2"/>
      <c r="P72" s="2"/>
      <c r="Q72" s="2"/>
      <c r="R72" s="2"/>
      <c r="S72" s="981">
        <f>IF(ISERROR(K77),0,K77)</f>
        <v>0</v>
      </c>
      <c r="T72" s="969">
        <f>IF(ISERROR(K78),0,K78)</f>
        <v>0</v>
      </c>
      <c r="U72" s="982">
        <f>IF(ISERROR(K79),0,K79)</f>
        <v>0</v>
      </c>
      <c r="V72" s="2"/>
      <c r="W72" s="1125">
        <f>OTT!$G72</f>
        <v>0</v>
      </c>
      <c r="X72" s="1126">
        <f>NOV!$G72</f>
        <v>0</v>
      </c>
      <c r="Y72" s="1127">
        <f>DIC!$G72</f>
        <v>0</v>
      </c>
      <c r="Z72" s="1128">
        <f>SUM(W72:Y72)+SET!Z72</f>
        <v>0</v>
      </c>
      <c r="AA72" s="2"/>
      <c r="AB72" s="591"/>
      <c r="AC72" s="591"/>
      <c r="AD72" s="591"/>
      <c r="AE72" s="591"/>
      <c r="AF72" s="591"/>
      <c r="AG72" s="591"/>
      <c r="AH72" s="591"/>
      <c r="AI72" s="591"/>
      <c r="AJ72" s="591"/>
      <c r="AK72" s="591"/>
      <c r="AM72" s="591"/>
      <c r="AN72" s="591"/>
      <c r="AO72" s="591"/>
      <c r="AP72" s="591"/>
      <c r="AQ72" s="591"/>
      <c r="AS72" s="591"/>
      <c r="AT72" s="591"/>
      <c r="AU72" s="591"/>
      <c r="AV72" s="591"/>
      <c r="AW72" s="591"/>
      <c r="AY72" s="591"/>
    </row>
    <row r="73" spans="1:54" ht="20.25" hidden="1" customHeight="1" x14ac:dyDescent="0.2">
      <c r="A73" s="2"/>
      <c r="B73" s="2"/>
      <c r="C73" s="1171"/>
      <c r="D73" s="14"/>
      <c r="E73" s="14"/>
      <c r="F73" s="983" t="s">
        <v>105</v>
      </c>
      <c r="G73" s="1014">
        <f>SUM(G69:G72)</f>
        <v>0</v>
      </c>
      <c r="H73" s="866"/>
      <c r="I73" s="2041">
        <f>SUM(I69:I72)</f>
        <v>0</v>
      </c>
      <c r="J73" s="2041"/>
      <c r="K73" s="1196">
        <v>100</v>
      </c>
      <c r="L73" s="2"/>
      <c r="M73" s="2"/>
      <c r="N73" s="967">
        <f>SUM(N69:N72)</f>
        <v>0</v>
      </c>
      <c r="O73" s="503" t="str">
        <f>IF(C61=0,"",IF(G65=N73,"OK",E163))</f>
        <v/>
      </c>
      <c r="P73" s="2"/>
      <c r="Q73" s="2"/>
      <c r="R73" s="2"/>
      <c r="S73" s="2"/>
      <c r="T73" s="2"/>
      <c r="U73" s="2"/>
      <c r="V73" s="2"/>
      <c r="W73" s="2"/>
      <c r="X73" s="2"/>
      <c r="Y73" s="2"/>
      <c r="Z73" s="2"/>
      <c r="AA73" s="2"/>
      <c r="AB73" s="591"/>
      <c r="AC73" s="591"/>
      <c r="AD73" s="591"/>
      <c r="AE73" s="591"/>
      <c r="AF73" s="591"/>
      <c r="AG73" s="591"/>
      <c r="AH73" s="591"/>
      <c r="AI73" s="591"/>
      <c r="AJ73" s="591"/>
      <c r="AK73" s="591"/>
      <c r="AM73" s="591"/>
      <c r="AN73" s="591"/>
      <c r="AO73" s="591"/>
      <c r="AP73" s="591"/>
      <c r="AQ73" s="591"/>
      <c r="AS73" s="591"/>
      <c r="AT73" s="591"/>
      <c r="AU73" s="591"/>
      <c r="AV73" s="591"/>
      <c r="AW73" s="591"/>
      <c r="AY73" s="591"/>
    </row>
    <row r="74" spans="1:54" ht="20.25" hidden="1" customHeight="1" x14ac:dyDescent="0.2">
      <c r="A74" s="2"/>
      <c r="B74" s="2"/>
      <c r="C74" s="1172"/>
      <c r="D74" s="1173"/>
      <c r="E74" s="1173"/>
      <c r="F74" s="1173"/>
      <c r="G74" s="1173"/>
      <c r="H74" s="1173"/>
      <c r="I74" s="2051" t="s">
        <v>756</v>
      </c>
      <c r="J74" s="2051"/>
      <c r="K74" s="2052"/>
      <c r="L74" s="14"/>
      <c r="M74" s="14"/>
      <c r="N74" s="139"/>
      <c r="O74" s="2"/>
      <c r="P74" s="2"/>
      <c r="Q74" s="2"/>
      <c r="R74" s="2"/>
      <c r="S74" s="2"/>
      <c r="T74" s="2"/>
      <c r="U74" s="2"/>
      <c r="V74" s="2"/>
      <c r="W74" s="2"/>
      <c r="X74" s="2"/>
      <c r="Y74" s="2"/>
      <c r="Z74" s="2"/>
      <c r="AA74" s="2"/>
      <c r="AB74" s="591"/>
      <c r="AC74" s="591"/>
      <c r="AD74" s="591"/>
      <c r="AE74" s="591"/>
      <c r="AF74" s="591"/>
      <c r="AG74" s="591"/>
      <c r="AH74" s="591"/>
      <c r="AI74" s="591"/>
      <c r="AJ74" s="591"/>
      <c r="AK74" s="591"/>
      <c r="AM74" s="591"/>
      <c r="AN74" s="591"/>
      <c r="AO74" s="591"/>
      <c r="AP74" s="591"/>
      <c r="AQ74" s="591"/>
      <c r="AS74" s="591"/>
      <c r="AT74" s="591"/>
      <c r="AU74" s="591"/>
      <c r="AV74" s="591"/>
      <c r="AW74" s="591"/>
      <c r="AY74" s="591"/>
    </row>
    <row r="75" spans="1:54" ht="11.25" hidden="1" customHeight="1" x14ac:dyDescent="0.2">
      <c r="A75" s="2"/>
      <c r="B75" s="2"/>
      <c r="C75" s="2"/>
      <c r="D75" s="2"/>
      <c r="E75" s="2"/>
      <c r="F75" s="2"/>
      <c r="G75" s="2"/>
      <c r="H75" s="2"/>
      <c r="I75" s="2"/>
      <c r="J75" s="2"/>
      <c r="K75" s="2"/>
      <c r="L75" s="14"/>
      <c r="M75" s="14"/>
      <c r="N75" s="139"/>
      <c r="O75" s="2"/>
      <c r="P75" s="2"/>
      <c r="Q75" s="2"/>
      <c r="R75" s="2"/>
      <c r="S75" s="2"/>
      <c r="T75" s="2"/>
      <c r="U75" s="2"/>
      <c r="V75" s="2"/>
      <c r="W75" s="2"/>
      <c r="X75" s="2"/>
      <c r="Y75" s="2"/>
      <c r="Z75" s="2"/>
      <c r="AA75" s="2"/>
      <c r="AB75" s="591"/>
      <c r="AC75" s="591"/>
      <c r="AD75" s="591"/>
      <c r="AE75" s="591"/>
      <c r="AF75" s="591"/>
      <c r="AG75" s="591"/>
      <c r="AH75" s="591"/>
      <c r="AI75" s="591"/>
      <c r="AJ75" s="591"/>
      <c r="AK75" s="591"/>
      <c r="AM75" s="591"/>
      <c r="AN75" s="591"/>
      <c r="AO75" s="591"/>
      <c r="AP75" s="591"/>
      <c r="AQ75" s="591"/>
      <c r="AS75" s="591"/>
      <c r="AT75" s="591"/>
      <c r="AU75" s="591"/>
      <c r="AV75" s="591"/>
      <c r="AW75" s="591"/>
      <c r="AY75" s="591"/>
    </row>
    <row r="76" spans="1:54" ht="20.25" hidden="1" customHeight="1" x14ac:dyDescent="0.2">
      <c r="A76" s="2"/>
      <c r="B76" s="2"/>
      <c r="C76" s="2"/>
      <c r="D76" s="2"/>
      <c r="E76" s="20"/>
      <c r="F76" s="984" t="s">
        <v>764</v>
      </c>
      <c r="G76" s="985">
        <f>H69</f>
        <v>22</v>
      </c>
      <c r="H76" s="985">
        <f>H70</f>
        <v>10</v>
      </c>
      <c r="I76" s="2142">
        <f>H71</f>
        <v>4</v>
      </c>
      <c r="J76" s="2142"/>
      <c r="K76" s="1162" t="str">
        <f>H72</f>
        <v/>
      </c>
      <c r="L76" s="2"/>
      <c r="M76" s="2"/>
      <c r="N76" s="986"/>
      <c r="O76" s="2"/>
      <c r="P76" s="2"/>
      <c r="Q76" s="2"/>
      <c r="R76" s="2"/>
      <c r="S76" s="2"/>
      <c r="T76" s="2"/>
      <c r="U76" s="2"/>
      <c r="V76" s="2"/>
      <c r="W76" s="2"/>
      <c r="X76" s="591"/>
      <c r="Y76" s="591"/>
      <c r="AB76" s="591"/>
      <c r="AC76" s="591"/>
      <c r="AD76" s="591"/>
      <c r="AE76" s="591"/>
      <c r="AF76" s="591"/>
      <c r="AG76" s="591"/>
      <c r="AH76" s="591"/>
      <c r="AI76" s="591"/>
      <c r="AJ76" s="591"/>
      <c r="AK76" s="591"/>
      <c r="AM76" s="591"/>
      <c r="AN76" s="591"/>
      <c r="AO76" s="591"/>
      <c r="AP76" s="591"/>
      <c r="AQ76" s="591"/>
      <c r="AS76" s="591"/>
      <c r="AT76" s="591"/>
      <c r="AU76" s="591"/>
      <c r="AV76" s="591"/>
      <c r="AW76" s="591"/>
      <c r="AY76" s="591"/>
    </row>
    <row r="77" spans="1:54" ht="20.25" hidden="1" customHeight="1" x14ac:dyDescent="0.2">
      <c r="A77" s="2"/>
      <c r="B77" s="2"/>
      <c r="C77" s="2"/>
      <c r="D77" s="2"/>
      <c r="E77" s="2"/>
      <c r="F77" s="987" t="s">
        <v>757</v>
      </c>
      <c r="G77" s="988">
        <f>N69-G78</f>
        <v>0</v>
      </c>
      <c r="H77" s="989">
        <f>N70-H78</f>
        <v>0</v>
      </c>
      <c r="I77" s="2037">
        <f>N71-I78</f>
        <v>0</v>
      </c>
      <c r="J77" s="2038"/>
      <c r="K77" s="989">
        <f>N72-K78</f>
        <v>0</v>
      </c>
      <c r="L77" s="2233">
        <f>SUM(S69:S72)</f>
        <v>0</v>
      </c>
      <c r="M77" s="2234"/>
      <c r="N77" s="990" t="s">
        <v>758</v>
      </c>
      <c r="O77" s="2"/>
      <c r="P77" s="2"/>
      <c r="Q77" s="2"/>
      <c r="R77" s="2"/>
      <c r="S77" s="2"/>
      <c r="T77" s="2"/>
      <c r="U77" s="2"/>
      <c r="V77" s="2"/>
      <c r="W77" s="2"/>
      <c r="X77" s="591"/>
      <c r="Y77" s="591"/>
      <c r="AG77" s="591"/>
      <c r="AH77" s="591"/>
      <c r="AI77" s="591"/>
      <c r="AJ77" s="591"/>
      <c r="AK77" s="591"/>
      <c r="AM77" s="591"/>
      <c r="AN77" s="591"/>
      <c r="AO77" s="591"/>
      <c r="AP77" s="591"/>
      <c r="AQ77" s="591"/>
      <c r="AS77" s="591"/>
      <c r="AT77" s="591"/>
      <c r="AU77" s="591"/>
      <c r="AV77" s="591"/>
      <c r="AW77" s="591"/>
      <c r="AY77" s="591"/>
    </row>
    <row r="78" spans="1:54" ht="20.25" hidden="1" customHeight="1" x14ac:dyDescent="0.2">
      <c r="A78" s="2"/>
      <c r="B78" s="2"/>
      <c r="C78" s="2"/>
      <c r="D78" s="2"/>
      <c r="E78" s="2"/>
      <c r="F78" s="991" t="s">
        <v>759</v>
      </c>
      <c r="G78" s="992">
        <f>IF(G76="",0,ROUND(N69*G76/(100+G76),2))</f>
        <v>0</v>
      </c>
      <c r="H78" s="993">
        <f>IF(H76="",0,ROUND(N70*H76/(100+H76),2))</f>
        <v>0</v>
      </c>
      <c r="I78" s="2140">
        <f>IF(I76="",0,ROUND(N71*I76/(100+I76),2))</f>
        <v>0</v>
      </c>
      <c r="J78" s="2141"/>
      <c r="K78" s="993">
        <f>IF(K76="",0,ROUND(N72*K76/(100+K76),2))</f>
        <v>0</v>
      </c>
      <c r="L78" s="2235">
        <f>SUM(T69:T72)</f>
        <v>0</v>
      </c>
      <c r="M78" s="2236"/>
      <c r="N78" s="994" t="s">
        <v>760</v>
      </c>
      <c r="O78" s="2"/>
      <c r="P78" s="2"/>
      <c r="Q78" s="2"/>
      <c r="R78" s="2"/>
      <c r="S78" s="2"/>
      <c r="T78" s="2"/>
      <c r="U78" s="128" t="s">
        <v>783</v>
      </c>
      <c r="V78" s="2"/>
      <c r="W78" s="2"/>
      <c r="X78" s="591"/>
      <c r="Y78" s="591"/>
      <c r="AG78" s="591"/>
      <c r="AH78" s="591"/>
      <c r="AI78" s="591"/>
      <c r="AJ78" s="591"/>
      <c r="AK78" s="591"/>
      <c r="AM78" s="591"/>
      <c r="AN78" s="591"/>
      <c r="AO78" s="591"/>
      <c r="AP78" s="591"/>
      <c r="AQ78" s="591"/>
      <c r="AS78" s="591"/>
      <c r="AT78" s="591"/>
      <c r="AU78" s="591"/>
      <c r="AV78" s="591"/>
      <c r="AW78" s="591"/>
      <c r="AY78" s="591"/>
    </row>
    <row r="79" spans="1:54" ht="20.25" hidden="1" customHeight="1" x14ac:dyDescent="0.2">
      <c r="A79" s="2"/>
      <c r="B79" s="2"/>
      <c r="C79" s="2"/>
      <c r="D79" s="2"/>
      <c r="E79" s="287"/>
      <c r="F79" s="995" t="s">
        <v>105</v>
      </c>
      <c r="G79" s="996">
        <f>G77+G78</f>
        <v>0</v>
      </c>
      <c r="H79" s="996">
        <f>H77+H78</f>
        <v>0</v>
      </c>
      <c r="I79" s="2135">
        <f>I77+I78</f>
        <v>0</v>
      </c>
      <c r="J79" s="2135"/>
      <c r="K79" s="996">
        <f>K77+K78</f>
        <v>0</v>
      </c>
      <c r="L79" s="287"/>
      <c r="M79" s="287"/>
      <c r="N79" s="996">
        <f>SUM(U69:U72)</f>
        <v>0</v>
      </c>
      <c r="O79" s="503" t="str">
        <f>IF(N79=N73,"OK",E163)</f>
        <v>OK</v>
      </c>
      <c r="P79" s="2"/>
      <c r="Q79" s="2"/>
      <c r="R79" s="924" t="str">
        <f>G62</f>
        <v>SCORPORO</v>
      </c>
      <c r="S79" s="997">
        <f>IF(R79=L$134,G$63,0)</f>
        <v>0</v>
      </c>
      <c r="T79" s="92">
        <f>G42</f>
        <v>0</v>
      </c>
      <c r="U79" s="997">
        <f>IF(T79=K$134,S79,0)</f>
        <v>0</v>
      </c>
      <c r="V79" s="2"/>
      <c r="W79" s="2"/>
      <c r="X79" s="591"/>
      <c r="Y79" s="591"/>
      <c r="AG79" s="591"/>
      <c r="AH79" s="591"/>
      <c r="AI79" s="591"/>
      <c r="AJ79" s="591"/>
      <c r="AK79" s="591"/>
      <c r="AM79" s="591"/>
      <c r="AN79" s="591"/>
      <c r="AO79" s="591"/>
      <c r="AP79" s="591"/>
      <c r="AQ79" s="591"/>
      <c r="AS79" s="591"/>
      <c r="AT79" s="591"/>
      <c r="AU79" s="591"/>
      <c r="AV79" s="591"/>
      <c r="AW79" s="591"/>
      <c r="AY79" s="591"/>
    </row>
    <row r="80" spans="1:54" ht="20.25" hidden="1" customHeight="1" x14ac:dyDescent="0.2">
      <c r="A80" s="2"/>
      <c r="B80" s="2"/>
      <c r="C80" s="2"/>
      <c r="D80" s="2"/>
      <c r="E80" s="2"/>
      <c r="F80" s="2"/>
      <c r="G80" s="2"/>
      <c r="H80" s="2"/>
      <c r="I80" s="2"/>
      <c r="J80" s="2"/>
      <c r="K80" s="2"/>
      <c r="L80" s="2"/>
      <c r="M80" s="2"/>
      <c r="N80" s="10"/>
      <c r="O80" s="2"/>
      <c r="P80" s="2"/>
      <c r="Q80" s="2"/>
      <c r="R80" s="924" t="str">
        <f>H62</f>
        <v>SCORPORO</v>
      </c>
      <c r="S80" s="998">
        <f>IF(R80=L$134,H63,0)</f>
        <v>0</v>
      </c>
      <c r="T80" s="92">
        <f>H42</f>
        <v>0</v>
      </c>
      <c r="U80" s="998">
        <f>IF(T80=K$134,S80,0)</f>
        <v>0</v>
      </c>
      <c r="V80" s="2"/>
      <c r="W80" s="2"/>
      <c r="X80" s="591"/>
      <c r="Y80" s="591"/>
      <c r="AG80" s="591"/>
      <c r="AH80" s="591"/>
      <c r="AI80" s="591"/>
      <c r="AJ80" s="591"/>
      <c r="AK80" s="591"/>
      <c r="AM80" s="591"/>
      <c r="AN80" s="591"/>
      <c r="AO80" s="591"/>
      <c r="AP80" s="591"/>
      <c r="AQ80" s="591"/>
      <c r="AS80" s="591"/>
      <c r="AT80" s="591"/>
      <c r="AU80" s="591"/>
      <c r="AV80" s="591"/>
      <c r="AW80" s="591"/>
      <c r="AY80" s="591"/>
    </row>
    <row r="81" spans="1:51" ht="20.25" hidden="1" customHeight="1" x14ac:dyDescent="0.2">
      <c r="A81" s="2"/>
      <c r="B81" s="2"/>
      <c r="C81" s="2"/>
      <c r="D81" s="2"/>
      <c r="E81" s="2"/>
      <c r="F81" s="2"/>
      <c r="G81" s="103" t="str">
        <f>G61</f>
        <v>Colonna 1</v>
      </c>
      <c r="H81" s="103" t="str">
        <f>H61</f>
        <v>Colonna 2</v>
      </c>
      <c r="I81" s="2053" t="str">
        <f>K61</f>
        <v>Colonna 3</v>
      </c>
      <c r="J81" s="2053"/>
      <c r="K81" s="103" t="str">
        <f>N61</f>
        <v>Colonna 4</v>
      </c>
      <c r="L81" s="2"/>
      <c r="M81" s="2"/>
      <c r="N81" s="14"/>
      <c r="O81" s="2"/>
      <c r="P81" s="2"/>
      <c r="Q81" s="2"/>
      <c r="R81" s="924" t="str">
        <f>K62</f>
        <v>SCORPORO</v>
      </c>
      <c r="S81" s="998">
        <f>IF(R81=L$134,K63,0)</f>
        <v>0</v>
      </c>
      <c r="T81" s="92">
        <f>K42</f>
        <v>0</v>
      </c>
      <c r="U81" s="998">
        <f>IF(T81=K$134,S81,0)</f>
        <v>0</v>
      </c>
      <c r="V81" s="2"/>
      <c r="W81" s="2"/>
      <c r="X81" s="591"/>
      <c r="Y81" s="591"/>
      <c r="AG81" s="591"/>
      <c r="AH81" s="591"/>
      <c r="AI81" s="591"/>
      <c r="AJ81" s="591"/>
      <c r="AK81" s="591"/>
      <c r="AM81" s="591"/>
      <c r="AN81" s="591"/>
      <c r="AO81" s="591"/>
      <c r="AP81" s="591"/>
      <c r="AQ81" s="591"/>
      <c r="AS81" s="591"/>
      <c r="AT81" s="591"/>
      <c r="AU81" s="591"/>
      <c r="AV81" s="591"/>
      <c r="AW81" s="591"/>
      <c r="AY81" s="591"/>
    </row>
    <row r="82" spans="1:51" ht="18" hidden="1" customHeight="1" x14ac:dyDescent="0.2">
      <c r="A82" s="2"/>
      <c r="B82" s="2"/>
      <c r="C82" s="2"/>
      <c r="D82" s="2"/>
      <c r="E82" s="2"/>
      <c r="F82" s="2"/>
      <c r="G82" s="1203" t="str">
        <f t="shared" ref="G82:H84" si="33">G43</f>
        <v/>
      </c>
      <c r="H82" s="1204" t="str">
        <f t="shared" si="33"/>
        <v/>
      </c>
      <c r="I82" s="2031" t="str">
        <f>K43</f>
        <v/>
      </c>
      <c r="J82" s="2031"/>
      <c r="K82" s="1205" t="str">
        <f>N43</f>
        <v/>
      </c>
      <c r="L82" s="2"/>
      <c r="M82" s="2"/>
      <c r="N82" s="14"/>
      <c r="O82" s="2"/>
      <c r="P82" s="2"/>
      <c r="Q82" s="2"/>
      <c r="R82" s="924" t="str">
        <f>N62</f>
        <v>SCORPORO</v>
      </c>
      <c r="S82" s="1007">
        <f>IF(R82=L$134,N63,0)</f>
        <v>0</v>
      </c>
      <c r="T82" s="92">
        <f>N42</f>
        <v>0</v>
      </c>
      <c r="U82" s="1007">
        <f>IF(T82=K$134,S82,0)</f>
        <v>0</v>
      </c>
      <c r="V82" s="2"/>
      <c r="W82" s="2"/>
      <c r="X82" s="591"/>
      <c r="Y82" s="591"/>
      <c r="AG82" s="591"/>
      <c r="AH82" s="591"/>
      <c r="AI82" s="591"/>
      <c r="AJ82" s="591"/>
      <c r="AK82" s="591"/>
      <c r="AM82" s="591"/>
      <c r="AN82" s="591"/>
      <c r="AO82" s="591"/>
      <c r="AP82" s="591"/>
      <c r="AQ82" s="591"/>
      <c r="AS82" s="591"/>
      <c r="AT82" s="591"/>
      <c r="AU82" s="591"/>
      <c r="AV82" s="591"/>
      <c r="AW82" s="591"/>
      <c r="AY82" s="591"/>
    </row>
    <row r="83" spans="1:51" ht="18" hidden="1" customHeight="1" x14ac:dyDescent="0.2">
      <c r="A83" s="2"/>
      <c r="B83" s="2"/>
      <c r="C83" s="2"/>
      <c r="D83" s="2"/>
      <c r="E83" s="2"/>
      <c r="F83" s="2"/>
      <c r="G83" s="1000" t="str">
        <f t="shared" si="33"/>
        <v/>
      </c>
      <c r="H83" s="1000" t="str">
        <f t="shared" si="33"/>
        <v/>
      </c>
      <c r="I83" s="2054" t="str">
        <f>K44</f>
        <v/>
      </c>
      <c r="J83" s="2054"/>
      <c r="K83" s="1000" t="str">
        <f>N44</f>
        <v/>
      </c>
      <c r="L83" s="2"/>
      <c r="M83" s="2"/>
      <c r="N83" s="14"/>
      <c r="O83" s="2"/>
      <c r="P83" s="2"/>
      <c r="Q83" s="2"/>
      <c r="R83" s="2"/>
      <c r="S83" s="999"/>
      <c r="T83" s="2"/>
      <c r="U83" s="999"/>
      <c r="V83" s="2"/>
      <c r="W83" s="2"/>
      <c r="X83" s="591"/>
      <c r="Y83" s="591"/>
      <c r="AG83" s="591"/>
      <c r="AH83" s="591"/>
      <c r="AI83" s="591"/>
      <c r="AJ83" s="591"/>
      <c r="AK83" s="591"/>
      <c r="AM83" s="591"/>
      <c r="AN83" s="591"/>
      <c r="AO83" s="591"/>
      <c r="AP83" s="591"/>
      <c r="AQ83" s="591"/>
      <c r="AS83" s="591"/>
      <c r="AT83" s="591"/>
      <c r="AU83" s="591"/>
      <c r="AV83" s="591"/>
      <c r="AW83" s="591"/>
      <c r="AY83" s="591"/>
    </row>
    <row r="84" spans="1:51" ht="18" hidden="1" customHeight="1" x14ac:dyDescent="0.2">
      <c r="A84" s="2"/>
      <c r="B84" s="2"/>
      <c r="C84" s="2"/>
      <c r="D84" s="2"/>
      <c r="E84" s="2"/>
      <c r="F84" s="2"/>
      <c r="G84" s="1001" t="str">
        <f t="shared" si="33"/>
        <v/>
      </c>
      <c r="H84" s="1001" t="str">
        <f t="shared" si="33"/>
        <v/>
      </c>
      <c r="I84" s="2055" t="str">
        <f>K45</f>
        <v/>
      </c>
      <c r="J84" s="2055"/>
      <c r="K84" s="1001" t="str">
        <f>N45</f>
        <v/>
      </c>
      <c r="L84" s="2"/>
      <c r="M84" s="2"/>
      <c r="N84" s="14"/>
      <c r="O84" s="2"/>
      <c r="P84" s="2"/>
      <c r="Q84" s="2"/>
      <c r="R84" s="2"/>
      <c r="S84" s="999"/>
      <c r="T84" s="2"/>
      <c r="U84" s="999"/>
      <c r="V84" s="2"/>
      <c r="W84" s="2"/>
      <c r="X84" s="591"/>
      <c r="Y84" s="591"/>
      <c r="AG84" s="591"/>
      <c r="AH84" s="591"/>
      <c r="AI84" s="591"/>
      <c r="AJ84" s="591"/>
      <c r="AK84" s="591"/>
      <c r="AM84" s="591"/>
      <c r="AN84" s="591"/>
      <c r="AO84" s="591"/>
      <c r="AP84" s="591"/>
      <c r="AQ84" s="591"/>
      <c r="AS84" s="591"/>
      <c r="AT84" s="591"/>
      <c r="AU84" s="591"/>
      <c r="AV84" s="591"/>
      <c r="AW84" s="591"/>
      <c r="AY84" s="591"/>
    </row>
    <row r="85" spans="1:51" ht="18" hidden="1" customHeight="1" x14ac:dyDescent="0.2">
      <c r="A85" s="2"/>
      <c r="B85" s="2"/>
      <c r="C85" s="2"/>
      <c r="D85" s="2"/>
      <c r="E85" s="2"/>
      <c r="F85" s="2"/>
      <c r="G85" s="1011" t="str">
        <f>VLOOKUP(G62,$L$134:$M$135,2,FALSE)</f>
        <v>SCORPORO</v>
      </c>
      <c r="H85" s="1011" t="str">
        <f>VLOOKUP(H62,$L$134:$M$135,2,FALSE)</f>
        <v>SCORPORO</v>
      </c>
      <c r="I85" s="2056" t="str">
        <f>VLOOKUP(K62,$L$134:$M$135,2,FALSE)</f>
        <v>SCORPORO</v>
      </c>
      <c r="J85" s="2056"/>
      <c r="K85" s="1011" t="str">
        <f>VLOOKUP(N62,$L$134:$M$135,2,FALSE)</f>
        <v>SCORPORO</v>
      </c>
      <c r="L85" s="2"/>
      <c r="M85" s="2"/>
      <c r="N85" s="14"/>
      <c r="O85" s="2"/>
      <c r="P85" s="2"/>
      <c r="Q85" s="2"/>
      <c r="R85" s="2"/>
      <c r="S85" s="999"/>
      <c r="T85" s="2"/>
      <c r="U85" s="999"/>
      <c r="V85" s="2"/>
      <c r="W85" s="2"/>
      <c r="X85" s="591"/>
      <c r="Y85" s="591"/>
      <c r="AG85" s="591"/>
      <c r="AH85" s="591"/>
      <c r="AI85" s="591"/>
      <c r="AJ85" s="591"/>
      <c r="AK85" s="591"/>
      <c r="AM85" s="591"/>
      <c r="AN85" s="591"/>
      <c r="AO85" s="591"/>
      <c r="AP85" s="591"/>
      <c r="AQ85" s="591"/>
      <c r="AS85" s="591"/>
      <c r="AT85" s="591"/>
      <c r="AU85" s="591"/>
      <c r="AV85" s="591"/>
      <c r="AW85" s="591"/>
      <c r="AY85" s="591"/>
    </row>
    <row r="86" spans="1:51" ht="20.25" hidden="1" customHeight="1" x14ac:dyDescent="0.2">
      <c r="A86" s="2"/>
      <c r="B86" s="2"/>
      <c r="C86" s="2"/>
      <c r="D86" s="2"/>
      <c r="E86" s="2"/>
      <c r="F86" s="1002" t="s">
        <v>761</v>
      </c>
      <c r="G86" s="1206">
        <f>IF($L77=0,0,$S79-G87)</f>
        <v>0</v>
      </c>
      <c r="H86" s="1206">
        <f>IF($L77=0,0,S80-H87)</f>
        <v>0</v>
      </c>
      <c r="I86" s="2035">
        <f>IF($L77=0,0,S81-I87)</f>
        <v>0</v>
      </c>
      <c r="J86" s="2036"/>
      <c r="K86" s="1206">
        <f>IF($L77=0,0,S82-K87)</f>
        <v>0</v>
      </c>
      <c r="L86" s="2237">
        <f>SUM(G86:K86)</f>
        <v>0</v>
      </c>
      <c r="M86" s="2237"/>
      <c r="N86" s="1003" t="s">
        <v>758</v>
      </c>
      <c r="O86" s="2"/>
      <c r="P86" s="2"/>
      <c r="Q86" s="2"/>
      <c r="R86" s="2"/>
      <c r="S86" s="999"/>
      <c r="T86" s="2"/>
      <c r="U86" s="999"/>
      <c r="V86" s="2"/>
      <c r="W86" s="2"/>
      <c r="X86" s="591"/>
      <c r="Y86" s="591"/>
      <c r="AG86" s="591"/>
      <c r="AH86" s="591"/>
      <c r="AI86" s="591"/>
      <c r="AJ86" s="591"/>
      <c r="AK86" s="591"/>
      <c r="AM86" s="591"/>
      <c r="AN86" s="591"/>
      <c r="AO86" s="591"/>
      <c r="AP86" s="591"/>
      <c r="AQ86" s="591"/>
      <c r="AS86" s="591"/>
      <c r="AT86" s="591"/>
      <c r="AU86" s="591"/>
      <c r="AV86" s="591"/>
      <c r="AW86" s="591"/>
      <c r="AY86" s="591"/>
    </row>
    <row r="87" spans="1:51" ht="20.25" hidden="1" customHeight="1" x14ac:dyDescent="0.2">
      <c r="A87" s="2"/>
      <c r="B87" s="2"/>
      <c r="C87" s="2"/>
      <c r="D87" s="2"/>
      <c r="E87" s="2"/>
      <c r="F87" s="1004" t="s">
        <v>762</v>
      </c>
      <c r="G87" s="1207">
        <f>IF($C$61=0,0,ROUND($L78*G89/100,2))</f>
        <v>0</v>
      </c>
      <c r="H87" s="1207">
        <f>IF($C$61=0,0,ROUND($L78*H89/100,2))</f>
        <v>0</v>
      </c>
      <c r="I87" s="2028">
        <f>IF($C$61=0,0,ROUND($L78*I89/100,2))</f>
        <v>0</v>
      </c>
      <c r="J87" s="2029"/>
      <c r="K87" s="1207">
        <f>IF($C$61=0,0,L78-G87-H87-I87)</f>
        <v>0</v>
      </c>
      <c r="L87" s="2125">
        <f>SUM(G87:K87)</f>
        <v>0</v>
      </c>
      <c r="M87" s="2125"/>
      <c r="N87" s="1005" t="s">
        <v>760</v>
      </c>
      <c r="O87" s="2"/>
      <c r="P87" s="2"/>
      <c r="Q87" s="2"/>
      <c r="R87" s="2"/>
      <c r="S87" s="999"/>
      <c r="T87" s="2"/>
      <c r="U87" s="999"/>
      <c r="V87" s="2"/>
      <c r="W87" s="2"/>
      <c r="X87" s="591"/>
      <c r="Y87" s="591"/>
      <c r="AG87" s="591"/>
      <c r="AH87" s="591"/>
      <c r="AI87" s="591"/>
      <c r="AJ87" s="591"/>
      <c r="AK87" s="591"/>
      <c r="AM87" s="591"/>
      <c r="AN87" s="591"/>
      <c r="AO87" s="591"/>
      <c r="AP87" s="591"/>
      <c r="AQ87" s="591"/>
      <c r="AS87" s="591"/>
      <c r="AT87" s="591"/>
      <c r="AU87" s="591"/>
      <c r="AV87" s="591"/>
      <c r="AW87" s="591"/>
      <c r="AY87" s="591"/>
    </row>
    <row r="88" spans="1:51" ht="20.25" hidden="1" customHeight="1" x14ac:dyDescent="0.2">
      <c r="A88" s="2"/>
      <c r="B88" s="2"/>
      <c r="C88" s="2"/>
      <c r="D88" s="2"/>
      <c r="E88" s="287"/>
      <c r="F88" s="995" t="s">
        <v>105</v>
      </c>
      <c r="G88" s="1020">
        <f>IF(G85=$M135,0,G86+G87)</f>
        <v>0</v>
      </c>
      <c r="H88" s="1020">
        <f>IF(H85=$M135,0,H86+H87)</f>
        <v>0</v>
      </c>
      <c r="I88" s="2216">
        <f>IF(I85=$M135,0,I86+I87)</f>
        <v>0</v>
      </c>
      <c r="J88" s="2216"/>
      <c r="K88" s="1020">
        <f>IF(K85=$M135,0,K86+K87)</f>
        <v>0</v>
      </c>
      <c r="L88" s="287"/>
      <c r="M88" s="287"/>
      <c r="N88" s="996">
        <f>SUM(G88:K88)</f>
        <v>0</v>
      </c>
      <c r="O88" s="503" t="str">
        <f>IF(N88=N79,"OK",E163)</f>
        <v>OK</v>
      </c>
      <c r="P88" s="2"/>
      <c r="Q88" s="2"/>
      <c r="R88" s="2"/>
      <c r="S88" s="1006"/>
      <c r="T88" s="2"/>
      <c r="U88" s="1006"/>
      <c r="V88" s="2"/>
      <c r="W88" s="2"/>
      <c r="X88" s="591"/>
      <c r="Y88" s="591"/>
      <c r="AG88" s="591"/>
      <c r="AH88" s="591"/>
      <c r="AI88" s="591"/>
      <c r="AJ88" s="591"/>
      <c r="AK88" s="591"/>
      <c r="AM88" s="591"/>
      <c r="AN88" s="591"/>
      <c r="AO88" s="591"/>
      <c r="AP88" s="591"/>
      <c r="AQ88" s="591"/>
      <c r="AS88" s="591"/>
      <c r="AT88" s="591"/>
      <c r="AU88" s="591"/>
      <c r="AV88" s="591"/>
      <c r="AW88" s="591"/>
      <c r="AY88" s="591"/>
    </row>
    <row r="89" spans="1:51" ht="20.25" hidden="1" customHeight="1" x14ac:dyDescent="0.2">
      <c r="A89" s="2"/>
      <c r="B89" s="2"/>
      <c r="C89" s="2"/>
      <c r="D89" s="2"/>
      <c r="E89" s="2"/>
      <c r="F89" s="970" t="s">
        <v>763</v>
      </c>
      <c r="G89" s="1021">
        <f>IF($C$61=0,0,IF(S79=0,0,ROUND($S79/$S89*100,10)))</f>
        <v>0</v>
      </c>
      <c r="H89" s="1021">
        <f>IF($C$61=0,0,IF(S80=0,0,ROUND(S80/$S89*100,10)))</f>
        <v>0</v>
      </c>
      <c r="I89" s="2101">
        <f>IF($C$61=0,0,IF(S81=0,0,ROUND(S81/$S89*100,10)))</f>
        <v>0</v>
      </c>
      <c r="J89" s="2101"/>
      <c r="K89" s="1021">
        <f>IF($C$61=0,0,IF(S82=0,0,100-G89-H89-I89))</f>
        <v>0</v>
      </c>
      <c r="L89" s="2"/>
      <c r="M89" s="2"/>
      <c r="N89" s="2"/>
      <c r="O89" s="2"/>
      <c r="P89" s="2"/>
      <c r="Q89" s="2"/>
      <c r="R89" s="2"/>
      <c r="S89" s="1006">
        <f>SUM(S79:S88)</f>
        <v>0</v>
      </c>
      <c r="T89" s="2"/>
      <c r="U89" s="1006">
        <f>SUM(U79:U88)</f>
        <v>0</v>
      </c>
      <c r="V89" s="2"/>
      <c r="W89" s="2"/>
      <c r="X89" s="591"/>
      <c r="Y89" s="591"/>
      <c r="Z89" s="591"/>
      <c r="AA89" s="591"/>
      <c r="AB89" s="591"/>
      <c r="AC89" s="591"/>
      <c r="AG89" s="591"/>
      <c r="AH89" s="591"/>
      <c r="AI89" s="591"/>
      <c r="AJ89" s="591"/>
      <c r="AK89" s="591"/>
      <c r="AM89" s="591"/>
      <c r="AN89" s="591"/>
      <c r="AO89" s="591"/>
      <c r="AP89" s="591"/>
      <c r="AQ89" s="591"/>
      <c r="AS89" s="591"/>
      <c r="AT89" s="591"/>
      <c r="AU89" s="591"/>
      <c r="AV89" s="591"/>
      <c r="AW89" s="591"/>
      <c r="AY89" s="591"/>
    </row>
    <row r="90" spans="1:51" ht="20.25" customHeight="1" x14ac:dyDescent="0.2">
      <c r="A90" s="2"/>
      <c r="B90" s="2"/>
      <c r="C90" s="2"/>
      <c r="D90" s="2"/>
      <c r="E90" s="2"/>
      <c r="F90" s="2"/>
      <c r="G90" s="2"/>
      <c r="H90" s="2"/>
      <c r="I90" s="2"/>
      <c r="J90" s="2"/>
      <c r="K90" s="2"/>
      <c r="L90" s="2"/>
      <c r="M90" s="2"/>
      <c r="N90" s="2"/>
      <c r="O90" s="2"/>
      <c r="P90" s="2"/>
      <c r="Q90" s="2"/>
      <c r="R90" s="2"/>
      <c r="S90" s="2"/>
      <c r="T90" s="2"/>
      <c r="U90" s="1110" t="e">
        <f>U89/S89*100</f>
        <v>#DIV/0!</v>
      </c>
      <c r="V90" s="2"/>
      <c r="W90" s="2"/>
      <c r="X90" s="591"/>
      <c r="Y90" s="591"/>
      <c r="Z90" s="591"/>
      <c r="AA90" s="591"/>
      <c r="AB90" s="591"/>
      <c r="AC90" s="591"/>
      <c r="AG90" s="591"/>
      <c r="AH90" s="591"/>
      <c r="AI90" s="591"/>
      <c r="AJ90" s="591"/>
      <c r="AK90" s="591"/>
      <c r="AM90" s="591"/>
      <c r="AN90" s="591"/>
      <c r="AO90" s="591"/>
      <c r="AP90" s="591"/>
      <c r="AQ90" s="591"/>
      <c r="AS90" s="591"/>
      <c r="AT90" s="591"/>
      <c r="AU90" s="591"/>
      <c r="AV90" s="591"/>
      <c r="AW90" s="591"/>
      <c r="AY90" s="591"/>
    </row>
    <row r="91" spans="1:51" ht="30" customHeight="1" x14ac:dyDescent="0.2">
      <c r="A91" s="2"/>
      <c r="B91" s="2"/>
      <c r="C91" s="2030" t="str">
        <f>IF(SUM(G150:J150)&gt;0,G151,IMPOSTAZIONI!Y383)</f>
        <v>Quest' area si attiva con colonne IVA "Aliquote diverse" - Al momento non c'è nessun importo da scorporare manualmente.</v>
      </c>
      <c r="D91" s="2030"/>
      <c r="E91" s="2030"/>
      <c r="F91" s="2030"/>
      <c r="G91" s="2030"/>
      <c r="H91" s="2030"/>
      <c r="I91" s="2030"/>
      <c r="J91" s="2030"/>
      <c r="K91" s="2030"/>
      <c r="L91" s="2030"/>
      <c r="M91" s="2030"/>
      <c r="N91" s="2030"/>
      <c r="O91" s="2030"/>
      <c r="P91" s="2030"/>
      <c r="Q91" s="98"/>
      <c r="R91" s="98"/>
      <c r="S91" s="98"/>
      <c r="T91" s="2"/>
      <c r="U91" s="2"/>
      <c r="V91" s="2"/>
      <c r="W91" s="2"/>
      <c r="X91" s="591"/>
      <c r="Y91" s="591"/>
      <c r="Z91" s="591"/>
      <c r="AA91" s="591"/>
      <c r="AB91" s="591"/>
      <c r="AC91" s="591"/>
      <c r="AG91" s="591"/>
      <c r="AH91" s="591"/>
      <c r="AI91" s="591"/>
      <c r="AJ91" s="591"/>
      <c r="AK91" s="591"/>
      <c r="AM91" s="591"/>
      <c r="AN91" s="591"/>
      <c r="AO91" s="591"/>
      <c r="AP91" s="591"/>
      <c r="AQ91" s="591"/>
      <c r="AS91" s="591"/>
      <c r="AT91" s="591"/>
      <c r="AU91" s="591"/>
      <c r="AV91" s="591"/>
      <c r="AW91" s="591"/>
      <c r="AY91" s="591"/>
    </row>
    <row r="92" spans="1:51" ht="5.25" customHeight="1" x14ac:dyDescent="0.2">
      <c r="A92" s="2"/>
      <c r="B92" s="2"/>
      <c r="C92" s="2"/>
      <c r="D92" s="2"/>
      <c r="E92" s="2"/>
      <c r="F92" s="2"/>
      <c r="G92" s="2"/>
      <c r="H92" s="2"/>
      <c r="I92" s="2"/>
      <c r="J92" s="2"/>
      <c r="K92" s="2"/>
      <c r="L92" s="2"/>
      <c r="M92" s="2"/>
      <c r="N92" s="2"/>
      <c r="O92" s="2"/>
      <c r="P92" s="2"/>
      <c r="Q92" s="2"/>
      <c r="R92" s="2"/>
      <c r="S92" s="2"/>
      <c r="T92" s="2"/>
      <c r="U92" s="2"/>
      <c r="V92" s="2"/>
      <c r="W92" s="2"/>
      <c r="X92" s="591"/>
      <c r="Y92" s="591"/>
      <c r="Z92" s="591"/>
      <c r="AA92" s="591"/>
      <c r="AB92" s="591"/>
      <c r="AC92" s="591"/>
      <c r="AG92" s="591"/>
      <c r="AH92" s="591"/>
      <c r="AI92" s="591"/>
      <c r="AJ92" s="591"/>
      <c r="AK92" s="591"/>
      <c r="AM92" s="591"/>
      <c r="AN92" s="591"/>
      <c r="AO92" s="591"/>
      <c r="AP92" s="591"/>
      <c r="AQ92" s="591"/>
      <c r="AS92" s="591"/>
      <c r="AT92" s="591"/>
      <c r="AU92" s="591"/>
      <c r="AV92" s="591"/>
      <c r="AW92" s="591"/>
      <c r="AY92" s="591"/>
    </row>
    <row r="93" spans="1:51" ht="18" customHeight="1" x14ac:dyDescent="0.2">
      <c r="A93" s="2"/>
      <c r="B93" s="2"/>
      <c r="C93" s="2111"/>
      <c r="D93" s="2111"/>
      <c r="E93" s="2112"/>
      <c r="F93" s="2113"/>
      <c r="G93" s="298" t="str">
        <f t="shared" ref="G93:H95" si="34">IF(G$155="X",G43,"")</f>
        <v/>
      </c>
      <c r="H93" s="298" t="str">
        <f t="shared" si="34"/>
        <v/>
      </c>
      <c r="I93" s="298"/>
      <c r="J93" s="298"/>
      <c r="K93" s="298" t="str">
        <f>IF(I$155="X",K43,"")</f>
        <v/>
      </c>
      <c r="L93" s="298"/>
      <c r="M93" s="298"/>
      <c r="N93" s="298" t="str">
        <f>IF(J$155="X",N43,"")</f>
        <v/>
      </c>
      <c r="O93" s="2033"/>
      <c r="P93" s="2033"/>
      <c r="Q93" s="12"/>
      <c r="R93" s="2"/>
      <c r="S93" s="2"/>
      <c r="T93" s="2"/>
      <c r="U93" s="2"/>
      <c r="V93" s="2"/>
      <c r="W93" s="2"/>
      <c r="X93" s="591"/>
      <c r="Y93" s="591"/>
      <c r="Z93" s="591"/>
      <c r="AA93" s="591"/>
      <c r="AB93" s="591"/>
      <c r="AC93" s="591"/>
      <c r="AG93" s="591"/>
      <c r="AH93" s="591"/>
      <c r="AI93" s="591"/>
      <c r="AJ93" s="591"/>
      <c r="AK93" s="591"/>
      <c r="AM93" s="591"/>
      <c r="AN93" s="591"/>
      <c r="AO93" s="591"/>
      <c r="AP93" s="591"/>
      <c r="AQ93" s="591"/>
      <c r="AS93" s="591"/>
      <c r="AT93" s="591"/>
      <c r="AU93" s="591"/>
      <c r="AV93" s="591"/>
      <c r="AW93" s="591"/>
      <c r="AY93" s="591"/>
    </row>
    <row r="94" spans="1:51" ht="18" customHeight="1" x14ac:dyDescent="0.2">
      <c r="A94" s="2"/>
      <c r="B94" s="2"/>
      <c r="C94" s="2114" t="str">
        <f>C44</f>
        <v>TOTALI DEL PERIODO:</v>
      </c>
      <c r="D94" s="2091"/>
      <c r="E94" s="2091"/>
      <c r="F94" s="2091"/>
      <c r="G94" s="57" t="str">
        <f t="shared" si="34"/>
        <v/>
      </c>
      <c r="H94" s="57" t="str">
        <f t="shared" si="34"/>
        <v/>
      </c>
      <c r="I94" s="57" t="s">
        <v>288</v>
      </c>
      <c r="J94" s="57"/>
      <c r="K94" s="57" t="str">
        <f>IF(I$155="X",K44,"")</f>
        <v/>
      </c>
      <c r="L94" s="57" t="s">
        <v>288</v>
      </c>
      <c r="M94" s="57"/>
      <c r="N94" s="57" t="str">
        <f>IF(J$155="X",N44,"")</f>
        <v/>
      </c>
      <c r="O94" s="85"/>
      <c r="P94" s="85"/>
      <c r="Q94" s="12"/>
      <c r="R94" s="2"/>
      <c r="S94" s="2"/>
      <c r="T94" s="2"/>
      <c r="U94" s="2"/>
      <c r="V94" s="2"/>
      <c r="W94" s="2"/>
      <c r="X94" s="591"/>
      <c r="Y94" s="591"/>
      <c r="Z94" s="591"/>
      <c r="AA94" s="591"/>
      <c r="AB94" s="591"/>
      <c r="AC94" s="591"/>
      <c r="AG94" s="591"/>
      <c r="AH94" s="591"/>
      <c r="AI94" s="591"/>
      <c r="AJ94" s="591"/>
      <c r="AK94" s="591"/>
      <c r="AM94" s="591"/>
      <c r="AN94" s="591"/>
      <c r="AO94" s="591"/>
      <c r="AP94" s="591"/>
      <c r="AQ94" s="591"/>
      <c r="AS94" s="591"/>
      <c r="AT94" s="591"/>
      <c r="AU94" s="591"/>
      <c r="AV94" s="591"/>
      <c r="AW94" s="591"/>
      <c r="AY94" s="591"/>
    </row>
    <row r="95" spans="1:51" ht="18" customHeight="1" x14ac:dyDescent="0.2">
      <c r="A95" s="2"/>
      <c r="B95" s="2"/>
      <c r="C95" s="2115" t="str">
        <f>C45</f>
        <v>01/10 - 31/10</v>
      </c>
      <c r="D95" s="2115"/>
      <c r="E95" s="2115"/>
      <c r="F95" s="2115"/>
      <c r="G95" s="90" t="str">
        <f t="shared" si="34"/>
        <v/>
      </c>
      <c r="H95" s="90" t="str">
        <f t="shared" si="34"/>
        <v/>
      </c>
      <c r="I95" s="90" t="s">
        <v>288</v>
      </c>
      <c r="J95" s="90"/>
      <c r="K95" s="90" t="str">
        <f>IF(I$155="X",K45,"")</f>
        <v/>
      </c>
      <c r="L95" s="90" t="s">
        <v>288</v>
      </c>
      <c r="M95" s="90"/>
      <c r="N95" s="90" t="str">
        <f>IF(J$155="X",N45,"")</f>
        <v/>
      </c>
      <c r="O95" s="89"/>
      <c r="P95" s="89"/>
      <c r="Q95" s="12"/>
      <c r="R95" s="2"/>
      <c r="S95" s="2"/>
      <c r="T95" s="2"/>
      <c r="U95" s="2"/>
      <c r="V95" s="2"/>
      <c r="W95" s="2"/>
      <c r="X95" s="591"/>
      <c r="Y95" s="591"/>
      <c r="Z95" s="591"/>
      <c r="AA95" s="591"/>
      <c r="AB95" s="591"/>
      <c r="AC95" s="591"/>
      <c r="AG95" s="591"/>
      <c r="AH95" s="591"/>
      <c r="AI95" s="591"/>
      <c r="AJ95" s="591"/>
      <c r="AK95" s="591"/>
      <c r="AM95" s="591"/>
      <c r="AN95" s="591"/>
      <c r="AO95" s="591"/>
      <c r="AP95" s="591"/>
      <c r="AQ95" s="591"/>
      <c r="AS95" s="591"/>
      <c r="AT95" s="591"/>
      <c r="AU95" s="591"/>
      <c r="AV95" s="591"/>
      <c r="AW95" s="591"/>
      <c r="AY95" s="591"/>
    </row>
    <row r="96" spans="1:51" ht="18.75" customHeight="1" x14ac:dyDescent="0.2">
      <c r="A96" s="2"/>
      <c r="B96" s="7"/>
      <c r="C96" s="2110"/>
      <c r="D96" s="2110"/>
      <c r="E96" s="2109"/>
      <c r="F96" s="2109"/>
      <c r="G96" s="297">
        <f>IF(G155="X",G46,0)</f>
        <v>0</v>
      </c>
      <c r="H96" s="297">
        <f>IF(H155="X",H46,0)</f>
        <v>0</v>
      </c>
      <c r="I96" s="657"/>
      <c r="J96" s="657"/>
      <c r="K96" s="297">
        <f>IF(I155="X",K46,0)</f>
        <v>0</v>
      </c>
      <c r="L96" s="657"/>
      <c r="M96" s="657"/>
      <c r="N96" s="297">
        <f>IF(J155="X",N46,0)</f>
        <v>0</v>
      </c>
      <c r="O96" s="2210" t="s">
        <v>353</v>
      </c>
      <c r="P96" s="2210"/>
      <c r="Q96" s="12"/>
      <c r="R96" s="462">
        <f>R97+R98</f>
        <v>0</v>
      </c>
      <c r="S96" s="2"/>
      <c r="T96" s="2"/>
      <c r="U96" s="2"/>
      <c r="V96" s="591"/>
      <c r="W96" s="591"/>
      <c r="X96" s="591"/>
      <c r="Y96" s="591"/>
      <c r="Z96" s="591"/>
      <c r="AA96" s="591"/>
      <c r="AB96" s="591"/>
      <c r="AC96" s="591"/>
      <c r="AG96" s="591"/>
      <c r="AH96" s="591"/>
      <c r="AI96" s="591"/>
      <c r="AJ96" s="591"/>
      <c r="AK96" s="591"/>
      <c r="AM96" s="591"/>
      <c r="AN96" s="591"/>
      <c r="AO96" s="591"/>
      <c r="AP96" s="591"/>
      <c r="AQ96" s="591"/>
      <c r="AS96" s="591"/>
      <c r="AT96" s="591"/>
      <c r="AU96" s="591"/>
      <c r="AV96" s="591"/>
      <c r="AW96" s="591"/>
      <c r="AY96" s="591"/>
    </row>
    <row r="97" spans="1:51" ht="18.75" customHeight="1" x14ac:dyDescent="0.25">
      <c r="A97" s="2"/>
      <c r="B97" s="7"/>
      <c r="C97" s="2032" t="s">
        <v>350</v>
      </c>
      <c r="D97" s="2032"/>
      <c r="E97" s="2032"/>
      <c r="F97" s="2032"/>
      <c r="G97" s="299"/>
      <c r="H97" s="299"/>
      <c r="I97" s="658"/>
      <c r="J97" s="658"/>
      <c r="K97" s="299"/>
      <c r="L97" s="658"/>
      <c r="M97" s="658"/>
      <c r="N97" s="299"/>
      <c r="O97" s="2221" t="s">
        <v>355</v>
      </c>
      <c r="P97" s="2221"/>
      <c r="Q97" s="12"/>
      <c r="R97" s="462">
        <f>SUM(G97:N97)</f>
        <v>0</v>
      </c>
      <c r="S97" s="462">
        <f>SUMIF($G$42:N$42,K$134,$G97:N97)</f>
        <v>0</v>
      </c>
      <c r="T97" s="1110" t="e">
        <f>S97/R97*100</f>
        <v>#DIV/0!</v>
      </c>
      <c r="U97" s="2"/>
      <c r="V97" s="591"/>
      <c r="W97" s="591"/>
      <c r="X97" s="591"/>
      <c r="Y97" s="591"/>
      <c r="Z97" s="591"/>
      <c r="AA97" s="591"/>
      <c r="AB97" s="591"/>
      <c r="AC97" s="591"/>
      <c r="AG97" s="591"/>
      <c r="AH97" s="591"/>
      <c r="AI97" s="591"/>
      <c r="AJ97" s="591"/>
      <c r="AK97" s="591"/>
      <c r="AM97" s="591"/>
      <c r="AN97" s="591"/>
      <c r="AO97" s="591"/>
      <c r="AP97" s="591"/>
      <c r="AQ97" s="591"/>
      <c r="AS97" s="591"/>
      <c r="AT97" s="591"/>
      <c r="AU97" s="591"/>
      <c r="AV97" s="591"/>
      <c r="AW97" s="591"/>
      <c r="AY97" s="591"/>
    </row>
    <row r="98" spans="1:51" ht="18.75" customHeight="1" x14ac:dyDescent="0.2">
      <c r="A98" s="2"/>
      <c r="B98" s="7"/>
      <c r="C98" s="2108" t="s">
        <v>490</v>
      </c>
      <c r="D98" s="2108"/>
      <c r="E98" s="2108"/>
      <c r="F98" s="2108"/>
      <c r="G98" s="300"/>
      <c r="H98" s="660"/>
      <c r="I98" s="659"/>
      <c r="J98" s="659"/>
      <c r="K98" s="660"/>
      <c r="L98" s="659"/>
      <c r="M98" s="659"/>
      <c r="N98" s="660"/>
      <c r="O98" s="2018" t="s">
        <v>349</v>
      </c>
      <c r="P98" s="2018"/>
      <c r="Q98" s="13"/>
      <c r="R98" s="462">
        <f>SUM(G98:N98)</f>
        <v>0</v>
      </c>
      <c r="S98" s="2"/>
      <c r="T98" s="2"/>
      <c r="U98" s="2"/>
      <c r="V98" s="591"/>
      <c r="W98" s="591"/>
      <c r="X98" s="591"/>
      <c r="Y98" s="591"/>
      <c r="Z98" s="591"/>
      <c r="AA98" s="591"/>
      <c r="AB98" s="591"/>
      <c r="AC98" s="591"/>
      <c r="AG98" s="591"/>
      <c r="AH98" s="591"/>
      <c r="AI98" s="591"/>
      <c r="AJ98" s="591"/>
      <c r="AK98" s="591"/>
      <c r="AM98" s="591"/>
      <c r="AN98" s="591"/>
      <c r="AO98" s="591"/>
      <c r="AP98" s="591"/>
      <c r="AQ98" s="591"/>
      <c r="AS98" s="591"/>
      <c r="AT98" s="591"/>
      <c r="AU98" s="591"/>
      <c r="AV98" s="591"/>
      <c r="AW98" s="591"/>
      <c r="AY98" s="591"/>
    </row>
    <row r="99" spans="1:51" ht="15" customHeight="1" x14ac:dyDescent="0.2">
      <c r="A99" s="2"/>
      <c r="B99" s="2"/>
      <c r="C99" s="10"/>
      <c r="D99" s="10"/>
      <c r="E99" s="10"/>
      <c r="F99" s="10"/>
      <c r="G99" s="91" t="str">
        <f>IF(AND(SUM(G97:G98)&lt;&gt;0,G152=0),$L$152,IF(G152=0,"",IF(G97=0,IMPOSTAZIONI!$J$383,IF((G97+G98)&lt;&gt;G96,IMPOSTAZIONI!$M$383,IMPOSTAZIONI!$H$383))))</f>
        <v/>
      </c>
      <c r="H99" s="91" t="str">
        <f>IF(AND(SUM(H97:H98)&lt;&gt;0,H152=0),$L$152,IF(H152=0,"",IF(H97=0,IMPOSTAZIONI!$J$383,IF((H97+H98)&lt;&gt;H96,IMPOSTAZIONI!$M$383,IMPOSTAZIONI!$H$383))))</f>
        <v/>
      </c>
      <c r="I99" s="91"/>
      <c r="J99" s="91"/>
      <c r="K99" s="91" t="str">
        <f>IF(AND(SUM(K97:K98)&lt;&gt;0,I152=0),$L$152,IF(I152=0,"",IF(K97=0,IMPOSTAZIONI!$J$383,IF((K97+K98)&lt;&gt;K96,IMPOSTAZIONI!$M$383,IMPOSTAZIONI!$H$383))))</f>
        <v/>
      </c>
      <c r="L99" s="91"/>
      <c r="M99" s="91"/>
      <c r="N99" s="91" t="str">
        <f>IF(AND(SUM(N97:N98)&lt;&gt;0,J152=0),$L$152,IF(J152=0,"",IF(N97=0,IMPOSTAZIONI!$J$383,IF((N97+N98)&lt;&gt;N96,IMPOSTAZIONI!$M$383,IMPOSTAZIONI!$H$383))))</f>
        <v/>
      </c>
      <c r="O99" s="10"/>
      <c r="P99" s="10"/>
      <c r="Q99" s="2"/>
      <c r="R99" s="2"/>
      <c r="S99" s="2"/>
      <c r="T99" s="2"/>
      <c r="U99" s="2"/>
      <c r="V99" s="591"/>
      <c r="W99" s="591"/>
      <c r="X99" s="591"/>
      <c r="Y99" s="591"/>
      <c r="Z99" s="591"/>
      <c r="AA99" s="591"/>
      <c r="AB99" s="591"/>
      <c r="AC99" s="591"/>
      <c r="AG99" s="591"/>
      <c r="AH99" s="591"/>
      <c r="AI99" s="591"/>
      <c r="AJ99" s="591"/>
      <c r="AK99" s="591"/>
      <c r="AM99" s="591"/>
      <c r="AN99" s="591"/>
      <c r="AO99" s="591"/>
      <c r="AP99" s="591"/>
      <c r="AQ99" s="591"/>
      <c r="AS99" s="591"/>
      <c r="AT99" s="591"/>
      <c r="AU99" s="591"/>
      <c r="AV99" s="591"/>
      <c r="AW99" s="591"/>
      <c r="AY99" s="591"/>
    </row>
    <row r="100" spans="1:51" ht="21" customHeight="1" x14ac:dyDescent="0.2">
      <c r="A100" s="2"/>
      <c r="B100" s="2"/>
      <c r="C100" s="2116" t="s">
        <v>354</v>
      </c>
      <c r="D100" s="2116"/>
      <c r="E100" s="2116"/>
      <c r="F100" s="2116"/>
      <c r="G100" s="2"/>
      <c r="H100" s="2"/>
      <c r="I100" s="2"/>
      <c r="J100" s="2"/>
      <c r="K100" s="2"/>
      <c r="L100" s="2"/>
      <c r="M100" s="2"/>
      <c r="N100" s="2"/>
      <c r="O100" s="2"/>
      <c r="P100" s="2"/>
      <c r="Q100" s="2"/>
      <c r="R100" s="2"/>
      <c r="S100" s="2"/>
      <c r="T100" s="128" t="s">
        <v>783</v>
      </c>
      <c r="U100" s="2"/>
      <c r="V100" s="591"/>
      <c r="W100" s="591"/>
      <c r="X100" s="591"/>
      <c r="Y100" s="591"/>
      <c r="Z100" s="591"/>
      <c r="AA100" s="591"/>
      <c r="AB100" s="591"/>
      <c r="AC100" s="591"/>
      <c r="AG100" s="591"/>
      <c r="AH100" s="591"/>
      <c r="AI100" s="591"/>
      <c r="AJ100" s="591"/>
      <c r="AK100" s="591"/>
      <c r="AM100" s="591"/>
      <c r="AN100" s="591"/>
      <c r="AO100" s="591"/>
      <c r="AP100" s="591"/>
      <c r="AQ100" s="591"/>
      <c r="AS100" s="591"/>
      <c r="AT100" s="591"/>
      <c r="AU100" s="591"/>
      <c r="AV100" s="591"/>
      <c r="AW100" s="591"/>
      <c r="AY100" s="591"/>
    </row>
    <row r="101" spans="1:51" ht="16.5" customHeight="1" x14ac:dyDescent="0.2">
      <c r="A101" s="2"/>
      <c r="B101" s="18" t="e">
        <f>VERIFICA!#REF!</f>
        <v>#REF!</v>
      </c>
      <c r="C101" s="2106" t="str">
        <f>IF(AND(RIEPILOGO!B8="",SUM(G101:N101)&gt;0),"ERROR",RIEPILOGO!B8)</f>
        <v>Aliquota 22 %</v>
      </c>
      <c r="D101" s="2106"/>
      <c r="E101" s="2106"/>
      <c r="F101" s="2106"/>
      <c r="G101" s="236"/>
      <c r="H101" s="236"/>
      <c r="I101" s="658"/>
      <c r="J101" s="658"/>
      <c r="K101" s="236"/>
      <c r="L101" s="658"/>
      <c r="M101" s="658"/>
      <c r="N101" s="236"/>
      <c r="O101" s="2218" t="s">
        <v>349</v>
      </c>
      <c r="P101" s="2218"/>
      <c r="Q101" s="12"/>
      <c r="R101" s="93">
        <f>SUM(G101:N101)</f>
        <v>0</v>
      </c>
      <c r="S101" s="93">
        <f>SUMIF($G$42:N$42,K$134,$G101:N101)</f>
        <v>0</v>
      </c>
      <c r="T101" s="1110" t="e">
        <f>S101/R101*100</f>
        <v>#DIV/0!</v>
      </c>
      <c r="U101" s="2"/>
      <c r="V101" s="591"/>
      <c r="W101" s="591"/>
      <c r="X101" s="591"/>
      <c r="Y101" s="591"/>
      <c r="Z101" s="591"/>
      <c r="AA101" s="591"/>
      <c r="AB101" s="591"/>
      <c r="AC101" s="591"/>
      <c r="AG101" s="591"/>
      <c r="AH101" s="591"/>
      <c r="AI101" s="591"/>
      <c r="AJ101" s="591"/>
      <c r="AK101" s="591"/>
      <c r="AM101" s="591"/>
      <c r="AN101" s="591"/>
      <c r="AO101" s="591"/>
      <c r="AP101" s="591"/>
      <c r="AQ101" s="591"/>
      <c r="AS101" s="591"/>
      <c r="AT101" s="591"/>
      <c r="AU101" s="591"/>
      <c r="AV101" s="591"/>
      <c r="AW101" s="591"/>
      <c r="AY101" s="591"/>
    </row>
    <row r="102" spans="1:51" ht="16.5" customHeight="1" x14ac:dyDescent="0.2">
      <c r="A102" s="2"/>
      <c r="B102" s="18" t="e">
        <f>VERIFICA!#REF!</f>
        <v>#REF!</v>
      </c>
      <c r="C102" s="2106" t="str">
        <f>IF(AND(RIEPILOGO!B9="",SUM(G102:N102)&gt;0),"ERROR",RIEPILOGO!B9)</f>
        <v>Aliquota 10 %</v>
      </c>
      <c r="D102" s="2106"/>
      <c r="E102" s="2106"/>
      <c r="F102" s="2106"/>
      <c r="G102" s="237"/>
      <c r="H102" s="237"/>
      <c r="I102" s="658"/>
      <c r="J102" s="658"/>
      <c r="K102" s="237"/>
      <c r="L102" s="658"/>
      <c r="M102" s="658"/>
      <c r="N102" s="237"/>
      <c r="O102" s="2218" t="s">
        <v>349</v>
      </c>
      <c r="P102" s="2218"/>
      <c r="Q102" s="12"/>
      <c r="R102" s="94">
        <f>SUM(G102:N102)</f>
        <v>0</v>
      </c>
      <c r="S102" s="94">
        <f>SUMIF($G$42:N$42,K$134,$G102:N102)</f>
        <v>0</v>
      </c>
      <c r="T102" s="1110" t="e">
        <f>S102/R102*100</f>
        <v>#DIV/0!</v>
      </c>
      <c r="U102" s="2"/>
      <c r="V102" s="591"/>
      <c r="W102" s="591"/>
      <c r="X102" s="591"/>
      <c r="Y102" s="591"/>
      <c r="Z102" s="591"/>
      <c r="AA102" s="591"/>
      <c r="AB102" s="591"/>
      <c r="AC102" s="591"/>
      <c r="AG102" s="591"/>
      <c r="AH102" s="591"/>
      <c r="AI102" s="591"/>
      <c r="AJ102" s="591"/>
      <c r="AK102" s="591"/>
      <c r="AM102" s="591"/>
      <c r="AN102" s="591"/>
      <c r="AO102" s="591"/>
      <c r="AP102" s="591"/>
      <c r="AQ102" s="591"/>
      <c r="AS102" s="591"/>
      <c r="AT102" s="591"/>
      <c r="AU102" s="591"/>
      <c r="AV102" s="591"/>
      <c r="AW102" s="591"/>
      <c r="AY102" s="591"/>
    </row>
    <row r="103" spans="1:51" ht="16.5" customHeight="1" x14ac:dyDescent="0.2">
      <c r="A103" s="2"/>
      <c r="B103" s="18" t="e">
        <f>VERIFICA!#REF!</f>
        <v>#REF!</v>
      </c>
      <c r="C103" s="2106" t="str">
        <f>IF(AND(RIEPILOGO!B10="",SUM(G103:N103)&gt;0),"ERROR",RIEPILOGO!B10)</f>
        <v>Aliquota 4 %</v>
      </c>
      <c r="D103" s="2106"/>
      <c r="E103" s="2106"/>
      <c r="F103" s="2106"/>
      <c r="G103" s="304"/>
      <c r="H103" s="304"/>
      <c r="I103" s="658"/>
      <c r="J103" s="658"/>
      <c r="K103" s="304"/>
      <c r="L103" s="658"/>
      <c r="M103" s="658"/>
      <c r="N103" s="304"/>
      <c r="O103" s="2218" t="s">
        <v>349</v>
      </c>
      <c r="P103" s="2218"/>
      <c r="Q103" s="12"/>
      <c r="R103" s="94">
        <f>SUM(G103:N103)</f>
        <v>0</v>
      </c>
      <c r="S103" s="94">
        <f>SUMIF($G$42:N$42,K$134,$G103:N103)</f>
        <v>0</v>
      </c>
      <c r="T103" s="1110" t="e">
        <f>S103/R103*100</f>
        <v>#DIV/0!</v>
      </c>
      <c r="U103" s="2"/>
      <c r="V103" s="591"/>
      <c r="W103" s="591"/>
      <c r="X103" s="591"/>
      <c r="Y103" s="591"/>
      <c r="Z103" s="591"/>
      <c r="AA103" s="591"/>
      <c r="AB103" s="591"/>
      <c r="AC103" s="591"/>
      <c r="AG103" s="591"/>
      <c r="AH103" s="591"/>
      <c r="AI103" s="591"/>
      <c r="AJ103" s="591"/>
      <c r="AK103" s="591"/>
      <c r="AM103" s="591"/>
      <c r="AN103" s="591"/>
      <c r="AO103" s="591"/>
      <c r="AP103" s="591"/>
      <c r="AQ103" s="591"/>
      <c r="AS103" s="591"/>
      <c r="AT103" s="591"/>
      <c r="AU103" s="591"/>
      <c r="AV103" s="591"/>
      <c r="AW103" s="591"/>
      <c r="AY103" s="591"/>
    </row>
    <row r="104" spans="1:51" ht="16.5" customHeight="1" x14ac:dyDescent="0.2">
      <c r="A104" s="2"/>
      <c r="B104" s="18" t="e">
        <f>VERIFICA!#REF!</f>
        <v>#REF!</v>
      </c>
      <c r="C104" s="2106" t="str">
        <f>IF(AND(RIEPILOGO!B11="",SUM(G104:N104)&gt;0),"ERROR",RIEPILOGO!B11)</f>
        <v/>
      </c>
      <c r="D104" s="2106"/>
      <c r="E104" s="2106"/>
      <c r="F104" s="2106"/>
      <c r="G104" s="304"/>
      <c r="H104" s="660"/>
      <c r="I104" s="659"/>
      <c r="J104" s="659"/>
      <c r="K104" s="660"/>
      <c r="L104" s="659"/>
      <c r="M104" s="659"/>
      <c r="N104" s="660"/>
      <c r="O104" s="2217" t="s">
        <v>349</v>
      </c>
      <c r="P104" s="2217"/>
      <c r="Q104" s="12"/>
      <c r="R104" s="95">
        <f>SUM(G104:N104)</f>
        <v>0</v>
      </c>
      <c r="S104" s="95">
        <f>SUMIF($G$42:N$42,K$134,$G104:N104)</f>
        <v>0</v>
      </c>
      <c r="T104" s="1110" t="e">
        <f>S104/R104*100</f>
        <v>#DIV/0!</v>
      </c>
      <c r="U104" s="2"/>
      <c r="V104" s="591"/>
      <c r="W104" s="591"/>
      <c r="X104" s="591"/>
      <c r="Y104" s="591"/>
      <c r="Z104" s="591"/>
      <c r="AA104" s="591"/>
      <c r="AB104" s="591"/>
      <c r="AC104" s="591"/>
      <c r="AG104" s="591"/>
      <c r="AH104" s="591"/>
      <c r="AI104" s="591"/>
      <c r="AJ104" s="591"/>
      <c r="AK104" s="591"/>
      <c r="AM104" s="591"/>
      <c r="AN104" s="591"/>
      <c r="AO104" s="591"/>
      <c r="AP104" s="591"/>
      <c r="AQ104" s="591"/>
      <c r="AS104" s="591"/>
      <c r="AT104" s="591"/>
      <c r="AU104" s="591"/>
      <c r="AV104" s="591"/>
      <c r="AW104" s="591"/>
      <c r="AY104" s="591"/>
    </row>
    <row r="105" spans="1:51" ht="15" customHeight="1" x14ac:dyDescent="0.2">
      <c r="A105" s="2"/>
      <c r="B105" s="2"/>
      <c r="C105" s="10"/>
      <c r="D105" s="10"/>
      <c r="E105" s="10"/>
      <c r="F105" s="10"/>
      <c r="G105" s="91" t="str">
        <f>IF(AND(SUM(G101:G104)&lt;&gt;0,G152=0),$L$152,IF(G152=0,"",IF(SUM(G101:G104)&lt;&gt;G98,IMPOSTAZIONI!$J$383,IF(SUM(G101:G104)&lt;&gt;G98,IMPOSTAZIONI!$M$383,IMPOSTAZIONI!$H$383))))</f>
        <v/>
      </c>
      <c r="H105" s="91" t="str">
        <f>IF(AND(SUM(H101:H104)&lt;&gt;0,H152=0),$L$152,IF(H152=0,"",IF(SUM(H101:H104)&lt;&gt;H98,IMPOSTAZIONI!$J$383,IF(SUM(H101:H104)&lt;&gt;H98,IMPOSTAZIONI!$M$383,IMPOSTAZIONI!$H$383))))</f>
        <v/>
      </c>
      <c r="I105" s="91"/>
      <c r="J105" s="91"/>
      <c r="K105" s="91" t="str">
        <f>IF(AND(SUM(K101:K104)&lt;&gt;0,I152=0),$L$152,IF(I152=0,"",IF(SUM(K101:K104)&lt;&gt;K98,IMPOSTAZIONI!$J$383,IF(SUM(K101:K104)&lt;&gt;K98,IMPOSTAZIONI!$M$383,IMPOSTAZIONI!$H$383))))</f>
        <v/>
      </c>
      <c r="L105" s="91"/>
      <c r="M105" s="91"/>
      <c r="N105" s="91" t="str">
        <f>IF(AND(SUM(N101:N104)&lt;&gt;0,J152=0),$L$152,IF(J152=0,"",IF(SUM(N101:N104)&lt;&gt;N98,IMPOSTAZIONI!$J$383,IF(SUM(N101:N104)&lt;&gt;N98,IMPOSTAZIONI!$M$383,IMPOSTAZIONI!$H$383))))</f>
        <v/>
      </c>
      <c r="O105" s="10"/>
      <c r="P105" s="10"/>
      <c r="Q105" s="2"/>
      <c r="R105" s="2"/>
      <c r="S105" s="2"/>
      <c r="T105" s="2"/>
      <c r="U105" s="2"/>
      <c r="V105" s="591"/>
      <c r="W105" s="591"/>
      <c r="X105" s="591"/>
      <c r="Y105" s="591"/>
      <c r="Z105" s="591"/>
      <c r="AA105" s="591"/>
      <c r="AB105" s="591"/>
      <c r="AC105" s="591"/>
      <c r="AG105" s="591"/>
      <c r="AH105" s="591"/>
      <c r="AI105" s="591"/>
      <c r="AJ105" s="591"/>
      <c r="AK105" s="591"/>
      <c r="AM105" s="591"/>
      <c r="AN105" s="591"/>
      <c r="AO105" s="591"/>
      <c r="AP105" s="591"/>
      <c r="AQ105" s="591"/>
      <c r="AS105" s="591"/>
      <c r="AT105" s="591"/>
      <c r="AU105" s="591"/>
      <c r="AV105" s="591"/>
      <c r="AW105" s="591"/>
      <c r="AY105" s="591"/>
    </row>
    <row r="106" spans="1:51" ht="21" customHeight="1" x14ac:dyDescent="0.2">
      <c r="A106" s="2"/>
      <c r="B106" s="2"/>
      <c r="C106" s="2"/>
      <c r="D106" s="2"/>
      <c r="E106" s="2"/>
      <c r="F106" s="2"/>
      <c r="G106" s="2"/>
      <c r="H106" s="2"/>
      <c r="I106" s="2"/>
      <c r="J106" s="2"/>
      <c r="K106" s="2"/>
      <c r="L106" s="2"/>
      <c r="M106" s="2"/>
      <c r="N106" s="2"/>
      <c r="O106" s="2"/>
      <c r="P106" s="2"/>
      <c r="Q106" s="2"/>
      <c r="R106" s="2"/>
      <c r="S106" s="2"/>
      <c r="T106" s="2"/>
      <c r="U106" s="2"/>
      <c r="V106" s="591"/>
      <c r="W106" s="591"/>
      <c r="X106" s="591"/>
      <c r="Y106" s="591"/>
      <c r="Z106" s="591"/>
      <c r="AA106" s="591"/>
      <c r="AB106" s="591"/>
      <c r="AC106" s="591"/>
      <c r="AG106" s="591"/>
      <c r="AH106" s="591"/>
      <c r="AI106" s="591"/>
      <c r="AJ106" s="591"/>
      <c r="AK106" s="591"/>
      <c r="AM106" s="591"/>
      <c r="AN106" s="591"/>
      <c r="AO106" s="591"/>
      <c r="AP106" s="591"/>
      <c r="AQ106" s="591"/>
      <c r="AS106" s="591"/>
      <c r="AT106" s="591"/>
      <c r="AU106" s="591"/>
      <c r="AV106" s="591"/>
      <c r="AW106" s="591"/>
      <c r="AY106" s="591"/>
    </row>
    <row r="107" spans="1:51" ht="21" customHeight="1" x14ac:dyDescent="0.2">
      <c r="A107" s="2"/>
      <c r="B107" s="2"/>
      <c r="C107" s="2"/>
      <c r="D107" s="2"/>
      <c r="E107" s="2"/>
      <c r="F107" s="278" t="s">
        <v>324</v>
      </c>
      <c r="G107" s="2"/>
      <c r="H107" s="2"/>
      <c r="I107" s="256"/>
      <c r="J107" s="256"/>
      <c r="K107" s="256"/>
      <c r="L107" s="2"/>
      <c r="M107" s="2"/>
      <c r="N107" s="2"/>
      <c r="O107" s="2"/>
      <c r="P107" s="2"/>
      <c r="Q107" s="2"/>
      <c r="R107" s="2"/>
      <c r="S107" s="2"/>
      <c r="T107" s="2"/>
      <c r="U107" s="2"/>
      <c r="V107" s="591"/>
      <c r="W107" s="591"/>
      <c r="X107" s="591"/>
      <c r="Y107" s="591"/>
      <c r="Z107" s="591"/>
      <c r="AA107" s="591"/>
      <c r="AB107" s="591"/>
      <c r="AC107" s="591"/>
      <c r="AG107" s="591"/>
      <c r="AH107" s="591"/>
      <c r="AI107" s="591"/>
      <c r="AJ107" s="591"/>
      <c r="AK107" s="591"/>
      <c r="AM107" s="591"/>
      <c r="AN107" s="591"/>
      <c r="AO107" s="591"/>
      <c r="AP107" s="591"/>
      <c r="AQ107" s="591"/>
      <c r="AS107" s="591"/>
      <c r="AT107" s="591"/>
      <c r="AU107" s="591"/>
      <c r="AV107" s="591"/>
      <c r="AW107" s="591"/>
      <c r="AY107" s="591"/>
    </row>
    <row r="108" spans="1:51" ht="18.75" customHeight="1" x14ac:dyDescent="0.2">
      <c r="A108" s="2"/>
      <c r="B108" s="2"/>
      <c r="C108" s="2"/>
      <c r="D108" s="2"/>
      <c r="E108" s="2"/>
      <c r="F108" s="763" t="s">
        <v>735</v>
      </c>
      <c r="G108" s="763"/>
      <c r="H108" s="763"/>
      <c r="I108" s="763"/>
      <c r="J108" s="2"/>
      <c r="K108" s="666">
        <f>E7</f>
        <v>0</v>
      </c>
      <c r="L108" s="2245">
        <f>K108-(SUM(G7:H7)+K7+N7)+SUMIF(G42:N42,K134,G7:N7)</f>
        <v>0</v>
      </c>
      <c r="M108" s="2246"/>
      <c r="N108" s="1045" t="s">
        <v>492</v>
      </c>
      <c r="O108" s="2"/>
      <c r="P108" s="2"/>
      <c r="Q108" s="2"/>
      <c r="R108" s="2"/>
      <c r="S108" s="2"/>
      <c r="T108" s="2"/>
      <c r="U108" s="2"/>
      <c r="V108" s="591"/>
      <c r="W108" s="591"/>
      <c r="X108" s="591"/>
      <c r="Y108" s="591"/>
      <c r="Z108" s="591"/>
      <c r="AA108" s="591"/>
      <c r="AB108" s="591"/>
      <c r="AC108" s="591"/>
      <c r="AG108" s="591"/>
      <c r="AH108" s="591"/>
      <c r="AI108" s="591"/>
      <c r="AJ108" s="591"/>
      <c r="AK108" s="591"/>
      <c r="AM108" s="591"/>
      <c r="AN108" s="591"/>
      <c r="AO108" s="591"/>
      <c r="AP108" s="591"/>
      <c r="AQ108" s="591"/>
      <c r="AS108" s="591"/>
      <c r="AT108" s="591"/>
      <c r="AU108" s="591"/>
      <c r="AV108" s="591"/>
      <c r="AW108" s="591"/>
      <c r="AY108" s="591"/>
    </row>
    <row r="109" spans="1:51" ht="18.75" customHeight="1" x14ac:dyDescent="0.2">
      <c r="A109" s="2"/>
      <c r="B109" s="2"/>
      <c r="C109" s="2"/>
      <c r="D109" s="2"/>
      <c r="E109" s="2"/>
      <c r="F109" s="764" t="s">
        <v>736</v>
      </c>
      <c r="G109" s="764"/>
      <c r="H109" s="764"/>
      <c r="I109" s="764"/>
      <c r="J109" s="2"/>
      <c r="K109" s="279">
        <f>E39</f>
        <v>0</v>
      </c>
      <c r="L109" s="2247">
        <f>K109-(SUM(G39:H39)+K39+N39)+SUMIF(G42:N42,K134,G39:N39)</f>
        <v>0</v>
      </c>
      <c r="M109" s="2248"/>
      <c r="N109" s="1046" t="s">
        <v>493</v>
      </c>
      <c r="O109" s="2"/>
      <c r="P109" s="2"/>
      <c r="Q109" s="2"/>
      <c r="R109" s="2"/>
      <c r="S109" s="2"/>
      <c r="T109" s="2"/>
      <c r="U109" s="2"/>
      <c r="V109" s="591"/>
      <c r="W109" s="591"/>
      <c r="X109" s="591"/>
      <c r="Y109" s="591"/>
      <c r="Z109" s="591"/>
      <c r="AA109" s="591"/>
      <c r="AB109" s="591"/>
      <c r="AC109" s="591"/>
      <c r="AG109" s="591"/>
      <c r="AH109" s="591"/>
      <c r="AI109" s="591"/>
      <c r="AJ109" s="591"/>
      <c r="AK109" s="591"/>
      <c r="AM109" s="591"/>
      <c r="AN109" s="591"/>
      <c r="AO109" s="591"/>
      <c r="AP109" s="591"/>
      <c r="AQ109" s="591"/>
      <c r="AS109" s="591"/>
      <c r="AT109" s="591"/>
      <c r="AU109" s="591"/>
      <c r="AV109" s="591"/>
      <c r="AW109" s="591"/>
      <c r="AY109" s="591"/>
    </row>
    <row r="110" spans="1:51" ht="19.5" customHeight="1" x14ac:dyDescent="0.25">
      <c r="A110" s="2"/>
      <c r="B110" s="2"/>
      <c r="C110" s="2"/>
      <c r="D110" s="2"/>
      <c r="E110" s="2"/>
      <c r="F110" s="661" t="s">
        <v>485</v>
      </c>
      <c r="G110" s="661"/>
      <c r="H110" s="661"/>
      <c r="I110" s="661"/>
      <c r="J110" s="2"/>
      <c r="K110" s="661"/>
      <c r="L110" s="668"/>
      <c r="M110" s="662"/>
      <c r="N110" s="2"/>
      <c r="O110" s="2"/>
      <c r="P110" s="2"/>
      <c r="Q110" s="2"/>
      <c r="R110" s="2"/>
      <c r="S110" s="2"/>
      <c r="T110" s="2"/>
      <c r="U110" s="2"/>
      <c r="V110" s="591"/>
      <c r="W110" s="591"/>
      <c r="X110" s="591"/>
      <c r="Y110" s="591"/>
      <c r="Z110" s="591"/>
      <c r="AA110" s="591"/>
      <c r="AB110" s="591"/>
      <c r="AC110" s="591"/>
      <c r="AG110" s="591"/>
      <c r="AH110" s="591"/>
      <c r="AI110" s="591"/>
      <c r="AJ110" s="591"/>
      <c r="AK110" s="591"/>
      <c r="AM110" s="591"/>
      <c r="AN110" s="591"/>
      <c r="AO110" s="591"/>
      <c r="AP110" s="591"/>
      <c r="AQ110" s="591"/>
      <c r="AS110" s="591"/>
      <c r="AT110" s="591"/>
      <c r="AU110" s="591"/>
      <c r="AV110" s="591"/>
      <c r="AW110" s="591"/>
      <c r="AY110" s="591"/>
    </row>
    <row r="111" spans="1:51" ht="19.5" customHeight="1" x14ac:dyDescent="0.2">
      <c r="A111" s="2"/>
      <c r="B111" s="2"/>
      <c r="C111" s="2"/>
      <c r="D111" s="2"/>
      <c r="E111" s="2"/>
      <c r="F111" s="663" t="s">
        <v>480</v>
      </c>
      <c r="G111" s="663"/>
      <c r="H111" s="663"/>
      <c r="I111" s="663"/>
      <c r="J111" s="2"/>
      <c r="K111" s="663"/>
      <c r="L111" s="669"/>
      <c r="M111" s="664"/>
      <c r="N111" s="2"/>
      <c r="O111" s="2"/>
      <c r="P111" s="2"/>
      <c r="Q111" s="2"/>
      <c r="R111" s="2"/>
      <c r="S111" s="2"/>
      <c r="T111" s="2"/>
      <c r="U111" s="2"/>
      <c r="V111" s="591"/>
      <c r="W111" s="591"/>
      <c r="X111" s="591"/>
      <c r="Y111" s="591"/>
      <c r="Z111" s="591"/>
      <c r="AA111" s="591"/>
      <c r="AB111" s="591"/>
      <c r="AC111" s="591"/>
      <c r="AG111" s="591"/>
      <c r="AH111" s="591"/>
      <c r="AI111" s="591"/>
      <c r="AJ111" s="591"/>
      <c r="AK111" s="591"/>
      <c r="AM111" s="591"/>
      <c r="AN111" s="591"/>
      <c r="AO111" s="591"/>
      <c r="AP111" s="591"/>
      <c r="AQ111" s="591"/>
      <c r="AS111" s="591"/>
      <c r="AT111" s="591"/>
      <c r="AU111" s="591"/>
      <c r="AV111" s="591"/>
      <c r="AW111" s="591"/>
      <c r="AY111" s="591"/>
    </row>
    <row r="112" spans="1:51" ht="21" customHeight="1" x14ac:dyDescent="0.2">
      <c r="A112" s="2"/>
      <c r="B112" s="2"/>
      <c r="C112" s="2"/>
      <c r="D112" s="2"/>
      <c r="E112" s="2"/>
      <c r="F112" s="104" t="s">
        <v>97</v>
      </c>
      <c r="G112" s="104"/>
      <c r="H112" s="104"/>
      <c r="I112" s="104"/>
      <c r="J112" s="2"/>
      <c r="K112" s="104"/>
      <c r="L112" s="484"/>
      <c r="M112" s="665"/>
      <c r="N112" s="2"/>
      <c r="O112" s="2"/>
      <c r="P112" s="2"/>
      <c r="Q112" s="2"/>
      <c r="R112" s="2"/>
      <c r="S112" s="2"/>
      <c r="T112" s="2"/>
      <c r="U112" s="2"/>
      <c r="V112" s="591"/>
      <c r="W112" s="591"/>
      <c r="X112" s="591"/>
      <c r="Y112" s="591"/>
      <c r="Z112" s="591"/>
      <c r="AA112" s="591"/>
      <c r="AB112" s="591"/>
      <c r="AC112" s="591"/>
      <c r="AG112" s="591"/>
      <c r="AH112" s="591"/>
      <c r="AI112" s="591"/>
      <c r="AJ112" s="591"/>
      <c r="AK112" s="591"/>
      <c r="AM112" s="591"/>
      <c r="AN112" s="591"/>
      <c r="AO112" s="591"/>
      <c r="AP112" s="591"/>
      <c r="AQ112" s="591"/>
      <c r="AS112" s="591"/>
      <c r="AT112" s="591"/>
      <c r="AU112" s="591"/>
      <c r="AV112" s="591"/>
      <c r="AW112" s="591"/>
      <c r="AY112" s="591"/>
    </row>
    <row r="113" spans="1:51" ht="12" customHeight="1" x14ac:dyDescent="0.2">
      <c r="A113" s="2"/>
      <c r="B113" s="2"/>
      <c r="C113" s="2"/>
      <c r="D113" s="2"/>
      <c r="E113" s="2"/>
      <c r="F113" s="2"/>
      <c r="G113" s="2"/>
      <c r="H113" s="2"/>
      <c r="I113" s="2"/>
      <c r="J113" s="2"/>
      <c r="K113" s="2"/>
      <c r="L113" s="14"/>
      <c r="M113" s="139"/>
      <c r="N113" s="2"/>
      <c r="O113" s="2"/>
      <c r="P113" s="2"/>
      <c r="Q113" s="2"/>
      <c r="R113" s="2"/>
      <c r="S113" s="2"/>
      <c r="T113" s="2"/>
      <c r="U113" s="2"/>
      <c r="V113" s="591"/>
      <c r="W113" s="591"/>
      <c r="X113" s="591"/>
      <c r="Y113" s="591"/>
      <c r="Z113" s="591"/>
      <c r="AA113" s="591"/>
      <c r="AB113" s="591"/>
      <c r="AC113" s="591"/>
      <c r="AG113" s="591"/>
      <c r="AH113" s="591"/>
      <c r="AI113" s="591"/>
      <c r="AJ113" s="591"/>
      <c r="AK113" s="591"/>
      <c r="AM113" s="591"/>
      <c r="AN113" s="591"/>
      <c r="AO113" s="591"/>
      <c r="AP113" s="591"/>
      <c r="AQ113" s="591"/>
      <c r="AS113" s="591"/>
      <c r="AT113" s="591"/>
      <c r="AU113" s="591"/>
      <c r="AV113" s="591"/>
      <c r="AW113" s="591"/>
      <c r="AY113" s="591"/>
    </row>
    <row r="114" spans="1:51" ht="15" hidden="1" customHeight="1" x14ac:dyDescent="0.2">
      <c r="A114" s="2"/>
      <c r="B114" s="2"/>
      <c r="C114" s="2"/>
      <c r="D114" s="2"/>
      <c r="E114" s="2"/>
      <c r="F114" s="2"/>
      <c r="G114" s="103">
        <f>IF(ISERROR(G$135),HLOOKUP(L$138,$J$138:$L$138,1,FALSE),HLOOKUP(G$135,$G$129:$I129,1,FALSE))</f>
        <v>3</v>
      </c>
      <c r="H114" s="103">
        <f>IF(ISERROR(H$135),HLOOKUP(K$138,$J$138:$L$138,1,FALSE),HLOOKUP(H$135,$G$129:$I129,1,FALSE))</f>
        <v>2</v>
      </c>
      <c r="I114" s="2053">
        <f>IF(ISERROR(I$135),HLOOKUP(J$138,$J$138:$L$138,1,FALSE),HLOOKUP(I$135,$G$129:$I129,1,FALSE))</f>
        <v>1</v>
      </c>
      <c r="J114" s="2053"/>
      <c r="K114" s="2"/>
      <c r="L114" s="14"/>
      <c r="M114" s="139"/>
      <c r="N114" s="2"/>
      <c r="O114" s="2"/>
      <c r="P114" s="2"/>
      <c r="Q114" s="2"/>
      <c r="R114" s="2"/>
      <c r="S114" s="2"/>
      <c r="T114" s="2"/>
      <c r="U114" s="2"/>
      <c r="V114" s="591"/>
      <c r="W114" s="591"/>
      <c r="X114" s="591"/>
      <c r="Y114" s="591"/>
      <c r="Z114" s="591"/>
      <c r="AA114" s="591"/>
      <c r="AB114" s="591"/>
      <c r="AC114" s="591"/>
      <c r="AG114" s="591"/>
      <c r="AH114" s="591"/>
      <c r="AI114" s="591"/>
      <c r="AJ114" s="591"/>
      <c r="AK114" s="591"/>
      <c r="AM114" s="591"/>
      <c r="AN114" s="591"/>
      <c r="AO114" s="591"/>
      <c r="AP114" s="591"/>
      <c r="AQ114" s="591"/>
      <c r="AS114" s="591"/>
      <c r="AT114" s="591"/>
      <c r="AU114" s="591"/>
      <c r="AV114" s="591"/>
      <c r="AW114" s="591"/>
      <c r="AY114" s="591"/>
    </row>
    <row r="115" spans="1:51" ht="21" hidden="1" customHeight="1" x14ac:dyDescent="0.2">
      <c r="A115" s="2"/>
      <c r="B115" s="2"/>
      <c r="C115" s="2"/>
      <c r="D115" s="2"/>
      <c r="E115" s="2"/>
      <c r="F115" s="2"/>
      <c r="G115" s="129">
        <f>IF(ISERROR(G$135),0,HLOOKUP(G$135,$G$129:$I130,2,FALSE))</f>
        <v>0</v>
      </c>
      <c r="H115" s="129">
        <f>IF(ISERROR(H$135),0,HLOOKUP(H$135,$G$129:$I130,2,FALSE))</f>
        <v>0</v>
      </c>
      <c r="I115" s="2244">
        <f>IF(ISERROR(I$135),0,HLOOKUP(I$135,$G$129:$I130,2,FALSE))</f>
        <v>0</v>
      </c>
      <c r="J115" s="2244"/>
      <c r="K115" s="2"/>
      <c r="L115" s="14"/>
      <c r="M115" s="139"/>
      <c r="N115" s="2"/>
      <c r="O115" s="2"/>
      <c r="P115" s="2"/>
      <c r="Q115" s="2"/>
      <c r="R115" s="2"/>
      <c r="S115" s="2"/>
      <c r="T115" s="2"/>
      <c r="U115" s="2"/>
      <c r="V115" s="591"/>
      <c r="W115" s="591"/>
      <c r="X115" s="591"/>
      <c r="Y115" s="591"/>
      <c r="Z115" s="591"/>
      <c r="AA115" s="591"/>
      <c r="AB115" s="591"/>
      <c r="AC115" s="591"/>
      <c r="AG115" s="591"/>
      <c r="AH115" s="591"/>
      <c r="AI115" s="591"/>
      <c r="AJ115" s="591"/>
      <c r="AK115" s="591"/>
      <c r="AM115" s="591"/>
      <c r="AN115" s="591"/>
      <c r="AO115" s="591"/>
      <c r="AP115" s="591"/>
      <c r="AQ115" s="591"/>
      <c r="AS115" s="591"/>
      <c r="AT115" s="591"/>
      <c r="AU115" s="591"/>
      <c r="AV115" s="591"/>
      <c r="AW115" s="591"/>
      <c r="AY115" s="591"/>
    </row>
    <row r="116" spans="1:51" ht="18" customHeight="1" x14ac:dyDescent="0.2">
      <c r="A116" s="2"/>
      <c r="B116" s="2"/>
      <c r="C116" s="2"/>
      <c r="D116" s="2"/>
      <c r="E116" s="2"/>
      <c r="F116" s="2"/>
      <c r="G116" s="280">
        <f>IF(ISERROR(G$135),HLOOKUP(L$138,$J$138:$L140,3,FALSE),HLOOKUP(G$135,$G$129:$I131,3,FALSE))</f>
        <v>0</v>
      </c>
      <c r="H116" s="280">
        <f>IF(ISERROR(H$135),HLOOKUP(K$138,$J$138:$L140,3,FALSE),HLOOKUP(H$135,$G$129:$I131,3,FALSE))</f>
        <v>0</v>
      </c>
      <c r="I116" s="2249">
        <f>IF(ISERROR(I$135),HLOOKUP(J$138,$J$138:$L140,3,FALSE),HLOOKUP(I$135,$G$129:$I131,3,FALSE))</f>
        <v>0</v>
      </c>
      <c r="J116" s="2250"/>
      <c r="K116" s="2"/>
      <c r="L116" s="14"/>
      <c r="M116" s="139"/>
      <c r="N116" s="2"/>
      <c r="O116" s="2"/>
      <c r="P116" s="2"/>
      <c r="Q116" s="2"/>
      <c r="R116" s="2"/>
      <c r="S116" s="2"/>
      <c r="T116" s="2"/>
      <c r="U116" s="2"/>
      <c r="V116" s="591"/>
      <c r="W116" s="591"/>
      <c r="X116" s="591"/>
      <c r="Y116" s="591"/>
      <c r="Z116" s="591"/>
      <c r="AA116" s="591"/>
      <c r="AB116" s="591"/>
      <c r="AC116" s="591"/>
      <c r="AG116" s="591"/>
      <c r="AH116" s="591"/>
      <c r="AI116" s="591"/>
      <c r="AJ116" s="591"/>
      <c r="AK116" s="591"/>
      <c r="AM116" s="591"/>
      <c r="AN116" s="591"/>
      <c r="AO116" s="591"/>
      <c r="AP116" s="591"/>
      <c r="AQ116" s="591"/>
      <c r="AS116" s="591"/>
      <c r="AT116" s="591"/>
      <c r="AU116" s="591"/>
      <c r="AV116" s="591"/>
      <c r="AW116" s="591"/>
      <c r="AY116" s="591"/>
    </row>
    <row r="117" spans="1:51" ht="18" customHeight="1" x14ac:dyDescent="0.2">
      <c r="A117" s="2"/>
      <c r="B117" s="2"/>
      <c r="C117" s="2"/>
      <c r="D117" s="2"/>
      <c r="E117" s="2"/>
      <c r="F117" s="2"/>
      <c r="G117" s="281">
        <f>IF(ISERROR(G$135),HLOOKUP(L$138,$J$138:$L141,4,FALSE),HLOOKUP(G$135,$G$129:$I132,4,FALSE))</f>
        <v>0</v>
      </c>
      <c r="H117" s="281">
        <f>IF(ISERROR(H$135),HLOOKUP(K$138,$J$138:$L141,4,FALSE),HLOOKUP(H$135,$G$129:$I132,4,FALSE))</f>
        <v>0</v>
      </c>
      <c r="I117" s="2251">
        <f>IF(ISERROR(I$135),HLOOKUP(J$138,$J$138:$L141,4,FALSE),HLOOKUP(I$135,$G$129:$I132,4,FALSE))</f>
        <v>0</v>
      </c>
      <c r="J117" s="2252"/>
      <c r="K117" s="2"/>
      <c r="L117" s="14"/>
      <c r="M117" s="139"/>
      <c r="N117" s="2"/>
      <c r="O117" s="2"/>
      <c r="P117" s="2"/>
      <c r="Q117" s="2"/>
      <c r="R117" s="2"/>
      <c r="S117" s="2"/>
      <c r="T117" s="2"/>
      <c r="U117" s="2"/>
      <c r="V117" s="591"/>
      <c r="W117" s="591"/>
      <c r="X117" s="591"/>
      <c r="Y117" s="591"/>
      <c r="Z117" s="591"/>
      <c r="AA117" s="591"/>
      <c r="AB117" s="591"/>
      <c r="AC117" s="591"/>
      <c r="AG117" s="591"/>
      <c r="AH117" s="591"/>
      <c r="AI117" s="591"/>
      <c r="AJ117" s="591"/>
      <c r="AK117" s="591"/>
      <c r="AM117" s="591"/>
      <c r="AN117" s="591"/>
      <c r="AO117" s="591"/>
      <c r="AP117" s="591"/>
      <c r="AQ117" s="591"/>
      <c r="AS117" s="591"/>
      <c r="AT117" s="591"/>
      <c r="AU117" s="591"/>
      <c r="AV117" s="591"/>
      <c r="AW117" s="591"/>
      <c r="AY117" s="591"/>
    </row>
    <row r="118" spans="1:51" ht="18" customHeight="1" x14ac:dyDescent="0.2">
      <c r="A118" s="2"/>
      <c r="B118" s="2"/>
      <c r="C118" s="2"/>
      <c r="D118" s="2"/>
      <c r="E118" s="2"/>
      <c r="F118" s="2"/>
      <c r="G118" s="282">
        <f>IF(ISERROR(G$135),HLOOKUP(L$138,$J$138:$L142,5,FALSE),HLOOKUP(G$135,$G$129:$I133,5,FALSE))</f>
        <v>0</v>
      </c>
      <c r="H118" s="282">
        <f>IF(ISERROR(H$135),HLOOKUP(K$138,$J$138:$L142,5,FALSE),HLOOKUP(H$135,$G$129:$I133,5,FALSE))</f>
        <v>0</v>
      </c>
      <c r="I118" s="2257">
        <f>IF(ISERROR(I$135),HLOOKUP(J$138,$J$138:$L142,5,FALSE),HLOOKUP(I$135,$G$129:$I133,5,FALSE))</f>
        <v>0</v>
      </c>
      <c r="J118" s="2258"/>
      <c r="K118" s="2"/>
      <c r="L118" s="14"/>
      <c r="M118" s="139"/>
      <c r="N118" s="2"/>
      <c r="O118" s="2"/>
      <c r="P118" s="2"/>
      <c r="Q118" s="2"/>
      <c r="R118" s="2"/>
      <c r="S118" s="2"/>
      <c r="T118" s="2"/>
      <c r="U118" s="2"/>
      <c r="V118" s="591"/>
      <c r="W118" s="591"/>
      <c r="X118" s="591"/>
      <c r="Y118" s="591"/>
      <c r="Z118" s="591"/>
      <c r="AA118" s="591"/>
      <c r="AB118" s="591"/>
      <c r="AC118" s="591"/>
      <c r="AG118" s="591"/>
      <c r="AH118" s="591"/>
      <c r="AI118" s="591"/>
      <c r="AJ118" s="591"/>
      <c r="AK118" s="591"/>
      <c r="AM118" s="591"/>
      <c r="AN118" s="591"/>
      <c r="AO118" s="591"/>
      <c r="AP118" s="591"/>
      <c r="AQ118" s="591"/>
      <c r="AS118" s="591"/>
      <c r="AT118" s="591"/>
      <c r="AU118" s="591"/>
      <c r="AV118" s="591"/>
      <c r="AW118" s="591"/>
      <c r="AY118" s="591"/>
    </row>
    <row r="119" spans="1:51" ht="21" hidden="1" customHeight="1" x14ac:dyDescent="0.2">
      <c r="A119" s="2"/>
      <c r="B119" s="2"/>
      <c r="C119" s="2"/>
      <c r="D119" s="2"/>
      <c r="E119" s="2"/>
      <c r="F119" s="2"/>
      <c r="G119" s="117" t="e">
        <f>IF(ISERROR(G$135),HLOOKUP(L$138,$J$138:$L139,2,FALSE),HLOOKUP(G$135,$G$129:$I136,8,FALSE))</f>
        <v>#N/A</v>
      </c>
      <c r="H119" s="117" t="e">
        <f>IF(ISERROR(H$135),HLOOKUP(K$138,$J$138:$L139,2,FALSE),HLOOKUP(H$135,$G$129:$I136,8,FALSE))</f>
        <v>#N/A</v>
      </c>
      <c r="I119" s="2259" t="e">
        <f>IF(ISERROR(I$135),HLOOKUP(J$138,$J$138:$L139,2,FALSE),HLOOKUP(I$135,$G$129:$I136,8,FALSE))</f>
        <v>#N/A</v>
      </c>
      <c r="J119" s="2259"/>
      <c r="K119" s="2"/>
      <c r="L119" s="14"/>
      <c r="M119" s="139"/>
      <c r="N119" s="2"/>
      <c r="O119" s="2"/>
      <c r="P119" s="2"/>
      <c r="Q119" s="2"/>
      <c r="R119" s="2"/>
      <c r="S119" s="2"/>
      <c r="T119" s="2"/>
      <c r="U119" s="2"/>
      <c r="V119" s="591"/>
      <c r="W119" s="591"/>
      <c r="X119" s="591"/>
      <c r="Y119" s="591"/>
      <c r="Z119" s="591"/>
      <c r="AA119" s="591"/>
      <c r="AB119" s="591"/>
      <c r="AC119" s="591"/>
      <c r="AG119" s="591"/>
      <c r="AH119" s="591"/>
      <c r="AI119" s="591"/>
      <c r="AJ119" s="591"/>
      <c r="AK119" s="591"/>
      <c r="AM119" s="591"/>
      <c r="AN119" s="591"/>
      <c r="AO119" s="591"/>
      <c r="AP119" s="591"/>
      <c r="AQ119" s="591"/>
      <c r="AS119" s="591"/>
      <c r="AT119" s="591"/>
      <c r="AU119" s="591"/>
      <c r="AV119" s="591"/>
      <c r="AW119" s="591"/>
      <c r="AY119" s="591"/>
    </row>
    <row r="120" spans="1:51" ht="4.5" customHeight="1" x14ac:dyDescent="0.2">
      <c r="A120" s="2"/>
      <c r="B120" s="2"/>
      <c r="C120" s="2"/>
      <c r="D120" s="2"/>
      <c r="E120" s="2"/>
      <c r="F120" s="2"/>
      <c r="G120" s="14"/>
      <c r="H120" s="14"/>
      <c r="I120" s="2202"/>
      <c r="J120" s="2202"/>
      <c r="K120" s="2"/>
      <c r="L120" s="14"/>
      <c r="M120" s="139"/>
      <c r="N120" s="2"/>
      <c r="O120" s="2"/>
      <c r="P120" s="2"/>
      <c r="Q120" s="2"/>
      <c r="R120" s="2"/>
      <c r="S120" s="2"/>
      <c r="T120" s="2"/>
      <c r="U120" s="2"/>
      <c r="V120" s="591"/>
      <c r="W120" s="591"/>
      <c r="X120" s="591"/>
      <c r="Y120" s="591"/>
      <c r="Z120" s="591"/>
      <c r="AA120" s="591"/>
      <c r="AB120" s="591"/>
      <c r="AC120" s="591"/>
      <c r="AG120" s="591"/>
      <c r="AH120" s="591"/>
      <c r="AI120" s="591"/>
      <c r="AJ120" s="591"/>
      <c r="AK120" s="591"/>
      <c r="AM120" s="591"/>
      <c r="AN120" s="591"/>
      <c r="AO120" s="591"/>
      <c r="AP120" s="591"/>
      <c r="AQ120" s="591"/>
      <c r="AS120" s="591"/>
      <c r="AT120" s="591"/>
      <c r="AU120" s="591"/>
      <c r="AV120" s="591"/>
      <c r="AW120" s="591"/>
      <c r="AY120" s="591"/>
    </row>
    <row r="121" spans="1:51" ht="18" customHeight="1" x14ac:dyDescent="0.25">
      <c r="A121" s="2"/>
      <c r="B121" s="2"/>
      <c r="C121" s="2"/>
      <c r="D121" s="2"/>
      <c r="E121" s="2"/>
      <c r="F121" s="283" t="s">
        <v>483</v>
      </c>
      <c r="G121" s="285">
        <f>IMPOSTAZIONI!AC291</f>
        <v>0</v>
      </c>
      <c r="H121" s="285">
        <f>IMPOSTAZIONI!AC292</f>
        <v>0</v>
      </c>
      <c r="I121" s="2253">
        <f>IMPOSTAZIONI!AC293</f>
        <v>0</v>
      </c>
      <c r="J121" s="2254"/>
      <c r="K121" s="667">
        <f>SUM(G121:I121)</f>
        <v>0</v>
      </c>
      <c r="L121" s="14"/>
      <c r="M121" s="139"/>
      <c r="N121" s="2"/>
      <c r="O121" s="2"/>
      <c r="P121" s="2"/>
      <c r="Q121" s="2"/>
      <c r="R121" s="2"/>
      <c r="S121" s="2"/>
      <c r="T121" s="2"/>
      <c r="U121" s="2"/>
      <c r="V121" s="591"/>
      <c r="W121" s="591"/>
      <c r="X121" s="591"/>
      <c r="Y121" s="591"/>
      <c r="Z121" s="591"/>
      <c r="AA121" s="591"/>
      <c r="AB121" s="591"/>
      <c r="AC121" s="591"/>
      <c r="AG121" s="591"/>
      <c r="AH121" s="591"/>
      <c r="AI121" s="591"/>
      <c r="AJ121" s="591"/>
      <c r="AK121" s="591"/>
      <c r="AM121" s="591"/>
      <c r="AN121" s="591"/>
      <c r="AO121" s="591"/>
      <c r="AP121" s="591"/>
      <c r="AQ121" s="591"/>
      <c r="AS121" s="591"/>
      <c r="AT121" s="591"/>
      <c r="AU121" s="591"/>
      <c r="AV121" s="591"/>
      <c r="AW121" s="591"/>
      <c r="AY121" s="591"/>
    </row>
    <row r="122" spans="1:51" ht="18" customHeight="1" x14ac:dyDescent="0.2">
      <c r="A122" s="2"/>
      <c r="B122" s="2"/>
      <c r="C122" s="2"/>
      <c r="D122" s="2"/>
      <c r="E122" s="2"/>
      <c r="F122" s="284" t="s">
        <v>484</v>
      </c>
      <c r="G122" s="286">
        <f>IMPOSTAZIONI!AH291</f>
        <v>0</v>
      </c>
      <c r="H122" s="286">
        <f>IMPOSTAZIONI!AH292</f>
        <v>0</v>
      </c>
      <c r="I122" s="2255">
        <f>IMPOSTAZIONI!AH293</f>
        <v>0</v>
      </c>
      <c r="J122" s="2256"/>
      <c r="K122" s="310">
        <f>SUM(G122:I122)</f>
        <v>0</v>
      </c>
      <c r="L122" s="287"/>
      <c r="M122" s="311"/>
      <c r="N122" s="2"/>
      <c r="O122" s="2"/>
      <c r="P122" s="2"/>
      <c r="Q122" s="2"/>
      <c r="R122" s="2"/>
      <c r="S122" s="2"/>
      <c r="T122" s="2"/>
      <c r="U122" s="2"/>
      <c r="V122" s="591"/>
      <c r="W122" s="591"/>
      <c r="X122" s="591"/>
      <c r="Y122" s="591"/>
      <c r="Z122" s="591"/>
      <c r="AA122" s="591"/>
      <c r="AB122" s="591"/>
      <c r="AC122" s="591"/>
      <c r="AG122" s="591"/>
      <c r="AH122" s="591"/>
      <c r="AI122" s="591"/>
      <c r="AJ122" s="591"/>
      <c r="AK122" s="591"/>
      <c r="AM122" s="591"/>
      <c r="AN122" s="591"/>
      <c r="AO122" s="591"/>
      <c r="AP122" s="591"/>
      <c r="AQ122" s="591"/>
      <c r="AS122" s="591"/>
      <c r="AT122" s="591"/>
      <c r="AU122" s="591"/>
      <c r="AV122" s="591"/>
      <c r="AW122" s="591"/>
      <c r="AY122" s="591"/>
    </row>
    <row r="123" spans="1:51" ht="21" customHeight="1" x14ac:dyDescent="0.2">
      <c r="A123" s="2"/>
      <c r="B123" s="2"/>
      <c r="C123" s="2"/>
      <c r="D123" s="2"/>
      <c r="E123" s="2"/>
      <c r="F123" s="2"/>
      <c r="G123" s="2"/>
      <c r="H123" s="2"/>
      <c r="I123" s="2"/>
      <c r="J123" s="2"/>
      <c r="K123" s="2"/>
      <c r="L123" s="2"/>
      <c r="M123" s="2"/>
      <c r="N123" s="2"/>
      <c r="O123" s="2"/>
      <c r="P123" s="2"/>
      <c r="Q123" s="2"/>
      <c r="R123" s="2"/>
      <c r="S123" s="2"/>
      <c r="T123" s="2"/>
      <c r="U123" s="2"/>
      <c r="V123" s="591"/>
      <c r="W123" s="591"/>
      <c r="X123" s="591"/>
      <c r="Y123" s="591"/>
      <c r="Z123" s="591"/>
      <c r="AA123" s="591"/>
      <c r="AB123" s="591"/>
      <c r="AC123" s="591"/>
      <c r="AG123" s="591"/>
      <c r="AH123" s="591"/>
      <c r="AI123" s="591"/>
      <c r="AJ123" s="591"/>
      <c r="AK123" s="591"/>
      <c r="AM123" s="591"/>
      <c r="AN123" s="591"/>
      <c r="AO123" s="591"/>
      <c r="AP123" s="591"/>
      <c r="AQ123" s="591"/>
      <c r="AS123" s="591"/>
      <c r="AT123" s="591"/>
      <c r="AU123" s="591"/>
      <c r="AV123" s="591"/>
      <c r="AW123" s="591"/>
      <c r="AY123" s="591"/>
    </row>
    <row r="124" spans="1:51" ht="21" customHeight="1" x14ac:dyDescent="0.2">
      <c r="A124" s="2"/>
      <c r="B124" s="2"/>
      <c r="C124" s="287"/>
      <c r="D124" s="287"/>
      <c r="E124" s="287"/>
      <c r="F124" s="287"/>
      <c r="G124" s="287"/>
      <c r="H124" s="287"/>
      <c r="I124" s="287"/>
      <c r="J124" s="287"/>
      <c r="K124" s="287"/>
      <c r="L124" s="287"/>
      <c r="M124" s="287"/>
      <c r="N124" s="287"/>
      <c r="O124" s="287"/>
      <c r="P124" s="2"/>
      <c r="Q124" s="2"/>
      <c r="R124" s="2"/>
      <c r="S124" s="2"/>
      <c r="T124" s="2"/>
      <c r="U124" s="2"/>
      <c r="V124" s="591"/>
      <c r="W124" s="591"/>
      <c r="X124" s="591"/>
      <c r="Y124" s="591"/>
      <c r="Z124" s="591"/>
      <c r="AA124" s="591"/>
      <c r="AB124" s="591"/>
      <c r="AC124" s="591"/>
      <c r="AG124" s="591"/>
      <c r="AH124" s="591"/>
      <c r="AI124" s="591"/>
      <c r="AJ124" s="591"/>
      <c r="AK124" s="591"/>
      <c r="AM124" s="591"/>
      <c r="AN124" s="591"/>
      <c r="AO124" s="591"/>
      <c r="AP124" s="591"/>
      <c r="AQ124" s="591"/>
      <c r="AS124" s="591"/>
      <c r="AT124" s="591"/>
      <c r="AU124" s="591"/>
      <c r="AV124" s="591"/>
      <c r="AW124" s="591"/>
      <c r="AY124" s="591"/>
    </row>
    <row r="125" spans="1:51" ht="13.5" hidden="1" customHeight="1" x14ac:dyDescent="0.2">
      <c r="A125" s="2"/>
      <c r="B125" s="2"/>
      <c r="C125" s="2"/>
      <c r="D125" s="2"/>
      <c r="E125" s="2"/>
      <c r="F125" s="2"/>
      <c r="G125" s="2"/>
      <c r="H125" s="2"/>
      <c r="I125" s="2"/>
      <c r="J125" s="2"/>
      <c r="K125" s="2"/>
      <c r="L125" s="2"/>
      <c r="M125" s="2"/>
      <c r="N125" s="2"/>
      <c r="O125" s="2"/>
      <c r="P125" s="2"/>
      <c r="Q125" s="2"/>
      <c r="R125" s="2"/>
      <c r="S125" s="2"/>
      <c r="T125" s="2"/>
      <c r="U125" s="2"/>
      <c r="V125" s="591"/>
      <c r="W125" s="591"/>
      <c r="X125" s="591"/>
      <c r="Y125" s="591"/>
      <c r="Z125" s="591"/>
      <c r="AA125" s="591"/>
      <c r="AB125" s="591"/>
      <c r="AC125" s="591"/>
      <c r="AG125" s="591"/>
      <c r="AH125" s="591"/>
      <c r="AI125" s="591"/>
      <c r="AJ125" s="591"/>
      <c r="AK125" s="591"/>
      <c r="AM125" s="591"/>
      <c r="AN125" s="591"/>
      <c r="AO125" s="591"/>
      <c r="AP125" s="591"/>
      <c r="AQ125" s="591"/>
      <c r="AS125" s="591"/>
      <c r="AT125" s="591"/>
      <c r="AU125" s="591"/>
      <c r="AV125" s="591"/>
      <c r="AW125" s="591"/>
      <c r="AY125" s="591"/>
    </row>
    <row r="126" spans="1:51" ht="18.75" customHeight="1" x14ac:dyDescent="0.2">
      <c r="A126" s="2"/>
      <c r="B126" s="2"/>
      <c r="C126" s="2083" t="str">
        <f ca="1">Presentazione!D70</f>
        <v>Questo file risulta al momento completamente funzionante ed il sistema rileva tutti i suoi fogli.</v>
      </c>
      <c r="D126" s="2083"/>
      <c r="E126" s="2083"/>
      <c r="F126" s="2083"/>
      <c r="G126" s="2083"/>
      <c r="H126" s="2083"/>
      <c r="I126" s="2083"/>
      <c r="J126" s="2083"/>
      <c r="K126" s="2083"/>
      <c r="L126" s="2083"/>
      <c r="M126" s="2083"/>
      <c r="N126" s="553"/>
      <c r="O126" s="553"/>
      <c r="P126" s="553"/>
      <c r="Q126" s="2"/>
      <c r="R126" s="2"/>
      <c r="S126" s="2"/>
      <c r="T126" s="2"/>
      <c r="U126" s="2"/>
      <c r="V126" s="591"/>
      <c r="W126" s="591"/>
      <c r="X126" s="591"/>
      <c r="Y126" s="591"/>
      <c r="Z126" s="591"/>
      <c r="AA126" s="591"/>
      <c r="AB126" s="591"/>
      <c r="AC126" s="591"/>
      <c r="AG126" s="591"/>
      <c r="AH126" s="591"/>
      <c r="AI126" s="591"/>
      <c r="AJ126" s="591"/>
      <c r="AK126" s="591"/>
      <c r="AM126" s="591"/>
      <c r="AN126" s="591"/>
      <c r="AO126" s="591"/>
      <c r="AP126" s="591"/>
      <c r="AQ126" s="591"/>
      <c r="AS126" s="591"/>
      <c r="AT126" s="591"/>
      <c r="AU126" s="591"/>
      <c r="AV126" s="591"/>
      <c r="AW126" s="591"/>
      <c r="AY126" s="591"/>
    </row>
    <row r="127" spans="1:51" ht="33" customHeight="1" x14ac:dyDescent="0.25">
      <c r="A127" s="2"/>
      <c r="B127" s="2"/>
      <c r="C127" s="930" t="s">
        <v>716</v>
      </c>
      <c r="D127" s="930"/>
      <c r="E127" s="930"/>
      <c r="F127" s="930"/>
      <c r="G127" s="930"/>
      <c r="H127" s="2"/>
      <c r="I127" s="2"/>
      <c r="J127" s="2"/>
      <c r="K127" s="2"/>
      <c r="L127" s="2"/>
      <c r="M127" s="908" t="s">
        <v>581</v>
      </c>
      <c r="N127" s="2"/>
      <c r="O127" s="2"/>
      <c r="P127" s="2"/>
      <c r="Q127" s="2"/>
      <c r="R127" s="2"/>
      <c r="S127" s="2"/>
      <c r="T127" s="2"/>
      <c r="U127" s="2"/>
      <c r="V127" s="591"/>
      <c r="W127" s="591"/>
      <c r="X127" s="591"/>
      <c r="Y127" s="591"/>
      <c r="Z127" s="591"/>
      <c r="AA127" s="591"/>
      <c r="AB127" s="591"/>
      <c r="AC127" s="591"/>
      <c r="AG127" s="591"/>
      <c r="AH127" s="591"/>
      <c r="AI127" s="591"/>
      <c r="AJ127" s="591"/>
      <c r="AK127" s="591"/>
      <c r="AM127" s="591"/>
      <c r="AN127" s="591"/>
      <c r="AO127" s="591"/>
      <c r="AP127" s="591"/>
      <c r="AQ127" s="591"/>
      <c r="AS127" s="591"/>
      <c r="AT127" s="591"/>
      <c r="AU127" s="591"/>
      <c r="AV127" s="591"/>
      <c r="AW127" s="591"/>
      <c r="AY127" s="591"/>
    </row>
    <row r="128" spans="1:51" ht="21" hidden="1" customHeight="1" x14ac:dyDescent="0.2">
      <c r="A128" s="2"/>
      <c r="B128" s="2"/>
      <c r="C128" s="2"/>
      <c r="D128" s="2"/>
      <c r="E128" s="2"/>
      <c r="F128" s="2"/>
      <c r="G128" s="2"/>
      <c r="H128" s="2"/>
      <c r="I128" s="2"/>
      <c r="J128" s="2"/>
      <c r="K128" s="2"/>
      <c r="L128" s="2"/>
      <c r="M128" s="2"/>
      <c r="N128" s="2"/>
      <c r="O128" s="2"/>
      <c r="P128" s="2"/>
      <c r="Q128" s="2"/>
      <c r="R128" s="2"/>
      <c r="S128" s="2"/>
      <c r="T128" s="2"/>
      <c r="U128" s="2"/>
      <c r="V128" s="591"/>
      <c r="W128" s="591"/>
      <c r="X128" s="591"/>
      <c r="Y128" s="591"/>
      <c r="Z128" s="591"/>
      <c r="AA128" s="591"/>
      <c r="AB128" s="591"/>
      <c r="AC128" s="591"/>
      <c r="AG128" s="591"/>
      <c r="AH128" s="591"/>
      <c r="AI128" s="591"/>
      <c r="AJ128" s="591"/>
      <c r="AK128" s="591"/>
      <c r="AM128" s="591"/>
      <c r="AN128" s="591"/>
      <c r="AO128" s="591"/>
      <c r="AP128" s="591"/>
      <c r="AQ128" s="591"/>
      <c r="AS128" s="591"/>
      <c r="AT128" s="591"/>
      <c r="AU128" s="591"/>
      <c r="AV128" s="591"/>
      <c r="AW128" s="591"/>
      <c r="AY128" s="591"/>
    </row>
    <row r="129" spans="1:51" ht="15.75" hidden="1" customHeight="1" x14ac:dyDescent="0.2">
      <c r="A129" s="2"/>
      <c r="B129" s="2"/>
      <c r="C129" s="2"/>
      <c r="D129" s="2"/>
      <c r="E129" s="2"/>
      <c r="F129" s="2"/>
      <c r="G129" s="257">
        <v>1</v>
      </c>
      <c r="H129" s="257">
        <v>2</v>
      </c>
      <c r="I129" s="257">
        <v>3</v>
      </c>
      <c r="J129" s="2"/>
      <c r="K129" s="2"/>
      <c r="L129" s="2"/>
      <c r="M129" s="2"/>
      <c r="N129" s="2"/>
      <c r="O129" s="2"/>
      <c r="P129" s="2"/>
      <c r="Q129" s="2"/>
      <c r="R129" s="2"/>
      <c r="S129" s="2"/>
      <c r="T129" s="2"/>
      <c r="U129" s="2"/>
      <c r="V129" s="591"/>
      <c r="W129" s="591"/>
      <c r="X129" s="591"/>
      <c r="Y129" s="591"/>
      <c r="Z129" s="591"/>
      <c r="AA129" s="591"/>
      <c r="AB129" s="591"/>
      <c r="AC129" s="591"/>
      <c r="AG129" s="591"/>
      <c r="AH129" s="591"/>
      <c r="AI129" s="591"/>
      <c r="AJ129" s="591"/>
      <c r="AK129" s="591"/>
      <c r="AM129" s="591"/>
      <c r="AN129" s="591"/>
      <c r="AO129" s="591"/>
      <c r="AP129" s="591"/>
      <c r="AQ129" s="591"/>
      <c r="AS129" s="591"/>
      <c r="AT129" s="591"/>
      <c r="AU129" s="591"/>
      <c r="AV129" s="591"/>
      <c r="AW129" s="591"/>
      <c r="AY129" s="591"/>
    </row>
    <row r="130" spans="1:51" ht="15.75" hidden="1" customHeight="1" x14ac:dyDescent="0.2">
      <c r="A130" s="2"/>
      <c r="B130" s="2"/>
      <c r="C130" s="2"/>
      <c r="D130" s="2"/>
      <c r="E130" s="2"/>
      <c r="F130" s="2"/>
      <c r="G130" s="263">
        <f>IF(E$131=1,IMPOSTAZIONI!J94,0)</f>
        <v>0</v>
      </c>
      <c r="H130" s="263">
        <f>IF(E$132=1,IMPOSTAZIONI!J102,0)</f>
        <v>0</v>
      </c>
      <c r="I130" s="263">
        <f>IF(E$133=1,IMPOSTAZIONI!J110,0)</f>
        <v>0</v>
      </c>
      <c r="J130" s="2"/>
      <c r="K130" s="263" t="str">
        <f>IMPOSTAZIONI!C154</f>
        <v>Note</v>
      </c>
      <c r="L130" s="2"/>
      <c r="M130" s="2"/>
      <c r="N130" s="2"/>
      <c r="O130" s="2"/>
      <c r="P130" s="2"/>
      <c r="Q130" s="2"/>
      <c r="R130" s="2"/>
      <c r="S130" s="2"/>
      <c r="T130" s="2"/>
      <c r="U130" s="2"/>
      <c r="V130" s="591"/>
      <c r="W130" s="591"/>
      <c r="X130" s="591"/>
      <c r="Y130" s="591"/>
      <c r="Z130" s="591"/>
      <c r="AA130" s="591"/>
      <c r="AB130" s="591"/>
      <c r="AC130" s="591"/>
      <c r="AG130" s="591"/>
      <c r="AH130" s="591"/>
      <c r="AI130" s="591"/>
      <c r="AJ130" s="591"/>
      <c r="AK130" s="591"/>
      <c r="AM130" s="591"/>
      <c r="AN130" s="591"/>
      <c r="AO130" s="591"/>
      <c r="AP130" s="591"/>
      <c r="AQ130" s="591"/>
      <c r="AS130" s="591"/>
      <c r="AT130" s="591"/>
      <c r="AU130" s="591"/>
      <c r="AV130" s="591"/>
      <c r="AW130" s="591"/>
      <c r="AY130" s="591"/>
    </row>
    <row r="131" spans="1:51" ht="15.75" hidden="1" customHeight="1" x14ac:dyDescent="0.2">
      <c r="A131" s="2"/>
      <c r="B131" s="2"/>
      <c r="C131" s="2"/>
      <c r="D131" s="2"/>
      <c r="E131" s="263">
        <f>IF(IMPOSTAZIONI!X184=0,1,0)</f>
        <v>0</v>
      </c>
      <c r="F131" s="2"/>
      <c r="G131" s="267">
        <f>IF(E$131=1,IMPOSTAZIONI!J96,0)</f>
        <v>0</v>
      </c>
      <c r="H131" s="268">
        <f>IF(E$132=1,IMPOSTAZIONI!J104,0)</f>
        <v>0</v>
      </c>
      <c r="I131" s="269">
        <f>IF(E$133=1,IMPOSTAZIONI!J112,0)</f>
        <v>0</v>
      </c>
      <c r="J131" s="2"/>
      <c r="K131" s="2"/>
      <c r="L131" s="925" t="str">
        <f>Presentazione!$K$150</f>
        <v>attiva trim.</v>
      </c>
      <c r="M131" s="2"/>
      <c r="N131" s="2"/>
      <c r="O131" s="2"/>
      <c r="P131" s="2"/>
      <c r="Q131" s="2"/>
      <c r="R131" s="2"/>
      <c r="S131" s="2"/>
      <c r="T131" s="2"/>
      <c r="U131" s="2"/>
      <c r="V131" s="591"/>
      <c r="W131" s="591"/>
      <c r="X131" s="591"/>
      <c r="Y131" s="591"/>
      <c r="Z131" s="591"/>
      <c r="AA131" s="591"/>
      <c r="AB131" s="591"/>
      <c r="AC131" s="591"/>
      <c r="AG131" s="591"/>
      <c r="AH131" s="591"/>
      <c r="AI131" s="591"/>
      <c r="AJ131" s="591"/>
      <c r="AK131" s="591"/>
      <c r="AM131" s="591"/>
      <c r="AN131" s="591"/>
      <c r="AO131" s="591"/>
      <c r="AP131" s="591"/>
      <c r="AQ131" s="591"/>
      <c r="AS131" s="591"/>
      <c r="AT131" s="591"/>
      <c r="AU131" s="591"/>
      <c r="AV131" s="591"/>
      <c r="AW131" s="591"/>
      <c r="AY131" s="591"/>
    </row>
    <row r="132" spans="1:51" ht="15.75" hidden="1" customHeight="1" x14ac:dyDescent="0.2">
      <c r="A132" s="2"/>
      <c r="B132" s="2"/>
      <c r="C132" s="2"/>
      <c r="D132" s="2"/>
      <c r="E132" s="263">
        <f>IF(IMPOSTAZIONI!X185=0,1,0)</f>
        <v>0</v>
      </c>
      <c r="F132" s="2"/>
      <c r="G132" s="264">
        <f>IF(E$131=1,IMPOSTAZIONI!J97,0)</f>
        <v>0</v>
      </c>
      <c r="H132" s="266">
        <f>IF(E$132=1,IMPOSTAZIONI!J105,0)</f>
        <v>0</v>
      </c>
      <c r="I132" s="265">
        <f>IF(E$133=1,IMPOSTAZIONI!J113,0)</f>
        <v>0</v>
      </c>
      <c r="J132" s="2"/>
      <c r="K132" s="263" t="s">
        <v>356</v>
      </c>
      <c r="L132" s="2"/>
      <c r="M132" s="2"/>
      <c r="N132" s="2"/>
      <c r="O132" s="2"/>
      <c r="P132" s="2"/>
      <c r="Q132" s="2"/>
      <c r="R132" s="2"/>
      <c r="S132" s="2"/>
      <c r="T132" s="2"/>
      <c r="U132" s="2"/>
      <c r="V132" s="591"/>
      <c r="W132" s="591"/>
      <c r="X132" s="591"/>
      <c r="Y132" s="591"/>
      <c r="Z132" s="591"/>
      <c r="AA132" s="591"/>
      <c r="AB132" s="591"/>
      <c r="AC132" s="591"/>
      <c r="AG132" s="591"/>
      <c r="AH132" s="591"/>
      <c r="AI132" s="591"/>
      <c r="AJ132" s="591"/>
      <c r="AK132" s="591"/>
      <c r="AM132" s="591"/>
      <c r="AN132" s="591"/>
      <c r="AO132" s="591"/>
      <c r="AP132" s="591"/>
      <c r="AQ132" s="591"/>
      <c r="AS132" s="591"/>
      <c r="AT132" s="591"/>
      <c r="AU132" s="591"/>
      <c r="AV132" s="591"/>
      <c r="AW132" s="591"/>
      <c r="AY132" s="591"/>
    </row>
    <row r="133" spans="1:51" ht="15.75" hidden="1" customHeight="1" x14ac:dyDescent="0.2">
      <c r="A133" s="2"/>
      <c r="B133" s="2"/>
      <c r="C133" s="2"/>
      <c r="D133" s="2"/>
      <c r="E133" s="263">
        <f>IF(IMPOSTAZIONI!X186=0,1,0)</f>
        <v>0</v>
      </c>
      <c r="F133" s="2"/>
      <c r="G133" s="270">
        <f>IF(E$131=1,IMPOSTAZIONI!J98,0)</f>
        <v>0</v>
      </c>
      <c r="H133" s="271">
        <f>IF(E$132=1,IMPOSTAZIONI!J106,0)</f>
        <v>0</v>
      </c>
      <c r="I133" s="272">
        <f>IF(E$133=1,IMPOSTAZIONI!J114,0)</f>
        <v>0</v>
      </c>
      <c r="J133" s="2"/>
      <c r="K133" s="2"/>
      <c r="L133" s="2"/>
      <c r="M133" s="2"/>
      <c r="N133" s="2"/>
      <c r="O133" s="2"/>
      <c r="P133" s="2"/>
      <c r="Q133" s="2"/>
      <c r="R133" s="2"/>
      <c r="S133" s="2"/>
      <c r="T133" s="2"/>
      <c r="U133" s="2"/>
      <c r="V133" s="591"/>
      <c r="W133" s="591"/>
      <c r="X133" s="591"/>
      <c r="Y133" s="591"/>
      <c r="Z133" s="591"/>
      <c r="AA133" s="591"/>
      <c r="AB133" s="591"/>
      <c r="AC133" s="591"/>
      <c r="AG133" s="591"/>
      <c r="AH133" s="591"/>
      <c r="AI133" s="591"/>
      <c r="AJ133" s="591"/>
      <c r="AK133" s="591"/>
      <c r="AM133" s="591"/>
      <c r="AN133" s="591"/>
      <c r="AO133" s="591"/>
      <c r="AP133" s="591"/>
      <c r="AQ133" s="591"/>
      <c r="AS133" s="591"/>
      <c r="AT133" s="591"/>
      <c r="AU133" s="591"/>
      <c r="AV133" s="591"/>
      <c r="AW133" s="591"/>
      <c r="AY133" s="591"/>
    </row>
    <row r="134" spans="1:51" ht="15.75" hidden="1" customHeight="1" x14ac:dyDescent="0.2">
      <c r="A134" s="2"/>
      <c r="B134" s="2"/>
      <c r="C134" s="2"/>
      <c r="D134" s="2"/>
      <c r="E134" s="129"/>
      <c r="F134" s="2"/>
      <c r="G134" s="108">
        <f>IF(G130=0,0,G129)</f>
        <v>0</v>
      </c>
      <c r="H134" s="108">
        <f>IF(H130=0,0,H129)</f>
        <v>0</v>
      </c>
      <c r="I134" s="108">
        <f>IF(I130=0,0,I129)</f>
        <v>0</v>
      </c>
      <c r="J134" s="2"/>
      <c r="K134" s="263" t="str">
        <f>IMPOSTAZIONI!C146</f>
        <v>ESCLUDI</v>
      </c>
      <c r="L134" s="263" t="str">
        <f>IMPOSTAZIONI!H146</f>
        <v>VENTILAZIONE</v>
      </c>
      <c r="M134" s="306" t="s">
        <v>745</v>
      </c>
      <c r="N134" s="2"/>
      <c r="O134" s="2"/>
      <c r="P134" s="2"/>
      <c r="Q134" s="2"/>
      <c r="R134" s="2"/>
      <c r="S134" s="2"/>
      <c r="T134" s="2"/>
      <c r="U134" s="2"/>
      <c r="V134" s="591"/>
      <c r="W134" s="591"/>
      <c r="X134" s="591"/>
      <c r="Y134" s="591"/>
      <c r="Z134" s="591"/>
      <c r="AA134" s="591"/>
      <c r="AB134" s="591"/>
      <c r="AC134" s="591"/>
      <c r="AG134" s="591"/>
      <c r="AH134" s="591"/>
      <c r="AI134" s="591"/>
      <c r="AJ134" s="591"/>
      <c r="AK134" s="591"/>
      <c r="AM134" s="591"/>
      <c r="AN134" s="591"/>
      <c r="AO134" s="591"/>
      <c r="AP134" s="591"/>
      <c r="AQ134" s="591"/>
      <c r="AS134" s="591"/>
      <c r="AT134" s="591"/>
      <c r="AU134" s="591"/>
      <c r="AV134" s="591"/>
      <c r="AW134" s="591"/>
      <c r="AY134" s="591"/>
    </row>
    <row r="135" spans="1:51" ht="15.75" hidden="1" customHeight="1" x14ac:dyDescent="0.2">
      <c r="A135" s="2"/>
      <c r="B135" s="2"/>
      <c r="C135" s="2"/>
      <c r="D135" s="2"/>
      <c r="E135" s="274">
        <f>COUNTIF(G134:I134,0)</f>
        <v>3</v>
      </c>
      <c r="F135" s="2"/>
      <c r="G135" s="273" t="e">
        <f>SMALL($G134:$I134,$E135+1)</f>
        <v>#NUM!</v>
      </c>
      <c r="H135" s="273" t="e">
        <f>SMALL($G134:$I134,$E135+2)</f>
        <v>#NUM!</v>
      </c>
      <c r="I135" s="273" t="e">
        <f>SMALL($G134:$I134,$E135+3)</f>
        <v>#NUM!</v>
      </c>
      <c r="J135" s="2"/>
      <c r="K135" s="2"/>
      <c r="L135" s="263" t="str">
        <f>IMPOSTAZIONI!H148</f>
        <v>SCORPORO</v>
      </c>
      <c r="M135" s="306" t="s">
        <v>742</v>
      </c>
      <c r="N135" s="2"/>
      <c r="O135" s="2"/>
      <c r="P135" s="2"/>
      <c r="Q135" s="2"/>
      <c r="R135" s="2"/>
      <c r="S135" s="2"/>
      <c r="T135" s="2"/>
      <c r="U135" s="2"/>
      <c r="V135" s="591"/>
      <c r="W135" s="591"/>
      <c r="X135" s="591"/>
      <c r="Y135" s="591"/>
      <c r="Z135" s="591"/>
      <c r="AA135" s="591"/>
      <c r="AB135" s="591"/>
      <c r="AC135" s="591"/>
      <c r="AG135" s="591"/>
      <c r="AH135" s="591"/>
      <c r="AI135" s="591"/>
      <c r="AJ135" s="591"/>
      <c r="AK135" s="591"/>
      <c r="AM135" s="591"/>
      <c r="AN135" s="591"/>
      <c r="AO135" s="591"/>
      <c r="AP135" s="591"/>
      <c r="AQ135" s="591"/>
      <c r="AS135" s="591"/>
      <c r="AT135" s="591"/>
      <c r="AU135" s="591"/>
      <c r="AV135" s="591"/>
      <c r="AW135" s="591"/>
      <c r="AY135" s="591"/>
    </row>
    <row r="136" spans="1:51" ht="15.75" hidden="1" customHeight="1" x14ac:dyDescent="0.2">
      <c r="A136" s="2"/>
      <c r="B136" s="2"/>
      <c r="C136" s="2"/>
      <c r="D136" s="2"/>
      <c r="E136" s="274"/>
      <c r="F136" s="2"/>
      <c r="G136" s="275">
        <f>IF(E$131=1,CONCATENATE(IMPOSTAZIONI!I96,"-",IMPOSTAZIONI!I97,"-",IMPOSTAZIONI!I98),0)</f>
        <v>0</v>
      </c>
      <c r="H136" s="276">
        <f>IF(E$132=1,CONCATENATE(IMPOSTAZIONI!I104,"-",IMPOSTAZIONI!I105,"-",IMPOSTAZIONI!I106),0)</f>
        <v>0</v>
      </c>
      <c r="I136" s="277">
        <f>IF(E$133=1,CONCATENATE(IMPOSTAZIONI!I112,"-",IMPOSTAZIONI!I113,"-",IMPOSTAZIONI!I114),0)</f>
        <v>0</v>
      </c>
      <c r="J136" s="2"/>
      <c r="K136" s="2"/>
      <c r="L136" s="2"/>
      <c r="M136" s="2"/>
      <c r="N136" s="2"/>
      <c r="O136" s="2"/>
      <c r="P136" s="2"/>
      <c r="Q136" s="2"/>
      <c r="R136" s="2"/>
      <c r="S136" s="2"/>
      <c r="T136" s="2"/>
      <c r="U136" s="2"/>
      <c r="V136" s="591"/>
      <c r="W136" s="591"/>
      <c r="X136" s="591"/>
      <c r="Y136" s="591"/>
      <c r="Z136" s="591"/>
      <c r="AA136" s="591"/>
      <c r="AB136" s="591"/>
      <c r="AC136" s="591"/>
      <c r="AG136" s="591"/>
      <c r="AH136" s="591"/>
      <c r="AI136" s="591"/>
      <c r="AJ136" s="591"/>
      <c r="AK136" s="591"/>
      <c r="AM136" s="591"/>
      <c r="AN136" s="591"/>
      <c r="AO136" s="591"/>
      <c r="AP136" s="591"/>
      <c r="AQ136" s="591"/>
      <c r="AS136" s="591"/>
      <c r="AT136" s="591"/>
      <c r="AU136" s="591"/>
      <c r="AV136" s="591"/>
      <c r="AW136" s="591"/>
      <c r="AY136" s="591"/>
    </row>
    <row r="137" spans="1:51" ht="15.75" hidden="1" customHeight="1" x14ac:dyDescent="0.2">
      <c r="A137" s="2"/>
      <c r="B137" s="2"/>
      <c r="C137" s="2"/>
      <c r="D137" s="2"/>
      <c r="E137" s="129"/>
      <c r="F137" s="2"/>
      <c r="G137" s="273"/>
      <c r="H137" s="273"/>
      <c r="I137" s="2"/>
      <c r="J137" s="2"/>
      <c r="K137" s="2"/>
      <c r="L137" s="2"/>
      <c r="M137" s="2"/>
      <c r="N137" s="2"/>
      <c r="O137" s="2"/>
      <c r="P137" s="2"/>
      <c r="Q137" s="2"/>
      <c r="R137" s="2"/>
      <c r="S137" s="2"/>
      <c r="T137" s="2"/>
      <c r="U137" s="2"/>
      <c r="V137" s="591"/>
      <c r="W137" s="591"/>
      <c r="X137" s="591"/>
      <c r="Y137" s="591"/>
      <c r="Z137" s="591"/>
      <c r="AA137" s="591"/>
      <c r="AB137" s="591"/>
      <c r="AC137" s="591"/>
      <c r="AG137" s="591"/>
      <c r="AH137" s="591"/>
      <c r="AI137" s="591"/>
      <c r="AJ137" s="591"/>
      <c r="AK137" s="591"/>
      <c r="AM137" s="591"/>
      <c r="AN137" s="591"/>
      <c r="AO137" s="591"/>
      <c r="AP137" s="591"/>
      <c r="AQ137" s="591"/>
      <c r="AS137" s="591"/>
      <c r="AT137" s="591"/>
      <c r="AU137" s="591"/>
      <c r="AV137" s="591"/>
      <c r="AW137" s="591"/>
      <c r="AY137" s="591"/>
    </row>
    <row r="138" spans="1:51" ht="15.75" hidden="1" customHeight="1" x14ac:dyDescent="0.2">
      <c r="A138" s="2"/>
      <c r="B138" s="2"/>
      <c r="C138" s="2"/>
      <c r="D138" s="2"/>
      <c r="E138" s="129"/>
      <c r="F138" s="2"/>
      <c r="G138" s="273"/>
      <c r="H138" s="273"/>
      <c r="I138" s="273"/>
      <c r="J138" s="148">
        <v>1</v>
      </c>
      <c r="K138" s="148">
        <v>2</v>
      </c>
      <c r="L138" s="148">
        <v>3</v>
      </c>
      <c r="M138" s="2"/>
      <c r="N138" s="2"/>
      <c r="O138" s="2"/>
      <c r="P138" s="2"/>
      <c r="Q138" s="2"/>
      <c r="R138" s="2"/>
      <c r="S138" s="2"/>
      <c r="T138" s="2"/>
      <c r="U138" s="2"/>
      <c r="V138" s="591"/>
      <c r="W138" s="591"/>
      <c r="X138" s="591"/>
      <c r="Y138" s="591"/>
      <c r="Z138" s="591"/>
      <c r="AA138" s="591"/>
      <c r="AB138" s="591"/>
      <c r="AC138" s="591"/>
      <c r="AG138" s="591"/>
      <c r="AH138" s="591"/>
      <c r="AI138" s="591"/>
      <c r="AJ138" s="591"/>
      <c r="AK138" s="591"/>
      <c r="AM138" s="591"/>
      <c r="AN138" s="591"/>
      <c r="AO138" s="591"/>
      <c r="AP138" s="591"/>
      <c r="AQ138" s="591"/>
      <c r="AS138" s="591"/>
      <c r="AT138" s="591"/>
      <c r="AU138" s="591"/>
      <c r="AV138" s="591"/>
      <c r="AW138" s="591"/>
      <c r="AY138" s="591"/>
    </row>
    <row r="139" spans="1:51" ht="15.75" hidden="1" customHeight="1" x14ac:dyDescent="0.2">
      <c r="A139" s="2"/>
      <c r="B139" s="2"/>
      <c r="C139" s="148">
        <v>1</v>
      </c>
      <c r="D139" s="148">
        <f>IF(I139=0,0,1)</f>
        <v>0</v>
      </c>
      <c r="E139" s="263" t="str">
        <f>IMPOSTAZIONI!B298</f>
        <v>--</v>
      </c>
      <c r="F139" s="2"/>
      <c r="G139" s="305">
        <f>VLOOKUP(E139,IMPOSTAZIONI!$B$298:$AK$304,$E$149,FALSE)</f>
        <v>0</v>
      </c>
      <c r="H139" s="306" t="str">
        <f>IF(G139&gt;0,IF(AND(ISERROR(HLOOKUP(E139,G$136:I$136,1,FALSE)),ISERROR(HLOOKUP(E139,G$1:N$1,1,FALSE))),E139,"OK"),"")</f>
        <v/>
      </c>
      <c r="I139" s="307">
        <f>IF(H139="OK",0,IF(H139="",0,1))</f>
        <v>0</v>
      </c>
      <c r="J139" s="263" t="e">
        <f>VLOOKUP(C139,$D$139:$H$148,5,FALSE)</f>
        <v>#N/A</v>
      </c>
      <c r="K139" s="263" t="e">
        <f>VLOOKUP(C140,$D$139:$H$148,5,FALSE)</f>
        <v>#N/A</v>
      </c>
      <c r="L139" s="263" t="e">
        <f>VLOOKUP(C141,$D$139:$H$148,5,FALSE)</f>
        <v>#N/A</v>
      </c>
      <c r="M139" s="2"/>
      <c r="N139" s="2"/>
      <c r="O139" s="2"/>
      <c r="P139" s="2"/>
      <c r="Q139" s="2"/>
      <c r="R139" s="2"/>
      <c r="S139" s="2"/>
      <c r="T139" s="2"/>
      <c r="U139" s="2"/>
      <c r="V139" s="591"/>
      <c r="W139" s="591"/>
      <c r="X139" s="591"/>
      <c r="Y139" s="591"/>
      <c r="Z139" s="591"/>
      <c r="AA139" s="591"/>
      <c r="AB139" s="591"/>
      <c r="AC139" s="591"/>
      <c r="AG139" s="591"/>
      <c r="AH139" s="591"/>
      <c r="AI139" s="591"/>
      <c r="AJ139" s="591"/>
      <c r="AK139" s="591"/>
      <c r="AM139" s="591"/>
      <c r="AN139" s="591"/>
      <c r="AO139" s="591"/>
      <c r="AP139" s="591"/>
      <c r="AQ139" s="591"/>
      <c r="AS139" s="591"/>
      <c r="AT139" s="591"/>
      <c r="AU139" s="591"/>
      <c r="AV139" s="591"/>
      <c r="AW139" s="591"/>
      <c r="AY139" s="591"/>
    </row>
    <row r="140" spans="1:51" ht="15.75" hidden="1" customHeight="1" x14ac:dyDescent="0.2">
      <c r="A140" s="2"/>
      <c r="B140" s="2"/>
      <c r="C140" s="148">
        <v>2</v>
      </c>
      <c r="D140" s="103">
        <f>IF(I140=0,0,COUNTIF(D$139:D139,"&gt;0")+1)</f>
        <v>0</v>
      </c>
      <c r="E140" s="263" t="str">
        <f>IMPOSTAZIONI!B299</f>
        <v>--</v>
      </c>
      <c r="F140" s="2"/>
      <c r="G140" s="305">
        <f>VLOOKUP(E140,IMPOSTAZIONI!$B$298:$AK$304,$E$149,FALSE)</f>
        <v>0</v>
      </c>
      <c r="H140" s="306" t="str">
        <f>IF(G140&gt;0,IF(AND(ISERROR(HLOOKUP(E140,G$136:I$136,1,FALSE)),ISERROR(HLOOKUP(E140,G$1:N$1,1,FALSE))),E140,"OK"),"")</f>
        <v/>
      </c>
      <c r="I140" s="307">
        <f t="shared" ref="I140:I148" si="35">IF(H140="OK",0,IF(H140="",0,1))</f>
        <v>0</v>
      </c>
      <c r="J140" s="267">
        <f>IF(ISERROR(J$139),0,HLOOKUP(J$139,IMPOSTAZIONI!$AB$183:$AH$187,3,FALSE))</f>
        <v>0</v>
      </c>
      <c r="K140" s="267">
        <f>IF(ISERROR(K$139),0,HLOOKUP(K$139,IMPOSTAZIONI!$AB$183:$AH$187,3,FALSE))</f>
        <v>0</v>
      </c>
      <c r="L140" s="268">
        <f>IF(ISERROR(L$139),0,HLOOKUP(L$139,IMPOSTAZIONI!$AB$183:$AH$187,3,FALSE))</f>
        <v>0</v>
      </c>
      <c r="M140" s="2"/>
      <c r="N140" s="2"/>
      <c r="O140" s="2"/>
      <c r="P140" s="2"/>
      <c r="Q140" s="2"/>
      <c r="R140" s="2"/>
      <c r="S140" s="2"/>
      <c r="T140" s="2"/>
      <c r="U140" s="2"/>
      <c r="V140" s="591"/>
      <c r="W140" s="591"/>
      <c r="X140" s="591"/>
      <c r="Y140" s="591"/>
      <c r="Z140" s="591"/>
      <c r="AA140" s="591"/>
      <c r="AB140" s="591"/>
      <c r="AC140" s="591"/>
      <c r="AG140" s="591"/>
      <c r="AH140" s="591"/>
      <c r="AI140" s="591"/>
      <c r="AJ140" s="591"/>
      <c r="AK140" s="591"/>
      <c r="AM140" s="591"/>
      <c r="AN140" s="591"/>
      <c r="AO140" s="591"/>
      <c r="AP140" s="591"/>
      <c r="AQ140" s="591"/>
      <c r="AS140" s="591"/>
      <c r="AT140" s="591"/>
      <c r="AU140" s="591"/>
      <c r="AV140" s="591"/>
      <c r="AW140" s="591"/>
      <c r="AY140" s="591"/>
    </row>
    <row r="141" spans="1:51" ht="15.75" hidden="1" customHeight="1" x14ac:dyDescent="0.2">
      <c r="A141" s="2"/>
      <c r="B141" s="2"/>
      <c r="C141" s="148">
        <v>3</v>
      </c>
      <c r="D141" s="103">
        <f>IF(I141=0,0,COUNTIF(D$139:D140,"&gt;0")+1)</f>
        <v>0</v>
      </c>
      <c r="E141" s="263" t="str">
        <f>IMPOSTAZIONI!B300</f>
        <v>--</v>
      </c>
      <c r="F141" s="2"/>
      <c r="G141" s="305">
        <f>VLOOKUP(E141,IMPOSTAZIONI!$B$298:$AK$304,$E$149,FALSE)</f>
        <v>0</v>
      </c>
      <c r="H141" s="306" t="str">
        <f>IF(G141&gt;0,IF(AND(ISERROR(HLOOKUP(E141,G$136:I$136,1,FALSE)),ISERROR(HLOOKUP(E141,G$1:N$1,1,FALSE))),E141,"OK"),"")</f>
        <v/>
      </c>
      <c r="I141" s="307">
        <f t="shared" si="35"/>
        <v>0</v>
      </c>
      <c r="J141" s="264">
        <f>IF(ISERROR(J$139),0,HLOOKUP(J$139,IMPOSTAZIONI!$AB$183:$AH$187,4,FALSE))</f>
        <v>0</v>
      </c>
      <c r="K141" s="264">
        <f>IF(ISERROR(K$139),0,HLOOKUP(K$139,IMPOSTAZIONI!$AB$183:$AH$187,4,FALSE))</f>
        <v>0</v>
      </c>
      <c r="L141" s="266">
        <f>IF(ISERROR(L$139),0,HLOOKUP(L$139,IMPOSTAZIONI!$AB$183:$AH$187,4,FALSE))</f>
        <v>0</v>
      </c>
      <c r="M141" s="2"/>
      <c r="N141" s="2"/>
      <c r="O141" s="2"/>
      <c r="P141" s="2"/>
      <c r="Q141" s="2"/>
      <c r="R141" s="2"/>
      <c r="S141" s="2"/>
      <c r="T141" s="2"/>
      <c r="U141" s="2"/>
      <c r="V141" s="591"/>
      <c r="W141" s="591"/>
      <c r="X141" s="591"/>
      <c r="Y141" s="591"/>
      <c r="Z141" s="591"/>
      <c r="AA141" s="591"/>
      <c r="AB141" s="591"/>
      <c r="AC141" s="591"/>
      <c r="AG141" s="591"/>
      <c r="AH141" s="591"/>
      <c r="AI141" s="591"/>
      <c r="AJ141" s="591"/>
      <c r="AK141" s="591"/>
      <c r="AM141" s="591"/>
      <c r="AN141" s="591"/>
      <c r="AO141" s="591"/>
      <c r="AP141" s="591"/>
      <c r="AQ141" s="591"/>
      <c r="AS141" s="591"/>
      <c r="AT141" s="591"/>
      <c r="AU141" s="591"/>
      <c r="AV141" s="591"/>
      <c r="AW141" s="591"/>
      <c r="AY141" s="591"/>
    </row>
    <row r="142" spans="1:51" ht="15.75" hidden="1" customHeight="1" x14ac:dyDescent="0.2">
      <c r="A142" s="2"/>
      <c r="B142" s="2"/>
      <c r="C142" s="103"/>
      <c r="D142" s="591"/>
      <c r="E142" s="591"/>
      <c r="F142" s="591"/>
      <c r="G142" s="591"/>
      <c r="H142" s="591"/>
      <c r="I142" s="591"/>
      <c r="J142" s="270">
        <f>IF(ISERROR(J$139),0,HLOOKUP(J$139,IMPOSTAZIONI!$AB$183:$AH$187,5,FALSE))</f>
        <v>0</v>
      </c>
      <c r="K142" s="270">
        <f>IF(ISERROR(K$139),0,HLOOKUP(K$139,IMPOSTAZIONI!$AB$183:$AH$187,5,FALSE))</f>
        <v>0</v>
      </c>
      <c r="L142" s="271">
        <f>IF(ISERROR(L$139),0,HLOOKUP(L$139,IMPOSTAZIONI!$AB$183:$AH$187,5,FALSE))</f>
        <v>0</v>
      </c>
      <c r="M142" s="2"/>
      <c r="N142" s="2"/>
      <c r="O142" s="2"/>
      <c r="P142" s="2"/>
      <c r="Q142" s="2"/>
      <c r="R142" s="2"/>
      <c r="S142" s="2"/>
      <c r="T142" s="2"/>
      <c r="U142" s="2"/>
      <c r="V142" s="591"/>
      <c r="W142" s="591"/>
      <c r="X142" s="591"/>
      <c r="Y142" s="591"/>
      <c r="Z142" s="591"/>
      <c r="AA142" s="591"/>
      <c r="AB142" s="591"/>
      <c r="AC142" s="591"/>
      <c r="AG142" s="591"/>
      <c r="AH142" s="591"/>
      <c r="AI142" s="591"/>
      <c r="AJ142" s="591"/>
      <c r="AK142" s="591"/>
      <c r="AM142" s="591"/>
      <c r="AN142" s="591"/>
      <c r="AO142" s="591"/>
      <c r="AP142" s="591"/>
      <c r="AQ142" s="591"/>
      <c r="AS142" s="591"/>
      <c r="AT142" s="591"/>
      <c r="AU142" s="591"/>
      <c r="AV142" s="591"/>
      <c r="AW142" s="591"/>
      <c r="AY142" s="591"/>
    </row>
    <row r="143" spans="1:51" ht="15.75" hidden="1" customHeight="1" x14ac:dyDescent="0.2">
      <c r="A143" s="2"/>
      <c r="B143" s="2"/>
      <c r="C143" s="103"/>
      <c r="D143" s="591"/>
      <c r="E143" s="591"/>
      <c r="F143" s="591"/>
      <c r="G143" s="591"/>
      <c r="H143" s="591"/>
      <c r="I143" s="591"/>
      <c r="J143" s="2"/>
      <c r="K143" s="2"/>
      <c r="L143" s="2"/>
      <c r="M143" s="2"/>
      <c r="N143" s="2"/>
      <c r="O143" s="2"/>
      <c r="P143" s="2"/>
      <c r="Q143" s="2"/>
      <c r="R143" s="2"/>
      <c r="S143" s="2"/>
      <c r="T143" s="2"/>
      <c r="U143" s="2"/>
      <c r="V143" s="591"/>
      <c r="W143" s="591"/>
      <c r="X143" s="591"/>
      <c r="Y143" s="591"/>
      <c r="Z143" s="591"/>
      <c r="AA143" s="591"/>
      <c r="AB143" s="591"/>
      <c r="AC143" s="591"/>
      <c r="AG143" s="591"/>
      <c r="AH143" s="591"/>
      <c r="AI143" s="591"/>
      <c r="AJ143" s="591"/>
      <c r="AK143" s="591"/>
      <c r="AM143" s="591"/>
      <c r="AN143" s="591"/>
      <c r="AO143" s="591"/>
      <c r="AP143" s="591"/>
      <c r="AQ143" s="591"/>
      <c r="AS143" s="591"/>
      <c r="AT143" s="591"/>
      <c r="AU143" s="591"/>
      <c r="AV143" s="591"/>
      <c r="AW143" s="591"/>
      <c r="AY143" s="591"/>
    </row>
    <row r="144" spans="1:51" ht="15.75" hidden="1" customHeight="1" x14ac:dyDescent="0.2">
      <c r="A144" s="2"/>
      <c r="B144" s="2"/>
      <c r="C144" s="103"/>
      <c r="D144" s="591"/>
      <c r="E144" s="591"/>
      <c r="F144" s="591"/>
      <c r="G144" s="591"/>
      <c r="H144" s="591"/>
      <c r="I144" s="591"/>
      <c r="J144" s="2"/>
      <c r="K144" s="2102" t="s">
        <v>543</v>
      </c>
      <c r="L144" s="2103"/>
      <c r="M144" s="1297" t="s">
        <v>198</v>
      </c>
      <c r="N144" s="1298" t="s">
        <v>202</v>
      </c>
      <c r="O144" s="1297" t="s">
        <v>199</v>
      </c>
      <c r="P144" s="1298" t="s">
        <v>203</v>
      </c>
      <c r="Q144" s="1297" t="s">
        <v>65</v>
      </c>
      <c r="R144" s="1298" t="s">
        <v>66</v>
      </c>
      <c r="S144" s="1297" t="s">
        <v>65</v>
      </c>
      <c r="T144" s="1298" t="s">
        <v>66</v>
      </c>
      <c r="U144" s="2"/>
      <c r="V144" s="591"/>
      <c r="W144" s="591"/>
      <c r="X144" s="591"/>
      <c r="Y144" s="591"/>
      <c r="Z144" s="591"/>
      <c r="AA144" s="591"/>
      <c r="AB144" s="591"/>
      <c r="AC144" s="591"/>
      <c r="AG144" s="591"/>
      <c r="AH144" s="591"/>
      <c r="AI144" s="591"/>
      <c r="AJ144" s="591"/>
      <c r="AK144" s="591"/>
      <c r="AM144" s="591"/>
      <c r="AN144" s="591"/>
      <c r="AO144" s="591"/>
      <c r="AP144" s="591"/>
      <c r="AQ144" s="591"/>
      <c r="AS144" s="591"/>
      <c r="AT144" s="591"/>
      <c r="AU144" s="591"/>
      <c r="AV144" s="591"/>
      <c r="AW144" s="591"/>
      <c r="AY144" s="591"/>
    </row>
    <row r="145" spans="1:51" ht="15.75" hidden="1" customHeight="1" x14ac:dyDescent="0.2">
      <c r="A145" s="2"/>
      <c r="B145" s="2"/>
      <c r="C145" s="103"/>
      <c r="D145" s="103">
        <f>IF(I145=0,0,COUNTIF(D$139:D144,"&gt;0")+1)</f>
        <v>0</v>
      </c>
      <c r="E145" s="263" t="str">
        <f>IMPOSTAZIONI!B301</f>
        <v>--</v>
      </c>
      <c r="F145" s="2"/>
      <c r="G145" s="305">
        <f>VLOOKUP(E145,IMPOSTAZIONI!$B$298:$AK$304,$E$149,FALSE)</f>
        <v>0</v>
      </c>
      <c r="H145" s="306" t="str">
        <f>IF(G145&gt;0,IF(AND(ISERROR(HLOOKUP(E145,G$136:I$136,1,FALSE)),ISERROR(HLOOKUP(E145,G$1:N$1,1,FALSE))),E145,"OK"),"")</f>
        <v/>
      </c>
      <c r="I145" s="307">
        <f t="shared" si="35"/>
        <v>0</v>
      </c>
      <c r="J145" s="2"/>
      <c r="K145" s="2102" t="s">
        <v>58</v>
      </c>
      <c r="L145" s="2103"/>
      <c r="M145" s="100" t="s">
        <v>198</v>
      </c>
      <c r="N145" s="1299" t="s">
        <v>202</v>
      </c>
      <c r="O145" s="100" t="s">
        <v>199</v>
      </c>
      <c r="P145" s="1299" t="s">
        <v>203</v>
      </c>
      <c r="Q145" s="100" t="s">
        <v>65</v>
      </c>
      <c r="R145" s="1299" t="s">
        <v>66</v>
      </c>
      <c r="S145" s="100" t="s">
        <v>65</v>
      </c>
      <c r="T145" s="1299" t="s">
        <v>66</v>
      </c>
      <c r="U145" s="2"/>
      <c r="V145" s="591"/>
      <c r="W145" s="591"/>
      <c r="X145" s="591"/>
      <c r="Y145" s="591"/>
      <c r="Z145" s="591"/>
      <c r="AA145" s="591"/>
      <c r="AB145" s="591"/>
      <c r="AC145" s="591"/>
      <c r="AG145" s="591"/>
      <c r="AH145" s="591"/>
      <c r="AI145" s="591"/>
      <c r="AJ145" s="591"/>
      <c r="AK145" s="591"/>
      <c r="AM145" s="591"/>
      <c r="AN145" s="591"/>
      <c r="AO145" s="591"/>
      <c r="AP145" s="591"/>
      <c r="AQ145" s="591"/>
      <c r="AS145" s="591"/>
      <c r="AT145" s="591"/>
      <c r="AU145" s="591"/>
      <c r="AV145" s="591"/>
      <c r="AW145" s="591"/>
      <c r="AY145" s="591"/>
    </row>
    <row r="146" spans="1:51" ht="15.75" hidden="1" customHeight="1" x14ac:dyDescent="0.2">
      <c r="A146" s="2"/>
      <c r="B146" s="2"/>
      <c r="C146" s="103"/>
      <c r="D146" s="103">
        <f>IF(I146=0,0,COUNTIF(D$139:D145,"&gt;0")+1)</f>
        <v>0</v>
      </c>
      <c r="E146" s="263" t="str">
        <f>IMPOSTAZIONI!B302</f>
        <v/>
      </c>
      <c r="F146" s="2"/>
      <c r="G146" s="305">
        <f>VLOOKUP(E146,IMPOSTAZIONI!$B$298:$AK$304,$E$149,FALSE)</f>
        <v>0</v>
      </c>
      <c r="H146" s="306" t="str">
        <f>IF(G146&gt;0,IF(AND(ISERROR(HLOOKUP(E146,G$136:I$136,1,FALSE)),ISERROR(HLOOKUP(E146,G$1:N$1,1,FALSE))),E146,"OK"),"")</f>
        <v/>
      </c>
      <c r="I146" s="307">
        <f t="shared" si="35"/>
        <v>0</v>
      </c>
      <c r="J146" s="2"/>
      <c r="K146" s="2102" t="s">
        <v>59</v>
      </c>
      <c r="L146" s="2103"/>
      <c r="M146" s="100" t="s">
        <v>198</v>
      </c>
      <c r="N146" s="1299" t="s">
        <v>62</v>
      </c>
      <c r="O146" s="100" t="s">
        <v>199</v>
      </c>
      <c r="P146" s="1299" t="s">
        <v>203</v>
      </c>
      <c r="Q146" s="100" t="s">
        <v>65</v>
      </c>
      <c r="R146" s="1299" t="s">
        <v>66</v>
      </c>
      <c r="S146" s="100" t="s">
        <v>65</v>
      </c>
      <c r="T146" s="1299" t="s">
        <v>66</v>
      </c>
      <c r="U146" s="2"/>
      <c r="V146" s="591"/>
      <c r="W146" s="591"/>
      <c r="X146" s="591"/>
      <c r="Y146" s="591"/>
      <c r="Z146" s="591"/>
      <c r="AA146" s="591"/>
      <c r="AB146" s="591"/>
      <c r="AC146" s="591"/>
      <c r="AG146" s="591"/>
      <c r="AH146" s="591"/>
      <c r="AI146" s="591"/>
      <c r="AJ146" s="591"/>
      <c r="AK146" s="591"/>
      <c r="AM146" s="591"/>
      <c r="AN146" s="591"/>
      <c r="AO146" s="591"/>
      <c r="AP146" s="591"/>
      <c r="AQ146" s="591"/>
      <c r="AS146" s="591"/>
      <c r="AT146" s="591"/>
      <c r="AU146" s="591"/>
      <c r="AV146" s="591"/>
      <c r="AW146" s="591"/>
      <c r="AY146" s="591"/>
    </row>
    <row r="147" spans="1:51" ht="15.75" hidden="1" customHeight="1" x14ac:dyDescent="0.2">
      <c r="A147" s="2"/>
      <c r="B147" s="2"/>
      <c r="C147" s="103"/>
      <c r="D147" s="103">
        <f>IF(I147=0,0,COUNTIF(D$139:D146,"&gt;0")+1)</f>
        <v>0</v>
      </c>
      <c r="E147" s="263" t="str">
        <f>IMPOSTAZIONI!B303</f>
        <v/>
      </c>
      <c r="F147" s="2"/>
      <c r="G147" s="305">
        <f>VLOOKUP(E147,IMPOSTAZIONI!$B$298:$AK$304,$E$149,FALSE)</f>
        <v>0</v>
      </c>
      <c r="H147" s="306" t="str">
        <f>IF(G147&gt;0,IF(AND(ISERROR(HLOOKUP(E147,G$136:I$136,1,FALSE)),ISERROR(HLOOKUP(E147,G$1:N$1,1,FALSE))),E147,"OK"),"")</f>
        <v/>
      </c>
      <c r="I147" s="307">
        <f t="shared" si="35"/>
        <v>0</v>
      </c>
      <c r="J147" s="2"/>
      <c r="K147" s="2102" t="s">
        <v>60</v>
      </c>
      <c r="L147" s="2103"/>
      <c r="M147" s="100" t="s">
        <v>199</v>
      </c>
      <c r="N147" s="1299" t="s">
        <v>203</v>
      </c>
      <c r="O147" s="100" t="s">
        <v>198</v>
      </c>
      <c r="P147" s="1299" t="s">
        <v>63</v>
      </c>
      <c r="Q147" s="100" t="s">
        <v>67</v>
      </c>
      <c r="R147" s="1299" t="s">
        <v>68</v>
      </c>
      <c r="S147" s="100" t="s">
        <v>67</v>
      </c>
      <c r="T147" s="1299" t="s">
        <v>68</v>
      </c>
      <c r="U147" s="2"/>
      <c r="V147" s="591"/>
      <c r="W147" s="591"/>
      <c r="X147" s="591"/>
      <c r="Y147" s="591"/>
      <c r="Z147" s="591"/>
      <c r="AA147" s="591"/>
      <c r="AB147" s="591"/>
      <c r="AC147" s="591"/>
      <c r="AG147" s="591"/>
      <c r="AH147" s="591"/>
      <c r="AI147" s="591"/>
      <c r="AJ147" s="591"/>
      <c r="AK147" s="591"/>
      <c r="AM147" s="591"/>
      <c r="AN147" s="591"/>
      <c r="AO147" s="591"/>
      <c r="AP147" s="591"/>
      <c r="AQ147" s="591"/>
      <c r="AS147" s="591"/>
      <c r="AT147" s="591"/>
      <c r="AU147" s="591"/>
      <c r="AV147" s="591"/>
      <c r="AW147" s="591"/>
      <c r="AY147" s="591"/>
    </row>
    <row r="148" spans="1:51" ht="15.75" hidden="1" customHeight="1" x14ac:dyDescent="0.2">
      <c r="A148" s="2"/>
      <c r="B148" s="2"/>
      <c r="C148" s="103"/>
      <c r="D148" s="103">
        <f>IF(I148=0,0,COUNTIF(D$139:D147,"&gt;0")+1)</f>
        <v>0</v>
      </c>
      <c r="E148" s="263" t="str">
        <f>IMPOSTAZIONI!B304</f>
        <v/>
      </c>
      <c r="F148" s="2"/>
      <c r="G148" s="305">
        <f>VLOOKUP(E148,IMPOSTAZIONI!$B$298:$AK$304,$E$149,FALSE)</f>
        <v>0</v>
      </c>
      <c r="H148" s="306" t="str">
        <f>IF(G148&gt;0,IF(AND(ISERROR(HLOOKUP(E148,G$136:I$136,1,FALSE)),ISERROR(HLOOKUP(E148,G$1:N$1,1,FALSE))),E148,"OK"),"")</f>
        <v/>
      </c>
      <c r="I148" s="307">
        <f t="shared" si="35"/>
        <v>0</v>
      </c>
      <c r="J148" s="2"/>
      <c r="K148" s="2102" t="s">
        <v>61</v>
      </c>
      <c r="L148" s="2103"/>
      <c r="M148" s="100" t="s">
        <v>195</v>
      </c>
      <c r="N148" s="1301" t="s">
        <v>64</v>
      </c>
      <c r="O148" s="1300" t="s">
        <v>195</v>
      </c>
      <c r="P148" s="1301" t="s">
        <v>64</v>
      </c>
      <c r="Q148" s="1300" t="s">
        <v>69</v>
      </c>
      <c r="R148" s="1301"/>
      <c r="S148" s="1300" t="s">
        <v>70</v>
      </c>
      <c r="T148" s="1301"/>
      <c r="U148" s="2"/>
      <c r="V148" s="591"/>
      <c r="W148" s="591"/>
      <c r="X148" s="591"/>
      <c r="Y148" s="591"/>
      <c r="Z148" s="591"/>
      <c r="AA148" s="591"/>
      <c r="AB148" s="591"/>
      <c r="AC148" s="591"/>
      <c r="AG148" s="591"/>
      <c r="AH148" s="591"/>
      <c r="AI148" s="591"/>
      <c r="AJ148" s="591"/>
      <c r="AK148" s="591"/>
      <c r="AM148" s="591"/>
      <c r="AN148" s="591"/>
      <c r="AO148" s="591"/>
      <c r="AP148" s="591"/>
      <c r="AQ148" s="591"/>
      <c r="AS148" s="591"/>
      <c r="AT148" s="591"/>
      <c r="AU148" s="591"/>
      <c r="AV148" s="591"/>
      <c r="AW148" s="591"/>
      <c r="AY148" s="591"/>
    </row>
    <row r="149" spans="1:51" ht="15.75" hidden="1" customHeight="1" x14ac:dyDescent="0.2">
      <c r="A149" s="2"/>
      <c r="B149" s="2"/>
      <c r="C149" s="2"/>
      <c r="D149" s="2"/>
      <c r="E149" s="306">
        <v>30</v>
      </c>
      <c r="F149" s="2"/>
      <c r="G149" s="306" t="str">
        <f>IF(MAX(D139:D148)&gt;C141,K132,"")</f>
        <v/>
      </c>
      <c r="H149" s="308">
        <f>IF((MAX(D139:D148)+3-E135)&gt;3,K132,MAX(D139:D148))</f>
        <v>0</v>
      </c>
      <c r="I149" s="273"/>
      <c r="J149" s="2"/>
      <c r="K149" s="2099"/>
      <c r="L149" s="2099"/>
      <c r="M149" s="1302"/>
      <c r="N149" s="1302"/>
      <c r="O149" s="2"/>
      <c r="P149" s="2"/>
      <c r="Q149" s="2"/>
      <c r="R149" s="2"/>
      <c r="S149" s="2"/>
      <c r="T149" s="2"/>
      <c r="U149" s="2"/>
      <c r="V149" s="591"/>
      <c r="W149" s="591"/>
      <c r="X149" s="591"/>
      <c r="Y149" s="591"/>
      <c r="Z149" s="591"/>
      <c r="AA149" s="591"/>
      <c r="AB149" s="591"/>
      <c r="AC149" s="591"/>
      <c r="AG149" s="591"/>
      <c r="AH149" s="591"/>
      <c r="AI149" s="591"/>
      <c r="AJ149" s="591"/>
      <c r="AK149" s="591"/>
      <c r="AM149" s="591"/>
      <c r="AN149" s="591"/>
      <c r="AO149" s="591"/>
      <c r="AP149" s="591"/>
      <c r="AQ149" s="591"/>
      <c r="AS149" s="591"/>
      <c r="AT149" s="591"/>
      <c r="AU149" s="591"/>
      <c r="AV149" s="591"/>
      <c r="AW149" s="591"/>
      <c r="AY149" s="591"/>
    </row>
    <row r="150" spans="1:51" ht="21" hidden="1" customHeight="1" x14ac:dyDescent="0.2">
      <c r="A150" s="2"/>
      <c r="B150" s="2"/>
      <c r="C150" s="2"/>
      <c r="D150" s="2"/>
      <c r="E150" s="807">
        <f>VLOOKUP(E3,STORICO!C153:AO197,39,FALSE)</f>
        <v>0</v>
      </c>
      <c r="F150" s="2"/>
      <c r="G150" s="1211">
        <f>IF(AND(G152&gt;0,OR(G99&lt;&gt;"OK",G105&lt;&gt;"OK")),1,0)</f>
        <v>0</v>
      </c>
      <c r="H150" s="1211">
        <f>IF(AND(H152&gt;0,OR(H99&lt;&gt;"OK",H105&lt;&gt;"OK")),1,0)</f>
        <v>0</v>
      </c>
      <c r="I150" s="1211">
        <f>IF(AND(I152&gt;0,OR(K99&lt;&gt;"OK",K105&lt;&gt;"OK")),1,0)</f>
        <v>0</v>
      </c>
      <c r="J150" s="1211">
        <f>IF(AND(J152&gt;0,OR(N99&lt;&gt;"OK",N105&lt;&gt;"OK")),1,0)</f>
        <v>0</v>
      </c>
      <c r="K150" s="2"/>
      <c r="L150" s="2"/>
      <c r="M150" s="2"/>
      <c r="N150" s="2"/>
      <c r="O150" s="2"/>
      <c r="P150" s="2"/>
      <c r="Q150" s="2"/>
      <c r="R150" s="2"/>
      <c r="S150" s="2"/>
      <c r="T150" s="2"/>
      <c r="U150" s="2"/>
      <c r="V150" s="591"/>
      <c r="W150" s="591"/>
      <c r="X150" s="591"/>
      <c r="Y150" s="591"/>
      <c r="Z150" s="591"/>
      <c r="AA150" s="591"/>
      <c r="AB150" s="591"/>
      <c r="AC150" s="591"/>
      <c r="AG150" s="591"/>
      <c r="AH150" s="591"/>
      <c r="AI150" s="591"/>
      <c r="AJ150" s="591"/>
      <c r="AK150" s="591"/>
      <c r="AM150" s="591"/>
      <c r="AN150" s="591"/>
      <c r="AO150" s="591"/>
      <c r="AP150" s="591"/>
      <c r="AQ150" s="591"/>
      <c r="AS150" s="591"/>
      <c r="AT150" s="591"/>
      <c r="AU150" s="591"/>
      <c r="AV150" s="591"/>
      <c r="AW150" s="591"/>
      <c r="AY150" s="591"/>
    </row>
    <row r="151" spans="1:51" ht="21" hidden="1" customHeight="1" x14ac:dyDescent="0.2">
      <c r="A151" s="2"/>
      <c r="B151" s="2"/>
      <c r="C151" s="2"/>
      <c r="D151" s="2"/>
      <c r="E151" s="2"/>
      <c r="F151" s="2"/>
      <c r="G151" s="1212" t="str">
        <f>IMPOSTAZIONI!Y382</f>
        <v>Hai delle colonne ALIQUOTE DIVERSE che DEVI SCORPORARE manualmente qui.</v>
      </c>
      <c r="H151" s="1212"/>
      <c r="I151" s="1212"/>
      <c r="J151" s="1212"/>
      <c r="K151" s="1213"/>
      <c r="L151" s="1213"/>
      <c r="M151" s="1213"/>
      <c r="N151" s="1213"/>
      <c r="O151" s="688"/>
      <c r="P151" s="688"/>
      <c r="Q151" s="688"/>
      <c r="R151" s="99"/>
      <c r="S151" s="1306"/>
      <c r="T151" s="591"/>
      <c r="U151" s="591"/>
      <c r="V151" s="591"/>
      <c r="W151" s="591"/>
      <c r="X151" s="591"/>
      <c r="Y151" s="591"/>
      <c r="Z151" s="591"/>
      <c r="AA151" s="591"/>
      <c r="AB151" s="591"/>
      <c r="AC151" s="591"/>
      <c r="AG151" s="591"/>
      <c r="AH151" s="591"/>
      <c r="AI151" s="591"/>
      <c r="AJ151" s="591"/>
      <c r="AK151" s="591"/>
      <c r="AM151" s="591"/>
      <c r="AN151" s="591"/>
      <c r="AO151" s="591"/>
      <c r="AP151" s="591"/>
      <c r="AQ151" s="591"/>
      <c r="AS151" s="591"/>
      <c r="AT151" s="591"/>
      <c r="AU151" s="591"/>
      <c r="AV151" s="591"/>
      <c r="AW151" s="591"/>
      <c r="AY151" s="591"/>
    </row>
    <row r="152" spans="1:51" ht="21" hidden="1" customHeight="1" x14ac:dyDescent="0.2">
      <c r="A152" s="2"/>
      <c r="B152" s="2"/>
      <c r="C152" s="2"/>
      <c r="D152" s="2"/>
      <c r="E152" s="92" t="str">
        <f>IMPOSTAZIONI!J383</f>
        <v>INSERISCI</v>
      </c>
      <c r="F152" s="2"/>
      <c r="G152" s="86">
        <f>IF(G46=0,0,IF(AND(G62&lt;&gt;$L134,G155="X"),1,0))</f>
        <v>0</v>
      </c>
      <c r="H152" s="87">
        <f>IF(H46=0,0,IF(AND(H62&lt;&gt;$L134,H155="X"),1,0))</f>
        <v>0</v>
      </c>
      <c r="I152" s="87">
        <f>IF(K46=0,0,IF(AND(K62&lt;&gt;$L134,I155="X"),1,0))</f>
        <v>0</v>
      </c>
      <c r="J152" s="88">
        <f>IF(N46=0,0,IF(AND(N62&lt;&gt;$L134,J155="X"),1,0))</f>
        <v>0</v>
      </c>
      <c r="K152" s="100" t="str">
        <f>IMPOSTAZIONI!M383</f>
        <v>VERIFICA</v>
      </c>
      <c r="L152" s="92" t="str">
        <f>IMPOSTAZIONI!P383</f>
        <v>CANCELLA</v>
      </c>
      <c r="M152" s="2"/>
      <c r="N152" s="2"/>
      <c r="O152" s="2"/>
      <c r="P152" s="2"/>
      <c r="Q152" s="2"/>
      <c r="R152" s="2"/>
      <c r="S152" s="591"/>
      <c r="T152" s="591"/>
      <c r="U152" s="591"/>
      <c r="V152" s="591"/>
      <c r="W152" s="591"/>
      <c r="X152" s="591"/>
      <c r="Y152" s="591"/>
      <c r="Z152" s="591"/>
      <c r="AA152" s="591"/>
      <c r="AB152" s="591"/>
      <c r="AC152" s="591"/>
      <c r="AG152" s="591"/>
      <c r="AH152" s="591"/>
      <c r="AI152" s="591"/>
      <c r="AJ152" s="591"/>
      <c r="AK152" s="591"/>
      <c r="AM152" s="591"/>
      <c r="AN152" s="591"/>
      <c r="AO152" s="591"/>
      <c r="AP152" s="591"/>
      <c r="AQ152" s="591"/>
      <c r="AS152" s="591"/>
      <c r="AT152" s="591"/>
      <c r="AU152" s="591"/>
      <c r="AV152" s="591"/>
      <c r="AW152" s="591"/>
      <c r="AY152" s="591"/>
    </row>
    <row r="153" spans="1:51" hidden="1" x14ac:dyDescent="0.2">
      <c r="A153" s="2"/>
      <c r="B153" s="2"/>
      <c r="C153" s="2"/>
      <c r="D153" s="2"/>
      <c r="E153" s="2"/>
      <c r="F153" s="2"/>
      <c r="G153" s="756">
        <f>G46</f>
        <v>0</v>
      </c>
      <c r="H153" s="757">
        <f>H46</f>
        <v>0</v>
      </c>
      <c r="I153" s="757">
        <f>K46</f>
        <v>0</v>
      </c>
      <c r="J153" s="758">
        <f>N46</f>
        <v>0</v>
      </c>
      <c r="K153" s="2"/>
      <c r="L153" s="2"/>
      <c r="M153" s="2"/>
      <c r="N153" s="2"/>
      <c r="O153" s="2"/>
      <c r="P153" s="2"/>
      <c r="Q153" s="2"/>
      <c r="R153" s="2"/>
      <c r="S153" s="591"/>
      <c r="T153" s="591"/>
      <c r="U153" s="591"/>
      <c r="V153" s="591"/>
      <c r="W153" s="591"/>
      <c r="X153" s="591"/>
      <c r="Y153" s="591"/>
      <c r="Z153" s="591"/>
      <c r="AA153" s="591"/>
      <c r="AB153" s="591"/>
      <c r="AC153" s="591"/>
      <c r="AG153" s="591"/>
      <c r="AH153" s="591"/>
      <c r="AI153" s="591"/>
      <c r="AJ153" s="591"/>
      <c r="AK153" s="591"/>
      <c r="AM153" s="591"/>
      <c r="AN153" s="591"/>
      <c r="AO153" s="591"/>
      <c r="AP153" s="591"/>
      <c r="AQ153" s="591"/>
      <c r="AS153" s="591"/>
      <c r="AT153" s="591"/>
      <c r="AU153" s="591"/>
      <c r="AV153" s="591"/>
      <c r="AW153" s="591"/>
      <c r="AY153" s="591"/>
    </row>
    <row r="154" spans="1:51" ht="16.5" hidden="1" customHeight="1" x14ac:dyDescent="0.2">
      <c r="A154" s="2"/>
      <c r="B154" s="2"/>
      <c r="C154" s="2"/>
      <c r="D154" s="2"/>
      <c r="E154" s="2"/>
      <c r="F154" s="2"/>
      <c r="G154" s="756">
        <f>G48</f>
        <v>0</v>
      </c>
      <c r="H154" s="757">
        <f>H48</f>
        <v>0</v>
      </c>
      <c r="I154" s="757">
        <f>K48</f>
        <v>0</v>
      </c>
      <c r="J154" s="758">
        <f>N48</f>
        <v>0</v>
      </c>
      <c r="K154" s="2"/>
      <c r="L154" s="2"/>
      <c r="M154" s="2"/>
      <c r="N154" s="2"/>
      <c r="O154" s="2"/>
      <c r="P154" s="2"/>
      <c r="Q154" s="2"/>
      <c r="R154" s="2"/>
      <c r="S154" s="591"/>
      <c r="T154" s="591"/>
      <c r="U154" s="591"/>
      <c r="V154" s="591"/>
      <c r="W154" s="591"/>
      <c r="X154" s="591"/>
      <c r="Y154" s="591"/>
      <c r="Z154" s="591"/>
      <c r="AA154" s="591"/>
      <c r="AB154" s="591"/>
      <c r="AC154" s="591"/>
      <c r="AG154" s="591"/>
      <c r="AH154" s="591"/>
      <c r="AI154" s="591"/>
      <c r="AJ154" s="591"/>
      <c r="AK154" s="591"/>
      <c r="AM154" s="591"/>
      <c r="AN154" s="591"/>
      <c r="AO154" s="591"/>
      <c r="AP154" s="591"/>
      <c r="AQ154" s="591"/>
      <c r="AS154" s="591"/>
      <c r="AT154" s="591"/>
      <c r="AU154" s="591"/>
      <c r="AV154" s="591"/>
      <c r="AW154" s="591"/>
      <c r="AY154" s="591"/>
    </row>
    <row r="155" spans="1:51" ht="15" hidden="1" customHeight="1" x14ac:dyDescent="0.2">
      <c r="A155" s="2"/>
      <c r="B155" s="2"/>
      <c r="C155" s="2"/>
      <c r="D155" s="2"/>
      <c r="E155" s="2"/>
      <c r="F155" s="2"/>
      <c r="G155" s="753">
        <f>IF(G156="",0,VLOOKUP(G156,IMPOSTAZIONI!$R$131:$AD$145,13,FALSE))</f>
        <v>0</v>
      </c>
      <c r="H155" s="754">
        <f>IF(H156="",0,VLOOKUP(H156,IMPOSTAZIONI!$R$131:$AD$145,13,FALSE))</f>
        <v>0</v>
      </c>
      <c r="I155" s="754">
        <f>IF(I156="",0,VLOOKUP(I156,IMPOSTAZIONI!$R$131:$AD$145,13,FALSE))</f>
        <v>0</v>
      </c>
      <c r="J155" s="755">
        <f>IF(J156="",0,VLOOKUP(J156,IMPOSTAZIONI!$R$131:$AD$145,13,FALSE))</f>
        <v>0</v>
      </c>
      <c r="K155" s="2"/>
      <c r="L155" s="2"/>
      <c r="M155" s="2"/>
      <c r="N155" s="2"/>
      <c r="O155" s="2"/>
      <c r="P155" s="2"/>
      <c r="Q155" s="2"/>
      <c r="R155" s="2"/>
      <c r="S155" s="591"/>
      <c r="T155" s="591"/>
      <c r="U155" s="591"/>
      <c r="V155" s="591"/>
      <c r="W155" s="591"/>
      <c r="X155" s="591"/>
      <c r="Y155" s="591"/>
      <c r="Z155" s="591"/>
      <c r="AA155" s="591"/>
      <c r="AB155" s="591"/>
      <c r="AC155" s="591"/>
      <c r="AG155" s="591"/>
      <c r="AH155" s="591"/>
      <c r="AI155" s="591"/>
      <c r="AJ155" s="591"/>
      <c r="AK155" s="591"/>
      <c r="AM155" s="591"/>
      <c r="AN155" s="591"/>
      <c r="AO155" s="591"/>
      <c r="AP155" s="591"/>
      <c r="AQ155" s="591"/>
      <c r="AS155" s="591"/>
      <c r="AT155" s="591"/>
      <c r="AU155" s="591"/>
      <c r="AV155" s="591"/>
      <c r="AW155" s="591"/>
      <c r="AY155" s="591"/>
    </row>
    <row r="156" spans="1:51" ht="15" hidden="1" customHeight="1" x14ac:dyDescent="0.2">
      <c r="A156" s="2"/>
      <c r="B156" s="2"/>
      <c r="C156" s="2"/>
      <c r="D156" s="2"/>
      <c r="E156" s="2"/>
      <c r="F156" s="56"/>
      <c r="G156" s="752" t="str">
        <f>IMPOSTAZIONI!F221</f>
        <v/>
      </c>
      <c r="H156" s="752" t="str">
        <f>IMPOSTAZIONI!K221</f>
        <v/>
      </c>
      <c r="I156" s="752" t="str">
        <f>IMPOSTAZIONI!P221</f>
        <v/>
      </c>
      <c r="J156" s="752" t="str">
        <f>IMPOSTAZIONI!U221</f>
        <v/>
      </c>
      <c r="K156" s="2100" t="s">
        <v>195</v>
      </c>
      <c r="L156" s="2100"/>
      <c r="M156" s="2"/>
      <c r="N156" s="2"/>
      <c r="O156" s="2"/>
      <c r="P156" s="2"/>
      <c r="Q156" s="2"/>
      <c r="R156" s="2"/>
      <c r="S156" s="591"/>
      <c r="T156" s="591"/>
      <c r="U156" s="591"/>
      <c r="V156" s="591"/>
      <c r="W156" s="591"/>
      <c r="X156" s="591"/>
      <c r="Y156" s="591"/>
      <c r="Z156" s="591"/>
      <c r="AA156" s="591"/>
      <c r="AB156" s="591"/>
      <c r="AC156" s="591"/>
      <c r="AG156" s="591"/>
      <c r="AH156" s="591"/>
      <c r="AI156" s="591"/>
      <c r="AJ156" s="591"/>
      <c r="AK156" s="591"/>
      <c r="AM156" s="591"/>
      <c r="AN156" s="591"/>
      <c r="AO156" s="591"/>
      <c r="AP156" s="591"/>
      <c r="AQ156" s="591"/>
      <c r="AS156" s="591"/>
      <c r="AT156" s="591"/>
      <c r="AU156" s="591"/>
      <c r="AV156" s="591"/>
      <c r="AW156" s="591"/>
      <c r="AY156" s="591"/>
    </row>
    <row r="157" spans="1:51" ht="15" hidden="1" customHeight="1" x14ac:dyDescent="0.2">
      <c r="A157" s="2"/>
      <c r="B157" s="2"/>
      <c r="C157" s="2"/>
      <c r="D157" s="2"/>
      <c r="E157" s="288" t="str">
        <f>IMPOSTAZIONI!B321</f>
        <v>SC</v>
      </c>
      <c r="F157" s="56"/>
      <c r="G157" s="288" t="str">
        <f>IF(MID(G1,7,2)="",$E157,MID(G1,7,2))</f>
        <v>SC</v>
      </c>
      <c r="H157" s="288" t="str">
        <f>IF(MID(H1,7,2)="",$E157,MID(H1,7,2))</f>
        <v>SC</v>
      </c>
      <c r="I157" s="288" t="str">
        <f>IF(MID(K1,7,2)="",$E157,MID(K1,7,2))</f>
        <v>SC</v>
      </c>
      <c r="J157" s="288" t="str">
        <f>IF(MID(N1,7,2)="",$E157,MID(N1,7,2))</f>
        <v>SC</v>
      </c>
      <c r="K157" s="2100" t="str">
        <f>IMPOSTAZIONI!AH7</f>
        <v>Categoria</v>
      </c>
      <c r="L157" s="2100"/>
      <c r="M157" s="2"/>
      <c r="N157" s="2"/>
      <c r="O157" s="2"/>
      <c r="P157" s="2"/>
      <c r="Q157" s="2"/>
      <c r="R157" s="2"/>
      <c r="S157" s="591"/>
      <c r="T157" s="591"/>
      <c r="U157" s="591"/>
      <c r="V157" s="591"/>
      <c r="W157" s="591"/>
      <c r="X157" s="591"/>
      <c r="Y157" s="591"/>
      <c r="Z157" s="591"/>
      <c r="AA157" s="591"/>
      <c r="AB157" s="591"/>
      <c r="AC157" s="591"/>
      <c r="AG157" s="591"/>
      <c r="AH157" s="591"/>
      <c r="AI157" s="591"/>
      <c r="AJ157" s="591"/>
      <c r="AK157" s="591"/>
      <c r="AM157" s="591"/>
      <c r="AN157" s="591"/>
      <c r="AO157" s="591"/>
      <c r="AP157" s="591"/>
      <c r="AQ157" s="591"/>
      <c r="AS157" s="591"/>
      <c r="AT157" s="591"/>
      <c r="AU157" s="591"/>
      <c r="AV157" s="591"/>
      <c r="AW157" s="591"/>
      <c r="AY157" s="591"/>
    </row>
    <row r="158" spans="1:51" ht="15" hidden="1" customHeight="1" x14ac:dyDescent="0.2">
      <c r="A158" s="2"/>
      <c r="B158" s="2"/>
      <c r="C158" s="2"/>
      <c r="D158" s="2"/>
      <c r="E158" s="288" t="str">
        <f>IMPOSTAZIONI!B351</f>
        <v>%</v>
      </c>
      <c r="F158" s="56"/>
      <c r="G158" s="288" t="str">
        <f>IF(OR(G155&gt;0,G155="X"),$E158,IF(G156="","",MID(G1,4,2)))</f>
        <v/>
      </c>
      <c r="H158" s="288" t="str">
        <f>IF(OR(H155&gt;0,H155="X"),$E158,IF(H156="","",MID(H1,4,2)))</f>
        <v/>
      </c>
      <c r="I158" s="288" t="str">
        <f>IF(OR(I155&gt;0,I155="X"),$E158,IF(I156="","",MID(K1,4,2)))</f>
        <v/>
      </c>
      <c r="J158" s="288" t="str">
        <f>IF(OR(J155&gt;0,J155="X"),$E158,IF(J156="","",MID(N1,4,2)))</f>
        <v/>
      </c>
      <c r="K158" s="2100" t="str">
        <f>IMPOSTAZIONI!B337</f>
        <v>NO IVA</v>
      </c>
      <c r="L158" s="2100"/>
      <c r="M158" s="2"/>
      <c r="N158" s="2"/>
      <c r="O158" s="2"/>
      <c r="P158" s="2"/>
      <c r="Q158" s="2"/>
      <c r="R158" s="2"/>
      <c r="S158" s="591"/>
      <c r="T158" s="591"/>
      <c r="U158" s="591"/>
      <c r="V158" s="591"/>
      <c r="W158" s="591"/>
      <c r="X158" s="591"/>
      <c r="Y158" s="591"/>
      <c r="Z158" s="591"/>
      <c r="AA158" s="591"/>
      <c r="AB158" s="591"/>
      <c r="AC158" s="591"/>
      <c r="AG158" s="591"/>
      <c r="AH158" s="591"/>
      <c r="AI158" s="591"/>
      <c r="AJ158" s="591"/>
      <c r="AK158" s="591"/>
      <c r="AM158" s="591"/>
      <c r="AN158" s="591"/>
      <c r="AO158" s="591"/>
      <c r="AP158" s="591"/>
      <c r="AQ158" s="591"/>
      <c r="AS158" s="591"/>
      <c r="AT158" s="591"/>
      <c r="AU158" s="591"/>
      <c r="AV158" s="591"/>
      <c r="AW158" s="591"/>
      <c r="AY158" s="591"/>
    </row>
    <row r="159" spans="1:51" ht="15" hidden="1" customHeight="1" x14ac:dyDescent="0.2">
      <c r="A159" s="2"/>
      <c r="B159" s="2"/>
      <c r="C159" s="2"/>
      <c r="D159" s="2"/>
      <c r="E159" s="288"/>
      <c r="F159" s="56"/>
      <c r="G159" s="376" t="str">
        <f>MID(G1,1,2)</f>
        <v>--</v>
      </c>
      <c r="H159" s="376" t="str">
        <f>MID(H1,1,2)</f>
        <v>--</v>
      </c>
      <c r="I159" s="376" t="str">
        <f>MID(K1,1,2)</f>
        <v>--</v>
      </c>
      <c r="J159" s="376" t="str">
        <f>MID(N1,1,2)</f>
        <v>--</v>
      </c>
      <c r="K159" s="2100" t="str">
        <f>IMPOSTAZIONI!B354</f>
        <v>TIPO</v>
      </c>
      <c r="L159" s="2100"/>
      <c r="M159" s="2"/>
      <c r="N159" s="2"/>
      <c r="O159" s="2"/>
      <c r="P159" s="2"/>
      <c r="Q159" s="2"/>
      <c r="R159" s="2"/>
      <c r="S159" s="591"/>
      <c r="T159" s="591"/>
      <c r="U159" s="591"/>
      <c r="V159" s="591"/>
      <c r="W159" s="591"/>
      <c r="X159" s="591"/>
      <c r="Y159" s="591"/>
      <c r="Z159" s="591"/>
      <c r="AA159" s="591"/>
      <c r="AB159" s="591"/>
      <c r="AC159" s="591"/>
      <c r="AG159" s="591"/>
      <c r="AH159" s="591"/>
      <c r="AI159" s="591"/>
      <c r="AJ159" s="591"/>
      <c r="AK159" s="591"/>
      <c r="AM159" s="591"/>
      <c r="AN159" s="591"/>
      <c r="AO159" s="591"/>
      <c r="AP159" s="591"/>
      <c r="AQ159" s="591"/>
      <c r="AS159" s="591"/>
      <c r="AT159" s="591"/>
      <c r="AU159" s="591"/>
      <c r="AV159" s="591"/>
      <c r="AW159" s="591"/>
      <c r="AY159" s="591"/>
    </row>
    <row r="160" spans="1:51" ht="15" hidden="1" customHeight="1" x14ac:dyDescent="0.2">
      <c r="A160" s="2"/>
      <c r="B160" s="2"/>
      <c r="C160" s="2"/>
      <c r="D160" s="2"/>
      <c r="E160" s="288"/>
      <c r="F160" s="56"/>
      <c r="G160" s="951">
        <f>SUM(G101:G104)</f>
        <v>0</v>
      </c>
      <c r="H160" s="377">
        <f>SUM(H101:H104)</f>
        <v>0</v>
      </c>
      <c r="I160" s="377">
        <f>SUM(K101:K104)</f>
        <v>0</v>
      </c>
      <c r="J160" s="377">
        <f>SUM(N101:N104)</f>
        <v>0</v>
      </c>
      <c r="K160" s="2107" t="s">
        <v>529</v>
      </c>
      <c r="L160" s="2107"/>
      <c r="M160" s="14"/>
      <c r="N160" s="14"/>
      <c r="O160" s="14"/>
      <c r="P160" s="14"/>
      <c r="Q160" s="14"/>
      <c r="R160" s="2"/>
      <c r="S160" s="591"/>
      <c r="T160" s="591"/>
      <c r="U160" s="591"/>
      <c r="V160" s="591"/>
      <c r="W160" s="591"/>
      <c r="X160" s="591"/>
      <c r="Y160" s="591"/>
      <c r="Z160" s="591"/>
      <c r="AA160" s="591"/>
      <c r="AB160" s="591"/>
      <c r="AC160" s="591"/>
      <c r="AG160" s="591"/>
      <c r="AH160" s="591"/>
      <c r="AI160" s="591"/>
      <c r="AJ160" s="591"/>
      <c r="AK160" s="591"/>
      <c r="AM160" s="591"/>
      <c r="AN160" s="591"/>
      <c r="AO160" s="591"/>
      <c r="AP160" s="591"/>
      <c r="AQ160" s="591"/>
      <c r="AS160" s="591"/>
      <c r="AT160" s="591"/>
      <c r="AU160" s="591"/>
      <c r="AV160" s="591"/>
      <c r="AW160" s="591"/>
      <c r="AY160" s="591"/>
    </row>
    <row r="161" spans="1:51" ht="15" hidden="1" customHeight="1" x14ac:dyDescent="0.2">
      <c r="A161" s="2"/>
      <c r="B161" s="2"/>
      <c r="C161" s="2"/>
      <c r="D161" s="2"/>
      <c r="E161" s="72"/>
      <c r="F161" s="2"/>
      <c r="G161" s="950">
        <f>IF(AND(G42=$K134,G62=$L135),G48,0)</f>
        <v>0</v>
      </c>
      <c r="H161" s="950">
        <f>IF(AND(H42=$K134,H62=$L135),H48,0)</f>
        <v>0</v>
      </c>
      <c r="I161" s="950">
        <f>IF(AND(K42=$K134,K62=$L135),K48,0)</f>
        <v>0</v>
      </c>
      <c r="J161" s="950">
        <f>IF(AND(N42=$K134,N62=$L135),N48,0)</f>
        <v>0</v>
      </c>
      <c r="K161" s="211"/>
      <c r="L161" s="211"/>
      <c r="M161" s="211"/>
      <c r="N161" s="211"/>
      <c r="O161" s="211"/>
      <c r="P161" s="211"/>
      <c r="Q161" s="211"/>
      <c r="R161" s="2"/>
      <c r="S161" s="591"/>
      <c r="T161" s="591"/>
      <c r="U161" s="591"/>
      <c r="V161" s="591"/>
      <c r="W161" s="591"/>
      <c r="X161" s="591"/>
      <c r="Y161" s="591"/>
      <c r="Z161" s="591"/>
      <c r="AA161" s="591"/>
      <c r="AB161" s="591"/>
      <c r="AC161" s="591"/>
      <c r="AG161" s="591"/>
      <c r="AH161" s="591"/>
      <c r="AI161" s="591"/>
      <c r="AJ161" s="591"/>
      <c r="AK161" s="591"/>
      <c r="AM161" s="591"/>
      <c r="AN161" s="591"/>
      <c r="AO161" s="591"/>
      <c r="AP161" s="591"/>
      <c r="AQ161" s="591"/>
      <c r="AS161" s="591"/>
      <c r="AT161" s="591"/>
      <c r="AU161" s="591"/>
      <c r="AV161" s="591"/>
      <c r="AW161" s="591"/>
      <c r="AY161" s="591"/>
    </row>
    <row r="162" spans="1:51" hidden="1" x14ac:dyDescent="0.2">
      <c r="A162" s="2"/>
      <c r="B162" s="2086">
        <f>Presentazione!Q13</f>
        <v>45292</v>
      </c>
      <c r="C162" s="2087"/>
      <c r="D162" s="2088"/>
      <c r="E162" s="288" t="str">
        <f>CONCATENATE(CASSA!X485,"    ")</f>
        <v xml:space="preserve">Chiuso    </v>
      </c>
      <c r="F162" s="2"/>
      <c r="G162" s="950">
        <f>IF(G62&lt;&gt;$L134,G48-G161,0)</f>
        <v>0</v>
      </c>
      <c r="H162" s="950">
        <f>IF(H62&lt;&gt;$L134,H48-H161,0)</f>
        <v>0</v>
      </c>
      <c r="I162" s="950">
        <f>IF(K62&lt;&gt;$L134,K48-I161,0)</f>
        <v>0</v>
      </c>
      <c r="J162" s="950">
        <f>IF(N62&lt;&gt;$L134,N48-J161,0)</f>
        <v>0</v>
      </c>
      <c r="K162" s="2"/>
      <c r="L162" s="2"/>
      <c r="M162" s="2"/>
      <c r="N162" s="2"/>
      <c r="O162" s="2"/>
      <c r="P162" s="2"/>
      <c r="Q162" s="2"/>
      <c r="R162" s="2"/>
      <c r="S162" s="591"/>
      <c r="T162" s="591"/>
      <c r="U162" s="591"/>
      <c r="V162" s="591"/>
      <c r="W162" s="591"/>
      <c r="X162" s="591"/>
      <c r="Y162" s="591"/>
      <c r="Z162" s="591"/>
      <c r="AA162" s="591"/>
      <c r="AB162" s="591"/>
      <c r="AC162" s="591"/>
      <c r="AG162" s="591"/>
      <c r="AH162" s="591"/>
      <c r="AI162" s="591"/>
      <c r="AJ162" s="591"/>
      <c r="AK162" s="591"/>
      <c r="AM162" s="591"/>
      <c r="AN162" s="591"/>
      <c r="AO162" s="591"/>
      <c r="AP162" s="591"/>
      <c r="AQ162" s="591"/>
      <c r="AS162" s="591"/>
      <c r="AT162" s="591"/>
      <c r="AU162" s="591"/>
      <c r="AV162" s="591"/>
      <c r="AW162" s="591"/>
      <c r="AY162" s="591"/>
    </row>
    <row r="163" spans="1:51" ht="15" hidden="1" customHeight="1" x14ac:dyDescent="0.2">
      <c r="A163" s="2"/>
      <c r="B163" s="2086">
        <f>Presentazione!R13</f>
        <v>45382</v>
      </c>
      <c r="C163" s="2087"/>
      <c r="D163" s="2088"/>
      <c r="E163" s="288" t="str">
        <f>CONCATENATE(IMPOSTAZIONI!L188,"    ")</f>
        <v xml:space="preserve">ERROR    </v>
      </c>
      <c r="F163" s="232"/>
      <c r="G163" s="233" t="s">
        <v>299</v>
      </c>
      <c r="H163" s="60">
        <f>IMPOSTAZIONI!N387</f>
        <v>18</v>
      </c>
      <c r="I163" s="288">
        <f>IMPOSTAZIONI!Y153</f>
        <v>0</v>
      </c>
      <c r="J163" s="140" t="s">
        <v>463</v>
      </c>
      <c r="K163" s="233" t="s">
        <v>549</v>
      </c>
      <c r="L163" s="60">
        <f>Presentazione!E159</f>
        <v>0</v>
      </c>
      <c r="M163" s="170" t="s">
        <v>398</v>
      </c>
      <c r="N163" s="79">
        <v>1</v>
      </c>
      <c r="O163" s="508">
        <f>IF(OR(COUNTIF(G99:N99,E152)&gt;0,COUNTIF(G99:N99,K152)&gt;0,COUNTIF(G99:N99,L152)&gt;0,COUNTIF(G105:N105,E152)&gt;0,COUNTIF(G105:N105,K152)&gt;0,COUNTIF(G105:N105,L152)&gt;0,COUNTIF(C101:F104,"ERROR")&gt;0,COUNTIF(E8:F38,E163)&gt;0),1,0)</f>
        <v>0</v>
      </c>
      <c r="P163" s="509" t="s">
        <v>550</v>
      </c>
      <c r="Q163" s="2"/>
      <c r="R163" s="2"/>
      <c r="S163" s="591"/>
      <c r="T163" s="591"/>
      <c r="U163" s="591"/>
      <c r="V163" s="591"/>
      <c r="W163" s="591"/>
      <c r="X163" s="591"/>
      <c r="Y163" s="591"/>
      <c r="Z163" s="591"/>
      <c r="AA163" s="591"/>
      <c r="AB163" s="591"/>
      <c r="AC163" s="591"/>
      <c r="AG163" s="591"/>
      <c r="AH163" s="591"/>
      <c r="AI163" s="591"/>
      <c r="AJ163" s="591"/>
      <c r="AK163" s="591"/>
      <c r="AM163" s="591"/>
      <c r="AN163" s="591"/>
      <c r="AO163" s="591"/>
      <c r="AP163" s="591"/>
      <c r="AQ163" s="591"/>
      <c r="AS163" s="591"/>
      <c r="AT163" s="591"/>
      <c r="AU163" s="591"/>
      <c r="AV163" s="591"/>
      <c r="AW163" s="591"/>
      <c r="AY163" s="591"/>
    </row>
    <row r="164" spans="1:51" ht="15" hidden="1" customHeight="1" x14ac:dyDescent="0.2">
      <c r="A164" s="2"/>
      <c r="B164" s="2"/>
      <c r="C164" s="2"/>
      <c r="D164" s="2"/>
      <c r="E164" s="2"/>
      <c r="F164" s="2"/>
      <c r="G164" s="950">
        <f>IF(G42=$K134,0,G87)</f>
        <v>0</v>
      </c>
      <c r="H164" s="950">
        <f>IF(H42=$K134,0,H87)</f>
        <v>0</v>
      </c>
      <c r="I164" s="950">
        <f>IF(K42=$K134,0,I87)</f>
        <v>0</v>
      </c>
      <c r="J164" s="950">
        <f>IF(N42=$K134,0,K87)</f>
        <v>0</v>
      </c>
      <c r="K164" s="2"/>
      <c r="L164" s="2"/>
      <c r="M164" s="2"/>
      <c r="N164" s="2"/>
      <c r="O164" s="2"/>
      <c r="P164" s="2"/>
      <c r="Q164" s="2"/>
      <c r="R164" s="2"/>
      <c r="S164" s="591"/>
      <c r="T164" s="591"/>
      <c r="U164" s="591"/>
      <c r="V164" s="591"/>
      <c r="W164" s="591"/>
      <c r="X164" s="591"/>
      <c r="Y164" s="591"/>
      <c r="Z164" s="591"/>
      <c r="AA164" s="591"/>
      <c r="AB164" s="591"/>
      <c r="AC164" s="591"/>
      <c r="AG164" s="591"/>
      <c r="AH164" s="591"/>
      <c r="AI164" s="591"/>
      <c r="AJ164" s="591"/>
      <c r="AK164" s="591"/>
      <c r="AM164" s="591"/>
      <c r="AN164" s="591"/>
      <c r="AO164" s="591"/>
      <c r="AP164" s="591"/>
      <c r="AQ164" s="591"/>
      <c r="AS164" s="591"/>
      <c r="AT164" s="591"/>
      <c r="AU164" s="591"/>
      <c r="AV164" s="591"/>
      <c r="AW164" s="591"/>
      <c r="AY164" s="591"/>
    </row>
    <row r="165" spans="1:51" hidden="1" x14ac:dyDescent="0.2">
      <c r="A165" s="2"/>
      <c r="B165" s="2"/>
      <c r="C165" s="2"/>
      <c r="D165" s="2"/>
      <c r="E165" s="2"/>
      <c r="F165" s="2"/>
      <c r="G165" s="2"/>
      <c r="H165" s="2"/>
      <c r="I165" s="2"/>
      <c r="J165" s="2"/>
      <c r="K165" s="2"/>
      <c r="L165" s="2"/>
      <c r="M165" s="2"/>
      <c r="N165" s="2"/>
      <c r="O165" s="2"/>
      <c r="P165" s="2"/>
      <c r="Q165" s="2"/>
      <c r="R165" s="2"/>
      <c r="S165" s="591"/>
      <c r="T165" s="591"/>
      <c r="U165" s="591"/>
      <c r="V165" s="591"/>
      <c r="W165" s="591"/>
      <c r="X165" s="591"/>
      <c r="Y165" s="591"/>
      <c r="Z165" s="591"/>
      <c r="AA165" s="591"/>
      <c r="AB165" s="591"/>
      <c r="AC165" s="591"/>
      <c r="AG165" s="591"/>
      <c r="AH165" s="591"/>
      <c r="AI165" s="591"/>
      <c r="AJ165" s="591"/>
      <c r="AK165" s="591"/>
      <c r="AM165" s="591"/>
      <c r="AN165" s="591"/>
      <c r="AO165" s="591"/>
      <c r="AP165" s="591"/>
      <c r="AQ165" s="591"/>
      <c r="AS165" s="591"/>
      <c r="AT165" s="591"/>
      <c r="AU165" s="591"/>
      <c r="AV165" s="591"/>
      <c r="AW165" s="591"/>
      <c r="AY165" s="591"/>
    </row>
    <row r="166" spans="1:51" ht="22.5" customHeight="1" x14ac:dyDescent="0.2">
      <c r="A166" s="2"/>
      <c r="B166" s="2"/>
      <c r="C166" s="2"/>
      <c r="D166" s="2"/>
      <c r="E166" s="2"/>
      <c r="F166" s="2"/>
      <c r="G166" s="624">
        <v>1</v>
      </c>
      <c r="H166" s="624">
        <v>2</v>
      </c>
      <c r="I166" s="2229">
        <v>5</v>
      </c>
      <c r="J166" s="2229"/>
      <c r="K166" s="624">
        <v>8</v>
      </c>
      <c r="L166" s="2"/>
      <c r="M166" s="2228" t="s">
        <v>193</v>
      </c>
      <c r="N166" s="2228"/>
      <c r="O166" s="2"/>
      <c r="P166" s="2"/>
      <c r="Q166" s="2"/>
      <c r="R166" s="591"/>
      <c r="S166" s="591"/>
      <c r="T166" s="591"/>
      <c r="U166" s="591"/>
      <c r="V166" s="591"/>
      <c r="W166" s="591"/>
      <c r="X166" s="591"/>
      <c r="Y166" s="591"/>
      <c r="Z166" s="591"/>
      <c r="AA166" s="591"/>
      <c r="AB166" s="591"/>
      <c r="AC166" s="591"/>
      <c r="AG166" s="591"/>
      <c r="AS166" s="591"/>
    </row>
    <row r="167" spans="1:51" ht="18" customHeight="1" x14ac:dyDescent="0.2">
      <c r="A167" s="2"/>
      <c r="B167" s="2"/>
      <c r="C167" s="2084" t="s">
        <v>175</v>
      </c>
      <c r="D167" s="2084"/>
      <c r="E167" s="2085">
        <f>E43</f>
        <v>2024</v>
      </c>
      <c r="F167" s="2085">
        <f>F43</f>
        <v>0</v>
      </c>
      <c r="G167" s="590" t="str">
        <f>G43</f>
        <v/>
      </c>
      <c r="H167" s="590" t="str">
        <f>H43</f>
        <v/>
      </c>
      <c r="I167" s="2232" t="str">
        <f>K43</f>
        <v/>
      </c>
      <c r="J167" s="2232"/>
      <c r="K167" s="590" t="str">
        <f>N43</f>
        <v/>
      </c>
      <c r="L167" s="2"/>
      <c r="M167" s="908" t="s">
        <v>717</v>
      </c>
      <c r="N167" s="2"/>
      <c r="O167" s="2"/>
      <c r="P167" s="2"/>
      <c r="Q167" s="2"/>
      <c r="R167" s="591"/>
      <c r="S167" s="591"/>
      <c r="T167" s="591"/>
      <c r="U167" s="591"/>
      <c r="V167" s="591"/>
      <c r="W167" s="591"/>
      <c r="X167" s="591"/>
      <c r="Y167" s="591"/>
      <c r="Z167" s="591"/>
      <c r="AA167" s="591"/>
      <c r="AB167" s="591"/>
      <c r="AC167" s="591"/>
      <c r="AG167" s="591"/>
      <c r="AS167" s="591"/>
    </row>
    <row r="168" spans="1:51" ht="22.5" customHeight="1" x14ac:dyDescent="0.2">
      <c r="A168" s="2"/>
      <c r="B168" s="2"/>
      <c r="C168" s="2091" t="s">
        <v>298</v>
      </c>
      <c r="D168" s="2091"/>
      <c r="E168" s="2091"/>
      <c r="F168" s="2091"/>
      <c r="G168" s="57" t="str">
        <f>G44</f>
        <v/>
      </c>
      <c r="H168" s="57" t="str">
        <f>H44</f>
        <v/>
      </c>
      <c r="I168" s="2230" t="str">
        <f>K44</f>
        <v/>
      </c>
      <c r="J168" s="2230"/>
      <c r="K168" s="57" t="str">
        <f>N44</f>
        <v/>
      </c>
      <c r="L168" s="2"/>
      <c r="M168" s="2228" t="s">
        <v>719</v>
      </c>
      <c r="N168" s="2228"/>
      <c r="O168" s="2"/>
      <c r="P168" s="2"/>
      <c r="Q168" s="2"/>
      <c r="R168" s="591"/>
      <c r="S168" s="591"/>
      <c r="T168" s="591"/>
      <c r="U168" s="591"/>
      <c r="V168" s="591"/>
      <c r="W168" s="591"/>
      <c r="X168" s="591"/>
      <c r="Y168" s="591"/>
      <c r="Z168" s="591"/>
      <c r="AA168" s="591"/>
      <c r="AB168" s="591"/>
      <c r="AC168" s="591"/>
      <c r="AG168" s="591"/>
      <c r="AS168" s="591"/>
    </row>
    <row r="169" spans="1:51" ht="19.5" customHeight="1" x14ac:dyDescent="0.2">
      <c r="A169" s="2"/>
      <c r="B169" s="2"/>
      <c r="C169" s="2094" t="str">
        <f>C95</f>
        <v>01/10 - 31/10</v>
      </c>
      <c r="D169" s="2095"/>
      <c r="E169" s="2095"/>
      <c r="F169" s="2095"/>
      <c r="G169" s="90" t="str">
        <f>G45</f>
        <v/>
      </c>
      <c r="H169" s="90" t="str">
        <f>H45</f>
        <v/>
      </c>
      <c r="I169" s="2231" t="str">
        <f>K45</f>
        <v/>
      </c>
      <c r="J169" s="2231"/>
      <c r="K169" s="90" t="str">
        <f>N45</f>
        <v/>
      </c>
      <c r="L169" s="2"/>
      <c r="M169" s="12"/>
      <c r="N169" s="2"/>
      <c r="O169" s="2"/>
      <c r="P169" s="2"/>
      <c r="Q169" s="2"/>
      <c r="R169" s="591"/>
      <c r="S169" s="591"/>
      <c r="T169" s="591"/>
      <c r="U169" s="591"/>
      <c r="V169" s="591"/>
      <c r="W169" s="591"/>
      <c r="X169" s="591"/>
      <c r="Y169" s="591"/>
      <c r="Z169" s="591"/>
      <c r="AA169" s="591"/>
      <c r="AB169" s="591"/>
      <c r="AC169" s="591"/>
      <c r="AG169" s="591"/>
      <c r="AS169" s="591"/>
    </row>
    <row r="170" spans="1:51" ht="7.5" customHeight="1" x14ac:dyDescent="0.2">
      <c r="A170" s="2"/>
      <c r="B170" s="2"/>
      <c r="C170" s="2089"/>
      <c r="D170" s="2090"/>
      <c r="E170" s="484"/>
      <c r="F170" s="2"/>
      <c r="G170" s="597">
        <f>IF(AND(G$180&lt;&gt;0,G$180&gt;0),IF(($E$171*9)&gt;=G$180,0,1),IF(AND(G$180&lt;&gt;0,G$180&lt;0),IF(($E$171*9)&lt;=G$180,0,1),0))</f>
        <v>0</v>
      </c>
      <c r="H170" s="597">
        <f>IF(AND(H$180&lt;&gt;0,H$180&gt;0),IF(($E$171*9)&gt;=H$180,0,1),IF(AND(H$180&lt;&gt;0,H$180&lt;0),IF(($E$171*9)&lt;=H$180,0,1),0))</f>
        <v>0</v>
      </c>
      <c r="I170" s="2104">
        <f>IF(AND(I$180&lt;&gt;0,I$180&gt;0),IF(($E$171*9)&gt;=I$180,0,1),IF(AND(I$180&lt;&gt;0,I$180&lt;0),IF(($E$171*9)&lt;=I$180,0,1),0))</f>
        <v>0</v>
      </c>
      <c r="J170" s="2105"/>
      <c r="K170" s="597">
        <f>IF(AND(K$180&lt;&gt;0,K$180&gt;0),IF(($E$171*9)&gt;=K$180,0,1),IF(AND(K$180&lt;&gt;0,K$180&lt;0),IF(($E$171*9)&lt;=K$180,0,1),0))</f>
        <v>0</v>
      </c>
      <c r="L170" s="2"/>
      <c r="M170" s="2"/>
      <c r="N170" s="2"/>
      <c r="O170" s="2"/>
      <c r="P170" s="2"/>
      <c r="Q170" s="2"/>
      <c r="R170" s="591"/>
      <c r="S170" s="591"/>
      <c r="T170" s="591"/>
      <c r="U170" s="591"/>
      <c r="V170" s="591"/>
      <c r="W170" s="591"/>
      <c r="X170" s="591"/>
      <c r="Y170" s="591"/>
      <c r="Z170" s="591"/>
      <c r="AA170" s="591"/>
      <c r="AB170" s="591"/>
      <c r="AC170" s="591"/>
      <c r="AG170" s="591"/>
      <c r="AS170" s="591"/>
    </row>
    <row r="171" spans="1:51" ht="7.5" customHeight="1" x14ac:dyDescent="0.2">
      <c r="A171" s="2"/>
      <c r="B171" s="2"/>
      <c r="C171" s="2096" t="s">
        <v>587</v>
      </c>
      <c r="D171" s="2096"/>
      <c r="E171" s="2098">
        <f>IF(OR(M166=0,M168=""),0,IF(M168=E220,E221,MAX(G180:K180)/10))</f>
        <v>0</v>
      </c>
      <c r="F171" s="2"/>
      <c r="G171" s="598">
        <f>IF(AND(G$180&lt;&gt;0,G$180&gt;0),IF(($E$171*8)&gt;=G$180,0,1),IF(AND(G$180&lt;&gt;0,G$180&lt;0),IF(($E$171*8)&lt;=G$180,0,1),0))</f>
        <v>0</v>
      </c>
      <c r="H171" s="598">
        <f>IF(AND(H$180&lt;&gt;0,H$180&gt;0),IF(($E$171*8)&gt;=H$180,0,1),IF(AND(H$180&lt;&gt;0,H$180&lt;0),IF(($E$171*8)&lt;=H$180,0,1),0))</f>
        <v>0</v>
      </c>
      <c r="I171" s="2061">
        <f>IF(AND(I$180&lt;&gt;0,I$180&gt;0),IF(($E$171*8)&gt;=I$180,0,1),IF(AND(I$180&lt;&gt;0,I$180&lt;0),IF(($E$171*8)&lt;=I$180,0,1),0))</f>
        <v>0</v>
      </c>
      <c r="J171" s="2062"/>
      <c r="K171" s="598">
        <f>IF(AND(K$180&lt;&gt;0,K$180&gt;0),IF(($E$171*8)&gt;=K$180,0,1),IF(AND(K$180&lt;&gt;0,K$180&lt;0),IF(($E$171*8)&lt;=K$180,0,1),0))</f>
        <v>0</v>
      </c>
      <c r="L171" s="2"/>
      <c r="M171" s="2"/>
      <c r="N171" s="2"/>
      <c r="O171" s="2"/>
      <c r="P171" s="2"/>
      <c r="Q171" s="2"/>
      <c r="R171" s="591"/>
      <c r="S171" s="591"/>
      <c r="T171" s="591"/>
      <c r="U171" s="591"/>
      <c r="V171" s="591"/>
      <c r="W171" s="591"/>
      <c r="X171" s="591"/>
      <c r="AA171" s="591"/>
      <c r="AB171" s="591"/>
      <c r="AC171" s="591"/>
      <c r="AG171" s="591"/>
      <c r="AS171" s="591"/>
    </row>
    <row r="172" spans="1:51" ht="7.5" customHeight="1" x14ac:dyDescent="0.2">
      <c r="A172" s="2"/>
      <c r="B172" s="2"/>
      <c r="C172" s="2097"/>
      <c r="D172" s="2097"/>
      <c r="E172" s="2098"/>
      <c r="F172" s="2"/>
      <c r="G172" s="598">
        <f>IF(AND(G$180&lt;&gt;0,G$180&gt;0),IF(($E$171*7)&gt;=G$180,0,1),IF(AND(G$180&lt;&gt;0,G$180&lt;0),IF(($E$171*7)&lt;=G$180,0,1),0))</f>
        <v>0</v>
      </c>
      <c r="H172" s="598">
        <f>IF(AND(H$180&lt;&gt;0,H$180&gt;0),IF(($E$171*7)&gt;=H$180,0,1),IF(AND(H$180&lt;&gt;0,H$180&lt;0),IF(($E$171*7)&lt;=H$180,0,1),0))</f>
        <v>0</v>
      </c>
      <c r="I172" s="2061">
        <f>IF(AND(I$180&lt;&gt;0,I$180&gt;0),IF(($E$171*7)&gt;=I$180,0,1),IF(AND(I$180&lt;&gt;0,I$180&lt;0),IF(($E$171*7)&lt;=I$180,0,1),0))</f>
        <v>0</v>
      </c>
      <c r="J172" s="2062"/>
      <c r="K172" s="598">
        <f>IF(AND(K$180&lt;&gt;0,K$180&gt;0),IF(($E$171*7)&gt;=K$180,0,1),IF(AND(K$180&lt;&gt;0,K$180&lt;0),IF(($E$171*7)&lt;=K$180,0,1),0))</f>
        <v>0</v>
      </c>
      <c r="L172" s="2"/>
      <c r="M172" s="2"/>
      <c r="N172" s="2"/>
      <c r="O172" s="2"/>
      <c r="P172" s="2"/>
      <c r="Q172" s="2"/>
      <c r="R172" s="591"/>
      <c r="S172" s="591"/>
      <c r="T172" s="591"/>
      <c r="U172" s="591"/>
      <c r="V172" s="591"/>
      <c r="W172" s="591"/>
      <c r="X172" s="591"/>
      <c r="AA172" s="591"/>
      <c r="AB172" s="591"/>
      <c r="AC172" s="591"/>
      <c r="AG172" s="591"/>
      <c r="AS172" s="591"/>
    </row>
    <row r="173" spans="1:51" ht="7.5" customHeight="1" x14ac:dyDescent="0.2">
      <c r="A173" s="2"/>
      <c r="B173" s="2"/>
      <c r="C173" s="2"/>
      <c r="D173" s="2"/>
      <c r="E173" s="2"/>
      <c r="F173" s="2"/>
      <c r="G173" s="598">
        <f>IF(AND(G$180&lt;&gt;0,G$180&gt;0),IF(($E$171*6)&gt;=G$180,0,1),IF(AND(G$180&lt;&gt;0,G$180&lt;0),IF(($E$171*6)&lt;=G$180,0,1),0))</f>
        <v>0</v>
      </c>
      <c r="H173" s="598">
        <f>IF(AND(H$180&lt;&gt;0,H$180&gt;0),IF(($E$171*6)&gt;=H$180,0,1),IF(AND(H$180&lt;&gt;0,H$180&lt;0),IF(($E$171*6)&lt;=H$180,0,1),0))</f>
        <v>0</v>
      </c>
      <c r="I173" s="2061">
        <f>IF(AND(I$180&lt;&gt;0,I$180&gt;0),IF(($E$171*6)&gt;=I$180,0,1),IF(AND(I$180&lt;&gt;0,I$180&lt;0),IF(($E$171*6)&lt;=I$180,0,1),0))</f>
        <v>0</v>
      </c>
      <c r="J173" s="2062"/>
      <c r="K173" s="598">
        <f>IF(AND(K$180&lt;&gt;0,K$180&gt;0),IF(($E$171*6)&gt;=K$180,0,1),IF(AND(K$180&lt;&gt;0,K$180&lt;0),IF(($E$171*6)&lt;=K$180,0,1),0))</f>
        <v>0</v>
      </c>
      <c r="L173" s="2"/>
      <c r="M173" s="2"/>
      <c r="N173" s="2"/>
      <c r="O173" s="2"/>
      <c r="P173" s="2"/>
      <c r="Q173" s="2"/>
      <c r="R173" s="591"/>
      <c r="S173" s="591"/>
      <c r="T173" s="591"/>
      <c r="U173" s="591"/>
      <c r="V173" s="591"/>
      <c r="W173" s="591"/>
      <c r="X173" s="591"/>
      <c r="AA173" s="591"/>
      <c r="AB173" s="591"/>
      <c r="AC173" s="591"/>
      <c r="AG173" s="591"/>
      <c r="AS173" s="591"/>
    </row>
    <row r="174" spans="1:51" ht="7.5" customHeight="1" x14ac:dyDescent="0.2">
      <c r="A174" s="2"/>
      <c r="B174" s="2"/>
      <c r="C174" s="2"/>
      <c r="D174" s="2"/>
      <c r="E174" s="2"/>
      <c r="F174" s="2"/>
      <c r="G174" s="598">
        <f>IF(AND(G$180&lt;&gt;0,G$180&gt;0),IF(($E$171*5)&gt;=G$180,0,1),IF(AND(G$180&lt;&gt;0,G$180&lt;0),IF(($E$171*5)&lt;=G$180,0,1),0))</f>
        <v>0</v>
      </c>
      <c r="H174" s="598">
        <f>IF(AND(H$180&lt;&gt;0,H$180&gt;0),IF(($E$171*5)&gt;=H$180,0,1),IF(AND(H$180&lt;&gt;0,H$180&lt;0),IF(($E$171*5)&lt;=H$180,0,1),0))</f>
        <v>0</v>
      </c>
      <c r="I174" s="2061">
        <f>IF(AND(I$180&lt;&gt;0,I$180&gt;0),IF(($E$171*5)&gt;=I$180,0,1),IF(AND(I$180&lt;&gt;0,I$180&lt;0),IF(($E$171*5)&lt;=I$180,0,1),0))</f>
        <v>0</v>
      </c>
      <c r="J174" s="2062"/>
      <c r="K174" s="598">
        <f>IF(AND(K$180&lt;&gt;0,K$180&gt;0),IF(($E$171*5)&gt;=K$180,0,1),IF(AND(K$180&lt;&gt;0,K$180&lt;0),IF(($E$171*5)&lt;=K$180,0,1),0))</f>
        <v>0</v>
      </c>
      <c r="L174" s="2"/>
      <c r="M174" s="2"/>
      <c r="N174" s="2"/>
      <c r="O174" s="2"/>
      <c r="P174" s="2"/>
      <c r="Q174" s="2"/>
      <c r="R174" s="591"/>
      <c r="S174" s="591"/>
      <c r="T174" s="591"/>
      <c r="U174" s="591"/>
      <c r="V174" s="591"/>
      <c r="W174" s="591"/>
      <c r="X174" s="591"/>
      <c r="AA174" s="591"/>
      <c r="AB174" s="591"/>
      <c r="AC174" s="591"/>
      <c r="AG174" s="591"/>
      <c r="AS174" s="591"/>
    </row>
    <row r="175" spans="1:51" ht="7.5" customHeight="1" x14ac:dyDescent="0.2">
      <c r="A175" s="2"/>
      <c r="B175" s="2"/>
      <c r="C175" s="2"/>
      <c r="D175" s="2"/>
      <c r="E175" s="2"/>
      <c r="F175" s="2"/>
      <c r="G175" s="598">
        <f>IF(AND(G$180&lt;&gt;0,G$180&gt;0),IF(($E$171*4)&gt;=G$180,0,1),IF(AND(G$180&lt;&gt;0,G$180&lt;0),IF(($E$171*4)&lt;=G$180,0,1),0))</f>
        <v>0</v>
      </c>
      <c r="H175" s="598">
        <f>IF(AND(H$180&lt;&gt;0,H$180&gt;0),IF(($E$171*4)&gt;=H$180,0,1),IF(AND(H$180&lt;&gt;0,H$180&lt;0),IF(($E$171*4)&lt;=H$180,0,1),0))</f>
        <v>0</v>
      </c>
      <c r="I175" s="2061">
        <f>IF(AND(I$180&lt;&gt;0,I$180&gt;0),IF(($E$171*4)&gt;=I$180,0,1),IF(AND(I$180&lt;&gt;0,I$180&lt;0),IF(($E$171*4)&lt;=I$180,0,1),0))</f>
        <v>0</v>
      </c>
      <c r="J175" s="2062"/>
      <c r="K175" s="598">
        <f>IF(AND(K$180&lt;&gt;0,K$180&gt;0),IF(($E$171*4)&gt;=K$180,0,1),IF(AND(K$180&lt;&gt;0,K$180&lt;0),IF(($E$171*4)&lt;=K$180,0,1),0))</f>
        <v>0</v>
      </c>
      <c r="L175" s="2"/>
      <c r="M175" s="2"/>
      <c r="N175" s="2"/>
      <c r="O175" s="2"/>
      <c r="P175" s="2"/>
      <c r="Q175" s="2"/>
      <c r="R175" s="591"/>
      <c r="S175" s="591"/>
      <c r="T175" s="591"/>
      <c r="U175" s="591"/>
      <c r="V175" s="591"/>
      <c r="W175" s="591"/>
      <c r="X175" s="591"/>
      <c r="AA175" s="591"/>
      <c r="AB175" s="591"/>
      <c r="AC175" s="591"/>
      <c r="AG175" s="591"/>
      <c r="AS175" s="591"/>
    </row>
    <row r="176" spans="1:51" ht="7.5" customHeight="1" x14ac:dyDescent="0.2">
      <c r="A176" s="2"/>
      <c r="B176" s="2"/>
      <c r="C176" s="2"/>
      <c r="D176" s="2"/>
      <c r="E176" s="2"/>
      <c r="F176" s="2"/>
      <c r="G176" s="598">
        <f>IF(AND(G$180&lt;&gt;0,G$180&gt;0),IF(($E$171*3)&gt;=G$180,0,1),IF(AND(G$180&lt;&gt;0,G$180&lt;0),IF(($E$171*3)&lt;=G$180,0,1),0))</f>
        <v>0</v>
      </c>
      <c r="H176" s="598">
        <f>IF(AND(H$180&lt;&gt;0,H$180&gt;0),IF(($E$171*3)&gt;=H$180,0,1),IF(AND(H$180&lt;&gt;0,H$180&lt;0),IF(($E$171*3)&lt;=H$180,0,1),0))</f>
        <v>0</v>
      </c>
      <c r="I176" s="2061">
        <f>IF(AND(I$180&lt;&gt;0,I$180&gt;0),IF(($E$171*3)&gt;=I$180,0,1),IF(AND(I$180&lt;&gt;0,I$180&lt;0),IF(($E$171*3)&lt;=I$180,0,1),0))</f>
        <v>0</v>
      </c>
      <c r="J176" s="2062"/>
      <c r="K176" s="598">
        <f>IF(AND(K$180&lt;&gt;0,K$180&gt;0),IF(($E$171*3)&gt;=K$180,0,1),IF(AND(K$180&lt;&gt;0,K$180&lt;0),IF(($E$171*3)&lt;=K$180,0,1),0))</f>
        <v>0</v>
      </c>
      <c r="L176" s="2"/>
      <c r="M176" s="2"/>
      <c r="N176" s="2"/>
      <c r="O176" s="2"/>
      <c r="P176" s="2"/>
      <c r="Q176" s="2"/>
      <c r="R176" s="591"/>
      <c r="S176" s="591"/>
      <c r="T176" s="591"/>
      <c r="U176" s="591"/>
      <c r="V176" s="591"/>
      <c r="W176" s="591"/>
      <c r="X176" s="591"/>
      <c r="AA176" s="591"/>
      <c r="AB176" s="591"/>
      <c r="AC176" s="591"/>
      <c r="AG176" s="591"/>
      <c r="AS176" s="591"/>
    </row>
    <row r="177" spans="1:45" ht="7.5" customHeight="1" x14ac:dyDescent="0.2">
      <c r="A177" s="2"/>
      <c r="B177" s="2"/>
      <c r="C177" s="2"/>
      <c r="D177" s="2"/>
      <c r="E177" s="2"/>
      <c r="F177" s="2"/>
      <c r="G177" s="598">
        <f>IF(AND(G$180&lt;&gt;0,G$180&gt;0),IF(($E$171*2)&gt;=G$180,0,1),IF(AND(G$180&lt;&gt;0,G$180&lt;0),IF(($E$171*2)&lt;=G$180,0,1),0))</f>
        <v>0</v>
      </c>
      <c r="H177" s="598">
        <f>IF(AND(H$180&lt;&gt;0,H$180&gt;0),IF(($E$171*2)&gt;=H$180,0,1),IF(AND(H$180&lt;&gt;0,H$180&lt;0),IF(($E$171*2)&lt;=H$180,0,1),0))</f>
        <v>0</v>
      </c>
      <c r="I177" s="2061">
        <f>IF(AND(I$180&lt;&gt;0,I$180&gt;0),IF(($E$171*2)&gt;=I$180,0,1),IF(AND(I$180&lt;&gt;0,I$180&lt;0),IF(($E$171*2)&lt;=I$180,0,1),0))</f>
        <v>0</v>
      </c>
      <c r="J177" s="2062"/>
      <c r="K177" s="598">
        <f>IF(AND(K$180&lt;&gt;0,K$180&gt;0),IF(($E$171*2)&gt;=K$180,0,1),IF(AND(K$180&lt;&gt;0,K$180&lt;0),IF(($E$171*2)&lt;=K$180,0,1),0))</f>
        <v>0</v>
      </c>
      <c r="L177" s="2"/>
      <c r="M177" s="2"/>
      <c r="N177" s="2"/>
      <c r="O177" s="2"/>
      <c r="P177" s="2"/>
      <c r="Q177" s="2"/>
      <c r="R177" s="591"/>
      <c r="S177" s="591"/>
      <c r="T177" s="591"/>
      <c r="U177" s="591"/>
      <c r="V177" s="591"/>
      <c r="W177" s="591"/>
      <c r="X177" s="591"/>
      <c r="AA177" s="591"/>
      <c r="AB177" s="591"/>
      <c r="AC177" s="591"/>
      <c r="AG177" s="591"/>
      <c r="AS177" s="591"/>
    </row>
    <row r="178" spans="1:45" ht="7.5" customHeight="1" x14ac:dyDescent="0.2">
      <c r="A178" s="2"/>
      <c r="B178" s="2"/>
      <c r="C178" s="2"/>
      <c r="D178" s="2"/>
      <c r="E178" s="2"/>
      <c r="F178" s="2"/>
      <c r="G178" s="598">
        <f>IF(AND(G$180&lt;&gt;0,G$180&gt;0),IF(($E$171*1)&gt;=G$180,0,1),IF(AND(G$180&lt;&gt;0,G$180&lt;0),IF(($E$171*1)&lt;=G$180,0,1),0))</f>
        <v>0</v>
      </c>
      <c r="H178" s="598">
        <f>IF(AND(H$180&lt;&gt;0,H$180&gt;0),IF(($E$171*1)&gt;=H$180,0,1),IF(AND(H$180&lt;&gt;0,H$180&lt;0),IF(($E$171*1)&lt;=H$180,0,1),0))</f>
        <v>0</v>
      </c>
      <c r="I178" s="2061">
        <f>IF(AND(I$180&lt;&gt;0,I$180&gt;0),IF(($E$171*1)&gt;=I$180,0,1),IF(AND(I$180&lt;&gt;0,I$180&lt;0),IF(($E$171*1)&lt;=I$180,0,1),0))</f>
        <v>0</v>
      </c>
      <c r="J178" s="2062"/>
      <c r="K178" s="598">
        <f>IF(AND(K$180&lt;&gt;0,K$180&gt;0),IF(($E$171*1)&gt;=K$180,0,1),IF(AND(K$180&lt;&gt;0,K$180&lt;0),IF(($E$171*1)&lt;=K$180,0,1),0))</f>
        <v>0</v>
      </c>
      <c r="L178" s="2"/>
      <c r="M178" s="2"/>
      <c r="N178" s="2"/>
      <c r="O178" s="2"/>
      <c r="P178" s="2"/>
      <c r="Q178" s="2"/>
      <c r="R178" s="591"/>
      <c r="S178" s="591"/>
      <c r="T178" s="591"/>
      <c r="U178" s="591"/>
      <c r="V178" s="591"/>
      <c r="W178" s="591"/>
      <c r="X178" s="591"/>
      <c r="AA178" s="591"/>
      <c r="AB178" s="591"/>
      <c r="AC178" s="591"/>
      <c r="AG178" s="591"/>
      <c r="AS178" s="591"/>
    </row>
    <row r="179" spans="1:45" ht="7.5" customHeight="1" x14ac:dyDescent="0.2">
      <c r="A179" s="2"/>
      <c r="B179" s="2"/>
      <c r="C179" s="2"/>
      <c r="D179" s="2"/>
      <c r="E179" s="2"/>
      <c r="F179" s="2"/>
      <c r="G179" s="599">
        <f>IF(G180&lt;&gt;0,1,0)</f>
        <v>0</v>
      </c>
      <c r="H179" s="599">
        <f>IF(H180&lt;&gt;0,1,0)</f>
        <v>0</v>
      </c>
      <c r="I179" s="2199">
        <f>IF(I180&lt;&gt;0,1,0)</f>
        <v>0</v>
      </c>
      <c r="J179" s="2200"/>
      <c r="K179" s="599">
        <f>IF(K180&lt;&gt;0,1,0)</f>
        <v>0</v>
      </c>
      <c r="L179" s="2"/>
      <c r="M179" s="2"/>
      <c r="N179" s="2"/>
      <c r="O179" s="2"/>
      <c r="P179" s="2"/>
      <c r="Q179" s="2"/>
      <c r="R179" s="591"/>
      <c r="S179" s="591"/>
      <c r="T179" s="591"/>
      <c r="U179" s="591"/>
      <c r="V179" s="591"/>
      <c r="W179" s="591"/>
      <c r="X179" s="591"/>
      <c r="AA179" s="591"/>
      <c r="AB179" s="591"/>
      <c r="AC179" s="591"/>
      <c r="AG179" s="591"/>
      <c r="AS179" s="591"/>
    </row>
    <row r="180" spans="1:45" ht="21.95" customHeight="1" x14ac:dyDescent="0.2">
      <c r="A180" s="2"/>
      <c r="B180" s="7"/>
      <c r="C180" s="2092" t="s">
        <v>582</v>
      </c>
      <c r="D180" s="2092"/>
      <c r="E180" s="2093">
        <f>SUM(G180:K180)</f>
        <v>0</v>
      </c>
      <c r="F180" s="2093"/>
      <c r="G180" s="623">
        <f>VLOOKUP($M166,$C46:G48,G166+4,FALSE)</f>
        <v>0</v>
      </c>
      <c r="H180" s="623">
        <f>VLOOKUP($M166,$C46:H48,H166+4,FALSE)</f>
        <v>0</v>
      </c>
      <c r="I180" s="2196">
        <f>VLOOKUP($M166,$C46:K48,I166+4,FALSE)</f>
        <v>0</v>
      </c>
      <c r="J180" s="2196"/>
      <c r="K180" s="623">
        <f>VLOOKUP($M166,$C46:N48,K166+4,FALSE)</f>
        <v>0</v>
      </c>
      <c r="L180" s="2"/>
      <c r="M180" s="12"/>
      <c r="N180" s="2"/>
      <c r="O180" s="2"/>
      <c r="P180" s="2"/>
      <c r="Q180" s="2"/>
      <c r="R180" s="591"/>
      <c r="S180" s="591"/>
      <c r="T180" s="591"/>
      <c r="U180" s="591"/>
      <c r="V180" s="591"/>
      <c r="W180" s="591"/>
      <c r="X180" s="591"/>
      <c r="AA180" s="591"/>
      <c r="AB180" s="591"/>
      <c r="AC180" s="591"/>
      <c r="AG180" s="591"/>
      <c r="AS180" s="591"/>
    </row>
    <row r="181" spans="1:45" ht="11.25" customHeight="1" x14ac:dyDescent="0.2">
      <c r="A181" s="2"/>
      <c r="B181" s="2"/>
      <c r="C181" s="2"/>
      <c r="D181" s="2"/>
      <c r="E181" s="2"/>
      <c r="F181" s="2"/>
      <c r="G181" s="2"/>
      <c r="H181" s="2"/>
      <c r="I181" s="2201"/>
      <c r="J181" s="2201"/>
      <c r="K181" s="2"/>
      <c r="L181" s="2"/>
      <c r="M181" s="2"/>
      <c r="N181" s="2"/>
      <c r="O181" s="2"/>
      <c r="P181" s="2"/>
      <c r="Q181" s="2"/>
      <c r="R181" s="591"/>
      <c r="S181" s="591"/>
      <c r="T181" s="591"/>
      <c r="U181" s="591"/>
      <c r="V181" s="591"/>
      <c r="W181" s="591"/>
      <c r="X181" s="591"/>
      <c r="AA181" s="591"/>
      <c r="AB181" s="591"/>
      <c r="AC181" s="591"/>
      <c r="AG181" s="591"/>
      <c r="AS181" s="591"/>
    </row>
    <row r="182" spans="1:45" ht="19.5" customHeight="1" x14ac:dyDescent="0.2">
      <c r="A182" s="2"/>
      <c r="B182" s="2"/>
      <c r="C182" s="2095" t="str">
        <f>CONCATENATE("01/01 - ",RIGHT(C169,5))</f>
        <v>01/01 - 31/10</v>
      </c>
      <c r="D182" s="2095"/>
      <c r="E182" s="2095"/>
      <c r="F182" s="2095"/>
      <c r="G182" s="2"/>
      <c r="H182" s="2"/>
      <c r="I182" s="2202"/>
      <c r="J182" s="2202"/>
      <c r="K182" s="2"/>
      <c r="L182" s="2"/>
      <c r="M182" s="2"/>
      <c r="N182" s="2"/>
      <c r="O182" s="2"/>
      <c r="P182" s="2"/>
      <c r="Q182" s="2"/>
      <c r="R182" s="591"/>
      <c r="S182" s="591"/>
      <c r="T182" s="591"/>
      <c r="U182" s="591"/>
      <c r="V182" s="591"/>
      <c r="W182" s="591"/>
      <c r="X182" s="591"/>
      <c r="AA182" s="591"/>
      <c r="AB182" s="591"/>
      <c r="AC182" s="591"/>
      <c r="AG182" s="591"/>
      <c r="AS182" s="591"/>
    </row>
    <row r="183" spans="1:45" ht="7.5" customHeight="1" x14ac:dyDescent="0.2">
      <c r="A183" s="2"/>
      <c r="B183" s="2"/>
      <c r="C183" s="2089"/>
      <c r="D183" s="2090"/>
      <c r="E183" s="484"/>
      <c r="F183" s="2"/>
      <c r="G183" s="597">
        <f>IF(AND(G$193&lt;&gt;0,G$193&gt;0),IF(($E$184*9)&gt;=G$193,0,1),IF(AND(G$193&lt;&gt;0,G$193&lt;0),IF(($E$184*9)&lt;=G$193,0,1),0))</f>
        <v>0</v>
      </c>
      <c r="H183" s="597">
        <f>IF(AND(H$193&lt;&gt;0,H$193&gt;0),IF(($E$184*9)&gt;=H$193,0,1),IF(AND(H$193&lt;&gt;0,H$193&lt;0),IF(($E$184*9)&lt;=H$193,0,1),0))</f>
        <v>0</v>
      </c>
      <c r="I183" s="2104">
        <f>IF(AND(I$193&lt;&gt;0,I$193&gt;0),IF(($E$184*9)&gt;=I$193,0,1),IF(AND(I$193&lt;&gt;0,I$193&lt;0),IF(($E$184*9)&lt;=I$193,0,1),0))</f>
        <v>0</v>
      </c>
      <c r="J183" s="2105"/>
      <c r="K183" s="597">
        <f>IF(AND(K$193&lt;&gt;0,K$193&gt;0),IF(($E$184*9)&gt;=K$193,0,1),IF(AND(K$193&lt;&gt;0,K$193&lt;0),IF(($E$184*9)&lt;=K$193,0,1),0))</f>
        <v>0</v>
      </c>
      <c r="L183" s="2"/>
      <c r="M183" s="2"/>
      <c r="N183" s="2"/>
      <c r="O183" s="2"/>
      <c r="P183" s="2"/>
      <c r="Q183" s="2"/>
      <c r="R183" s="591"/>
      <c r="S183" s="591"/>
      <c r="T183" s="591"/>
      <c r="U183" s="591"/>
      <c r="V183" s="591"/>
      <c r="W183" s="591"/>
      <c r="X183" s="591"/>
      <c r="AA183" s="591"/>
      <c r="AB183" s="591"/>
      <c r="AC183" s="591"/>
      <c r="AG183" s="591"/>
      <c r="AS183" s="591"/>
    </row>
    <row r="184" spans="1:45" ht="7.5" customHeight="1" x14ac:dyDescent="0.2">
      <c r="A184" s="2"/>
      <c r="B184" s="2"/>
      <c r="C184" s="2096" t="s">
        <v>587</v>
      </c>
      <c r="D184" s="2096"/>
      <c r="E184" s="2098">
        <f>IF(OR(M166=0,M168=""),0,IF(M168=E220,E221,MAX(G193:K193)/10))</f>
        <v>0</v>
      </c>
      <c r="F184" s="2"/>
      <c r="G184" s="598">
        <f>IF(AND(G$193&lt;&gt;0,G$193&gt;0),IF(($E$184*8)&gt;=G$193,0,1),IF(AND(G$193&lt;&gt;0,G$193&lt;0),IF(($E$184*8)&lt;=G$193,0,1),0))</f>
        <v>0</v>
      </c>
      <c r="H184" s="598">
        <f>IF(AND(H$193&lt;&gt;0,H$193&gt;0),IF(($E$184*8)&gt;=H$193,0,1),IF(AND(H$193&lt;&gt;0,H$193&lt;0),IF(($E$184*8)&lt;=H$193,0,1),0))</f>
        <v>0</v>
      </c>
      <c r="I184" s="2061">
        <f>IF(AND(I$193&lt;&gt;0,I$193&gt;0),IF(($E$184*8)&gt;=I$193,0,1),IF(AND(I$193&lt;&gt;0,I$193&lt;0),IF(($E$184*8)&lt;=I$193,0,1),0))</f>
        <v>0</v>
      </c>
      <c r="J184" s="2062"/>
      <c r="K184" s="598">
        <f>IF(AND(K$193&lt;&gt;0,K$193&gt;0),IF(($E$184*8)&gt;=K$193,0,1),IF(AND(K$193&lt;&gt;0,K$193&lt;0),IF(($E$184*8)&lt;=K$193,0,1),0))</f>
        <v>0</v>
      </c>
      <c r="L184" s="2"/>
      <c r="M184" s="2"/>
      <c r="N184" s="2"/>
      <c r="O184" s="2"/>
      <c r="P184" s="2"/>
      <c r="Q184" s="2"/>
      <c r="R184" s="591"/>
      <c r="S184" s="591"/>
      <c r="T184" s="591"/>
      <c r="U184" s="591"/>
      <c r="V184" s="591"/>
      <c r="W184" s="591"/>
      <c r="X184" s="591"/>
      <c r="AA184" s="591"/>
      <c r="AB184" s="591"/>
      <c r="AC184" s="591"/>
      <c r="AG184" s="591"/>
      <c r="AS184" s="591"/>
    </row>
    <row r="185" spans="1:45" ht="7.5" customHeight="1" x14ac:dyDescent="0.2">
      <c r="A185" s="2"/>
      <c r="B185" s="2"/>
      <c r="C185" s="2097"/>
      <c r="D185" s="2097"/>
      <c r="E185" s="2098"/>
      <c r="F185" s="2"/>
      <c r="G185" s="598">
        <f>IF(AND(G$193&lt;&gt;0,G$193&gt;0),IF(($E$184*7)&gt;=G$193,0,1),IF(AND(G$193&lt;&gt;0,G$193&lt;0),IF(($E$184*7)&lt;=G$193,0,1),0))</f>
        <v>0</v>
      </c>
      <c r="H185" s="598">
        <f>IF(AND(H$193&lt;&gt;0,H$193&gt;0),IF(($E$184*7)&gt;=H$193,0,1),IF(AND(H$193&lt;&gt;0,H$193&lt;0),IF(($E$184*7)&lt;=H$193,0,1),0))</f>
        <v>0</v>
      </c>
      <c r="I185" s="2061">
        <f>IF(AND(I$193&lt;&gt;0,I$193&gt;0),IF(($E$184*7)&gt;=I$193,0,1),IF(AND(I$193&lt;&gt;0,I$193&lt;0),IF(($E$184*7)&lt;=I$193,0,1),0))</f>
        <v>0</v>
      </c>
      <c r="J185" s="2062"/>
      <c r="K185" s="598">
        <f>IF(AND(K$193&lt;&gt;0,K$193&gt;0),IF(($E$184*7)&gt;=K$193,0,1),IF(AND(K$193&lt;&gt;0,K$193&lt;0),IF(($E$184*7)&lt;=K$193,0,1),0))</f>
        <v>0</v>
      </c>
      <c r="L185" s="2"/>
      <c r="M185" s="2"/>
      <c r="N185" s="2"/>
      <c r="O185" s="2"/>
      <c r="P185" s="2"/>
      <c r="Q185" s="2"/>
      <c r="R185" s="591"/>
      <c r="S185" s="591"/>
      <c r="T185" s="591"/>
      <c r="U185" s="591"/>
      <c r="V185" s="591"/>
      <c r="W185" s="591"/>
      <c r="X185" s="591"/>
      <c r="AA185" s="591"/>
      <c r="AB185" s="591"/>
      <c r="AC185" s="591"/>
      <c r="AG185" s="591"/>
      <c r="AS185" s="591"/>
    </row>
    <row r="186" spans="1:45" ht="7.5" customHeight="1" x14ac:dyDescent="0.2">
      <c r="A186" s="2"/>
      <c r="B186" s="2"/>
      <c r="C186" s="2"/>
      <c r="D186" s="2"/>
      <c r="E186" s="2"/>
      <c r="F186" s="2"/>
      <c r="G186" s="598">
        <f>IF(AND(G$193&lt;&gt;0,G$193&gt;0),IF(($E$184*6)&gt;=G$193,0,1),IF(AND(G$193&lt;&gt;0,G$193&lt;0),IF(($E$184*6)&lt;=G$193,0,1),0))</f>
        <v>0</v>
      </c>
      <c r="H186" s="598">
        <f>IF(AND(H$193&lt;&gt;0,H$193&gt;0),IF(($E$184*6)&gt;=H$193,0,1),IF(AND(H$193&lt;&gt;0,H$193&lt;0),IF(($E$184*6)&lt;=H$193,0,1),0))</f>
        <v>0</v>
      </c>
      <c r="I186" s="2061">
        <f>IF(AND(I$193&lt;&gt;0,I$193&gt;0),IF(($E$184*6)&gt;=I$193,0,1),IF(AND(I$193&lt;&gt;0,I$193&lt;0),IF(($E$184*6)&lt;=I$193,0,1),0))</f>
        <v>0</v>
      </c>
      <c r="J186" s="2062"/>
      <c r="K186" s="598">
        <f>IF(AND(K$193&lt;&gt;0,K$193&gt;0),IF(($E$184*6)&gt;=K$193,0,1),IF(AND(K$193&lt;&gt;0,K$193&lt;0),IF(($E$184*6)&lt;=K$193,0,1),0))</f>
        <v>0</v>
      </c>
      <c r="L186" s="2"/>
      <c r="M186" s="2"/>
      <c r="N186" s="2"/>
      <c r="O186" s="2"/>
      <c r="P186" s="2"/>
      <c r="Q186" s="2"/>
      <c r="R186" s="591"/>
      <c r="S186" s="591"/>
      <c r="T186" s="591"/>
      <c r="U186" s="591"/>
      <c r="V186" s="591"/>
      <c r="W186" s="591"/>
      <c r="X186" s="591"/>
      <c r="AA186" s="591"/>
      <c r="AB186" s="591"/>
      <c r="AC186" s="591"/>
      <c r="AG186" s="591"/>
      <c r="AS186" s="591"/>
    </row>
    <row r="187" spans="1:45" ht="7.5" customHeight="1" x14ac:dyDescent="0.2">
      <c r="A187" s="2"/>
      <c r="B187" s="2"/>
      <c r="C187" s="2"/>
      <c r="D187" s="2"/>
      <c r="E187" s="2"/>
      <c r="F187" s="2"/>
      <c r="G187" s="598">
        <f>IF(AND(G$193&lt;&gt;0,G$193&gt;0),IF(($E$184*5)&gt;=G$193,0,1),IF(AND(G$193&lt;&gt;0,G$193&lt;0),IF(($E$184*5)&lt;=G$193,0,1),0))</f>
        <v>0</v>
      </c>
      <c r="H187" s="598">
        <f>IF(AND(H$193&lt;&gt;0,H$193&gt;0),IF(($E$184*5)&gt;=H$193,0,1),IF(AND(H$193&lt;&gt;0,H$193&lt;0),IF(($E$184*5)&lt;=H$193,0,1),0))</f>
        <v>0</v>
      </c>
      <c r="I187" s="2061">
        <f>IF(AND(I$193&lt;&gt;0,I$193&gt;0),IF(($E$184*5)&gt;=I$193,0,1),IF(AND(I$193&lt;&gt;0,I$193&lt;0),IF(($E$184*5)&lt;=I$193,0,1),0))</f>
        <v>0</v>
      </c>
      <c r="J187" s="2062"/>
      <c r="K187" s="598">
        <f>IF(AND(K$193&lt;&gt;0,K$193&gt;0),IF(($E$184*5)&gt;=K$193,0,1),IF(AND(K$193&lt;&gt;0,K$193&lt;0),IF(($E$184*5)&lt;=K$193,0,1),0))</f>
        <v>0</v>
      </c>
      <c r="L187" s="2"/>
      <c r="M187" s="2"/>
      <c r="N187" s="2"/>
      <c r="O187" s="2"/>
      <c r="P187" s="2"/>
      <c r="Q187" s="2"/>
      <c r="R187" s="591"/>
      <c r="S187" s="591"/>
      <c r="T187" s="591"/>
      <c r="U187" s="591"/>
      <c r="V187" s="591"/>
      <c r="W187" s="591"/>
      <c r="X187" s="591"/>
      <c r="AA187" s="591"/>
      <c r="AB187" s="591"/>
      <c r="AC187" s="591"/>
      <c r="AG187" s="591"/>
      <c r="AS187" s="591"/>
    </row>
    <row r="188" spans="1:45" ht="7.5" customHeight="1" x14ac:dyDescent="0.2">
      <c r="A188" s="2"/>
      <c r="B188" s="2"/>
      <c r="C188" s="2"/>
      <c r="D188" s="2"/>
      <c r="E188" s="2"/>
      <c r="F188" s="2"/>
      <c r="G188" s="598">
        <f>IF(AND(G$193&lt;&gt;0,G$193&gt;0),IF(($E$184*4)&gt;=G$193,0,1),IF(AND(G$193&lt;&gt;0,G$193&lt;0),IF(($E$184*4)&lt;=G$193,0,1),0))</f>
        <v>0</v>
      </c>
      <c r="H188" s="598">
        <f>IF(AND(H$193&lt;&gt;0,H$193&gt;0),IF(($E$184*4)&gt;=H$193,0,1),IF(AND(H$193&lt;&gt;0,H$193&lt;0),IF(($E$184*4)&lt;=H$193,0,1),0))</f>
        <v>0</v>
      </c>
      <c r="I188" s="2061">
        <f>IF(AND(I$193&lt;&gt;0,I$193&gt;0),IF(($E$184*4)&gt;=I$193,0,1),IF(AND(I$193&lt;&gt;0,I$193&lt;0),IF(($E$184*4)&lt;=I$193,0,1),0))</f>
        <v>0</v>
      </c>
      <c r="J188" s="2062"/>
      <c r="K188" s="598">
        <f>IF(AND(K$193&lt;&gt;0,K$193&gt;0),IF(($E$184*4)&gt;=K$193,0,1),IF(AND(K$193&lt;&gt;0,K$193&lt;0),IF(($E$184*4)&lt;=K$193,0,1),0))</f>
        <v>0</v>
      </c>
      <c r="L188" s="2"/>
      <c r="M188" s="2"/>
      <c r="N188" s="2"/>
      <c r="O188" s="2"/>
      <c r="P188" s="2"/>
      <c r="Q188" s="2"/>
      <c r="R188" s="591"/>
      <c r="S188" s="591"/>
      <c r="T188" s="591"/>
      <c r="U188" s="591"/>
      <c r="V188" s="591"/>
      <c r="W188" s="591"/>
      <c r="X188" s="591"/>
      <c r="AA188" s="591"/>
      <c r="AB188" s="591"/>
      <c r="AC188" s="591"/>
      <c r="AG188" s="591"/>
      <c r="AS188" s="591"/>
    </row>
    <row r="189" spans="1:45" ht="7.5" customHeight="1" x14ac:dyDescent="0.2">
      <c r="A189" s="2"/>
      <c r="B189" s="2"/>
      <c r="C189" s="2"/>
      <c r="D189" s="2"/>
      <c r="E189" s="2"/>
      <c r="F189" s="2"/>
      <c r="G189" s="598">
        <f>IF(AND(G$193&lt;&gt;0,G$193&gt;0),IF(($E$184*3)&gt;=G$193,0,1),IF(AND(G$193&lt;&gt;0,G$193&lt;0),IF(($E$184*3)&lt;=G$193,0,1),0))</f>
        <v>0</v>
      </c>
      <c r="H189" s="598">
        <f>IF(AND(H$193&lt;&gt;0,H$193&gt;0),IF(($E$184*3)&gt;=H$193,0,1),IF(AND(H$193&lt;&gt;0,H$193&lt;0),IF(($E$184*3)&lt;=H$193,0,1),0))</f>
        <v>0</v>
      </c>
      <c r="I189" s="2061">
        <f>IF(AND(I$193&lt;&gt;0,I$193&gt;0),IF(($E$184*3)&gt;=I$193,0,1),IF(AND(I$193&lt;&gt;0,I$193&lt;0),IF(($E$184*3)&lt;=I$193,0,1),0))</f>
        <v>0</v>
      </c>
      <c r="J189" s="2062"/>
      <c r="K189" s="598">
        <f>IF(AND(K$193&lt;&gt;0,K$193&gt;0),IF(($E$184*3)&gt;=K$193,0,1),IF(AND(K$193&lt;&gt;0,K$193&lt;0),IF(($E$184*3)&lt;=K$193,0,1),0))</f>
        <v>0</v>
      </c>
      <c r="L189" s="2"/>
      <c r="M189" s="2"/>
      <c r="N189" s="2"/>
      <c r="O189" s="2"/>
      <c r="P189" s="2"/>
      <c r="Q189" s="2"/>
      <c r="R189" s="591"/>
      <c r="S189" s="591"/>
      <c r="T189" s="591"/>
      <c r="U189" s="591"/>
      <c r="V189" s="591"/>
      <c r="W189" s="591"/>
      <c r="X189" s="591"/>
      <c r="AA189" s="591"/>
      <c r="AB189" s="591"/>
      <c r="AC189" s="591"/>
      <c r="AG189" s="591"/>
      <c r="AS189" s="591"/>
    </row>
    <row r="190" spans="1:45" ht="7.5" customHeight="1" x14ac:dyDescent="0.2">
      <c r="A190" s="2"/>
      <c r="B190" s="2"/>
      <c r="C190" s="2"/>
      <c r="D190" s="2"/>
      <c r="E190" s="2"/>
      <c r="F190" s="2"/>
      <c r="G190" s="598">
        <f>IF(AND(G$193&lt;&gt;0,G$193&gt;0),IF(($E$184*2)&gt;=G$193,0,1),IF(AND(G$193&lt;&gt;0,G$193&lt;0),IF(($E$184*2)&lt;=G$193,0,1),0))</f>
        <v>0</v>
      </c>
      <c r="H190" s="598">
        <f>IF(AND(H$193&lt;&gt;0,H$193&gt;0),IF(($E$184*2)&gt;=H$193,0,1),IF(AND(H$193&lt;&gt;0,H$193&lt;0),IF(($E$184*2)&lt;=H$193,0,1),0))</f>
        <v>0</v>
      </c>
      <c r="I190" s="2061">
        <f>IF(AND(I$193&lt;&gt;0,I$193&gt;0),IF(($E$184*2)&gt;=I$193,0,1),IF(AND(I$193&lt;&gt;0,I$193&lt;0),IF(($E$184*2)&lt;=I$193,0,1),0))</f>
        <v>0</v>
      </c>
      <c r="J190" s="2062"/>
      <c r="K190" s="598">
        <f>IF(AND(K$193&lt;&gt;0,K$193&gt;0),IF(($E$184*2)&gt;=K$193,0,1),IF(AND(K$193&lt;&gt;0,K$193&lt;0),IF(($E$184*2)&lt;=K$193,0,1),0))</f>
        <v>0</v>
      </c>
      <c r="L190" s="2"/>
      <c r="M190" s="2"/>
      <c r="N190" s="2"/>
      <c r="O190" s="2"/>
      <c r="P190" s="2"/>
      <c r="Q190" s="2"/>
      <c r="R190" s="591"/>
      <c r="S190" s="591"/>
      <c r="T190" s="591"/>
      <c r="U190" s="591"/>
      <c r="V190" s="591"/>
      <c r="W190" s="591"/>
      <c r="X190" s="591"/>
      <c r="AA190" s="591"/>
      <c r="AB190" s="591"/>
      <c r="AC190" s="591"/>
      <c r="AG190" s="591"/>
      <c r="AS190" s="591"/>
    </row>
    <row r="191" spans="1:45" ht="7.5" customHeight="1" x14ac:dyDescent="0.2">
      <c r="A191" s="2"/>
      <c r="B191" s="2"/>
      <c r="C191" s="2"/>
      <c r="D191" s="2"/>
      <c r="E191" s="2"/>
      <c r="F191" s="2"/>
      <c r="G191" s="598">
        <f>IF(AND(G$193&lt;&gt;0,G$193&gt;0),IF(($E$184*1)&gt;=G$193,0,1),IF(AND(G$193&lt;&gt;0,G$193&lt;0),IF(($E$184*1)&lt;=G$193,0,1),0))</f>
        <v>0</v>
      </c>
      <c r="H191" s="598">
        <f>IF(AND(H$193&lt;&gt;0,H$193&gt;0),IF(($E$184*1)&gt;=H$193,0,1),IF(AND(H$193&lt;&gt;0,H$193&lt;0),IF(($E$184*1)&lt;=H$193,0,1),0))</f>
        <v>0</v>
      </c>
      <c r="I191" s="2061">
        <f>IF(AND(I$193&lt;&gt;0,I$193&gt;0),IF(($E$184*1)&gt;=I$193,0,1),IF(AND(I$193&lt;&gt;0,I$193&lt;0),IF(($E$184*1)&lt;=I$193,0,1),0))</f>
        <v>0</v>
      </c>
      <c r="J191" s="2062"/>
      <c r="K191" s="598">
        <f>IF(AND(K$193&lt;&gt;0,K$193&gt;0),IF(($E$184*1)&gt;=K$193,0,1),IF(AND(K$193&lt;&gt;0,K$193&lt;0),IF(($E$184*1)&lt;=K$193,0,1),0))</f>
        <v>0</v>
      </c>
      <c r="L191" s="2"/>
      <c r="M191" s="2"/>
      <c r="N191" s="2"/>
      <c r="O191" s="2"/>
      <c r="P191" s="2"/>
      <c r="Q191" s="2"/>
      <c r="R191" s="591"/>
      <c r="S191" s="591"/>
      <c r="T191" s="591"/>
      <c r="U191" s="591"/>
      <c r="V191" s="591"/>
      <c r="W191" s="591"/>
      <c r="X191" s="591"/>
      <c r="AA191" s="591"/>
      <c r="AB191" s="591"/>
      <c r="AC191" s="591"/>
      <c r="AG191" s="591"/>
      <c r="AS191" s="591"/>
    </row>
    <row r="192" spans="1:45" ht="7.5" customHeight="1" x14ac:dyDescent="0.2">
      <c r="A192" s="2"/>
      <c r="B192" s="2"/>
      <c r="C192" s="2"/>
      <c r="D192" s="2"/>
      <c r="E192" s="2"/>
      <c r="F192" s="2"/>
      <c r="G192" s="599">
        <f>IF(G193&lt;&gt;0,1,0)</f>
        <v>0</v>
      </c>
      <c r="H192" s="599">
        <f>IF(H193&lt;&gt;0,1,0)</f>
        <v>0</v>
      </c>
      <c r="I192" s="2199">
        <f>IF(I193&lt;&gt;0,1,0)</f>
        <v>0</v>
      </c>
      <c r="J192" s="2200"/>
      <c r="K192" s="599">
        <f>IF(K193&lt;&gt;0,1,0)</f>
        <v>0</v>
      </c>
      <c r="L192" s="2"/>
      <c r="M192" s="2"/>
      <c r="N192" s="2"/>
      <c r="O192" s="2"/>
      <c r="P192" s="2"/>
      <c r="Q192" s="2"/>
      <c r="R192" s="591"/>
      <c r="S192" s="591"/>
      <c r="T192" s="591"/>
      <c r="U192" s="591"/>
      <c r="V192" s="591"/>
      <c r="W192" s="591"/>
      <c r="X192" s="591"/>
      <c r="AA192" s="591"/>
      <c r="AB192" s="591"/>
      <c r="AC192" s="591"/>
      <c r="AG192" s="591"/>
      <c r="AS192" s="591"/>
    </row>
    <row r="193" spans="1:45" ht="21.95" customHeight="1" x14ac:dyDescent="0.2">
      <c r="A193" s="2"/>
      <c r="B193" s="7"/>
      <c r="C193" s="2092" t="s">
        <v>582</v>
      </c>
      <c r="D193" s="2092"/>
      <c r="E193" s="2093">
        <f>SUM(G193:K193)</f>
        <v>0</v>
      </c>
      <c r="F193" s="2093"/>
      <c r="G193" s="623">
        <f>VLOOKUP($M166,$C215:G217,G214,FALSE)</f>
        <v>0</v>
      </c>
      <c r="H193" s="623">
        <f>VLOOKUP($M166,$C215:H217,H214,FALSE)</f>
        <v>0</v>
      </c>
      <c r="I193" s="2196">
        <f>VLOOKUP($M166,$C215:I217,I214,FALSE)</f>
        <v>0</v>
      </c>
      <c r="J193" s="2196"/>
      <c r="K193" s="623">
        <f>VLOOKUP($M166,$C215:J217,J214,FALSE)</f>
        <v>0</v>
      </c>
      <c r="L193" s="2"/>
      <c r="M193" s="12"/>
      <c r="N193" s="2"/>
      <c r="O193" s="2"/>
      <c r="P193" s="2"/>
      <c r="Q193" s="2"/>
      <c r="R193" s="591"/>
      <c r="S193" s="591"/>
      <c r="T193" s="591"/>
      <c r="U193" s="591"/>
      <c r="V193" s="591"/>
      <c r="W193" s="591"/>
      <c r="X193" s="591"/>
      <c r="AA193" s="591"/>
      <c r="AB193" s="591"/>
      <c r="AC193" s="591"/>
      <c r="AG193" s="591"/>
      <c r="AS193" s="591"/>
    </row>
    <row r="194" spans="1:45" ht="11.25" customHeight="1" x14ac:dyDescent="0.2">
      <c r="A194" s="2"/>
      <c r="B194" s="2"/>
      <c r="C194" s="2"/>
      <c r="D194" s="2"/>
      <c r="E194" s="2"/>
      <c r="F194" s="2"/>
      <c r="G194" s="2"/>
      <c r="H194" s="2"/>
      <c r="I194" s="2203"/>
      <c r="J194" s="2203"/>
      <c r="K194" s="2"/>
      <c r="L194" s="2"/>
      <c r="M194" s="2"/>
      <c r="N194" s="2"/>
      <c r="O194" s="2"/>
      <c r="P194" s="2"/>
      <c r="Q194" s="2"/>
      <c r="R194" s="591"/>
      <c r="S194" s="591"/>
      <c r="T194" s="591"/>
      <c r="U194" s="591"/>
      <c r="V194" s="591"/>
      <c r="W194" s="591"/>
      <c r="X194" s="591"/>
      <c r="AA194" s="591"/>
      <c r="AB194" s="591"/>
      <c r="AC194" s="591"/>
      <c r="AG194" s="591"/>
      <c r="AS194" s="591"/>
    </row>
    <row r="195" spans="1:45" ht="19.5" customHeight="1" x14ac:dyDescent="0.2">
      <c r="A195" s="2"/>
      <c r="B195" s="2"/>
      <c r="C195" s="2063" t="e">
        <f>VLOOKUP(I207,I220:K229,3,FALSE)</f>
        <v>#N/A</v>
      </c>
      <c r="D195" s="2063"/>
      <c r="E195" s="2063"/>
      <c r="F195" s="2063"/>
      <c r="G195" s="2063"/>
      <c r="H195" s="2063"/>
      <c r="I195" s="2202"/>
      <c r="J195" s="2202"/>
      <c r="K195" s="2"/>
      <c r="L195" s="2"/>
      <c r="M195" s="2"/>
      <c r="N195" s="2"/>
      <c r="O195" s="2"/>
      <c r="P195" s="2"/>
      <c r="Q195" s="2"/>
      <c r="R195" s="591"/>
      <c r="S195" s="591"/>
      <c r="T195" s="591"/>
      <c r="U195" s="591"/>
      <c r="V195" s="591"/>
      <c r="W195" s="591"/>
      <c r="X195" s="591"/>
      <c r="AA195" s="591"/>
      <c r="AB195" s="591"/>
      <c r="AC195" s="591"/>
      <c r="AG195" s="591"/>
      <c r="AS195" s="591"/>
    </row>
    <row r="196" spans="1:45" ht="7.5" customHeight="1" x14ac:dyDescent="0.2">
      <c r="A196" s="2"/>
      <c r="B196" s="2"/>
      <c r="C196" s="2064"/>
      <c r="D196" s="2065"/>
      <c r="E196" s="484"/>
      <c r="F196" s="2"/>
      <c r="G196" s="594" t="e">
        <f>IF(AND(G$206&lt;&gt;0,G$206&gt;0),IF(($E$197*9)&gt;=G$206,0,1),IF(AND(G$206&lt;&gt;0,G$206&lt;0),IF(($E$197*9)&lt;=G$206,0,1),0))</f>
        <v>#N/A</v>
      </c>
      <c r="H196" s="594" t="e">
        <f>IF(AND(H$206&lt;&gt;0,H$206&gt;0),IF(($E$197*9)&gt;=H$206,0,1),IF(AND(H$206&lt;&gt;0,H$206&lt;0),IF(($E$197*9)&lt;=H$206,0,1),0))</f>
        <v>#N/A</v>
      </c>
      <c r="I196" s="2197" t="e">
        <f>IF(AND(I$206&lt;&gt;0,I$206&gt;0),IF(($E$197*9)&gt;=I$206,0,1),IF(AND(I$206&lt;&gt;0,I$206&lt;0),IF(($E$197*9)&lt;=I$206,0,1),0))</f>
        <v>#N/A</v>
      </c>
      <c r="J196" s="2198"/>
      <c r="K196" s="594" t="e">
        <f>IF(AND(K$206&lt;&gt;0,K$206&gt;0),IF(($E$197*9)&gt;=K$206,0,1),IF(AND(K$206&lt;&gt;0,K$206&lt;0),IF(($E$197*9)&lt;=K$206,0,1),0))</f>
        <v>#N/A</v>
      </c>
      <c r="L196" s="2"/>
      <c r="M196" s="2"/>
      <c r="N196" s="2"/>
      <c r="O196" s="2"/>
      <c r="P196" s="2"/>
      <c r="Q196" s="2"/>
      <c r="R196" s="591"/>
      <c r="S196" s="591"/>
      <c r="T196" s="591"/>
      <c r="U196" s="591"/>
      <c r="V196" s="591"/>
      <c r="W196" s="591"/>
      <c r="X196" s="591"/>
      <c r="AA196" s="591"/>
      <c r="AB196" s="591"/>
      <c r="AC196" s="591"/>
      <c r="AG196" s="591"/>
      <c r="AS196" s="591"/>
    </row>
    <row r="197" spans="1:45" ht="7.5" customHeight="1" x14ac:dyDescent="0.2">
      <c r="A197" s="2"/>
      <c r="B197" s="2"/>
      <c r="C197" s="2096" t="s">
        <v>587</v>
      </c>
      <c r="D197" s="2096"/>
      <c r="E197" s="2098">
        <f>IF(OR(M166=0,M168=""),0,IF(M168=E220,E221,MAX(G206:K206)/10))</f>
        <v>0</v>
      </c>
      <c r="F197" s="2"/>
      <c r="G197" s="595" t="e">
        <f>IF(AND(G$206&lt;&gt;0,G$206&gt;0),IF(($E$197*8)&gt;=G$206,0,1),IF(AND(G$206&lt;&gt;0,G$206&lt;0),IF(($E$197*8)&lt;=G$206,0,1),0))</f>
        <v>#N/A</v>
      </c>
      <c r="H197" s="595" t="e">
        <f>IF(AND(H$206&lt;&gt;0,H$206&gt;0),IF(($E$197*8)&gt;=H$206,0,1),IF(AND(H$206&lt;&gt;0,H$206&lt;0),IF(($E$197*8)&lt;=H$206,0,1),0))</f>
        <v>#N/A</v>
      </c>
      <c r="I197" s="2049" t="e">
        <f>IF(AND(I$206&lt;&gt;0,I$206&gt;0),IF(($E$197*8)&gt;=I$206,0,1),IF(AND(I$206&lt;&gt;0,I$206&lt;0),IF(($E$197*8)&lt;=I$206,0,1),0))</f>
        <v>#N/A</v>
      </c>
      <c r="J197" s="2050"/>
      <c r="K197" s="595" t="e">
        <f>IF(AND(K$206&lt;&gt;0,K$206&gt;0),IF(($E$197*8)&gt;=K$206,0,1),IF(AND(K$206&lt;&gt;0,K$206&lt;0),IF(($E$197*8)&lt;=K$206,0,1),0))</f>
        <v>#N/A</v>
      </c>
      <c r="L197" s="2"/>
      <c r="M197" s="2"/>
      <c r="N197" s="2"/>
      <c r="O197" s="2"/>
      <c r="P197" s="2"/>
      <c r="Q197" s="2"/>
      <c r="R197" s="591"/>
      <c r="S197" s="591"/>
      <c r="T197" s="591"/>
      <c r="U197" s="591"/>
      <c r="V197" s="591"/>
      <c r="W197" s="591"/>
      <c r="X197" s="591"/>
      <c r="AA197" s="591"/>
      <c r="AB197" s="591"/>
      <c r="AC197" s="591"/>
      <c r="AG197" s="591"/>
      <c r="AS197" s="591"/>
    </row>
    <row r="198" spans="1:45" ht="7.5" customHeight="1" x14ac:dyDescent="0.2">
      <c r="A198" s="2"/>
      <c r="B198" s="2"/>
      <c r="C198" s="2097"/>
      <c r="D198" s="2097"/>
      <c r="E198" s="2098"/>
      <c r="F198" s="2"/>
      <c r="G198" s="595" t="e">
        <f>IF(AND(G$206&lt;&gt;0,G$206&gt;0),IF(($E$197*7)&gt;=G$206,0,1),IF(AND(G$206&lt;&gt;0,G$206&lt;0),IF(($E$197*7)&lt;=G$206,0,1),0))</f>
        <v>#N/A</v>
      </c>
      <c r="H198" s="595" t="e">
        <f>IF(AND(H$206&lt;&gt;0,H$206&gt;0),IF(($E$197*7)&gt;=H$206,0,1),IF(AND(H$206&lt;&gt;0,H$206&lt;0),IF(($E$197*7)&lt;=H$206,0,1),0))</f>
        <v>#N/A</v>
      </c>
      <c r="I198" s="2049" t="e">
        <f>IF(AND(I$206&lt;&gt;0,I$206&gt;0),IF(($E$197*7)&gt;=I$206,0,1),IF(AND(I$206&lt;&gt;0,I$206&lt;0),IF(($E$197*7)&lt;=I$206,0,1),0))</f>
        <v>#N/A</v>
      </c>
      <c r="J198" s="2050"/>
      <c r="K198" s="595" t="e">
        <f>IF(AND(K$206&lt;&gt;0,K$206&gt;0),IF(($E$197*7)&gt;=K$206,0,1),IF(AND(K$206&lt;&gt;0,K$206&lt;0),IF(($E$197*7)&lt;=K$206,0,1),0))</f>
        <v>#N/A</v>
      </c>
      <c r="L198" s="2"/>
      <c r="M198" s="2"/>
      <c r="N198" s="2"/>
      <c r="O198" s="2"/>
      <c r="P198" s="2"/>
      <c r="Q198" s="2"/>
      <c r="R198" s="591"/>
      <c r="S198" s="591"/>
      <c r="T198" s="591"/>
      <c r="U198" s="591"/>
      <c r="V198" s="591"/>
      <c r="W198" s="591"/>
      <c r="X198" s="591"/>
      <c r="AA198" s="591"/>
      <c r="AB198" s="591"/>
      <c r="AC198" s="591"/>
      <c r="AG198" s="591"/>
      <c r="AS198" s="591"/>
    </row>
    <row r="199" spans="1:45" ht="7.5" customHeight="1" x14ac:dyDescent="0.2">
      <c r="A199" s="2"/>
      <c r="B199" s="2"/>
      <c r="C199" s="2"/>
      <c r="D199" s="2"/>
      <c r="E199" s="2"/>
      <c r="F199" s="2"/>
      <c r="G199" s="595" t="e">
        <f>IF(AND(G$206&lt;&gt;0,G$206&gt;0),IF(($E$197*6)&gt;=G$206,0,1),IF(AND(G$206&lt;&gt;0,G$206&lt;0),IF(($E$197*6)&lt;=G$206,0,1),0))</f>
        <v>#N/A</v>
      </c>
      <c r="H199" s="595" t="e">
        <f>IF(AND(H$206&lt;&gt;0,H$206&gt;0),IF(($E$197*6)&gt;=H$206,0,1),IF(AND(H$206&lt;&gt;0,H$206&lt;0),IF(($E$197*6)&lt;=H$206,0,1),0))</f>
        <v>#N/A</v>
      </c>
      <c r="I199" s="2049" t="e">
        <f>IF(AND(I$206&lt;&gt;0,I$206&gt;0),IF(($E$197*6)&gt;=I$206,0,1),IF(AND(I$206&lt;&gt;0,I$206&lt;0),IF(($E$197*6)&lt;=I$206,0,1),0))</f>
        <v>#N/A</v>
      </c>
      <c r="J199" s="2050"/>
      <c r="K199" s="595" t="e">
        <f>IF(AND(K$206&lt;&gt;0,K$206&gt;0),IF(($E$197*6)&gt;=K$206,0,1),IF(AND(K$206&lt;&gt;0,K$206&lt;0),IF(($E$197*6)&lt;=K$206,0,1),0))</f>
        <v>#N/A</v>
      </c>
      <c r="L199" s="2"/>
      <c r="M199" s="2"/>
      <c r="N199" s="2"/>
      <c r="O199" s="2"/>
      <c r="P199" s="2"/>
      <c r="Q199" s="2"/>
      <c r="R199" s="591"/>
      <c r="S199" s="591"/>
      <c r="T199" s="591"/>
      <c r="U199" s="591"/>
      <c r="V199" s="591"/>
      <c r="W199" s="591"/>
      <c r="X199" s="591"/>
      <c r="AA199" s="591"/>
      <c r="AB199" s="591"/>
      <c r="AC199" s="591"/>
      <c r="AG199" s="591"/>
      <c r="AS199" s="591"/>
    </row>
    <row r="200" spans="1:45" ht="7.5" customHeight="1" x14ac:dyDescent="0.2">
      <c r="A200" s="2"/>
      <c r="B200" s="2"/>
      <c r="C200" s="2"/>
      <c r="D200" s="2"/>
      <c r="E200" s="2"/>
      <c r="F200" s="2"/>
      <c r="G200" s="595" t="e">
        <f>IF(AND(G$206&lt;&gt;0,G$206&gt;0),IF(($E$197*5)&gt;=G$206,0,1),IF(AND(G$206&lt;&gt;0,G$206&lt;0),IF(($E$197*5)&lt;=G$206,0,1),0))</f>
        <v>#N/A</v>
      </c>
      <c r="H200" s="595" t="e">
        <f>IF(AND(H$206&lt;&gt;0,H$206&gt;0),IF(($E$197*5)&gt;=H$206,0,1),IF(AND(H$206&lt;&gt;0,H$206&lt;0),IF(($E$197*5)&lt;=H$206,0,1),0))</f>
        <v>#N/A</v>
      </c>
      <c r="I200" s="2049" t="e">
        <f>IF(AND(I$206&lt;&gt;0,I$206&gt;0),IF(($E$197*5)&gt;=I$206,0,1),IF(AND(I$206&lt;&gt;0,I$206&lt;0),IF(($E$197*5)&lt;=I$206,0,1),0))</f>
        <v>#N/A</v>
      </c>
      <c r="J200" s="2050"/>
      <c r="K200" s="595" t="e">
        <f>IF(AND(K$206&lt;&gt;0,K$206&gt;0),IF(($E$197*5)&gt;=K$206,0,1),IF(AND(K$206&lt;&gt;0,K$206&lt;0),IF(($E$197*5)&lt;=K$206,0,1),0))</f>
        <v>#N/A</v>
      </c>
      <c r="L200" s="2"/>
      <c r="M200" s="2"/>
      <c r="N200" s="2"/>
      <c r="O200" s="2"/>
      <c r="P200" s="2"/>
      <c r="Q200" s="2"/>
      <c r="R200" s="591"/>
      <c r="S200" s="591"/>
      <c r="T200" s="591"/>
      <c r="U200" s="591"/>
      <c r="V200" s="591"/>
      <c r="W200" s="591"/>
      <c r="X200" s="591"/>
      <c r="AA200" s="591"/>
      <c r="AB200" s="591"/>
      <c r="AC200" s="591"/>
      <c r="AG200" s="591"/>
      <c r="AS200" s="591"/>
    </row>
    <row r="201" spans="1:45" ht="7.5" customHeight="1" x14ac:dyDescent="0.2">
      <c r="A201" s="2"/>
      <c r="B201" s="2"/>
      <c r="C201" s="2"/>
      <c r="D201" s="2"/>
      <c r="E201" s="2"/>
      <c r="F201" s="2"/>
      <c r="G201" s="595" t="e">
        <f>IF(AND(G$206&lt;&gt;0,G$206&gt;0),IF(($E$197*4)&gt;=G$206,0,1),IF(AND(G$206&lt;&gt;0,G$206&lt;0),IF(($E$197*4)&lt;=G$206,0,1),0))</f>
        <v>#N/A</v>
      </c>
      <c r="H201" s="595" t="e">
        <f>IF(AND(H$206&lt;&gt;0,H$206&gt;0),IF(($E$197*4)&gt;=H$206,0,1),IF(AND(H$206&lt;&gt;0,H$206&lt;0),IF(($E$197*4)&lt;=H$206,0,1),0))</f>
        <v>#N/A</v>
      </c>
      <c r="I201" s="2049" t="e">
        <f>IF(AND(I$206&lt;&gt;0,I$206&gt;0),IF(($E$197*4)&gt;=I$206,0,1),IF(AND(I$206&lt;&gt;0,I$206&lt;0),IF(($E$197*4)&lt;=I$206,0,1),0))</f>
        <v>#N/A</v>
      </c>
      <c r="J201" s="2050"/>
      <c r="K201" s="595" t="e">
        <f>IF(AND(K$206&lt;&gt;0,K$206&gt;0),IF(($E$197*4)&gt;=K$206,0,1),IF(AND(K$206&lt;&gt;0,K$206&lt;0),IF(($E$197*4)&lt;=K$206,0,1),0))</f>
        <v>#N/A</v>
      </c>
      <c r="L201" s="2"/>
      <c r="M201" s="2"/>
      <c r="N201" s="2"/>
      <c r="O201" s="2"/>
      <c r="P201" s="2"/>
      <c r="Q201" s="2"/>
      <c r="R201" s="591"/>
      <c r="S201" s="591"/>
      <c r="T201" s="591"/>
      <c r="U201" s="591"/>
      <c r="V201" s="591"/>
      <c r="W201" s="591"/>
      <c r="X201" s="591"/>
      <c r="AA201" s="591"/>
      <c r="AB201" s="591"/>
      <c r="AC201" s="591"/>
      <c r="AG201" s="591"/>
      <c r="AS201" s="591"/>
    </row>
    <row r="202" spans="1:45" ht="7.5" customHeight="1" x14ac:dyDescent="0.2">
      <c r="A202" s="2"/>
      <c r="B202" s="2"/>
      <c r="C202" s="2"/>
      <c r="D202" s="2"/>
      <c r="E202" s="2"/>
      <c r="F202" s="2"/>
      <c r="G202" s="595" t="e">
        <f>IF(AND(G$206&lt;&gt;0,G$206&gt;0),IF(($E$197*3)&gt;=G$206,0,1),IF(AND(G$206&lt;&gt;0,G$206&lt;0),IF(($E$197*3)&lt;=G$206,0,1),0))</f>
        <v>#N/A</v>
      </c>
      <c r="H202" s="595" t="e">
        <f>IF(AND(H$206&lt;&gt;0,H$206&gt;0),IF(($E$197*3)&gt;=H$206,0,1),IF(AND(H$206&lt;&gt;0,H$206&lt;0),IF(($E$197*3)&lt;=H$206,0,1),0))</f>
        <v>#N/A</v>
      </c>
      <c r="I202" s="2049" t="e">
        <f>IF(AND(I$206&lt;&gt;0,I$206&gt;0),IF(($E$197*3)&gt;=I$206,0,1),IF(AND(I$206&lt;&gt;0,I$206&lt;0),IF(($E$197*3)&lt;=I$206,0,1),0))</f>
        <v>#N/A</v>
      </c>
      <c r="J202" s="2050"/>
      <c r="K202" s="595" t="e">
        <f>IF(AND(K$206&lt;&gt;0,K$206&gt;0),IF(($E$197*3)&gt;=K$206,0,1),IF(AND(K$206&lt;&gt;0,K$206&lt;0),IF(($E$197*3)&lt;=K$206,0,1),0))</f>
        <v>#N/A</v>
      </c>
      <c r="L202" s="2"/>
      <c r="M202" s="2"/>
      <c r="N202" s="2"/>
      <c r="O202" s="2"/>
      <c r="P202" s="2"/>
      <c r="Q202" s="2"/>
      <c r="R202" s="591"/>
      <c r="S202" s="591"/>
      <c r="T202" s="591"/>
      <c r="U202" s="591"/>
      <c r="V202" s="591"/>
      <c r="W202" s="591"/>
      <c r="X202" s="591"/>
      <c r="AA202" s="591"/>
      <c r="AB202" s="591"/>
      <c r="AC202" s="591"/>
      <c r="AG202" s="591"/>
      <c r="AS202" s="591"/>
    </row>
    <row r="203" spans="1:45" ht="7.5" customHeight="1" x14ac:dyDescent="0.2">
      <c r="A203" s="2"/>
      <c r="B203" s="2"/>
      <c r="C203" s="2"/>
      <c r="D203" s="2"/>
      <c r="E203" s="2"/>
      <c r="F203" s="2"/>
      <c r="G203" s="595" t="e">
        <f>IF(AND(G$206&lt;&gt;0,G$206&gt;0),IF(($E$197*2)&gt;=G$206,0,1),IF(AND(G$206&lt;&gt;0,G$206&lt;0),IF(($E$197*2)&lt;=G$206,0,1),0))</f>
        <v>#N/A</v>
      </c>
      <c r="H203" s="595" t="e">
        <f>IF(AND(H$206&lt;&gt;0,H$206&gt;0),IF(($E$197*2)&gt;=H$206,0,1),IF(AND(H$206&lt;&gt;0,H$206&lt;0),IF(($E$197*2)&lt;=H$206,0,1),0))</f>
        <v>#N/A</v>
      </c>
      <c r="I203" s="2049" t="e">
        <f>IF(AND(I$206&lt;&gt;0,I$206&gt;0),IF(($E$197*2)&gt;=I$206,0,1),IF(AND(I$206&lt;&gt;0,I$206&lt;0),IF(($E$197*2)&lt;=I$206,0,1),0))</f>
        <v>#N/A</v>
      </c>
      <c r="J203" s="2050"/>
      <c r="K203" s="595" t="e">
        <f>IF(AND(K$206&lt;&gt;0,K$206&gt;0),IF(($E$197*2)&gt;=K$206,0,1),IF(AND(K$206&lt;&gt;0,K$206&lt;0),IF(($E$197*2)&lt;=K$206,0,1),0))</f>
        <v>#N/A</v>
      </c>
      <c r="L203" s="2"/>
      <c r="M203" s="2"/>
      <c r="N203" s="2"/>
      <c r="O203" s="2"/>
      <c r="P203" s="2"/>
      <c r="Q203" s="2"/>
      <c r="R203" s="591"/>
      <c r="S203" s="591"/>
      <c r="T203" s="591"/>
      <c r="U203" s="591"/>
      <c r="V203" s="591"/>
      <c r="W203" s="591"/>
      <c r="X203" s="591"/>
      <c r="AA203" s="591"/>
      <c r="AB203" s="591"/>
      <c r="AC203" s="591"/>
      <c r="AG203" s="591"/>
      <c r="AS203" s="591"/>
    </row>
    <row r="204" spans="1:45" ht="7.5" customHeight="1" x14ac:dyDescent="0.2">
      <c r="A204" s="2"/>
      <c r="B204" s="2"/>
      <c r="C204" s="2"/>
      <c r="D204" s="2"/>
      <c r="E204" s="2"/>
      <c r="F204" s="2"/>
      <c r="G204" s="595" t="e">
        <f>IF(AND(G$206&lt;&gt;0,G$206&gt;0),IF(($E$197*1)&gt;=G$206,0,1),IF(AND(G$206&lt;&gt;0,G$206&lt;0),IF(($E$197*1)&lt;=G$206,0,1),0))</f>
        <v>#N/A</v>
      </c>
      <c r="H204" s="595" t="e">
        <f>IF(AND(H$206&lt;&gt;0,H$206&gt;0),IF(($E$197*1)&gt;=H$206,0,1),IF(AND(H$206&lt;&gt;0,H$206&lt;0),IF(($E$197*1)&lt;=H$206,0,1),0))</f>
        <v>#N/A</v>
      </c>
      <c r="I204" s="2049" t="e">
        <f>IF(AND(I$206&lt;&gt;0,I$206&gt;0),IF(($E$197*1)&gt;=I$206,0,1),IF(AND(I$206&lt;&gt;0,I$206&lt;0),IF(($E$197*1)&lt;=I$206,0,1),0))</f>
        <v>#N/A</v>
      </c>
      <c r="J204" s="2050"/>
      <c r="K204" s="595" t="e">
        <f>IF(AND(K$206&lt;&gt;0,K$206&gt;0),IF(($E$197*1)&gt;=K$206,0,1),IF(AND(K$206&lt;&gt;0,K$206&lt;0),IF(($E$197*1)&lt;=K$206,0,1),0))</f>
        <v>#N/A</v>
      </c>
      <c r="L204" s="2"/>
      <c r="M204" s="2"/>
      <c r="N204" s="2"/>
      <c r="O204" s="2"/>
      <c r="P204" s="2"/>
      <c r="Q204" s="2"/>
      <c r="R204" s="591"/>
      <c r="S204" s="591"/>
      <c r="T204" s="591"/>
      <c r="U204" s="591"/>
      <c r="V204" s="591"/>
      <c r="W204" s="591"/>
      <c r="X204" s="591"/>
      <c r="AA204" s="591"/>
      <c r="AB204" s="591"/>
      <c r="AC204" s="591"/>
      <c r="AG204" s="591"/>
      <c r="AS204" s="591"/>
    </row>
    <row r="205" spans="1:45" ht="7.5" customHeight="1" x14ac:dyDescent="0.2">
      <c r="A205" s="2"/>
      <c r="B205" s="2"/>
      <c r="C205" s="2"/>
      <c r="D205" s="2"/>
      <c r="E205" s="2"/>
      <c r="F205" s="2"/>
      <c r="G205" s="596" t="e">
        <f>IF(G206&lt;&gt;0,1,0)</f>
        <v>#N/A</v>
      </c>
      <c r="H205" s="596" t="e">
        <f>IF(H206&lt;&gt;0,1,0)</f>
        <v>#N/A</v>
      </c>
      <c r="I205" s="2194" t="e">
        <f>IF(I206&lt;&gt;0,1,0)</f>
        <v>#N/A</v>
      </c>
      <c r="J205" s="2195"/>
      <c r="K205" s="596" t="e">
        <f>IF(K206&lt;&gt;0,1,0)</f>
        <v>#N/A</v>
      </c>
      <c r="L205" s="2"/>
      <c r="M205" s="2"/>
      <c r="N205" s="2"/>
      <c r="O205" s="2"/>
      <c r="P205" s="2"/>
      <c r="Q205" s="2"/>
      <c r="R205" s="591"/>
      <c r="S205" s="591"/>
      <c r="T205" s="591"/>
      <c r="U205" s="591"/>
      <c r="V205" s="591"/>
      <c r="W205" s="591"/>
      <c r="X205" s="591"/>
      <c r="AA205" s="591"/>
      <c r="AB205" s="591"/>
      <c r="AC205" s="591"/>
      <c r="AG205" s="591"/>
      <c r="AS205" s="591"/>
    </row>
    <row r="206" spans="1:45" ht="21.95" customHeight="1" x14ac:dyDescent="0.2">
      <c r="A206" s="2"/>
      <c r="B206" s="7"/>
      <c r="C206" s="2092" t="s">
        <v>582</v>
      </c>
      <c r="D206" s="2092"/>
      <c r="E206" s="2093" t="e">
        <f>SUM(G206:K206)</f>
        <v>#N/A</v>
      </c>
      <c r="F206" s="2093"/>
      <c r="G206" s="623" t="e">
        <f>HLOOKUP(G1,STORICO!$E$109:$Y$140,VLOOKUP(CONCATENATE($M166,$I207),STORICO!$AP$111:$AQ$140,2,FALSE),FALSE)</f>
        <v>#N/A</v>
      </c>
      <c r="H206" s="623" t="e">
        <f>HLOOKUP(H1,STORICO!$E$109:$Y$140,VLOOKUP(CONCATENATE($M166,$I207),STORICO!$AP$111:$AQ$140,2,FALSE),FALSE)</f>
        <v>#N/A</v>
      </c>
      <c r="I206" s="2196" t="e">
        <f>HLOOKUP(K1,STORICO!$E$109:$Y$140,VLOOKUP(CONCATENATE($M166,$I207),STORICO!$AP$111:$AQ$140,2,FALSE),FALSE)</f>
        <v>#N/A</v>
      </c>
      <c r="J206" s="2196"/>
      <c r="K206" s="623" t="e">
        <f>HLOOKUP(N1,STORICO!$E$109:$Y$140,VLOOKUP(CONCATENATE($M166,$I207),STORICO!$AP$111:$AQ$140,2,FALSE),FALSE)</f>
        <v>#N/A</v>
      </c>
      <c r="L206" s="2"/>
      <c r="M206" s="12"/>
      <c r="N206" s="2"/>
      <c r="O206" s="2"/>
      <c r="P206" s="2"/>
      <c r="Q206" s="2"/>
      <c r="R206" s="591"/>
      <c r="S206" s="591"/>
      <c r="T206" s="591"/>
      <c r="U206" s="591"/>
      <c r="V206" s="591"/>
      <c r="W206" s="591"/>
      <c r="X206" s="591"/>
      <c r="AA206" s="591"/>
      <c r="AB206" s="591"/>
      <c r="AC206" s="591"/>
      <c r="AG206" s="591"/>
      <c r="AS206" s="591"/>
    </row>
    <row r="207" spans="1:45" ht="18.75" customHeight="1" x14ac:dyDescent="0.2">
      <c r="A207" s="2"/>
      <c r="B207" s="2"/>
      <c r="C207" s="2059" t="s">
        <v>563</v>
      </c>
      <c r="D207" s="2059"/>
      <c r="E207" s="2059"/>
      <c r="F207" s="2059"/>
      <c r="G207" s="2059"/>
      <c r="H207" s="2060"/>
      <c r="I207" s="2191"/>
      <c r="J207" s="2192"/>
      <c r="K207" s="2193"/>
      <c r="L207" s="2"/>
      <c r="M207" s="2"/>
      <c r="N207" s="2"/>
      <c r="O207" s="2"/>
      <c r="P207" s="2"/>
      <c r="Q207" s="2"/>
      <c r="R207" s="591"/>
      <c r="S207" s="591"/>
      <c r="T207" s="591"/>
      <c r="U207" s="591"/>
      <c r="V207" s="591"/>
      <c r="W207" s="591"/>
      <c r="X207" s="591"/>
      <c r="AA207" s="591"/>
      <c r="AB207" s="591"/>
      <c r="AC207" s="591"/>
      <c r="AG207" s="591"/>
      <c r="AS207" s="591"/>
    </row>
    <row r="208" spans="1:45" ht="18.75" customHeight="1" x14ac:dyDescent="0.2">
      <c r="A208" s="2"/>
      <c r="B208" s="2"/>
      <c r="C208" s="14"/>
      <c r="D208" s="14"/>
      <c r="E208" s="14"/>
      <c r="F208" s="14"/>
      <c r="G208" s="14"/>
      <c r="H208" s="14"/>
      <c r="I208" s="14"/>
      <c r="J208" s="2"/>
      <c r="K208" s="2"/>
      <c r="L208" s="2"/>
      <c r="M208" s="2"/>
      <c r="N208" s="2"/>
      <c r="O208" s="2"/>
      <c r="P208" s="2"/>
      <c r="Q208" s="2"/>
      <c r="R208" s="591"/>
      <c r="S208" s="591"/>
      <c r="T208" s="591"/>
      <c r="U208" s="591"/>
      <c r="V208" s="591"/>
      <c r="W208" s="591"/>
      <c r="X208" s="591"/>
      <c r="AA208" s="591"/>
      <c r="AB208" s="591"/>
      <c r="AC208" s="591"/>
      <c r="AG208" s="591"/>
      <c r="AS208" s="591"/>
    </row>
    <row r="209" spans="1:45" ht="18.75" customHeight="1" x14ac:dyDescent="0.2">
      <c r="A209" s="2"/>
      <c r="B209" s="2"/>
      <c r="C209" s="2"/>
      <c r="D209" s="2"/>
      <c r="E209" s="2"/>
      <c r="F209" s="2"/>
      <c r="G209" s="2"/>
      <c r="H209" s="2"/>
      <c r="I209" s="2"/>
      <c r="J209" s="2"/>
      <c r="K209" s="638" t="str">
        <f ca="1">Presentazione!$H$13</f>
        <v/>
      </c>
      <c r="L209" s="2"/>
      <c r="M209" s="2"/>
      <c r="N209" s="2"/>
      <c r="O209" s="2"/>
      <c r="P209" s="2"/>
      <c r="Q209" s="2"/>
      <c r="R209" s="591"/>
      <c r="S209" s="591"/>
      <c r="T209" s="591"/>
      <c r="U209" s="591"/>
      <c r="V209" s="591"/>
      <c r="W209" s="591"/>
      <c r="X209" s="591"/>
      <c r="AA209" s="591"/>
      <c r="AB209" s="591"/>
      <c r="AC209" s="591"/>
      <c r="AG209" s="591"/>
      <c r="AS209" s="591"/>
    </row>
    <row r="210" spans="1:45" ht="18.75" customHeight="1" x14ac:dyDescent="0.2">
      <c r="A210" s="2"/>
      <c r="B210" s="2"/>
      <c r="C210" s="2"/>
      <c r="D210" s="2"/>
      <c r="E210" s="2"/>
      <c r="F210" s="2"/>
      <c r="G210" s="2"/>
      <c r="H210" s="2"/>
      <c r="I210" s="2"/>
      <c r="J210" s="2"/>
      <c r="K210" s="639" t="str">
        <f ca="1">IF(Presentazione!$J$165=Presentazione!$K$83,CONCATENATE(Presentazione!$F$77,"   -   ","P.I./C.F ",Presentazione!$K$79),Presentazione!$I$157)</f>
        <v>Sistema parzialmente attivato. Inserisci il tuo CODICE di PROPRIETA' nel foglio Presentazione.</v>
      </c>
      <c r="L210" s="2"/>
      <c r="M210" s="2"/>
      <c r="N210" s="2"/>
      <c r="O210" s="2"/>
      <c r="P210" s="2"/>
      <c r="Q210" s="2"/>
      <c r="R210" s="591"/>
      <c r="S210" s="591"/>
      <c r="T210" s="591"/>
      <c r="U210" s="591"/>
      <c r="V210" s="591"/>
      <c r="W210" s="591"/>
      <c r="X210" s="591"/>
      <c r="AA210" s="591"/>
      <c r="AB210" s="591"/>
      <c r="AC210" s="591"/>
      <c r="AG210" s="591"/>
      <c r="AS210" s="591"/>
    </row>
    <row r="211" spans="1:45" ht="18.75" customHeight="1" x14ac:dyDescent="0.2">
      <c r="A211" s="2"/>
      <c r="B211" s="2"/>
      <c r="C211" s="2"/>
      <c r="D211" s="2"/>
      <c r="E211" s="2"/>
      <c r="F211" s="2"/>
      <c r="G211" s="2"/>
      <c r="H211" s="2"/>
      <c r="I211" s="2"/>
      <c r="J211" s="2"/>
      <c r="K211" s="2"/>
      <c r="L211" s="2"/>
      <c r="M211" s="2"/>
      <c r="N211" s="2"/>
      <c r="O211" s="2"/>
      <c r="P211" s="2"/>
      <c r="Q211" s="2"/>
      <c r="R211" s="591"/>
      <c r="S211" s="591"/>
      <c r="T211" s="591"/>
      <c r="U211" s="591"/>
      <c r="V211" s="591"/>
      <c r="W211" s="591"/>
      <c r="X211" s="591"/>
      <c r="AA211" s="591"/>
      <c r="AB211" s="591"/>
      <c r="AC211" s="591"/>
      <c r="AG211" s="591"/>
      <c r="AS211" s="591"/>
    </row>
    <row r="212" spans="1:45" ht="18.75" customHeight="1" x14ac:dyDescent="0.2">
      <c r="A212" s="2"/>
      <c r="B212" s="2"/>
      <c r="C212" s="637" t="str">
        <f>CASSA!B108</f>
        <v>www.marcopiccoli.it   -   Registro dei Corrispettivi 5.2.4 3txt - per EXCEL .xlsm</v>
      </c>
      <c r="D212" s="2"/>
      <c r="E212" s="2"/>
      <c r="F212" s="2"/>
      <c r="G212" s="2"/>
      <c r="H212" s="2"/>
      <c r="I212" s="2"/>
      <c r="J212" s="2"/>
      <c r="K212" s="2"/>
      <c r="L212" s="2"/>
      <c r="M212" s="2"/>
      <c r="N212" s="2"/>
      <c r="O212" s="2"/>
      <c r="P212" s="2"/>
      <c r="Q212" s="2"/>
      <c r="R212" s="591"/>
      <c r="S212" s="591"/>
      <c r="T212" s="591"/>
      <c r="U212" s="591"/>
      <c r="V212" s="591"/>
      <c r="W212" s="591"/>
      <c r="X212" s="591"/>
      <c r="AA212" s="591"/>
      <c r="AB212" s="591"/>
      <c r="AC212" s="591"/>
      <c r="AG212" s="591"/>
      <c r="AS212" s="591"/>
    </row>
    <row r="213" spans="1:45" ht="18.75" customHeight="1" x14ac:dyDescent="0.2">
      <c r="A213" s="2"/>
      <c r="B213" s="2"/>
      <c r="C213" s="2"/>
      <c r="D213" s="2"/>
      <c r="E213" s="2"/>
      <c r="F213" s="2"/>
      <c r="G213" s="2"/>
      <c r="H213" s="2"/>
      <c r="I213" s="2"/>
      <c r="J213" s="2"/>
      <c r="K213" s="2"/>
      <c r="L213" s="2"/>
      <c r="M213" s="2"/>
      <c r="N213" s="2"/>
      <c r="O213" s="2"/>
      <c r="P213" s="2"/>
      <c r="Q213" s="2"/>
      <c r="R213" s="591"/>
      <c r="S213" s="591"/>
      <c r="T213" s="591"/>
      <c r="U213" s="591"/>
      <c r="V213" s="591"/>
      <c r="W213" s="591"/>
      <c r="X213" s="591"/>
      <c r="AA213" s="591"/>
      <c r="AB213" s="591"/>
      <c r="AC213" s="591"/>
      <c r="AG213" s="591"/>
      <c r="AS213" s="591"/>
    </row>
    <row r="214" spans="1:45" ht="18.75" hidden="1" customHeight="1" x14ac:dyDescent="0.2">
      <c r="A214" s="2"/>
      <c r="B214" s="2"/>
      <c r="C214" s="2"/>
      <c r="D214" s="600">
        <v>30</v>
      </c>
      <c r="E214" s="2"/>
      <c r="F214" s="2"/>
      <c r="G214" s="148">
        <v>5</v>
      </c>
      <c r="H214" s="148">
        <v>6</v>
      </c>
      <c r="I214" s="148">
        <v>7</v>
      </c>
      <c r="J214" s="148">
        <v>8</v>
      </c>
      <c r="K214" s="2"/>
      <c r="L214" s="2"/>
      <c r="M214" s="2"/>
      <c r="N214" s="2"/>
      <c r="O214" s="2"/>
      <c r="P214" s="2"/>
      <c r="Q214" s="2"/>
      <c r="R214" s="591"/>
      <c r="S214" s="591"/>
      <c r="T214" s="591"/>
      <c r="U214" s="591"/>
      <c r="V214" s="591"/>
      <c r="W214" s="591"/>
      <c r="X214" s="591"/>
      <c r="AA214" s="591"/>
      <c r="AB214" s="591"/>
      <c r="AC214" s="591"/>
      <c r="AG214" s="591"/>
      <c r="AS214" s="591"/>
    </row>
    <row r="215" spans="1:45" ht="21.95" hidden="1" customHeight="1" x14ac:dyDescent="0.2">
      <c r="A215" s="2"/>
      <c r="B215" s="7"/>
      <c r="C215" s="2187" t="str">
        <f>C46</f>
        <v>LORDO</v>
      </c>
      <c r="D215" s="2187"/>
      <c r="E215" s="2188">
        <f>SUM(G215:J215)</f>
        <v>0</v>
      </c>
      <c r="F215" s="2188"/>
      <c r="G215" s="602">
        <f>VLOOKUP(G$1,IMPOSTAZIONI!$B$298:$AM$304,$D$214,FALSE)</f>
        <v>0</v>
      </c>
      <c r="H215" s="602">
        <f>VLOOKUP(H$1,IMPOSTAZIONI!$B$298:$AM$304,$D$214,FALSE)</f>
        <v>0</v>
      </c>
      <c r="I215" s="602">
        <f>VLOOKUP(K$1,IMPOSTAZIONI!$B$298:$AM$304,$D$214,FALSE)</f>
        <v>0</v>
      </c>
      <c r="J215" s="602">
        <f>VLOOKUP(N$1,IMPOSTAZIONI!$B$298:$AM$304,$D$214,FALSE)</f>
        <v>0</v>
      </c>
      <c r="K215" s="14"/>
      <c r="L215" s="2"/>
      <c r="M215" s="12"/>
      <c r="N215" s="2"/>
      <c r="O215" s="2"/>
      <c r="P215" s="2"/>
      <c r="Q215" s="2"/>
      <c r="R215" s="591"/>
      <c r="S215" s="591"/>
      <c r="T215" s="591"/>
      <c r="U215" s="591"/>
      <c r="V215" s="591"/>
      <c r="W215" s="591"/>
      <c r="X215" s="591"/>
      <c r="AA215" s="591"/>
      <c r="AB215" s="591"/>
      <c r="AC215" s="591"/>
      <c r="AG215" s="591"/>
      <c r="AS215" s="591"/>
    </row>
    <row r="216" spans="1:45" hidden="1" x14ac:dyDescent="0.2">
      <c r="A216" s="2"/>
      <c r="B216" s="7"/>
      <c r="C216" s="2189" t="str">
        <f>C47</f>
        <v>NETTO</v>
      </c>
      <c r="D216" s="2189"/>
      <c r="E216" s="2190">
        <f>SUM(G216:J216)</f>
        <v>4000</v>
      </c>
      <c r="F216" s="2190"/>
      <c r="G216" s="601">
        <f>VLOOKUP(G$1,IMPOSTAZIONI!$B$391:$AM$397,$D$214,FALSE)</f>
        <v>1000</v>
      </c>
      <c r="H216" s="601">
        <f>VLOOKUP(H$1,IMPOSTAZIONI!$B$391:$AM$397,$D$214,FALSE)</f>
        <v>1000</v>
      </c>
      <c r="I216" s="601">
        <f>VLOOKUP(K$1,IMPOSTAZIONI!$B$391:$AM$397,$D$214,FALSE)</f>
        <v>1000</v>
      </c>
      <c r="J216" s="601">
        <f>VLOOKUP(N$1,IMPOSTAZIONI!$B$391:$AM$397,$D$214,FALSE)</f>
        <v>1000</v>
      </c>
      <c r="K216" s="14"/>
      <c r="L216" s="2"/>
      <c r="M216" s="12"/>
      <c r="N216" s="2"/>
      <c r="O216" s="2"/>
      <c r="P216" s="2"/>
      <c r="Q216" s="2"/>
      <c r="R216" s="591"/>
      <c r="S216" s="591"/>
      <c r="T216" s="591"/>
      <c r="U216" s="591"/>
      <c r="V216" s="591"/>
      <c r="W216" s="591"/>
      <c r="X216" s="591"/>
      <c r="AA216" s="591"/>
      <c r="AB216" s="591"/>
      <c r="AC216" s="591"/>
      <c r="AG216" s="591"/>
      <c r="AS216" s="591"/>
    </row>
    <row r="217" spans="1:45" ht="21.95" hidden="1" customHeight="1" x14ac:dyDescent="0.2">
      <c r="A217" s="2"/>
      <c r="B217" s="7"/>
      <c r="C217" s="2185" t="str">
        <f>C48</f>
        <v>IVA</v>
      </c>
      <c r="D217" s="2185"/>
      <c r="E217" s="2186">
        <f>SUM(G217:J217)</f>
        <v>-4000</v>
      </c>
      <c r="F217" s="2186"/>
      <c r="G217" s="603">
        <f>G215-G216</f>
        <v>-1000</v>
      </c>
      <c r="H217" s="603">
        <f>H215-H216</f>
        <v>-1000</v>
      </c>
      <c r="I217" s="603">
        <f>I215-I216</f>
        <v>-1000</v>
      </c>
      <c r="J217" s="603">
        <f>J215-J216</f>
        <v>-1000</v>
      </c>
      <c r="K217" s="14"/>
      <c r="L217" s="2"/>
      <c r="M217" s="12"/>
      <c r="N217" s="2"/>
      <c r="O217" s="2"/>
      <c r="P217" s="2"/>
      <c r="Q217" s="2"/>
      <c r="R217" s="591"/>
      <c r="S217" s="591"/>
      <c r="T217" s="591"/>
      <c r="U217" s="591"/>
      <c r="V217" s="591"/>
      <c r="W217" s="591"/>
      <c r="X217" s="591"/>
      <c r="AA217" s="591"/>
      <c r="AB217" s="591"/>
      <c r="AC217" s="591"/>
      <c r="AG217" s="591"/>
      <c r="AS217" s="591"/>
    </row>
    <row r="218" spans="1:45" ht="18.75" hidden="1" customHeight="1" x14ac:dyDescent="0.2">
      <c r="A218" s="2"/>
      <c r="B218" s="2"/>
      <c r="C218" s="2"/>
      <c r="D218" s="2"/>
      <c r="E218" s="2"/>
      <c r="F218" s="2"/>
      <c r="G218" s="2"/>
      <c r="H218" s="2"/>
      <c r="I218" s="2"/>
      <c r="J218" s="2"/>
      <c r="K218" s="2"/>
      <c r="L218" s="2"/>
      <c r="M218" s="2"/>
      <c r="N218" s="2"/>
      <c r="O218" s="2"/>
      <c r="P218" s="2"/>
      <c r="Q218" s="2"/>
      <c r="R218" s="591"/>
      <c r="S218" s="591"/>
      <c r="T218" s="591"/>
      <c r="U218" s="591"/>
      <c r="V218" s="591"/>
      <c r="W218" s="591"/>
      <c r="X218" s="591"/>
      <c r="AA218" s="591"/>
      <c r="AB218" s="591"/>
      <c r="AC218" s="591"/>
      <c r="AG218" s="591"/>
      <c r="AS218" s="591"/>
    </row>
    <row r="219" spans="1:45" hidden="1" x14ac:dyDescent="0.2">
      <c r="A219" s="2"/>
      <c r="B219" s="2"/>
      <c r="C219" s="2"/>
      <c r="D219" s="2"/>
      <c r="E219" s="931" t="s">
        <v>718</v>
      </c>
      <c r="F219" s="2"/>
      <c r="G219" s="592" t="s">
        <v>175</v>
      </c>
      <c r="H219" s="2"/>
      <c r="I219" s="2"/>
      <c r="J219" s="2"/>
      <c r="K219" s="2"/>
      <c r="L219" s="2"/>
      <c r="M219" s="2"/>
      <c r="N219" s="2"/>
      <c r="O219" s="2"/>
      <c r="P219" s="2"/>
      <c r="Q219" s="2"/>
      <c r="R219" s="591"/>
      <c r="S219" s="591"/>
      <c r="T219" s="591"/>
      <c r="U219" s="591"/>
      <c r="V219" s="591"/>
      <c r="W219" s="591"/>
      <c r="X219" s="591"/>
      <c r="AA219" s="591"/>
      <c r="AB219" s="591"/>
      <c r="AC219" s="591"/>
      <c r="AG219" s="591"/>
      <c r="AS219" s="591"/>
    </row>
    <row r="220" spans="1:45" ht="14.25" hidden="1" customHeight="1" x14ac:dyDescent="0.2">
      <c r="A220" s="2"/>
      <c r="B220" s="2"/>
      <c r="C220" s="2"/>
      <c r="D220" s="2"/>
      <c r="E220" s="932" t="s">
        <v>719</v>
      </c>
      <c r="F220" s="2"/>
      <c r="G220" s="593">
        <f>STORICO!C16</f>
        <v>2024</v>
      </c>
      <c r="H220" s="2"/>
      <c r="I220" s="592" t="str">
        <f t="shared" ref="I220:I229" si="36">CONCATENATE(G$219,"   ",G220)</f>
        <v>ANNO   2024</v>
      </c>
      <c r="J220" s="2"/>
      <c r="K220" s="592" t="s">
        <v>583</v>
      </c>
      <c r="L220" s="2"/>
      <c r="M220" s="2"/>
      <c r="N220" s="2"/>
      <c r="O220" s="2"/>
      <c r="P220" s="2"/>
      <c r="Q220" s="2"/>
      <c r="R220" s="591"/>
      <c r="S220" s="591"/>
      <c r="T220" s="591"/>
      <c r="U220" s="591"/>
      <c r="V220" s="591"/>
      <c r="W220" s="591"/>
      <c r="X220" s="591"/>
      <c r="AA220" s="591"/>
      <c r="AB220" s="591"/>
      <c r="AC220" s="591"/>
      <c r="AG220" s="591"/>
      <c r="AS220" s="591"/>
    </row>
    <row r="221" spans="1:45" ht="14.25" hidden="1" customHeight="1" x14ac:dyDescent="0.2">
      <c r="A221" s="2"/>
      <c r="B221" s="2"/>
      <c r="C221" s="2"/>
      <c r="D221" s="2"/>
      <c r="E221" s="933">
        <f>IF(ISERROR(G206),MAX(G180:K180,G193:K193)/10,MAX(G180:K180,G193:K193,G206:K206)/10)</f>
        <v>0</v>
      </c>
      <c r="F221" s="2"/>
      <c r="G221" s="593">
        <f>STORICO!C27</f>
        <v>2023</v>
      </c>
      <c r="H221" s="2"/>
      <c r="I221" s="592" t="str">
        <f t="shared" si="36"/>
        <v>ANNO   2023</v>
      </c>
      <c r="J221" s="2"/>
      <c r="K221" s="592" t="s">
        <v>584</v>
      </c>
      <c r="L221" s="2"/>
      <c r="M221" s="2"/>
      <c r="N221" s="2"/>
      <c r="O221" s="2"/>
      <c r="P221" s="2"/>
      <c r="Q221" s="2"/>
      <c r="AA221" s="591"/>
      <c r="AB221" s="591"/>
      <c r="AC221" s="591"/>
      <c r="AG221" s="591"/>
      <c r="AS221" s="591"/>
    </row>
    <row r="222" spans="1:45" ht="14.25" hidden="1" customHeight="1" x14ac:dyDescent="0.2">
      <c r="A222" s="2"/>
      <c r="B222" s="2"/>
      <c r="C222" s="2"/>
      <c r="D222" s="2"/>
      <c r="E222" s="2"/>
      <c r="F222" s="2"/>
      <c r="G222" s="593">
        <f>STORICO!C33</f>
        <v>2022</v>
      </c>
      <c r="H222" s="2"/>
      <c r="I222" s="592" t="str">
        <f t="shared" si="36"/>
        <v>ANNO   2022</v>
      </c>
      <c r="J222" s="2"/>
      <c r="K222" s="592" t="s">
        <v>585</v>
      </c>
      <c r="L222" s="2"/>
      <c r="M222" s="2"/>
      <c r="N222" s="2"/>
      <c r="O222" s="2"/>
      <c r="P222" s="2"/>
      <c r="Q222" s="2"/>
      <c r="AA222" s="591"/>
      <c r="AB222" s="591"/>
      <c r="AC222" s="591"/>
      <c r="AG222" s="591"/>
      <c r="AS222" s="591"/>
    </row>
    <row r="223" spans="1:45" ht="14.25" hidden="1" customHeight="1" x14ac:dyDescent="0.2">
      <c r="A223" s="2"/>
      <c r="B223" s="2"/>
      <c r="C223" s="2"/>
      <c r="D223" s="2"/>
      <c r="E223" s="2"/>
      <c r="F223" s="2"/>
      <c r="G223" s="593">
        <f>STORICO!C39</f>
        <v>2021</v>
      </c>
      <c r="H223" s="2"/>
      <c r="I223" s="592" t="str">
        <f t="shared" si="36"/>
        <v>ANNO   2021</v>
      </c>
      <c r="J223" s="2"/>
      <c r="K223" s="592" t="s">
        <v>586</v>
      </c>
      <c r="L223" s="2"/>
      <c r="M223" s="2"/>
      <c r="N223" s="2"/>
      <c r="O223" s="2"/>
      <c r="P223" s="2"/>
      <c r="Q223" s="2"/>
      <c r="AA223" s="591"/>
      <c r="AB223" s="591"/>
      <c r="AC223" s="591"/>
      <c r="AG223" s="591"/>
      <c r="AS223" s="591"/>
    </row>
    <row r="224" spans="1:45" ht="14.25" hidden="1" customHeight="1" x14ac:dyDescent="0.2">
      <c r="A224" s="2"/>
      <c r="B224" s="2"/>
      <c r="C224" s="2"/>
      <c r="D224" s="2"/>
      <c r="E224" s="934" t="str">
        <f>C215</f>
        <v>LORDO</v>
      </c>
      <c r="F224" s="2"/>
      <c r="G224" s="593" t="str">
        <f>CONCATENATE(G220," + ",G221)</f>
        <v>2024 + 2023</v>
      </c>
      <c r="H224" s="2"/>
      <c r="I224" s="592" t="str">
        <f t="shared" si="36"/>
        <v>ANNO   2024 + 2023</v>
      </c>
      <c r="J224" s="2"/>
      <c r="K224" s="592" t="str">
        <f>CONCATENATE(K220," + ",K221)</f>
        <v>ANNO IN CORSO + ANNO PRECEDENTE 1</v>
      </c>
      <c r="L224" s="2"/>
      <c r="M224" s="2"/>
      <c r="N224" s="2"/>
      <c r="O224" s="2"/>
      <c r="P224" s="2"/>
      <c r="Q224" s="2"/>
      <c r="AA224" s="591"/>
      <c r="AB224" s="591"/>
      <c r="AC224" s="591"/>
      <c r="AG224" s="591"/>
      <c r="AS224" s="591"/>
    </row>
    <row r="225" spans="1:45" ht="14.25" hidden="1" customHeight="1" x14ac:dyDescent="0.2">
      <c r="A225" s="2"/>
      <c r="B225" s="2"/>
      <c r="C225" s="2"/>
      <c r="D225" s="2"/>
      <c r="E225" s="934" t="str">
        <f>C216</f>
        <v>NETTO</v>
      </c>
      <c r="F225" s="2"/>
      <c r="G225" s="593" t="str">
        <f>CONCATENATE(G220," + ",G221," + ",G222)</f>
        <v>2024 + 2023 + 2022</v>
      </c>
      <c r="H225" s="2"/>
      <c r="I225" s="592" t="str">
        <f t="shared" si="36"/>
        <v>ANNO   2024 + 2023 + 2022</v>
      </c>
      <c r="J225" s="2"/>
      <c r="K225" s="592" t="str">
        <f>CONCATENATE(K220," + ",K221," + 2")</f>
        <v>ANNO IN CORSO + ANNO PRECEDENTE 1 + 2</v>
      </c>
      <c r="L225" s="2"/>
      <c r="M225" s="2"/>
      <c r="N225" s="2"/>
      <c r="O225" s="2"/>
      <c r="P225" s="2"/>
      <c r="Q225" s="2"/>
      <c r="AA225" s="591"/>
      <c r="AB225" s="591"/>
      <c r="AC225" s="591"/>
      <c r="AG225" s="591"/>
      <c r="AS225" s="591"/>
    </row>
    <row r="226" spans="1:45" ht="14.25" hidden="1" customHeight="1" x14ac:dyDescent="0.2">
      <c r="A226" s="2"/>
      <c r="B226" s="2"/>
      <c r="C226" s="2"/>
      <c r="D226" s="2"/>
      <c r="E226" s="934" t="str">
        <f>C217</f>
        <v>IVA</v>
      </c>
      <c r="F226" s="2"/>
      <c r="G226" s="593" t="str">
        <f>CONCATENATE(G220," + ",G221," + ",G222," + ",G223)</f>
        <v>2024 + 2023 + 2022 + 2021</v>
      </c>
      <c r="H226" s="2"/>
      <c r="I226" s="592" t="str">
        <f t="shared" si="36"/>
        <v>ANNO   2024 + 2023 + 2022 + 2021</v>
      </c>
      <c r="J226" s="2"/>
      <c r="K226" s="592" t="str">
        <f>CONCATENATE(K220," + ",K221," + 2 + 3")</f>
        <v>ANNO IN CORSO + ANNO PRECEDENTE 1 + 2 + 3</v>
      </c>
      <c r="L226" s="2"/>
      <c r="M226" s="2"/>
      <c r="N226" s="2"/>
      <c r="O226" s="2"/>
      <c r="P226" s="2"/>
      <c r="Q226" s="2"/>
      <c r="AA226" s="591"/>
      <c r="AB226" s="591"/>
      <c r="AC226" s="591"/>
      <c r="AG226" s="591"/>
      <c r="AS226" s="591"/>
    </row>
    <row r="227" spans="1:45" ht="14.25" hidden="1" customHeight="1" x14ac:dyDescent="0.2">
      <c r="A227" s="2"/>
      <c r="B227" s="2"/>
      <c r="C227" s="2"/>
      <c r="D227" s="2"/>
      <c r="E227" s="2"/>
      <c r="F227" s="2"/>
      <c r="G227" s="593" t="str">
        <f>CONCATENATE(G221," + ",G222)</f>
        <v>2023 + 2022</v>
      </c>
      <c r="H227" s="2"/>
      <c r="I227" s="592" t="str">
        <f t="shared" si="36"/>
        <v>ANNO   2023 + 2022</v>
      </c>
      <c r="J227" s="2"/>
      <c r="K227" s="592" t="str">
        <f>CONCATENATE(K221," + 2")</f>
        <v>ANNO PRECEDENTE 1 + 2</v>
      </c>
      <c r="L227" s="2"/>
      <c r="M227" s="2"/>
      <c r="N227" s="2"/>
      <c r="O227" s="2"/>
      <c r="P227" s="2"/>
      <c r="Q227" s="2"/>
      <c r="AA227" s="591"/>
      <c r="AB227" s="591"/>
      <c r="AC227" s="591"/>
      <c r="AG227" s="591"/>
      <c r="AS227" s="591"/>
    </row>
    <row r="228" spans="1:45" ht="14.25" hidden="1" customHeight="1" x14ac:dyDescent="0.2">
      <c r="A228" s="2"/>
      <c r="B228" s="2"/>
      <c r="C228" s="2"/>
      <c r="D228" s="2"/>
      <c r="E228" s="2"/>
      <c r="F228" s="2"/>
      <c r="G228" s="593" t="str">
        <f>CONCATENATE(G221," + ",G222," + ",G223)</f>
        <v>2023 + 2022 + 2021</v>
      </c>
      <c r="H228" s="2"/>
      <c r="I228" s="592" t="str">
        <f t="shared" si="36"/>
        <v>ANNO   2023 + 2022 + 2021</v>
      </c>
      <c r="J228" s="2"/>
      <c r="K228" s="592" t="str">
        <f>CONCATENATE(K221," + 2 + 3")</f>
        <v>ANNO PRECEDENTE 1 + 2 + 3</v>
      </c>
      <c r="L228" s="2"/>
      <c r="M228" s="2"/>
      <c r="N228" s="2"/>
      <c r="O228" s="2"/>
      <c r="P228" s="2"/>
      <c r="Q228" s="2"/>
      <c r="AA228" s="591"/>
      <c r="AB228" s="591"/>
      <c r="AC228" s="591"/>
      <c r="AG228" s="591"/>
      <c r="AS228" s="591"/>
    </row>
    <row r="229" spans="1:45" ht="14.25" hidden="1" customHeight="1" x14ac:dyDescent="0.2">
      <c r="A229" s="2"/>
      <c r="B229" s="2"/>
      <c r="C229" s="2"/>
      <c r="D229" s="2"/>
      <c r="E229" s="2"/>
      <c r="F229" s="2"/>
      <c r="G229" s="593" t="str">
        <f>CONCATENATE(G222," + ",G223)</f>
        <v>2022 + 2021</v>
      </c>
      <c r="H229" s="2"/>
      <c r="I229" s="592" t="str">
        <f t="shared" si="36"/>
        <v>ANNO   2022 + 2021</v>
      </c>
      <c r="J229" s="2"/>
      <c r="K229" s="592" t="str">
        <f>CONCATENATE(K222," + 3")</f>
        <v>ANNO PRECEDENTE 2 + 3</v>
      </c>
      <c r="L229" s="2"/>
      <c r="M229" s="2"/>
      <c r="N229" s="2"/>
      <c r="O229" s="2"/>
      <c r="P229" s="2"/>
      <c r="Q229" s="2"/>
      <c r="AA229" s="591"/>
      <c r="AB229" s="591"/>
      <c r="AC229" s="591"/>
      <c r="AG229" s="591"/>
      <c r="AS229" s="591"/>
    </row>
    <row r="230" spans="1:45" hidden="1" x14ac:dyDescent="0.2">
      <c r="A230" s="2"/>
      <c r="B230" s="2"/>
      <c r="C230" s="2"/>
      <c r="D230" s="2"/>
      <c r="E230" s="2"/>
      <c r="F230" s="2"/>
      <c r="G230" s="2"/>
      <c r="H230" s="2"/>
      <c r="I230" s="2"/>
      <c r="J230" s="2"/>
      <c r="K230" s="2"/>
      <c r="L230" s="2"/>
      <c r="M230" s="2"/>
      <c r="N230" s="2"/>
      <c r="O230" s="2"/>
      <c r="P230" s="2"/>
      <c r="Q230" s="2"/>
      <c r="AA230" s="591"/>
      <c r="AB230" s="591"/>
      <c r="AC230" s="591"/>
      <c r="AG230" s="591"/>
      <c r="AS230" s="591"/>
    </row>
    <row r="231" spans="1:45" x14ac:dyDescent="0.2">
      <c r="A231" s="2"/>
      <c r="B231" s="2"/>
      <c r="C231" s="2"/>
      <c r="D231" s="2"/>
      <c r="E231" s="2"/>
      <c r="F231" s="2"/>
      <c r="G231" s="1433" t="s">
        <v>572</v>
      </c>
      <c r="H231" s="1434" t="s">
        <v>869</v>
      </c>
      <c r="I231" s="2"/>
      <c r="J231" s="2"/>
      <c r="K231" s="2"/>
      <c r="L231" s="1433" t="s">
        <v>572</v>
      </c>
      <c r="M231" s="1434" t="s">
        <v>870</v>
      </c>
      <c r="N231" s="2"/>
      <c r="O231" s="2"/>
      <c r="P231" s="2"/>
      <c r="Q231" s="2"/>
      <c r="AA231" s="591"/>
      <c r="AB231" s="591"/>
      <c r="AC231" s="591"/>
      <c r="AG231" s="591"/>
      <c r="AS231" s="591"/>
    </row>
  </sheetData>
  <sheetProtection algorithmName="SHA-512" hashValue="ucHLecRTkuQS0vtcXNP82DFlCHAv8LYWy1cTEZw8woLmAwX8XJjwVSSGvuVNlFmVgg16S+M7EK2VLSVqPJJ4BQ==" saltValue="DQCvQp1eOPW9Z8xc4xiIww==" spinCount="100000" sheet="1" objects="1" scenarios="1" selectLockedCells="1"/>
  <mergeCells count="242">
    <mergeCell ref="I205:J205"/>
    <mergeCell ref="I206:J206"/>
    <mergeCell ref="I200:J200"/>
    <mergeCell ref="I201:J201"/>
    <mergeCell ref="I202:J202"/>
    <mergeCell ref="C3:D3"/>
    <mergeCell ref="E3:G3"/>
    <mergeCell ref="I187:J187"/>
    <mergeCell ref="I188:J188"/>
    <mergeCell ref="I189:J189"/>
    <mergeCell ref="I182:J182"/>
    <mergeCell ref="I183:J183"/>
    <mergeCell ref="I166:J166"/>
    <mergeCell ref="I167:J167"/>
    <mergeCell ref="I118:J118"/>
    <mergeCell ref="I119:J119"/>
    <mergeCell ref="I203:J203"/>
    <mergeCell ref="I204:J204"/>
    <mergeCell ref="I199:J199"/>
    <mergeCell ref="I190:J190"/>
    <mergeCell ref="I191:J191"/>
    <mergeCell ref="I192:J192"/>
    <mergeCell ref="I193:J193"/>
    <mergeCell ref="I196:J196"/>
    <mergeCell ref="C2:I2"/>
    <mergeCell ref="J2:P2"/>
    <mergeCell ref="M3:P3"/>
    <mergeCell ref="H3:L3"/>
    <mergeCell ref="K160:L160"/>
    <mergeCell ref="K156:L156"/>
    <mergeCell ref="K158:L158"/>
    <mergeCell ref="K157:L157"/>
    <mergeCell ref="AN6:AQ6"/>
    <mergeCell ref="C58:F58"/>
    <mergeCell ref="C46:D46"/>
    <mergeCell ref="C57:F57"/>
    <mergeCell ref="C45:F45"/>
    <mergeCell ref="C55:E55"/>
    <mergeCell ref="C52:E52"/>
    <mergeCell ref="C50:E50"/>
    <mergeCell ref="E47:F47"/>
    <mergeCell ref="C48:D48"/>
    <mergeCell ref="E48:F48"/>
    <mergeCell ref="C103:F103"/>
    <mergeCell ref="O97:P97"/>
    <mergeCell ref="E93:F93"/>
    <mergeCell ref="O103:P103"/>
    <mergeCell ref="C94:F94"/>
    <mergeCell ref="I197:J197"/>
    <mergeCell ref="I198:J198"/>
    <mergeCell ref="I186:J186"/>
    <mergeCell ref="I176:J176"/>
    <mergeCell ref="I177:J177"/>
    <mergeCell ref="I184:J184"/>
    <mergeCell ref="I185:J185"/>
    <mergeCell ref="I178:J178"/>
    <mergeCell ref="I179:J179"/>
    <mergeCell ref="I180:J180"/>
    <mergeCell ref="I181:J181"/>
    <mergeCell ref="I170:J170"/>
    <mergeCell ref="I171:J171"/>
    <mergeCell ref="I172:J172"/>
    <mergeCell ref="I173:J173"/>
    <mergeCell ref="I174:J174"/>
    <mergeCell ref="I175:J175"/>
    <mergeCell ref="M168:N168"/>
    <mergeCell ref="I122:J122"/>
    <mergeCell ref="K159:L159"/>
    <mergeCell ref="I169:J169"/>
    <mergeCell ref="I168:J168"/>
    <mergeCell ref="K147:L147"/>
    <mergeCell ref="K148:L148"/>
    <mergeCell ref="K149:L149"/>
    <mergeCell ref="B162:D162"/>
    <mergeCell ref="C217:D217"/>
    <mergeCell ref="E217:F217"/>
    <mergeCell ref="C215:D215"/>
    <mergeCell ref="E215:F215"/>
    <mergeCell ref="C216:D216"/>
    <mergeCell ref="E216:F216"/>
    <mergeCell ref="C167:D167"/>
    <mergeCell ref="C182:F182"/>
    <mergeCell ref="E193:F193"/>
    <mergeCell ref="C170:D170"/>
    <mergeCell ref="C183:D183"/>
    <mergeCell ref="C168:F168"/>
    <mergeCell ref="B163:D163"/>
    <mergeCell ref="E167:F167"/>
    <mergeCell ref="C180:D180"/>
    <mergeCell ref="E180:F180"/>
    <mergeCell ref="C169:F169"/>
    <mergeCell ref="C206:D206"/>
    <mergeCell ref="E206:F206"/>
    <mergeCell ref="C193:D193"/>
    <mergeCell ref="I207:K207"/>
    <mergeCell ref="I195:J195"/>
    <mergeCell ref="I194:J194"/>
    <mergeCell ref="K146:L146"/>
    <mergeCell ref="C126:M126"/>
    <mergeCell ref="I114:J114"/>
    <mergeCell ref="I115:J115"/>
    <mergeCell ref="K145:L145"/>
    <mergeCell ref="L108:M108"/>
    <mergeCell ref="L109:M109"/>
    <mergeCell ref="I116:J116"/>
    <mergeCell ref="I117:J117"/>
    <mergeCell ref="I120:J120"/>
    <mergeCell ref="I121:J121"/>
    <mergeCell ref="K144:L144"/>
    <mergeCell ref="C171:D172"/>
    <mergeCell ref="E171:E172"/>
    <mergeCell ref="C207:H207"/>
    <mergeCell ref="C197:D198"/>
    <mergeCell ref="E197:E198"/>
    <mergeCell ref="C184:D185"/>
    <mergeCell ref="E184:E185"/>
    <mergeCell ref="C196:D196"/>
    <mergeCell ref="C195:H195"/>
    <mergeCell ref="C101:F101"/>
    <mergeCell ref="C98:F98"/>
    <mergeCell ref="O102:P102"/>
    <mergeCell ref="E96:F96"/>
    <mergeCell ref="O98:P98"/>
    <mergeCell ref="O96:P96"/>
    <mergeCell ref="O101:P101"/>
    <mergeCell ref="C95:F95"/>
    <mergeCell ref="O93:P93"/>
    <mergeCell ref="C96:D96"/>
    <mergeCell ref="C97:F97"/>
    <mergeCell ref="C93:D93"/>
    <mergeCell ref="C102:F102"/>
    <mergeCell ref="L4:M5"/>
    <mergeCell ref="E7:F7"/>
    <mergeCell ref="I4:J5"/>
    <mergeCell ref="O4:P5"/>
    <mergeCell ref="E6:F6"/>
    <mergeCell ref="E4:F5"/>
    <mergeCell ref="G53:G54"/>
    <mergeCell ref="E20:F20"/>
    <mergeCell ref="E18:F18"/>
    <mergeCell ref="E24:F24"/>
    <mergeCell ref="E23:F23"/>
    <mergeCell ref="E22:F22"/>
    <mergeCell ref="C53:E53"/>
    <mergeCell ref="C39:D39"/>
    <mergeCell ref="E46:F46"/>
    <mergeCell ref="C51:E51"/>
    <mergeCell ref="C4:D5"/>
    <mergeCell ref="C7:D7"/>
    <mergeCell ref="E8:F8"/>
    <mergeCell ref="E25:F25"/>
    <mergeCell ref="E19:F19"/>
    <mergeCell ref="C6:D6"/>
    <mergeCell ref="E37:F37"/>
    <mergeCell ref="E39:F39"/>
    <mergeCell ref="E9:F9"/>
    <mergeCell ref="E10:F10"/>
    <mergeCell ref="C44:F44"/>
    <mergeCell ref="E43:F43"/>
    <mergeCell ref="E13:F13"/>
    <mergeCell ref="E14:F14"/>
    <mergeCell ref="C43:D43"/>
    <mergeCell ref="E38:F38"/>
    <mergeCell ref="E36:F36"/>
    <mergeCell ref="E17:F17"/>
    <mergeCell ref="E15:F15"/>
    <mergeCell ref="E16:F16"/>
    <mergeCell ref="E11:F11"/>
    <mergeCell ref="E12:F12"/>
    <mergeCell ref="E26:F26"/>
    <mergeCell ref="E21:F21"/>
    <mergeCell ref="E28:F28"/>
    <mergeCell ref="E27:F27"/>
    <mergeCell ref="E29:F29"/>
    <mergeCell ref="E30:F30"/>
    <mergeCell ref="E35:F35"/>
    <mergeCell ref="E31:F31"/>
    <mergeCell ref="E33:F33"/>
    <mergeCell ref="E34:F34"/>
    <mergeCell ref="C104:F104"/>
    <mergeCell ref="C100:F100"/>
    <mergeCell ref="C91:P91"/>
    <mergeCell ref="I67:J67"/>
    <mergeCell ref="I68:J68"/>
    <mergeCell ref="L68:M68"/>
    <mergeCell ref="I70:J70"/>
    <mergeCell ref="L70:M70"/>
    <mergeCell ref="I71:J71"/>
    <mergeCell ref="L71:M71"/>
    <mergeCell ref="I77:J77"/>
    <mergeCell ref="L77:M77"/>
    <mergeCell ref="I78:J78"/>
    <mergeCell ref="L78:M78"/>
    <mergeCell ref="L72:M72"/>
    <mergeCell ref="I89:J89"/>
    <mergeCell ref="I85:J85"/>
    <mergeCell ref="I86:J86"/>
    <mergeCell ref="L86:M86"/>
    <mergeCell ref="I87:J87"/>
    <mergeCell ref="L87:M87"/>
    <mergeCell ref="I79:J79"/>
    <mergeCell ref="I88:J88"/>
    <mergeCell ref="I81:J81"/>
    <mergeCell ref="E32:F32"/>
    <mergeCell ref="I76:J76"/>
    <mergeCell ref="I72:J72"/>
    <mergeCell ref="I73:J73"/>
    <mergeCell ref="I74:K74"/>
    <mergeCell ref="I69:J69"/>
    <mergeCell ref="K53:K54"/>
    <mergeCell ref="I53:J54"/>
    <mergeCell ref="I55:J55"/>
    <mergeCell ref="I56:J56"/>
    <mergeCell ref="C59:E59"/>
    <mergeCell ref="C56:D56"/>
    <mergeCell ref="I52:J52"/>
    <mergeCell ref="H53:H54"/>
    <mergeCell ref="C54:E54"/>
    <mergeCell ref="C47:D47"/>
    <mergeCell ref="I44:J44"/>
    <mergeCell ref="I82:J82"/>
    <mergeCell ref="I83:J83"/>
    <mergeCell ref="I84:J84"/>
    <mergeCell ref="M166:N166"/>
    <mergeCell ref="T65:T66"/>
    <mergeCell ref="AS7:AW7"/>
    <mergeCell ref="AB7:AE7"/>
    <mergeCell ref="AG7:AK7"/>
    <mergeCell ref="P58:Q58"/>
    <mergeCell ref="L55:M55"/>
    <mergeCell ref="L56:M56"/>
    <mergeCell ref="O44:P44"/>
    <mergeCell ref="O56:P56"/>
    <mergeCell ref="L69:M69"/>
    <mergeCell ref="L52:M52"/>
    <mergeCell ref="L53:M54"/>
    <mergeCell ref="O57:P57"/>
    <mergeCell ref="L44:M44"/>
    <mergeCell ref="I51:J51"/>
    <mergeCell ref="L51:M51"/>
    <mergeCell ref="G50:M50"/>
    <mergeCell ref="O104:P104"/>
  </mergeCells>
  <phoneticPr fontId="24" type="noConversion"/>
  <conditionalFormatting sqref="C57 G57">
    <cfRule type="expression" dxfId="2517" priority="1" stopIfTrue="1">
      <formula>C58=0</formula>
    </cfRule>
  </conditionalFormatting>
  <conditionalFormatting sqref="F121:F122">
    <cfRule type="expression" dxfId="2516" priority="2" stopIfTrue="1">
      <formula>SUM($G121:$I121)=0</formula>
    </cfRule>
  </conditionalFormatting>
  <conditionalFormatting sqref="G184:H192 K197:K205 K184:K192 K171:K179 G171:H179 G197:H205">
    <cfRule type="cellIs" dxfId="2515" priority="3" stopIfTrue="1" operator="equal">
      <formula>0</formula>
    </cfRule>
    <cfRule type="expression" dxfId="2514" priority="4" stopIfTrue="1">
      <formula>AND(G171=1,G170=0)</formula>
    </cfRule>
  </conditionalFormatting>
  <conditionalFormatting sqref="I171:J179 I184:J192 I197:J205">
    <cfRule type="cellIs" dxfId="2513" priority="5" stopIfTrue="1" operator="equal">
      <formula>0</formula>
    </cfRule>
    <cfRule type="expression" dxfId="2512" priority="6" stopIfTrue="1">
      <formula>AND($I171=1,$I170=0)</formula>
    </cfRule>
  </conditionalFormatting>
  <conditionalFormatting sqref="I93">
    <cfRule type="expression" dxfId="2511" priority="7" stopIfTrue="1">
      <formula>AND(I$155="X",I$93&lt;&gt;"")</formula>
    </cfRule>
  </conditionalFormatting>
  <conditionalFormatting sqref="I97">
    <cfRule type="expression" dxfId="2510" priority="8" stopIfTrue="1">
      <formula>AND(I$152=0,I$97&lt;&gt;0)</formula>
    </cfRule>
    <cfRule type="expression" dxfId="2509" priority="9" stopIfTrue="1">
      <formula>I$152=0</formula>
    </cfRule>
  </conditionalFormatting>
  <conditionalFormatting sqref="G98:I98">
    <cfRule type="expression" dxfId="2508" priority="10" stopIfTrue="1">
      <formula>AND(G$152=0,G$98&lt;&gt;0)</formula>
    </cfRule>
    <cfRule type="expression" dxfId="2507" priority="11" stopIfTrue="1">
      <formula>G$152=0</formula>
    </cfRule>
  </conditionalFormatting>
  <conditionalFormatting sqref="J93">
    <cfRule type="expression" dxfId="2506" priority="12" stopIfTrue="1">
      <formula>AND(I$155="X",J$93&lt;&gt;"")</formula>
    </cfRule>
  </conditionalFormatting>
  <conditionalFormatting sqref="J97">
    <cfRule type="expression" dxfId="2505" priority="13" stopIfTrue="1">
      <formula>AND(I$152=0,J$97&lt;&gt;0)</formula>
    </cfRule>
    <cfRule type="expression" dxfId="2504" priority="14" stopIfTrue="1">
      <formula>I$152=0</formula>
    </cfRule>
  </conditionalFormatting>
  <conditionalFormatting sqref="J98">
    <cfRule type="expression" dxfId="2503" priority="15" stopIfTrue="1">
      <formula>AND(I$152=0,J$98&lt;&gt;0)</formula>
    </cfRule>
    <cfRule type="expression" dxfId="2502" priority="16" stopIfTrue="1">
      <formula>I$152=0</formula>
    </cfRule>
  </conditionalFormatting>
  <conditionalFormatting sqref="G101:I101">
    <cfRule type="expression" dxfId="2501" priority="17" stopIfTrue="1">
      <formula>AND(G$152=0,G$101&lt;&gt;0)</formula>
    </cfRule>
    <cfRule type="expression" dxfId="2500" priority="18" stopIfTrue="1">
      <formula>AND($C101="ERROR",G101&gt;0)</formula>
    </cfRule>
    <cfRule type="expression" dxfId="2499" priority="19" stopIfTrue="1">
      <formula>G$152=0</formula>
    </cfRule>
  </conditionalFormatting>
  <conditionalFormatting sqref="G102:I102">
    <cfRule type="expression" dxfId="2498" priority="20" stopIfTrue="1">
      <formula>AND(G$152=0,G$102&lt;&gt;0)</formula>
    </cfRule>
    <cfRule type="expression" dxfId="2497" priority="21" stopIfTrue="1">
      <formula>AND($C102="ERROR",G102&gt;0)</formula>
    </cfRule>
    <cfRule type="expression" dxfId="2496" priority="22" stopIfTrue="1">
      <formula>G$152=0</formula>
    </cfRule>
  </conditionalFormatting>
  <conditionalFormatting sqref="G103:I103">
    <cfRule type="expression" dxfId="2495" priority="23" stopIfTrue="1">
      <formula>AND(G$152=0,G$103&lt;&gt;0)</formula>
    </cfRule>
    <cfRule type="expression" dxfId="2494" priority="24" stopIfTrue="1">
      <formula>AND($C103="ERROR",G103&gt;0)</formula>
    </cfRule>
    <cfRule type="expression" dxfId="2493" priority="25" stopIfTrue="1">
      <formula>G$152=0</formula>
    </cfRule>
  </conditionalFormatting>
  <conditionalFormatting sqref="G104:I104">
    <cfRule type="expression" dxfId="2492" priority="26" stopIfTrue="1">
      <formula>AND(G$152=0,G$104&lt;&gt;0)</formula>
    </cfRule>
    <cfRule type="expression" dxfId="2491" priority="27" stopIfTrue="1">
      <formula>AND($C104="ERROR",G104&gt;0)</formula>
    </cfRule>
    <cfRule type="expression" dxfId="2490" priority="28" stopIfTrue="1">
      <formula>G$152=0</formula>
    </cfRule>
  </conditionalFormatting>
  <conditionalFormatting sqref="J101">
    <cfRule type="expression" dxfId="2489" priority="29" stopIfTrue="1">
      <formula>AND(I$152=0,J$101&lt;&gt;0)</formula>
    </cfRule>
    <cfRule type="expression" dxfId="2488" priority="30" stopIfTrue="1">
      <formula>AND($C101="ERROR",J101&gt;0)</formula>
    </cfRule>
    <cfRule type="expression" dxfId="2487" priority="31" stopIfTrue="1">
      <formula>I$152=0</formula>
    </cfRule>
  </conditionalFormatting>
  <conditionalFormatting sqref="J102">
    <cfRule type="expression" dxfId="2486" priority="32" stopIfTrue="1">
      <formula>AND(I$152=0,J$102&lt;&gt;0)</formula>
    </cfRule>
    <cfRule type="expression" dxfId="2485" priority="33" stopIfTrue="1">
      <formula>AND($C102="ERROR",J102&gt;0)</formula>
    </cfRule>
    <cfRule type="expression" dxfId="2484" priority="34" stopIfTrue="1">
      <formula>I$152=0</formula>
    </cfRule>
  </conditionalFormatting>
  <conditionalFormatting sqref="J103">
    <cfRule type="expression" dxfId="2483" priority="35" stopIfTrue="1">
      <formula>AND(I$152=0,J$103&lt;&gt;0)</formula>
    </cfRule>
    <cfRule type="expression" dxfId="2482" priority="36" stopIfTrue="1">
      <formula>AND($C103="ERROR",J103&gt;0)</formula>
    </cfRule>
    <cfRule type="expression" dxfId="2481" priority="37" stopIfTrue="1">
      <formula>I$152=0</formula>
    </cfRule>
  </conditionalFormatting>
  <conditionalFormatting sqref="J104">
    <cfRule type="expression" dxfId="2480" priority="38" stopIfTrue="1">
      <formula>AND(I$152=0,J$104&lt;&gt;0)</formula>
    </cfRule>
    <cfRule type="expression" dxfId="2479" priority="39" stopIfTrue="1">
      <formula>AND($C104="ERROR",J104&gt;0)</formula>
    </cfRule>
    <cfRule type="expression" dxfId="2478" priority="40" stopIfTrue="1">
      <formula>I$152=0</formula>
    </cfRule>
  </conditionalFormatting>
  <conditionalFormatting sqref="O101:P104">
    <cfRule type="expression" dxfId="2477" priority="41" stopIfTrue="1">
      <formula>SUM($G$152:$J$152)=0</formula>
    </cfRule>
    <cfRule type="expression" dxfId="2476" priority="42" stopIfTrue="1">
      <formula>$B101=""</formula>
    </cfRule>
  </conditionalFormatting>
  <conditionalFormatting sqref="E8:F38">
    <cfRule type="expression" dxfId="2475" priority="43" stopIfTrue="1">
      <formula>$AA8=$Y$6</formula>
    </cfRule>
    <cfRule type="expression" dxfId="2474" priority="44" stopIfTrue="1">
      <formula>AND($AA8=0,$E8=0)</formula>
    </cfRule>
    <cfRule type="expression" dxfId="2473" priority="45" stopIfTrue="1">
      <formula>$AA8=0</formula>
    </cfRule>
  </conditionalFormatting>
  <conditionalFormatting sqref="I6 L6 O6">
    <cfRule type="expression" dxfId="2472" priority="46" stopIfTrue="1">
      <formula>I6=""</formula>
    </cfRule>
    <cfRule type="expression" dxfId="2471" priority="47" stopIfTrue="1">
      <formula>OR(I4=0,I4=$K$130)</formula>
    </cfRule>
    <cfRule type="expression" dxfId="2470" priority="48" stopIfTrue="1">
      <formula>I4&lt;&gt;$K$130</formula>
    </cfRule>
  </conditionalFormatting>
  <conditionalFormatting sqref="J6 M6 P6">
    <cfRule type="expression" dxfId="2469" priority="49" stopIfTrue="1">
      <formula>J6=""</formula>
    </cfRule>
    <cfRule type="expression" dxfId="2468" priority="50" stopIfTrue="1">
      <formula>OR(I4=0,I4=$K$130)</formula>
    </cfRule>
    <cfRule type="expression" dxfId="2467" priority="51" stopIfTrue="1">
      <formula>I4&lt;&gt;$K$130</formula>
    </cfRule>
  </conditionalFormatting>
  <conditionalFormatting sqref="I53">
    <cfRule type="expression" dxfId="2466" priority="52" stopIfTrue="1">
      <formula>ISERROR($G$155)</formula>
    </cfRule>
    <cfRule type="expression" dxfId="2465" priority="53" stopIfTrue="1">
      <formula>ISERROR($I53)</formula>
    </cfRule>
  </conditionalFormatting>
  <conditionalFormatting sqref="G39:H39">
    <cfRule type="expression" dxfId="2464" priority="54" stopIfTrue="1">
      <formula>ISERROR($G$155)</formula>
    </cfRule>
    <cfRule type="expression" dxfId="2463" priority="55" stopIfTrue="1">
      <formula>OR($I$163=0,G$4="")</formula>
    </cfRule>
    <cfRule type="expression" dxfId="2462" priority="56" stopIfTrue="1">
      <formula>OR(G$4="",ISERROR(G$155))</formula>
    </cfRule>
  </conditionalFormatting>
  <conditionalFormatting sqref="G97:H97">
    <cfRule type="expression" dxfId="2461" priority="57" stopIfTrue="1">
      <formula>AND(G$152=0,G$97&lt;&gt;0)</formula>
    </cfRule>
    <cfRule type="expression" dxfId="2460" priority="58" stopIfTrue="1">
      <formula>G$152=0</formula>
    </cfRule>
    <cfRule type="expression" dxfId="2459" priority="59" stopIfTrue="1">
      <formula>AND(G$96&lt;&gt;0,G$97="")</formula>
    </cfRule>
  </conditionalFormatting>
  <conditionalFormatting sqref="C101:F104">
    <cfRule type="cellIs" dxfId="2458" priority="60" stopIfTrue="1" operator="equal">
      <formula>"ERROR"</formula>
    </cfRule>
    <cfRule type="expression" dxfId="2457" priority="61" stopIfTrue="1">
      <formula>ISBLANK($B101)</formula>
    </cfRule>
    <cfRule type="expression" dxfId="2456" priority="62" stopIfTrue="1">
      <formula>SUM($G$152:$J$152)=0</formula>
    </cfRule>
  </conditionalFormatting>
  <conditionalFormatting sqref="K73">
    <cfRule type="expression" dxfId="2455" priority="63" stopIfTrue="1">
      <formula>ISERROR(K73)</formula>
    </cfRule>
    <cfRule type="expression" dxfId="2454" priority="64" stopIfTrue="1">
      <formula>I73=0</formula>
    </cfRule>
    <cfRule type="expression" dxfId="2453" priority="65" stopIfTrue="1">
      <formula>$C$61=0</formula>
    </cfRule>
  </conditionalFormatting>
  <conditionalFormatting sqref="G70:G71">
    <cfRule type="expression" dxfId="2452" priority="66" stopIfTrue="1">
      <formula>$C$61=0</formula>
    </cfRule>
    <cfRule type="expression" dxfId="2451" priority="67" stopIfTrue="1">
      <formula>SUM($G$69:$G$72)=0</formula>
    </cfRule>
    <cfRule type="expression" dxfId="2450" priority="68" stopIfTrue="1">
      <formula>AND(G70&lt;&gt;0,ISERROR(H70))</formula>
    </cfRule>
  </conditionalFormatting>
  <conditionalFormatting sqref="G72">
    <cfRule type="expression" dxfId="2449" priority="69" stopIfTrue="1">
      <formula>$C$61=0</formula>
    </cfRule>
    <cfRule type="expression" dxfId="2448" priority="70" stopIfTrue="1">
      <formula>SUM($G$69:$G$72)=0</formula>
    </cfRule>
    <cfRule type="expression" dxfId="2447" priority="71" stopIfTrue="1">
      <formula>AND(G72&lt;&gt;0,ISERROR(H72))</formula>
    </cfRule>
  </conditionalFormatting>
  <conditionalFormatting sqref="G69">
    <cfRule type="expression" dxfId="2446" priority="72" stopIfTrue="1">
      <formula>$C$61=0</formula>
    </cfRule>
    <cfRule type="expression" dxfId="2445" priority="73" stopIfTrue="1">
      <formula>SUM($G$69:$G$72)=0</formula>
    </cfRule>
    <cfRule type="expression" dxfId="2444" priority="74" stopIfTrue="1">
      <formula>AND(G69&lt;&gt;0,ISERROR(H69))</formula>
    </cfRule>
  </conditionalFormatting>
  <conditionalFormatting sqref="I74">
    <cfRule type="expression" dxfId="2443" priority="75" stopIfTrue="1">
      <formula>$C$61=0</formula>
    </cfRule>
    <cfRule type="expression" dxfId="2442" priority="76" stopIfTrue="1">
      <formula>I73=0</formula>
    </cfRule>
  </conditionalFormatting>
  <conditionalFormatting sqref="G89:K89">
    <cfRule type="cellIs" dxfId="2441" priority="77" stopIfTrue="1" operator="equal">
      <formula>0</formula>
    </cfRule>
    <cfRule type="expression" dxfId="2440" priority="78" stopIfTrue="1">
      <formula>G$88=0</formula>
    </cfRule>
  </conditionalFormatting>
  <conditionalFormatting sqref="I77:J78">
    <cfRule type="expression" dxfId="2439" priority="79" stopIfTrue="1">
      <formula>$C$61=0</formula>
    </cfRule>
    <cfRule type="expression" dxfId="2438" priority="80" stopIfTrue="1">
      <formula>ISERROR($I77)</formula>
    </cfRule>
    <cfRule type="cellIs" dxfId="2437" priority="81" stopIfTrue="1" operator="equal">
      <formula>0</formula>
    </cfRule>
  </conditionalFormatting>
  <conditionalFormatting sqref="I79:J79">
    <cfRule type="expression" dxfId="2436" priority="82" stopIfTrue="1">
      <formula>ISERROR($I79)</formula>
    </cfRule>
    <cfRule type="expression" dxfId="2435" priority="83" stopIfTrue="1">
      <formula>$C$61=0</formula>
    </cfRule>
    <cfRule type="cellIs" dxfId="2434" priority="84" stopIfTrue="1" operator="equal">
      <formula>0</formula>
    </cfRule>
  </conditionalFormatting>
  <conditionalFormatting sqref="L77:M78">
    <cfRule type="expression" dxfId="2433" priority="85" stopIfTrue="1">
      <formula>ISERROR($L77)</formula>
    </cfRule>
    <cfRule type="expression" dxfId="2432" priority="86" stopIfTrue="1">
      <formula>$C$61=0</formula>
    </cfRule>
  </conditionalFormatting>
  <conditionalFormatting sqref="G93:H93">
    <cfRule type="expression" dxfId="2431" priority="87" stopIfTrue="1">
      <formula>AND(G$155="X",G$93&lt;&gt;"")</formula>
    </cfRule>
  </conditionalFormatting>
  <conditionalFormatting sqref="G81:K81">
    <cfRule type="expression" dxfId="2430" priority="88" stopIfTrue="1">
      <formula>$C$61=0</formula>
    </cfRule>
    <cfRule type="expression" dxfId="2429" priority="89" stopIfTrue="1">
      <formula>G$89&lt;&gt;0</formula>
    </cfRule>
  </conditionalFormatting>
  <conditionalFormatting sqref="I88:J88">
    <cfRule type="expression" dxfId="2428" priority="90" stopIfTrue="1">
      <formula>ISERROR($I88)</formula>
    </cfRule>
    <cfRule type="cellIs" dxfId="2427" priority="91" stopIfTrue="1" operator="equal">
      <formula>0</formula>
    </cfRule>
    <cfRule type="expression" dxfId="2426" priority="92" stopIfTrue="1">
      <formula>$C$61=0</formula>
    </cfRule>
  </conditionalFormatting>
  <conditionalFormatting sqref="H69:H72">
    <cfRule type="expression" dxfId="2425" priority="93" stopIfTrue="1">
      <formula>ISERROR(H69)</formula>
    </cfRule>
    <cfRule type="expression" dxfId="2424" priority="94" stopIfTrue="1">
      <formula>$C$61=0</formula>
    </cfRule>
    <cfRule type="expression" dxfId="2423" priority="95" stopIfTrue="1">
      <formula>$H69=$E$163</formula>
    </cfRule>
  </conditionalFormatting>
  <conditionalFormatting sqref="G76:H76 K76">
    <cfRule type="expression" dxfId="2422" priority="96" stopIfTrue="1">
      <formula>ISERROR(G76)</formula>
    </cfRule>
    <cfRule type="expression" dxfId="2421" priority="97" stopIfTrue="1">
      <formula>$C$61=0</formula>
    </cfRule>
    <cfRule type="expression" dxfId="2420" priority="98" stopIfTrue="1">
      <formula>G$76=$E$163</formula>
    </cfRule>
  </conditionalFormatting>
  <conditionalFormatting sqref="I76:J76">
    <cfRule type="expression" dxfId="2419" priority="99" stopIfTrue="1">
      <formula>ISERROR($I76)</formula>
    </cfRule>
    <cfRule type="expression" dxfId="2418" priority="100" stopIfTrue="1">
      <formula>$C$61=0</formula>
    </cfRule>
    <cfRule type="expression" dxfId="2417" priority="101" stopIfTrue="1">
      <formula>$I76=$E$163</formula>
    </cfRule>
  </conditionalFormatting>
  <conditionalFormatting sqref="K69:K72">
    <cfRule type="expression" dxfId="2416" priority="102" stopIfTrue="1">
      <formula>OR(ISERROR(H69),ISERROR(K69))</formula>
    </cfRule>
    <cfRule type="expression" dxfId="2415" priority="103" stopIfTrue="1">
      <formula>AND($I69=0,$C$61&lt;&gt;0,$G69=0)</formula>
    </cfRule>
    <cfRule type="expression" dxfId="2414" priority="104" stopIfTrue="1">
      <formula>$C$61=0</formula>
    </cfRule>
  </conditionalFormatting>
  <conditionalFormatting sqref="L93">
    <cfRule type="expression" dxfId="2413" priority="105" stopIfTrue="1">
      <formula>AND(J$155="X",L$93&lt;&gt;"")</formula>
    </cfRule>
  </conditionalFormatting>
  <conditionalFormatting sqref="L97">
    <cfRule type="expression" dxfId="2412" priority="106" stopIfTrue="1">
      <formula>AND(J$152=0,L$97&lt;&gt;0)</formula>
    </cfRule>
    <cfRule type="expression" dxfId="2411" priority="107" stopIfTrue="1">
      <formula>J$152=0</formula>
    </cfRule>
  </conditionalFormatting>
  <conditionalFormatting sqref="K98:L98">
    <cfRule type="expression" dxfId="2410" priority="108" stopIfTrue="1">
      <formula>AND(I$152=0,K$98&lt;&gt;0)</formula>
    </cfRule>
    <cfRule type="expression" dxfId="2409" priority="109" stopIfTrue="1">
      <formula>I$152=0</formula>
    </cfRule>
  </conditionalFormatting>
  <conditionalFormatting sqref="N98">
    <cfRule type="expression" dxfId="2408" priority="110" stopIfTrue="1">
      <formula>AND(J$152=0,N$98&lt;&gt;0)</formula>
    </cfRule>
    <cfRule type="expression" dxfId="2407" priority="111" stopIfTrue="1">
      <formula>J$152=0</formula>
    </cfRule>
  </conditionalFormatting>
  <conditionalFormatting sqref="M93">
    <cfRule type="expression" dxfId="2406" priority="112" stopIfTrue="1">
      <formula>AND(J$155="X",M$93&lt;&gt;"")</formula>
    </cfRule>
  </conditionalFormatting>
  <conditionalFormatting sqref="M97">
    <cfRule type="expression" dxfId="2405" priority="113" stopIfTrue="1">
      <formula>AND(J$152=0,M$97&lt;&gt;0)</formula>
    </cfRule>
    <cfRule type="expression" dxfId="2404" priority="114" stopIfTrue="1">
      <formula>J$152=0</formula>
    </cfRule>
  </conditionalFormatting>
  <conditionalFormatting sqref="M98">
    <cfRule type="expression" dxfId="2403" priority="115" stopIfTrue="1">
      <formula>AND(J$152=0,M$98&lt;&gt;0)</formula>
    </cfRule>
    <cfRule type="expression" dxfId="2402" priority="116" stopIfTrue="1">
      <formula>J$152=0</formula>
    </cfRule>
  </conditionalFormatting>
  <conditionalFormatting sqref="K101:L101">
    <cfRule type="expression" dxfId="2401" priority="117" stopIfTrue="1">
      <formula>AND(I$152=0,K$101&lt;&gt;0)</formula>
    </cfRule>
    <cfRule type="expression" dxfId="2400" priority="118" stopIfTrue="1">
      <formula>AND($C101="ERROR",K101&gt;0)</formula>
    </cfRule>
    <cfRule type="expression" dxfId="2399" priority="119" stopIfTrue="1">
      <formula>I$152=0</formula>
    </cfRule>
  </conditionalFormatting>
  <conditionalFormatting sqref="K102:L102">
    <cfRule type="expression" dxfId="2398" priority="120" stopIfTrue="1">
      <formula>AND(I$152=0,K$102&lt;&gt;0)</formula>
    </cfRule>
    <cfRule type="expression" dxfId="2397" priority="121" stopIfTrue="1">
      <formula>AND($C102="ERROR",K102&gt;0)</formula>
    </cfRule>
    <cfRule type="expression" dxfId="2396" priority="122" stopIfTrue="1">
      <formula>I$152=0</formula>
    </cfRule>
  </conditionalFormatting>
  <conditionalFormatting sqref="K103:L103">
    <cfRule type="expression" dxfId="2395" priority="123" stopIfTrue="1">
      <formula>AND(I$152=0,K$103&lt;&gt;0)</formula>
    </cfRule>
    <cfRule type="expression" dxfId="2394" priority="124" stopIfTrue="1">
      <formula>AND($C103="ERROR",K103&gt;0)</formula>
    </cfRule>
    <cfRule type="expression" dxfId="2393" priority="125" stopIfTrue="1">
      <formula>I$152=0</formula>
    </cfRule>
  </conditionalFormatting>
  <conditionalFormatting sqref="K104:L104">
    <cfRule type="expression" dxfId="2392" priority="126" stopIfTrue="1">
      <formula>AND(I$152=0,K$104&lt;&gt;0)</formula>
    </cfRule>
    <cfRule type="expression" dxfId="2391" priority="127" stopIfTrue="1">
      <formula>AND($C104="ERROR",K104&gt;0)</formula>
    </cfRule>
    <cfRule type="expression" dxfId="2390" priority="128" stopIfTrue="1">
      <formula>I$152=0</formula>
    </cfRule>
  </conditionalFormatting>
  <conditionalFormatting sqref="N101">
    <cfRule type="expression" dxfId="2389" priority="129" stopIfTrue="1">
      <formula>AND(J$152=0,N$101&lt;&gt;0)</formula>
    </cfRule>
    <cfRule type="expression" dxfId="2388" priority="130" stopIfTrue="1">
      <formula>AND($C101="ERROR",N101&gt;0)</formula>
    </cfRule>
    <cfRule type="expression" dxfId="2387" priority="131" stopIfTrue="1">
      <formula>J$152=0</formula>
    </cfRule>
  </conditionalFormatting>
  <conditionalFormatting sqref="N102">
    <cfRule type="expression" dxfId="2386" priority="132" stopIfTrue="1">
      <formula>AND(J$152=0,N$102&lt;&gt;0)</formula>
    </cfRule>
    <cfRule type="expression" dxfId="2385" priority="133" stopIfTrue="1">
      <formula>AND($C102="ERROR",N102&gt;0)</formula>
    </cfRule>
    <cfRule type="expression" dxfId="2384" priority="134" stopIfTrue="1">
      <formula>J$152=0</formula>
    </cfRule>
  </conditionalFormatting>
  <conditionalFormatting sqref="N103">
    <cfRule type="expression" dxfId="2383" priority="135" stopIfTrue="1">
      <formula>AND(J$152=0,N$103&lt;&gt;0)</formula>
    </cfRule>
    <cfRule type="expression" dxfId="2382" priority="136" stopIfTrue="1">
      <formula>AND($C103="ERROR",N103&gt;0)</formula>
    </cfRule>
    <cfRule type="expression" dxfId="2381" priority="137" stopIfTrue="1">
      <formula>J$152=0</formula>
    </cfRule>
  </conditionalFormatting>
  <conditionalFormatting sqref="N104">
    <cfRule type="expression" dxfId="2380" priority="138" stopIfTrue="1">
      <formula>AND(J$152=0,N$104&lt;&gt;0)</formula>
    </cfRule>
    <cfRule type="expression" dxfId="2379" priority="139" stopIfTrue="1">
      <formula>AND($C104="ERROR",N104&gt;0)</formula>
    </cfRule>
    <cfRule type="expression" dxfId="2378" priority="140" stopIfTrue="1">
      <formula>J$152=0</formula>
    </cfRule>
  </conditionalFormatting>
  <conditionalFormatting sqref="M101">
    <cfRule type="expression" dxfId="2377" priority="141" stopIfTrue="1">
      <formula>AND(J$152=0,M$101&lt;&gt;0)</formula>
    </cfRule>
    <cfRule type="expression" dxfId="2376" priority="142" stopIfTrue="1">
      <formula>AND($C101="ERROR",M101&gt;0)</formula>
    </cfRule>
    <cfRule type="expression" dxfId="2375" priority="143" stopIfTrue="1">
      <formula>J$152=0</formula>
    </cfRule>
  </conditionalFormatting>
  <conditionalFormatting sqref="M102">
    <cfRule type="expression" dxfId="2374" priority="144" stopIfTrue="1">
      <formula>AND(J$152=0,M$102&lt;&gt;0)</formula>
    </cfRule>
    <cfRule type="expression" dxfId="2373" priority="145" stopIfTrue="1">
      <formula>AND($C102="ERROR",M102&gt;0)</formula>
    </cfRule>
    <cfRule type="expression" dxfId="2372" priority="146" stopIfTrue="1">
      <formula>J$152=0</formula>
    </cfRule>
  </conditionalFormatting>
  <conditionalFormatting sqref="M103">
    <cfRule type="expression" dxfId="2371" priority="147" stopIfTrue="1">
      <formula>AND(J$152=0,M$103&lt;&gt;0)</formula>
    </cfRule>
    <cfRule type="expression" dxfId="2370" priority="148" stopIfTrue="1">
      <formula>AND($C103="ERROR",M103&gt;0)</formula>
    </cfRule>
    <cfRule type="expression" dxfId="2369" priority="149" stopIfTrue="1">
      <formula>J$152=0</formula>
    </cfRule>
  </conditionalFormatting>
  <conditionalFormatting sqref="M104">
    <cfRule type="expression" dxfId="2368" priority="150" stopIfTrue="1">
      <formula>AND(J$152=0,M$104&lt;&gt;0)</formula>
    </cfRule>
    <cfRule type="expression" dxfId="2367" priority="151" stopIfTrue="1">
      <formula>AND($C104="ERROR",M104&gt;0)</formula>
    </cfRule>
    <cfRule type="expression" dxfId="2366" priority="152" stopIfTrue="1">
      <formula>J$152=0</formula>
    </cfRule>
  </conditionalFormatting>
  <conditionalFormatting sqref="K97">
    <cfRule type="expression" dxfId="2365" priority="153" stopIfTrue="1">
      <formula>AND(I$152=0,K$97&lt;&gt;0)</formula>
    </cfRule>
    <cfRule type="expression" dxfId="2364" priority="154" stopIfTrue="1">
      <formula>I$152=0</formula>
    </cfRule>
    <cfRule type="expression" dxfId="2363" priority="155" stopIfTrue="1">
      <formula>AND(K$96&lt;&gt;0,K$97="")</formula>
    </cfRule>
  </conditionalFormatting>
  <conditionalFormatting sqref="N97">
    <cfRule type="expression" dxfId="2362" priority="156" stopIfTrue="1">
      <formula>AND(J$152=0,N$97&lt;&gt;0)</formula>
    </cfRule>
    <cfRule type="expression" dxfId="2361" priority="157" stopIfTrue="1">
      <formula>J$152=0</formula>
    </cfRule>
    <cfRule type="expression" dxfId="2360" priority="158" stopIfTrue="1">
      <formula>AND(N$96&lt;&gt;0,N$97="")</formula>
    </cfRule>
  </conditionalFormatting>
  <conditionalFormatting sqref="G83:I83 K83">
    <cfRule type="expression" dxfId="2359" priority="159" stopIfTrue="1">
      <formula>$C$61=0</formula>
    </cfRule>
    <cfRule type="expression" dxfId="2358" priority="160" stopIfTrue="1">
      <formula>G85=$M$135</formula>
    </cfRule>
    <cfRule type="cellIs" dxfId="2357" priority="161" stopIfTrue="1" operator="equal">
      <formula>0</formula>
    </cfRule>
  </conditionalFormatting>
  <conditionalFormatting sqref="G84:I84 K84">
    <cfRule type="expression" dxfId="2356" priority="162" stopIfTrue="1">
      <formula>$C$61=0</formula>
    </cfRule>
    <cfRule type="expression" dxfId="2355" priority="163" stopIfTrue="1">
      <formula>G85=$M$135</formula>
    </cfRule>
    <cfRule type="cellIs" dxfId="2354" priority="164" stopIfTrue="1" operator="equal">
      <formula>0</formula>
    </cfRule>
  </conditionalFormatting>
  <conditionalFormatting sqref="K86 G86:H86">
    <cfRule type="expression" dxfId="2353" priority="165" stopIfTrue="1">
      <formula>$C$61=0</formula>
    </cfRule>
    <cfRule type="expression" dxfId="2352" priority="166" stopIfTrue="1">
      <formula>G85=$M$135</formula>
    </cfRule>
  </conditionalFormatting>
  <conditionalFormatting sqref="G82:K82">
    <cfRule type="expression" dxfId="2351" priority="167" stopIfTrue="1">
      <formula>$C$61=0</formula>
    </cfRule>
    <cfRule type="expression" dxfId="2350" priority="168" stopIfTrue="1">
      <formula>G85=$M$135</formula>
    </cfRule>
    <cfRule type="cellIs" dxfId="2349" priority="169" stopIfTrue="1" operator="equal">
      <formula>0</formula>
    </cfRule>
  </conditionalFormatting>
  <conditionalFormatting sqref="I86:J86">
    <cfRule type="expression" dxfId="2348" priority="170" stopIfTrue="1">
      <formula>$C$61=0</formula>
    </cfRule>
    <cfRule type="expression" dxfId="2347" priority="171" stopIfTrue="1">
      <formula>$I85=$M$135</formula>
    </cfRule>
  </conditionalFormatting>
  <conditionalFormatting sqref="G87:H87 K87">
    <cfRule type="expression" dxfId="2346" priority="172" stopIfTrue="1">
      <formula>G85=$M$135</formula>
    </cfRule>
    <cfRule type="expression" dxfId="2345" priority="173" stopIfTrue="1">
      <formula>$C$61=0</formula>
    </cfRule>
  </conditionalFormatting>
  <conditionalFormatting sqref="I87:J87">
    <cfRule type="expression" dxfId="2344" priority="174" stopIfTrue="1">
      <formula>$I85=$M$135</formula>
    </cfRule>
    <cfRule type="expression" dxfId="2343" priority="175" stopIfTrue="1">
      <formula>$C$61=0</formula>
    </cfRule>
  </conditionalFormatting>
  <conditionalFormatting sqref="K93">
    <cfRule type="expression" dxfId="2342" priority="176" stopIfTrue="1">
      <formula>AND(I$155="X",K$93&lt;&gt;"")</formula>
    </cfRule>
  </conditionalFormatting>
  <conditionalFormatting sqref="N93">
    <cfRule type="expression" dxfId="2341" priority="177" stopIfTrue="1">
      <formula>AND(J$155="X",N$93&lt;&gt;"")</formula>
    </cfRule>
  </conditionalFormatting>
  <conditionalFormatting sqref="L69:M72">
    <cfRule type="expression" dxfId="2340" priority="178" stopIfTrue="1">
      <formula>OR(ISERROR($L69),$H69="")</formula>
    </cfRule>
    <cfRule type="expression" dxfId="2339" priority="179" stopIfTrue="1">
      <formula>$C$61=0</formula>
    </cfRule>
    <cfRule type="expression" dxfId="2338" priority="180" stopIfTrue="1">
      <formula>$H69=$E$163</formula>
    </cfRule>
  </conditionalFormatting>
  <conditionalFormatting sqref="I85:J85">
    <cfRule type="expression" dxfId="2337" priority="181" stopIfTrue="1">
      <formula>$C$61=0</formula>
    </cfRule>
    <cfRule type="expression" dxfId="2336" priority="182" stopIfTrue="1">
      <formula>$I85=$M$135</formula>
    </cfRule>
  </conditionalFormatting>
  <conditionalFormatting sqref="I51:J52 L51:M52">
    <cfRule type="expression" dxfId="2335" priority="183" stopIfTrue="1">
      <formula>ISERROR(I55)</formula>
    </cfRule>
  </conditionalFormatting>
  <conditionalFormatting sqref="K51:K52">
    <cfRule type="expression" dxfId="2334" priority="184" stopIfTrue="1">
      <formula>ISERROR(G51)</formula>
    </cfRule>
  </conditionalFormatting>
  <conditionalFormatting sqref="I7:I39">
    <cfRule type="expression" dxfId="2333" priority="185" stopIfTrue="1">
      <formula>OR($I$4=0,$I$4&lt;&gt;$K$130)</formula>
    </cfRule>
    <cfRule type="expression" dxfId="2332" priority="186" stopIfTrue="1">
      <formula>$AA7&lt;&gt;0</formula>
    </cfRule>
  </conditionalFormatting>
  <conditionalFormatting sqref="J7:J39">
    <cfRule type="expression" dxfId="2331" priority="187" stopIfTrue="1">
      <formula>OR($I$4=0,$I$4&lt;&gt;$K$130)</formula>
    </cfRule>
    <cfRule type="expression" dxfId="2330" priority="188" stopIfTrue="1">
      <formula>$AA7&lt;&gt;0</formula>
    </cfRule>
  </conditionalFormatting>
  <conditionalFormatting sqref="L7:L39">
    <cfRule type="expression" dxfId="2329" priority="189" stopIfTrue="1">
      <formula>OR($L$4=0,$L$4&lt;&gt;$K$130)</formula>
    </cfRule>
    <cfRule type="expression" dxfId="2328" priority="190" stopIfTrue="1">
      <formula>$AA7&lt;&gt;0</formula>
    </cfRule>
  </conditionalFormatting>
  <conditionalFormatting sqref="M7:M39">
    <cfRule type="expression" dxfId="2327" priority="191" stopIfTrue="1">
      <formula>OR($L$4=0,$L$4&lt;&gt;$K$130)</formula>
    </cfRule>
    <cfRule type="expression" dxfId="2326" priority="192" stopIfTrue="1">
      <formula>$AA7&lt;&gt;0</formula>
    </cfRule>
  </conditionalFormatting>
  <conditionalFormatting sqref="O7:O39">
    <cfRule type="expression" dxfId="2325" priority="193" stopIfTrue="1">
      <formula>OR($O$4=0,$O$4&lt;&gt;$K$130)</formula>
    </cfRule>
    <cfRule type="expression" dxfId="2324" priority="194" stopIfTrue="1">
      <formula>$AA7&lt;&gt;0</formula>
    </cfRule>
  </conditionalFormatting>
  <conditionalFormatting sqref="P7:P39">
    <cfRule type="expression" dxfId="2323" priority="195" stopIfTrue="1">
      <formula>OR($O$4=0,$O$4&lt;&gt;$K$130)</formula>
    </cfRule>
    <cfRule type="expression" dxfId="2322" priority="196" stopIfTrue="1">
      <formula>$AA7&lt;&gt;0</formula>
    </cfRule>
  </conditionalFormatting>
  <conditionalFormatting sqref="K39">
    <cfRule type="expression" dxfId="2321" priority="197" stopIfTrue="1">
      <formula>ISERROR($G$155)</formula>
    </cfRule>
    <cfRule type="expression" dxfId="2320" priority="198" stopIfTrue="1">
      <formula>OR($I$163=0,K$4="")</formula>
    </cfRule>
    <cfRule type="expression" dxfId="2319" priority="199" stopIfTrue="1">
      <formula>OR(K$4="",ISERROR(I$155))</formula>
    </cfRule>
  </conditionalFormatting>
  <conditionalFormatting sqref="N39">
    <cfRule type="expression" dxfId="2318" priority="200" stopIfTrue="1">
      <formula>ISERROR($G$155)</formula>
    </cfRule>
    <cfRule type="expression" dxfId="2317" priority="201" stopIfTrue="1">
      <formula>OR($I$163=0,N$4="")</formula>
    </cfRule>
    <cfRule type="expression" dxfId="2316" priority="202" stopIfTrue="1">
      <formula>OR(N$4="",ISERROR(J$155))</formula>
    </cfRule>
  </conditionalFormatting>
  <conditionalFormatting sqref="G8:H38 K8:K38 N8:N38">
    <cfRule type="expression" dxfId="2315" priority="203" stopIfTrue="1">
      <formula>$AA8=$Y$6</formula>
    </cfRule>
    <cfRule type="expression" dxfId="2314" priority="204" stopIfTrue="1">
      <formula>OR($AA8=0,$E8=$E$162)</formula>
    </cfRule>
  </conditionalFormatting>
  <conditionalFormatting sqref="C8:D38">
    <cfRule type="expression" dxfId="2313" priority="205" stopIfTrue="1">
      <formula>$AA8=$Y$6</formula>
    </cfRule>
    <cfRule type="expression" dxfId="2312" priority="206" stopIfTrue="1">
      <formula>AND($L$163=0,OR($V8&lt;$B$162,$V8&gt;$B$163))</formula>
    </cfRule>
    <cfRule type="expression" dxfId="2311" priority="207" stopIfTrue="1">
      <formula>AND($AA8=0,$E8=0)</formula>
    </cfRule>
  </conditionalFormatting>
  <conditionalFormatting sqref="G46:H46 K46 N46">
    <cfRule type="expression" dxfId="2310" priority="208" stopIfTrue="1">
      <formula>G$42=$K$134</formula>
    </cfRule>
    <cfRule type="expression" dxfId="2309" priority="209" stopIfTrue="1">
      <formula>OR($I$163=0,G$4="")</formula>
    </cfRule>
    <cfRule type="expression" dxfId="2308" priority="210" stopIfTrue="1">
      <formula>G44=""</formula>
    </cfRule>
  </conditionalFormatting>
  <conditionalFormatting sqref="G47:H47 K47 N47">
    <cfRule type="expression" dxfId="2307" priority="211" stopIfTrue="1">
      <formula>OR(ISERROR(G47),G$4="")</formula>
    </cfRule>
    <cfRule type="expression" dxfId="2306" priority="212" stopIfTrue="1">
      <formula>G$42=$K$134</formula>
    </cfRule>
    <cfRule type="expression" dxfId="2305" priority="213" stopIfTrue="1">
      <formula>AND(G$46&gt;0,OR(G$99=$E$152,G$99=$K$152))</formula>
    </cfRule>
  </conditionalFormatting>
  <conditionalFormatting sqref="G48:H48 K48 N48">
    <cfRule type="expression" dxfId="2304" priority="214" stopIfTrue="1">
      <formula>OR(ISERROR(G48),G$4="")</formula>
    </cfRule>
    <cfRule type="expression" dxfId="2303" priority="215" stopIfTrue="1">
      <formula>G$42=$K$134</formula>
    </cfRule>
    <cfRule type="expression" dxfId="2302" priority="216" stopIfTrue="1">
      <formula>AND(G$46&gt;0,OR(G$99=$E$152,G$99=$K$152,COUNTIF($C$101:$F$104,"ERROR")&gt;0,G$105=$E$152,G$105=$K$152))</formula>
    </cfRule>
  </conditionalFormatting>
  <conditionalFormatting sqref="I69:J72">
    <cfRule type="expression" dxfId="2301" priority="217" stopIfTrue="1">
      <formula>$C$61=0</formula>
    </cfRule>
    <cfRule type="expression" dxfId="2300" priority="218" stopIfTrue="1">
      <formula>$Z69=0</formula>
    </cfRule>
    <cfRule type="expression" dxfId="2299" priority="219" stopIfTrue="1">
      <formula>$I69=0</formula>
    </cfRule>
  </conditionalFormatting>
  <conditionalFormatting sqref="G61:H62 K61:K62 N61:N62">
    <cfRule type="expression" dxfId="2298" priority="220" stopIfTrue="1">
      <formula>$C$61=0</formula>
    </cfRule>
    <cfRule type="expression" dxfId="2297" priority="221" stopIfTrue="1">
      <formula>G$62=$L$135</formula>
    </cfRule>
  </conditionalFormatting>
  <conditionalFormatting sqref="M166:N166">
    <cfRule type="expression" dxfId="2296" priority="222" stopIfTrue="1">
      <formula>ISBLANK($M166)</formula>
    </cfRule>
  </conditionalFormatting>
  <conditionalFormatting sqref="F107 N108:N109 F108:I109 K108:K109">
    <cfRule type="expression" dxfId="2295" priority="223" stopIfTrue="1">
      <formula>$L$108=0</formula>
    </cfRule>
  </conditionalFormatting>
  <conditionalFormatting sqref="G116:J118 K121:K122 L108:M109">
    <cfRule type="cellIs" dxfId="2294" priority="224" stopIfTrue="1" operator="equal">
      <formula>0</formula>
    </cfRule>
  </conditionalFormatting>
  <conditionalFormatting sqref="L113:M121">
    <cfRule type="expression" dxfId="2293" priority="225" stopIfTrue="1">
      <formula>$L$109=0</formula>
    </cfRule>
  </conditionalFormatting>
  <conditionalFormatting sqref="L122:M122">
    <cfRule type="expression" dxfId="2292" priority="226" stopIfTrue="1">
      <formula>$K$122=0</formula>
    </cfRule>
  </conditionalFormatting>
  <conditionalFormatting sqref="K53:K54 H53:H54">
    <cfRule type="expression" dxfId="2291" priority="227" stopIfTrue="1">
      <formula>ISERROR($G$155)</formula>
    </cfRule>
  </conditionalFormatting>
  <conditionalFormatting sqref="L180 P46 L193 L206 L215:L217">
    <cfRule type="expression" dxfId="2290" priority="228" stopIfTrue="1">
      <formula>$O$44=""</formula>
    </cfRule>
    <cfRule type="expression" dxfId="2289" priority="229" stopIfTrue="1">
      <formula>$O$44=0</formula>
    </cfRule>
  </conditionalFormatting>
  <conditionalFormatting sqref="G180:I180 K180 G215:J217 G193:I193 K206 K193 G206:I206">
    <cfRule type="expression" dxfId="2288" priority="230" stopIfTrue="1">
      <formula>ISERROR(G180)</formula>
    </cfRule>
    <cfRule type="cellIs" dxfId="2287" priority="231" stopIfTrue="1" operator="equal">
      <formula>0</formula>
    </cfRule>
  </conditionalFormatting>
  <conditionalFormatting sqref="G183:K183 G170:K170 G196:K196 G121:J122">
    <cfRule type="cellIs" dxfId="2286" priority="232" stopIfTrue="1" operator="equal">
      <formula>0</formula>
    </cfRule>
  </conditionalFormatting>
  <conditionalFormatting sqref="C126:P126">
    <cfRule type="expression" dxfId="2285" priority="233" stopIfTrue="1">
      <formula>ISERROR($H$163)</formula>
    </cfRule>
  </conditionalFormatting>
  <conditionalFormatting sqref="G53:G54">
    <cfRule type="expression" dxfId="2284" priority="234" stopIfTrue="1">
      <formula>ISERROR($G$155)</formula>
    </cfRule>
    <cfRule type="expression" dxfId="2283" priority="235" stopIfTrue="1">
      <formula>ISERROR(G53)</formula>
    </cfRule>
  </conditionalFormatting>
  <conditionalFormatting sqref="O95:P95">
    <cfRule type="expression" dxfId="2282" priority="236" stopIfTrue="1">
      <formula>$O$44=""</formula>
    </cfRule>
  </conditionalFormatting>
  <conditionalFormatting sqref="O94:P94">
    <cfRule type="expression" dxfId="2281" priority="237" stopIfTrue="1">
      <formula>$O$44=""</formula>
    </cfRule>
  </conditionalFormatting>
  <conditionalFormatting sqref="AA8:AA38 O44:P44 G58 C58 I44:J44 L44:M44 G152:J152 L168 E6:F6 K42 N42 G42:H42">
    <cfRule type="cellIs" dxfId="2280" priority="238" stopIfTrue="1" operator="equal">
      <formula>0</formula>
    </cfRule>
  </conditionalFormatting>
  <conditionalFormatting sqref="W8:Z38 R8:U38 AB8:AE38 AG8:AK38 AM8:AQ38 AS8:AW38 AY8:AY38">
    <cfRule type="cellIs" dxfId="2279" priority="239" stopIfTrue="1" operator="equal">
      <formula>0</formula>
    </cfRule>
  </conditionalFormatting>
  <conditionalFormatting sqref="O45:P45 L169">
    <cfRule type="expression" dxfId="2278" priority="240" stopIfTrue="1">
      <formula>$O$4=$K$130</formula>
    </cfRule>
    <cfRule type="expression" dxfId="2277" priority="241" stopIfTrue="1">
      <formula>$O$44=0</formula>
    </cfRule>
  </conditionalFormatting>
  <conditionalFormatting sqref="E47:F48">
    <cfRule type="expression" dxfId="2276" priority="242" stopIfTrue="1">
      <formula>ISERROR(E47)</formula>
    </cfRule>
  </conditionalFormatting>
  <conditionalFormatting sqref="G168:I169 K168:K169 E197:E198 E206:F206 E171:E172 E180:F180 E184:E185 E193:F193 G94:N95 N44:N45 G44:H45 K44:K45 E221 G51:H52">
    <cfRule type="expression" dxfId="2275" priority="243" stopIfTrue="1">
      <formula>ISERROR(E44)</formula>
    </cfRule>
  </conditionalFormatting>
  <conditionalFormatting sqref="G167:I167 K167 N43 G43:H43 K43">
    <cfRule type="cellIs" dxfId="2274" priority="244" stopIfTrue="1" operator="equal">
      <formula>0</formula>
    </cfRule>
  </conditionalFormatting>
  <conditionalFormatting sqref="G99:N99 G105:N105 H139:H141 H145:H148">
    <cfRule type="cellIs" dxfId="2273" priority="245" stopIfTrue="1" operator="equal">
      <formula>"OK"</formula>
    </cfRule>
  </conditionalFormatting>
  <conditionalFormatting sqref="I139:I141 I145:I148">
    <cfRule type="cellIs" dxfId="2272" priority="246" stopIfTrue="1" operator="greaterThan">
      <formula>0</formula>
    </cfRule>
  </conditionalFormatting>
  <conditionalFormatting sqref="F110:I112 K110:M112">
    <cfRule type="expression" dxfId="2271" priority="247" stopIfTrue="1">
      <formula>$L$108=0</formula>
    </cfRule>
  </conditionalFormatting>
  <conditionalFormatting sqref="C195:H195">
    <cfRule type="expression" dxfId="2270" priority="248" stopIfTrue="1">
      <formula>ISERROR($C$195)</formula>
    </cfRule>
  </conditionalFormatting>
  <conditionalFormatting sqref="C2:J2">
    <cfRule type="expression" dxfId="2269" priority="249" stopIfTrue="1">
      <formula>$I$163=0</formula>
    </cfRule>
  </conditionalFormatting>
  <conditionalFormatting sqref="L96:M96 I96:J96">
    <cfRule type="expression" dxfId="2268" priority="250" stopIfTrue="1">
      <formula>ISERROR($G$155)</formula>
    </cfRule>
    <cfRule type="expression" dxfId="2267" priority="251" stopIfTrue="1">
      <formula>I96=0</formula>
    </cfRule>
  </conditionalFormatting>
  <conditionalFormatting sqref="N7 G7:H7 K7">
    <cfRule type="expression" dxfId="2266" priority="252" stopIfTrue="1">
      <formula>$I$163=0</formula>
    </cfRule>
  </conditionalFormatting>
  <conditionalFormatting sqref="I48:J48">
    <cfRule type="expression" dxfId="2265" priority="253" stopIfTrue="1">
      <formula>$I$4=$K$130</formula>
    </cfRule>
  </conditionalFormatting>
  <conditionalFormatting sqref="L48:M48">
    <cfRule type="expression" dxfId="2264" priority="254" stopIfTrue="1">
      <formula>$L$4=$K$130</formula>
    </cfRule>
  </conditionalFormatting>
  <conditionalFormatting sqref="I45:J45">
    <cfRule type="expression" dxfId="2263" priority="255" stopIfTrue="1">
      <formula>$I$4=$K$130</formula>
    </cfRule>
    <cfRule type="expression" dxfId="2262" priority="256" stopIfTrue="1">
      <formula>$I$44=0</formula>
    </cfRule>
  </conditionalFormatting>
  <conditionalFormatting sqref="L45:M45">
    <cfRule type="expression" dxfId="2261" priority="257" stopIfTrue="1">
      <formula>$L$4=$K$130</formula>
    </cfRule>
    <cfRule type="expression" dxfId="2260" priority="258" stopIfTrue="1">
      <formula>$L$44=0</formula>
    </cfRule>
  </conditionalFormatting>
  <conditionalFormatting sqref="L53">
    <cfRule type="expression" dxfId="2259" priority="259" stopIfTrue="1">
      <formula>ISERROR($G$155)</formula>
    </cfRule>
    <cfRule type="expression" dxfId="2258" priority="260" stopIfTrue="1">
      <formula>ISERROR($L$53)</formula>
    </cfRule>
  </conditionalFormatting>
  <conditionalFormatting sqref="O96:P98 C97:F98">
    <cfRule type="expression" dxfId="2257" priority="261" stopIfTrue="1">
      <formula>SUM($G$152:$J$152)=0</formula>
    </cfRule>
  </conditionalFormatting>
  <conditionalFormatting sqref="G155:J155">
    <cfRule type="cellIs" dxfId="2256" priority="262" stopIfTrue="1" operator="equal">
      <formula>0</formula>
    </cfRule>
  </conditionalFormatting>
  <conditionalFormatting sqref="G157:J159">
    <cfRule type="cellIs" dxfId="2255" priority="263" stopIfTrue="1" operator="equal">
      <formula>$E$157</formula>
    </cfRule>
  </conditionalFormatting>
  <conditionalFormatting sqref="Q91:S91">
    <cfRule type="expression" dxfId="2254" priority="264" stopIfTrue="1">
      <formula>SUM($G$152:$J$152)=0</formula>
    </cfRule>
  </conditionalFormatting>
  <conditionalFormatting sqref="I4:J5">
    <cfRule type="expression" dxfId="2253" priority="265" stopIfTrue="1">
      <formula>$I$6=""</formula>
    </cfRule>
    <cfRule type="cellIs" dxfId="2252" priority="266" stopIfTrue="1" operator="equal">
      <formula>0</formula>
    </cfRule>
    <cfRule type="expression" dxfId="2251" priority="267" stopIfTrue="1">
      <formula>$I$4=$K$130</formula>
    </cfRule>
  </conditionalFormatting>
  <conditionalFormatting sqref="L4:M5">
    <cfRule type="expression" dxfId="2250" priority="268" stopIfTrue="1">
      <formula>$L$6=""</formula>
    </cfRule>
    <cfRule type="cellIs" dxfId="2249" priority="269" stopIfTrue="1" operator="equal">
      <formula>0</formula>
    </cfRule>
    <cfRule type="expression" dxfId="2248" priority="270" stopIfTrue="1">
      <formula>$L$4=$K$130</formula>
    </cfRule>
  </conditionalFormatting>
  <conditionalFormatting sqref="O4:P5">
    <cfRule type="expression" dxfId="2247" priority="271" stopIfTrue="1">
      <formula>$O$6=""</formula>
    </cfRule>
    <cfRule type="cellIs" dxfId="2246" priority="272" stopIfTrue="1" operator="equal">
      <formula>0</formula>
    </cfRule>
    <cfRule type="expression" dxfId="2245" priority="273" stopIfTrue="1">
      <formula>$O$4=$K$130</formula>
    </cfRule>
  </conditionalFormatting>
  <conditionalFormatting sqref="E46:F46">
    <cfRule type="expression" dxfId="2244" priority="274" stopIfTrue="1">
      <formula>ISERROR($E$46)</formula>
    </cfRule>
  </conditionalFormatting>
  <conditionalFormatting sqref="I46">
    <cfRule type="expression" dxfId="2243" priority="275" stopIfTrue="1">
      <formula>$I$44=""</formula>
    </cfRule>
    <cfRule type="expression" dxfId="2242" priority="276" stopIfTrue="1">
      <formula>$I$44=0</formula>
    </cfRule>
  </conditionalFormatting>
  <conditionalFormatting sqref="L46">
    <cfRule type="expression" dxfId="2241" priority="277" stopIfTrue="1">
      <formula>$L$44=""</formula>
    </cfRule>
    <cfRule type="expression" dxfId="2240" priority="278" stopIfTrue="1">
      <formula>$L$44=0</formula>
    </cfRule>
  </conditionalFormatting>
  <conditionalFormatting sqref="O46">
    <cfRule type="expression" dxfId="2239" priority="279" stopIfTrue="1">
      <formula>$O$44=""</formula>
    </cfRule>
    <cfRule type="expression" dxfId="2238" priority="280" stopIfTrue="1">
      <formula>$O$44=0</formula>
    </cfRule>
  </conditionalFormatting>
  <conditionalFormatting sqref="J46">
    <cfRule type="expression" dxfId="2237" priority="281" stopIfTrue="1">
      <formula>$I$44=""</formula>
    </cfRule>
    <cfRule type="expression" dxfId="2236" priority="282" stopIfTrue="1">
      <formula>$I$44=0</formula>
    </cfRule>
  </conditionalFormatting>
  <conditionalFormatting sqref="M46">
    <cfRule type="expression" dxfId="2235" priority="283" stopIfTrue="1">
      <formula>$L$44=""</formula>
    </cfRule>
    <cfRule type="expression" dxfId="2234" priority="284" stopIfTrue="1">
      <formula>$L$44=0</formula>
    </cfRule>
  </conditionalFormatting>
  <conditionalFormatting sqref="G96:H96 K96 N96">
    <cfRule type="expression" dxfId="2233" priority="285" stopIfTrue="1">
      <formula>ISERROR($G$155)</formula>
    </cfRule>
    <cfRule type="expression" dxfId="2232" priority="286" stopIfTrue="1">
      <formula>G96=0</formula>
    </cfRule>
    <cfRule type="expression" dxfId="2231" priority="287" stopIfTrue="1">
      <formula>G96&lt;&gt;0</formula>
    </cfRule>
  </conditionalFormatting>
  <conditionalFormatting sqref="M168:N168">
    <cfRule type="expression" dxfId="2230" priority="288" stopIfTrue="1">
      <formula>$M$168=""</formula>
    </cfRule>
  </conditionalFormatting>
  <conditionalFormatting sqref="G63:H63 K63 N63">
    <cfRule type="expression" dxfId="2229" priority="289" stopIfTrue="1">
      <formula>$C$61=0</formula>
    </cfRule>
    <cfRule type="cellIs" dxfId="2228" priority="290" stopIfTrue="1" operator="equal">
      <formula>0</formula>
    </cfRule>
  </conditionalFormatting>
  <conditionalFormatting sqref="F63 F65 F73 F76:F79 F86:F89 N78:N79 N88 L86:N87 K68 C68:C69 I67:J68">
    <cfRule type="expression" dxfId="2227" priority="291" stopIfTrue="1">
      <formula>$C$61=0</formula>
    </cfRule>
  </conditionalFormatting>
  <conditionalFormatting sqref="G65">
    <cfRule type="expression" dxfId="2226" priority="292" stopIfTrue="1">
      <formula>$C$61=0</formula>
    </cfRule>
    <cfRule type="cellIs" dxfId="2225" priority="293" stopIfTrue="1" operator="equal">
      <formula>0</formula>
    </cfRule>
  </conditionalFormatting>
  <conditionalFormatting sqref="N66:N67 N74:N77 L68:N68">
    <cfRule type="expression" dxfId="2224" priority="294" stopIfTrue="1">
      <formula>$C$61=0</formula>
    </cfRule>
  </conditionalFormatting>
  <conditionalFormatting sqref="G68:H68">
    <cfRule type="expression" dxfId="2223" priority="295" stopIfTrue="1">
      <formula>ISERROR(G68)</formula>
    </cfRule>
    <cfRule type="expression" dxfId="2222" priority="296" stopIfTrue="1">
      <formula>$C$61=0</formula>
    </cfRule>
  </conditionalFormatting>
  <conditionalFormatting sqref="N73">
    <cfRule type="expression" dxfId="2221" priority="297" stopIfTrue="1">
      <formula>$C$61=0</formula>
    </cfRule>
    <cfRule type="expression" dxfId="2220" priority="298" stopIfTrue="1">
      <formula>ISERROR(N73)</formula>
    </cfRule>
  </conditionalFormatting>
  <conditionalFormatting sqref="O73 O79 O88">
    <cfRule type="expression" dxfId="2219" priority="299" stopIfTrue="1">
      <formula>O73=$E$163</formula>
    </cfRule>
    <cfRule type="expression" dxfId="2218" priority="300" stopIfTrue="1">
      <formula>$C$61=0</formula>
    </cfRule>
    <cfRule type="expression" dxfId="2217" priority="301" stopIfTrue="1">
      <formula>ISERROR(O73)</formula>
    </cfRule>
  </conditionalFormatting>
  <conditionalFormatting sqref="C67">
    <cfRule type="expression" dxfId="2216" priority="302" stopIfTrue="1">
      <formula>$C$61=0</formula>
    </cfRule>
  </conditionalFormatting>
  <conditionalFormatting sqref="G73 I73">
    <cfRule type="expression" dxfId="2215" priority="303" stopIfTrue="1">
      <formula>ISERROR(G73)</formula>
    </cfRule>
    <cfRule type="expression" dxfId="2214" priority="304" stopIfTrue="1">
      <formula>G73=0</formula>
    </cfRule>
    <cfRule type="expression" dxfId="2213" priority="305" stopIfTrue="1">
      <formula>$C$61=0</formula>
    </cfRule>
  </conditionalFormatting>
  <conditionalFormatting sqref="G77:H78 K77:K78">
    <cfRule type="expression" dxfId="2212" priority="306" stopIfTrue="1">
      <formula>$C$61=0</formula>
    </cfRule>
    <cfRule type="expression" dxfId="2211" priority="307" stopIfTrue="1">
      <formula>ISERROR(G77)</formula>
    </cfRule>
    <cfRule type="cellIs" dxfId="2210" priority="308" stopIfTrue="1" operator="equal">
      <formula>0</formula>
    </cfRule>
  </conditionalFormatting>
  <conditionalFormatting sqref="G79:H79 K79">
    <cfRule type="expression" dxfId="2209" priority="309" stopIfTrue="1">
      <formula>ISERROR(G79)</formula>
    </cfRule>
    <cfRule type="expression" dxfId="2208" priority="310" stopIfTrue="1">
      <formula>$C$61=0</formula>
    </cfRule>
    <cfRule type="cellIs" dxfId="2207" priority="311" stopIfTrue="1" operator="equal">
      <formula>0</formula>
    </cfRule>
  </conditionalFormatting>
  <conditionalFormatting sqref="N69:N72">
    <cfRule type="expression" dxfId="2206" priority="312" stopIfTrue="1">
      <formula>$C$61=0</formula>
    </cfRule>
    <cfRule type="cellIs" dxfId="2205" priority="313" stopIfTrue="1" operator="equal">
      <formula>0</formula>
    </cfRule>
    <cfRule type="expression" dxfId="2204" priority="314" stopIfTrue="1">
      <formula>ISERROR(N69)</formula>
    </cfRule>
  </conditionalFormatting>
  <conditionalFormatting sqref="C70:C71">
    <cfRule type="expression" dxfId="2203" priority="315" stopIfTrue="1">
      <formula>$C$61=0</formula>
    </cfRule>
    <cfRule type="expression" dxfId="2202" priority="316" stopIfTrue="1">
      <formula>$G$73&lt;&gt;0</formula>
    </cfRule>
  </conditionalFormatting>
  <conditionalFormatting sqref="P60:P61">
    <cfRule type="expression" dxfId="2201" priority="317" stopIfTrue="1">
      <formula>$C$61=1</formula>
    </cfRule>
  </conditionalFormatting>
  <conditionalFormatting sqref="H66:M66">
    <cfRule type="expression" dxfId="2200" priority="318" stopIfTrue="1">
      <formula>$C$61=0</formula>
    </cfRule>
  </conditionalFormatting>
  <conditionalFormatting sqref="H65">
    <cfRule type="expression" dxfId="2199" priority="319" stopIfTrue="1">
      <formula>AND($C$61=0,$D$61&gt;0)</formula>
    </cfRule>
    <cfRule type="expression" dxfId="2198" priority="320" stopIfTrue="1">
      <formula>$C$61=0</formula>
    </cfRule>
  </conditionalFormatting>
  <conditionalFormatting sqref="G67">
    <cfRule type="expression" dxfId="2197" priority="321" stopIfTrue="1">
      <formula>$C$61=0</formula>
    </cfRule>
    <cfRule type="expression" dxfId="2196" priority="322" stopIfTrue="1">
      <formula>ISERROR(G67)</formula>
    </cfRule>
  </conditionalFormatting>
  <conditionalFormatting sqref="G88:H88 K88">
    <cfRule type="expression" dxfId="2195" priority="323" stopIfTrue="1">
      <formula>ISERROR(G88)</formula>
    </cfRule>
    <cfRule type="cellIs" dxfId="2194" priority="324" stopIfTrue="1" operator="equal">
      <formula>0</formula>
    </cfRule>
    <cfRule type="expression" dxfId="2193" priority="325" stopIfTrue="1">
      <formula>$C$61=0</formula>
    </cfRule>
  </conditionalFormatting>
  <conditionalFormatting sqref="C91:P91">
    <cfRule type="expression" dxfId="2192" priority="326" stopIfTrue="1">
      <formula>SUM($G$150:$J$150)=0</formula>
    </cfRule>
  </conditionalFormatting>
  <conditionalFormatting sqref="G85:H85 K85">
    <cfRule type="expression" dxfId="2191" priority="327" stopIfTrue="1">
      <formula>$C$61=0</formula>
    </cfRule>
    <cfRule type="expression" dxfId="2190" priority="328" stopIfTrue="1">
      <formula>G85=$M$135</formula>
    </cfRule>
  </conditionalFormatting>
  <conditionalFormatting sqref="I55:J56 L55:M56">
    <cfRule type="cellIs" dxfId="2189" priority="329" stopIfTrue="1" operator="equal">
      <formula>0</formula>
    </cfRule>
    <cfRule type="expression" dxfId="2188" priority="330" stopIfTrue="1">
      <formula>ISERROR(I55)</formula>
    </cfRule>
  </conditionalFormatting>
  <dataValidations count="7">
    <dataValidation type="whole" operator="lessThanOrEqual" allowBlank="1" showInputMessage="1" showErrorMessage="1" sqref="F52">
      <formula1>E162</formula1>
    </dataValidation>
    <dataValidation type="list" allowBlank="1" showInputMessage="1" showErrorMessage="1" sqref="I207">
      <formula1>$I$219:$I$229</formula1>
    </dataValidation>
    <dataValidation type="decimal" operator="greaterThan" allowBlank="1" showInputMessage="1" showErrorMessage="1" errorTitle="ATTENZIONE !!!" error="E' ammesso solo un valore POSITIVO" sqref="G53:G54">
      <formula1>0</formula1>
    </dataValidation>
    <dataValidation type="decimal" operator="lessThan" allowBlank="1" showInputMessage="1" showErrorMessage="1" errorTitle="ATTENZIONE !!!" error="E' ammesso solo un valore NEGATIVO" sqref="H53:H54">
      <formula1>0</formula1>
    </dataValidation>
    <dataValidation type="list" allowBlank="1" showInputMessage="1" showErrorMessage="1" sqref="M168:N168">
      <formula1>$E$218:$E$220</formula1>
    </dataValidation>
    <dataValidation type="list" allowBlank="1" showInputMessage="1" showErrorMessage="1" sqref="M166">
      <formula1>$E$223:$E$226</formula1>
    </dataValidation>
    <dataValidation type="list" allowBlank="1" showInputMessage="1" showErrorMessage="1" sqref="M3:P3">
      <formula1>$K$144:$K$149</formula1>
    </dataValidation>
  </dataValidations>
  <hyperlinks>
    <hyperlink ref="G231" location="Presentazione!I106" display="QUI"/>
    <hyperlink ref="L231" location="Presentazione!K83" display="QUI"/>
  </hyperlinks>
  <printOptions horizontalCentered="1"/>
  <pageMargins left="0.39370078740157483" right="0" top="0.39370078740157483" bottom="0" header="0" footer="0"/>
  <pageSetup paperSize="9" scale="72"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6">
    <pageSetUpPr autoPageBreaks="0"/>
  </sheetPr>
  <dimension ref="A1:BB231"/>
  <sheetViews>
    <sheetView showGridLines="0" showRowColHeaders="0" topLeftCell="A2" zoomScaleNormal="100" workbookViewId="0">
      <selection activeCell="G8" sqref="G8"/>
    </sheetView>
  </sheetViews>
  <sheetFormatPr defaultRowHeight="12.75" x14ac:dyDescent="0.2"/>
  <cols>
    <col min="1" max="2" width="2.85546875" style="4" customWidth="1"/>
    <col min="3" max="4" width="5" style="4" customWidth="1"/>
    <col min="5" max="5" width="15.7109375" style="4" customWidth="1"/>
    <col min="6" max="6" width="1.42578125" style="4" customWidth="1"/>
    <col min="7" max="8" width="15.7109375" style="4" customWidth="1"/>
    <col min="9" max="10" width="7.85546875" style="4" customWidth="1"/>
    <col min="11" max="11" width="15.7109375" style="4" customWidth="1"/>
    <col min="12" max="13" width="7.85546875" style="4" customWidth="1"/>
    <col min="14" max="14" width="15.7109375" style="4" customWidth="1"/>
    <col min="15" max="16" width="7.85546875" style="4" customWidth="1"/>
    <col min="17" max="17" width="2.140625" style="4" customWidth="1"/>
    <col min="18" max="31" width="11" style="4" hidden="1" customWidth="1"/>
    <col min="32" max="32" width="6.42578125" style="4" hidden="1" customWidth="1"/>
    <col min="33" max="37" width="11" style="4" hidden="1" customWidth="1"/>
    <col min="38" max="38" width="6.42578125" style="4" hidden="1" customWidth="1"/>
    <col min="39" max="43" width="11" style="4" hidden="1" customWidth="1"/>
    <col min="44" max="44" width="6.42578125" style="4" hidden="1" customWidth="1"/>
    <col min="45" max="49" width="11" style="4" hidden="1" customWidth="1"/>
    <col min="50" max="50" width="6.42578125" style="4" hidden="1" customWidth="1"/>
    <col min="51" max="51" width="11" style="4" hidden="1" customWidth="1"/>
    <col min="52" max="52" width="35.7109375" style="4" customWidth="1"/>
    <col min="53" max="16384" width="9.140625" style="4"/>
  </cols>
  <sheetData>
    <row r="1" spans="1:53" ht="15" hidden="1" customHeight="1" x14ac:dyDescent="0.2">
      <c r="A1" s="540"/>
      <c r="B1" s="2"/>
      <c r="C1" s="2"/>
      <c r="D1" s="2"/>
      <c r="E1" s="2"/>
      <c r="F1" s="2"/>
      <c r="G1" s="252" t="str">
        <f>CONCATENATE(IMPOSTAZIONI!F223,"-",IMPOSTAZIONI!F224,"-",IMPOSTAZIONI!F225)</f>
        <v>--</v>
      </c>
      <c r="H1" s="252" t="str">
        <f>CONCATENATE(IMPOSTAZIONI!K223,"-",IMPOSTAZIONI!K224,"-",IMPOSTAZIONI!K225)</f>
        <v>--</v>
      </c>
      <c r="I1" s="252"/>
      <c r="J1" s="252"/>
      <c r="K1" s="252" t="str">
        <f>CONCATENATE(IMPOSTAZIONI!P223,"-",IMPOSTAZIONI!P224,"-",IMPOSTAZIONI!P225)</f>
        <v>--</v>
      </c>
      <c r="L1" s="252"/>
      <c r="M1" s="252"/>
      <c r="N1" s="252" t="str">
        <f>CONCATENATE(IMPOSTAZIONI!U223,"-",IMPOSTAZIONI!U224,"-",IMPOSTAZIONI!U225)</f>
        <v>--</v>
      </c>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591"/>
    </row>
    <row r="2" spans="1:53" ht="18" customHeight="1" x14ac:dyDescent="0.2">
      <c r="A2" s="540"/>
      <c r="B2" s="2"/>
      <c r="C2" s="2057" t="str">
        <f>CONCATENATE(IMPOSTAZIONI!C73," - P.I. ",IMPOSTAZIONI!O73)</f>
        <v>Inserisci la tua Ragione Sociale - P.I. 01234567891</v>
      </c>
      <c r="D2" s="2057"/>
      <c r="E2" s="2057"/>
      <c r="F2" s="2057"/>
      <c r="G2" s="2057"/>
      <c r="H2" s="2057"/>
      <c r="I2" s="2057"/>
      <c r="J2" s="2058" t="str">
        <f>CONCATENATE(IMPOSTAZIONI!C75," - ",IMPOSTAZIONI!M75," - ",IMPOSTAZIONI!O75," - ",IMPOSTAZIONI!V75)</f>
        <v xml:space="preserve">Indirizzo per esteso -  -  - </v>
      </c>
      <c r="K2" s="2058"/>
      <c r="L2" s="2058"/>
      <c r="M2" s="2058"/>
      <c r="N2" s="2058"/>
      <c r="O2" s="2058"/>
      <c r="P2" s="2058"/>
      <c r="Q2" s="3"/>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row>
    <row r="3" spans="1:53" ht="24.75" customHeight="1" x14ac:dyDescent="0.2">
      <c r="A3" s="2"/>
      <c r="B3" s="5"/>
      <c r="C3" s="2222" t="s">
        <v>98</v>
      </c>
      <c r="D3" s="2222"/>
      <c r="E3" s="2223" t="s">
        <v>318</v>
      </c>
      <c r="F3" s="2223"/>
      <c r="G3" s="2223"/>
      <c r="H3" s="2073" t="str">
        <f>IF(I163=0,IMPOSTAZIONI!Y384,"")</f>
        <v>Devi convalidare il foglio IMPOSTAZIONI</v>
      </c>
      <c r="I3" s="2073"/>
      <c r="J3" s="2073"/>
      <c r="K3" s="2073"/>
      <c r="L3" s="2073"/>
      <c r="M3" s="2072" t="s">
        <v>543</v>
      </c>
      <c r="N3" s="2072"/>
      <c r="O3" s="2072"/>
      <c r="P3" s="2072"/>
      <c r="Q3" s="3"/>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row>
    <row r="4" spans="1:53" ht="18" customHeight="1" x14ac:dyDescent="0.2">
      <c r="A4" s="2"/>
      <c r="B4" s="2"/>
      <c r="C4" s="2147" t="s">
        <v>175</v>
      </c>
      <c r="D4" s="2148"/>
      <c r="E4" s="2170" t="str">
        <f>IMPOSTAZIONI!E24</f>
        <v>TOTALE</v>
      </c>
      <c r="F4" s="2171"/>
      <c r="G4" s="291" t="str">
        <f>IF($I$163=0,"",IMPOSTAZIONI!G223)</f>
        <v/>
      </c>
      <c r="H4" s="291" t="str">
        <f>IF($I$163=0,"",IMPOSTAZIONI!L223)</f>
        <v/>
      </c>
      <c r="I4" s="2164">
        <f>IMPOSTAZIONI!Q25</f>
        <v>0</v>
      </c>
      <c r="J4" s="2165"/>
      <c r="K4" s="291" t="str">
        <f>IF($I$163=0,"",IMPOSTAZIONI!Q223)</f>
        <v/>
      </c>
      <c r="L4" s="2164">
        <f>IMPOSTAZIONI!Y25</f>
        <v>0</v>
      </c>
      <c r="M4" s="2165"/>
      <c r="N4" s="291" t="str">
        <f>IF($I$163=0,"",IMPOSTAZIONI!V223)</f>
        <v/>
      </c>
      <c r="O4" s="2164">
        <f>IMPOSTAZIONI!AG25</f>
        <v>0</v>
      </c>
      <c r="P4" s="2165"/>
      <c r="Q4" s="83"/>
      <c r="R4" s="2"/>
      <c r="S4" s="2"/>
      <c r="T4" s="2"/>
      <c r="U4" s="2"/>
      <c r="V4" s="251" t="str">
        <f>CONCATENATE(L131,"  ")</f>
        <v xml:space="preserve">attiva trim.  </v>
      </c>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row>
    <row r="5" spans="1:53" ht="18" customHeight="1" x14ac:dyDescent="0.2">
      <c r="A5" s="2"/>
      <c r="B5" s="2"/>
      <c r="C5" s="2149"/>
      <c r="D5" s="2150"/>
      <c r="E5" s="2172"/>
      <c r="F5" s="2173"/>
      <c r="G5" s="292" t="str">
        <f>IF($I$163=0,"",IMPOSTAZIONI!G224)</f>
        <v/>
      </c>
      <c r="H5" s="292" t="str">
        <f>IF($I$163=0,"",IMPOSTAZIONI!L224)</f>
        <v/>
      </c>
      <c r="I5" s="2166"/>
      <c r="J5" s="2167"/>
      <c r="K5" s="292" t="str">
        <f>IF($I$163=0,"",IMPOSTAZIONI!Q224)</f>
        <v/>
      </c>
      <c r="L5" s="2166"/>
      <c r="M5" s="2167"/>
      <c r="N5" s="292" t="str">
        <f>IF($I$163=0,"",IMPOSTAZIONI!V224)</f>
        <v/>
      </c>
      <c r="O5" s="2166"/>
      <c r="P5" s="2167"/>
      <c r="Q5" s="83"/>
      <c r="R5" s="2"/>
      <c r="S5" s="2"/>
      <c r="T5" s="2"/>
      <c r="U5" s="2"/>
      <c r="V5" s="257"/>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row>
    <row r="6" spans="1:53" ht="18" customHeight="1" x14ac:dyDescent="0.2">
      <c r="A6" s="2"/>
      <c r="B6" s="2"/>
      <c r="C6" s="2151">
        <f>IMPOSTAZIONI!$AH$52</f>
        <v>2024</v>
      </c>
      <c r="D6" s="2152"/>
      <c r="E6" s="2153">
        <f>IMPOSTAZIONI!E25</f>
        <v>0</v>
      </c>
      <c r="F6" s="2154"/>
      <c r="G6" s="55" t="str">
        <f>IF($I$163=0,"",IMPOSTAZIONI!G225)</f>
        <v/>
      </c>
      <c r="H6" s="55" t="str">
        <f>IF($I$163=0,"",IMPOSTAZIONI!L225)</f>
        <v/>
      </c>
      <c r="I6" s="834" t="str">
        <f>IMPOSTAZIONI!Q26</f>
        <v>DAL</v>
      </c>
      <c r="J6" s="835" t="str">
        <f>IMPOSTAZIONI!S26</f>
        <v>AL</v>
      </c>
      <c r="K6" s="55" t="str">
        <f>IF($I$163=0,"",IMPOSTAZIONI!Q225)</f>
        <v/>
      </c>
      <c r="L6" s="834" t="str">
        <f>IMPOSTAZIONI!Y26</f>
        <v>DAL</v>
      </c>
      <c r="M6" s="835" t="str">
        <f>IMPOSTAZIONI!AA26</f>
        <v>AL</v>
      </c>
      <c r="N6" s="55" t="str">
        <f>IF($I$163=0,"",IMPOSTAZIONI!V225)</f>
        <v/>
      </c>
      <c r="O6" s="834" t="str">
        <f>IMPOSTAZIONI!AG26</f>
        <v>DAL</v>
      </c>
      <c r="P6" s="835" t="str">
        <f>IMPOSTAZIONI!AI26</f>
        <v>AL</v>
      </c>
      <c r="Q6" s="83"/>
      <c r="R6" s="2"/>
      <c r="S6" s="2"/>
      <c r="T6" s="2"/>
      <c r="U6" s="2"/>
      <c r="V6" s="2"/>
      <c r="W6" s="2"/>
      <c r="X6" s="2"/>
      <c r="Y6" s="501" t="str">
        <f>CASSA!W484</f>
        <v>F</v>
      </c>
      <c r="Z6" s="502" t="str">
        <f>CASSA!W485</f>
        <v>C</v>
      </c>
      <c r="AA6" s="2"/>
      <c r="AB6" s="2"/>
      <c r="AC6" s="2"/>
      <c r="AD6" s="2"/>
      <c r="AE6" s="2"/>
      <c r="AF6" s="2"/>
      <c r="AG6" s="148">
        <f>IF(SUM(G152:J152)&gt;0,1,0)</f>
        <v>0</v>
      </c>
      <c r="AH6" s="1096" t="str">
        <f>$C101</f>
        <v>Aliquota 22 %</v>
      </c>
      <c r="AI6" s="1096" t="str">
        <f>$C102</f>
        <v>Aliquota 10 %</v>
      </c>
      <c r="AJ6" s="1096" t="str">
        <f>$C103</f>
        <v>Aliquota 4 %</v>
      </c>
      <c r="AK6" s="1096" t="str">
        <f>$C104</f>
        <v/>
      </c>
      <c r="AL6" s="2"/>
      <c r="AM6" s="1097" t="s">
        <v>537</v>
      </c>
      <c r="AN6" s="2204" t="s">
        <v>782</v>
      </c>
      <c r="AO6" s="2204"/>
      <c r="AP6" s="2204"/>
      <c r="AQ6" s="2204"/>
      <c r="AR6" s="2"/>
      <c r="AS6" s="148"/>
      <c r="AT6" s="1096" t="str">
        <f>$C101</f>
        <v>Aliquota 22 %</v>
      </c>
      <c r="AU6" s="1096" t="str">
        <f>$C102</f>
        <v>Aliquota 10 %</v>
      </c>
      <c r="AV6" s="1096" t="str">
        <f>$C103</f>
        <v>Aliquota 4 %</v>
      </c>
      <c r="AW6" s="1096" t="str">
        <f>$C104</f>
        <v/>
      </c>
      <c r="AX6" s="2"/>
      <c r="AY6" s="1097" t="s">
        <v>537</v>
      </c>
      <c r="AZ6" s="1382" t="s">
        <v>14</v>
      </c>
      <c r="BA6" s="2"/>
    </row>
    <row r="7" spans="1:53" ht="20.25" customHeight="1" x14ac:dyDescent="0.2">
      <c r="A7" s="2"/>
      <c r="B7" s="2"/>
      <c r="C7" s="2242" t="s">
        <v>177</v>
      </c>
      <c r="D7" s="2243"/>
      <c r="E7" s="2175">
        <f>IMPOSTAZIONI!AE265</f>
        <v>0</v>
      </c>
      <c r="F7" s="2176"/>
      <c r="G7" s="1439">
        <f>IMPOSTAZIONI!$AL276</f>
        <v>0</v>
      </c>
      <c r="H7" s="1439">
        <f>IMPOSTAZIONI!$AL277</f>
        <v>0</v>
      </c>
      <c r="I7" s="832"/>
      <c r="J7" s="833"/>
      <c r="K7" s="1439">
        <f>IMPOSTAZIONI!$AL278</f>
        <v>0</v>
      </c>
      <c r="L7" s="832"/>
      <c r="M7" s="833"/>
      <c r="N7" s="1439">
        <f>IMPOSTAZIONI!$AL279</f>
        <v>0</v>
      </c>
      <c r="O7" s="832"/>
      <c r="P7" s="833"/>
      <c r="Q7" s="83"/>
      <c r="R7" s="552" t="s">
        <v>195</v>
      </c>
      <c r="S7" s="552"/>
      <c r="T7" s="552"/>
      <c r="U7" s="552"/>
      <c r="V7" s="507">
        <f>V8-1</f>
        <v>45596</v>
      </c>
      <c r="W7" s="2"/>
      <c r="X7" s="2"/>
      <c r="Y7" s="2"/>
      <c r="Z7" s="2"/>
      <c r="AA7" s="2"/>
      <c r="AB7" s="2021" t="s">
        <v>739</v>
      </c>
      <c r="AC7" s="2021"/>
      <c r="AD7" s="2021"/>
      <c r="AE7" s="2021"/>
      <c r="AF7" s="2"/>
      <c r="AG7" s="2021" t="s">
        <v>781</v>
      </c>
      <c r="AH7" s="2021"/>
      <c r="AI7" s="2021"/>
      <c r="AJ7" s="2021"/>
      <c r="AK7" s="2021"/>
      <c r="AL7" s="2"/>
      <c r="AM7" s="2"/>
      <c r="AN7" s="2"/>
      <c r="AO7" s="2"/>
      <c r="AP7" s="2"/>
      <c r="AQ7" s="2"/>
      <c r="AR7" s="2"/>
      <c r="AS7" s="2021" t="s">
        <v>784</v>
      </c>
      <c r="AT7" s="2021"/>
      <c r="AU7" s="2021"/>
      <c r="AV7" s="2021"/>
      <c r="AW7" s="2021"/>
      <c r="AX7" s="2"/>
      <c r="AY7" s="1097" t="s">
        <v>739</v>
      </c>
      <c r="AZ7" s="1383"/>
      <c r="BA7" s="2"/>
    </row>
    <row r="8" spans="1:53" ht="20.25" customHeight="1" x14ac:dyDescent="0.2">
      <c r="A8" s="2"/>
      <c r="B8" s="18">
        <v>1</v>
      </c>
      <c r="C8" s="234">
        <f>B8</f>
        <v>1</v>
      </c>
      <c r="D8" s="235">
        <v>11</v>
      </c>
      <c r="E8" s="2168" t="str">
        <f t="shared" ref="E8:E37" si="0">IF(AND(L$163=0,OR(V8&lt;B$162,V8&gt;B$163)),CONCATENATE(L$131,"  "),IF(AND((SUM(G8:H8)+K8+N8)&lt;&gt;0,AA8=Z$6),E$163,IF(AND((SUM(G8:H8)+K8+N8)=0,AA8=Z$6),E$162,IF(ISERROR($H$163),0,SUM(G8:H8)+K8+N8-SUMIF(G$42:N$42,K$134,G8:N8)))))</f>
        <v xml:space="preserve">attiva trim.  </v>
      </c>
      <c r="F8" s="2169"/>
      <c r="G8" s="304"/>
      <c r="H8" s="304"/>
      <c r="I8" s="830"/>
      <c r="J8" s="831"/>
      <c r="K8" s="304"/>
      <c r="L8" s="830"/>
      <c r="M8" s="831"/>
      <c r="N8" s="304"/>
      <c r="O8" s="830"/>
      <c r="P8" s="831"/>
      <c r="Q8" s="83"/>
      <c r="R8" s="1050">
        <f>IF(G$62=$L$134,0,IF(AND($L$163=0,$V8&gt;$B$163),0,IF(G$155="X",0,ROUND((G8*G$155)/(100+G$155),2))))</f>
        <v>0</v>
      </c>
      <c r="S8" s="1051">
        <f t="shared" ref="S8:S37" si="1">IF(H$62=$L$134,0,IF(AND($L$163=0,$V8&gt;$B$163),0,IF(H$155="X",0,ROUND((H8*H$155)/(100+H$155),2))))</f>
        <v>0</v>
      </c>
      <c r="T8" s="1051">
        <f>IF(K$62=$L$134,0,IF(AND($L$163=0,$V8&gt;$B$163),0,IF(I$155="X",0,ROUND((K8*I$155)/(100+I$155),2))))</f>
        <v>0</v>
      </c>
      <c r="U8" s="1052">
        <f>IF(N$62=$L$134,0,IF(AND($L$163=0,$V8&gt;$B$163),0,IF(J$155="X",0,ROUND((N8*J$155)/(100+J$155),2))))</f>
        <v>0</v>
      </c>
      <c r="V8" s="231">
        <f>DATE(C$6,D8,C8)</f>
        <v>45597</v>
      </c>
      <c r="W8" s="1050">
        <f t="shared" ref="W8:W37" si="2">IF(AND($L$163=0,$V8&gt;$B$163),0,G8-R8)</f>
        <v>0</v>
      </c>
      <c r="X8" s="1051">
        <f t="shared" ref="X8:X37" si="3">IF(AND($L$163=0,$V8&gt;$B$163),0,H8-S8)</f>
        <v>0</v>
      </c>
      <c r="Y8" s="1051">
        <f t="shared" ref="Y8:Y37" si="4">IF(AND($L$163=0,$V8&gt;$B$163),0,K8-T8)</f>
        <v>0</v>
      </c>
      <c r="Z8" s="1052">
        <f t="shared" ref="Z8:Z37" si="5">IF(AND($L$163=0,$V8&gt;$B$163),0,N8-U8)</f>
        <v>0</v>
      </c>
      <c r="AA8" s="822">
        <f>VLOOKUP(V8,CASSA!$B$114:$C$479,2,FALSE)</f>
        <v>0</v>
      </c>
      <c r="AB8" s="1050">
        <f>IF(AND(G$62=$L$134,$L$78&lt;&gt;0),$L$78/$G$65*G8,0)</f>
        <v>0</v>
      </c>
      <c r="AC8" s="1051">
        <f>IF(AND(H$62=$L$134,$L$78&lt;&gt;0),$L$78/$G$65*H8,0)</f>
        <v>0</v>
      </c>
      <c r="AD8" s="1051">
        <f>IF(AND(K$62=$L$134,$L$78&lt;&gt;0),$L$78/$G$65*K8,0)</f>
        <v>0</v>
      </c>
      <c r="AE8" s="1052">
        <f>IF(AND(N$62=$L$134,$L$78&lt;&gt;0),$L$78/$G$65*N8,0)</f>
        <v>0</v>
      </c>
      <c r="AF8" s="2"/>
      <c r="AG8" s="1087">
        <f>SUMIF($G$152:$J$152,1,W8:Z8)-SUM(AH8:AK8)</f>
        <v>0</v>
      </c>
      <c r="AH8" s="1088">
        <f>IF(AND($AG$6=1,$R$101&lt;&gt;0),$R$101/$R$96*SUMIF($G$152:$J$152,1,$W8:$Z8),0)</f>
        <v>0</v>
      </c>
      <c r="AI8" s="1051">
        <f>IF(AND($AG$6=1,$R$102&lt;&gt;0),$R$102/$R$96*SUMIF($G$152:$J$152,1,$W8:$Z8),0)</f>
        <v>0</v>
      </c>
      <c r="AJ8" s="1051">
        <f>IF(AND($AG$6=1,$R$103&lt;&gt;0),$R$103/$R$96*SUMIF($G$152:$J$152,1,$W8:$Z8),0)</f>
        <v>0</v>
      </c>
      <c r="AK8" s="1089">
        <f t="shared" ref="AK8:AK37" si="6">IF(AND($AG$6=1,$R$104&lt;&gt;0),$R$104/$R$96*SUMIF($G$152:$J$152,1,$W8:$Z8),0)</f>
        <v>0</v>
      </c>
      <c r="AL8" s="2"/>
      <c r="AM8" s="1087">
        <f t="shared" ref="AM8:AM37" si="7">SUMIF($G$42:$N$42,$K$134,$G8:$N8)</f>
        <v>0</v>
      </c>
      <c r="AN8" s="1104">
        <f>IF(G$42=$K$134,R8,0)</f>
        <v>0</v>
      </c>
      <c r="AO8" s="1051">
        <f>IF(H$42=$K$134,S8,0)</f>
        <v>0</v>
      </c>
      <c r="AP8" s="1051">
        <f>IF(K$42=$K$134,T8,0)</f>
        <v>0</v>
      </c>
      <c r="AQ8" s="1089">
        <f>IF(N$42=$K$134,U8,0)</f>
        <v>0</v>
      </c>
      <c r="AR8" s="2"/>
      <c r="AS8" s="1087">
        <f>IF(AG8&lt;&gt;0,AG8*$T$97/100,0)</f>
        <v>0</v>
      </c>
      <c r="AT8" s="1088">
        <f>IF(AH8&lt;&gt;0,AH8*$T$101/100,0)</f>
        <v>0</v>
      </c>
      <c r="AU8" s="1051">
        <f>IF(AI8&lt;&gt;0,AI8*$T$102/100,0)</f>
        <v>0</v>
      </c>
      <c r="AV8" s="1051">
        <f>IF(AJ8&lt;&gt;0,AJ8*$T$103/100,0)</f>
        <v>0</v>
      </c>
      <c r="AW8" s="1089">
        <f>IF(AK8&lt;&gt;0,AK8*$T$104/100,0)</f>
        <v>0</v>
      </c>
      <c r="AX8" s="2"/>
      <c r="AY8" s="1087">
        <f>IF(SUM(AB8:AE8)=0,0,SUM(AB8:AE8)*U$90/100)</f>
        <v>0</v>
      </c>
      <c r="AZ8" s="1384" t="s">
        <v>850</v>
      </c>
      <c r="BA8" s="2"/>
    </row>
    <row r="9" spans="1:53" ht="20.25" customHeight="1" x14ac:dyDescent="0.2">
      <c r="A9" s="2"/>
      <c r="B9" s="18">
        <v>2</v>
      </c>
      <c r="C9" s="234">
        <f>IF(D9="--","--",C8+1)</f>
        <v>2</v>
      </c>
      <c r="D9" s="235">
        <f t="shared" ref="D9:D38" si="8">IF(MONTH(V9)=D$8,D8,"--")</f>
        <v>11</v>
      </c>
      <c r="E9" s="2159" t="str">
        <f t="shared" si="0"/>
        <v xml:space="preserve">attiva trim.  </v>
      </c>
      <c r="F9" s="2160"/>
      <c r="G9" s="237"/>
      <c r="H9" s="237"/>
      <c r="I9" s="828"/>
      <c r="J9" s="829"/>
      <c r="K9" s="237"/>
      <c r="L9" s="828"/>
      <c r="M9" s="829"/>
      <c r="N9" s="237"/>
      <c r="O9" s="828"/>
      <c r="P9" s="829"/>
      <c r="Q9" s="83"/>
      <c r="R9" s="1053">
        <f t="shared" ref="R9:R37" si="9">IF(G$62=$L$134,0,IF(AND($L$163=0,$V9&gt;$B$163),0,IF(G$155="X",0,ROUND((G9*G$155)/(100+G$155),2))))</f>
        <v>0</v>
      </c>
      <c r="S9" s="1054">
        <f t="shared" si="1"/>
        <v>0</v>
      </c>
      <c r="T9" s="1054">
        <f t="shared" ref="T9:T37" si="10">IF(K$62=$L$134,0,IF(AND($L$163=0,$V9&gt;$B$163),0,IF(I$155="X",0,ROUND((K9*I$155)/(100+I$155),2))))</f>
        <v>0</v>
      </c>
      <c r="U9" s="1055">
        <f t="shared" ref="U9:U37" si="11">IF(N$62=$L$134,0,IF(AND($L$163=0,$V9&gt;$B$163),0,IF(J$155="X",0,ROUND((N9*J$155)/(100+J$155),2))))</f>
        <v>0</v>
      </c>
      <c r="V9" s="231">
        <f>V8+1</f>
        <v>45598</v>
      </c>
      <c r="W9" s="1053">
        <f t="shared" si="2"/>
        <v>0</v>
      </c>
      <c r="X9" s="1054">
        <f t="shared" si="3"/>
        <v>0</v>
      </c>
      <c r="Y9" s="1054">
        <f t="shared" si="4"/>
        <v>0</v>
      </c>
      <c r="Z9" s="1055">
        <f t="shared" si="5"/>
        <v>0</v>
      </c>
      <c r="AA9" s="822">
        <f>VLOOKUP(V9,CASSA!$B$114:$C$479,2,FALSE)</f>
        <v>0</v>
      </c>
      <c r="AB9" s="1053">
        <f t="shared" ref="AB9:AB37" si="12">IF(AND(G$62=$L$134,$L$78&lt;&gt;0),$L$78/$G$65*G9,0)</f>
        <v>0</v>
      </c>
      <c r="AC9" s="1054">
        <f t="shared" ref="AC9:AC37" si="13">IF(AND(H$62=$L$134,$L$78&lt;&gt;0),$L$78/$G$65*H9,0)</f>
        <v>0</v>
      </c>
      <c r="AD9" s="1054">
        <f t="shared" ref="AD9:AD37" si="14">IF(AND(K$62=$L$134,$L$78&lt;&gt;0),$L$78/$G$65*K9,0)</f>
        <v>0</v>
      </c>
      <c r="AE9" s="1055">
        <f t="shared" ref="AE9:AE37" si="15">IF(AND(N$62=$L$134,$L$78&lt;&gt;0),$L$78/$G$65*N9,0)</f>
        <v>0</v>
      </c>
      <c r="AF9" s="2"/>
      <c r="AG9" s="1090">
        <f t="shared" ref="AG9:AG37" si="16">SUMIF($G$152:$J$152,1,W9:Z9)-SUM(AH9:AK9)</f>
        <v>0</v>
      </c>
      <c r="AH9" s="1091">
        <f t="shared" ref="AH9:AH37" si="17">IF(AND($AG$6=1,$R$101&lt;&gt;0),$R$101/$R$96*SUMIF($G$152:$J$152,1,$W9:$Z9),0)</f>
        <v>0</v>
      </c>
      <c r="AI9" s="1054">
        <f t="shared" ref="AI9:AI37" si="18">IF(AND($AG$6=1,$R$102&lt;&gt;0),$R$102/$R$96*SUMIF($G$152:$J$152,1,$W9:$Z9),0)</f>
        <v>0</v>
      </c>
      <c r="AJ9" s="1054">
        <f t="shared" ref="AJ9:AJ37" si="19">IF(AND($AG$6=1,$R$103&lt;&gt;0),$R$103/$R$96*SUMIF($G$152:$J$152,1,$W9:$Z9),0)</f>
        <v>0</v>
      </c>
      <c r="AK9" s="1092">
        <f t="shared" si="6"/>
        <v>0</v>
      </c>
      <c r="AL9" s="2"/>
      <c r="AM9" s="1090">
        <f t="shared" si="7"/>
        <v>0</v>
      </c>
      <c r="AN9" s="1105">
        <f t="shared" ref="AN9:AN37" si="20">IF(G$42=$K$134,R9,0)</f>
        <v>0</v>
      </c>
      <c r="AO9" s="1054">
        <f t="shared" ref="AO9:AO37" si="21">IF(H$42=$K$134,S9,0)</f>
        <v>0</v>
      </c>
      <c r="AP9" s="1054">
        <f t="shared" ref="AP9:AP37" si="22">IF(K$42=$K$134,T9,0)</f>
        <v>0</v>
      </c>
      <c r="AQ9" s="1092">
        <f t="shared" ref="AQ9:AQ37" si="23">IF(N$42=$K$134,U9,0)</f>
        <v>0</v>
      </c>
      <c r="AR9" s="2"/>
      <c r="AS9" s="1090">
        <f t="shared" ref="AS9:AS37" si="24">IF(AG9&lt;&gt;0,AG9*$T$97/100,0)</f>
        <v>0</v>
      </c>
      <c r="AT9" s="1091">
        <f t="shared" ref="AT9:AT37" si="25">IF(AH9&lt;&gt;0,AH9*$T$101/100,0)</f>
        <v>0</v>
      </c>
      <c r="AU9" s="1054">
        <f t="shared" ref="AU9:AU37" si="26">IF(AI9&lt;&gt;0,AI9*$T$102/100,0)</f>
        <v>0</v>
      </c>
      <c r="AV9" s="1054">
        <f t="shared" ref="AV9:AV37" si="27">IF(AJ9&lt;&gt;0,AJ9*$T$103/100,0)</f>
        <v>0</v>
      </c>
      <c r="AW9" s="1092">
        <f t="shared" ref="AW9:AW37" si="28">IF(AK9&lt;&gt;0,AK9*$T$104/100,0)</f>
        <v>0</v>
      </c>
      <c r="AX9" s="2"/>
      <c r="AY9" s="1090">
        <f t="shared" ref="AY9:AY37" si="29">IF(SUM(AB9:AE9)=0,0,SUM(AB9:AE9)*U$90/100)</f>
        <v>0</v>
      </c>
      <c r="AZ9" s="1385" t="s">
        <v>851</v>
      </c>
      <c r="BA9" s="2"/>
    </row>
    <row r="10" spans="1:53" ht="20.25" customHeight="1" x14ac:dyDescent="0.2">
      <c r="A10" s="2"/>
      <c r="B10" s="18">
        <v>3</v>
      </c>
      <c r="C10" s="234">
        <f t="shared" ref="C10:C38" si="30">IF(D10="--","--",C9+1)</f>
        <v>3</v>
      </c>
      <c r="D10" s="235">
        <f t="shared" si="8"/>
        <v>11</v>
      </c>
      <c r="E10" s="2159" t="str">
        <f t="shared" si="0"/>
        <v xml:space="preserve">attiva trim.  </v>
      </c>
      <c r="F10" s="2160"/>
      <c r="G10" s="237"/>
      <c r="H10" s="237"/>
      <c r="I10" s="828"/>
      <c r="J10" s="829"/>
      <c r="K10" s="237"/>
      <c r="L10" s="828"/>
      <c r="M10" s="829"/>
      <c r="N10" s="237"/>
      <c r="O10" s="828"/>
      <c r="P10" s="829"/>
      <c r="Q10" s="83"/>
      <c r="R10" s="1053">
        <f t="shared" si="9"/>
        <v>0</v>
      </c>
      <c r="S10" s="1054">
        <f t="shared" si="1"/>
        <v>0</v>
      </c>
      <c r="T10" s="1054">
        <f t="shared" si="10"/>
        <v>0</v>
      </c>
      <c r="U10" s="1055">
        <f t="shared" si="11"/>
        <v>0</v>
      </c>
      <c r="V10" s="231">
        <f t="shared" ref="V10:V37" si="31">V9+1</f>
        <v>45599</v>
      </c>
      <c r="W10" s="1053">
        <f t="shared" si="2"/>
        <v>0</v>
      </c>
      <c r="X10" s="1054">
        <f t="shared" si="3"/>
        <v>0</v>
      </c>
      <c r="Y10" s="1054">
        <f t="shared" si="4"/>
        <v>0</v>
      </c>
      <c r="Z10" s="1055">
        <f t="shared" si="5"/>
        <v>0</v>
      </c>
      <c r="AA10" s="822">
        <f>VLOOKUP(V10,CASSA!$B$114:$C$479,2,FALSE)</f>
        <v>0</v>
      </c>
      <c r="AB10" s="1053">
        <f t="shared" si="12"/>
        <v>0</v>
      </c>
      <c r="AC10" s="1054">
        <f t="shared" si="13"/>
        <v>0</v>
      </c>
      <c r="AD10" s="1054">
        <f t="shared" si="14"/>
        <v>0</v>
      </c>
      <c r="AE10" s="1055">
        <f t="shared" si="15"/>
        <v>0</v>
      </c>
      <c r="AF10" s="2"/>
      <c r="AG10" s="1090">
        <f t="shared" si="16"/>
        <v>0</v>
      </c>
      <c r="AH10" s="1091">
        <f t="shared" si="17"/>
        <v>0</v>
      </c>
      <c r="AI10" s="1054">
        <f t="shared" si="18"/>
        <v>0</v>
      </c>
      <c r="AJ10" s="1054">
        <f t="shared" si="19"/>
        <v>0</v>
      </c>
      <c r="AK10" s="1092">
        <f t="shared" si="6"/>
        <v>0</v>
      </c>
      <c r="AL10" s="2"/>
      <c r="AM10" s="1090">
        <f t="shared" si="7"/>
        <v>0</v>
      </c>
      <c r="AN10" s="1105">
        <f t="shared" si="20"/>
        <v>0</v>
      </c>
      <c r="AO10" s="1054">
        <f t="shared" si="21"/>
        <v>0</v>
      </c>
      <c r="AP10" s="1054">
        <f t="shared" si="22"/>
        <v>0</v>
      </c>
      <c r="AQ10" s="1092">
        <f t="shared" si="23"/>
        <v>0</v>
      </c>
      <c r="AR10" s="2"/>
      <c r="AS10" s="1090">
        <f t="shared" si="24"/>
        <v>0</v>
      </c>
      <c r="AT10" s="1091">
        <f t="shared" si="25"/>
        <v>0</v>
      </c>
      <c r="AU10" s="1054">
        <f t="shared" si="26"/>
        <v>0</v>
      </c>
      <c r="AV10" s="1054">
        <f t="shared" si="27"/>
        <v>0</v>
      </c>
      <c r="AW10" s="1092">
        <f t="shared" si="28"/>
        <v>0</v>
      </c>
      <c r="AX10" s="2"/>
      <c r="AY10" s="1090">
        <f t="shared" si="29"/>
        <v>0</v>
      </c>
      <c r="AZ10" s="1385" t="s">
        <v>852</v>
      </c>
      <c r="BA10" s="2"/>
    </row>
    <row r="11" spans="1:53" ht="20.25" customHeight="1" x14ac:dyDescent="0.2">
      <c r="A11" s="2"/>
      <c r="B11" s="18">
        <v>4</v>
      </c>
      <c r="C11" s="234">
        <f t="shared" si="30"/>
        <v>4</v>
      </c>
      <c r="D11" s="235">
        <f t="shared" si="8"/>
        <v>11</v>
      </c>
      <c r="E11" s="2159" t="str">
        <f t="shared" si="0"/>
        <v xml:space="preserve">attiva trim.  </v>
      </c>
      <c r="F11" s="2160"/>
      <c r="G11" s="237"/>
      <c r="H11" s="237"/>
      <c r="I11" s="828"/>
      <c r="J11" s="829"/>
      <c r="K11" s="237"/>
      <c r="L11" s="828"/>
      <c r="M11" s="829"/>
      <c r="N11" s="237"/>
      <c r="O11" s="828"/>
      <c r="P11" s="829"/>
      <c r="Q11" s="6"/>
      <c r="R11" s="1053">
        <f t="shared" si="9"/>
        <v>0</v>
      </c>
      <c r="S11" s="1054">
        <f t="shared" si="1"/>
        <v>0</v>
      </c>
      <c r="T11" s="1054">
        <f t="shared" si="10"/>
        <v>0</v>
      </c>
      <c r="U11" s="1055">
        <f t="shared" si="11"/>
        <v>0</v>
      </c>
      <c r="V11" s="231">
        <f t="shared" si="31"/>
        <v>45600</v>
      </c>
      <c r="W11" s="1053">
        <f t="shared" si="2"/>
        <v>0</v>
      </c>
      <c r="X11" s="1054">
        <f t="shared" si="3"/>
        <v>0</v>
      </c>
      <c r="Y11" s="1054">
        <f t="shared" si="4"/>
        <v>0</v>
      </c>
      <c r="Z11" s="1055">
        <f t="shared" si="5"/>
        <v>0</v>
      </c>
      <c r="AA11" s="822">
        <f>VLOOKUP(V11,CASSA!$B$114:$C$479,2,FALSE)</f>
        <v>0</v>
      </c>
      <c r="AB11" s="1053">
        <f t="shared" si="12"/>
        <v>0</v>
      </c>
      <c r="AC11" s="1054">
        <f t="shared" si="13"/>
        <v>0</v>
      </c>
      <c r="AD11" s="1054">
        <f t="shared" si="14"/>
        <v>0</v>
      </c>
      <c r="AE11" s="1055">
        <f t="shared" si="15"/>
        <v>0</v>
      </c>
      <c r="AF11" s="2"/>
      <c r="AG11" s="1090">
        <f t="shared" si="16"/>
        <v>0</v>
      </c>
      <c r="AH11" s="1091">
        <f t="shared" si="17"/>
        <v>0</v>
      </c>
      <c r="AI11" s="1054">
        <f t="shared" si="18"/>
        <v>0</v>
      </c>
      <c r="AJ11" s="1054">
        <f t="shared" si="19"/>
        <v>0</v>
      </c>
      <c r="AK11" s="1092">
        <f t="shared" si="6"/>
        <v>0</v>
      </c>
      <c r="AL11" s="2"/>
      <c r="AM11" s="1090">
        <f t="shared" si="7"/>
        <v>0</v>
      </c>
      <c r="AN11" s="1105">
        <f t="shared" si="20"/>
        <v>0</v>
      </c>
      <c r="AO11" s="1054">
        <f t="shared" si="21"/>
        <v>0</v>
      </c>
      <c r="AP11" s="1054">
        <f t="shared" si="22"/>
        <v>0</v>
      </c>
      <c r="AQ11" s="1092">
        <f t="shared" si="23"/>
        <v>0</v>
      </c>
      <c r="AR11" s="2"/>
      <c r="AS11" s="1090">
        <f t="shared" si="24"/>
        <v>0</v>
      </c>
      <c r="AT11" s="1091">
        <f t="shared" si="25"/>
        <v>0</v>
      </c>
      <c r="AU11" s="1054">
        <f t="shared" si="26"/>
        <v>0</v>
      </c>
      <c r="AV11" s="1054">
        <f t="shared" si="27"/>
        <v>0</v>
      </c>
      <c r="AW11" s="1092">
        <f t="shared" si="28"/>
        <v>0</v>
      </c>
      <c r="AX11" s="2"/>
      <c r="AY11" s="1090">
        <f t="shared" si="29"/>
        <v>0</v>
      </c>
      <c r="AZ11" s="1385" t="s">
        <v>853</v>
      </c>
      <c r="BA11" s="2"/>
    </row>
    <row r="12" spans="1:53" ht="20.25" customHeight="1" x14ac:dyDescent="0.2">
      <c r="A12" s="2"/>
      <c r="B12" s="18">
        <v>5</v>
      </c>
      <c r="C12" s="234">
        <f t="shared" si="30"/>
        <v>5</v>
      </c>
      <c r="D12" s="235">
        <f t="shared" si="8"/>
        <v>11</v>
      </c>
      <c r="E12" s="2159" t="str">
        <f t="shared" si="0"/>
        <v xml:space="preserve">attiva trim.  </v>
      </c>
      <c r="F12" s="2160"/>
      <c r="G12" s="237"/>
      <c r="H12" s="237"/>
      <c r="I12" s="828"/>
      <c r="J12" s="829"/>
      <c r="K12" s="237"/>
      <c r="L12" s="828"/>
      <c r="M12" s="829"/>
      <c r="N12" s="237"/>
      <c r="O12" s="828"/>
      <c r="P12" s="829"/>
      <c r="Q12" s="6"/>
      <c r="R12" s="1053">
        <f t="shared" si="9"/>
        <v>0</v>
      </c>
      <c r="S12" s="1054">
        <f t="shared" si="1"/>
        <v>0</v>
      </c>
      <c r="T12" s="1054">
        <f t="shared" si="10"/>
        <v>0</v>
      </c>
      <c r="U12" s="1055">
        <f t="shared" si="11"/>
        <v>0</v>
      </c>
      <c r="V12" s="231">
        <f t="shared" si="31"/>
        <v>45601</v>
      </c>
      <c r="W12" s="1053">
        <f t="shared" si="2"/>
        <v>0</v>
      </c>
      <c r="X12" s="1054">
        <f t="shared" si="3"/>
        <v>0</v>
      </c>
      <c r="Y12" s="1054">
        <f t="shared" si="4"/>
        <v>0</v>
      </c>
      <c r="Z12" s="1055">
        <f t="shared" si="5"/>
        <v>0</v>
      </c>
      <c r="AA12" s="822">
        <f>VLOOKUP(V12,CASSA!$B$114:$C$479,2,FALSE)</f>
        <v>0</v>
      </c>
      <c r="AB12" s="1053">
        <f t="shared" si="12"/>
        <v>0</v>
      </c>
      <c r="AC12" s="1054">
        <f t="shared" si="13"/>
        <v>0</v>
      </c>
      <c r="AD12" s="1054">
        <f t="shared" si="14"/>
        <v>0</v>
      </c>
      <c r="AE12" s="1055">
        <f t="shared" si="15"/>
        <v>0</v>
      </c>
      <c r="AF12" s="2"/>
      <c r="AG12" s="1090">
        <f t="shared" si="16"/>
        <v>0</v>
      </c>
      <c r="AH12" s="1091">
        <f t="shared" si="17"/>
        <v>0</v>
      </c>
      <c r="AI12" s="1054">
        <f t="shared" si="18"/>
        <v>0</v>
      </c>
      <c r="AJ12" s="1054">
        <f t="shared" si="19"/>
        <v>0</v>
      </c>
      <c r="AK12" s="1092">
        <f t="shared" si="6"/>
        <v>0</v>
      </c>
      <c r="AL12" s="2"/>
      <c r="AM12" s="1090">
        <f t="shared" si="7"/>
        <v>0</v>
      </c>
      <c r="AN12" s="1105">
        <f t="shared" si="20"/>
        <v>0</v>
      </c>
      <c r="AO12" s="1054">
        <f t="shared" si="21"/>
        <v>0</v>
      </c>
      <c r="AP12" s="1054">
        <f t="shared" si="22"/>
        <v>0</v>
      </c>
      <c r="AQ12" s="1092">
        <f t="shared" si="23"/>
        <v>0</v>
      </c>
      <c r="AR12" s="2"/>
      <c r="AS12" s="1090">
        <f t="shared" si="24"/>
        <v>0</v>
      </c>
      <c r="AT12" s="1091">
        <f t="shared" si="25"/>
        <v>0</v>
      </c>
      <c r="AU12" s="1054">
        <f t="shared" si="26"/>
        <v>0</v>
      </c>
      <c r="AV12" s="1054">
        <f t="shared" si="27"/>
        <v>0</v>
      </c>
      <c r="AW12" s="1092">
        <f t="shared" si="28"/>
        <v>0</v>
      </c>
      <c r="AX12" s="2"/>
      <c r="AY12" s="1090">
        <f t="shared" si="29"/>
        <v>0</v>
      </c>
      <c r="AZ12" s="1385"/>
      <c r="BA12" s="2"/>
    </row>
    <row r="13" spans="1:53" ht="20.25" customHeight="1" x14ac:dyDescent="0.2">
      <c r="A13" s="2"/>
      <c r="B13" s="18">
        <v>6</v>
      </c>
      <c r="C13" s="234">
        <f t="shared" si="30"/>
        <v>6</v>
      </c>
      <c r="D13" s="235">
        <f t="shared" si="8"/>
        <v>11</v>
      </c>
      <c r="E13" s="2159" t="str">
        <f t="shared" si="0"/>
        <v xml:space="preserve">attiva trim.  </v>
      </c>
      <c r="F13" s="2160"/>
      <c r="G13" s="237"/>
      <c r="H13" s="237"/>
      <c r="I13" s="828"/>
      <c r="J13" s="829"/>
      <c r="K13" s="237"/>
      <c r="L13" s="828"/>
      <c r="M13" s="829"/>
      <c r="N13" s="237"/>
      <c r="O13" s="828"/>
      <c r="P13" s="829"/>
      <c r="Q13" s="6"/>
      <c r="R13" s="1053">
        <f t="shared" si="9"/>
        <v>0</v>
      </c>
      <c r="S13" s="1054">
        <f t="shared" si="1"/>
        <v>0</v>
      </c>
      <c r="T13" s="1054">
        <f t="shared" si="10"/>
        <v>0</v>
      </c>
      <c r="U13" s="1055">
        <f t="shared" si="11"/>
        <v>0</v>
      </c>
      <c r="V13" s="231">
        <f t="shared" si="31"/>
        <v>45602</v>
      </c>
      <c r="W13" s="1053">
        <f t="shared" si="2"/>
        <v>0</v>
      </c>
      <c r="X13" s="1054">
        <f t="shared" si="3"/>
        <v>0</v>
      </c>
      <c r="Y13" s="1054">
        <f t="shared" si="4"/>
        <v>0</v>
      </c>
      <c r="Z13" s="1055">
        <f t="shared" si="5"/>
        <v>0</v>
      </c>
      <c r="AA13" s="822">
        <f>VLOOKUP(V13,CASSA!$B$114:$C$479,2,FALSE)</f>
        <v>0</v>
      </c>
      <c r="AB13" s="1053">
        <f t="shared" si="12"/>
        <v>0</v>
      </c>
      <c r="AC13" s="1054">
        <f t="shared" si="13"/>
        <v>0</v>
      </c>
      <c r="AD13" s="1054">
        <f t="shared" si="14"/>
        <v>0</v>
      </c>
      <c r="AE13" s="1055">
        <f t="shared" si="15"/>
        <v>0</v>
      </c>
      <c r="AF13" s="2"/>
      <c r="AG13" s="1090">
        <f t="shared" si="16"/>
        <v>0</v>
      </c>
      <c r="AH13" s="1091">
        <f t="shared" si="17"/>
        <v>0</v>
      </c>
      <c r="AI13" s="1054">
        <f t="shared" si="18"/>
        <v>0</v>
      </c>
      <c r="AJ13" s="1054">
        <f t="shared" si="19"/>
        <v>0</v>
      </c>
      <c r="AK13" s="1092">
        <f t="shared" si="6"/>
        <v>0</v>
      </c>
      <c r="AL13" s="2"/>
      <c r="AM13" s="1090">
        <f t="shared" si="7"/>
        <v>0</v>
      </c>
      <c r="AN13" s="1105">
        <f t="shared" si="20"/>
        <v>0</v>
      </c>
      <c r="AO13" s="1054">
        <f t="shared" si="21"/>
        <v>0</v>
      </c>
      <c r="AP13" s="1054">
        <f t="shared" si="22"/>
        <v>0</v>
      </c>
      <c r="AQ13" s="1092">
        <f t="shared" si="23"/>
        <v>0</v>
      </c>
      <c r="AR13" s="2"/>
      <c r="AS13" s="1090">
        <f t="shared" si="24"/>
        <v>0</v>
      </c>
      <c r="AT13" s="1091">
        <f t="shared" si="25"/>
        <v>0</v>
      </c>
      <c r="AU13" s="1054">
        <f t="shared" si="26"/>
        <v>0</v>
      </c>
      <c r="AV13" s="1054">
        <f t="shared" si="27"/>
        <v>0</v>
      </c>
      <c r="AW13" s="1092">
        <f t="shared" si="28"/>
        <v>0</v>
      </c>
      <c r="AX13" s="2"/>
      <c r="AY13" s="1090">
        <f t="shared" si="29"/>
        <v>0</v>
      </c>
      <c r="AZ13" s="1385"/>
      <c r="BA13" s="2"/>
    </row>
    <row r="14" spans="1:53" ht="20.25" customHeight="1" x14ac:dyDescent="0.2">
      <c r="A14" s="2"/>
      <c r="B14" s="18">
        <v>7</v>
      </c>
      <c r="C14" s="234">
        <f t="shared" si="30"/>
        <v>7</v>
      </c>
      <c r="D14" s="235">
        <f t="shared" si="8"/>
        <v>11</v>
      </c>
      <c r="E14" s="2159" t="str">
        <f t="shared" si="0"/>
        <v xml:space="preserve">attiva trim.  </v>
      </c>
      <c r="F14" s="2160"/>
      <c r="G14" s="237"/>
      <c r="H14" s="237"/>
      <c r="I14" s="828"/>
      <c r="J14" s="829"/>
      <c r="K14" s="237"/>
      <c r="L14" s="828"/>
      <c r="M14" s="829"/>
      <c r="N14" s="237"/>
      <c r="O14" s="828"/>
      <c r="P14" s="829"/>
      <c r="Q14" s="6"/>
      <c r="R14" s="1053">
        <f t="shared" si="9"/>
        <v>0</v>
      </c>
      <c r="S14" s="1054">
        <f t="shared" si="1"/>
        <v>0</v>
      </c>
      <c r="T14" s="1054">
        <f t="shared" si="10"/>
        <v>0</v>
      </c>
      <c r="U14" s="1055">
        <f t="shared" si="11"/>
        <v>0</v>
      </c>
      <c r="V14" s="231">
        <f t="shared" si="31"/>
        <v>45603</v>
      </c>
      <c r="W14" s="1053">
        <f t="shared" si="2"/>
        <v>0</v>
      </c>
      <c r="X14" s="1054">
        <f t="shared" si="3"/>
        <v>0</v>
      </c>
      <c r="Y14" s="1054">
        <f t="shared" si="4"/>
        <v>0</v>
      </c>
      <c r="Z14" s="1055">
        <f t="shared" si="5"/>
        <v>0</v>
      </c>
      <c r="AA14" s="822">
        <f>VLOOKUP(V14,CASSA!$B$114:$C$479,2,FALSE)</f>
        <v>0</v>
      </c>
      <c r="AB14" s="1053">
        <f t="shared" si="12"/>
        <v>0</v>
      </c>
      <c r="AC14" s="1054">
        <f t="shared" si="13"/>
        <v>0</v>
      </c>
      <c r="AD14" s="1054">
        <f t="shared" si="14"/>
        <v>0</v>
      </c>
      <c r="AE14" s="1055">
        <f t="shared" si="15"/>
        <v>0</v>
      </c>
      <c r="AF14" s="2"/>
      <c r="AG14" s="1090">
        <f t="shared" si="16"/>
        <v>0</v>
      </c>
      <c r="AH14" s="1091">
        <f t="shared" si="17"/>
        <v>0</v>
      </c>
      <c r="AI14" s="1054">
        <f t="shared" si="18"/>
        <v>0</v>
      </c>
      <c r="AJ14" s="1054">
        <f t="shared" si="19"/>
        <v>0</v>
      </c>
      <c r="AK14" s="1092">
        <f t="shared" si="6"/>
        <v>0</v>
      </c>
      <c r="AL14" s="2"/>
      <c r="AM14" s="1090">
        <f t="shared" si="7"/>
        <v>0</v>
      </c>
      <c r="AN14" s="1105">
        <f t="shared" si="20"/>
        <v>0</v>
      </c>
      <c r="AO14" s="1054">
        <f t="shared" si="21"/>
        <v>0</v>
      </c>
      <c r="AP14" s="1054">
        <f t="shared" si="22"/>
        <v>0</v>
      </c>
      <c r="AQ14" s="1092">
        <f t="shared" si="23"/>
        <v>0</v>
      </c>
      <c r="AR14" s="2"/>
      <c r="AS14" s="1090">
        <f t="shared" si="24"/>
        <v>0</v>
      </c>
      <c r="AT14" s="1091">
        <f t="shared" si="25"/>
        <v>0</v>
      </c>
      <c r="AU14" s="1054">
        <f t="shared" si="26"/>
        <v>0</v>
      </c>
      <c r="AV14" s="1054">
        <f t="shared" si="27"/>
        <v>0</v>
      </c>
      <c r="AW14" s="1092">
        <f t="shared" si="28"/>
        <v>0</v>
      </c>
      <c r="AX14" s="2"/>
      <c r="AY14" s="1090">
        <f t="shared" si="29"/>
        <v>0</v>
      </c>
      <c r="AZ14" s="1385"/>
      <c r="BA14" s="2"/>
    </row>
    <row r="15" spans="1:53" ht="20.25" customHeight="1" x14ac:dyDescent="0.2">
      <c r="A15" s="2"/>
      <c r="B15" s="18">
        <v>8</v>
      </c>
      <c r="C15" s="234">
        <f t="shared" si="30"/>
        <v>8</v>
      </c>
      <c r="D15" s="235">
        <f t="shared" si="8"/>
        <v>11</v>
      </c>
      <c r="E15" s="2159" t="str">
        <f t="shared" si="0"/>
        <v xml:space="preserve">attiva trim.  </v>
      </c>
      <c r="F15" s="2160"/>
      <c r="G15" s="237"/>
      <c r="H15" s="237"/>
      <c r="I15" s="828"/>
      <c r="J15" s="829"/>
      <c r="K15" s="237"/>
      <c r="L15" s="828"/>
      <c r="M15" s="829"/>
      <c r="N15" s="237"/>
      <c r="O15" s="828"/>
      <c r="P15" s="829"/>
      <c r="Q15" s="6"/>
      <c r="R15" s="1053">
        <f t="shared" si="9"/>
        <v>0</v>
      </c>
      <c r="S15" s="1054">
        <f t="shared" si="1"/>
        <v>0</v>
      </c>
      <c r="T15" s="1054">
        <f t="shared" si="10"/>
        <v>0</v>
      </c>
      <c r="U15" s="1055">
        <f t="shared" si="11"/>
        <v>0</v>
      </c>
      <c r="V15" s="231">
        <f t="shared" si="31"/>
        <v>45604</v>
      </c>
      <c r="W15" s="1053">
        <f t="shared" si="2"/>
        <v>0</v>
      </c>
      <c r="X15" s="1054">
        <f t="shared" si="3"/>
        <v>0</v>
      </c>
      <c r="Y15" s="1054">
        <f t="shared" si="4"/>
        <v>0</v>
      </c>
      <c r="Z15" s="1055">
        <f t="shared" si="5"/>
        <v>0</v>
      </c>
      <c r="AA15" s="822">
        <f>VLOOKUP(V15,CASSA!$B$114:$C$479,2,FALSE)</f>
        <v>0</v>
      </c>
      <c r="AB15" s="1053">
        <f t="shared" si="12"/>
        <v>0</v>
      </c>
      <c r="AC15" s="1054">
        <f t="shared" si="13"/>
        <v>0</v>
      </c>
      <c r="AD15" s="1054">
        <f t="shared" si="14"/>
        <v>0</v>
      </c>
      <c r="AE15" s="1055">
        <f t="shared" si="15"/>
        <v>0</v>
      </c>
      <c r="AF15" s="2"/>
      <c r="AG15" s="1090">
        <f t="shared" si="16"/>
        <v>0</v>
      </c>
      <c r="AH15" s="1091">
        <f t="shared" si="17"/>
        <v>0</v>
      </c>
      <c r="AI15" s="1054">
        <f t="shared" si="18"/>
        <v>0</v>
      </c>
      <c r="AJ15" s="1054">
        <f t="shared" si="19"/>
        <v>0</v>
      </c>
      <c r="AK15" s="1092">
        <f t="shared" si="6"/>
        <v>0</v>
      </c>
      <c r="AL15" s="2"/>
      <c r="AM15" s="1090">
        <f t="shared" si="7"/>
        <v>0</v>
      </c>
      <c r="AN15" s="1105">
        <f t="shared" si="20"/>
        <v>0</v>
      </c>
      <c r="AO15" s="1054">
        <f t="shared" si="21"/>
        <v>0</v>
      </c>
      <c r="AP15" s="1054">
        <f t="shared" si="22"/>
        <v>0</v>
      </c>
      <c r="AQ15" s="1092">
        <f t="shared" si="23"/>
        <v>0</v>
      </c>
      <c r="AR15" s="2"/>
      <c r="AS15" s="1090">
        <f t="shared" si="24"/>
        <v>0</v>
      </c>
      <c r="AT15" s="1091">
        <f t="shared" si="25"/>
        <v>0</v>
      </c>
      <c r="AU15" s="1054">
        <f t="shared" si="26"/>
        <v>0</v>
      </c>
      <c r="AV15" s="1054">
        <f t="shared" si="27"/>
        <v>0</v>
      </c>
      <c r="AW15" s="1092">
        <f t="shared" si="28"/>
        <v>0</v>
      </c>
      <c r="AX15" s="2"/>
      <c r="AY15" s="1090">
        <f t="shared" si="29"/>
        <v>0</v>
      </c>
      <c r="AZ15" s="1385"/>
      <c r="BA15" s="2"/>
    </row>
    <row r="16" spans="1:53" ht="20.25" customHeight="1" x14ac:dyDescent="0.2">
      <c r="A16" s="2"/>
      <c r="B16" s="18">
        <v>9</v>
      </c>
      <c r="C16" s="234">
        <f t="shared" si="30"/>
        <v>9</v>
      </c>
      <c r="D16" s="235">
        <f t="shared" si="8"/>
        <v>11</v>
      </c>
      <c r="E16" s="2159" t="str">
        <f t="shared" si="0"/>
        <v xml:space="preserve">attiva trim.  </v>
      </c>
      <c r="F16" s="2160"/>
      <c r="G16" s="237"/>
      <c r="H16" s="237"/>
      <c r="I16" s="828"/>
      <c r="J16" s="829"/>
      <c r="K16" s="237"/>
      <c r="L16" s="828"/>
      <c r="M16" s="829"/>
      <c r="N16" s="237"/>
      <c r="O16" s="828"/>
      <c r="P16" s="829"/>
      <c r="Q16" s="6"/>
      <c r="R16" s="1053">
        <f t="shared" si="9"/>
        <v>0</v>
      </c>
      <c r="S16" s="1054">
        <f t="shared" si="1"/>
        <v>0</v>
      </c>
      <c r="T16" s="1054">
        <f t="shared" si="10"/>
        <v>0</v>
      </c>
      <c r="U16" s="1055">
        <f t="shared" si="11"/>
        <v>0</v>
      </c>
      <c r="V16" s="231">
        <f t="shared" si="31"/>
        <v>45605</v>
      </c>
      <c r="W16" s="1053">
        <f t="shared" si="2"/>
        <v>0</v>
      </c>
      <c r="X16" s="1054">
        <f t="shared" si="3"/>
        <v>0</v>
      </c>
      <c r="Y16" s="1054">
        <f t="shared" si="4"/>
        <v>0</v>
      </c>
      <c r="Z16" s="1055">
        <f t="shared" si="5"/>
        <v>0</v>
      </c>
      <c r="AA16" s="822">
        <f>VLOOKUP(V16,CASSA!$B$114:$C$479,2,FALSE)</f>
        <v>0</v>
      </c>
      <c r="AB16" s="1053">
        <f t="shared" si="12"/>
        <v>0</v>
      </c>
      <c r="AC16" s="1054">
        <f t="shared" si="13"/>
        <v>0</v>
      </c>
      <c r="AD16" s="1054">
        <f t="shared" si="14"/>
        <v>0</v>
      </c>
      <c r="AE16" s="1055">
        <f t="shared" si="15"/>
        <v>0</v>
      </c>
      <c r="AF16" s="2"/>
      <c r="AG16" s="1090">
        <f t="shared" si="16"/>
        <v>0</v>
      </c>
      <c r="AH16" s="1091">
        <f t="shared" si="17"/>
        <v>0</v>
      </c>
      <c r="AI16" s="1054">
        <f t="shared" si="18"/>
        <v>0</v>
      </c>
      <c r="AJ16" s="1054">
        <f t="shared" si="19"/>
        <v>0</v>
      </c>
      <c r="AK16" s="1092">
        <f t="shared" si="6"/>
        <v>0</v>
      </c>
      <c r="AL16" s="2"/>
      <c r="AM16" s="1090">
        <f t="shared" si="7"/>
        <v>0</v>
      </c>
      <c r="AN16" s="1105">
        <f t="shared" si="20"/>
        <v>0</v>
      </c>
      <c r="AO16" s="1054">
        <f t="shared" si="21"/>
        <v>0</v>
      </c>
      <c r="AP16" s="1054">
        <f t="shared" si="22"/>
        <v>0</v>
      </c>
      <c r="AQ16" s="1092">
        <f t="shared" si="23"/>
        <v>0</v>
      </c>
      <c r="AR16" s="2"/>
      <c r="AS16" s="1090">
        <f t="shared" si="24"/>
        <v>0</v>
      </c>
      <c r="AT16" s="1091">
        <f t="shared" si="25"/>
        <v>0</v>
      </c>
      <c r="AU16" s="1054">
        <f t="shared" si="26"/>
        <v>0</v>
      </c>
      <c r="AV16" s="1054">
        <f t="shared" si="27"/>
        <v>0</v>
      </c>
      <c r="AW16" s="1092">
        <f t="shared" si="28"/>
        <v>0</v>
      </c>
      <c r="AX16" s="2"/>
      <c r="AY16" s="1090">
        <f t="shared" si="29"/>
        <v>0</v>
      </c>
      <c r="AZ16" s="1385"/>
      <c r="BA16" s="2"/>
    </row>
    <row r="17" spans="1:53" ht="20.25" customHeight="1" x14ac:dyDescent="0.2">
      <c r="A17" s="2"/>
      <c r="B17" s="18">
        <v>10</v>
      </c>
      <c r="C17" s="234">
        <f t="shared" si="30"/>
        <v>10</v>
      </c>
      <c r="D17" s="235">
        <f t="shared" si="8"/>
        <v>11</v>
      </c>
      <c r="E17" s="2159" t="str">
        <f t="shared" si="0"/>
        <v xml:space="preserve">attiva trim.  </v>
      </c>
      <c r="F17" s="2160"/>
      <c r="G17" s="237"/>
      <c r="H17" s="237"/>
      <c r="I17" s="828"/>
      <c r="J17" s="829"/>
      <c r="K17" s="237"/>
      <c r="L17" s="828"/>
      <c r="M17" s="829"/>
      <c r="N17" s="237"/>
      <c r="O17" s="828"/>
      <c r="P17" s="829"/>
      <c r="Q17" s="6"/>
      <c r="R17" s="1053">
        <f t="shared" si="9"/>
        <v>0</v>
      </c>
      <c r="S17" s="1054">
        <f t="shared" si="1"/>
        <v>0</v>
      </c>
      <c r="T17" s="1054">
        <f t="shared" si="10"/>
        <v>0</v>
      </c>
      <c r="U17" s="1055">
        <f t="shared" si="11"/>
        <v>0</v>
      </c>
      <c r="V17" s="231">
        <f t="shared" si="31"/>
        <v>45606</v>
      </c>
      <c r="W17" s="1053">
        <f t="shared" si="2"/>
        <v>0</v>
      </c>
      <c r="X17" s="1054">
        <f t="shared" si="3"/>
        <v>0</v>
      </c>
      <c r="Y17" s="1054">
        <f t="shared" si="4"/>
        <v>0</v>
      </c>
      <c r="Z17" s="1055">
        <f t="shared" si="5"/>
        <v>0</v>
      </c>
      <c r="AA17" s="822">
        <f>VLOOKUP(V17,CASSA!$B$114:$C$479,2,FALSE)</f>
        <v>0</v>
      </c>
      <c r="AB17" s="1053">
        <f t="shared" si="12"/>
        <v>0</v>
      </c>
      <c r="AC17" s="1054">
        <f t="shared" si="13"/>
        <v>0</v>
      </c>
      <c r="AD17" s="1054">
        <f t="shared" si="14"/>
        <v>0</v>
      </c>
      <c r="AE17" s="1055">
        <f t="shared" si="15"/>
        <v>0</v>
      </c>
      <c r="AF17" s="2"/>
      <c r="AG17" s="1090">
        <f t="shared" si="16"/>
        <v>0</v>
      </c>
      <c r="AH17" s="1091">
        <f t="shared" si="17"/>
        <v>0</v>
      </c>
      <c r="AI17" s="1054">
        <f t="shared" si="18"/>
        <v>0</v>
      </c>
      <c r="AJ17" s="1054">
        <f t="shared" si="19"/>
        <v>0</v>
      </c>
      <c r="AK17" s="1092">
        <f t="shared" si="6"/>
        <v>0</v>
      </c>
      <c r="AL17" s="2"/>
      <c r="AM17" s="1090">
        <f t="shared" si="7"/>
        <v>0</v>
      </c>
      <c r="AN17" s="1105">
        <f t="shared" si="20"/>
        <v>0</v>
      </c>
      <c r="AO17" s="1054">
        <f t="shared" si="21"/>
        <v>0</v>
      </c>
      <c r="AP17" s="1054">
        <f t="shared" si="22"/>
        <v>0</v>
      </c>
      <c r="AQ17" s="1092">
        <f t="shared" si="23"/>
        <v>0</v>
      </c>
      <c r="AR17" s="2"/>
      <c r="AS17" s="1090">
        <f t="shared" si="24"/>
        <v>0</v>
      </c>
      <c r="AT17" s="1091">
        <f t="shared" si="25"/>
        <v>0</v>
      </c>
      <c r="AU17" s="1054">
        <f t="shared" si="26"/>
        <v>0</v>
      </c>
      <c r="AV17" s="1054">
        <f t="shared" si="27"/>
        <v>0</v>
      </c>
      <c r="AW17" s="1092">
        <f t="shared" si="28"/>
        <v>0</v>
      </c>
      <c r="AX17" s="2"/>
      <c r="AY17" s="1090">
        <f t="shared" si="29"/>
        <v>0</v>
      </c>
      <c r="AZ17" s="1385"/>
      <c r="BA17" s="2"/>
    </row>
    <row r="18" spans="1:53" ht="20.25" customHeight="1" x14ac:dyDescent="0.2">
      <c r="A18" s="2"/>
      <c r="B18" s="18">
        <v>11</v>
      </c>
      <c r="C18" s="234">
        <f t="shared" si="30"/>
        <v>11</v>
      </c>
      <c r="D18" s="235">
        <f t="shared" si="8"/>
        <v>11</v>
      </c>
      <c r="E18" s="2159" t="str">
        <f t="shared" si="0"/>
        <v xml:space="preserve">attiva trim.  </v>
      </c>
      <c r="F18" s="2160"/>
      <c r="G18" s="237"/>
      <c r="H18" s="237"/>
      <c r="I18" s="828"/>
      <c r="J18" s="829"/>
      <c r="K18" s="237"/>
      <c r="L18" s="828"/>
      <c r="M18" s="829"/>
      <c r="N18" s="237"/>
      <c r="O18" s="828"/>
      <c r="P18" s="829"/>
      <c r="Q18" s="6"/>
      <c r="R18" s="1053">
        <f t="shared" si="9"/>
        <v>0</v>
      </c>
      <c r="S18" s="1054">
        <f t="shared" si="1"/>
        <v>0</v>
      </c>
      <c r="T18" s="1054">
        <f t="shared" si="10"/>
        <v>0</v>
      </c>
      <c r="U18" s="1055">
        <f t="shared" si="11"/>
        <v>0</v>
      </c>
      <c r="V18" s="231">
        <f t="shared" si="31"/>
        <v>45607</v>
      </c>
      <c r="W18" s="1053">
        <f t="shared" si="2"/>
        <v>0</v>
      </c>
      <c r="X18" s="1054">
        <f t="shared" si="3"/>
        <v>0</v>
      </c>
      <c r="Y18" s="1054">
        <f t="shared" si="4"/>
        <v>0</v>
      </c>
      <c r="Z18" s="1055">
        <f t="shared" si="5"/>
        <v>0</v>
      </c>
      <c r="AA18" s="822">
        <f>VLOOKUP(V18,CASSA!$B$114:$C$479,2,FALSE)</f>
        <v>0</v>
      </c>
      <c r="AB18" s="1053">
        <f t="shared" si="12"/>
        <v>0</v>
      </c>
      <c r="AC18" s="1054">
        <f t="shared" si="13"/>
        <v>0</v>
      </c>
      <c r="AD18" s="1054">
        <f t="shared" si="14"/>
        <v>0</v>
      </c>
      <c r="AE18" s="1055">
        <f t="shared" si="15"/>
        <v>0</v>
      </c>
      <c r="AF18" s="2"/>
      <c r="AG18" s="1090">
        <f t="shared" si="16"/>
        <v>0</v>
      </c>
      <c r="AH18" s="1091">
        <f t="shared" si="17"/>
        <v>0</v>
      </c>
      <c r="AI18" s="1054">
        <f t="shared" si="18"/>
        <v>0</v>
      </c>
      <c r="AJ18" s="1054">
        <f t="shared" si="19"/>
        <v>0</v>
      </c>
      <c r="AK18" s="1092">
        <f t="shared" si="6"/>
        <v>0</v>
      </c>
      <c r="AL18" s="2"/>
      <c r="AM18" s="1090">
        <f t="shared" si="7"/>
        <v>0</v>
      </c>
      <c r="AN18" s="1105">
        <f t="shared" si="20"/>
        <v>0</v>
      </c>
      <c r="AO18" s="1054">
        <f t="shared" si="21"/>
        <v>0</v>
      </c>
      <c r="AP18" s="1054">
        <f t="shared" si="22"/>
        <v>0</v>
      </c>
      <c r="AQ18" s="1092">
        <f t="shared" si="23"/>
        <v>0</v>
      </c>
      <c r="AR18" s="2"/>
      <c r="AS18" s="1090">
        <f t="shared" si="24"/>
        <v>0</v>
      </c>
      <c r="AT18" s="1091">
        <f t="shared" si="25"/>
        <v>0</v>
      </c>
      <c r="AU18" s="1054">
        <f t="shared" si="26"/>
        <v>0</v>
      </c>
      <c r="AV18" s="1054">
        <f t="shared" si="27"/>
        <v>0</v>
      </c>
      <c r="AW18" s="1092">
        <f t="shared" si="28"/>
        <v>0</v>
      </c>
      <c r="AX18" s="2"/>
      <c r="AY18" s="1090">
        <f t="shared" si="29"/>
        <v>0</v>
      </c>
      <c r="AZ18" s="1385"/>
      <c r="BA18" s="2"/>
    </row>
    <row r="19" spans="1:53" ht="20.25" customHeight="1" x14ac:dyDescent="0.2">
      <c r="A19" s="2"/>
      <c r="B19" s="18">
        <v>12</v>
      </c>
      <c r="C19" s="234">
        <f t="shared" si="30"/>
        <v>12</v>
      </c>
      <c r="D19" s="235">
        <f t="shared" si="8"/>
        <v>11</v>
      </c>
      <c r="E19" s="2159" t="str">
        <f t="shared" si="0"/>
        <v xml:space="preserve">attiva trim.  </v>
      </c>
      <c r="F19" s="2160"/>
      <c r="G19" s="237"/>
      <c r="H19" s="237"/>
      <c r="I19" s="828"/>
      <c r="J19" s="829"/>
      <c r="K19" s="237"/>
      <c r="L19" s="828"/>
      <c r="M19" s="829"/>
      <c r="N19" s="237"/>
      <c r="O19" s="828"/>
      <c r="P19" s="829"/>
      <c r="Q19" s="6"/>
      <c r="R19" s="1053">
        <f t="shared" si="9"/>
        <v>0</v>
      </c>
      <c r="S19" s="1054">
        <f t="shared" si="1"/>
        <v>0</v>
      </c>
      <c r="T19" s="1054">
        <f t="shared" si="10"/>
        <v>0</v>
      </c>
      <c r="U19" s="1055">
        <f t="shared" si="11"/>
        <v>0</v>
      </c>
      <c r="V19" s="231">
        <f t="shared" si="31"/>
        <v>45608</v>
      </c>
      <c r="W19" s="1053">
        <f t="shared" si="2"/>
        <v>0</v>
      </c>
      <c r="X19" s="1054">
        <f t="shared" si="3"/>
        <v>0</v>
      </c>
      <c r="Y19" s="1054">
        <f t="shared" si="4"/>
        <v>0</v>
      </c>
      <c r="Z19" s="1055">
        <f t="shared" si="5"/>
        <v>0</v>
      </c>
      <c r="AA19" s="822">
        <f>VLOOKUP(V19,CASSA!$B$114:$C$479,2,FALSE)</f>
        <v>0</v>
      </c>
      <c r="AB19" s="1053">
        <f t="shared" si="12"/>
        <v>0</v>
      </c>
      <c r="AC19" s="1054">
        <f t="shared" si="13"/>
        <v>0</v>
      </c>
      <c r="AD19" s="1054">
        <f t="shared" si="14"/>
        <v>0</v>
      </c>
      <c r="AE19" s="1055">
        <f t="shared" si="15"/>
        <v>0</v>
      </c>
      <c r="AF19" s="2"/>
      <c r="AG19" s="1090">
        <f t="shared" si="16"/>
        <v>0</v>
      </c>
      <c r="AH19" s="1091">
        <f t="shared" si="17"/>
        <v>0</v>
      </c>
      <c r="AI19" s="1054">
        <f t="shared" si="18"/>
        <v>0</v>
      </c>
      <c r="AJ19" s="1054">
        <f t="shared" si="19"/>
        <v>0</v>
      </c>
      <c r="AK19" s="1092">
        <f t="shared" si="6"/>
        <v>0</v>
      </c>
      <c r="AL19" s="2"/>
      <c r="AM19" s="1090">
        <f t="shared" si="7"/>
        <v>0</v>
      </c>
      <c r="AN19" s="1105">
        <f t="shared" si="20"/>
        <v>0</v>
      </c>
      <c r="AO19" s="1054">
        <f t="shared" si="21"/>
        <v>0</v>
      </c>
      <c r="AP19" s="1054">
        <f t="shared" si="22"/>
        <v>0</v>
      </c>
      <c r="AQ19" s="1092">
        <f t="shared" si="23"/>
        <v>0</v>
      </c>
      <c r="AR19" s="2"/>
      <c r="AS19" s="1090">
        <f t="shared" si="24"/>
        <v>0</v>
      </c>
      <c r="AT19" s="1091">
        <f t="shared" si="25"/>
        <v>0</v>
      </c>
      <c r="AU19" s="1054">
        <f t="shared" si="26"/>
        <v>0</v>
      </c>
      <c r="AV19" s="1054">
        <f t="shared" si="27"/>
        <v>0</v>
      </c>
      <c r="AW19" s="1092">
        <f t="shared" si="28"/>
        <v>0</v>
      </c>
      <c r="AX19" s="2"/>
      <c r="AY19" s="1090">
        <f t="shared" si="29"/>
        <v>0</v>
      </c>
      <c r="AZ19" s="1385"/>
      <c r="BA19" s="2"/>
    </row>
    <row r="20" spans="1:53" ht="20.25" customHeight="1" x14ac:dyDescent="0.2">
      <c r="A20" s="2"/>
      <c r="B20" s="18">
        <v>13</v>
      </c>
      <c r="C20" s="234">
        <f t="shared" si="30"/>
        <v>13</v>
      </c>
      <c r="D20" s="235">
        <f t="shared" si="8"/>
        <v>11</v>
      </c>
      <c r="E20" s="2159" t="str">
        <f t="shared" si="0"/>
        <v xml:space="preserve">attiva trim.  </v>
      </c>
      <c r="F20" s="2160"/>
      <c r="G20" s="237"/>
      <c r="H20" s="237"/>
      <c r="I20" s="828"/>
      <c r="J20" s="829"/>
      <c r="K20" s="237"/>
      <c r="L20" s="828"/>
      <c r="M20" s="829"/>
      <c r="N20" s="237"/>
      <c r="O20" s="828"/>
      <c r="P20" s="829"/>
      <c r="Q20" s="6"/>
      <c r="R20" s="1053">
        <f t="shared" si="9"/>
        <v>0</v>
      </c>
      <c r="S20" s="1054">
        <f t="shared" si="1"/>
        <v>0</v>
      </c>
      <c r="T20" s="1054">
        <f t="shared" si="10"/>
        <v>0</v>
      </c>
      <c r="U20" s="1055">
        <f t="shared" si="11"/>
        <v>0</v>
      </c>
      <c r="V20" s="231">
        <f t="shared" si="31"/>
        <v>45609</v>
      </c>
      <c r="W20" s="1053">
        <f t="shared" si="2"/>
        <v>0</v>
      </c>
      <c r="X20" s="1054">
        <f t="shared" si="3"/>
        <v>0</v>
      </c>
      <c r="Y20" s="1054">
        <f t="shared" si="4"/>
        <v>0</v>
      </c>
      <c r="Z20" s="1055">
        <f t="shared" si="5"/>
        <v>0</v>
      </c>
      <c r="AA20" s="822">
        <f>VLOOKUP(V20,CASSA!$B$114:$C$479,2,FALSE)</f>
        <v>0</v>
      </c>
      <c r="AB20" s="1053">
        <f t="shared" si="12"/>
        <v>0</v>
      </c>
      <c r="AC20" s="1054">
        <f t="shared" si="13"/>
        <v>0</v>
      </c>
      <c r="AD20" s="1054">
        <f t="shared" si="14"/>
        <v>0</v>
      </c>
      <c r="AE20" s="1055">
        <f t="shared" si="15"/>
        <v>0</v>
      </c>
      <c r="AF20" s="2"/>
      <c r="AG20" s="1090">
        <f t="shared" si="16"/>
        <v>0</v>
      </c>
      <c r="AH20" s="1091">
        <f t="shared" si="17"/>
        <v>0</v>
      </c>
      <c r="AI20" s="1054">
        <f t="shared" si="18"/>
        <v>0</v>
      </c>
      <c r="AJ20" s="1054">
        <f t="shared" si="19"/>
        <v>0</v>
      </c>
      <c r="AK20" s="1092">
        <f t="shared" si="6"/>
        <v>0</v>
      </c>
      <c r="AL20" s="2"/>
      <c r="AM20" s="1090">
        <f t="shared" si="7"/>
        <v>0</v>
      </c>
      <c r="AN20" s="1105">
        <f t="shared" si="20"/>
        <v>0</v>
      </c>
      <c r="AO20" s="1054">
        <f t="shared" si="21"/>
        <v>0</v>
      </c>
      <c r="AP20" s="1054">
        <f t="shared" si="22"/>
        <v>0</v>
      </c>
      <c r="AQ20" s="1092">
        <f t="shared" si="23"/>
        <v>0</v>
      </c>
      <c r="AR20" s="2"/>
      <c r="AS20" s="1090">
        <f t="shared" si="24"/>
        <v>0</v>
      </c>
      <c r="AT20" s="1091">
        <f t="shared" si="25"/>
        <v>0</v>
      </c>
      <c r="AU20" s="1054">
        <f t="shared" si="26"/>
        <v>0</v>
      </c>
      <c r="AV20" s="1054">
        <f t="shared" si="27"/>
        <v>0</v>
      </c>
      <c r="AW20" s="1092">
        <f t="shared" si="28"/>
        <v>0</v>
      </c>
      <c r="AX20" s="2"/>
      <c r="AY20" s="1090">
        <f t="shared" si="29"/>
        <v>0</v>
      </c>
      <c r="AZ20" s="1385"/>
      <c r="BA20" s="2"/>
    </row>
    <row r="21" spans="1:53" ht="20.25" customHeight="1" x14ac:dyDescent="0.2">
      <c r="A21" s="2"/>
      <c r="B21" s="18">
        <v>14</v>
      </c>
      <c r="C21" s="234">
        <f t="shared" si="30"/>
        <v>14</v>
      </c>
      <c r="D21" s="235">
        <f t="shared" si="8"/>
        <v>11</v>
      </c>
      <c r="E21" s="2159" t="str">
        <f t="shared" si="0"/>
        <v xml:space="preserve">attiva trim.  </v>
      </c>
      <c r="F21" s="2160"/>
      <c r="G21" s="237"/>
      <c r="H21" s="237"/>
      <c r="I21" s="828"/>
      <c r="J21" s="829"/>
      <c r="K21" s="237"/>
      <c r="L21" s="828"/>
      <c r="M21" s="829"/>
      <c r="N21" s="237"/>
      <c r="O21" s="828"/>
      <c r="P21" s="829"/>
      <c r="Q21" s="6"/>
      <c r="R21" s="1053">
        <f t="shared" si="9"/>
        <v>0</v>
      </c>
      <c r="S21" s="1054">
        <f t="shared" si="1"/>
        <v>0</v>
      </c>
      <c r="T21" s="1054">
        <f t="shared" si="10"/>
        <v>0</v>
      </c>
      <c r="U21" s="1055">
        <f t="shared" si="11"/>
        <v>0</v>
      </c>
      <c r="V21" s="231">
        <f t="shared" si="31"/>
        <v>45610</v>
      </c>
      <c r="W21" s="1053">
        <f t="shared" si="2"/>
        <v>0</v>
      </c>
      <c r="X21" s="1054">
        <f t="shared" si="3"/>
        <v>0</v>
      </c>
      <c r="Y21" s="1054">
        <f t="shared" si="4"/>
        <v>0</v>
      </c>
      <c r="Z21" s="1055">
        <f t="shared" si="5"/>
        <v>0</v>
      </c>
      <c r="AA21" s="822">
        <f>VLOOKUP(V21,CASSA!$B$114:$C$479,2,FALSE)</f>
        <v>0</v>
      </c>
      <c r="AB21" s="1053">
        <f t="shared" si="12"/>
        <v>0</v>
      </c>
      <c r="AC21" s="1054">
        <f t="shared" si="13"/>
        <v>0</v>
      </c>
      <c r="AD21" s="1054">
        <f t="shared" si="14"/>
        <v>0</v>
      </c>
      <c r="AE21" s="1055">
        <f t="shared" si="15"/>
        <v>0</v>
      </c>
      <c r="AF21" s="2"/>
      <c r="AG21" s="1090">
        <f t="shared" si="16"/>
        <v>0</v>
      </c>
      <c r="AH21" s="1091">
        <f t="shared" si="17"/>
        <v>0</v>
      </c>
      <c r="AI21" s="1054">
        <f t="shared" si="18"/>
        <v>0</v>
      </c>
      <c r="AJ21" s="1054">
        <f t="shared" si="19"/>
        <v>0</v>
      </c>
      <c r="AK21" s="1092">
        <f t="shared" si="6"/>
        <v>0</v>
      </c>
      <c r="AL21" s="2"/>
      <c r="AM21" s="1090">
        <f t="shared" si="7"/>
        <v>0</v>
      </c>
      <c r="AN21" s="1105">
        <f t="shared" si="20"/>
        <v>0</v>
      </c>
      <c r="AO21" s="1054">
        <f t="shared" si="21"/>
        <v>0</v>
      </c>
      <c r="AP21" s="1054">
        <f t="shared" si="22"/>
        <v>0</v>
      </c>
      <c r="AQ21" s="1092">
        <f t="shared" si="23"/>
        <v>0</v>
      </c>
      <c r="AR21" s="2"/>
      <c r="AS21" s="1090">
        <f t="shared" si="24"/>
        <v>0</v>
      </c>
      <c r="AT21" s="1091">
        <f t="shared" si="25"/>
        <v>0</v>
      </c>
      <c r="AU21" s="1054">
        <f t="shared" si="26"/>
        <v>0</v>
      </c>
      <c r="AV21" s="1054">
        <f t="shared" si="27"/>
        <v>0</v>
      </c>
      <c r="AW21" s="1092">
        <f t="shared" si="28"/>
        <v>0</v>
      </c>
      <c r="AX21" s="2"/>
      <c r="AY21" s="1090">
        <f t="shared" si="29"/>
        <v>0</v>
      </c>
      <c r="AZ21" s="1385"/>
      <c r="BA21" s="2"/>
    </row>
    <row r="22" spans="1:53" ht="20.25" customHeight="1" x14ac:dyDescent="0.2">
      <c r="A22" s="2"/>
      <c r="B22" s="18">
        <v>15</v>
      </c>
      <c r="C22" s="234">
        <f t="shared" si="30"/>
        <v>15</v>
      </c>
      <c r="D22" s="235">
        <f t="shared" si="8"/>
        <v>11</v>
      </c>
      <c r="E22" s="2159" t="str">
        <f t="shared" si="0"/>
        <v xml:space="preserve">attiva trim.  </v>
      </c>
      <c r="F22" s="2160"/>
      <c r="G22" s="237"/>
      <c r="H22" s="237"/>
      <c r="I22" s="828"/>
      <c r="J22" s="829"/>
      <c r="K22" s="237"/>
      <c r="L22" s="828"/>
      <c r="M22" s="829"/>
      <c r="N22" s="237"/>
      <c r="O22" s="828"/>
      <c r="P22" s="829"/>
      <c r="Q22" s="6"/>
      <c r="R22" s="1053">
        <f t="shared" si="9"/>
        <v>0</v>
      </c>
      <c r="S22" s="1054">
        <f t="shared" si="1"/>
        <v>0</v>
      </c>
      <c r="T22" s="1054">
        <f t="shared" si="10"/>
        <v>0</v>
      </c>
      <c r="U22" s="1055">
        <f t="shared" si="11"/>
        <v>0</v>
      </c>
      <c r="V22" s="231">
        <f t="shared" si="31"/>
        <v>45611</v>
      </c>
      <c r="W22" s="1053">
        <f t="shared" si="2"/>
        <v>0</v>
      </c>
      <c r="X22" s="1054">
        <f t="shared" si="3"/>
        <v>0</v>
      </c>
      <c r="Y22" s="1054">
        <f t="shared" si="4"/>
        <v>0</v>
      </c>
      <c r="Z22" s="1055">
        <f t="shared" si="5"/>
        <v>0</v>
      </c>
      <c r="AA22" s="822">
        <f>VLOOKUP(V22,CASSA!$B$114:$C$479,2,FALSE)</f>
        <v>0</v>
      </c>
      <c r="AB22" s="1053">
        <f t="shared" si="12"/>
        <v>0</v>
      </c>
      <c r="AC22" s="1054">
        <f t="shared" si="13"/>
        <v>0</v>
      </c>
      <c r="AD22" s="1054">
        <f t="shared" si="14"/>
        <v>0</v>
      </c>
      <c r="AE22" s="1055">
        <f t="shared" si="15"/>
        <v>0</v>
      </c>
      <c r="AF22" s="2"/>
      <c r="AG22" s="1090">
        <f t="shared" si="16"/>
        <v>0</v>
      </c>
      <c r="AH22" s="1091">
        <f t="shared" si="17"/>
        <v>0</v>
      </c>
      <c r="AI22" s="1054">
        <f t="shared" si="18"/>
        <v>0</v>
      </c>
      <c r="AJ22" s="1054">
        <f t="shared" si="19"/>
        <v>0</v>
      </c>
      <c r="AK22" s="1092">
        <f t="shared" si="6"/>
        <v>0</v>
      </c>
      <c r="AL22" s="2"/>
      <c r="AM22" s="1090">
        <f t="shared" si="7"/>
        <v>0</v>
      </c>
      <c r="AN22" s="1105">
        <f t="shared" si="20"/>
        <v>0</v>
      </c>
      <c r="AO22" s="1054">
        <f t="shared" si="21"/>
        <v>0</v>
      </c>
      <c r="AP22" s="1054">
        <f t="shared" si="22"/>
        <v>0</v>
      </c>
      <c r="AQ22" s="1092">
        <f t="shared" si="23"/>
        <v>0</v>
      </c>
      <c r="AR22" s="2"/>
      <c r="AS22" s="1090">
        <f t="shared" si="24"/>
        <v>0</v>
      </c>
      <c r="AT22" s="1091">
        <f t="shared" si="25"/>
        <v>0</v>
      </c>
      <c r="AU22" s="1054">
        <f t="shared" si="26"/>
        <v>0</v>
      </c>
      <c r="AV22" s="1054">
        <f t="shared" si="27"/>
        <v>0</v>
      </c>
      <c r="AW22" s="1092">
        <f t="shared" si="28"/>
        <v>0</v>
      </c>
      <c r="AX22" s="2"/>
      <c r="AY22" s="1090">
        <f t="shared" si="29"/>
        <v>0</v>
      </c>
      <c r="AZ22" s="1385"/>
      <c r="BA22" s="2"/>
    </row>
    <row r="23" spans="1:53" ht="20.25" customHeight="1" x14ac:dyDescent="0.2">
      <c r="A23" s="2"/>
      <c r="B23" s="18">
        <v>16</v>
      </c>
      <c r="C23" s="234">
        <f t="shared" si="30"/>
        <v>16</v>
      </c>
      <c r="D23" s="235">
        <f t="shared" si="8"/>
        <v>11</v>
      </c>
      <c r="E23" s="2159" t="str">
        <f t="shared" si="0"/>
        <v xml:space="preserve">attiva trim.  </v>
      </c>
      <c r="F23" s="2160"/>
      <c r="G23" s="237"/>
      <c r="H23" s="237"/>
      <c r="I23" s="828"/>
      <c r="J23" s="829"/>
      <c r="K23" s="237"/>
      <c r="L23" s="828"/>
      <c r="M23" s="829"/>
      <c r="N23" s="237"/>
      <c r="O23" s="828"/>
      <c r="P23" s="829"/>
      <c r="Q23" s="6"/>
      <c r="R23" s="1053">
        <f t="shared" si="9"/>
        <v>0</v>
      </c>
      <c r="S23" s="1054">
        <f t="shared" si="1"/>
        <v>0</v>
      </c>
      <c r="T23" s="1054">
        <f t="shared" si="10"/>
        <v>0</v>
      </c>
      <c r="U23" s="1055">
        <f t="shared" si="11"/>
        <v>0</v>
      </c>
      <c r="V23" s="231">
        <f t="shared" si="31"/>
        <v>45612</v>
      </c>
      <c r="W23" s="1053">
        <f t="shared" si="2"/>
        <v>0</v>
      </c>
      <c r="X23" s="1054">
        <f t="shared" si="3"/>
        <v>0</v>
      </c>
      <c r="Y23" s="1054">
        <f t="shared" si="4"/>
        <v>0</v>
      </c>
      <c r="Z23" s="1055">
        <f t="shared" si="5"/>
        <v>0</v>
      </c>
      <c r="AA23" s="822">
        <f>VLOOKUP(V23,CASSA!$B$114:$C$479,2,FALSE)</f>
        <v>0</v>
      </c>
      <c r="AB23" s="1053">
        <f t="shared" si="12"/>
        <v>0</v>
      </c>
      <c r="AC23" s="1054">
        <f t="shared" si="13"/>
        <v>0</v>
      </c>
      <c r="AD23" s="1054">
        <f t="shared" si="14"/>
        <v>0</v>
      </c>
      <c r="AE23" s="1055">
        <f t="shared" si="15"/>
        <v>0</v>
      </c>
      <c r="AF23" s="2"/>
      <c r="AG23" s="1090">
        <f t="shared" si="16"/>
        <v>0</v>
      </c>
      <c r="AH23" s="1091">
        <f t="shared" si="17"/>
        <v>0</v>
      </c>
      <c r="AI23" s="1054">
        <f t="shared" si="18"/>
        <v>0</v>
      </c>
      <c r="AJ23" s="1054">
        <f t="shared" si="19"/>
        <v>0</v>
      </c>
      <c r="AK23" s="1092">
        <f t="shared" si="6"/>
        <v>0</v>
      </c>
      <c r="AL23" s="2"/>
      <c r="AM23" s="1090">
        <f t="shared" si="7"/>
        <v>0</v>
      </c>
      <c r="AN23" s="1105">
        <f t="shared" si="20"/>
        <v>0</v>
      </c>
      <c r="AO23" s="1054">
        <f t="shared" si="21"/>
        <v>0</v>
      </c>
      <c r="AP23" s="1054">
        <f t="shared" si="22"/>
        <v>0</v>
      </c>
      <c r="AQ23" s="1092">
        <f t="shared" si="23"/>
        <v>0</v>
      </c>
      <c r="AR23" s="2"/>
      <c r="AS23" s="1090">
        <f t="shared" si="24"/>
        <v>0</v>
      </c>
      <c r="AT23" s="1091">
        <f t="shared" si="25"/>
        <v>0</v>
      </c>
      <c r="AU23" s="1054">
        <f t="shared" si="26"/>
        <v>0</v>
      </c>
      <c r="AV23" s="1054">
        <f t="shared" si="27"/>
        <v>0</v>
      </c>
      <c r="AW23" s="1092">
        <f t="shared" si="28"/>
        <v>0</v>
      </c>
      <c r="AX23" s="2"/>
      <c r="AY23" s="1090">
        <f t="shared" si="29"/>
        <v>0</v>
      </c>
      <c r="AZ23" s="1385"/>
      <c r="BA23" s="2"/>
    </row>
    <row r="24" spans="1:53" ht="20.25" customHeight="1" x14ac:dyDescent="0.2">
      <c r="A24" s="2"/>
      <c r="B24" s="18">
        <v>17</v>
      </c>
      <c r="C24" s="234">
        <f t="shared" si="30"/>
        <v>17</v>
      </c>
      <c r="D24" s="235">
        <f t="shared" si="8"/>
        <v>11</v>
      </c>
      <c r="E24" s="2159" t="str">
        <f t="shared" si="0"/>
        <v xml:space="preserve">attiva trim.  </v>
      </c>
      <c r="F24" s="2160"/>
      <c r="G24" s="237"/>
      <c r="H24" s="237"/>
      <c r="I24" s="828"/>
      <c r="J24" s="829"/>
      <c r="K24" s="237"/>
      <c r="L24" s="828"/>
      <c r="M24" s="829"/>
      <c r="N24" s="237"/>
      <c r="O24" s="828"/>
      <c r="P24" s="829"/>
      <c r="Q24" s="6"/>
      <c r="R24" s="1053">
        <f t="shared" si="9"/>
        <v>0</v>
      </c>
      <c r="S24" s="1054">
        <f t="shared" si="1"/>
        <v>0</v>
      </c>
      <c r="T24" s="1054">
        <f t="shared" si="10"/>
        <v>0</v>
      </c>
      <c r="U24" s="1055">
        <f t="shared" si="11"/>
        <v>0</v>
      </c>
      <c r="V24" s="231">
        <f t="shared" si="31"/>
        <v>45613</v>
      </c>
      <c r="W24" s="1053">
        <f t="shared" si="2"/>
        <v>0</v>
      </c>
      <c r="X24" s="1054">
        <f t="shared" si="3"/>
        <v>0</v>
      </c>
      <c r="Y24" s="1054">
        <f t="shared" si="4"/>
        <v>0</v>
      </c>
      <c r="Z24" s="1055">
        <f t="shared" si="5"/>
        <v>0</v>
      </c>
      <c r="AA24" s="822">
        <f>VLOOKUP(V24,CASSA!$B$114:$C$479,2,FALSE)</f>
        <v>0</v>
      </c>
      <c r="AB24" s="1053">
        <f t="shared" si="12"/>
        <v>0</v>
      </c>
      <c r="AC24" s="1054">
        <f t="shared" si="13"/>
        <v>0</v>
      </c>
      <c r="AD24" s="1054">
        <f t="shared" si="14"/>
        <v>0</v>
      </c>
      <c r="AE24" s="1055">
        <f t="shared" si="15"/>
        <v>0</v>
      </c>
      <c r="AF24" s="2"/>
      <c r="AG24" s="1090">
        <f t="shared" si="16"/>
        <v>0</v>
      </c>
      <c r="AH24" s="1091">
        <f t="shared" si="17"/>
        <v>0</v>
      </c>
      <c r="AI24" s="1054">
        <f t="shared" si="18"/>
        <v>0</v>
      </c>
      <c r="AJ24" s="1054">
        <f t="shared" si="19"/>
        <v>0</v>
      </c>
      <c r="AK24" s="1092">
        <f t="shared" si="6"/>
        <v>0</v>
      </c>
      <c r="AL24" s="2"/>
      <c r="AM24" s="1090">
        <f t="shared" si="7"/>
        <v>0</v>
      </c>
      <c r="AN24" s="1105">
        <f t="shared" si="20"/>
        <v>0</v>
      </c>
      <c r="AO24" s="1054">
        <f t="shared" si="21"/>
        <v>0</v>
      </c>
      <c r="AP24" s="1054">
        <f t="shared" si="22"/>
        <v>0</v>
      </c>
      <c r="AQ24" s="1092">
        <f t="shared" si="23"/>
        <v>0</v>
      </c>
      <c r="AR24" s="2"/>
      <c r="AS24" s="1090">
        <f t="shared" si="24"/>
        <v>0</v>
      </c>
      <c r="AT24" s="1091">
        <f t="shared" si="25"/>
        <v>0</v>
      </c>
      <c r="AU24" s="1054">
        <f t="shared" si="26"/>
        <v>0</v>
      </c>
      <c r="AV24" s="1054">
        <f t="shared" si="27"/>
        <v>0</v>
      </c>
      <c r="AW24" s="1092">
        <f t="shared" si="28"/>
        <v>0</v>
      </c>
      <c r="AX24" s="2"/>
      <c r="AY24" s="1090">
        <f t="shared" si="29"/>
        <v>0</v>
      </c>
      <c r="AZ24" s="1385"/>
      <c r="BA24" s="2"/>
    </row>
    <row r="25" spans="1:53" ht="20.25" customHeight="1" x14ac:dyDescent="0.2">
      <c r="A25" s="2"/>
      <c r="B25" s="18">
        <v>18</v>
      </c>
      <c r="C25" s="234">
        <f t="shared" si="30"/>
        <v>18</v>
      </c>
      <c r="D25" s="235">
        <f t="shared" si="8"/>
        <v>11</v>
      </c>
      <c r="E25" s="2159" t="str">
        <f t="shared" si="0"/>
        <v xml:space="preserve">attiva trim.  </v>
      </c>
      <c r="F25" s="2160"/>
      <c r="G25" s="237"/>
      <c r="H25" s="237"/>
      <c r="I25" s="828"/>
      <c r="J25" s="829"/>
      <c r="K25" s="237"/>
      <c r="L25" s="828"/>
      <c r="M25" s="829"/>
      <c r="N25" s="237"/>
      <c r="O25" s="828"/>
      <c r="P25" s="829"/>
      <c r="Q25" s="6"/>
      <c r="R25" s="1053">
        <f t="shared" si="9"/>
        <v>0</v>
      </c>
      <c r="S25" s="1054">
        <f t="shared" si="1"/>
        <v>0</v>
      </c>
      <c r="T25" s="1054">
        <f t="shared" si="10"/>
        <v>0</v>
      </c>
      <c r="U25" s="1055">
        <f t="shared" si="11"/>
        <v>0</v>
      </c>
      <c r="V25" s="231">
        <f t="shared" si="31"/>
        <v>45614</v>
      </c>
      <c r="W25" s="1053">
        <f t="shared" si="2"/>
        <v>0</v>
      </c>
      <c r="X25" s="1054">
        <f t="shared" si="3"/>
        <v>0</v>
      </c>
      <c r="Y25" s="1054">
        <f t="shared" si="4"/>
        <v>0</v>
      </c>
      <c r="Z25" s="1055">
        <f t="shared" si="5"/>
        <v>0</v>
      </c>
      <c r="AA25" s="822">
        <f>VLOOKUP(V25,CASSA!$B$114:$C$479,2,FALSE)</f>
        <v>0</v>
      </c>
      <c r="AB25" s="1053">
        <f t="shared" si="12"/>
        <v>0</v>
      </c>
      <c r="AC25" s="1054">
        <f t="shared" si="13"/>
        <v>0</v>
      </c>
      <c r="AD25" s="1054">
        <f t="shared" si="14"/>
        <v>0</v>
      </c>
      <c r="AE25" s="1055">
        <f t="shared" si="15"/>
        <v>0</v>
      </c>
      <c r="AF25" s="2"/>
      <c r="AG25" s="1090">
        <f t="shared" si="16"/>
        <v>0</v>
      </c>
      <c r="AH25" s="1091">
        <f t="shared" si="17"/>
        <v>0</v>
      </c>
      <c r="AI25" s="1054">
        <f t="shared" si="18"/>
        <v>0</v>
      </c>
      <c r="AJ25" s="1054">
        <f t="shared" si="19"/>
        <v>0</v>
      </c>
      <c r="AK25" s="1092">
        <f t="shared" si="6"/>
        <v>0</v>
      </c>
      <c r="AL25" s="2"/>
      <c r="AM25" s="1090">
        <f t="shared" si="7"/>
        <v>0</v>
      </c>
      <c r="AN25" s="1105">
        <f t="shared" si="20"/>
        <v>0</v>
      </c>
      <c r="AO25" s="1054">
        <f t="shared" si="21"/>
        <v>0</v>
      </c>
      <c r="AP25" s="1054">
        <f t="shared" si="22"/>
        <v>0</v>
      </c>
      <c r="AQ25" s="1092">
        <f t="shared" si="23"/>
        <v>0</v>
      </c>
      <c r="AR25" s="2"/>
      <c r="AS25" s="1090">
        <f t="shared" si="24"/>
        <v>0</v>
      </c>
      <c r="AT25" s="1091">
        <f t="shared" si="25"/>
        <v>0</v>
      </c>
      <c r="AU25" s="1054">
        <f t="shared" si="26"/>
        <v>0</v>
      </c>
      <c r="AV25" s="1054">
        <f t="shared" si="27"/>
        <v>0</v>
      </c>
      <c r="AW25" s="1092">
        <f t="shared" si="28"/>
        <v>0</v>
      </c>
      <c r="AX25" s="2"/>
      <c r="AY25" s="1090">
        <f t="shared" si="29"/>
        <v>0</v>
      </c>
      <c r="AZ25" s="1385"/>
      <c r="BA25" s="2"/>
    </row>
    <row r="26" spans="1:53" ht="20.25" customHeight="1" x14ac:dyDescent="0.2">
      <c r="A26" s="2"/>
      <c r="B26" s="18">
        <v>19</v>
      </c>
      <c r="C26" s="234">
        <f t="shared" si="30"/>
        <v>19</v>
      </c>
      <c r="D26" s="235">
        <f t="shared" si="8"/>
        <v>11</v>
      </c>
      <c r="E26" s="2159" t="str">
        <f t="shared" si="0"/>
        <v xml:space="preserve">attiva trim.  </v>
      </c>
      <c r="F26" s="2160"/>
      <c r="G26" s="237"/>
      <c r="H26" s="237"/>
      <c r="I26" s="828"/>
      <c r="J26" s="829"/>
      <c r="K26" s="237"/>
      <c r="L26" s="828"/>
      <c r="M26" s="829"/>
      <c r="N26" s="237"/>
      <c r="O26" s="828"/>
      <c r="P26" s="829"/>
      <c r="Q26" s="6"/>
      <c r="R26" s="1053">
        <f t="shared" si="9"/>
        <v>0</v>
      </c>
      <c r="S26" s="1054">
        <f t="shared" si="1"/>
        <v>0</v>
      </c>
      <c r="T26" s="1054">
        <f t="shared" si="10"/>
        <v>0</v>
      </c>
      <c r="U26" s="1055">
        <f t="shared" si="11"/>
        <v>0</v>
      </c>
      <c r="V26" s="231">
        <f t="shared" si="31"/>
        <v>45615</v>
      </c>
      <c r="W26" s="1053">
        <f t="shared" si="2"/>
        <v>0</v>
      </c>
      <c r="X26" s="1054">
        <f t="shared" si="3"/>
        <v>0</v>
      </c>
      <c r="Y26" s="1054">
        <f t="shared" si="4"/>
        <v>0</v>
      </c>
      <c r="Z26" s="1055">
        <f t="shared" si="5"/>
        <v>0</v>
      </c>
      <c r="AA26" s="822">
        <f>VLOOKUP(V26,CASSA!$B$114:$C$479,2,FALSE)</f>
        <v>0</v>
      </c>
      <c r="AB26" s="1053">
        <f t="shared" si="12"/>
        <v>0</v>
      </c>
      <c r="AC26" s="1054">
        <f t="shared" si="13"/>
        <v>0</v>
      </c>
      <c r="AD26" s="1054">
        <f t="shared" si="14"/>
        <v>0</v>
      </c>
      <c r="AE26" s="1055">
        <f t="shared" si="15"/>
        <v>0</v>
      </c>
      <c r="AF26" s="2"/>
      <c r="AG26" s="1090">
        <f t="shared" si="16"/>
        <v>0</v>
      </c>
      <c r="AH26" s="1091">
        <f t="shared" si="17"/>
        <v>0</v>
      </c>
      <c r="AI26" s="1054">
        <f t="shared" si="18"/>
        <v>0</v>
      </c>
      <c r="AJ26" s="1054">
        <f t="shared" si="19"/>
        <v>0</v>
      </c>
      <c r="AK26" s="1092">
        <f t="shared" si="6"/>
        <v>0</v>
      </c>
      <c r="AL26" s="2"/>
      <c r="AM26" s="1090">
        <f t="shared" si="7"/>
        <v>0</v>
      </c>
      <c r="AN26" s="1105">
        <f t="shared" si="20"/>
        <v>0</v>
      </c>
      <c r="AO26" s="1054">
        <f t="shared" si="21"/>
        <v>0</v>
      </c>
      <c r="AP26" s="1054">
        <f t="shared" si="22"/>
        <v>0</v>
      </c>
      <c r="AQ26" s="1092">
        <f t="shared" si="23"/>
        <v>0</v>
      </c>
      <c r="AR26" s="2"/>
      <c r="AS26" s="1090">
        <f t="shared" si="24"/>
        <v>0</v>
      </c>
      <c r="AT26" s="1091">
        <f t="shared" si="25"/>
        <v>0</v>
      </c>
      <c r="AU26" s="1054">
        <f t="shared" si="26"/>
        <v>0</v>
      </c>
      <c r="AV26" s="1054">
        <f t="shared" si="27"/>
        <v>0</v>
      </c>
      <c r="AW26" s="1092">
        <f t="shared" si="28"/>
        <v>0</v>
      </c>
      <c r="AX26" s="2"/>
      <c r="AY26" s="1090">
        <f t="shared" si="29"/>
        <v>0</v>
      </c>
      <c r="AZ26" s="1385"/>
      <c r="BA26" s="2"/>
    </row>
    <row r="27" spans="1:53" ht="20.25" customHeight="1" x14ac:dyDescent="0.2">
      <c r="A27" s="2"/>
      <c r="B27" s="18">
        <v>20</v>
      </c>
      <c r="C27" s="234">
        <f t="shared" si="30"/>
        <v>20</v>
      </c>
      <c r="D27" s="235">
        <f t="shared" si="8"/>
        <v>11</v>
      </c>
      <c r="E27" s="2159" t="str">
        <f t="shared" si="0"/>
        <v xml:space="preserve">attiva trim.  </v>
      </c>
      <c r="F27" s="2160"/>
      <c r="G27" s="237"/>
      <c r="H27" s="237"/>
      <c r="I27" s="828"/>
      <c r="J27" s="829"/>
      <c r="K27" s="237"/>
      <c r="L27" s="828"/>
      <c r="M27" s="829"/>
      <c r="N27" s="237"/>
      <c r="O27" s="828"/>
      <c r="P27" s="829"/>
      <c r="Q27" s="6"/>
      <c r="R27" s="1053">
        <f t="shared" si="9"/>
        <v>0</v>
      </c>
      <c r="S27" s="1054">
        <f t="shared" si="1"/>
        <v>0</v>
      </c>
      <c r="T27" s="1054">
        <f t="shared" si="10"/>
        <v>0</v>
      </c>
      <c r="U27" s="1055">
        <f t="shared" si="11"/>
        <v>0</v>
      </c>
      <c r="V27" s="231">
        <f t="shared" si="31"/>
        <v>45616</v>
      </c>
      <c r="W27" s="1053">
        <f t="shared" si="2"/>
        <v>0</v>
      </c>
      <c r="X27" s="1054">
        <f t="shared" si="3"/>
        <v>0</v>
      </c>
      <c r="Y27" s="1054">
        <f t="shared" si="4"/>
        <v>0</v>
      </c>
      <c r="Z27" s="1055">
        <f t="shared" si="5"/>
        <v>0</v>
      </c>
      <c r="AA27" s="822">
        <f>VLOOKUP(V27,CASSA!$B$114:$C$479,2,FALSE)</f>
        <v>0</v>
      </c>
      <c r="AB27" s="1053">
        <f t="shared" si="12"/>
        <v>0</v>
      </c>
      <c r="AC27" s="1054">
        <f t="shared" si="13"/>
        <v>0</v>
      </c>
      <c r="AD27" s="1054">
        <f t="shared" si="14"/>
        <v>0</v>
      </c>
      <c r="AE27" s="1055">
        <f t="shared" si="15"/>
        <v>0</v>
      </c>
      <c r="AF27" s="2"/>
      <c r="AG27" s="1090">
        <f t="shared" si="16"/>
        <v>0</v>
      </c>
      <c r="AH27" s="1091">
        <f t="shared" si="17"/>
        <v>0</v>
      </c>
      <c r="AI27" s="1054">
        <f t="shared" si="18"/>
        <v>0</v>
      </c>
      <c r="AJ27" s="1054">
        <f t="shared" si="19"/>
        <v>0</v>
      </c>
      <c r="AK27" s="1092">
        <f t="shared" si="6"/>
        <v>0</v>
      </c>
      <c r="AL27" s="2"/>
      <c r="AM27" s="1090">
        <f t="shared" si="7"/>
        <v>0</v>
      </c>
      <c r="AN27" s="1105">
        <f t="shared" si="20"/>
        <v>0</v>
      </c>
      <c r="AO27" s="1054">
        <f t="shared" si="21"/>
        <v>0</v>
      </c>
      <c r="AP27" s="1054">
        <f t="shared" si="22"/>
        <v>0</v>
      </c>
      <c r="AQ27" s="1092">
        <f t="shared" si="23"/>
        <v>0</v>
      </c>
      <c r="AR27" s="2"/>
      <c r="AS27" s="1090">
        <f t="shared" si="24"/>
        <v>0</v>
      </c>
      <c r="AT27" s="1091">
        <f t="shared" si="25"/>
        <v>0</v>
      </c>
      <c r="AU27" s="1054">
        <f t="shared" si="26"/>
        <v>0</v>
      </c>
      <c r="AV27" s="1054">
        <f t="shared" si="27"/>
        <v>0</v>
      </c>
      <c r="AW27" s="1092">
        <f t="shared" si="28"/>
        <v>0</v>
      </c>
      <c r="AX27" s="2"/>
      <c r="AY27" s="1090">
        <f t="shared" si="29"/>
        <v>0</v>
      </c>
      <c r="AZ27" s="1385"/>
      <c r="BA27" s="2"/>
    </row>
    <row r="28" spans="1:53" ht="20.25" customHeight="1" x14ac:dyDescent="0.2">
      <c r="A28" s="2"/>
      <c r="B28" s="18">
        <v>21</v>
      </c>
      <c r="C28" s="234">
        <f t="shared" si="30"/>
        <v>21</v>
      </c>
      <c r="D28" s="235">
        <f t="shared" si="8"/>
        <v>11</v>
      </c>
      <c r="E28" s="2159" t="str">
        <f t="shared" si="0"/>
        <v xml:space="preserve">attiva trim.  </v>
      </c>
      <c r="F28" s="2160"/>
      <c r="G28" s="237"/>
      <c r="H28" s="237"/>
      <c r="I28" s="828"/>
      <c r="J28" s="829"/>
      <c r="K28" s="237"/>
      <c r="L28" s="828"/>
      <c r="M28" s="829"/>
      <c r="N28" s="237"/>
      <c r="O28" s="828"/>
      <c r="P28" s="829"/>
      <c r="Q28" s="6"/>
      <c r="R28" s="1053">
        <f t="shared" si="9"/>
        <v>0</v>
      </c>
      <c r="S28" s="1054">
        <f t="shared" si="1"/>
        <v>0</v>
      </c>
      <c r="T28" s="1054">
        <f t="shared" si="10"/>
        <v>0</v>
      </c>
      <c r="U28" s="1055">
        <f t="shared" si="11"/>
        <v>0</v>
      </c>
      <c r="V28" s="231">
        <f t="shared" si="31"/>
        <v>45617</v>
      </c>
      <c r="W28" s="1053">
        <f t="shared" si="2"/>
        <v>0</v>
      </c>
      <c r="X28" s="1054">
        <f t="shared" si="3"/>
        <v>0</v>
      </c>
      <c r="Y28" s="1054">
        <f t="shared" si="4"/>
        <v>0</v>
      </c>
      <c r="Z28" s="1055">
        <f t="shared" si="5"/>
        <v>0</v>
      </c>
      <c r="AA28" s="822">
        <f>VLOOKUP(V28,CASSA!$B$114:$C$479,2,FALSE)</f>
        <v>0</v>
      </c>
      <c r="AB28" s="1053">
        <f t="shared" si="12"/>
        <v>0</v>
      </c>
      <c r="AC28" s="1054">
        <f t="shared" si="13"/>
        <v>0</v>
      </c>
      <c r="AD28" s="1054">
        <f t="shared" si="14"/>
        <v>0</v>
      </c>
      <c r="AE28" s="1055">
        <f t="shared" si="15"/>
        <v>0</v>
      </c>
      <c r="AF28" s="2"/>
      <c r="AG28" s="1090">
        <f t="shared" si="16"/>
        <v>0</v>
      </c>
      <c r="AH28" s="1091">
        <f t="shared" si="17"/>
        <v>0</v>
      </c>
      <c r="AI28" s="1054">
        <f t="shared" si="18"/>
        <v>0</v>
      </c>
      <c r="AJ28" s="1054">
        <f t="shared" si="19"/>
        <v>0</v>
      </c>
      <c r="AK28" s="1092">
        <f t="shared" si="6"/>
        <v>0</v>
      </c>
      <c r="AL28" s="2"/>
      <c r="AM28" s="1090">
        <f t="shared" si="7"/>
        <v>0</v>
      </c>
      <c r="AN28" s="1105">
        <f t="shared" si="20"/>
        <v>0</v>
      </c>
      <c r="AO28" s="1054">
        <f t="shared" si="21"/>
        <v>0</v>
      </c>
      <c r="AP28" s="1054">
        <f t="shared" si="22"/>
        <v>0</v>
      </c>
      <c r="AQ28" s="1092">
        <f t="shared" si="23"/>
        <v>0</v>
      </c>
      <c r="AR28" s="2"/>
      <c r="AS28" s="1090">
        <f t="shared" si="24"/>
        <v>0</v>
      </c>
      <c r="AT28" s="1091">
        <f t="shared" si="25"/>
        <v>0</v>
      </c>
      <c r="AU28" s="1054">
        <f t="shared" si="26"/>
        <v>0</v>
      </c>
      <c r="AV28" s="1054">
        <f t="shared" si="27"/>
        <v>0</v>
      </c>
      <c r="AW28" s="1092">
        <f t="shared" si="28"/>
        <v>0</v>
      </c>
      <c r="AX28" s="2"/>
      <c r="AY28" s="1090">
        <f t="shared" si="29"/>
        <v>0</v>
      </c>
      <c r="AZ28" s="1385"/>
      <c r="BA28" s="2"/>
    </row>
    <row r="29" spans="1:53" ht="20.25" customHeight="1" x14ac:dyDescent="0.2">
      <c r="A29" s="2"/>
      <c r="B29" s="18">
        <v>22</v>
      </c>
      <c r="C29" s="234">
        <f t="shared" si="30"/>
        <v>22</v>
      </c>
      <c r="D29" s="235">
        <f t="shared" si="8"/>
        <v>11</v>
      </c>
      <c r="E29" s="2159" t="str">
        <f t="shared" si="0"/>
        <v xml:space="preserve">attiva trim.  </v>
      </c>
      <c r="F29" s="2160"/>
      <c r="G29" s="237"/>
      <c r="H29" s="237"/>
      <c r="I29" s="828"/>
      <c r="J29" s="829"/>
      <c r="K29" s="237"/>
      <c r="L29" s="828"/>
      <c r="M29" s="829"/>
      <c r="N29" s="237"/>
      <c r="O29" s="828"/>
      <c r="P29" s="829"/>
      <c r="Q29" s="6"/>
      <c r="R29" s="1053">
        <f t="shared" si="9"/>
        <v>0</v>
      </c>
      <c r="S29" s="1054">
        <f t="shared" si="1"/>
        <v>0</v>
      </c>
      <c r="T29" s="1054">
        <f t="shared" si="10"/>
        <v>0</v>
      </c>
      <c r="U29" s="1055">
        <f t="shared" si="11"/>
        <v>0</v>
      </c>
      <c r="V29" s="231">
        <f t="shared" si="31"/>
        <v>45618</v>
      </c>
      <c r="W29" s="1053">
        <f t="shared" si="2"/>
        <v>0</v>
      </c>
      <c r="X29" s="1054">
        <f t="shared" si="3"/>
        <v>0</v>
      </c>
      <c r="Y29" s="1054">
        <f t="shared" si="4"/>
        <v>0</v>
      </c>
      <c r="Z29" s="1055">
        <f t="shared" si="5"/>
        <v>0</v>
      </c>
      <c r="AA29" s="822">
        <f>VLOOKUP(V29,CASSA!$B$114:$C$479,2,FALSE)</f>
        <v>0</v>
      </c>
      <c r="AB29" s="1053">
        <f t="shared" si="12"/>
        <v>0</v>
      </c>
      <c r="AC29" s="1054">
        <f t="shared" si="13"/>
        <v>0</v>
      </c>
      <c r="AD29" s="1054">
        <f t="shared" si="14"/>
        <v>0</v>
      </c>
      <c r="AE29" s="1055">
        <f t="shared" si="15"/>
        <v>0</v>
      </c>
      <c r="AF29" s="2"/>
      <c r="AG29" s="1090">
        <f t="shared" si="16"/>
        <v>0</v>
      </c>
      <c r="AH29" s="1091">
        <f t="shared" si="17"/>
        <v>0</v>
      </c>
      <c r="AI29" s="1054">
        <f t="shared" si="18"/>
        <v>0</v>
      </c>
      <c r="AJ29" s="1054">
        <f t="shared" si="19"/>
        <v>0</v>
      </c>
      <c r="AK29" s="1092">
        <f t="shared" si="6"/>
        <v>0</v>
      </c>
      <c r="AL29" s="2"/>
      <c r="AM29" s="1090">
        <f t="shared" si="7"/>
        <v>0</v>
      </c>
      <c r="AN29" s="1105">
        <f t="shared" si="20"/>
        <v>0</v>
      </c>
      <c r="AO29" s="1054">
        <f t="shared" si="21"/>
        <v>0</v>
      </c>
      <c r="AP29" s="1054">
        <f t="shared" si="22"/>
        <v>0</v>
      </c>
      <c r="AQ29" s="1092">
        <f t="shared" si="23"/>
        <v>0</v>
      </c>
      <c r="AR29" s="2"/>
      <c r="AS29" s="1090">
        <f t="shared" si="24"/>
        <v>0</v>
      </c>
      <c r="AT29" s="1091">
        <f t="shared" si="25"/>
        <v>0</v>
      </c>
      <c r="AU29" s="1054">
        <f t="shared" si="26"/>
        <v>0</v>
      </c>
      <c r="AV29" s="1054">
        <f t="shared" si="27"/>
        <v>0</v>
      </c>
      <c r="AW29" s="1092">
        <f t="shared" si="28"/>
        <v>0</v>
      </c>
      <c r="AX29" s="2"/>
      <c r="AY29" s="1090">
        <f t="shared" si="29"/>
        <v>0</v>
      </c>
      <c r="AZ29" s="1385"/>
      <c r="BA29" s="2"/>
    </row>
    <row r="30" spans="1:53" ht="20.25" customHeight="1" x14ac:dyDescent="0.2">
      <c r="A30" s="2"/>
      <c r="B30" s="18">
        <v>23</v>
      </c>
      <c r="C30" s="234">
        <f t="shared" si="30"/>
        <v>23</v>
      </c>
      <c r="D30" s="235">
        <f t="shared" si="8"/>
        <v>11</v>
      </c>
      <c r="E30" s="2159" t="str">
        <f t="shared" si="0"/>
        <v xml:space="preserve">attiva trim.  </v>
      </c>
      <c r="F30" s="2160"/>
      <c r="G30" s="237"/>
      <c r="H30" s="237"/>
      <c r="I30" s="828"/>
      <c r="J30" s="829"/>
      <c r="K30" s="237"/>
      <c r="L30" s="828"/>
      <c r="M30" s="829"/>
      <c r="N30" s="237"/>
      <c r="O30" s="828"/>
      <c r="P30" s="829"/>
      <c r="Q30" s="6"/>
      <c r="R30" s="1053">
        <f t="shared" si="9"/>
        <v>0</v>
      </c>
      <c r="S30" s="1054">
        <f t="shared" si="1"/>
        <v>0</v>
      </c>
      <c r="T30" s="1054">
        <f t="shared" si="10"/>
        <v>0</v>
      </c>
      <c r="U30" s="1055">
        <f t="shared" si="11"/>
        <v>0</v>
      </c>
      <c r="V30" s="231">
        <f t="shared" si="31"/>
        <v>45619</v>
      </c>
      <c r="W30" s="1053">
        <f t="shared" si="2"/>
        <v>0</v>
      </c>
      <c r="X30" s="1054">
        <f t="shared" si="3"/>
        <v>0</v>
      </c>
      <c r="Y30" s="1054">
        <f t="shared" si="4"/>
        <v>0</v>
      </c>
      <c r="Z30" s="1055">
        <f t="shared" si="5"/>
        <v>0</v>
      </c>
      <c r="AA30" s="822">
        <f>VLOOKUP(V30,CASSA!$B$114:$C$479,2,FALSE)</f>
        <v>0</v>
      </c>
      <c r="AB30" s="1053">
        <f t="shared" si="12"/>
        <v>0</v>
      </c>
      <c r="AC30" s="1054">
        <f t="shared" si="13"/>
        <v>0</v>
      </c>
      <c r="AD30" s="1054">
        <f t="shared" si="14"/>
        <v>0</v>
      </c>
      <c r="AE30" s="1055">
        <f t="shared" si="15"/>
        <v>0</v>
      </c>
      <c r="AF30" s="2"/>
      <c r="AG30" s="1090">
        <f t="shared" si="16"/>
        <v>0</v>
      </c>
      <c r="AH30" s="1091">
        <f t="shared" si="17"/>
        <v>0</v>
      </c>
      <c r="AI30" s="1054">
        <f t="shared" si="18"/>
        <v>0</v>
      </c>
      <c r="AJ30" s="1054">
        <f t="shared" si="19"/>
        <v>0</v>
      </c>
      <c r="AK30" s="1092">
        <f t="shared" si="6"/>
        <v>0</v>
      </c>
      <c r="AL30" s="2"/>
      <c r="AM30" s="1090">
        <f t="shared" si="7"/>
        <v>0</v>
      </c>
      <c r="AN30" s="1105">
        <f t="shared" si="20"/>
        <v>0</v>
      </c>
      <c r="AO30" s="1054">
        <f t="shared" si="21"/>
        <v>0</v>
      </c>
      <c r="AP30" s="1054">
        <f t="shared" si="22"/>
        <v>0</v>
      </c>
      <c r="AQ30" s="1092">
        <f t="shared" si="23"/>
        <v>0</v>
      </c>
      <c r="AR30" s="2"/>
      <c r="AS30" s="1090">
        <f t="shared" si="24"/>
        <v>0</v>
      </c>
      <c r="AT30" s="1091">
        <f t="shared" si="25"/>
        <v>0</v>
      </c>
      <c r="AU30" s="1054">
        <f t="shared" si="26"/>
        <v>0</v>
      </c>
      <c r="AV30" s="1054">
        <f t="shared" si="27"/>
        <v>0</v>
      </c>
      <c r="AW30" s="1092">
        <f t="shared" si="28"/>
        <v>0</v>
      </c>
      <c r="AX30" s="2"/>
      <c r="AY30" s="1090">
        <f t="shared" si="29"/>
        <v>0</v>
      </c>
      <c r="AZ30" s="1385"/>
      <c r="BA30" s="2"/>
    </row>
    <row r="31" spans="1:53" ht="20.25" customHeight="1" x14ac:dyDescent="0.2">
      <c r="A31" s="2"/>
      <c r="B31" s="18">
        <v>24</v>
      </c>
      <c r="C31" s="234">
        <f t="shared" si="30"/>
        <v>24</v>
      </c>
      <c r="D31" s="235">
        <f t="shared" si="8"/>
        <v>11</v>
      </c>
      <c r="E31" s="2159" t="str">
        <f t="shared" si="0"/>
        <v xml:space="preserve">attiva trim.  </v>
      </c>
      <c r="F31" s="2160"/>
      <c r="G31" s="237"/>
      <c r="H31" s="237"/>
      <c r="I31" s="828"/>
      <c r="J31" s="829"/>
      <c r="K31" s="237"/>
      <c r="L31" s="828"/>
      <c r="M31" s="829"/>
      <c r="N31" s="237"/>
      <c r="O31" s="828"/>
      <c r="P31" s="829"/>
      <c r="Q31" s="6"/>
      <c r="R31" s="1053">
        <f t="shared" si="9"/>
        <v>0</v>
      </c>
      <c r="S31" s="1054">
        <f t="shared" si="1"/>
        <v>0</v>
      </c>
      <c r="T31" s="1054">
        <f t="shared" si="10"/>
        <v>0</v>
      </c>
      <c r="U31" s="1055">
        <f t="shared" si="11"/>
        <v>0</v>
      </c>
      <c r="V31" s="231">
        <f t="shared" si="31"/>
        <v>45620</v>
      </c>
      <c r="W31" s="1053">
        <f t="shared" si="2"/>
        <v>0</v>
      </c>
      <c r="X31" s="1054">
        <f t="shared" si="3"/>
        <v>0</v>
      </c>
      <c r="Y31" s="1054">
        <f t="shared" si="4"/>
        <v>0</v>
      </c>
      <c r="Z31" s="1055">
        <f t="shared" si="5"/>
        <v>0</v>
      </c>
      <c r="AA31" s="822">
        <f>VLOOKUP(V31,CASSA!$B$114:$C$479,2,FALSE)</f>
        <v>0</v>
      </c>
      <c r="AB31" s="1053">
        <f t="shared" si="12"/>
        <v>0</v>
      </c>
      <c r="AC31" s="1054">
        <f t="shared" si="13"/>
        <v>0</v>
      </c>
      <c r="AD31" s="1054">
        <f t="shared" si="14"/>
        <v>0</v>
      </c>
      <c r="AE31" s="1055">
        <f t="shared" si="15"/>
        <v>0</v>
      </c>
      <c r="AF31" s="2"/>
      <c r="AG31" s="1090">
        <f t="shared" si="16"/>
        <v>0</v>
      </c>
      <c r="AH31" s="1091">
        <f t="shared" si="17"/>
        <v>0</v>
      </c>
      <c r="AI31" s="1054">
        <f t="shared" si="18"/>
        <v>0</v>
      </c>
      <c r="AJ31" s="1054">
        <f t="shared" si="19"/>
        <v>0</v>
      </c>
      <c r="AK31" s="1092">
        <f t="shared" si="6"/>
        <v>0</v>
      </c>
      <c r="AL31" s="2"/>
      <c r="AM31" s="1090">
        <f t="shared" si="7"/>
        <v>0</v>
      </c>
      <c r="AN31" s="1105">
        <f t="shared" si="20"/>
        <v>0</v>
      </c>
      <c r="AO31" s="1054">
        <f t="shared" si="21"/>
        <v>0</v>
      </c>
      <c r="AP31" s="1054">
        <f t="shared" si="22"/>
        <v>0</v>
      </c>
      <c r="AQ31" s="1092">
        <f t="shared" si="23"/>
        <v>0</v>
      </c>
      <c r="AR31" s="2"/>
      <c r="AS31" s="1090">
        <f t="shared" si="24"/>
        <v>0</v>
      </c>
      <c r="AT31" s="1091">
        <f t="shared" si="25"/>
        <v>0</v>
      </c>
      <c r="AU31" s="1054">
        <f t="shared" si="26"/>
        <v>0</v>
      </c>
      <c r="AV31" s="1054">
        <f t="shared" si="27"/>
        <v>0</v>
      </c>
      <c r="AW31" s="1092">
        <f t="shared" si="28"/>
        <v>0</v>
      </c>
      <c r="AX31" s="2"/>
      <c r="AY31" s="1090">
        <f t="shared" si="29"/>
        <v>0</v>
      </c>
      <c r="AZ31" s="1385"/>
      <c r="BA31" s="2"/>
    </row>
    <row r="32" spans="1:53" ht="20.25" customHeight="1" x14ac:dyDescent="0.2">
      <c r="A32" s="2"/>
      <c r="B32" s="18">
        <v>25</v>
      </c>
      <c r="C32" s="234">
        <f t="shared" si="30"/>
        <v>25</v>
      </c>
      <c r="D32" s="235">
        <f t="shared" si="8"/>
        <v>11</v>
      </c>
      <c r="E32" s="2159" t="str">
        <f t="shared" si="0"/>
        <v xml:space="preserve">attiva trim.  </v>
      </c>
      <c r="F32" s="2160"/>
      <c r="G32" s="237"/>
      <c r="H32" s="237"/>
      <c r="I32" s="828"/>
      <c r="J32" s="829"/>
      <c r="K32" s="237"/>
      <c r="L32" s="828"/>
      <c r="M32" s="829"/>
      <c r="N32" s="237"/>
      <c r="O32" s="828"/>
      <c r="P32" s="829"/>
      <c r="Q32" s="6"/>
      <c r="R32" s="1053">
        <f t="shared" si="9"/>
        <v>0</v>
      </c>
      <c r="S32" s="1054">
        <f t="shared" si="1"/>
        <v>0</v>
      </c>
      <c r="T32" s="1054">
        <f t="shared" si="10"/>
        <v>0</v>
      </c>
      <c r="U32" s="1055">
        <f t="shared" si="11"/>
        <v>0</v>
      </c>
      <c r="V32" s="231">
        <f t="shared" si="31"/>
        <v>45621</v>
      </c>
      <c r="W32" s="1053">
        <f t="shared" si="2"/>
        <v>0</v>
      </c>
      <c r="X32" s="1054">
        <f t="shared" si="3"/>
        <v>0</v>
      </c>
      <c r="Y32" s="1054">
        <f t="shared" si="4"/>
        <v>0</v>
      </c>
      <c r="Z32" s="1055">
        <f t="shared" si="5"/>
        <v>0</v>
      </c>
      <c r="AA32" s="822">
        <f>VLOOKUP(V32,CASSA!$B$114:$C$479,2,FALSE)</f>
        <v>0</v>
      </c>
      <c r="AB32" s="1053">
        <f t="shared" si="12"/>
        <v>0</v>
      </c>
      <c r="AC32" s="1054">
        <f t="shared" si="13"/>
        <v>0</v>
      </c>
      <c r="AD32" s="1054">
        <f t="shared" si="14"/>
        <v>0</v>
      </c>
      <c r="AE32" s="1055">
        <f t="shared" si="15"/>
        <v>0</v>
      </c>
      <c r="AF32" s="2"/>
      <c r="AG32" s="1090">
        <f t="shared" si="16"/>
        <v>0</v>
      </c>
      <c r="AH32" s="1091">
        <f t="shared" si="17"/>
        <v>0</v>
      </c>
      <c r="AI32" s="1054">
        <f t="shared" si="18"/>
        <v>0</v>
      </c>
      <c r="AJ32" s="1054">
        <f t="shared" si="19"/>
        <v>0</v>
      </c>
      <c r="AK32" s="1092">
        <f t="shared" si="6"/>
        <v>0</v>
      </c>
      <c r="AL32" s="2"/>
      <c r="AM32" s="1090">
        <f t="shared" si="7"/>
        <v>0</v>
      </c>
      <c r="AN32" s="1105">
        <f t="shared" si="20"/>
        <v>0</v>
      </c>
      <c r="AO32" s="1054">
        <f t="shared" si="21"/>
        <v>0</v>
      </c>
      <c r="AP32" s="1054">
        <f t="shared" si="22"/>
        <v>0</v>
      </c>
      <c r="AQ32" s="1092">
        <f t="shared" si="23"/>
        <v>0</v>
      </c>
      <c r="AR32" s="2"/>
      <c r="AS32" s="1090">
        <f t="shared" si="24"/>
        <v>0</v>
      </c>
      <c r="AT32" s="1091">
        <f t="shared" si="25"/>
        <v>0</v>
      </c>
      <c r="AU32" s="1054">
        <f t="shared" si="26"/>
        <v>0</v>
      </c>
      <c r="AV32" s="1054">
        <f t="shared" si="27"/>
        <v>0</v>
      </c>
      <c r="AW32" s="1092">
        <f t="shared" si="28"/>
        <v>0</v>
      </c>
      <c r="AX32" s="2"/>
      <c r="AY32" s="1090">
        <f t="shared" si="29"/>
        <v>0</v>
      </c>
      <c r="AZ32" s="1385"/>
      <c r="BA32" s="2"/>
    </row>
    <row r="33" spans="1:54" ht="20.25" customHeight="1" x14ac:dyDescent="0.2">
      <c r="A33" s="2"/>
      <c r="B33" s="18">
        <v>26</v>
      </c>
      <c r="C33" s="234">
        <f t="shared" si="30"/>
        <v>26</v>
      </c>
      <c r="D33" s="235">
        <f t="shared" si="8"/>
        <v>11</v>
      </c>
      <c r="E33" s="2159" t="str">
        <f t="shared" si="0"/>
        <v xml:space="preserve">attiva trim.  </v>
      </c>
      <c r="F33" s="2160"/>
      <c r="G33" s="237"/>
      <c r="H33" s="237"/>
      <c r="I33" s="828"/>
      <c r="J33" s="829"/>
      <c r="K33" s="237"/>
      <c r="L33" s="828"/>
      <c r="M33" s="829"/>
      <c r="N33" s="237"/>
      <c r="O33" s="828"/>
      <c r="P33" s="829"/>
      <c r="Q33" s="6"/>
      <c r="R33" s="1053">
        <f t="shared" si="9"/>
        <v>0</v>
      </c>
      <c r="S33" s="1054">
        <f t="shared" si="1"/>
        <v>0</v>
      </c>
      <c r="T33" s="1054">
        <f t="shared" si="10"/>
        <v>0</v>
      </c>
      <c r="U33" s="1055">
        <f t="shared" si="11"/>
        <v>0</v>
      </c>
      <c r="V33" s="231">
        <f t="shared" si="31"/>
        <v>45622</v>
      </c>
      <c r="W33" s="1053">
        <f t="shared" si="2"/>
        <v>0</v>
      </c>
      <c r="X33" s="1054">
        <f t="shared" si="3"/>
        <v>0</v>
      </c>
      <c r="Y33" s="1054">
        <f t="shared" si="4"/>
        <v>0</v>
      </c>
      <c r="Z33" s="1055">
        <f t="shared" si="5"/>
        <v>0</v>
      </c>
      <c r="AA33" s="822">
        <f>VLOOKUP(V33,CASSA!$B$114:$C$479,2,FALSE)</f>
        <v>0</v>
      </c>
      <c r="AB33" s="1053">
        <f t="shared" si="12"/>
        <v>0</v>
      </c>
      <c r="AC33" s="1054">
        <f t="shared" si="13"/>
        <v>0</v>
      </c>
      <c r="AD33" s="1054">
        <f t="shared" si="14"/>
        <v>0</v>
      </c>
      <c r="AE33" s="1055">
        <f t="shared" si="15"/>
        <v>0</v>
      </c>
      <c r="AF33" s="2"/>
      <c r="AG33" s="1090">
        <f t="shared" si="16"/>
        <v>0</v>
      </c>
      <c r="AH33" s="1091">
        <f t="shared" si="17"/>
        <v>0</v>
      </c>
      <c r="AI33" s="1054">
        <f t="shared" si="18"/>
        <v>0</v>
      </c>
      <c r="AJ33" s="1054">
        <f t="shared" si="19"/>
        <v>0</v>
      </c>
      <c r="AK33" s="1092">
        <f t="shared" si="6"/>
        <v>0</v>
      </c>
      <c r="AL33" s="2"/>
      <c r="AM33" s="1090">
        <f t="shared" si="7"/>
        <v>0</v>
      </c>
      <c r="AN33" s="1105">
        <f t="shared" si="20"/>
        <v>0</v>
      </c>
      <c r="AO33" s="1054">
        <f t="shared" si="21"/>
        <v>0</v>
      </c>
      <c r="AP33" s="1054">
        <f t="shared" si="22"/>
        <v>0</v>
      </c>
      <c r="AQ33" s="1092">
        <f t="shared" si="23"/>
        <v>0</v>
      </c>
      <c r="AR33" s="2"/>
      <c r="AS33" s="1090">
        <f t="shared" si="24"/>
        <v>0</v>
      </c>
      <c r="AT33" s="1091">
        <f t="shared" si="25"/>
        <v>0</v>
      </c>
      <c r="AU33" s="1054">
        <f t="shared" si="26"/>
        <v>0</v>
      </c>
      <c r="AV33" s="1054">
        <f t="shared" si="27"/>
        <v>0</v>
      </c>
      <c r="AW33" s="1092">
        <f t="shared" si="28"/>
        <v>0</v>
      </c>
      <c r="AX33" s="2"/>
      <c r="AY33" s="1090">
        <f t="shared" si="29"/>
        <v>0</v>
      </c>
      <c r="AZ33" s="1385"/>
      <c r="BA33" s="2"/>
    </row>
    <row r="34" spans="1:54" ht="20.25" customHeight="1" x14ac:dyDescent="0.2">
      <c r="A34" s="2"/>
      <c r="B34" s="18">
        <v>27</v>
      </c>
      <c r="C34" s="234">
        <f t="shared" si="30"/>
        <v>27</v>
      </c>
      <c r="D34" s="235">
        <f t="shared" si="8"/>
        <v>11</v>
      </c>
      <c r="E34" s="2159" t="str">
        <f t="shared" si="0"/>
        <v xml:space="preserve">attiva trim.  </v>
      </c>
      <c r="F34" s="2160"/>
      <c r="G34" s="237"/>
      <c r="H34" s="237"/>
      <c r="I34" s="828"/>
      <c r="J34" s="829"/>
      <c r="K34" s="237"/>
      <c r="L34" s="828"/>
      <c r="M34" s="829"/>
      <c r="N34" s="237"/>
      <c r="O34" s="828"/>
      <c r="P34" s="829"/>
      <c r="Q34" s="6"/>
      <c r="R34" s="1053">
        <f t="shared" si="9"/>
        <v>0</v>
      </c>
      <c r="S34" s="1054">
        <f t="shared" si="1"/>
        <v>0</v>
      </c>
      <c r="T34" s="1054">
        <f t="shared" si="10"/>
        <v>0</v>
      </c>
      <c r="U34" s="1055">
        <f t="shared" si="11"/>
        <v>0</v>
      </c>
      <c r="V34" s="231">
        <f t="shared" si="31"/>
        <v>45623</v>
      </c>
      <c r="W34" s="1053">
        <f t="shared" si="2"/>
        <v>0</v>
      </c>
      <c r="X34" s="1054">
        <f t="shared" si="3"/>
        <v>0</v>
      </c>
      <c r="Y34" s="1054">
        <f t="shared" si="4"/>
        <v>0</v>
      </c>
      <c r="Z34" s="1055">
        <f t="shared" si="5"/>
        <v>0</v>
      </c>
      <c r="AA34" s="822">
        <f>VLOOKUP(V34,CASSA!$B$114:$C$479,2,FALSE)</f>
        <v>0</v>
      </c>
      <c r="AB34" s="1053">
        <f t="shared" si="12"/>
        <v>0</v>
      </c>
      <c r="AC34" s="1054">
        <f t="shared" si="13"/>
        <v>0</v>
      </c>
      <c r="AD34" s="1054">
        <f t="shared" si="14"/>
        <v>0</v>
      </c>
      <c r="AE34" s="1055">
        <f t="shared" si="15"/>
        <v>0</v>
      </c>
      <c r="AF34" s="2"/>
      <c r="AG34" s="1090">
        <f t="shared" si="16"/>
        <v>0</v>
      </c>
      <c r="AH34" s="1091">
        <f t="shared" si="17"/>
        <v>0</v>
      </c>
      <c r="AI34" s="1054">
        <f t="shared" si="18"/>
        <v>0</v>
      </c>
      <c r="AJ34" s="1054">
        <f t="shared" si="19"/>
        <v>0</v>
      </c>
      <c r="AK34" s="1092">
        <f t="shared" si="6"/>
        <v>0</v>
      </c>
      <c r="AL34" s="2"/>
      <c r="AM34" s="1090">
        <f t="shared" si="7"/>
        <v>0</v>
      </c>
      <c r="AN34" s="1105">
        <f t="shared" si="20"/>
        <v>0</v>
      </c>
      <c r="AO34" s="1054">
        <f t="shared" si="21"/>
        <v>0</v>
      </c>
      <c r="AP34" s="1054">
        <f t="shared" si="22"/>
        <v>0</v>
      </c>
      <c r="AQ34" s="1092">
        <f t="shared" si="23"/>
        <v>0</v>
      </c>
      <c r="AR34" s="2"/>
      <c r="AS34" s="1090">
        <f t="shared" si="24"/>
        <v>0</v>
      </c>
      <c r="AT34" s="1091">
        <f t="shared" si="25"/>
        <v>0</v>
      </c>
      <c r="AU34" s="1054">
        <f t="shared" si="26"/>
        <v>0</v>
      </c>
      <c r="AV34" s="1054">
        <f t="shared" si="27"/>
        <v>0</v>
      </c>
      <c r="AW34" s="1092">
        <f t="shared" si="28"/>
        <v>0</v>
      </c>
      <c r="AX34" s="2"/>
      <c r="AY34" s="1090">
        <f t="shared" si="29"/>
        <v>0</v>
      </c>
      <c r="AZ34" s="1385"/>
      <c r="BA34" s="2"/>
    </row>
    <row r="35" spans="1:54" ht="20.25" customHeight="1" x14ac:dyDescent="0.2">
      <c r="A35" s="2"/>
      <c r="B35" s="18">
        <v>28</v>
      </c>
      <c r="C35" s="234">
        <f t="shared" si="30"/>
        <v>28</v>
      </c>
      <c r="D35" s="235">
        <f t="shared" si="8"/>
        <v>11</v>
      </c>
      <c r="E35" s="2159" t="str">
        <f t="shared" si="0"/>
        <v xml:space="preserve">attiva trim.  </v>
      </c>
      <c r="F35" s="2160"/>
      <c r="G35" s="237"/>
      <c r="H35" s="237"/>
      <c r="I35" s="828"/>
      <c r="J35" s="829"/>
      <c r="K35" s="237"/>
      <c r="L35" s="828"/>
      <c r="M35" s="829"/>
      <c r="N35" s="237"/>
      <c r="O35" s="828"/>
      <c r="P35" s="829"/>
      <c r="Q35" s="6"/>
      <c r="R35" s="1053">
        <f t="shared" si="9"/>
        <v>0</v>
      </c>
      <c r="S35" s="1054">
        <f t="shared" si="1"/>
        <v>0</v>
      </c>
      <c r="T35" s="1054">
        <f t="shared" si="10"/>
        <v>0</v>
      </c>
      <c r="U35" s="1055">
        <f t="shared" si="11"/>
        <v>0</v>
      </c>
      <c r="V35" s="231">
        <f t="shared" si="31"/>
        <v>45624</v>
      </c>
      <c r="W35" s="1053">
        <f t="shared" si="2"/>
        <v>0</v>
      </c>
      <c r="X35" s="1054">
        <f t="shared" si="3"/>
        <v>0</v>
      </c>
      <c r="Y35" s="1054">
        <f t="shared" si="4"/>
        <v>0</v>
      </c>
      <c r="Z35" s="1055">
        <f t="shared" si="5"/>
        <v>0</v>
      </c>
      <c r="AA35" s="822">
        <f>VLOOKUP(V35,CASSA!$B$114:$C$479,2,FALSE)</f>
        <v>0</v>
      </c>
      <c r="AB35" s="1053">
        <f t="shared" si="12"/>
        <v>0</v>
      </c>
      <c r="AC35" s="1054">
        <f t="shared" si="13"/>
        <v>0</v>
      </c>
      <c r="AD35" s="1054">
        <f t="shared" si="14"/>
        <v>0</v>
      </c>
      <c r="AE35" s="1055">
        <f t="shared" si="15"/>
        <v>0</v>
      </c>
      <c r="AF35" s="2"/>
      <c r="AG35" s="1090">
        <f t="shared" si="16"/>
        <v>0</v>
      </c>
      <c r="AH35" s="1091">
        <f t="shared" si="17"/>
        <v>0</v>
      </c>
      <c r="AI35" s="1054">
        <f t="shared" si="18"/>
        <v>0</v>
      </c>
      <c r="AJ35" s="1054">
        <f t="shared" si="19"/>
        <v>0</v>
      </c>
      <c r="AK35" s="1092">
        <f t="shared" si="6"/>
        <v>0</v>
      </c>
      <c r="AL35" s="2"/>
      <c r="AM35" s="1090">
        <f t="shared" si="7"/>
        <v>0</v>
      </c>
      <c r="AN35" s="1105">
        <f t="shared" si="20"/>
        <v>0</v>
      </c>
      <c r="AO35" s="1054">
        <f t="shared" si="21"/>
        <v>0</v>
      </c>
      <c r="AP35" s="1054">
        <f t="shared" si="22"/>
        <v>0</v>
      </c>
      <c r="AQ35" s="1092">
        <f t="shared" si="23"/>
        <v>0</v>
      </c>
      <c r="AR35" s="2"/>
      <c r="AS35" s="1090">
        <f t="shared" si="24"/>
        <v>0</v>
      </c>
      <c r="AT35" s="1091">
        <f t="shared" si="25"/>
        <v>0</v>
      </c>
      <c r="AU35" s="1054">
        <f t="shared" si="26"/>
        <v>0</v>
      </c>
      <c r="AV35" s="1054">
        <f t="shared" si="27"/>
        <v>0</v>
      </c>
      <c r="AW35" s="1092">
        <f t="shared" si="28"/>
        <v>0</v>
      </c>
      <c r="AX35" s="2"/>
      <c r="AY35" s="1090">
        <f t="shared" si="29"/>
        <v>0</v>
      </c>
      <c r="AZ35" s="1385"/>
      <c r="BA35" s="2"/>
    </row>
    <row r="36" spans="1:54" ht="20.25" customHeight="1" x14ac:dyDescent="0.2">
      <c r="A36" s="2"/>
      <c r="B36" s="18">
        <v>29</v>
      </c>
      <c r="C36" s="234">
        <f t="shared" si="30"/>
        <v>29</v>
      </c>
      <c r="D36" s="235">
        <f t="shared" si="8"/>
        <v>11</v>
      </c>
      <c r="E36" s="2159" t="str">
        <f t="shared" si="0"/>
        <v xml:space="preserve">attiva trim.  </v>
      </c>
      <c r="F36" s="2160"/>
      <c r="G36" s="237"/>
      <c r="H36" s="237"/>
      <c r="I36" s="828"/>
      <c r="J36" s="829"/>
      <c r="K36" s="237"/>
      <c r="L36" s="828"/>
      <c r="M36" s="829"/>
      <c r="N36" s="237"/>
      <c r="O36" s="828"/>
      <c r="P36" s="829"/>
      <c r="Q36" s="6"/>
      <c r="R36" s="1053">
        <f t="shared" si="9"/>
        <v>0</v>
      </c>
      <c r="S36" s="1054">
        <f t="shared" si="1"/>
        <v>0</v>
      </c>
      <c r="T36" s="1054">
        <f t="shared" si="10"/>
        <v>0</v>
      </c>
      <c r="U36" s="1055">
        <f t="shared" si="11"/>
        <v>0</v>
      </c>
      <c r="V36" s="231">
        <f t="shared" si="31"/>
        <v>45625</v>
      </c>
      <c r="W36" s="1053">
        <f t="shared" si="2"/>
        <v>0</v>
      </c>
      <c r="X36" s="1054">
        <f t="shared" si="3"/>
        <v>0</v>
      </c>
      <c r="Y36" s="1054">
        <f t="shared" si="4"/>
        <v>0</v>
      </c>
      <c r="Z36" s="1055">
        <f t="shared" si="5"/>
        <v>0</v>
      </c>
      <c r="AA36" s="822">
        <f>VLOOKUP(V36,CASSA!$B$114:$C$479,2,FALSE)</f>
        <v>0</v>
      </c>
      <c r="AB36" s="1053">
        <f t="shared" si="12"/>
        <v>0</v>
      </c>
      <c r="AC36" s="1054">
        <f t="shared" si="13"/>
        <v>0</v>
      </c>
      <c r="AD36" s="1054">
        <f t="shared" si="14"/>
        <v>0</v>
      </c>
      <c r="AE36" s="1055">
        <f t="shared" si="15"/>
        <v>0</v>
      </c>
      <c r="AF36" s="2"/>
      <c r="AG36" s="1090">
        <f t="shared" si="16"/>
        <v>0</v>
      </c>
      <c r="AH36" s="1091">
        <f t="shared" si="17"/>
        <v>0</v>
      </c>
      <c r="AI36" s="1054">
        <f t="shared" si="18"/>
        <v>0</v>
      </c>
      <c r="AJ36" s="1054">
        <f t="shared" si="19"/>
        <v>0</v>
      </c>
      <c r="AK36" s="1092">
        <f t="shared" si="6"/>
        <v>0</v>
      </c>
      <c r="AL36" s="2"/>
      <c r="AM36" s="1090">
        <f t="shared" si="7"/>
        <v>0</v>
      </c>
      <c r="AN36" s="1105">
        <f t="shared" si="20"/>
        <v>0</v>
      </c>
      <c r="AO36" s="1054">
        <f t="shared" si="21"/>
        <v>0</v>
      </c>
      <c r="AP36" s="1054">
        <f t="shared" si="22"/>
        <v>0</v>
      </c>
      <c r="AQ36" s="1092">
        <f t="shared" si="23"/>
        <v>0</v>
      </c>
      <c r="AR36" s="2"/>
      <c r="AS36" s="1090">
        <f t="shared" si="24"/>
        <v>0</v>
      </c>
      <c r="AT36" s="1091">
        <f t="shared" si="25"/>
        <v>0</v>
      </c>
      <c r="AU36" s="1054">
        <f t="shared" si="26"/>
        <v>0</v>
      </c>
      <c r="AV36" s="1054">
        <f t="shared" si="27"/>
        <v>0</v>
      </c>
      <c r="AW36" s="1092">
        <f t="shared" si="28"/>
        <v>0</v>
      </c>
      <c r="AX36" s="2"/>
      <c r="AY36" s="1090">
        <f t="shared" si="29"/>
        <v>0</v>
      </c>
      <c r="AZ36" s="1385"/>
      <c r="BA36" s="2"/>
    </row>
    <row r="37" spans="1:54" ht="20.25" customHeight="1" x14ac:dyDescent="0.2">
      <c r="A37" s="2"/>
      <c r="B37" s="18">
        <v>30</v>
      </c>
      <c r="C37" s="234">
        <f t="shared" si="30"/>
        <v>30</v>
      </c>
      <c r="D37" s="235">
        <f t="shared" si="8"/>
        <v>11</v>
      </c>
      <c r="E37" s="2240" t="str">
        <f t="shared" si="0"/>
        <v xml:space="preserve">attiva trim.  </v>
      </c>
      <c r="F37" s="2241"/>
      <c r="G37" s="823"/>
      <c r="H37" s="823"/>
      <c r="I37" s="842"/>
      <c r="J37" s="843"/>
      <c r="K37" s="823"/>
      <c r="L37" s="842"/>
      <c r="M37" s="843"/>
      <c r="N37" s="823"/>
      <c r="O37" s="842"/>
      <c r="P37" s="843"/>
      <c r="Q37" s="6"/>
      <c r="R37" s="1056">
        <f t="shared" si="9"/>
        <v>0</v>
      </c>
      <c r="S37" s="1057">
        <f t="shared" si="1"/>
        <v>0</v>
      </c>
      <c r="T37" s="1057">
        <f t="shared" si="10"/>
        <v>0</v>
      </c>
      <c r="U37" s="1058">
        <f t="shared" si="11"/>
        <v>0</v>
      </c>
      <c r="V37" s="231">
        <f t="shared" si="31"/>
        <v>45626</v>
      </c>
      <c r="W37" s="1056">
        <f t="shared" si="2"/>
        <v>0</v>
      </c>
      <c r="X37" s="1057">
        <f t="shared" si="3"/>
        <v>0</v>
      </c>
      <c r="Y37" s="1057">
        <f t="shared" si="4"/>
        <v>0</v>
      </c>
      <c r="Z37" s="1058">
        <f t="shared" si="5"/>
        <v>0</v>
      </c>
      <c r="AA37" s="822">
        <f>VLOOKUP(V37,CASSA!$B$114:$C$479,2,FALSE)</f>
        <v>0</v>
      </c>
      <c r="AB37" s="1056">
        <f t="shared" si="12"/>
        <v>0</v>
      </c>
      <c r="AC37" s="1057">
        <f t="shared" si="13"/>
        <v>0</v>
      </c>
      <c r="AD37" s="1057">
        <f t="shared" si="14"/>
        <v>0</v>
      </c>
      <c r="AE37" s="1058">
        <f t="shared" si="15"/>
        <v>0</v>
      </c>
      <c r="AF37" s="2"/>
      <c r="AG37" s="1093">
        <f t="shared" si="16"/>
        <v>0</v>
      </c>
      <c r="AH37" s="1094">
        <f t="shared" si="17"/>
        <v>0</v>
      </c>
      <c r="AI37" s="1057">
        <f t="shared" si="18"/>
        <v>0</v>
      </c>
      <c r="AJ37" s="1057">
        <f t="shared" si="19"/>
        <v>0</v>
      </c>
      <c r="AK37" s="1095">
        <f t="shared" si="6"/>
        <v>0</v>
      </c>
      <c r="AL37" s="2"/>
      <c r="AM37" s="1093">
        <f t="shared" si="7"/>
        <v>0</v>
      </c>
      <c r="AN37" s="1106">
        <f t="shared" si="20"/>
        <v>0</v>
      </c>
      <c r="AO37" s="1057">
        <f t="shared" si="21"/>
        <v>0</v>
      </c>
      <c r="AP37" s="1057">
        <f t="shared" si="22"/>
        <v>0</v>
      </c>
      <c r="AQ37" s="1095">
        <f t="shared" si="23"/>
        <v>0</v>
      </c>
      <c r="AR37" s="2"/>
      <c r="AS37" s="1093">
        <f t="shared" si="24"/>
        <v>0</v>
      </c>
      <c r="AT37" s="1094">
        <f t="shared" si="25"/>
        <v>0</v>
      </c>
      <c r="AU37" s="1057">
        <f t="shared" si="26"/>
        <v>0</v>
      </c>
      <c r="AV37" s="1057">
        <f t="shared" si="27"/>
        <v>0</v>
      </c>
      <c r="AW37" s="1095">
        <f t="shared" si="28"/>
        <v>0</v>
      </c>
      <c r="AX37" s="2"/>
      <c r="AY37" s="1093">
        <f t="shared" si="29"/>
        <v>0</v>
      </c>
      <c r="AZ37" s="1385"/>
      <c r="BA37" s="2"/>
    </row>
    <row r="38" spans="1:54" ht="20.25" customHeight="1" x14ac:dyDescent="0.2">
      <c r="A38" s="2"/>
      <c r="B38" s="18">
        <v>31</v>
      </c>
      <c r="C38" s="234" t="str">
        <f t="shared" si="30"/>
        <v>--</v>
      </c>
      <c r="D38" s="235" t="str">
        <f t="shared" si="8"/>
        <v>--</v>
      </c>
      <c r="E38" s="2238"/>
      <c r="F38" s="2239"/>
      <c r="G38" s="300"/>
      <c r="H38" s="300"/>
      <c r="I38" s="840"/>
      <c r="J38" s="841"/>
      <c r="K38" s="300"/>
      <c r="L38" s="840"/>
      <c r="M38" s="841"/>
      <c r="N38" s="300"/>
      <c r="O38" s="840"/>
      <c r="P38" s="841"/>
      <c r="Q38" s="6"/>
      <c r="R38" s="1059"/>
      <c r="S38" s="1059"/>
      <c r="T38" s="1059"/>
      <c r="U38" s="1059"/>
      <c r="V38" s="1060"/>
      <c r="W38" s="1059"/>
      <c r="X38" s="1059"/>
      <c r="Y38" s="1059"/>
      <c r="Z38" s="1059"/>
      <c r="AA38" s="822"/>
      <c r="AB38" s="1059"/>
      <c r="AC38" s="1059"/>
      <c r="AD38" s="1059"/>
      <c r="AE38" s="1059"/>
      <c r="AF38" s="2"/>
      <c r="AG38" s="2"/>
      <c r="AH38" s="2"/>
      <c r="AI38" s="2"/>
      <c r="AJ38" s="2"/>
      <c r="AK38" s="2"/>
      <c r="AL38" s="2"/>
      <c r="AM38" s="2"/>
      <c r="AN38" s="2"/>
      <c r="AO38" s="2"/>
      <c r="AP38" s="2"/>
      <c r="AQ38" s="2"/>
      <c r="AR38" s="2"/>
      <c r="AS38" s="2"/>
      <c r="AT38" s="2"/>
      <c r="AU38" s="2"/>
      <c r="AV38" s="2"/>
      <c r="AW38" s="2"/>
      <c r="AX38" s="2"/>
      <c r="AY38" s="2"/>
      <c r="AZ38" s="1386"/>
      <c r="BA38" s="2"/>
    </row>
    <row r="39" spans="1:54" ht="20.25" customHeight="1" x14ac:dyDescent="0.2">
      <c r="A39" s="2"/>
      <c r="B39" s="7"/>
      <c r="C39" s="2077" t="s">
        <v>177</v>
      </c>
      <c r="D39" s="2078"/>
      <c r="E39" s="2074">
        <f>IMPOSTAZIONI!AH265</f>
        <v>0</v>
      </c>
      <c r="F39" s="2075"/>
      <c r="G39" s="1440">
        <f>IF(ISERROR(G$155),0,SUM(G7:G38)-SUMIF($E8:$E38,$V4,G8:G38))</f>
        <v>0</v>
      </c>
      <c r="H39" s="1440">
        <f>IF(ISERROR(H$155),0,SUM(H7:H38)-SUMIF($E8:$E38,$V4,H8:H38))</f>
        <v>0</v>
      </c>
      <c r="I39" s="838"/>
      <c r="J39" s="839"/>
      <c r="K39" s="1440">
        <f>IF(ISERROR(I$155),0,SUM(K7:K38)-SUMIF($E8:$E38,$V4,K8:K38))</f>
        <v>0</v>
      </c>
      <c r="L39" s="838"/>
      <c r="M39" s="839"/>
      <c r="N39" s="1440">
        <f>IF(ISERROR(J$155),0,SUM(N7:N38)-SUMIF($E8:$E38,$V4,N8:N38))</f>
        <v>0</v>
      </c>
      <c r="O39" s="838"/>
      <c r="P39" s="839"/>
      <c r="Q39" s="6"/>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1383"/>
      <c r="BA39" s="2"/>
    </row>
    <row r="40" spans="1:54" ht="3" customHeight="1" x14ac:dyDescent="0.2">
      <c r="A40" s="2"/>
      <c r="B40" s="2"/>
      <c r="C40" s="8"/>
      <c r="D40" s="9"/>
      <c r="E40" s="825"/>
      <c r="F40" s="826"/>
      <c r="G40" s="827"/>
      <c r="H40" s="827"/>
      <c r="I40" s="825"/>
      <c r="J40" s="826"/>
      <c r="K40" s="827"/>
      <c r="L40" s="825"/>
      <c r="M40" s="826"/>
      <c r="N40" s="827"/>
      <c r="O40" s="825"/>
      <c r="P40" s="826"/>
      <c r="Q40" s="6"/>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row>
    <row r="41" spans="1:54" ht="6" customHeight="1" x14ac:dyDescent="0.2">
      <c r="A41" s="2"/>
      <c r="B41" s="2"/>
      <c r="C41" s="10"/>
      <c r="D41" s="10"/>
      <c r="E41" s="11"/>
      <c r="F41" s="11"/>
      <c r="G41" s="11"/>
      <c r="H41" s="11"/>
      <c r="I41" s="11"/>
      <c r="J41" s="11"/>
      <c r="K41" s="11"/>
      <c r="L41" s="11"/>
      <c r="M41" s="11"/>
      <c r="N41" s="11"/>
      <c r="O41" s="11"/>
      <c r="P41" s="11"/>
      <c r="Q41" s="1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row>
    <row r="42" spans="1:54" ht="18.75" customHeight="1" x14ac:dyDescent="0.2">
      <c r="A42" s="2"/>
      <c r="B42" s="2"/>
      <c r="C42" s="946" t="s">
        <v>657</v>
      </c>
      <c r="D42" s="14"/>
      <c r="E42" s="12"/>
      <c r="F42" s="12"/>
      <c r="G42" s="957">
        <f>IMPOSTAZIONI!I33</f>
        <v>0</v>
      </c>
      <c r="H42" s="957">
        <f>IMPOSTAZIONI!M33</f>
        <v>0</v>
      </c>
      <c r="I42" s="12"/>
      <c r="J42" s="12"/>
      <c r="K42" s="957">
        <f>IMPOSTAZIONI!U33</f>
        <v>0</v>
      </c>
      <c r="L42" s="12"/>
      <c r="M42" s="12"/>
      <c r="N42" s="957">
        <f>IMPOSTAZIONI!AC33</f>
        <v>0</v>
      </c>
      <c r="O42" s="12"/>
      <c r="P42" s="12"/>
      <c r="Q42" s="12"/>
      <c r="R42" s="2"/>
      <c r="S42" s="591"/>
      <c r="T42" s="591"/>
      <c r="U42" s="591"/>
      <c r="V42" s="591"/>
      <c r="W42" s="591"/>
      <c r="X42" s="591"/>
      <c r="Y42" s="591"/>
      <c r="Z42" s="591"/>
      <c r="AA42" s="591"/>
      <c r="AB42" s="591"/>
      <c r="AC42" s="591"/>
      <c r="AD42" s="591"/>
      <c r="AE42" s="591"/>
      <c r="AF42" s="591"/>
      <c r="AG42" s="591"/>
      <c r="AH42" s="591"/>
      <c r="AI42" s="591"/>
      <c r="AJ42" s="591"/>
      <c r="AK42" s="591"/>
      <c r="AL42" s="591"/>
      <c r="AM42" s="591"/>
      <c r="AN42" s="591"/>
      <c r="AO42" s="591"/>
      <c r="AP42" s="591"/>
      <c r="AQ42" s="591"/>
      <c r="AR42" s="591"/>
      <c r="AS42" s="591"/>
      <c r="AT42" s="591"/>
      <c r="AU42" s="591"/>
      <c r="AV42" s="591"/>
      <c r="AW42" s="591"/>
      <c r="AX42" s="591"/>
      <c r="AY42" s="591"/>
      <c r="AZ42" s="2"/>
      <c r="BA42" s="2"/>
      <c r="BB42" s="591"/>
    </row>
    <row r="43" spans="1:54" ht="18" customHeight="1" x14ac:dyDescent="0.2">
      <c r="A43" s="2"/>
      <c r="B43" s="2"/>
      <c r="C43" s="2161" t="s">
        <v>175</v>
      </c>
      <c r="D43" s="2161"/>
      <c r="E43" s="2076">
        <f>C6</f>
        <v>2024</v>
      </c>
      <c r="F43" s="2076"/>
      <c r="G43" s="888" t="str">
        <f>G6</f>
        <v/>
      </c>
      <c r="H43" s="889" t="str">
        <f>H6</f>
        <v/>
      </c>
      <c r="I43" s="2"/>
      <c r="J43" s="2"/>
      <c r="K43" s="887" t="str">
        <f>K6</f>
        <v/>
      </c>
      <c r="L43" s="2"/>
      <c r="M43" s="2"/>
      <c r="N43" s="887" t="str">
        <f>N6</f>
        <v/>
      </c>
      <c r="O43" s="2"/>
      <c r="P43" s="2"/>
      <c r="Q43" s="12"/>
      <c r="R43" s="2"/>
      <c r="S43" s="591"/>
      <c r="T43" s="591"/>
      <c r="U43" s="591"/>
      <c r="V43" s="591"/>
      <c r="W43" s="591"/>
      <c r="X43" s="591"/>
      <c r="Y43" s="591"/>
      <c r="Z43" s="591"/>
      <c r="AA43" s="591"/>
      <c r="AB43" s="591"/>
      <c r="AC43" s="591"/>
      <c r="AD43" s="591"/>
      <c r="AE43" s="591"/>
      <c r="AF43" s="591"/>
      <c r="AG43" s="591"/>
      <c r="AH43" s="591"/>
      <c r="AI43" s="591"/>
      <c r="AJ43" s="591"/>
      <c r="AK43" s="591"/>
      <c r="AL43" s="591"/>
      <c r="AM43" s="591"/>
      <c r="AN43" s="591"/>
      <c r="AO43" s="591"/>
      <c r="AP43" s="591"/>
      <c r="AQ43" s="591"/>
      <c r="AR43" s="591"/>
      <c r="AS43" s="591"/>
      <c r="AT43" s="591"/>
      <c r="AU43" s="591"/>
      <c r="AV43" s="591"/>
      <c r="AW43" s="591"/>
      <c r="AX43" s="591"/>
      <c r="AY43" s="591"/>
      <c r="AZ43" s="2"/>
      <c r="BA43" s="2"/>
      <c r="BB43" s="591"/>
    </row>
    <row r="44" spans="1:54" ht="22.5" customHeight="1" x14ac:dyDescent="0.2">
      <c r="A44" s="2"/>
      <c r="B44" s="2"/>
      <c r="C44" s="2091" t="s">
        <v>298</v>
      </c>
      <c r="D44" s="2091"/>
      <c r="E44" s="2091"/>
      <c r="F44" s="2091"/>
      <c r="G44" s="57" t="str">
        <f t="shared" ref="G44:K45" si="32">G4</f>
        <v/>
      </c>
      <c r="H44" s="57" t="str">
        <f t="shared" si="32"/>
        <v/>
      </c>
      <c r="I44" s="2034">
        <f>IF(I4=K130,"",I4)</f>
        <v>0</v>
      </c>
      <c r="J44" s="2034"/>
      <c r="K44" s="57" t="str">
        <f t="shared" si="32"/>
        <v/>
      </c>
      <c r="L44" s="2034">
        <f>IF(L4=K130,"",L4)</f>
        <v>0</v>
      </c>
      <c r="M44" s="2034"/>
      <c r="N44" s="57" t="str">
        <f>N4</f>
        <v/>
      </c>
      <c r="O44" s="2034">
        <f>IF(O4=K130,"",O4)</f>
        <v>0</v>
      </c>
      <c r="P44" s="2034"/>
      <c r="Q44" s="12"/>
      <c r="R44" s="2"/>
      <c r="S44" s="591"/>
      <c r="T44" s="591"/>
      <c r="U44" s="591"/>
      <c r="V44" s="591"/>
      <c r="W44" s="591"/>
      <c r="X44" s="591"/>
      <c r="Y44" s="591"/>
      <c r="Z44" s="591"/>
      <c r="AA44" s="591"/>
      <c r="AB44" s="591"/>
      <c r="AC44" s="591"/>
      <c r="AD44" s="591"/>
      <c r="AE44" s="591"/>
      <c r="AF44" s="591"/>
      <c r="AG44" s="591"/>
      <c r="AH44" s="591"/>
      <c r="AI44" s="591"/>
      <c r="AJ44" s="591"/>
      <c r="AK44" s="591"/>
      <c r="AL44" s="591"/>
      <c r="AM44" s="591"/>
      <c r="AN44" s="591"/>
      <c r="AO44" s="591"/>
      <c r="AP44" s="591"/>
      <c r="AQ44" s="591"/>
      <c r="AR44" s="591"/>
      <c r="AS44" s="591"/>
      <c r="AT44" s="591"/>
      <c r="AU44" s="591"/>
      <c r="AV44" s="591"/>
      <c r="AW44" s="591"/>
      <c r="AX44" s="591"/>
      <c r="AY44" s="591"/>
      <c r="AZ44" s="2"/>
      <c r="BA44" s="2"/>
      <c r="BB44" s="591"/>
    </row>
    <row r="45" spans="1:54" ht="22.5" customHeight="1" x14ac:dyDescent="0.2">
      <c r="A45" s="2"/>
      <c r="B45" s="2"/>
      <c r="C45" s="2081" t="s">
        <v>319</v>
      </c>
      <c r="D45" s="2081"/>
      <c r="E45" s="2082"/>
      <c r="F45" s="2082"/>
      <c r="G45" s="58" t="str">
        <f t="shared" si="32"/>
        <v/>
      </c>
      <c r="H45" s="58" t="str">
        <f t="shared" si="32"/>
        <v/>
      </c>
      <c r="I45" s="488" t="str">
        <f>I6</f>
        <v>DAL</v>
      </c>
      <c r="J45" s="489" t="str">
        <f>J6</f>
        <v>AL</v>
      </c>
      <c r="K45" s="58" t="str">
        <f t="shared" si="32"/>
        <v/>
      </c>
      <c r="L45" s="488" t="str">
        <f>L6</f>
        <v>DAL</v>
      </c>
      <c r="M45" s="489" t="str">
        <f>M6</f>
        <v>AL</v>
      </c>
      <c r="N45" s="58" t="str">
        <f>N5</f>
        <v/>
      </c>
      <c r="O45" s="488" t="str">
        <f>O6</f>
        <v>DAL</v>
      </c>
      <c r="P45" s="489" t="str">
        <f>P6</f>
        <v>AL</v>
      </c>
      <c r="Q45" s="12"/>
      <c r="R45" s="2"/>
      <c r="S45" s="591"/>
      <c r="T45" s="591"/>
      <c r="U45" s="591"/>
      <c r="V45" s="591"/>
      <c r="W45" s="591"/>
      <c r="X45" s="591"/>
      <c r="Y45" s="591"/>
      <c r="Z45" s="591"/>
      <c r="AA45" s="591"/>
      <c r="AB45" s="591"/>
      <c r="AC45" s="591"/>
      <c r="AD45" s="591"/>
      <c r="AE45" s="591"/>
      <c r="AF45" s="591"/>
      <c r="AG45" s="591"/>
      <c r="AH45" s="591"/>
      <c r="AI45" s="591"/>
      <c r="AJ45" s="591"/>
      <c r="AK45" s="591"/>
      <c r="AL45" s="591"/>
      <c r="AM45" s="591"/>
      <c r="AN45" s="591"/>
      <c r="AO45" s="591"/>
      <c r="AP45" s="591"/>
      <c r="AQ45" s="591"/>
      <c r="AR45" s="591"/>
      <c r="AS45" s="591"/>
      <c r="AT45" s="591"/>
      <c r="AU45" s="591"/>
      <c r="AV45" s="591"/>
      <c r="AW45" s="591"/>
      <c r="AX45" s="591"/>
      <c r="AY45" s="591"/>
      <c r="AZ45" s="2"/>
      <c r="BA45" s="2"/>
      <c r="BB45" s="591"/>
    </row>
    <row r="46" spans="1:54" ht="21.95" customHeight="1" x14ac:dyDescent="0.2">
      <c r="A46" s="2"/>
      <c r="B46" s="7"/>
      <c r="C46" s="2079" t="s">
        <v>193</v>
      </c>
      <c r="D46" s="2080"/>
      <c r="E46" s="2157">
        <f>IF(E150=1,SUM(E8:E38),SUM(G46:H46)+K46+N46-SUMIF(G42:N42,K134,G46:N46))</f>
        <v>0</v>
      </c>
      <c r="F46" s="2158"/>
      <c r="G46" s="881">
        <f>IF(ISERROR(G$155),0,SUM(G8:G38)-SUMIF($E8:$E38,$V4,G8:G38)+IF(ISERROR(VLOOKUP(G1,IMPOSTAZIONI!$B$401:$AM$407,$E$149,FALSE)),0,VLOOKUP(G1,IMPOSTAZIONI!$B$401:$AM$407,$E$149,FALSE)))</f>
        <v>0</v>
      </c>
      <c r="H46" s="882">
        <f>IF(ISERROR(H$155),0,SUM(H8:H38)-SUMIF($E8:$E38,$V4,H8:H38)+IF(ISERROR(VLOOKUP(H1,IMPOSTAZIONI!$B$401:$AM$407,$E$149,FALSE)),0,VLOOKUP(H1,IMPOSTAZIONI!$B$401:$AM$407,$E$149,FALSE)))</f>
        <v>0</v>
      </c>
      <c r="I46" s="884"/>
      <c r="J46" s="883"/>
      <c r="K46" s="297">
        <f>IF(ISERROR(I$155),0,SUM(K8:K38)-SUMIF($E8:$E38,$V4,K8:K38)+IF(ISERROR(VLOOKUP(K1,IMPOSTAZIONI!$B$401:$AM$407,$E$149,FALSE)),0,VLOOKUP(K1,IMPOSTAZIONI!$B$401:$AM$407,$E$149,FALSE)))</f>
        <v>0</v>
      </c>
      <c r="L46" s="884"/>
      <c r="M46" s="883"/>
      <c r="N46" s="297">
        <f>IF(ISERROR(J$155),0,SUM(N8:N38)-SUMIF($E8:$E38,$V4,N8:N38)+IF(ISERROR(VLOOKUP(N1,IMPOSTAZIONI!$B$401:$AM$407,$E$149,FALSE)),0,VLOOKUP(N1,IMPOSTAZIONI!$B$401:$AM$407,$E$149,FALSE)))</f>
        <v>0</v>
      </c>
      <c r="O46" s="885"/>
      <c r="P46" s="886"/>
      <c r="Q46" s="12"/>
      <c r="R46" s="2"/>
      <c r="S46" s="591"/>
      <c r="T46" s="591"/>
      <c r="U46" s="591"/>
      <c r="V46" s="591"/>
      <c r="W46" s="591"/>
      <c r="X46" s="591"/>
      <c r="Y46" s="591"/>
      <c r="Z46" s="591"/>
      <c r="AA46" s="591"/>
      <c r="AB46" s="591"/>
      <c r="AC46" s="591"/>
      <c r="AD46" s="591"/>
      <c r="AE46" s="591"/>
      <c r="AF46" s="591"/>
      <c r="AG46" s="591"/>
      <c r="AH46" s="591"/>
      <c r="AI46" s="591"/>
      <c r="AJ46" s="591"/>
      <c r="AK46" s="591"/>
      <c r="AL46" s="591"/>
      <c r="AM46" s="591"/>
      <c r="AN46" s="591"/>
      <c r="AO46" s="591"/>
      <c r="AP46" s="591"/>
      <c r="AQ46" s="591"/>
      <c r="AR46" s="591"/>
      <c r="AS46" s="591"/>
      <c r="AT46" s="591"/>
      <c r="AU46" s="591"/>
      <c r="AV46" s="591"/>
      <c r="AW46" s="591"/>
      <c r="AX46" s="591"/>
      <c r="AY46" s="591"/>
      <c r="AZ46" s="2"/>
      <c r="BA46" s="2"/>
      <c r="BB46" s="591"/>
    </row>
    <row r="47" spans="1:54" ht="16.5" customHeight="1" x14ac:dyDescent="0.2">
      <c r="A47" s="2"/>
      <c r="B47" s="7"/>
      <c r="C47" s="2179" t="s">
        <v>194</v>
      </c>
      <c r="D47" s="2180"/>
      <c r="E47" s="2177">
        <f>E46-E48</f>
        <v>0</v>
      </c>
      <c r="F47" s="2178"/>
      <c r="G47" s="238">
        <f>G46-G48</f>
        <v>0</v>
      </c>
      <c r="H47" s="652">
        <f>H46-H48</f>
        <v>0</v>
      </c>
      <c r="I47" s="2"/>
      <c r="J47" s="2"/>
      <c r="K47" s="654">
        <f>K46-K48</f>
        <v>0</v>
      </c>
      <c r="L47" s="2"/>
      <c r="M47" s="2"/>
      <c r="N47" s="654">
        <f>N46-N48</f>
        <v>0</v>
      </c>
      <c r="O47" s="2"/>
      <c r="P47" s="2"/>
      <c r="Q47" s="12"/>
      <c r="R47" s="2"/>
      <c r="S47" s="591"/>
      <c r="T47" s="591"/>
      <c r="U47" s="591"/>
      <c r="V47" s="591"/>
      <c r="W47" s="591"/>
      <c r="X47" s="591"/>
      <c r="Y47" s="591"/>
      <c r="Z47" s="591"/>
      <c r="AA47" s="591"/>
      <c r="AB47" s="591"/>
      <c r="AC47" s="591"/>
      <c r="AD47" s="591"/>
      <c r="AE47" s="591"/>
      <c r="AF47" s="591"/>
      <c r="AG47" s="591"/>
      <c r="AH47" s="591"/>
      <c r="AI47" s="591"/>
      <c r="AJ47" s="591"/>
      <c r="AK47" s="591"/>
      <c r="AL47" s="591"/>
      <c r="AM47" s="591"/>
      <c r="AN47" s="591"/>
      <c r="AO47" s="591"/>
      <c r="AP47" s="591"/>
      <c r="AQ47" s="591"/>
      <c r="AR47" s="591"/>
      <c r="AS47" s="591"/>
      <c r="AT47" s="591"/>
      <c r="AU47" s="591"/>
      <c r="AV47" s="591"/>
      <c r="AW47" s="591"/>
      <c r="AX47" s="591"/>
      <c r="AY47" s="591"/>
      <c r="AZ47" s="2"/>
      <c r="BA47" s="2"/>
      <c r="BB47" s="591"/>
    </row>
    <row r="48" spans="1:54" ht="16.5" customHeight="1" x14ac:dyDescent="0.2">
      <c r="A48" s="2"/>
      <c r="B48" s="7"/>
      <c r="C48" s="2070" t="s">
        <v>195</v>
      </c>
      <c r="D48" s="2071"/>
      <c r="E48" s="2181">
        <f>IF(I163=0,0,SUM(G48:H48)+K48+N48-SUMIF(G42:N42,K134,G48:N48))</f>
        <v>0</v>
      </c>
      <c r="F48" s="2182"/>
      <c r="G48" s="239">
        <f>IF(AND(C61=1,G63&lt;&gt;0),G87,IF(G152=0,SUM(R8:R38)-SUMIF($E8:$E38,$V4,R8:R38)+VLOOKUP(G1,IMPOSTAZIONI!$B$419:$AK$425,$E$149,FALSE),G98))</f>
        <v>0</v>
      </c>
      <c r="H48" s="653">
        <f>IF(AND(C61=1,H63&lt;&gt;0),H87,IF(H152=0,SUM(S8:S38)-SUMIF($E8:$E38,$V4,S8:S38)+VLOOKUP(H1,IMPOSTAZIONI!$B$419:$AK$425,$E$149,FALSE),H98))</f>
        <v>0</v>
      </c>
      <c r="I48" s="59"/>
      <c r="J48" s="139"/>
      <c r="K48" s="655">
        <f>IF(AND(C61=1,K63&lt;&gt;0),I87,IF(I152=0,SUM(T8:T38)-SUMIF($E8:$E38,$V4,T8:T38)+VLOOKUP(K1,IMPOSTAZIONI!$B$419:$AK$425,$E$149,FALSE),K98))</f>
        <v>0</v>
      </c>
      <c r="L48" s="59"/>
      <c r="M48" s="139"/>
      <c r="N48" s="655">
        <f>IF(AND(C61=1,N63&lt;&gt;0),K87,IF(J152=0,SUM(U8:U38)-SUMIF($E8:$E38,$V4,U8:U38)+VLOOKUP(N1,IMPOSTAZIONI!$B$419:$AK$425,$E$149,FALSE),N98))</f>
        <v>0</v>
      </c>
      <c r="O48" s="2"/>
      <c r="P48" s="2"/>
      <c r="Q48" s="13"/>
      <c r="R48" s="2"/>
      <c r="S48" s="591"/>
      <c r="T48" s="591"/>
      <c r="U48" s="591"/>
      <c r="V48" s="591"/>
      <c r="W48" s="591"/>
      <c r="X48" s="591"/>
      <c r="Y48" s="591"/>
      <c r="Z48" s="591"/>
      <c r="AA48" s="591"/>
      <c r="AB48" s="591"/>
      <c r="AC48" s="591"/>
      <c r="AD48" s="591"/>
      <c r="AE48" s="591"/>
      <c r="AF48" s="591"/>
      <c r="AG48" s="591"/>
      <c r="AH48" s="591"/>
      <c r="AI48" s="591"/>
      <c r="AJ48" s="591"/>
      <c r="AK48" s="591"/>
      <c r="AL48" s="591"/>
      <c r="AM48" s="591"/>
      <c r="AN48" s="591"/>
      <c r="AO48" s="591"/>
      <c r="AP48" s="591"/>
      <c r="AQ48" s="591"/>
      <c r="AR48" s="591"/>
      <c r="AS48" s="591"/>
      <c r="AT48" s="591"/>
      <c r="AU48" s="591"/>
      <c r="AV48" s="591"/>
      <c r="AW48" s="591"/>
      <c r="AX48" s="591"/>
      <c r="AY48" s="591"/>
      <c r="AZ48" s="2"/>
      <c r="BA48" s="2"/>
      <c r="BB48" s="591"/>
    </row>
    <row r="49" spans="1:54" ht="37.5" customHeight="1" x14ac:dyDescent="0.2">
      <c r="A49" s="2"/>
      <c r="B49" s="2"/>
      <c r="C49" s="14"/>
      <c r="D49" s="14"/>
      <c r="E49" s="12"/>
      <c r="F49" s="12"/>
      <c r="G49" s="11"/>
      <c r="H49" s="11"/>
      <c r="I49" s="12"/>
      <c r="J49" s="12"/>
      <c r="K49" s="11"/>
      <c r="L49" s="12"/>
      <c r="M49" s="12"/>
      <c r="N49" s="11"/>
      <c r="O49" s="12"/>
      <c r="P49" s="12"/>
      <c r="Q49" s="12"/>
      <c r="R49" s="12"/>
      <c r="S49" s="1308"/>
      <c r="T49" s="1308"/>
      <c r="U49" s="591"/>
      <c r="V49" s="591"/>
      <c r="W49" s="591"/>
      <c r="X49" s="591"/>
      <c r="Y49" s="591"/>
      <c r="Z49" s="591"/>
      <c r="AA49" s="591"/>
      <c r="AB49" s="591"/>
      <c r="AC49" s="591"/>
      <c r="AD49" s="591"/>
      <c r="AE49" s="591"/>
      <c r="AF49" s="591"/>
      <c r="AG49" s="591"/>
      <c r="AH49" s="591"/>
      <c r="AI49" s="591"/>
      <c r="AJ49" s="591"/>
      <c r="AK49" s="591"/>
      <c r="AL49" s="591"/>
      <c r="AM49" s="591"/>
      <c r="AN49" s="591"/>
      <c r="AO49" s="591"/>
      <c r="AP49" s="591"/>
      <c r="AQ49" s="591"/>
      <c r="AR49" s="591"/>
      <c r="AS49" s="591"/>
      <c r="AT49" s="591"/>
      <c r="AU49" s="591"/>
      <c r="AV49" s="591"/>
      <c r="AW49" s="591"/>
      <c r="AX49" s="591"/>
      <c r="AY49" s="591"/>
      <c r="AZ49" s="2"/>
      <c r="BA49" s="2"/>
      <c r="BB49" s="591"/>
    </row>
    <row r="50" spans="1:54" ht="18.75" customHeight="1" x14ac:dyDescent="0.2">
      <c r="A50" s="2"/>
      <c r="B50" s="2"/>
      <c r="C50" s="2174" t="s">
        <v>196</v>
      </c>
      <c r="D50" s="2174"/>
      <c r="E50" s="2174"/>
      <c r="F50" s="96"/>
      <c r="G50" s="2225" t="s">
        <v>488</v>
      </c>
      <c r="H50" s="2226"/>
      <c r="I50" s="2226"/>
      <c r="J50" s="2226"/>
      <c r="K50" s="2226"/>
      <c r="L50" s="2226"/>
      <c r="M50" s="2227"/>
      <c r="N50" s="656"/>
      <c r="O50" s="656"/>
      <c r="P50" s="14"/>
      <c r="Q50" s="2"/>
      <c r="R50" s="15"/>
      <c r="S50" s="1309"/>
      <c r="T50" s="591"/>
      <c r="U50" s="591"/>
      <c r="V50" s="591"/>
      <c r="W50" s="591"/>
      <c r="X50" s="591"/>
      <c r="Y50" s="591"/>
      <c r="Z50" s="1308"/>
      <c r="AA50" s="1309"/>
      <c r="AB50" s="591"/>
      <c r="AC50" s="591"/>
      <c r="AD50" s="591"/>
      <c r="AE50" s="591"/>
      <c r="AF50" s="591"/>
      <c r="AG50" s="591"/>
      <c r="AH50" s="591"/>
      <c r="AI50" s="591"/>
      <c r="AJ50" s="591"/>
      <c r="AK50" s="591"/>
      <c r="AL50" s="591"/>
      <c r="AM50" s="591"/>
      <c r="AN50" s="591"/>
      <c r="AO50" s="591"/>
      <c r="AP50" s="591"/>
      <c r="AQ50" s="591"/>
      <c r="AR50" s="591"/>
      <c r="AS50" s="591"/>
      <c r="AT50" s="591"/>
      <c r="AU50" s="591"/>
      <c r="AV50" s="591"/>
      <c r="AW50" s="591"/>
      <c r="AX50" s="591"/>
      <c r="AY50" s="591"/>
      <c r="AZ50" s="2"/>
      <c r="BA50" s="2"/>
      <c r="BB50" s="591"/>
    </row>
    <row r="51" spans="1:54" ht="16.5" customHeight="1" x14ac:dyDescent="0.25">
      <c r="A51" s="2"/>
      <c r="B51" s="2"/>
      <c r="C51" s="2126" t="s">
        <v>197</v>
      </c>
      <c r="D51" s="2127"/>
      <c r="E51" s="2128"/>
      <c r="F51" s="554"/>
      <c r="G51" s="293" t="str">
        <f>VLOOKUP(M3,K144:M148,3,FALSE)</f>
        <v>IVA a debito</v>
      </c>
      <c r="H51" s="294" t="str">
        <f>VLOOKUP(M3,K144:O148,5,FALSE)</f>
        <v>IVA a credito</v>
      </c>
      <c r="I51" s="2214" t="s">
        <v>200</v>
      </c>
      <c r="J51" s="2215"/>
      <c r="K51" s="1303" t="s">
        <v>201</v>
      </c>
      <c r="L51" s="2214" t="s">
        <v>71</v>
      </c>
      <c r="M51" s="2215"/>
      <c r="N51" s="14"/>
      <c r="O51" s="14"/>
      <c r="P51" s="14"/>
      <c r="Q51" s="12"/>
      <c r="R51" s="2"/>
      <c r="S51" s="591"/>
      <c r="T51" s="591"/>
      <c r="U51" s="591"/>
      <c r="V51" s="591"/>
      <c r="W51" s="591"/>
      <c r="X51" s="591"/>
      <c r="Y51" s="591"/>
      <c r="Z51" s="591"/>
      <c r="AA51" s="591"/>
      <c r="AB51" s="591"/>
      <c r="AC51" s="591"/>
      <c r="AD51" s="591"/>
      <c r="AE51" s="591"/>
      <c r="AF51" s="591"/>
      <c r="AG51" s="591"/>
      <c r="AH51" s="591"/>
      <c r="AI51" s="591"/>
      <c r="AJ51" s="591"/>
      <c r="AK51" s="591"/>
      <c r="AL51" s="591"/>
      <c r="AM51" s="591"/>
      <c r="AN51" s="591"/>
      <c r="AO51" s="591"/>
      <c r="AP51" s="591"/>
      <c r="AQ51" s="591"/>
      <c r="AR51" s="591"/>
      <c r="AS51" s="591"/>
      <c r="AT51" s="591"/>
      <c r="AU51" s="591"/>
      <c r="AV51" s="591"/>
      <c r="AW51" s="591"/>
      <c r="AX51" s="591"/>
      <c r="AY51" s="591"/>
      <c r="AZ51" s="2"/>
      <c r="BA51" s="2"/>
      <c r="BB51" s="591"/>
    </row>
    <row r="52" spans="1:54" ht="16.5" customHeight="1" x14ac:dyDescent="0.2">
      <c r="A52" s="2"/>
      <c r="B52" s="2"/>
      <c r="C52" s="2129"/>
      <c r="D52" s="2130"/>
      <c r="E52" s="2131"/>
      <c r="F52" s="576"/>
      <c r="G52" s="295" t="str">
        <f>VLOOKUP(M3,K144:N148,4,FALSE)</f>
        <v>corrispettivi</v>
      </c>
      <c r="H52" s="296" t="str">
        <f>VLOOKUP(M3,K144:P148,6,FALSE)</f>
        <v>ACQUISTI</v>
      </c>
      <c r="I52" s="2212" t="s">
        <v>201</v>
      </c>
      <c r="J52" s="2213"/>
      <c r="K52" s="1304" t="s">
        <v>204</v>
      </c>
      <c r="L52" s="2212" t="s">
        <v>205</v>
      </c>
      <c r="M52" s="2213"/>
      <c r="N52" s="14"/>
      <c r="O52" s="14"/>
      <c r="P52" s="14"/>
      <c r="Q52" s="12"/>
      <c r="R52" s="2"/>
      <c r="S52" s="591"/>
      <c r="T52" s="591"/>
      <c r="U52" s="591"/>
      <c r="V52" s="591"/>
      <c r="W52" s="591"/>
      <c r="X52" s="591"/>
      <c r="Y52" s="591"/>
      <c r="Z52" s="591"/>
      <c r="AA52" s="591"/>
      <c r="AB52" s="591"/>
      <c r="AC52" s="591"/>
      <c r="AD52" s="591"/>
      <c r="AE52" s="591"/>
      <c r="AF52" s="591"/>
      <c r="AG52" s="591"/>
      <c r="AH52" s="591"/>
      <c r="AI52" s="591"/>
      <c r="AJ52" s="591"/>
      <c r="AK52" s="591"/>
      <c r="AL52" s="591"/>
      <c r="AM52" s="591"/>
      <c r="AN52" s="591"/>
      <c r="AO52" s="591"/>
      <c r="AP52" s="591"/>
      <c r="AQ52" s="591"/>
      <c r="AR52" s="591"/>
      <c r="AS52" s="591"/>
      <c r="AT52" s="591"/>
      <c r="AU52" s="591"/>
      <c r="AV52" s="591"/>
      <c r="AW52" s="591"/>
      <c r="AX52" s="591"/>
      <c r="AY52" s="591"/>
      <c r="AZ52" s="2"/>
      <c r="BA52" s="2"/>
      <c r="BB52" s="591"/>
    </row>
    <row r="53" spans="1:54" ht="16.5" customHeight="1" x14ac:dyDescent="0.2">
      <c r="A53" s="2"/>
      <c r="B53" s="2"/>
      <c r="C53" s="2132" t="s">
        <v>816</v>
      </c>
      <c r="D53" s="2133"/>
      <c r="E53" s="2134"/>
      <c r="F53" s="554"/>
      <c r="G53" s="2045">
        <f>E48</f>
        <v>0</v>
      </c>
      <c r="H53" s="2047"/>
      <c r="I53" s="2066">
        <f>G53+H53</f>
        <v>0</v>
      </c>
      <c r="J53" s="2067"/>
      <c r="K53" s="2183"/>
      <c r="L53" s="2066">
        <f>I53+K53</f>
        <v>0</v>
      </c>
      <c r="M53" s="2067"/>
      <c r="N53" s="14"/>
      <c r="O53" s="14"/>
      <c r="P53" s="14"/>
      <c r="Q53" s="12"/>
      <c r="R53" s="2"/>
      <c r="S53" s="591"/>
      <c r="T53" s="591"/>
      <c r="U53" s="591"/>
      <c r="V53" s="591"/>
      <c r="W53" s="591"/>
      <c r="X53" s="591"/>
      <c r="Y53" s="591"/>
      <c r="Z53" s="591"/>
      <c r="AA53" s="591"/>
      <c r="AB53" s="591"/>
      <c r="AC53" s="591"/>
      <c r="AD53" s="591"/>
      <c r="AE53" s="591"/>
      <c r="AF53" s="591"/>
      <c r="AG53" s="591"/>
      <c r="AH53" s="591"/>
      <c r="AI53" s="591"/>
      <c r="AJ53" s="591"/>
      <c r="AK53" s="591"/>
      <c r="AL53" s="591"/>
      <c r="AM53" s="591"/>
      <c r="AN53" s="591"/>
      <c r="AO53" s="591"/>
      <c r="AP53" s="591"/>
      <c r="AQ53" s="591"/>
      <c r="AR53" s="591"/>
      <c r="AS53" s="591"/>
      <c r="AT53" s="591"/>
      <c r="AU53" s="591"/>
      <c r="AV53" s="591"/>
      <c r="AW53" s="591"/>
      <c r="AX53" s="591"/>
      <c r="AY53" s="591"/>
      <c r="AZ53" s="2"/>
      <c r="BA53" s="2"/>
      <c r="BB53" s="591"/>
    </row>
    <row r="54" spans="1:54" ht="16.5" customHeight="1" x14ac:dyDescent="0.2">
      <c r="A54" s="2"/>
      <c r="B54" s="2"/>
      <c r="C54" s="2042"/>
      <c r="D54" s="2043"/>
      <c r="E54" s="2044"/>
      <c r="F54" s="577"/>
      <c r="G54" s="2046"/>
      <c r="H54" s="2048"/>
      <c r="I54" s="2068"/>
      <c r="J54" s="2069"/>
      <c r="K54" s="2184"/>
      <c r="L54" s="2068"/>
      <c r="M54" s="2069"/>
      <c r="N54" s="14"/>
      <c r="O54" s="14"/>
      <c r="P54" s="14"/>
      <c r="Q54" s="12"/>
      <c r="R54" s="2"/>
      <c r="S54" s="591"/>
      <c r="T54" s="591"/>
      <c r="U54" s="591"/>
      <c r="V54" s="591"/>
      <c r="W54" s="591"/>
      <c r="X54" s="591"/>
      <c r="Y54" s="591"/>
      <c r="Z54" s="591"/>
      <c r="AA54" s="591"/>
      <c r="AB54" s="591"/>
      <c r="AC54" s="591"/>
      <c r="AD54" s="591"/>
      <c r="AE54" s="591"/>
      <c r="AF54" s="591"/>
      <c r="AG54" s="591"/>
      <c r="AH54" s="591"/>
      <c r="AI54" s="591"/>
      <c r="AJ54" s="591"/>
      <c r="AK54" s="591"/>
      <c r="AL54" s="591"/>
      <c r="AM54" s="591"/>
      <c r="AN54" s="591"/>
      <c r="AO54" s="591"/>
      <c r="AP54" s="591"/>
      <c r="AQ54" s="591"/>
      <c r="AR54" s="591"/>
      <c r="AS54" s="591"/>
      <c r="AT54" s="591"/>
      <c r="AU54" s="591"/>
      <c r="AV54" s="591"/>
      <c r="AW54" s="591"/>
      <c r="AX54" s="591"/>
      <c r="AY54" s="591"/>
      <c r="AZ54" s="2"/>
      <c r="BA54" s="2"/>
      <c r="BB54" s="591"/>
    </row>
    <row r="55" spans="1:54" ht="16.5" customHeight="1" x14ac:dyDescent="0.2">
      <c r="A55" s="2"/>
      <c r="B55" s="2"/>
      <c r="C55" s="2132" t="s">
        <v>815</v>
      </c>
      <c r="D55" s="2133"/>
      <c r="E55" s="2134"/>
      <c r="F55" s="555"/>
      <c r="G55" s="16" t="s">
        <v>206</v>
      </c>
      <c r="H55" s="890" t="s">
        <v>207</v>
      </c>
      <c r="I55" s="2120" t="str">
        <f>VLOOKUP(M3,K144:Q148,7,FALSE)</f>
        <v>DEBITO +</v>
      </c>
      <c r="J55" s="2121"/>
      <c r="K55" s="891" t="s">
        <v>208</v>
      </c>
      <c r="L55" s="2120" t="str">
        <f>VLOOKUP(M3,K144:T148,9,FALSE)</f>
        <v>DEBITO +</v>
      </c>
      <c r="M55" s="2121"/>
      <c r="N55" s="14"/>
      <c r="O55" s="14"/>
      <c r="P55" s="12"/>
      <c r="Q55" s="2"/>
      <c r="R55" s="2"/>
      <c r="S55" s="591"/>
      <c r="T55" s="591"/>
      <c r="U55" s="591"/>
      <c r="V55" s="591"/>
      <c r="W55" s="591"/>
      <c r="X55" s="591"/>
      <c r="Y55" s="591"/>
      <c r="Z55" s="591"/>
      <c r="AA55" s="591"/>
      <c r="AB55" s="591"/>
      <c r="AC55" s="591"/>
      <c r="AD55" s="591"/>
      <c r="AE55" s="591"/>
      <c r="AF55" s="591"/>
      <c r="AG55" s="591"/>
      <c r="AH55" s="591"/>
      <c r="AI55" s="591"/>
      <c r="AJ55" s="591"/>
      <c r="AK55" s="591"/>
      <c r="AL55" s="591"/>
      <c r="AM55" s="591"/>
      <c r="AN55" s="591"/>
      <c r="AO55" s="591"/>
      <c r="AP55" s="591"/>
      <c r="AQ55" s="591"/>
      <c r="AR55" s="591"/>
      <c r="AS55" s="591"/>
      <c r="AT55" s="591"/>
      <c r="AU55" s="591"/>
      <c r="AV55" s="591"/>
      <c r="AW55" s="591"/>
      <c r="AX55" s="591"/>
      <c r="AY55" s="591"/>
      <c r="AZ55" s="2"/>
      <c r="BA55" s="2"/>
      <c r="BB55" s="591"/>
    </row>
    <row r="56" spans="1:54" ht="16.5" customHeight="1" x14ac:dyDescent="0.2">
      <c r="A56" s="2"/>
      <c r="B56" s="2"/>
      <c r="C56" s="2138"/>
      <c r="D56" s="2139"/>
      <c r="E56" s="1215"/>
      <c r="F56" s="514"/>
      <c r="G56" s="97"/>
      <c r="H56" s="14"/>
      <c r="I56" s="2123" t="str">
        <f>VLOOKUP(M3,K144:R148,8,FALSE)</f>
        <v>CREDITO -</v>
      </c>
      <c r="J56" s="2124"/>
      <c r="K56" s="14"/>
      <c r="L56" s="2123" t="str">
        <f>VLOOKUP(M3,K144:T148,10,FALSE)</f>
        <v>CREDITO -</v>
      </c>
      <c r="M56" s="2124"/>
      <c r="N56" s="14"/>
      <c r="O56" s="2122"/>
      <c r="P56" s="2122"/>
      <c r="Q56" s="14"/>
      <c r="R56" s="2"/>
      <c r="S56" s="591"/>
      <c r="T56" s="591"/>
      <c r="U56" s="591"/>
      <c r="V56" s="591"/>
      <c r="W56" s="591"/>
      <c r="X56" s="591"/>
      <c r="Y56" s="591"/>
      <c r="Z56" s="591"/>
      <c r="AA56" s="591"/>
      <c r="AB56" s="591"/>
      <c r="AC56" s="591"/>
      <c r="AD56" s="591"/>
      <c r="AE56" s="591"/>
      <c r="AF56" s="591"/>
      <c r="AG56" s="591"/>
      <c r="AH56" s="591"/>
      <c r="AI56" s="591"/>
      <c r="AJ56" s="591"/>
      <c r="AK56" s="591"/>
      <c r="AL56" s="591"/>
      <c r="AM56" s="591"/>
      <c r="AN56" s="591"/>
      <c r="AO56" s="591"/>
      <c r="AP56" s="591"/>
      <c r="AQ56" s="591"/>
      <c r="AR56" s="591"/>
      <c r="AS56" s="591"/>
      <c r="AT56" s="591"/>
      <c r="AU56" s="591"/>
      <c r="AV56" s="591"/>
      <c r="AW56" s="591"/>
      <c r="AX56" s="591"/>
      <c r="AY56" s="591"/>
      <c r="AZ56" s="2"/>
      <c r="BA56" s="2"/>
      <c r="BB56" s="591"/>
    </row>
    <row r="57" spans="1:54" ht="30" customHeight="1" x14ac:dyDescent="0.2">
      <c r="A57" s="2"/>
      <c r="B57" s="17"/>
      <c r="C57" s="2144" t="s">
        <v>346</v>
      </c>
      <c r="D57" s="2144"/>
      <c r="E57" s="2145"/>
      <c r="F57" s="2145"/>
      <c r="G57" s="892" t="s">
        <v>347</v>
      </c>
      <c r="H57" s="892"/>
      <c r="I57" s="892"/>
      <c r="J57" s="892"/>
      <c r="K57" s="892"/>
      <c r="L57" s="892"/>
      <c r="M57" s="892"/>
      <c r="N57" s="892"/>
      <c r="O57" s="2211" t="s">
        <v>405</v>
      </c>
      <c r="P57" s="2211"/>
      <c r="Q57" s="255"/>
      <c r="R57" s="255"/>
      <c r="S57" s="1307"/>
      <c r="T57" s="1307"/>
      <c r="U57" s="591"/>
      <c r="V57" s="591"/>
      <c r="W57" s="591"/>
      <c r="X57" s="591"/>
      <c r="Y57" s="591"/>
      <c r="Z57" s="591"/>
      <c r="AA57" s="1307"/>
      <c r="AB57" s="1307"/>
      <c r="AC57" s="591"/>
      <c r="AD57" s="591"/>
      <c r="AE57" s="591"/>
      <c r="AF57" s="591"/>
      <c r="AG57" s="591"/>
      <c r="AH57" s="591"/>
      <c r="AI57" s="591"/>
      <c r="AJ57" s="591"/>
      <c r="AK57" s="591"/>
      <c r="AL57" s="591"/>
      <c r="AM57" s="591"/>
      <c r="AN57" s="591"/>
      <c r="AO57" s="591"/>
      <c r="AP57" s="591"/>
      <c r="AQ57" s="591"/>
      <c r="AR57" s="591"/>
      <c r="AS57" s="591"/>
      <c r="AT57" s="591"/>
      <c r="AU57" s="591"/>
      <c r="AV57" s="591"/>
      <c r="AW57" s="591"/>
      <c r="AX57" s="591"/>
      <c r="AY57" s="591"/>
      <c r="AZ57" s="2"/>
      <c r="BA57" s="2"/>
      <c r="BB57" s="591"/>
    </row>
    <row r="58" spans="1:54" ht="24.75" customHeight="1" x14ac:dyDescent="0.2">
      <c r="A58" s="2"/>
      <c r="B58" s="2"/>
      <c r="C58" s="2143">
        <f>IMPOSTAZIONI!T73</f>
        <v>0</v>
      </c>
      <c r="D58" s="2143"/>
      <c r="E58" s="2143"/>
      <c r="F58" s="2143"/>
      <c r="G58" s="893" t="str">
        <f>IMPOSTAZIONI!Y75</f>
        <v>Indirizzo esteso UBICAZIONE dell' Esercizio (facoltativo)</v>
      </c>
      <c r="H58" s="893"/>
      <c r="I58" s="893"/>
      <c r="J58" s="893"/>
      <c r="K58" s="893"/>
      <c r="L58" s="893"/>
      <c r="M58" s="893"/>
      <c r="N58" s="893"/>
      <c r="O58" s="1113" t="s">
        <v>344</v>
      </c>
      <c r="P58" s="2119">
        <v>11</v>
      </c>
      <c r="Q58" s="2119"/>
      <c r="R58" s="14"/>
      <c r="S58" s="591"/>
      <c r="T58" s="591"/>
      <c r="U58" s="591"/>
      <c r="V58" s="591"/>
      <c r="W58" s="591"/>
      <c r="X58" s="591"/>
      <c r="Y58" s="591"/>
      <c r="Z58" s="591"/>
      <c r="AA58" s="591"/>
      <c r="AB58" s="591"/>
      <c r="AC58" s="591"/>
      <c r="AD58" s="591"/>
      <c r="AE58" s="591"/>
      <c r="AF58" s="591"/>
      <c r="AG58" s="591"/>
      <c r="AH58" s="591"/>
      <c r="AI58" s="591"/>
      <c r="AJ58" s="591"/>
      <c r="AK58" s="591"/>
      <c r="AL58" s="591"/>
      <c r="AM58" s="591"/>
      <c r="AN58" s="591"/>
      <c r="AO58" s="591"/>
      <c r="AP58" s="591"/>
      <c r="AQ58" s="591"/>
      <c r="AR58" s="591"/>
      <c r="AS58" s="591"/>
      <c r="AT58" s="591"/>
      <c r="AU58" s="591"/>
      <c r="AV58" s="591"/>
      <c r="AW58" s="591"/>
      <c r="AX58" s="591"/>
      <c r="AY58" s="591"/>
      <c r="AZ58" s="2"/>
      <c r="BA58" s="2"/>
      <c r="BB58" s="591"/>
    </row>
    <row r="59" spans="1:54" ht="15.75" customHeight="1" x14ac:dyDescent="0.2">
      <c r="A59" s="2"/>
      <c r="B59" s="2"/>
      <c r="C59" s="2146" t="s">
        <v>248</v>
      </c>
      <c r="D59" s="2146"/>
      <c r="E59" s="2146"/>
      <c r="F59" s="2"/>
      <c r="G59" s="2"/>
      <c r="H59" s="2"/>
      <c r="I59" s="2"/>
      <c r="J59" s="2"/>
      <c r="K59" s="2"/>
      <c r="L59" s="2"/>
      <c r="M59" s="2"/>
      <c r="N59" s="2"/>
      <c r="O59" s="2"/>
      <c r="P59" s="2"/>
      <c r="Q59" s="2"/>
      <c r="R59" s="2"/>
      <c r="S59" s="591"/>
      <c r="T59" s="591"/>
      <c r="U59" s="591"/>
      <c r="V59" s="591"/>
      <c r="W59" s="591"/>
      <c r="X59" s="591"/>
      <c r="Y59" s="591"/>
      <c r="Z59" s="591"/>
      <c r="AA59" s="591"/>
      <c r="AB59" s="591"/>
      <c r="AC59" s="591"/>
      <c r="AD59" s="591"/>
      <c r="AE59" s="591"/>
      <c r="AF59" s="591"/>
      <c r="AG59" s="591"/>
      <c r="AH59" s="591"/>
      <c r="AI59" s="591"/>
      <c r="AJ59" s="591"/>
      <c r="AK59" s="591"/>
      <c r="AL59" s="591"/>
      <c r="AM59" s="591"/>
      <c r="AN59" s="591"/>
      <c r="AO59" s="591"/>
      <c r="AP59" s="591"/>
      <c r="AQ59" s="591"/>
      <c r="AR59" s="591"/>
      <c r="AS59" s="591"/>
      <c r="AT59" s="591"/>
      <c r="AU59" s="591"/>
      <c r="AV59" s="591"/>
      <c r="AW59" s="591"/>
      <c r="AX59" s="591"/>
      <c r="AY59" s="591"/>
      <c r="AZ59" s="591"/>
      <c r="BA59" s="591"/>
      <c r="BB59" s="591"/>
    </row>
    <row r="60" spans="1:54" ht="15" hidden="1" customHeight="1" x14ac:dyDescent="0.2">
      <c r="A60" s="2"/>
      <c r="B60" s="2"/>
      <c r="C60" s="2"/>
      <c r="D60" s="2"/>
      <c r="E60" s="2"/>
      <c r="F60" s="2"/>
      <c r="G60" s="2"/>
      <c r="H60" s="2"/>
      <c r="I60" s="2"/>
      <c r="J60" s="2"/>
      <c r="K60" s="2"/>
      <c r="L60" s="2"/>
      <c r="M60" s="2"/>
      <c r="N60" s="2"/>
      <c r="O60" s="2"/>
      <c r="P60" s="1012" t="s">
        <v>765</v>
      </c>
      <c r="Q60" s="2"/>
      <c r="R60" s="2"/>
      <c r="S60" s="591"/>
      <c r="T60" s="591"/>
      <c r="U60" s="591"/>
      <c r="V60" s="591"/>
      <c r="W60" s="591"/>
      <c r="X60" s="591"/>
      <c r="Y60" s="591"/>
      <c r="Z60" s="591"/>
      <c r="AA60" s="591"/>
      <c r="AB60" s="591"/>
      <c r="AC60" s="591"/>
      <c r="AD60" s="591"/>
      <c r="AE60" s="591"/>
      <c r="AF60" s="591"/>
      <c r="AG60" s="591"/>
      <c r="AH60" s="591"/>
      <c r="AI60" s="591"/>
      <c r="AJ60" s="591"/>
      <c r="AK60" s="591"/>
      <c r="AL60" s="591"/>
      <c r="AM60" s="591"/>
      <c r="AN60" s="591"/>
      <c r="AO60" s="591"/>
      <c r="AP60" s="591"/>
      <c r="AQ60" s="591"/>
      <c r="AR60" s="591"/>
      <c r="AS60" s="591"/>
      <c r="AT60" s="591"/>
      <c r="AU60" s="591"/>
      <c r="AV60" s="591"/>
      <c r="AW60" s="591"/>
      <c r="AX60" s="591"/>
      <c r="AY60" s="591"/>
      <c r="AZ60" s="591"/>
      <c r="BA60" s="591"/>
      <c r="BB60" s="591"/>
    </row>
    <row r="61" spans="1:54" ht="16.5" hidden="1" customHeight="1" x14ac:dyDescent="0.2">
      <c r="A61" s="2"/>
      <c r="B61" s="2"/>
      <c r="C61" s="1369">
        <f>IF(M3=K147,0,IF(T65=0,0,IF(E8=CONCATENATE(L131,"  "),0,IF(COUNTIF(G62:N62,$L$134)&gt;0,1,0))))</f>
        <v>0</v>
      </c>
      <c r="D61" s="1369">
        <f>IMPOSTAZIONI!H35</f>
        <v>0</v>
      </c>
      <c r="E61" s="2"/>
      <c r="F61" s="2"/>
      <c r="G61" s="1010" t="str">
        <f>IMPOSTAZIONI!$I$19</f>
        <v>Colonna 1</v>
      </c>
      <c r="H61" s="1010" t="str">
        <f>IMPOSTAZIONI!$M$19</f>
        <v>Colonna 2</v>
      </c>
      <c r="I61" s="101"/>
      <c r="J61" s="101"/>
      <c r="K61" s="1010" t="str">
        <f>IMPOSTAZIONI!$U$19</f>
        <v>Colonna 3</v>
      </c>
      <c r="L61" s="101"/>
      <c r="M61" s="101"/>
      <c r="N61" s="1010" t="str">
        <f>IMPOSTAZIONI!$AC$19</f>
        <v>Colonna 4</v>
      </c>
      <c r="O61" s="2"/>
      <c r="P61" s="1013" t="s">
        <v>766</v>
      </c>
      <c r="Q61" s="2"/>
      <c r="R61" s="2"/>
      <c r="S61" s="591"/>
      <c r="T61" s="591"/>
      <c r="U61" s="591"/>
      <c r="V61" s="591"/>
      <c r="W61" s="591"/>
      <c r="X61" s="591"/>
      <c r="Y61" s="591"/>
      <c r="Z61" s="591"/>
      <c r="AA61" s="591"/>
      <c r="AB61" s="591"/>
      <c r="AC61" s="591"/>
      <c r="AD61" s="591"/>
      <c r="AE61" s="591"/>
      <c r="AF61" s="591"/>
      <c r="AG61" s="591"/>
      <c r="AH61" s="591"/>
      <c r="AI61" s="591"/>
      <c r="AJ61" s="591"/>
      <c r="AK61" s="591"/>
      <c r="AL61" s="591"/>
      <c r="AM61" s="591"/>
      <c r="AN61" s="591"/>
      <c r="AO61" s="591"/>
      <c r="AP61" s="591"/>
      <c r="AQ61" s="591"/>
      <c r="AR61" s="591"/>
      <c r="AS61" s="591"/>
      <c r="AT61" s="591"/>
      <c r="AU61" s="591"/>
      <c r="AV61" s="591"/>
      <c r="AW61" s="591"/>
      <c r="AX61" s="591"/>
      <c r="AY61" s="591"/>
      <c r="AZ61" s="591"/>
      <c r="BA61" s="591"/>
      <c r="BB61" s="591"/>
    </row>
    <row r="62" spans="1:54" ht="20.25" hidden="1" customHeight="1" x14ac:dyDescent="0.2">
      <c r="A62" s="2"/>
      <c r="B62" s="2"/>
      <c r="C62" s="2"/>
      <c r="D62" s="2"/>
      <c r="E62" s="2"/>
      <c r="F62" s="2"/>
      <c r="G62" s="1011" t="str">
        <f>IF(IMPOSTAZIONI!$I$35=0,$L$135,IMPOSTAZIONI!$I$35)</f>
        <v>SCORPORO</v>
      </c>
      <c r="H62" s="1011" t="str">
        <f>IF(IMPOSTAZIONI!$M$35=0,$L$135,IMPOSTAZIONI!$M$35)</f>
        <v>SCORPORO</v>
      </c>
      <c r="I62" s="101"/>
      <c r="J62" s="101"/>
      <c r="K62" s="1011" t="str">
        <f>IF(IMPOSTAZIONI!$U$35=0,$L$135,IMPOSTAZIONI!$U$35)</f>
        <v>SCORPORO</v>
      </c>
      <c r="L62" s="101"/>
      <c r="M62" s="101"/>
      <c r="N62" s="1011" t="str">
        <f>IF(IMPOSTAZIONI!$AC$35=0,$L$135,IMPOSTAZIONI!$AC$35)</f>
        <v>SCORPORO</v>
      </c>
      <c r="O62" s="2"/>
      <c r="P62" s="2"/>
      <c r="Q62" s="2"/>
      <c r="R62" s="2"/>
      <c r="S62" s="2"/>
      <c r="T62" s="2"/>
      <c r="U62" s="2"/>
      <c r="V62" s="2"/>
      <c r="W62" s="2"/>
      <c r="X62" s="2"/>
      <c r="Y62" s="2"/>
      <c r="Z62" s="2"/>
      <c r="AA62" s="2"/>
      <c r="AB62" s="591"/>
      <c r="AC62" s="591"/>
      <c r="AD62" s="591"/>
      <c r="AE62" s="591"/>
      <c r="AF62" s="591"/>
      <c r="AG62" s="591"/>
      <c r="AH62" s="591"/>
      <c r="AI62" s="591"/>
      <c r="AJ62" s="591"/>
      <c r="AK62" s="591"/>
      <c r="AL62" s="591"/>
      <c r="AM62" s="591"/>
      <c r="AN62" s="591"/>
      <c r="AO62" s="591"/>
      <c r="AP62" s="591"/>
      <c r="AQ62" s="591"/>
      <c r="AR62" s="591"/>
      <c r="AS62" s="591"/>
      <c r="AT62" s="591"/>
      <c r="AU62" s="591"/>
      <c r="AV62" s="591"/>
      <c r="AW62" s="591"/>
      <c r="AX62" s="591"/>
      <c r="AY62" s="591"/>
      <c r="AZ62" s="591"/>
      <c r="BA62" s="591"/>
      <c r="BB62" s="591"/>
    </row>
    <row r="63" spans="1:54" ht="20.25" hidden="1" customHeight="1" x14ac:dyDescent="0.2">
      <c r="A63" s="2"/>
      <c r="B63" s="2"/>
      <c r="C63" s="2"/>
      <c r="D63" s="2"/>
      <c r="E63" s="2"/>
      <c r="F63" s="966" t="s">
        <v>814</v>
      </c>
      <c r="G63" s="965">
        <f>IF(G62=$L134,ROUND(G46,2),0)</f>
        <v>0</v>
      </c>
      <c r="H63" s="964">
        <f>IF(H62=$L134,ROUND(H46,2),0)</f>
        <v>0</v>
      </c>
      <c r="I63" s="2"/>
      <c r="J63" s="2"/>
      <c r="K63" s="963">
        <f>IF(K62=$L134,ROUND(K46,2),0)</f>
        <v>0</v>
      </c>
      <c r="L63" s="2"/>
      <c r="M63" s="2"/>
      <c r="N63" s="963">
        <f>IF(N62=$L134,ROUND(N46,2),0)</f>
        <v>0</v>
      </c>
      <c r="O63" s="2"/>
      <c r="P63" s="2"/>
      <c r="Q63" s="2"/>
      <c r="R63" s="2"/>
      <c r="S63" s="2"/>
      <c r="T63" s="2"/>
      <c r="U63" s="2"/>
      <c r="V63" s="2"/>
      <c r="W63" s="2"/>
      <c r="X63" s="2"/>
      <c r="Y63" s="2"/>
      <c r="Z63" s="2"/>
      <c r="AA63" s="2"/>
      <c r="AB63" s="591"/>
      <c r="AC63" s="591"/>
      <c r="AD63" s="591"/>
      <c r="AE63" s="591"/>
      <c r="AF63" s="591"/>
      <c r="AG63" s="591"/>
      <c r="AH63" s="591"/>
      <c r="AI63" s="591"/>
      <c r="AJ63" s="591"/>
      <c r="AK63" s="591"/>
      <c r="AL63" s="591"/>
      <c r="AM63" s="591"/>
      <c r="AN63" s="591"/>
      <c r="AO63" s="591"/>
      <c r="AP63" s="591"/>
      <c r="AQ63" s="591"/>
      <c r="AR63" s="591"/>
      <c r="AS63" s="591"/>
      <c r="AT63" s="591"/>
      <c r="AU63" s="591"/>
      <c r="AV63" s="591"/>
      <c r="AW63" s="591"/>
      <c r="AX63" s="591"/>
      <c r="AY63" s="591"/>
      <c r="AZ63" s="591"/>
      <c r="BA63" s="591"/>
      <c r="BB63" s="591"/>
    </row>
    <row r="64" spans="1:54" ht="3.75" hidden="1"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591"/>
      <c r="AC64" s="591"/>
      <c r="AD64" s="591"/>
      <c r="AE64" s="591"/>
      <c r="AF64" s="591"/>
      <c r="AG64" s="591"/>
      <c r="AH64" s="591"/>
      <c r="AI64" s="591"/>
      <c r="AJ64" s="591"/>
      <c r="AK64" s="591"/>
      <c r="AL64" s="591"/>
      <c r="AM64" s="591"/>
      <c r="AN64" s="591"/>
      <c r="AO64" s="591"/>
      <c r="AP64" s="591"/>
      <c r="AQ64" s="591"/>
      <c r="AR64" s="591"/>
      <c r="AS64" s="591"/>
      <c r="AT64" s="591"/>
      <c r="AU64" s="591"/>
      <c r="AV64" s="591"/>
      <c r="AW64" s="591"/>
      <c r="AX64" s="591"/>
      <c r="AY64" s="591"/>
      <c r="AZ64" s="591"/>
      <c r="BA64" s="591"/>
      <c r="BB64" s="591"/>
    </row>
    <row r="65" spans="1:54" ht="20.25" hidden="1" customHeight="1" x14ac:dyDescent="0.2">
      <c r="A65" s="2"/>
      <c r="B65" s="2"/>
      <c r="C65" s="2"/>
      <c r="D65" s="2"/>
      <c r="E65" s="2"/>
      <c r="F65" s="966" t="s">
        <v>744</v>
      </c>
      <c r="G65" s="967">
        <f>G63+H63+K63+N63</f>
        <v>0</v>
      </c>
      <c r="H65" s="1114" t="str">
        <f>IF(M3=K147,"",CONCATENATE("VENTILAZIONE ",IMPOSTAZIONI!D35,IMPOSTAZIONI!B32))</f>
        <v xml:space="preserve">VENTILAZIONE </v>
      </c>
      <c r="I65" s="2"/>
      <c r="J65" s="2"/>
      <c r="K65" s="2"/>
      <c r="L65" s="2"/>
      <c r="M65" s="2"/>
      <c r="N65" s="2"/>
      <c r="O65" s="2"/>
      <c r="P65" s="2"/>
      <c r="Q65" s="2"/>
      <c r="R65" s="2"/>
      <c r="S65" s="1111" t="str">
        <f>IMPOSTAZIONI!H143</f>
        <v>MENSILE</v>
      </c>
      <c r="T65" s="2019">
        <f>IMPOSTAZIONI!D35</f>
        <v>0</v>
      </c>
      <c r="U65" s="1116" t="str">
        <f>$C182</f>
        <v>01/01 - 30/11</v>
      </c>
      <c r="V65" s="1081" t="s">
        <v>790</v>
      </c>
      <c r="W65" s="2"/>
      <c r="X65" s="2"/>
      <c r="Y65" s="1081" t="s">
        <v>792</v>
      </c>
      <c r="Z65" s="2"/>
      <c r="AA65" s="2"/>
      <c r="AB65" s="591"/>
      <c r="AC65" s="591"/>
      <c r="AD65" s="591"/>
      <c r="AE65" s="591"/>
      <c r="AF65" s="591"/>
      <c r="AG65" s="591"/>
      <c r="AH65" s="591"/>
      <c r="AI65" s="591"/>
      <c r="AJ65" s="591"/>
      <c r="AK65" s="591"/>
      <c r="AL65" s="591"/>
      <c r="AM65" s="591"/>
      <c r="AN65" s="591"/>
      <c r="AO65" s="591"/>
      <c r="AP65" s="591"/>
      <c r="AQ65" s="591"/>
      <c r="AR65" s="591"/>
      <c r="AS65" s="591"/>
      <c r="AT65" s="591"/>
      <c r="AU65" s="591"/>
      <c r="AV65" s="591"/>
      <c r="AW65" s="591"/>
      <c r="AX65" s="591"/>
      <c r="AY65" s="591"/>
      <c r="AZ65" s="591"/>
      <c r="BA65" s="591"/>
      <c r="BB65" s="591"/>
    </row>
    <row r="66" spans="1:54" ht="20.25" hidden="1" customHeight="1" x14ac:dyDescent="0.2">
      <c r="A66" s="2"/>
      <c r="B66" s="2"/>
      <c r="C66" s="2"/>
      <c r="D66" s="2"/>
      <c r="E66" s="2"/>
      <c r="F66" s="2"/>
      <c r="G66" s="2"/>
      <c r="H66" s="10"/>
      <c r="I66" s="10"/>
      <c r="J66" s="10"/>
      <c r="K66" s="10"/>
      <c r="L66" s="10"/>
      <c r="M66" s="10"/>
      <c r="N66" s="1008" t="s">
        <v>746</v>
      </c>
      <c r="O66" s="2"/>
      <c r="P66" s="2"/>
      <c r="Q66" s="2"/>
      <c r="R66" s="2"/>
      <c r="S66" s="1112" t="str">
        <f>IMPOSTAZIONI!H144</f>
        <v>TRIMESTRALE</v>
      </c>
      <c r="T66" s="2020"/>
      <c r="U66" s="806" t="str">
        <f>DIC!U65</f>
        <v>01/01 - 31/12</v>
      </c>
      <c r="V66" s="478" t="s">
        <v>791</v>
      </c>
      <c r="W66" s="2"/>
      <c r="X66" s="2"/>
      <c r="Y66" s="478" t="s">
        <v>793</v>
      </c>
      <c r="Z66" s="2"/>
      <c r="AA66" s="2"/>
      <c r="AB66" s="591"/>
      <c r="AC66" s="591"/>
      <c r="AD66" s="591"/>
      <c r="AE66" s="591"/>
      <c r="AF66" s="591"/>
      <c r="AG66" s="591"/>
      <c r="AH66" s="591"/>
      <c r="AI66" s="591"/>
      <c r="AJ66" s="591"/>
      <c r="AK66" s="591"/>
      <c r="AM66" s="591"/>
      <c r="AN66" s="591"/>
      <c r="AO66" s="591"/>
      <c r="AP66" s="591"/>
      <c r="AQ66" s="591"/>
      <c r="AS66" s="591"/>
      <c r="AT66" s="591"/>
      <c r="AU66" s="591"/>
      <c r="AV66" s="591"/>
      <c r="AW66" s="591"/>
      <c r="AY66" s="591"/>
    </row>
    <row r="67" spans="1:54" ht="24" hidden="1" customHeight="1" x14ac:dyDescent="0.2">
      <c r="A67" s="2"/>
      <c r="B67" s="2"/>
      <c r="C67" s="1183" t="s">
        <v>747</v>
      </c>
      <c r="D67" s="1165"/>
      <c r="E67" s="1165"/>
      <c r="F67" s="1165"/>
      <c r="G67" s="1197" t="e">
        <f>VLOOKUP(T65,S65:V66,4,FALSE)</f>
        <v>#N/A</v>
      </c>
      <c r="H67" s="1165"/>
      <c r="I67" s="2136" t="s">
        <v>748</v>
      </c>
      <c r="J67" s="2136"/>
      <c r="K67" s="1167"/>
      <c r="L67" s="14"/>
      <c r="M67" s="14"/>
      <c r="N67" s="1009" t="s">
        <v>749</v>
      </c>
      <c r="O67" s="2"/>
      <c r="P67" s="2"/>
      <c r="Q67" s="2"/>
      <c r="R67" s="2"/>
      <c r="S67" s="1129" t="e">
        <f>VLOOKUP(G67,V65:Y66,4,FALSE)</f>
        <v>#N/A</v>
      </c>
      <c r="T67" s="1115" t="str">
        <f>IF(T65=S66,U66,U65)</f>
        <v>01/01 - 30/11</v>
      </c>
      <c r="U67" s="2"/>
      <c r="V67" s="2"/>
      <c r="W67" s="2"/>
      <c r="X67" s="2"/>
      <c r="Y67" s="2"/>
      <c r="Z67" s="2"/>
      <c r="AA67" s="2"/>
      <c r="AB67" s="591"/>
      <c r="AC67" s="591"/>
      <c r="AD67" s="591"/>
      <c r="AE67" s="591"/>
      <c r="AF67" s="591"/>
      <c r="AG67" s="591"/>
      <c r="AH67" s="591"/>
      <c r="AI67" s="591"/>
      <c r="AJ67" s="591"/>
      <c r="AK67" s="591"/>
      <c r="AM67" s="591"/>
      <c r="AN67" s="591"/>
      <c r="AO67" s="591"/>
      <c r="AP67" s="591"/>
      <c r="AQ67" s="591"/>
      <c r="AS67" s="591"/>
      <c r="AT67" s="591"/>
      <c r="AU67" s="591"/>
      <c r="AV67" s="591"/>
      <c r="AW67" s="591"/>
      <c r="AY67" s="591"/>
    </row>
    <row r="68" spans="1:54" ht="20.25" hidden="1" customHeight="1" x14ac:dyDescent="0.2">
      <c r="A68" s="2"/>
      <c r="B68" s="2"/>
      <c r="C68" s="1169" t="s">
        <v>750</v>
      </c>
      <c r="D68" s="14"/>
      <c r="E68" s="14"/>
      <c r="F68" s="14"/>
      <c r="G68" s="1209" t="str">
        <f>C95</f>
        <v>01/11 - 30/11</v>
      </c>
      <c r="H68" s="971" t="s">
        <v>751</v>
      </c>
      <c r="I68" s="2137" t="str">
        <f>T67</f>
        <v>01/01 - 30/11</v>
      </c>
      <c r="J68" s="2137"/>
      <c r="K68" s="1208" t="s">
        <v>752</v>
      </c>
      <c r="L68" s="2022" t="s">
        <v>195</v>
      </c>
      <c r="M68" s="2022"/>
      <c r="N68" s="972" t="s">
        <v>353</v>
      </c>
      <c r="O68" s="2"/>
      <c r="P68" s="2"/>
      <c r="Q68" s="2"/>
      <c r="R68" s="2"/>
      <c r="S68" s="2"/>
      <c r="T68" s="2"/>
      <c r="U68" s="2"/>
      <c r="V68" s="2"/>
      <c r="W68" s="2"/>
      <c r="X68" s="2"/>
      <c r="Y68" s="2"/>
      <c r="Z68" s="2"/>
      <c r="AA68" s="2"/>
      <c r="AB68" s="591"/>
      <c r="AC68" s="591"/>
      <c r="AD68" s="591"/>
      <c r="AE68" s="591"/>
      <c r="AF68" s="591"/>
      <c r="AG68" s="591"/>
      <c r="AH68" s="591"/>
      <c r="AI68" s="591"/>
      <c r="AJ68" s="591"/>
      <c r="AK68" s="591"/>
      <c r="AM68" s="591"/>
      <c r="AN68" s="591"/>
      <c r="AO68" s="591"/>
      <c r="AP68" s="591"/>
      <c r="AQ68" s="591"/>
      <c r="AS68" s="591"/>
      <c r="AT68" s="591"/>
      <c r="AU68" s="591"/>
      <c r="AV68" s="591"/>
      <c r="AW68" s="591"/>
      <c r="AY68" s="591"/>
    </row>
    <row r="69" spans="1:54" ht="20.25" hidden="1" customHeight="1" x14ac:dyDescent="0.2">
      <c r="A69" s="2"/>
      <c r="B69" s="2"/>
      <c r="C69" s="1198" t="s">
        <v>753</v>
      </c>
      <c r="D69" s="14"/>
      <c r="E69" s="14"/>
      <c r="F69" s="14"/>
      <c r="G69" s="1015"/>
      <c r="H69" s="1202">
        <f>IF(AND(IMPOSTAZIONI!AF$147="",G69&lt;&gt;0),E$163,IMPOSTAZIONI!AF$147)</f>
        <v>22</v>
      </c>
      <c r="I69" s="2024">
        <f>IF($T$65=$S$66,Z69,G69+OTT!I69)</f>
        <v>0</v>
      </c>
      <c r="J69" s="2025"/>
      <c r="K69" s="1201">
        <f>IF(I73=0,0,K73-SUM(K70:K72))</f>
        <v>0</v>
      </c>
      <c r="L69" s="2023" t="str">
        <f>CONCATENATE("al ",H69," %")</f>
        <v>al 22 %</v>
      </c>
      <c r="M69" s="2023"/>
      <c r="N69" s="973">
        <f>IF(SUM(I69:J72)=0,0,ROUND(G65-SUM(N70:N72),2))</f>
        <v>0</v>
      </c>
      <c r="O69" s="2"/>
      <c r="P69" s="2"/>
      <c r="Q69" s="2"/>
      <c r="R69" s="2"/>
      <c r="S69" s="974">
        <f>IF(ISERROR(G77),0,G77)</f>
        <v>0</v>
      </c>
      <c r="T69" s="975">
        <f>IF(ISERROR(G78),0,G78)</f>
        <v>0</v>
      </c>
      <c r="U69" s="976">
        <f>IF(ISERROR(G79),0,G79)</f>
        <v>0</v>
      </c>
      <c r="V69" s="2"/>
      <c r="W69" s="1117">
        <f>OTT!$G69</f>
        <v>0</v>
      </c>
      <c r="X69" s="1118">
        <f>NOV!$G69</f>
        <v>0</v>
      </c>
      <c r="Y69" s="1119">
        <f>DIC!$G69</f>
        <v>0</v>
      </c>
      <c r="Z69" s="1120">
        <f>SUM(W69:Y69)+SET!Z69</f>
        <v>0</v>
      </c>
      <c r="AA69" s="2"/>
      <c r="AB69" s="591"/>
      <c r="AC69" s="591"/>
      <c r="AD69" s="591"/>
      <c r="AE69" s="591"/>
      <c r="AF69" s="591"/>
      <c r="AG69" s="591"/>
      <c r="AH69" s="591"/>
      <c r="AI69" s="591"/>
      <c r="AJ69" s="591"/>
      <c r="AK69" s="591"/>
      <c r="AM69" s="591"/>
      <c r="AN69" s="591"/>
      <c r="AO69" s="591"/>
      <c r="AP69" s="591"/>
      <c r="AQ69" s="591"/>
      <c r="AS69" s="591"/>
      <c r="AT69" s="591"/>
      <c r="AU69" s="591"/>
      <c r="AV69" s="591"/>
      <c r="AW69" s="591"/>
      <c r="AY69" s="591"/>
    </row>
    <row r="70" spans="1:54" ht="20.25" hidden="1" customHeight="1" x14ac:dyDescent="0.25">
      <c r="A70" s="2"/>
      <c r="B70" s="2"/>
      <c r="C70" s="1199" t="s">
        <v>754</v>
      </c>
      <c r="D70" s="14"/>
      <c r="E70" s="14"/>
      <c r="F70" s="14"/>
      <c r="G70" s="1016"/>
      <c r="H70" s="1202">
        <f>IF(AND(IMPOSTAZIONI!AG$147="",G70&lt;&gt;0),E$163,IMPOSTAZIONI!AG$147)</f>
        <v>10</v>
      </c>
      <c r="I70" s="2026">
        <f>IF($T$65=$S$66,Z70,G70+OTT!I70)</f>
        <v>0</v>
      </c>
      <c r="J70" s="2027"/>
      <c r="K70" s="1201">
        <f>IF(I$73=0,0,ROUND(I70/I$73*100,2))</f>
        <v>0</v>
      </c>
      <c r="L70" s="2023" t="str">
        <f>CONCATENATE("al ",H70," %")</f>
        <v>al 10 %</v>
      </c>
      <c r="M70" s="2023"/>
      <c r="N70" s="977">
        <f>ROUND(G$65*K70/100,2)</f>
        <v>0</v>
      </c>
      <c r="O70" s="2"/>
      <c r="P70" s="2"/>
      <c r="Q70" s="2"/>
      <c r="R70" s="2"/>
      <c r="S70" s="978">
        <f>IF(ISERROR(H77),0,H77)</f>
        <v>0</v>
      </c>
      <c r="T70" s="968">
        <f>IF(ISERROR(H78),0,H78)</f>
        <v>0</v>
      </c>
      <c r="U70" s="979">
        <f>IF(ISERROR(H79),0,H79)</f>
        <v>0</v>
      </c>
      <c r="V70" s="2"/>
      <c r="W70" s="1121">
        <f>OTT!$G70</f>
        <v>0</v>
      </c>
      <c r="X70" s="1122">
        <f>NOV!$G70</f>
        <v>0</v>
      </c>
      <c r="Y70" s="1123">
        <f>DIC!$G70</f>
        <v>0</v>
      </c>
      <c r="Z70" s="1124">
        <f>SUM(W70:Y70)+SET!Z70</f>
        <v>0</v>
      </c>
      <c r="AA70" s="2"/>
      <c r="AB70" s="591"/>
      <c r="AC70" s="591"/>
      <c r="AD70" s="591"/>
      <c r="AE70" s="591"/>
      <c r="AF70" s="591"/>
      <c r="AG70" s="591"/>
      <c r="AH70" s="591"/>
      <c r="AI70" s="591"/>
      <c r="AJ70" s="591"/>
      <c r="AK70" s="591"/>
      <c r="AM70" s="591"/>
      <c r="AN70" s="591"/>
      <c r="AO70" s="591"/>
      <c r="AP70" s="591"/>
      <c r="AQ70" s="591"/>
      <c r="AS70" s="591"/>
      <c r="AT70" s="591"/>
      <c r="AU70" s="591"/>
      <c r="AV70" s="591"/>
      <c r="AW70" s="591"/>
      <c r="AY70" s="591"/>
    </row>
    <row r="71" spans="1:54" ht="20.25" hidden="1" customHeight="1" x14ac:dyDescent="0.2">
      <c r="A71" s="2"/>
      <c r="B71" s="2"/>
      <c r="C71" s="1200" t="s">
        <v>755</v>
      </c>
      <c r="D71" s="14"/>
      <c r="E71" s="14"/>
      <c r="F71" s="14"/>
      <c r="G71" s="1016"/>
      <c r="H71" s="1202">
        <f>IF(AND(IMPOSTAZIONI!AH$147="",G71&lt;&gt;0),E$163,IMPOSTAZIONI!AH$147)</f>
        <v>4</v>
      </c>
      <c r="I71" s="2026">
        <f>IF($T$65=$S$66,Z71,G71+OTT!I71)</f>
        <v>0</v>
      </c>
      <c r="J71" s="2027"/>
      <c r="K71" s="1201">
        <f>IF(I$73=0,0,ROUND(I71/I$73*100,2))</f>
        <v>0</v>
      </c>
      <c r="L71" s="2023" t="str">
        <f>CONCATENATE("al ",H71," %")</f>
        <v>al 4 %</v>
      </c>
      <c r="M71" s="2023"/>
      <c r="N71" s="977">
        <f>ROUND(G$65*K71/100,2)</f>
        <v>0</v>
      </c>
      <c r="O71" s="2"/>
      <c r="P71" s="2"/>
      <c r="Q71" s="2"/>
      <c r="R71" s="2"/>
      <c r="S71" s="978">
        <f>IF(ISERROR(I77),0,I77)</f>
        <v>0</v>
      </c>
      <c r="T71" s="968">
        <f>IF(ISERROR(I78),0,I78)</f>
        <v>0</v>
      </c>
      <c r="U71" s="979">
        <f>IF(ISERROR(I79),0,I79)</f>
        <v>0</v>
      </c>
      <c r="V71" s="2"/>
      <c r="W71" s="1121">
        <f>OTT!$G71</f>
        <v>0</v>
      </c>
      <c r="X71" s="1122">
        <f>NOV!$G71</f>
        <v>0</v>
      </c>
      <c r="Y71" s="1123">
        <f>DIC!$G71</f>
        <v>0</v>
      </c>
      <c r="Z71" s="1124">
        <f>SUM(W71:Y71)+SET!Z71</f>
        <v>0</v>
      </c>
      <c r="AA71" s="2"/>
      <c r="AB71" s="591"/>
      <c r="AC71" s="591"/>
      <c r="AD71" s="591"/>
      <c r="AE71" s="591"/>
      <c r="AF71" s="591"/>
      <c r="AG71" s="591"/>
      <c r="AH71" s="591"/>
      <c r="AI71" s="591"/>
      <c r="AJ71" s="591"/>
      <c r="AK71" s="591"/>
      <c r="AM71" s="591"/>
      <c r="AN71" s="591"/>
      <c r="AO71" s="591"/>
      <c r="AP71" s="591"/>
      <c r="AQ71" s="591"/>
      <c r="AS71" s="591"/>
      <c r="AT71" s="591"/>
      <c r="AU71" s="591"/>
      <c r="AV71" s="591"/>
      <c r="AW71" s="591"/>
      <c r="AY71" s="591"/>
    </row>
    <row r="72" spans="1:54" ht="20.25" hidden="1" customHeight="1" x14ac:dyDescent="0.2">
      <c r="A72" s="2"/>
      <c r="B72" s="2"/>
      <c r="C72" s="1171"/>
      <c r="D72" s="14"/>
      <c r="E72" s="14"/>
      <c r="F72" s="14"/>
      <c r="G72" s="1017"/>
      <c r="H72" s="1202" t="str">
        <f>IF(AND(IMPOSTAZIONI!AI$147="",G72&lt;&gt;0),E$163,IMPOSTAZIONI!AI$147)</f>
        <v/>
      </c>
      <c r="I72" s="2039">
        <f>IF($T$65=$S$66,Z72,G72+OTT!I72)</f>
        <v>0</v>
      </c>
      <c r="J72" s="2040"/>
      <c r="K72" s="1201">
        <f>IF(I$73=0,0,ROUND(I72/I$73*100,2))</f>
        <v>0</v>
      </c>
      <c r="L72" s="2023" t="str">
        <f>CONCATENATE("al ",H72," %")</f>
        <v>al  %</v>
      </c>
      <c r="M72" s="2023"/>
      <c r="N72" s="980">
        <f>ROUND(G$65*K72/100,2)</f>
        <v>0</v>
      </c>
      <c r="O72" s="2"/>
      <c r="P72" s="2"/>
      <c r="Q72" s="2"/>
      <c r="R72" s="2"/>
      <c r="S72" s="981">
        <f>IF(ISERROR(K77),0,K77)</f>
        <v>0</v>
      </c>
      <c r="T72" s="969">
        <f>IF(ISERROR(K78),0,K78)</f>
        <v>0</v>
      </c>
      <c r="U72" s="982">
        <f>IF(ISERROR(K79),0,K79)</f>
        <v>0</v>
      </c>
      <c r="V72" s="2"/>
      <c r="W72" s="1125">
        <f>OTT!$G72</f>
        <v>0</v>
      </c>
      <c r="X72" s="1126">
        <f>NOV!$G72</f>
        <v>0</v>
      </c>
      <c r="Y72" s="1127">
        <f>DIC!$G72</f>
        <v>0</v>
      </c>
      <c r="Z72" s="1128">
        <f>SUM(W72:Y72)+SET!Z72</f>
        <v>0</v>
      </c>
      <c r="AA72" s="2"/>
      <c r="AB72" s="591"/>
      <c r="AC72" s="591"/>
      <c r="AD72" s="591"/>
      <c r="AE72" s="591"/>
      <c r="AF72" s="591"/>
      <c r="AG72" s="591"/>
      <c r="AH72" s="591"/>
      <c r="AI72" s="591"/>
      <c r="AJ72" s="591"/>
      <c r="AK72" s="591"/>
      <c r="AM72" s="591"/>
      <c r="AN72" s="591"/>
      <c r="AO72" s="591"/>
      <c r="AP72" s="591"/>
      <c r="AQ72" s="591"/>
      <c r="AS72" s="591"/>
      <c r="AT72" s="591"/>
      <c r="AU72" s="591"/>
      <c r="AV72" s="591"/>
      <c r="AW72" s="591"/>
      <c r="AY72" s="591"/>
    </row>
    <row r="73" spans="1:54" ht="20.25" hidden="1" customHeight="1" x14ac:dyDescent="0.2">
      <c r="A73" s="2"/>
      <c r="B73" s="2"/>
      <c r="C73" s="1171"/>
      <c r="D73" s="14"/>
      <c r="E73" s="14"/>
      <c r="F73" s="983" t="s">
        <v>105</v>
      </c>
      <c r="G73" s="1014">
        <f>SUM(G69:G72)</f>
        <v>0</v>
      </c>
      <c r="H73" s="866"/>
      <c r="I73" s="2041">
        <f>SUM(I69:I72)</f>
        <v>0</v>
      </c>
      <c r="J73" s="2041"/>
      <c r="K73" s="1196">
        <v>100</v>
      </c>
      <c r="L73" s="2"/>
      <c r="M73" s="2"/>
      <c r="N73" s="967">
        <f>SUM(N69:N72)</f>
        <v>0</v>
      </c>
      <c r="O73" s="503" t="str">
        <f>IF(C61=0,"",IF(G65=N73,"OK",E163))</f>
        <v/>
      </c>
      <c r="P73" s="2"/>
      <c r="Q73" s="2"/>
      <c r="R73" s="2"/>
      <c r="S73" s="2"/>
      <c r="T73" s="2"/>
      <c r="U73" s="2"/>
      <c r="V73" s="2"/>
      <c r="W73" s="2"/>
      <c r="X73" s="2"/>
      <c r="Y73" s="2"/>
      <c r="Z73" s="2"/>
      <c r="AA73" s="2"/>
      <c r="AB73" s="591"/>
      <c r="AC73" s="591"/>
      <c r="AD73" s="591"/>
      <c r="AE73" s="591"/>
      <c r="AF73" s="591"/>
      <c r="AG73" s="591"/>
      <c r="AH73" s="591"/>
      <c r="AI73" s="591"/>
      <c r="AJ73" s="591"/>
      <c r="AK73" s="591"/>
      <c r="AM73" s="591"/>
      <c r="AN73" s="591"/>
      <c r="AO73" s="591"/>
      <c r="AP73" s="591"/>
      <c r="AQ73" s="591"/>
      <c r="AS73" s="591"/>
      <c r="AT73" s="591"/>
      <c r="AU73" s="591"/>
      <c r="AV73" s="591"/>
      <c r="AW73" s="591"/>
      <c r="AY73" s="591"/>
    </row>
    <row r="74" spans="1:54" ht="20.25" hidden="1" customHeight="1" x14ac:dyDescent="0.2">
      <c r="A74" s="2"/>
      <c r="B74" s="2"/>
      <c r="C74" s="1172"/>
      <c r="D74" s="1173"/>
      <c r="E74" s="1173"/>
      <c r="F74" s="1173"/>
      <c r="G74" s="1173"/>
      <c r="H74" s="1173"/>
      <c r="I74" s="2051" t="s">
        <v>756</v>
      </c>
      <c r="J74" s="2051"/>
      <c r="K74" s="2052"/>
      <c r="L74" s="14"/>
      <c r="M74" s="14"/>
      <c r="N74" s="139"/>
      <c r="O74" s="2"/>
      <c r="P74" s="2"/>
      <c r="Q74" s="2"/>
      <c r="R74" s="2"/>
      <c r="S74" s="2"/>
      <c r="T74" s="2"/>
      <c r="U74" s="2"/>
      <c r="V74" s="2"/>
      <c r="W74" s="2"/>
      <c r="X74" s="2"/>
      <c r="Y74" s="2"/>
      <c r="Z74" s="2"/>
      <c r="AA74" s="2"/>
      <c r="AB74" s="591"/>
      <c r="AC74" s="591"/>
      <c r="AD74" s="591"/>
      <c r="AE74" s="591"/>
      <c r="AF74" s="591"/>
      <c r="AG74" s="591"/>
      <c r="AH74" s="591"/>
      <c r="AI74" s="591"/>
      <c r="AJ74" s="591"/>
      <c r="AK74" s="591"/>
      <c r="AM74" s="591"/>
      <c r="AN74" s="591"/>
      <c r="AO74" s="591"/>
      <c r="AP74" s="591"/>
      <c r="AQ74" s="591"/>
      <c r="AS74" s="591"/>
      <c r="AT74" s="591"/>
      <c r="AU74" s="591"/>
      <c r="AV74" s="591"/>
      <c r="AW74" s="591"/>
      <c r="AY74" s="591"/>
    </row>
    <row r="75" spans="1:54" ht="11.25" hidden="1" customHeight="1" x14ac:dyDescent="0.2">
      <c r="A75" s="2"/>
      <c r="B75" s="2"/>
      <c r="C75" s="2"/>
      <c r="D75" s="2"/>
      <c r="E75" s="2"/>
      <c r="F75" s="2"/>
      <c r="G75" s="2"/>
      <c r="H75" s="2"/>
      <c r="I75" s="2"/>
      <c r="J75" s="2"/>
      <c r="K75" s="2"/>
      <c r="L75" s="14"/>
      <c r="M75" s="14"/>
      <c r="N75" s="139"/>
      <c r="O75" s="2"/>
      <c r="P75" s="2"/>
      <c r="Q75" s="2"/>
      <c r="R75" s="2"/>
      <c r="S75" s="2"/>
      <c r="T75" s="2"/>
      <c r="U75" s="2"/>
      <c r="V75" s="2"/>
      <c r="W75" s="2"/>
      <c r="X75" s="2"/>
      <c r="Y75" s="2"/>
      <c r="Z75" s="2"/>
      <c r="AA75" s="2"/>
      <c r="AB75" s="591"/>
      <c r="AC75" s="591"/>
      <c r="AD75" s="591"/>
      <c r="AE75" s="591"/>
      <c r="AF75" s="591"/>
      <c r="AG75" s="591"/>
      <c r="AH75" s="591"/>
      <c r="AI75" s="591"/>
      <c r="AJ75" s="591"/>
      <c r="AK75" s="591"/>
      <c r="AM75" s="591"/>
      <c r="AN75" s="591"/>
      <c r="AO75" s="591"/>
      <c r="AP75" s="591"/>
      <c r="AQ75" s="591"/>
      <c r="AS75" s="591"/>
      <c r="AT75" s="591"/>
      <c r="AU75" s="591"/>
      <c r="AV75" s="591"/>
      <c r="AW75" s="591"/>
      <c r="AY75" s="591"/>
    </row>
    <row r="76" spans="1:54" ht="20.25" hidden="1" customHeight="1" x14ac:dyDescent="0.2">
      <c r="A76" s="2"/>
      <c r="B76" s="2"/>
      <c r="C76" s="2"/>
      <c r="D76" s="2"/>
      <c r="E76" s="20"/>
      <c r="F76" s="984" t="s">
        <v>764</v>
      </c>
      <c r="G76" s="985">
        <f>H69</f>
        <v>22</v>
      </c>
      <c r="H76" s="985">
        <f>H70</f>
        <v>10</v>
      </c>
      <c r="I76" s="2142">
        <f>H71</f>
        <v>4</v>
      </c>
      <c r="J76" s="2142"/>
      <c r="K76" s="1162" t="str">
        <f>H72</f>
        <v/>
      </c>
      <c r="L76" s="2"/>
      <c r="M76" s="2"/>
      <c r="N76" s="986"/>
      <c r="O76" s="2"/>
      <c r="P76" s="2"/>
      <c r="Q76" s="2"/>
      <c r="R76" s="2"/>
      <c r="S76" s="2"/>
      <c r="T76" s="2"/>
      <c r="U76" s="2"/>
      <c r="V76" s="2"/>
      <c r="W76" s="2"/>
      <c r="X76" s="591"/>
      <c r="Y76" s="591"/>
      <c r="AB76" s="591"/>
      <c r="AC76" s="591"/>
      <c r="AD76" s="591"/>
      <c r="AE76" s="591"/>
      <c r="AF76" s="591"/>
      <c r="AG76" s="591"/>
      <c r="AH76" s="591"/>
      <c r="AI76" s="591"/>
      <c r="AJ76" s="591"/>
      <c r="AK76" s="591"/>
      <c r="AM76" s="591"/>
      <c r="AN76" s="591"/>
      <c r="AO76" s="591"/>
      <c r="AP76" s="591"/>
      <c r="AQ76" s="591"/>
      <c r="AS76" s="591"/>
      <c r="AT76" s="591"/>
      <c r="AU76" s="591"/>
      <c r="AV76" s="591"/>
      <c r="AW76" s="591"/>
      <c r="AY76" s="591"/>
    </row>
    <row r="77" spans="1:54" ht="20.25" hidden="1" customHeight="1" x14ac:dyDescent="0.2">
      <c r="A77" s="2"/>
      <c r="B77" s="2"/>
      <c r="C77" s="2"/>
      <c r="D77" s="2"/>
      <c r="E77" s="2"/>
      <c r="F77" s="987" t="s">
        <v>757</v>
      </c>
      <c r="G77" s="988">
        <f>N69-G78</f>
        <v>0</v>
      </c>
      <c r="H77" s="989">
        <f>N70-H78</f>
        <v>0</v>
      </c>
      <c r="I77" s="2037">
        <f>N71-I78</f>
        <v>0</v>
      </c>
      <c r="J77" s="2038"/>
      <c r="K77" s="989">
        <f>N72-K78</f>
        <v>0</v>
      </c>
      <c r="L77" s="2233">
        <f>SUM(S69:S72)</f>
        <v>0</v>
      </c>
      <c r="M77" s="2234"/>
      <c r="N77" s="990" t="s">
        <v>758</v>
      </c>
      <c r="O77" s="2"/>
      <c r="P77" s="2"/>
      <c r="Q77" s="2"/>
      <c r="R77" s="2"/>
      <c r="S77" s="2"/>
      <c r="T77" s="2"/>
      <c r="U77" s="2"/>
      <c r="V77" s="2"/>
      <c r="W77" s="2"/>
      <c r="X77" s="591"/>
      <c r="Y77" s="591"/>
      <c r="AG77" s="591"/>
      <c r="AH77" s="591"/>
      <c r="AI77" s="591"/>
      <c r="AJ77" s="591"/>
      <c r="AK77" s="591"/>
      <c r="AM77" s="591"/>
      <c r="AN77" s="591"/>
      <c r="AO77" s="591"/>
      <c r="AP77" s="591"/>
      <c r="AQ77" s="591"/>
      <c r="AS77" s="591"/>
      <c r="AT77" s="591"/>
      <c r="AU77" s="591"/>
      <c r="AV77" s="591"/>
      <c r="AW77" s="591"/>
      <c r="AY77" s="591"/>
    </row>
    <row r="78" spans="1:54" ht="20.25" hidden="1" customHeight="1" x14ac:dyDescent="0.2">
      <c r="A78" s="2"/>
      <c r="B78" s="2"/>
      <c r="C78" s="2"/>
      <c r="D78" s="2"/>
      <c r="E78" s="2"/>
      <c r="F78" s="991" t="s">
        <v>759</v>
      </c>
      <c r="G78" s="992">
        <f>IF(G76="",0,ROUND(N69*G76/(100+G76),2))</f>
        <v>0</v>
      </c>
      <c r="H78" s="993">
        <f>IF(H76="",0,ROUND(N70*H76/(100+H76),2))</f>
        <v>0</v>
      </c>
      <c r="I78" s="2140">
        <f>IF(I76="",0,ROUND(N71*I76/(100+I76),2))</f>
        <v>0</v>
      </c>
      <c r="J78" s="2141"/>
      <c r="K78" s="993">
        <f>IF(K76="",0,ROUND(N72*K76/(100+K76),2))</f>
        <v>0</v>
      </c>
      <c r="L78" s="2235">
        <f>SUM(T69:T72)</f>
        <v>0</v>
      </c>
      <c r="M78" s="2236"/>
      <c r="N78" s="994" t="s">
        <v>760</v>
      </c>
      <c r="O78" s="2"/>
      <c r="P78" s="2"/>
      <c r="Q78" s="2"/>
      <c r="R78" s="2"/>
      <c r="S78" s="2"/>
      <c r="T78" s="2"/>
      <c r="U78" s="128" t="s">
        <v>783</v>
      </c>
      <c r="V78" s="2"/>
      <c r="W78" s="2"/>
      <c r="X78" s="591"/>
      <c r="Y78" s="591"/>
      <c r="AG78" s="591"/>
      <c r="AH78" s="591"/>
      <c r="AI78" s="591"/>
      <c r="AJ78" s="591"/>
      <c r="AK78" s="591"/>
      <c r="AM78" s="591"/>
      <c r="AN78" s="591"/>
      <c r="AO78" s="591"/>
      <c r="AP78" s="591"/>
      <c r="AQ78" s="591"/>
      <c r="AS78" s="591"/>
      <c r="AT78" s="591"/>
      <c r="AU78" s="591"/>
      <c r="AV78" s="591"/>
      <c r="AW78" s="591"/>
      <c r="AY78" s="591"/>
    </row>
    <row r="79" spans="1:54" ht="20.25" hidden="1" customHeight="1" x14ac:dyDescent="0.2">
      <c r="A79" s="2"/>
      <c r="B79" s="2"/>
      <c r="C79" s="2"/>
      <c r="D79" s="2"/>
      <c r="E79" s="287"/>
      <c r="F79" s="995" t="s">
        <v>105</v>
      </c>
      <c r="G79" s="996">
        <f>G77+G78</f>
        <v>0</v>
      </c>
      <c r="H79" s="996">
        <f>H77+H78</f>
        <v>0</v>
      </c>
      <c r="I79" s="2135">
        <f>I77+I78</f>
        <v>0</v>
      </c>
      <c r="J79" s="2135"/>
      <c r="K79" s="996">
        <f>K77+K78</f>
        <v>0</v>
      </c>
      <c r="L79" s="287"/>
      <c r="M79" s="287"/>
      <c r="N79" s="996">
        <f>SUM(U69:U72)</f>
        <v>0</v>
      </c>
      <c r="O79" s="503" t="str">
        <f>IF(N79=N73,"OK",E163)</f>
        <v>OK</v>
      </c>
      <c r="P79" s="2"/>
      <c r="Q79" s="2"/>
      <c r="R79" s="924" t="str">
        <f>G62</f>
        <v>SCORPORO</v>
      </c>
      <c r="S79" s="997">
        <f>IF(R79=L$134,G$63,0)</f>
        <v>0</v>
      </c>
      <c r="T79" s="92">
        <f>G42</f>
        <v>0</v>
      </c>
      <c r="U79" s="997">
        <f>IF(T79=K$134,S79,0)</f>
        <v>0</v>
      </c>
      <c r="V79" s="2"/>
      <c r="W79" s="2"/>
      <c r="X79" s="591"/>
      <c r="Y79" s="591"/>
      <c r="AG79" s="591"/>
      <c r="AH79" s="591"/>
      <c r="AI79" s="591"/>
      <c r="AJ79" s="591"/>
      <c r="AK79" s="591"/>
      <c r="AM79" s="591"/>
      <c r="AN79" s="591"/>
      <c r="AO79" s="591"/>
      <c r="AP79" s="591"/>
      <c r="AQ79" s="591"/>
      <c r="AS79" s="591"/>
      <c r="AT79" s="591"/>
      <c r="AU79" s="591"/>
      <c r="AV79" s="591"/>
      <c r="AW79" s="591"/>
      <c r="AY79" s="591"/>
    </row>
    <row r="80" spans="1:54" ht="20.25" hidden="1" customHeight="1" x14ac:dyDescent="0.2">
      <c r="A80" s="2"/>
      <c r="B80" s="2"/>
      <c r="C80" s="2"/>
      <c r="D80" s="2"/>
      <c r="E80" s="2"/>
      <c r="F80" s="2"/>
      <c r="G80" s="2"/>
      <c r="H80" s="2"/>
      <c r="I80" s="2"/>
      <c r="J80" s="2"/>
      <c r="K80" s="2"/>
      <c r="L80" s="2"/>
      <c r="M80" s="2"/>
      <c r="N80" s="10"/>
      <c r="O80" s="2"/>
      <c r="P80" s="2"/>
      <c r="Q80" s="2"/>
      <c r="R80" s="924" t="str">
        <f>H62</f>
        <v>SCORPORO</v>
      </c>
      <c r="S80" s="998">
        <f>IF(R80=L$134,H63,0)</f>
        <v>0</v>
      </c>
      <c r="T80" s="92">
        <f>H42</f>
        <v>0</v>
      </c>
      <c r="U80" s="998">
        <f>IF(T80=K$134,S80,0)</f>
        <v>0</v>
      </c>
      <c r="V80" s="2"/>
      <c r="W80" s="2"/>
      <c r="X80" s="591"/>
      <c r="Y80" s="591"/>
      <c r="AG80" s="591"/>
      <c r="AH80" s="591"/>
      <c r="AI80" s="591"/>
      <c r="AJ80" s="591"/>
      <c r="AK80" s="591"/>
      <c r="AM80" s="591"/>
      <c r="AN80" s="591"/>
      <c r="AO80" s="591"/>
      <c r="AP80" s="591"/>
      <c r="AQ80" s="591"/>
      <c r="AS80" s="591"/>
      <c r="AT80" s="591"/>
      <c r="AU80" s="591"/>
      <c r="AV80" s="591"/>
      <c r="AW80" s="591"/>
      <c r="AY80" s="591"/>
    </row>
    <row r="81" spans="1:51" ht="20.25" hidden="1" customHeight="1" x14ac:dyDescent="0.2">
      <c r="A81" s="2"/>
      <c r="B81" s="2"/>
      <c r="C81" s="2"/>
      <c r="D81" s="2"/>
      <c r="E81" s="2"/>
      <c r="F81" s="2"/>
      <c r="G81" s="103" t="str">
        <f>G61</f>
        <v>Colonna 1</v>
      </c>
      <c r="H81" s="103" t="str">
        <f>H61</f>
        <v>Colonna 2</v>
      </c>
      <c r="I81" s="2053" t="str">
        <f>K61</f>
        <v>Colonna 3</v>
      </c>
      <c r="J81" s="2053"/>
      <c r="K81" s="103" t="str">
        <f>N61</f>
        <v>Colonna 4</v>
      </c>
      <c r="L81" s="2"/>
      <c r="M81" s="2"/>
      <c r="N81" s="14"/>
      <c r="O81" s="2"/>
      <c r="P81" s="2"/>
      <c r="Q81" s="2"/>
      <c r="R81" s="924" t="str">
        <f>K62</f>
        <v>SCORPORO</v>
      </c>
      <c r="S81" s="998">
        <f>IF(R81=L$134,K63,0)</f>
        <v>0</v>
      </c>
      <c r="T81" s="92">
        <f>K42</f>
        <v>0</v>
      </c>
      <c r="U81" s="998">
        <f>IF(T81=K$134,S81,0)</f>
        <v>0</v>
      </c>
      <c r="V81" s="2"/>
      <c r="W81" s="2"/>
      <c r="X81" s="591"/>
      <c r="Y81" s="591"/>
      <c r="AG81" s="591"/>
      <c r="AH81" s="591"/>
      <c r="AI81" s="591"/>
      <c r="AJ81" s="591"/>
      <c r="AK81" s="591"/>
      <c r="AM81" s="591"/>
      <c r="AN81" s="591"/>
      <c r="AO81" s="591"/>
      <c r="AP81" s="591"/>
      <c r="AQ81" s="591"/>
      <c r="AS81" s="591"/>
      <c r="AT81" s="591"/>
      <c r="AU81" s="591"/>
      <c r="AV81" s="591"/>
      <c r="AW81" s="591"/>
      <c r="AY81" s="591"/>
    </row>
    <row r="82" spans="1:51" ht="18" hidden="1" customHeight="1" x14ac:dyDescent="0.2">
      <c r="A82" s="2"/>
      <c r="B82" s="2"/>
      <c r="C82" s="2"/>
      <c r="D82" s="2"/>
      <c r="E82" s="2"/>
      <c r="F82" s="2"/>
      <c r="G82" s="1203" t="str">
        <f t="shared" ref="G82:H84" si="33">G43</f>
        <v/>
      </c>
      <c r="H82" s="1204" t="str">
        <f t="shared" si="33"/>
        <v/>
      </c>
      <c r="I82" s="2031" t="str">
        <f>K43</f>
        <v/>
      </c>
      <c r="J82" s="2031"/>
      <c r="K82" s="1205" t="str">
        <f>N43</f>
        <v/>
      </c>
      <c r="L82" s="2"/>
      <c r="M82" s="2"/>
      <c r="N82" s="14"/>
      <c r="O82" s="2"/>
      <c r="P82" s="2"/>
      <c r="Q82" s="2"/>
      <c r="R82" s="924" t="str">
        <f>N62</f>
        <v>SCORPORO</v>
      </c>
      <c r="S82" s="1007">
        <f>IF(R82=L$134,N63,0)</f>
        <v>0</v>
      </c>
      <c r="T82" s="92">
        <f>N42</f>
        <v>0</v>
      </c>
      <c r="U82" s="1007">
        <f>IF(T82=K$134,S82,0)</f>
        <v>0</v>
      </c>
      <c r="V82" s="2"/>
      <c r="W82" s="2"/>
      <c r="X82" s="591"/>
      <c r="Y82" s="591"/>
      <c r="AG82" s="591"/>
      <c r="AH82" s="591"/>
      <c r="AI82" s="591"/>
      <c r="AJ82" s="591"/>
      <c r="AK82" s="591"/>
      <c r="AM82" s="591"/>
      <c r="AN82" s="591"/>
      <c r="AO82" s="591"/>
      <c r="AP82" s="591"/>
      <c r="AQ82" s="591"/>
      <c r="AS82" s="591"/>
      <c r="AT82" s="591"/>
      <c r="AU82" s="591"/>
      <c r="AV82" s="591"/>
      <c r="AW82" s="591"/>
      <c r="AY82" s="591"/>
    </row>
    <row r="83" spans="1:51" ht="18" hidden="1" customHeight="1" x14ac:dyDescent="0.2">
      <c r="A83" s="2"/>
      <c r="B83" s="2"/>
      <c r="C83" s="2"/>
      <c r="D83" s="2"/>
      <c r="E83" s="2"/>
      <c r="F83" s="2"/>
      <c r="G83" s="1000" t="str">
        <f t="shared" si="33"/>
        <v/>
      </c>
      <c r="H83" s="1000" t="str">
        <f t="shared" si="33"/>
        <v/>
      </c>
      <c r="I83" s="2054" t="str">
        <f>K44</f>
        <v/>
      </c>
      <c r="J83" s="2054"/>
      <c r="K83" s="1000" t="str">
        <f>N44</f>
        <v/>
      </c>
      <c r="L83" s="2"/>
      <c r="M83" s="2"/>
      <c r="N83" s="14"/>
      <c r="O83" s="2"/>
      <c r="P83" s="2"/>
      <c r="Q83" s="2"/>
      <c r="R83" s="2"/>
      <c r="S83" s="999"/>
      <c r="T83" s="2"/>
      <c r="U83" s="999"/>
      <c r="V83" s="2"/>
      <c r="W83" s="2"/>
      <c r="X83" s="591"/>
      <c r="Y83" s="591"/>
      <c r="AG83" s="591"/>
      <c r="AH83" s="591"/>
      <c r="AI83" s="591"/>
      <c r="AJ83" s="591"/>
      <c r="AK83" s="591"/>
      <c r="AM83" s="591"/>
      <c r="AN83" s="591"/>
      <c r="AO83" s="591"/>
      <c r="AP83" s="591"/>
      <c r="AQ83" s="591"/>
      <c r="AS83" s="591"/>
      <c r="AT83" s="591"/>
      <c r="AU83" s="591"/>
      <c r="AV83" s="591"/>
      <c r="AW83" s="591"/>
      <c r="AY83" s="591"/>
    </row>
    <row r="84" spans="1:51" ht="18" hidden="1" customHeight="1" x14ac:dyDescent="0.2">
      <c r="A84" s="2"/>
      <c r="B84" s="2"/>
      <c r="C84" s="2"/>
      <c r="D84" s="2"/>
      <c r="E84" s="2"/>
      <c r="F84" s="2"/>
      <c r="G84" s="1001" t="str">
        <f t="shared" si="33"/>
        <v/>
      </c>
      <c r="H84" s="1001" t="str">
        <f t="shared" si="33"/>
        <v/>
      </c>
      <c r="I84" s="2055" t="str">
        <f>K45</f>
        <v/>
      </c>
      <c r="J84" s="2055"/>
      <c r="K84" s="1001" t="str">
        <f>N45</f>
        <v/>
      </c>
      <c r="L84" s="2"/>
      <c r="M84" s="2"/>
      <c r="N84" s="14"/>
      <c r="O84" s="2"/>
      <c r="P84" s="2"/>
      <c r="Q84" s="2"/>
      <c r="R84" s="2"/>
      <c r="S84" s="999"/>
      <c r="T84" s="2"/>
      <c r="U84" s="999"/>
      <c r="V84" s="2"/>
      <c r="W84" s="2"/>
      <c r="X84" s="591"/>
      <c r="Y84" s="591"/>
      <c r="AG84" s="591"/>
      <c r="AH84" s="591"/>
      <c r="AI84" s="591"/>
      <c r="AJ84" s="591"/>
      <c r="AK84" s="591"/>
      <c r="AM84" s="591"/>
      <c r="AN84" s="591"/>
      <c r="AO84" s="591"/>
      <c r="AP84" s="591"/>
      <c r="AQ84" s="591"/>
      <c r="AS84" s="591"/>
      <c r="AT84" s="591"/>
      <c r="AU84" s="591"/>
      <c r="AV84" s="591"/>
      <c r="AW84" s="591"/>
      <c r="AY84" s="591"/>
    </row>
    <row r="85" spans="1:51" ht="18" hidden="1" customHeight="1" x14ac:dyDescent="0.2">
      <c r="A85" s="2"/>
      <c r="B85" s="2"/>
      <c r="C85" s="2"/>
      <c r="D85" s="2"/>
      <c r="E85" s="2"/>
      <c r="F85" s="2"/>
      <c r="G85" s="1011" t="str">
        <f>VLOOKUP(G62,$L$134:$M$135,2,FALSE)</f>
        <v>SCORPORO</v>
      </c>
      <c r="H85" s="1011" t="str">
        <f>VLOOKUP(H62,$L$134:$M$135,2,FALSE)</f>
        <v>SCORPORO</v>
      </c>
      <c r="I85" s="2056" t="str">
        <f>VLOOKUP(K62,$L$134:$M$135,2,FALSE)</f>
        <v>SCORPORO</v>
      </c>
      <c r="J85" s="2056"/>
      <c r="K85" s="1011" t="str">
        <f>VLOOKUP(N62,$L$134:$M$135,2,FALSE)</f>
        <v>SCORPORO</v>
      </c>
      <c r="L85" s="2"/>
      <c r="M85" s="2"/>
      <c r="N85" s="14"/>
      <c r="O85" s="2"/>
      <c r="P85" s="2"/>
      <c r="Q85" s="2"/>
      <c r="R85" s="2"/>
      <c r="S85" s="999"/>
      <c r="T85" s="2"/>
      <c r="U85" s="999"/>
      <c r="V85" s="2"/>
      <c r="W85" s="2"/>
      <c r="X85" s="591"/>
      <c r="Y85" s="591"/>
      <c r="AG85" s="591"/>
      <c r="AH85" s="591"/>
      <c r="AI85" s="591"/>
      <c r="AJ85" s="591"/>
      <c r="AK85" s="591"/>
      <c r="AM85" s="591"/>
      <c r="AN85" s="591"/>
      <c r="AO85" s="591"/>
      <c r="AP85" s="591"/>
      <c r="AQ85" s="591"/>
      <c r="AS85" s="591"/>
      <c r="AT85" s="591"/>
      <c r="AU85" s="591"/>
      <c r="AV85" s="591"/>
      <c r="AW85" s="591"/>
      <c r="AY85" s="591"/>
    </row>
    <row r="86" spans="1:51" ht="20.25" hidden="1" customHeight="1" x14ac:dyDescent="0.2">
      <c r="A86" s="2"/>
      <c r="B86" s="2"/>
      <c r="C86" s="2"/>
      <c r="D86" s="2"/>
      <c r="E86" s="2"/>
      <c r="F86" s="1002" t="s">
        <v>761</v>
      </c>
      <c r="G86" s="1206">
        <f>IF($L77=0,0,$S79-G87)</f>
        <v>0</v>
      </c>
      <c r="H86" s="1206">
        <f>IF($L77=0,0,S80-H87)</f>
        <v>0</v>
      </c>
      <c r="I86" s="2035">
        <f>IF($L77=0,0,S81-I87)</f>
        <v>0</v>
      </c>
      <c r="J86" s="2036"/>
      <c r="K86" s="1206">
        <f>IF($L77=0,0,S82-K87)</f>
        <v>0</v>
      </c>
      <c r="L86" s="2237">
        <f>SUM(G86:K86)</f>
        <v>0</v>
      </c>
      <c r="M86" s="2237"/>
      <c r="N86" s="1003" t="s">
        <v>758</v>
      </c>
      <c r="O86" s="2"/>
      <c r="P86" s="2"/>
      <c r="Q86" s="2"/>
      <c r="R86" s="2"/>
      <c r="S86" s="999"/>
      <c r="T86" s="2"/>
      <c r="U86" s="999"/>
      <c r="V86" s="2"/>
      <c r="W86" s="2"/>
      <c r="X86" s="591"/>
      <c r="Y86" s="591"/>
      <c r="AG86" s="591"/>
      <c r="AH86" s="591"/>
      <c r="AI86" s="591"/>
      <c r="AJ86" s="591"/>
      <c r="AK86" s="591"/>
      <c r="AM86" s="591"/>
      <c r="AN86" s="591"/>
      <c r="AO86" s="591"/>
      <c r="AP86" s="591"/>
      <c r="AQ86" s="591"/>
      <c r="AS86" s="591"/>
      <c r="AT86" s="591"/>
      <c r="AU86" s="591"/>
      <c r="AV86" s="591"/>
      <c r="AW86" s="591"/>
      <c r="AY86" s="591"/>
    </row>
    <row r="87" spans="1:51" ht="20.25" hidden="1" customHeight="1" x14ac:dyDescent="0.2">
      <c r="A87" s="2"/>
      <c r="B87" s="2"/>
      <c r="C87" s="2"/>
      <c r="D87" s="2"/>
      <c r="E87" s="2"/>
      <c r="F87" s="1004" t="s">
        <v>762</v>
      </c>
      <c r="G87" s="1207">
        <f>IF($C$61=0,0,ROUND($L78*G89/100,2))</f>
        <v>0</v>
      </c>
      <c r="H87" s="1207">
        <f>IF($C$61=0,0,ROUND($L78*H89/100,2))</f>
        <v>0</v>
      </c>
      <c r="I87" s="2028">
        <f>IF($C$61=0,0,ROUND($L78*I89/100,2))</f>
        <v>0</v>
      </c>
      <c r="J87" s="2029"/>
      <c r="K87" s="1207">
        <f>IF($C$61=0,0,L78-G87-H87-I87)</f>
        <v>0</v>
      </c>
      <c r="L87" s="2125">
        <f>SUM(G87:K87)</f>
        <v>0</v>
      </c>
      <c r="M87" s="2125"/>
      <c r="N87" s="1005" t="s">
        <v>760</v>
      </c>
      <c r="O87" s="2"/>
      <c r="P87" s="2"/>
      <c r="Q87" s="2"/>
      <c r="R87" s="2"/>
      <c r="S87" s="999"/>
      <c r="T87" s="2"/>
      <c r="U87" s="999"/>
      <c r="V87" s="2"/>
      <c r="W87" s="2"/>
      <c r="X87" s="591"/>
      <c r="Y87" s="591"/>
      <c r="AG87" s="591"/>
      <c r="AH87" s="591"/>
      <c r="AI87" s="591"/>
      <c r="AJ87" s="591"/>
      <c r="AK87" s="591"/>
      <c r="AM87" s="591"/>
      <c r="AN87" s="591"/>
      <c r="AO87" s="591"/>
      <c r="AP87" s="591"/>
      <c r="AQ87" s="591"/>
      <c r="AS87" s="591"/>
      <c r="AT87" s="591"/>
      <c r="AU87" s="591"/>
      <c r="AV87" s="591"/>
      <c r="AW87" s="591"/>
      <c r="AY87" s="591"/>
    </row>
    <row r="88" spans="1:51" ht="20.25" hidden="1" customHeight="1" x14ac:dyDescent="0.2">
      <c r="A88" s="2"/>
      <c r="B88" s="2"/>
      <c r="C88" s="2"/>
      <c r="D88" s="2"/>
      <c r="E88" s="287"/>
      <c r="F88" s="995" t="s">
        <v>105</v>
      </c>
      <c r="G88" s="1020">
        <f>IF(G85=$M135,0,G86+G87)</f>
        <v>0</v>
      </c>
      <c r="H88" s="1020">
        <f>IF(H85=$M135,0,H86+H87)</f>
        <v>0</v>
      </c>
      <c r="I88" s="2216">
        <f>IF(I85=$M135,0,I86+I87)</f>
        <v>0</v>
      </c>
      <c r="J88" s="2216"/>
      <c r="K88" s="1020">
        <f>IF(K85=$M135,0,K86+K87)</f>
        <v>0</v>
      </c>
      <c r="L88" s="287"/>
      <c r="M88" s="287"/>
      <c r="N88" s="996">
        <f>SUM(G88:K88)</f>
        <v>0</v>
      </c>
      <c r="O88" s="503" t="str">
        <f>IF(N88=N79,"OK",E163)</f>
        <v>OK</v>
      </c>
      <c r="P88" s="2"/>
      <c r="Q88" s="2"/>
      <c r="R88" s="2"/>
      <c r="S88" s="1006"/>
      <c r="T88" s="2"/>
      <c r="U88" s="1006"/>
      <c r="V88" s="2"/>
      <c r="W88" s="2"/>
      <c r="X88" s="591"/>
      <c r="Y88" s="591"/>
      <c r="AG88" s="591"/>
      <c r="AH88" s="591"/>
      <c r="AI88" s="591"/>
      <c r="AJ88" s="591"/>
      <c r="AK88" s="591"/>
      <c r="AM88" s="591"/>
      <c r="AN88" s="591"/>
      <c r="AO88" s="591"/>
      <c r="AP88" s="591"/>
      <c r="AQ88" s="591"/>
      <c r="AS88" s="591"/>
      <c r="AT88" s="591"/>
      <c r="AU88" s="591"/>
      <c r="AV88" s="591"/>
      <c r="AW88" s="591"/>
      <c r="AY88" s="591"/>
    </row>
    <row r="89" spans="1:51" ht="20.25" hidden="1" customHeight="1" x14ac:dyDescent="0.2">
      <c r="A89" s="2"/>
      <c r="B89" s="2"/>
      <c r="C89" s="2"/>
      <c r="D89" s="2"/>
      <c r="E89" s="2"/>
      <c r="F89" s="970" t="s">
        <v>763</v>
      </c>
      <c r="G89" s="1021">
        <f>IF($C$61=0,0,IF(S79=0,0,ROUND($S79/$S89*100,10)))</f>
        <v>0</v>
      </c>
      <c r="H89" s="1021">
        <f>IF($C$61=0,0,IF(S80=0,0,ROUND(S80/$S89*100,10)))</f>
        <v>0</v>
      </c>
      <c r="I89" s="2101">
        <f>IF($C$61=0,0,IF(S81=0,0,ROUND(S81/$S89*100,10)))</f>
        <v>0</v>
      </c>
      <c r="J89" s="2101"/>
      <c r="K89" s="1021">
        <f>IF($C$61=0,0,IF(S82=0,0,100-G89-H89-I89))</f>
        <v>0</v>
      </c>
      <c r="L89" s="2"/>
      <c r="M89" s="2"/>
      <c r="N89" s="2"/>
      <c r="O89" s="2"/>
      <c r="P89" s="2"/>
      <c r="Q89" s="2"/>
      <c r="R89" s="2"/>
      <c r="S89" s="1006">
        <f>SUM(S79:S88)</f>
        <v>0</v>
      </c>
      <c r="T89" s="2"/>
      <c r="U89" s="1006">
        <f>SUM(U79:U88)</f>
        <v>0</v>
      </c>
      <c r="V89" s="2"/>
      <c r="W89" s="2"/>
      <c r="X89" s="591"/>
      <c r="Y89" s="591"/>
      <c r="Z89" s="591"/>
      <c r="AA89" s="591"/>
      <c r="AB89" s="591"/>
      <c r="AC89" s="591"/>
      <c r="AG89" s="591"/>
      <c r="AH89" s="591"/>
      <c r="AI89" s="591"/>
      <c r="AJ89" s="591"/>
      <c r="AK89" s="591"/>
      <c r="AM89" s="591"/>
      <c r="AN89" s="591"/>
      <c r="AO89" s="591"/>
      <c r="AP89" s="591"/>
      <c r="AQ89" s="591"/>
      <c r="AS89" s="591"/>
      <c r="AT89" s="591"/>
      <c r="AU89" s="591"/>
      <c r="AV89" s="591"/>
      <c r="AW89" s="591"/>
      <c r="AY89" s="591"/>
    </row>
    <row r="90" spans="1:51" ht="20.25" customHeight="1" x14ac:dyDescent="0.2">
      <c r="A90" s="2"/>
      <c r="B90" s="2"/>
      <c r="C90" s="2"/>
      <c r="D90" s="2"/>
      <c r="E90" s="2"/>
      <c r="F90" s="2"/>
      <c r="G90" s="2"/>
      <c r="H90" s="2"/>
      <c r="I90" s="2"/>
      <c r="J90" s="2"/>
      <c r="K90" s="2"/>
      <c r="L90" s="2"/>
      <c r="M90" s="2"/>
      <c r="N90" s="2"/>
      <c r="O90" s="2"/>
      <c r="P90" s="2"/>
      <c r="Q90" s="2"/>
      <c r="R90" s="2"/>
      <c r="S90" s="2"/>
      <c r="T90" s="2"/>
      <c r="U90" s="1110" t="e">
        <f>U89/S89*100</f>
        <v>#DIV/0!</v>
      </c>
      <c r="V90" s="2"/>
      <c r="W90" s="2"/>
      <c r="X90" s="591"/>
      <c r="Y90" s="591"/>
      <c r="Z90" s="591"/>
      <c r="AA90" s="591"/>
      <c r="AB90" s="591"/>
      <c r="AC90" s="591"/>
      <c r="AG90" s="591"/>
      <c r="AH90" s="591"/>
      <c r="AI90" s="591"/>
      <c r="AJ90" s="591"/>
      <c r="AK90" s="591"/>
      <c r="AM90" s="591"/>
      <c r="AN90" s="591"/>
      <c r="AO90" s="591"/>
      <c r="AP90" s="591"/>
      <c r="AQ90" s="591"/>
      <c r="AS90" s="591"/>
      <c r="AT90" s="591"/>
      <c r="AU90" s="591"/>
      <c r="AV90" s="591"/>
      <c r="AW90" s="591"/>
      <c r="AY90" s="591"/>
    </row>
    <row r="91" spans="1:51" ht="30" customHeight="1" x14ac:dyDescent="0.2">
      <c r="A91" s="2"/>
      <c r="B91" s="2"/>
      <c r="C91" s="2030" t="str">
        <f>IF(SUM(G150:J150)&gt;0,G151,IMPOSTAZIONI!Y383)</f>
        <v>Quest' area si attiva con colonne IVA "Aliquote diverse" - Al momento non c'è nessun importo da scorporare manualmente.</v>
      </c>
      <c r="D91" s="2030"/>
      <c r="E91" s="2030"/>
      <c r="F91" s="2030"/>
      <c r="G91" s="2030"/>
      <c r="H91" s="2030"/>
      <c r="I91" s="2030"/>
      <c r="J91" s="2030"/>
      <c r="K91" s="2030"/>
      <c r="L91" s="2030"/>
      <c r="M91" s="2030"/>
      <c r="N91" s="2030"/>
      <c r="O91" s="2030"/>
      <c r="P91" s="2030"/>
      <c r="Q91" s="98"/>
      <c r="R91" s="98"/>
      <c r="S91" s="98"/>
      <c r="T91" s="2"/>
      <c r="U91" s="2"/>
      <c r="V91" s="2"/>
      <c r="W91" s="2"/>
      <c r="X91" s="591"/>
      <c r="Y91" s="591"/>
      <c r="Z91" s="591"/>
      <c r="AA91" s="591"/>
      <c r="AB91" s="591"/>
      <c r="AC91" s="591"/>
      <c r="AG91" s="591"/>
      <c r="AH91" s="591"/>
      <c r="AI91" s="591"/>
      <c r="AJ91" s="591"/>
      <c r="AK91" s="591"/>
      <c r="AM91" s="591"/>
      <c r="AN91" s="591"/>
      <c r="AO91" s="591"/>
      <c r="AP91" s="591"/>
      <c r="AQ91" s="591"/>
      <c r="AS91" s="591"/>
      <c r="AT91" s="591"/>
      <c r="AU91" s="591"/>
      <c r="AV91" s="591"/>
      <c r="AW91" s="591"/>
      <c r="AY91" s="591"/>
    </row>
    <row r="92" spans="1:51" ht="5.25" customHeight="1" x14ac:dyDescent="0.2">
      <c r="A92" s="2"/>
      <c r="B92" s="2"/>
      <c r="C92" s="2"/>
      <c r="D92" s="2"/>
      <c r="E92" s="2"/>
      <c r="F92" s="2"/>
      <c r="G92" s="2"/>
      <c r="H92" s="2"/>
      <c r="I92" s="2"/>
      <c r="J92" s="2"/>
      <c r="K92" s="2"/>
      <c r="L92" s="2"/>
      <c r="M92" s="2"/>
      <c r="N92" s="2"/>
      <c r="O92" s="2"/>
      <c r="P92" s="2"/>
      <c r="Q92" s="2"/>
      <c r="R92" s="2"/>
      <c r="S92" s="2"/>
      <c r="T92" s="2"/>
      <c r="U92" s="2"/>
      <c r="V92" s="2"/>
      <c r="W92" s="2"/>
      <c r="X92" s="591"/>
      <c r="Y92" s="591"/>
      <c r="Z92" s="591"/>
      <c r="AA92" s="591"/>
      <c r="AB92" s="591"/>
      <c r="AC92" s="591"/>
      <c r="AG92" s="591"/>
      <c r="AH92" s="591"/>
      <c r="AI92" s="591"/>
      <c r="AJ92" s="591"/>
      <c r="AK92" s="591"/>
      <c r="AM92" s="591"/>
      <c r="AN92" s="591"/>
      <c r="AO92" s="591"/>
      <c r="AP92" s="591"/>
      <c r="AQ92" s="591"/>
      <c r="AS92" s="591"/>
      <c r="AT92" s="591"/>
      <c r="AU92" s="591"/>
      <c r="AV92" s="591"/>
      <c r="AW92" s="591"/>
      <c r="AY92" s="591"/>
    </row>
    <row r="93" spans="1:51" ht="18" customHeight="1" x14ac:dyDescent="0.2">
      <c r="A93" s="2"/>
      <c r="B93" s="2"/>
      <c r="C93" s="2111"/>
      <c r="D93" s="2111"/>
      <c r="E93" s="2112"/>
      <c r="F93" s="2113"/>
      <c r="G93" s="298" t="str">
        <f t="shared" ref="G93:H95" si="34">IF(G$155="X",G43,"")</f>
        <v/>
      </c>
      <c r="H93" s="298" t="str">
        <f t="shared" si="34"/>
        <v/>
      </c>
      <c r="I93" s="298"/>
      <c r="J93" s="298"/>
      <c r="K93" s="298" t="str">
        <f>IF(I$155="X",K43,"")</f>
        <v/>
      </c>
      <c r="L93" s="298"/>
      <c r="M93" s="298"/>
      <c r="N93" s="298" t="str">
        <f>IF(J$155="X",N43,"")</f>
        <v/>
      </c>
      <c r="O93" s="2033"/>
      <c r="P93" s="2033"/>
      <c r="Q93" s="12"/>
      <c r="R93" s="2"/>
      <c r="S93" s="2"/>
      <c r="T93" s="2"/>
      <c r="U93" s="2"/>
      <c r="V93" s="2"/>
      <c r="W93" s="2"/>
      <c r="X93" s="591"/>
      <c r="Y93" s="591"/>
      <c r="Z93" s="591"/>
      <c r="AA93" s="591"/>
      <c r="AB93" s="591"/>
      <c r="AC93" s="591"/>
      <c r="AG93" s="591"/>
      <c r="AH93" s="591"/>
      <c r="AI93" s="591"/>
      <c r="AJ93" s="591"/>
      <c r="AK93" s="591"/>
      <c r="AM93" s="591"/>
      <c r="AN93" s="591"/>
      <c r="AO93" s="591"/>
      <c r="AP93" s="591"/>
      <c r="AQ93" s="591"/>
      <c r="AS93" s="591"/>
      <c r="AT93" s="591"/>
      <c r="AU93" s="591"/>
      <c r="AV93" s="591"/>
      <c r="AW93" s="591"/>
      <c r="AY93" s="591"/>
    </row>
    <row r="94" spans="1:51" ht="18" customHeight="1" x14ac:dyDescent="0.2">
      <c r="A94" s="2"/>
      <c r="B94" s="2"/>
      <c r="C94" s="2114" t="str">
        <f>C44</f>
        <v>TOTALI DEL PERIODO:</v>
      </c>
      <c r="D94" s="2091"/>
      <c r="E94" s="2091"/>
      <c r="F94" s="2091"/>
      <c r="G94" s="57" t="str">
        <f t="shared" si="34"/>
        <v/>
      </c>
      <c r="H94" s="57" t="str">
        <f t="shared" si="34"/>
        <v/>
      </c>
      <c r="I94" s="57" t="s">
        <v>288</v>
      </c>
      <c r="J94" s="57"/>
      <c r="K94" s="57" t="str">
        <f>IF(I$155="X",K44,"")</f>
        <v/>
      </c>
      <c r="L94" s="57" t="s">
        <v>288</v>
      </c>
      <c r="M94" s="57"/>
      <c r="N94" s="57" t="str">
        <f>IF(J$155="X",N44,"")</f>
        <v/>
      </c>
      <c r="O94" s="85"/>
      <c r="P94" s="85"/>
      <c r="Q94" s="12"/>
      <c r="R94" s="2"/>
      <c r="S94" s="2"/>
      <c r="T94" s="2"/>
      <c r="U94" s="2"/>
      <c r="V94" s="2"/>
      <c r="W94" s="2"/>
      <c r="X94" s="591"/>
      <c r="Y94" s="591"/>
      <c r="Z94" s="591"/>
      <c r="AA94" s="591"/>
      <c r="AB94" s="591"/>
      <c r="AC94" s="591"/>
      <c r="AG94" s="591"/>
      <c r="AH94" s="591"/>
      <c r="AI94" s="591"/>
      <c r="AJ94" s="591"/>
      <c r="AK94" s="591"/>
      <c r="AM94" s="591"/>
      <c r="AN94" s="591"/>
      <c r="AO94" s="591"/>
      <c r="AP94" s="591"/>
      <c r="AQ94" s="591"/>
      <c r="AS94" s="591"/>
      <c r="AT94" s="591"/>
      <c r="AU94" s="591"/>
      <c r="AV94" s="591"/>
      <c r="AW94" s="591"/>
      <c r="AY94" s="591"/>
    </row>
    <row r="95" spans="1:51" ht="18" customHeight="1" x14ac:dyDescent="0.2">
      <c r="A95" s="2"/>
      <c r="B95" s="2"/>
      <c r="C95" s="2115" t="str">
        <f>C45</f>
        <v>01/11 - 30/11</v>
      </c>
      <c r="D95" s="2115"/>
      <c r="E95" s="2115"/>
      <c r="F95" s="2115"/>
      <c r="G95" s="90" t="str">
        <f t="shared" si="34"/>
        <v/>
      </c>
      <c r="H95" s="90" t="str">
        <f t="shared" si="34"/>
        <v/>
      </c>
      <c r="I95" s="90" t="s">
        <v>288</v>
      </c>
      <c r="J95" s="90"/>
      <c r="K95" s="90" t="str">
        <f>IF(I$155="X",K45,"")</f>
        <v/>
      </c>
      <c r="L95" s="90" t="s">
        <v>288</v>
      </c>
      <c r="M95" s="90"/>
      <c r="N95" s="90" t="str">
        <f>IF(J$155="X",N45,"")</f>
        <v/>
      </c>
      <c r="O95" s="89"/>
      <c r="P95" s="89"/>
      <c r="Q95" s="12"/>
      <c r="R95" s="2"/>
      <c r="S95" s="2"/>
      <c r="T95" s="2"/>
      <c r="U95" s="2"/>
      <c r="V95" s="2"/>
      <c r="W95" s="2"/>
      <c r="X95" s="591"/>
      <c r="Y95" s="591"/>
      <c r="Z95" s="591"/>
      <c r="AA95" s="591"/>
      <c r="AB95" s="591"/>
      <c r="AC95" s="591"/>
      <c r="AG95" s="591"/>
      <c r="AH95" s="591"/>
      <c r="AI95" s="591"/>
      <c r="AJ95" s="591"/>
      <c r="AK95" s="591"/>
      <c r="AM95" s="591"/>
      <c r="AN95" s="591"/>
      <c r="AO95" s="591"/>
      <c r="AP95" s="591"/>
      <c r="AQ95" s="591"/>
      <c r="AS95" s="591"/>
      <c r="AT95" s="591"/>
      <c r="AU95" s="591"/>
      <c r="AV95" s="591"/>
      <c r="AW95" s="591"/>
      <c r="AY95" s="591"/>
    </row>
    <row r="96" spans="1:51" ht="18.75" customHeight="1" x14ac:dyDescent="0.2">
      <c r="A96" s="2"/>
      <c r="B96" s="7"/>
      <c r="C96" s="2110"/>
      <c r="D96" s="2110"/>
      <c r="E96" s="2109"/>
      <c r="F96" s="2109"/>
      <c r="G96" s="297">
        <f>IF(G155="X",G46,0)</f>
        <v>0</v>
      </c>
      <c r="H96" s="297">
        <f>IF(H155="X",H46,0)</f>
        <v>0</v>
      </c>
      <c r="I96" s="657"/>
      <c r="J96" s="657"/>
      <c r="K96" s="297">
        <f>IF(I155="X",K46,0)</f>
        <v>0</v>
      </c>
      <c r="L96" s="657"/>
      <c r="M96" s="657"/>
      <c r="N96" s="297">
        <f>IF(J155="X",N46,0)</f>
        <v>0</v>
      </c>
      <c r="O96" s="2210" t="s">
        <v>353</v>
      </c>
      <c r="P96" s="2210"/>
      <c r="Q96" s="12"/>
      <c r="R96" s="462">
        <f>R97+R98</f>
        <v>0</v>
      </c>
      <c r="S96" s="2"/>
      <c r="T96" s="2"/>
      <c r="U96" s="2"/>
      <c r="V96" s="591"/>
      <c r="W96" s="591"/>
      <c r="X96" s="591"/>
      <c r="Y96" s="591"/>
      <c r="Z96" s="591"/>
      <c r="AA96" s="591"/>
      <c r="AB96" s="591"/>
      <c r="AC96" s="591"/>
      <c r="AG96" s="591"/>
      <c r="AH96" s="591"/>
      <c r="AI96" s="591"/>
      <c r="AJ96" s="591"/>
      <c r="AK96" s="591"/>
      <c r="AM96" s="591"/>
      <c r="AN96" s="591"/>
      <c r="AO96" s="591"/>
      <c r="AP96" s="591"/>
      <c r="AQ96" s="591"/>
      <c r="AS96" s="591"/>
      <c r="AT96" s="591"/>
      <c r="AU96" s="591"/>
      <c r="AV96" s="591"/>
      <c r="AW96" s="591"/>
      <c r="AY96" s="591"/>
    </row>
    <row r="97" spans="1:51" ht="18.75" customHeight="1" x14ac:dyDescent="0.25">
      <c r="A97" s="2"/>
      <c r="B97" s="7"/>
      <c r="C97" s="2032" t="s">
        <v>350</v>
      </c>
      <c r="D97" s="2032"/>
      <c r="E97" s="2032"/>
      <c r="F97" s="2032"/>
      <c r="G97" s="299"/>
      <c r="H97" s="299"/>
      <c r="I97" s="658"/>
      <c r="J97" s="658"/>
      <c r="K97" s="299"/>
      <c r="L97" s="658"/>
      <c r="M97" s="658"/>
      <c r="N97" s="299"/>
      <c r="O97" s="2221" t="s">
        <v>355</v>
      </c>
      <c r="P97" s="2221"/>
      <c r="Q97" s="12"/>
      <c r="R97" s="462">
        <f>SUM(G97:N97)</f>
        <v>0</v>
      </c>
      <c r="S97" s="462">
        <f>SUMIF($G$42:N$42,K$134,$G97:N97)</f>
        <v>0</v>
      </c>
      <c r="T97" s="1110" t="e">
        <f>S97/R97*100</f>
        <v>#DIV/0!</v>
      </c>
      <c r="U97" s="2"/>
      <c r="V97" s="591"/>
      <c r="W97" s="591"/>
      <c r="X97" s="591"/>
      <c r="Y97" s="591"/>
      <c r="Z97" s="591"/>
      <c r="AA97" s="591"/>
      <c r="AB97" s="591"/>
      <c r="AC97" s="591"/>
      <c r="AG97" s="591"/>
      <c r="AH97" s="591"/>
      <c r="AI97" s="591"/>
      <c r="AJ97" s="591"/>
      <c r="AK97" s="591"/>
      <c r="AM97" s="591"/>
      <c r="AN97" s="591"/>
      <c r="AO97" s="591"/>
      <c r="AP97" s="591"/>
      <c r="AQ97" s="591"/>
      <c r="AS97" s="591"/>
      <c r="AT97" s="591"/>
      <c r="AU97" s="591"/>
      <c r="AV97" s="591"/>
      <c r="AW97" s="591"/>
      <c r="AY97" s="591"/>
    </row>
    <row r="98" spans="1:51" ht="18.75" customHeight="1" x14ac:dyDescent="0.2">
      <c r="A98" s="2"/>
      <c r="B98" s="7"/>
      <c r="C98" s="2108" t="s">
        <v>490</v>
      </c>
      <c r="D98" s="2108"/>
      <c r="E98" s="2108"/>
      <c r="F98" s="2108"/>
      <c r="G98" s="300"/>
      <c r="H98" s="660"/>
      <c r="I98" s="659"/>
      <c r="J98" s="659"/>
      <c r="K98" s="660"/>
      <c r="L98" s="659"/>
      <c r="M98" s="659"/>
      <c r="N98" s="660"/>
      <c r="O98" s="2018" t="s">
        <v>349</v>
      </c>
      <c r="P98" s="2018"/>
      <c r="Q98" s="13"/>
      <c r="R98" s="462">
        <f>SUM(G98:N98)</f>
        <v>0</v>
      </c>
      <c r="S98" s="2"/>
      <c r="T98" s="2"/>
      <c r="U98" s="2"/>
      <c r="V98" s="591"/>
      <c r="W98" s="591"/>
      <c r="X98" s="591"/>
      <c r="Y98" s="591"/>
      <c r="Z98" s="591"/>
      <c r="AA98" s="591"/>
      <c r="AB98" s="591"/>
      <c r="AC98" s="591"/>
      <c r="AG98" s="591"/>
      <c r="AH98" s="591"/>
      <c r="AI98" s="591"/>
      <c r="AJ98" s="591"/>
      <c r="AK98" s="591"/>
      <c r="AM98" s="591"/>
      <c r="AN98" s="591"/>
      <c r="AO98" s="591"/>
      <c r="AP98" s="591"/>
      <c r="AQ98" s="591"/>
      <c r="AS98" s="591"/>
      <c r="AT98" s="591"/>
      <c r="AU98" s="591"/>
      <c r="AV98" s="591"/>
      <c r="AW98" s="591"/>
      <c r="AY98" s="591"/>
    </row>
    <row r="99" spans="1:51" ht="15" customHeight="1" x14ac:dyDescent="0.2">
      <c r="A99" s="2"/>
      <c r="B99" s="2"/>
      <c r="C99" s="10"/>
      <c r="D99" s="10"/>
      <c r="E99" s="10"/>
      <c r="F99" s="10"/>
      <c r="G99" s="91" t="str">
        <f>IF(AND(SUM(G97:G98)&lt;&gt;0,G152=0),$L$152,IF(G152=0,"",IF(G97=0,IMPOSTAZIONI!$J$383,IF((G97+G98)&lt;&gt;G96,IMPOSTAZIONI!$M$383,IMPOSTAZIONI!$H$383))))</f>
        <v/>
      </c>
      <c r="H99" s="91" t="str">
        <f>IF(AND(SUM(H97:H98)&lt;&gt;0,H152=0),$L$152,IF(H152=0,"",IF(H97=0,IMPOSTAZIONI!$J$383,IF((H97+H98)&lt;&gt;H96,IMPOSTAZIONI!$M$383,IMPOSTAZIONI!$H$383))))</f>
        <v/>
      </c>
      <c r="I99" s="91"/>
      <c r="J99" s="91"/>
      <c r="K99" s="91" t="str">
        <f>IF(AND(SUM(K97:K98)&lt;&gt;0,I152=0),$L$152,IF(I152=0,"",IF(K97=0,IMPOSTAZIONI!$J$383,IF((K97+K98)&lt;&gt;K96,IMPOSTAZIONI!$M$383,IMPOSTAZIONI!$H$383))))</f>
        <v/>
      </c>
      <c r="L99" s="91"/>
      <c r="M99" s="91"/>
      <c r="N99" s="91" t="str">
        <f>IF(AND(SUM(N97:N98)&lt;&gt;0,J152=0),$L$152,IF(J152=0,"",IF(N97=0,IMPOSTAZIONI!$J$383,IF((N97+N98)&lt;&gt;N96,IMPOSTAZIONI!$M$383,IMPOSTAZIONI!$H$383))))</f>
        <v/>
      </c>
      <c r="O99" s="10"/>
      <c r="P99" s="10"/>
      <c r="Q99" s="2"/>
      <c r="R99" s="2"/>
      <c r="S99" s="2"/>
      <c r="T99" s="2"/>
      <c r="U99" s="2"/>
      <c r="V99" s="591"/>
      <c r="W99" s="591"/>
      <c r="X99" s="591"/>
      <c r="Y99" s="591"/>
      <c r="Z99" s="591"/>
      <c r="AA99" s="591"/>
      <c r="AB99" s="591"/>
      <c r="AC99" s="591"/>
      <c r="AG99" s="591"/>
      <c r="AH99" s="591"/>
      <c r="AI99" s="591"/>
      <c r="AJ99" s="591"/>
      <c r="AK99" s="591"/>
      <c r="AM99" s="591"/>
      <c r="AN99" s="591"/>
      <c r="AO99" s="591"/>
      <c r="AP99" s="591"/>
      <c r="AQ99" s="591"/>
      <c r="AS99" s="591"/>
      <c r="AT99" s="591"/>
      <c r="AU99" s="591"/>
      <c r="AV99" s="591"/>
      <c r="AW99" s="591"/>
      <c r="AY99" s="591"/>
    </row>
    <row r="100" spans="1:51" ht="21" customHeight="1" x14ac:dyDescent="0.2">
      <c r="A100" s="2"/>
      <c r="B100" s="2"/>
      <c r="C100" s="2116" t="s">
        <v>354</v>
      </c>
      <c r="D100" s="2116"/>
      <c r="E100" s="2116"/>
      <c r="F100" s="2116"/>
      <c r="G100" s="2"/>
      <c r="H100" s="2"/>
      <c r="I100" s="2"/>
      <c r="J100" s="2"/>
      <c r="K100" s="2"/>
      <c r="L100" s="2"/>
      <c r="M100" s="2"/>
      <c r="N100" s="2"/>
      <c r="O100" s="2"/>
      <c r="P100" s="2"/>
      <c r="Q100" s="2"/>
      <c r="R100" s="2"/>
      <c r="S100" s="2"/>
      <c r="T100" s="128" t="s">
        <v>783</v>
      </c>
      <c r="U100" s="2"/>
      <c r="V100" s="591"/>
      <c r="W100" s="591"/>
      <c r="X100" s="591"/>
      <c r="Y100" s="591"/>
      <c r="Z100" s="591"/>
      <c r="AA100" s="591"/>
      <c r="AB100" s="591"/>
      <c r="AC100" s="591"/>
      <c r="AG100" s="591"/>
      <c r="AH100" s="591"/>
      <c r="AI100" s="591"/>
      <c r="AJ100" s="591"/>
      <c r="AK100" s="591"/>
      <c r="AM100" s="591"/>
      <c r="AN100" s="591"/>
      <c r="AO100" s="591"/>
      <c r="AP100" s="591"/>
      <c r="AQ100" s="591"/>
      <c r="AS100" s="591"/>
      <c r="AT100" s="591"/>
      <c r="AU100" s="591"/>
      <c r="AV100" s="591"/>
      <c r="AW100" s="591"/>
      <c r="AY100" s="591"/>
    </row>
    <row r="101" spans="1:51" ht="16.5" customHeight="1" x14ac:dyDescent="0.2">
      <c r="A101" s="2"/>
      <c r="B101" s="18" t="e">
        <f>VERIFICA!#REF!</f>
        <v>#REF!</v>
      </c>
      <c r="C101" s="2106" t="str">
        <f>IF(AND(RIEPILOGO!B8="",SUM(G101:N101)&gt;0),"ERROR",RIEPILOGO!B8)</f>
        <v>Aliquota 22 %</v>
      </c>
      <c r="D101" s="2106"/>
      <c r="E101" s="2106"/>
      <c r="F101" s="2106"/>
      <c r="G101" s="236"/>
      <c r="H101" s="236"/>
      <c r="I101" s="658"/>
      <c r="J101" s="658"/>
      <c r="K101" s="236"/>
      <c r="L101" s="658"/>
      <c r="M101" s="658"/>
      <c r="N101" s="236"/>
      <c r="O101" s="2218" t="s">
        <v>349</v>
      </c>
      <c r="P101" s="2218"/>
      <c r="Q101" s="12"/>
      <c r="R101" s="93">
        <f>SUM(G101:N101)</f>
        <v>0</v>
      </c>
      <c r="S101" s="93">
        <f>SUMIF($G$42:N$42,K$134,$G101:N101)</f>
        <v>0</v>
      </c>
      <c r="T101" s="1110" t="e">
        <f>S101/R101*100</f>
        <v>#DIV/0!</v>
      </c>
      <c r="U101" s="2"/>
      <c r="V101" s="591"/>
      <c r="W101" s="591"/>
      <c r="X101" s="591"/>
      <c r="Y101" s="591"/>
      <c r="Z101" s="591"/>
      <c r="AA101" s="591"/>
      <c r="AB101" s="591"/>
      <c r="AC101" s="591"/>
      <c r="AG101" s="591"/>
      <c r="AH101" s="591"/>
      <c r="AI101" s="591"/>
      <c r="AJ101" s="591"/>
      <c r="AK101" s="591"/>
      <c r="AM101" s="591"/>
      <c r="AN101" s="591"/>
      <c r="AO101" s="591"/>
      <c r="AP101" s="591"/>
      <c r="AQ101" s="591"/>
      <c r="AS101" s="591"/>
      <c r="AT101" s="591"/>
      <c r="AU101" s="591"/>
      <c r="AV101" s="591"/>
      <c r="AW101" s="591"/>
      <c r="AY101" s="591"/>
    </row>
    <row r="102" spans="1:51" ht="16.5" customHeight="1" x14ac:dyDescent="0.2">
      <c r="A102" s="2"/>
      <c r="B102" s="18" t="e">
        <f>VERIFICA!#REF!</f>
        <v>#REF!</v>
      </c>
      <c r="C102" s="2106" t="str">
        <f>IF(AND(RIEPILOGO!B9="",SUM(G102:N102)&gt;0),"ERROR",RIEPILOGO!B9)</f>
        <v>Aliquota 10 %</v>
      </c>
      <c r="D102" s="2106"/>
      <c r="E102" s="2106"/>
      <c r="F102" s="2106"/>
      <c r="G102" s="237"/>
      <c r="H102" s="237"/>
      <c r="I102" s="658"/>
      <c r="J102" s="658"/>
      <c r="K102" s="237"/>
      <c r="L102" s="658"/>
      <c r="M102" s="658"/>
      <c r="N102" s="237"/>
      <c r="O102" s="2218" t="s">
        <v>349</v>
      </c>
      <c r="P102" s="2218"/>
      <c r="Q102" s="12"/>
      <c r="R102" s="94">
        <f>SUM(G102:N102)</f>
        <v>0</v>
      </c>
      <c r="S102" s="94">
        <f>SUMIF($G$42:N$42,K$134,$G102:N102)</f>
        <v>0</v>
      </c>
      <c r="T102" s="1110" t="e">
        <f>S102/R102*100</f>
        <v>#DIV/0!</v>
      </c>
      <c r="U102" s="2"/>
      <c r="V102" s="591"/>
      <c r="W102" s="591"/>
      <c r="X102" s="591"/>
      <c r="Y102" s="591"/>
      <c r="Z102" s="591"/>
      <c r="AA102" s="591"/>
      <c r="AB102" s="591"/>
      <c r="AC102" s="591"/>
      <c r="AG102" s="591"/>
      <c r="AH102" s="591"/>
      <c r="AI102" s="591"/>
      <c r="AJ102" s="591"/>
      <c r="AK102" s="591"/>
      <c r="AM102" s="591"/>
      <c r="AN102" s="591"/>
      <c r="AO102" s="591"/>
      <c r="AP102" s="591"/>
      <c r="AQ102" s="591"/>
      <c r="AS102" s="591"/>
      <c r="AT102" s="591"/>
      <c r="AU102" s="591"/>
      <c r="AV102" s="591"/>
      <c r="AW102" s="591"/>
      <c r="AY102" s="591"/>
    </row>
    <row r="103" spans="1:51" ht="16.5" customHeight="1" x14ac:dyDescent="0.2">
      <c r="A103" s="2"/>
      <c r="B103" s="18" t="e">
        <f>VERIFICA!#REF!</f>
        <v>#REF!</v>
      </c>
      <c r="C103" s="2106" t="str">
        <f>IF(AND(RIEPILOGO!B10="",SUM(G103:N103)&gt;0),"ERROR",RIEPILOGO!B10)</f>
        <v>Aliquota 4 %</v>
      </c>
      <c r="D103" s="2106"/>
      <c r="E103" s="2106"/>
      <c r="F103" s="2106"/>
      <c r="G103" s="304"/>
      <c r="H103" s="304"/>
      <c r="I103" s="658"/>
      <c r="J103" s="658"/>
      <c r="K103" s="304"/>
      <c r="L103" s="658"/>
      <c r="M103" s="658"/>
      <c r="N103" s="304"/>
      <c r="O103" s="2218" t="s">
        <v>349</v>
      </c>
      <c r="P103" s="2218"/>
      <c r="Q103" s="12"/>
      <c r="R103" s="94">
        <f>SUM(G103:N103)</f>
        <v>0</v>
      </c>
      <c r="S103" s="94">
        <f>SUMIF($G$42:N$42,K$134,$G103:N103)</f>
        <v>0</v>
      </c>
      <c r="T103" s="1110" t="e">
        <f>S103/R103*100</f>
        <v>#DIV/0!</v>
      </c>
      <c r="U103" s="2"/>
      <c r="V103" s="591"/>
      <c r="W103" s="591"/>
      <c r="X103" s="591"/>
      <c r="Y103" s="591"/>
      <c r="Z103" s="591"/>
      <c r="AA103" s="591"/>
      <c r="AB103" s="591"/>
      <c r="AC103" s="591"/>
      <c r="AG103" s="591"/>
      <c r="AH103" s="591"/>
      <c r="AI103" s="591"/>
      <c r="AJ103" s="591"/>
      <c r="AK103" s="591"/>
      <c r="AM103" s="591"/>
      <c r="AN103" s="591"/>
      <c r="AO103" s="591"/>
      <c r="AP103" s="591"/>
      <c r="AQ103" s="591"/>
      <c r="AS103" s="591"/>
      <c r="AT103" s="591"/>
      <c r="AU103" s="591"/>
      <c r="AV103" s="591"/>
      <c r="AW103" s="591"/>
      <c r="AY103" s="591"/>
    </row>
    <row r="104" spans="1:51" ht="16.5" customHeight="1" x14ac:dyDescent="0.2">
      <c r="A104" s="2"/>
      <c r="B104" s="18" t="e">
        <f>VERIFICA!#REF!</f>
        <v>#REF!</v>
      </c>
      <c r="C104" s="2106" t="str">
        <f>IF(AND(RIEPILOGO!B11="",SUM(G104:N104)&gt;0),"ERROR",RIEPILOGO!B11)</f>
        <v/>
      </c>
      <c r="D104" s="2106"/>
      <c r="E104" s="2106"/>
      <c r="F104" s="2106"/>
      <c r="G104" s="304"/>
      <c r="H104" s="660"/>
      <c r="I104" s="659"/>
      <c r="J104" s="659"/>
      <c r="K104" s="660"/>
      <c r="L104" s="659"/>
      <c r="M104" s="659"/>
      <c r="N104" s="660"/>
      <c r="O104" s="2217" t="s">
        <v>349</v>
      </c>
      <c r="P104" s="2217"/>
      <c r="Q104" s="12"/>
      <c r="R104" s="95">
        <f>SUM(G104:N104)</f>
        <v>0</v>
      </c>
      <c r="S104" s="95">
        <f>SUMIF($G$42:N$42,K$134,$G104:N104)</f>
        <v>0</v>
      </c>
      <c r="T104" s="1110" t="e">
        <f>S104/R104*100</f>
        <v>#DIV/0!</v>
      </c>
      <c r="U104" s="2"/>
      <c r="V104" s="591"/>
      <c r="W104" s="591"/>
      <c r="X104" s="591"/>
      <c r="Y104" s="591"/>
      <c r="Z104" s="591"/>
      <c r="AA104" s="591"/>
      <c r="AB104" s="591"/>
      <c r="AC104" s="591"/>
      <c r="AG104" s="591"/>
      <c r="AH104" s="591"/>
      <c r="AI104" s="591"/>
      <c r="AJ104" s="591"/>
      <c r="AK104" s="591"/>
      <c r="AM104" s="591"/>
      <c r="AN104" s="591"/>
      <c r="AO104" s="591"/>
      <c r="AP104" s="591"/>
      <c r="AQ104" s="591"/>
      <c r="AS104" s="591"/>
      <c r="AT104" s="591"/>
      <c r="AU104" s="591"/>
      <c r="AV104" s="591"/>
      <c r="AW104" s="591"/>
      <c r="AY104" s="591"/>
    </row>
    <row r="105" spans="1:51" ht="15" customHeight="1" x14ac:dyDescent="0.2">
      <c r="A105" s="2"/>
      <c r="B105" s="2"/>
      <c r="C105" s="10"/>
      <c r="D105" s="10"/>
      <c r="E105" s="10"/>
      <c r="F105" s="10"/>
      <c r="G105" s="91" t="str">
        <f>IF(AND(SUM(G101:G104)&lt;&gt;0,G152=0),$L$152,IF(G152=0,"",IF(SUM(G101:G104)&lt;&gt;G98,IMPOSTAZIONI!$J$383,IF(SUM(G101:G104)&lt;&gt;G98,IMPOSTAZIONI!$M$383,IMPOSTAZIONI!$H$383))))</f>
        <v/>
      </c>
      <c r="H105" s="91" t="str">
        <f>IF(AND(SUM(H101:H104)&lt;&gt;0,H152=0),$L$152,IF(H152=0,"",IF(SUM(H101:H104)&lt;&gt;H98,IMPOSTAZIONI!$J$383,IF(SUM(H101:H104)&lt;&gt;H98,IMPOSTAZIONI!$M$383,IMPOSTAZIONI!$H$383))))</f>
        <v/>
      </c>
      <c r="I105" s="91"/>
      <c r="J105" s="91"/>
      <c r="K105" s="91" t="str">
        <f>IF(AND(SUM(K101:K104)&lt;&gt;0,I152=0),$L$152,IF(I152=0,"",IF(SUM(K101:K104)&lt;&gt;K98,IMPOSTAZIONI!$J$383,IF(SUM(K101:K104)&lt;&gt;K98,IMPOSTAZIONI!$M$383,IMPOSTAZIONI!$H$383))))</f>
        <v/>
      </c>
      <c r="L105" s="91"/>
      <c r="M105" s="91"/>
      <c r="N105" s="91" t="str">
        <f>IF(AND(SUM(N101:N104)&lt;&gt;0,J152=0),$L$152,IF(J152=0,"",IF(SUM(N101:N104)&lt;&gt;N98,IMPOSTAZIONI!$J$383,IF(SUM(N101:N104)&lt;&gt;N98,IMPOSTAZIONI!$M$383,IMPOSTAZIONI!$H$383))))</f>
        <v/>
      </c>
      <c r="O105" s="10"/>
      <c r="P105" s="10"/>
      <c r="Q105" s="2"/>
      <c r="R105" s="2"/>
      <c r="S105" s="2"/>
      <c r="T105" s="2"/>
      <c r="U105" s="2"/>
      <c r="V105" s="591"/>
      <c r="W105" s="591"/>
      <c r="X105" s="591"/>
      <c r="Y105" s="591"/>
      <c r="Z105" s="591"/>
      <c r="AA105" s="591"/>
      <c r="AB105" s="591"/>
      <c r="AC105" s="591"/>
      <c r="AG105" s="591"/>
      <c r="AH105" s="591"/>
      <c r="AI105" s="591"/>
      <c r="AJ105" s="591"/>
      <c r="AK105" s="591"/>
      <c r="AM105" s="591"/>
      <c r="AN105" s="591"/>
      <c r="AO105" s="591"/>
      <c r="AP105" s="591"/>
      <c r="AQ105" s="591"/>
      <c r="AS105" s="591"/>
      <c r="AT105" s="591"/>
      <c r="AU105" s="591"/>
      <c r="AV105" s="591"/>
      <c r="AW105" s="591"/>
      <c r="AY105" s="591"/>
    </row>
    <row r="106" spans="1:51" ht="21" customHeight="1" x14ac:dyDescent="0.2">
      <c r="A106" s="2"/>
      <c r="B106" s="2"/>
      <c r="C106" s="2"/>
      <c r="D106" s="2"/>
      <c r="E106" s="2"/>
      <c r="F106" s="2"/>
      <c r="G106" s="2"/>
      <c r="H106" s="2"/>
      <c r="I106" s="2"/>
      <c r="J106" s="2"/>
      <c r="K106" s="2"/>
      <c r="L106" s="2"/>
      <c r="M106" s="2"/>
      <c r="N106" s="2"/>
      <c r="O106" s="2"/>
      <c r="P106" s="2"/>
      <c r="Q106" s="2"/>
      <c r="R106" s="2"/>
      <c r="S106" s="2"/>
      <c r="T106" s="2"/>
      <c r="U106" s="2"/>
      <c r="V106" s="591"/>
      <c r="W106" s="591"/>
      <c r="X106" s="591"/>
      <c r="Y106" s="591"/>
      <c r="Z106" s="591"/>
      <c r="AA106" s="591"/>
      <c r="AB106" s="591"/>
      <c r="AC106" s="591"/>
      <c r="AG106" s="591"/>
      <c r="AH106" s="591"/>
      <c r="AI106" s="591"/>
      <c r="AJ106" s="591"/>
      <c r="AK106" s="591"/>
      <c r="AM106" s="591"/>
      <c r="AN106" s="591"/>
      <c r="AO106" s="591"/>
      <c r="AP106" s="591"/>
      <c r="AQ106" s="591"/>
      <c r="AS106" s="591"/>
      <c r="AT106" s="591"/>
      <c r="AU106" s="591"/>
      <c r="AV106" s="591"/>
      <c r="AW106" s="591"/>
      <c r="AY106" s="591"/>
    </row>
    <row r="107" spans="1:51" ht="21" customHeight="1" x14ac:dyDescent="0.2">
      <c r="A107" s="2"/>
      <c r="B107" s="2"/>
      <c r="C107" s="2"/>
      <c r="D107" s="2"/>
      <c r="E107" s="2"/>
      <c r="F107" s="278" t="s">
        <v>324</v>
      </c>
      <c r="G107" s="2"/>
      <c r="H107" s="2"/>
      <c r="I107" s="256"/>
      <c r="J107" s="256"/>
      <c r="K107" s="256"/>
      <c r="L107" s="2"/>
      <c r="M107" s="2"/>
      <c r="N107" s="2"/>
      <c r="O107" s="2"/>
      <c r="P107" s="2"/>
      <c r="Q107" s="2"/>
      <c r="R107" s="2"/>
      <c r="S107" s="2"/>
      <c r="T107" s="2"/>
      <c r="U107" s="2"/>
      <c r="V107" s="591"/>
      <c r="W107" s="591"/>
      <c r="X107" s="591"/>
      <c r="Y107" s="591"/>
      <c r="Z107" s="591"/>
      <c r="AA107" s="591"/>
      <c r="AB107" s="591"/>
      <c r="AC107" s="591"/>
      <c r="AG107" s="591"/>
      <c r="AH107" s="591"/>
      <c r="AI107" s="591"/>
      <c r="AJ107" s="591"/>
      <c r="AK107" s="591"/>
      <c r="AM107" s="591"/>
      <c r="AN107" s="591"/>
      <c r="AO107" s="591"/>
      <c r="AP107" s="591"/>
      <c r="AQ107" s="591"/>
      <c r="AS107" s="591"/>
      <c r="AT107" s="591"/>
      <c r="AU107" s="591"/>
      <c r="AV107" s="591"/>
      <c r="AW107" s="591"/>
      <c r="AY107" s="591"/>
    </row>
    <row r="108" spans="1:51" ht="18.75" customHeight="1" x14ac:dyDescent="0.2">
      <c r="A108" s="2"/>
      <c r="B108" s="2"/>
      <c r="C108" s="2"/>
      <c r="D108" s="2"/>
      <c r="E108" s="2"/>
      <c r="F108" s="763" t="s">
        <v>735</v>
      </c>
      <c r="G108" s="763"/>
      <c r="H108" s="763"/>
      <c r="I108" s="763"/>
      <c r="J108" s="2"/>
      <c r="K108" s="666">
        <f>E7</f>
        <v>0</v>
      </c>
      <c r="L108" s="2245">
        <f>K108-(SUM(G7:H7)+K7+N7)+SUMIF(G42:N42,K134,G7:N7)</f>
        <v>0</v>
      </c>
      <c r="M108" s="2246"/>
      <c r="N108" s="1045" t="s">
        <v>492</v>
      </c>
      <c r="O108" s="2"/>
      <c r="P108" s="2"/>
      <c r="Q108" s="2"/>
      <c r="R108" s="2"/>
      <c r="S108" s="2"/>
      <c r="T108" s="2"/>
      <c r="U108" s="2"/>
      <c r="V108" s="591"/>
      <c r="W108" s="591"/>
      <c r="X108" s="591"/>
      <c r="Y108" s="591"/>
      <c r="Z108" s="591"/>
      <c r="AA108" s="591"/>
      <c r="AB108" s="591"/>
      <c r="AC108" s="591"/>
      <c r="AG108" s="591"/>
      <c r="AH108" s="591"/>
      <c r="AI108" s="591"/>
      <c r="AJ108" s="591"/>
      <c r="AK108" s="591"/>
      <c r="AM108" s="591"/>
      <c r="AN108" s="591"/>
      <c r="AO108" s="591"/>
      <c r="AP108" s="591"/>
      <c r="AQ108" s="591"/>
      <c r="AS108" s="591"/>
      <c r="AT108" s="591"/>
      <c r="AU108" s="591"/>
      <c r="AV108" s="591"/>
      <c r="AW108" s="591"/>
      <c r="AY108" s="591"/>
    </row>
    <row r="109" spans="1:51" ht="18.75" customHeight="1" x14ac:dyDescent="0.2">
      <c r="A109" s="2"/>
      <c r="B109" s="2"/>
      <c r="C109" s="2"/>
      <c r="D109" s="2"/>
      <c r="E109" s="2"/>
      <c r="F109" s="764" t="s">
        <v>736</v>
      </c>
      <c r="G109" s="764"/>
      <c r="H109" s="764"/>
      <c r="I109" s="764"/>
      <c r="J109" s="2"/>
      <c r="K109" s="279">
        <f>E39</f>
        <v>0</v>
      </c>
      <c r="L109" s="2247">
        <f>K109-(SUM(G39:H39)+K39+N39)+SUMIF(G42:N42,K134,G39:N39)</f>
        <v>0</v>
      </c>
      <c r="M109" s="2248"/>
      <c r="N109" s="1046" t="s">
        <v>493</v>
      </c>
      <c r="O109" s="2"/>
      <c r="P109" s="2"/>
      <c r="Q109" s="2"/>
      <c r="R109" s="2"/>
      <c r="S109" s="2"/>
      <c r="T109" s="2"/>
      <c r="U109" s="2"/>
      <c r="V109" s="591"/>
      <c r="W109" s="591"/>
      <c r="X109" s="591"/>
      <c r="Y109" s="591"/>
      <c r="Z109" s="591"/>
      <c r="AA109" s="591"/>
      <c r="AB109" s="591"/>
      <c r="AC109" s="591"/>
      <c r="AG109" s="591"/>
      <c r="AH109" s="591"/>
      <c r="AI109" s="591"/>
      <c r="AJ109" s="591"/>
      <c r="AK109" s="591"/>
      <c r="AM109" s="591"/>
      <c r="AN109" s="591"/>
      <c r="AO109" s="591"/>
      <c r="AP109" s="591"/>
      <c r="AQ109" s="591"/>
      <c r="AS109" s="591"/>
      <c r="AT109" s="591"/>
      <c r="AU109" s="591"/>
      <c r="AV109" s="591"/>
      <c r="AW109" s="591"/>
      <c r="AY109" s="591"/>
    </row>
    <row r="110" spans="1:51" ht="19.5" customHeight="1" x14ac:dyDescent="0.25">
      <c r="A110" s="2"/>
      <c r="B110" s="2"/>
      <c r="C110" s="2"/>
      <c r="D110" s="2"/>
      <c r="E110" s="2"/>
      <c r="F110" s="661" t="s">
        <v>485</v>
      </c>
      <c r="G110" s="661"/>
      <c r="H110" s="661"/>
      <c r="I110" s="661"/>
      <c r="J110" s="2"/>
      <c r="K110" s="661"/>
      <c r="L110" s="668"/>
      <c r="M110" s="662"/>
      <c r="N110" s="2"/>
      <c r="O110" s="2"/>
      <c r="P110" s="2"/>
      <c r="Q110" s="2"/>
      <c r="R110" s="2"/>
      <c r="S110" s="2"/>
      <c r="T110" s="2"/>
      <c r="U110" s="2"/>
      <c r="V110" s="591"/>
      <c r="W110" s="591"/>
      <c r="X110" s="591"/>
      <c r="Y110" s="591"/>
      <c r="Z110" s="591"/>
      <c r="AA110" s="591"/>
      <c r="AB110" s="591"/>
      <c r="AC110" s="591"/>
      <c r="AG110" s="591"/>
      <c r="AH110" s="591"/>
      <c r="AI110" s="591"/>
      <c r="AJ110" s="591"/>
      <c r="AK110" s="591"/>
      <c r="AM110" s="591"/>
      <c r="AN110" s="591"/>
      <c r="AO110" s="591"/>
      <c r="AP110" s="591"/>
      <c r="AQ110" s="591"/>
      <c r="AS110" s="591"/>
      <c r="AT110" s="591"/>
      <c r="AU110" s="591"/>
      <c r="AV110" s="591"/>
      <c r="AW110" s="591"/>
      <c r="AY110" s="591"/>
    </row>
    <row r="111" spans="1:51" ht="19.5" customHeight="1" x14ac:dyDescent="0.2">
      <c r="A111" s="2"/>
      <c r="B111" s="2"/>
      <c r="C111" s="2"/>
      <c r="D111" s="2"/>
      <c r="E111" s="2"/>
      <c r="F111" s="663" t="s">
        <v>480</v>
      </c>
      <c r="G111" s="663"/>
      <c r="H111" s="663"/>
      <c r="I111" s="663"/>
      <c r="J111" s="2"/>
      <c r="K111" s="663"/>
      <c r="L111" s="669"/>
      <c r="M111" s="664"/>
      <c r="N111" s="2"/>
      <c r="O111" s="2"/>
      <c r="P111" s="2"/>
      <c r="Q111" s="2"/>
      <c r="R111" s="2"/>
      <c r="S111" s="2"/>
      <c r="T111" s="2"/>
      <c r="U111" s="2"/>
      <c r="V111" s="591"/>
      <c r="W111" s="591"/>
      <c r="X111" s="591"/>
      <c r="Y111" s="591"/>
      <c r="Z111" s="591"/>
      <c r="AA111" s="591"/>
      <c r="AB111" s="591"/>
      <c r="AC111" s="591"/>
      <c r="AG111" s="591"/>
      <c r="AH111" s="591"/>
      <c r="AI111" s="591"/>
      <c r="AJ111" s="591"/>
      <c r="AK111" s="591"/>
      <c r="AM111" s="591"/>
      <c r="AN111" s="591"/>
      <c r="AO111" s="591"/>
      <c r="AP111" s="591"/>
      <c r="AQ111" s="591"/>
      <c r="AS111" s="591"/>
      <c r="AT111" s="591"/>
      <c r="AU111" s="591"/>
      <c r="AV111" s="591"/>
      <c r="AW111" s="591"/>
      <c r="AY111" s="591"/>
    </row>
    <row r="112" spans="1:51" ht="21" customHeight="1" x14ac:dyDescent="0.2">
      <c r="A112" s="2"/>
      <c r="B112" s="2"/>
      <c r="C112" s="2"/>
      <c r="D112" s="2"/>
      <c r="E112" s="2"/>
      <c r="F112" s="104" t="s">
        <v>97</v>
      </c>
      <c r="G112" s="104"/>
      <c r="H112" s="104"/>
      <c r="I112" s="104"/>
      <c r="J112" s="2"/>
      <c r="K112" s="104"/>
      <c r="L112" s="484"/>
      <c r="M112" s="665"/>
      <c r="N112" s="2"/>
      <c r="O112" s="2"/>
      <c r="P112" s="2"/>
      <c r="Q112" s="2"/>
      <c r="R112" s="2"/>
      <c r="S112" s="2"/>
      <c r="T112" s="2"/>
      <c r="U112" s="2"/>
      <c r="V112" s="591"/>
      <c r="W112" s="591"/>
      <c r="X112" s="591"/>
      <c r="Y112" s="591"/>
      <c r="Z112" s="591"/>
      <c r="AA112" s="591"/>
      <c r="AB112" s="591"/>
      <c r="AC112" s="591"/>
      <c r="AG112" s="591"/>
      <c r="AH112" s="591"/>
      <c r="AI112" s="591"/>
      <c r="AJ112" s="591"/>
      <c r="AK112" s="591"/>
      <c r="AM112" s="591"/>
      <c r="AN112" s="591"/>
      <c r="AO112" s="591"/>
      <c r="AP112" s="591"/>
      <c r="AQ112" s="591"/>
      <c r="AS112" s="591"/>
      <c r="AT112" s="591"/>
      <c r="AU112" s="591"/>
      <c r="AV112" s="591"/>
      <c r="AW112" s="591"/>
      <c r="AY112" s="591"/>
    </row>
    <row r="113" spans="1:51" ht="12" customHeight="1" x14ac:dyDescent="0.2">
      <c r="A113" s="2"/>
      <c r="B113" s="2"/>
      <c r="C113" s="2"/>
      <c r="D113" s="2"/>
      <c r="E113" s="2"/>
      <c r="F113" s="2"/>
      <c r="G113" s="2"/>
      <c r="H113" s="2"/>
      <c r="I113" s="2"/>
      <c r="J113" s="2"/>
      <c r="K113" s="2"/>
      <c r="L113" s="14"/>
      <c r="M113" s="139"/>
      <c r="N113" s="2"/>
      <c r="O113" s="2"/>
      <c r="P113" s="2"/>
      <c r="Q113" s="2"/>
      <c r="R113" s="2"/>
      <c r="S113" s="2"/>
      <c r="T113" s="2"/>
      <c r="U113" s="2"/>
      <c r="V113" s="591"/>
      <c r="W113" s="591"/>
      <c r="X113" s="591"/>
      <c r="Y113" s="591"/>
      <c r="Z113" s="591"/>
      <c r="AA113" s="591"/>
      <c r="AB113" s="591"/>
      <c r="AC113" s="591"/>
      <c r="AG113" s="591"/>
      <c r="AH113" s="591"/>
      <c r="AI113" s="591"/>
      <c r="AJ113" s="591"/>
      <c r="AK113" s="591"/>
      <c r="AM113" s="591"/>
      <c r="AN113" s="591"/>
      <c r="AO113" s="591"/>
      <c r="AP113" s="591"/>
      <c r="AQ113" s="591"/>
      <c r="AS113" s="591"/>
      <c r="AT113" s="591"/>
      <c r="AU113" s="591"/>
      <c r="AV113" s="591"/>
      <c r="AW113" s="591"/>
      <c r="AY113" s="591"/>
    </row>
    <row r="114" spans="1:51" ht="15" hidden="1" customHeight="1" x14ac:dyDescent="0.2">
      <c r="A114" s="2"/>
      <c r="B114" s="2"/>
      <c r="C114" s="2"/>
      <c r="D114" s="2"/>
      <c r="E114" s="2"/>
      <c r="F114" s="2"/>
      <c r="G114" s="103">
        <f>IF(ISERROR(G$135),HLOOKUP(L$138,$J$138:$L$138,1,FALSE),HLOOKUP(G$135,$G$129:$I129,1,FALSE))</f>
        <v>3</v>
      </c>
      <c r="H114" s="103">
        <f>IF(ISERROR(H$135),HLOOKUP(K$138,$J$138:$L$138,1,FALSE),HLOOKUP(H$135,$G$129:$I129,1,FALSE))</f>
        <v>2</v>
      </c>
      <c r="I114" s="2053">
        <f>IF(ISERROR(I$135),HLOOKUP(J$138,$J$138:$L$138,1,FALSE),HLOOKUP(I$135,$G$129:$I129,1,FALSE))</f>
        <v>1</v>
      </c>
      <c r="J114" s="2053"/>
      <c r="K114" s="2"/>
      <c r="L114" s="14"/>
      <c r="M114" s="139"/>
      <c r="N114" s="2"/>
      <c r="O114" s="2"/>
      <c r="P114" s="2"/>
      <c r="Q114" s="2"/>
      <c r="R114" s="2"/>
      <c r="S114" s="2"/>
      <c r="T114" s="2"/>
      <c r="U114" s="2"/>
      <c r="V114" s="591"/>
      <c r="W114" s="591"/>
      <c r="X114" s="591"/>
      <c r="Y114" s="591"/>
      <c r="Z114" s="591"/>
      <c r="AA114" s="591"/>
      <c r="AB114" s="591"/>
      <c r="AC114" s="591"/>
      <c r="AG114" s="591"/>
      <c r="AH114" s="591"/>
      <c r="AI114" s="591"/>
      <c r="AJ114" s="591"/>
      <c r="AK114" s="591"/>
      <c r="AM114" s="591"/>
      <c r="AN114" s="591"/>
      <c r="AO114" s="591"/>
      <c r="AP114" s="591"/>
      <c r="AQ114" s="591"/>
      <c r="AS114" s="591"/>
      <c r="AT114" s="591"/>
      <c r="AU114" s="591"/>
      <c r="AV114" s="591"/>
      <c r="AW114" s="591"/>
      <c r="AY114" s="591"/>
    </row>
    <row r="115" spans="1:51" ht="21" hidden="1" customHeight="1" x14ac:dyDescent="0.2">
      <c r="A115" s="2"/>
      <c r="B115" s="2"/>
      <c r="C115" s="2"/>
      <c r="D115" s="2"/>
      <c r="E115" s="2"/>
      <c r="F115" s="2"/>
      <c r="G115" s="129">
        <f>IF(ISERROR(G$135),0,HLOOKUP(G$135,$G$129:$I130,2,FALSE))</f>
        <v>0</v>
      </c>
      <c r="H115" s="129">
        <f>IF(ISERROR(H$135),0,HLOOKUP(H$135,$G$129:$I130,2,FALSE))</f>
        <v>0</v>
      </c>
      <c r="I115" s="2244">
        <f>IF(ISERROR(I$135),0,HLOOKUP(I$135,$G$129:$I130,2,FALSE))</f>
        <v>0</v>
      </c>
      <c r="J115" s="2244"/>
      <c r="K115" s="2"/>
      <c r="L115" s="14"/>
      <c r="M115" s="139"/>
      <c r="N115" s="2"/>
      <c r="O115" s="2"/>
      <c r="P115" s="2"/>
      <c r="Q115" s="2"/>
      <c r="R115" s="2"/>
      <c r="S115" s="2"/>
      <c r="T115" s="2"/>
      <c r="U115" s="2"/>
      <c r="V115" s="591"/>
      <c r="W115" s="591"/>
      <c r="X115" s="591"/>
      <c r="Y115" s="591"/>
      <c r="Z115" s="591"/>
      <c r="AA115" s="591"/>
      <c r="AB115" s="591"/>
      <c r="AC115" s="591"/>
      <c r="AG115" s="591"/>
      <c r="AH115" s="591"/>
      <c r="AI115" s="591"/>
      <c r="AJ115" s="591"/>
      <c r="AK115" s="591"/>
      <c r="AM115" s="591"/>
      <c r="AN115" s="591"/>
      <c r="AO115" s="591"/>
      <c r="AP115" s="591"/>
      <c r="AQ115" s="591"/>
      <c r="AS115" s="591"/>
      <c r="AT115" s="591"/>
      <c r="AU115" s="591"/>
      <c r="AV115" s="591"/>
      <c r="AW115" s="591"/>
      <c r="AY115" s="591"/>
    </row>
    <row r="116" spans="1:51" ht="18" customHeight="1" x14ac:dyDescent="0.2">
      <c r="A116" s="2"/>
      <c r="B116" s="2"/>
      <c r="C116" s="2"/>
      <c r="D116" s="2"/>
      <c r="E116" s="2"/>
      <c r="F116" s="2"/>
      <c r="G116" s="280">
        <f>IF(ISERROR(G$135),HLOOKUP(L$138,$J$138:$L140,3,FALSE),HLOOKUP(G$135,$G$129:$I131,3,FALSE))</f>
        <v>0</v>
      </c>
      <c r="H116" s="280">
        <f>IF(ISERROR(H$135),HLOOKUP(K$138,$J$138:$L140,3,FALSE),HLOOKUP(H$135,$G$129:$I131,3,FALSE))</f>
        <v>0</v>
      </c>
      <c r="I116" s="2249">
        <f>IF(ISERROR(I$135),HLOOKUP(J$138,$J$138:$L140,3,FALSE),HLOOKUP(I$135,$G$129:$I131,3,FALSE))</f>
        <v>0</v>
      </c>
      <c r="J116" s="2250"/>
      <c r="K116" s="2"/>
      <c r="L116" s="14"/>
      <c r="M116" s="139"/>
      <c r="N116" s="2"/>
      <c r="O116" s="2"/>
      <c r="P116" s="2"/>
      <c r="Q116" s="2"/>
      <c r="R116" s="2"/>
      <c r="S116" s="2"/>
      <c r="T116" s="2"/>
      <c r="U116" s="2"/>
      <c r="V116" s="591"/>
      <c r="W116" s="591"/>
      <c r="X116" s="591"/>
      <c r="Y116" s="591"/>
      <c r="Z116" s="591"/>
      <c r="AA116" s="591"/>
      <c r="AB116" s="591"/>
      <c r="AC116" s="591"/>
      <c r="AG116" s="591"/>
      <c r="AH116" s="591"/>
      <c r="AI116" s="591"/>
      <c r="AJ116" s="591"/>
      <c r="AK116" s="591"/>
      <c r="AM116" s="591"/>
      <c r="AN116" s="591"/>
      <c r="AO116" s="591"/>
      <c r="AP116" s="591"/>
      <c r="AQ116" s="591"/>
      <c r="AS116" s="591"/>
      <c r="AT116" s="591"/>
      <c r="AU116" s="591"/>
      <c r="AV116" s="591"/>
      <c r="AW116" s="591"/>
      <c r="AY116" s="591"/>
    </row>
    <row r="117" spans="1:51" ht="18" customHeight="1" x14ac:dyDescent="0.2">
      <c r="A117" s="2"/>
      <c r="B117" s="2"/>
      <c r="C117" s="2"/>
      <c r="D117" s="2"/>
      <c r="E117" s="2"/>
      <c r="F117" s="2"/>
      <c r="G117" s="281">
        <f>IF(ISERROR(G$135),HLOOKUP(L$138,$J$138:$L141,4,FALSE),HLOOKUP(G$135,$G$129:$I132,4,FALSE))</f>
        <v>0</v>
      </c>
      <c r="H117" s="281">
        <f>IF(ISERROR(H$135),HLOOKUP(K$138,$J$138:$L141,4,FALSE),HLOOKUP(H$135,$G$129:$I132,4,FALSE))</f>
        <v>0</v>
      </c>
      <c r="I117" s="2251">
        <f>IF(ISERROR(I$135),HLOOKUP(J$138,$J$138:$L141,4,FALSE),HLOOKUP(I$135,$G$129:$I132,4,FALSE))</f>
        <v>0</v>
      </c>
      <c r="J117" s="2252"/>
      <c r="K117" s="2"/>
      <c r="L117" s="14"/>
      <c r="M117" s="139"/>
      <c r="N117" s="2"/>
      <c r="O117" s="2"/>
      <c r="P117" s="2"/>
      <c r="Q117" s="2"/>
      <c r="R117" s="2"/>
      <c r="S117" s="2"/>
      <c r="T117" s="2"/>
      <c r="U117" s="2"/>
      <c r="V117" s="591"/>
      <c r="W117" s="591"/>
      <c r="X117" s="591"/>
      <c r="Y117" s="591"/>
      <c r="Z117" s="591"/>
      <c r="AA117" s="591"/>
      <c r="AB117" s="591"/>
      <c r="AC117" s="591"/>
      <c r="AG117" s="591"/>
      <c r="AH117" s="591"/>
      <c r="AI117" s="591"/>
      <c r="AJ117" s="591"/>
      <c r="AK117" s="591"/>
      <c r="AM117" s="591"/>
      <c r="AN117" s="591"/>
      <c r="AO117" s="591"/>
      <c r="AP117" s="591"/>
      <c r="AQ117" s="591"/>
      <c r="AS117" s="591"/>
      <c r="AT117" s="591"/>
      <c r="AU117" s="591"/>
      <c r="AV117" s="591"/>
      <c r="AW117" s="591"/>
      <c r="AY117" s="591"/>
    </row>
    <row r="118" spans="1:51" ht="18" customHeight="1" x14ac:dyDescent="0.2">
      <c r="A118" s="2"/>
      <c r="B118" s="2"/>
      <c r="C118" s="2"/>
      <c r="D118" s="2"/>
      <c r="E118" s="2"/>
      <c r="F118" s="2"/>
      <c r="G118" s="282">
        <f>IF(ISERROR(G$135),HLOOKUP(L$138,$J$138:$L142,5,FALSE),HLOOKUP(G$135,$G$129:$I133,5,FALSE))</f>
        <v>0</v>
      </c>
      <c r="H118" s="282">
        <f>IF(ISERROR(H$135),HLOOKUP(K$138,$J$138:$L142,5,FALSE),HLOOKUP(H$135,$G$129:$I133,5,FALSE))</f>
        <v>0</v>
      </c>
      <c r="I118" s="2257">
        <f>IF(ISERROR(I$135),HLOOKUP(J$138,$J$138:$L142,5,FALSE),HLOOKUP(I$135,$G$129:$I133,5,FALSE))</f>
        <v>0</v>
      </c>
      <c r="J118" s="2258"/>
      <c r="K118" s="2"/>
      <c r="L118" s="14"/>
      <c r="M118" s="139"/>
      <c r="N118" s="2"/>
      <c r="O118" s="2"/>
      <c r="P118" s="2"/>
      <c r="Q118" s="2"/>
      <c r="R118" s="2"/>
      <c r="S118" s="2"/>
      <c r="T118" s="2"/>
      <c r="U118" s="2"/>
      <c r="V118" s="591"/>
      <c r="W118" s="591"/>
      <c r="X118" s="591"/>
      <c r="Y118" s="591"/>
      <c r="Z118" s="591"/>
      <c r="AA118" s="591"/>
      <c r="AB118" s="591"/>
      <c r="AC118" s="591"/>
      <c r="AG118" s="591"/>
      <c r="AH118" s="591"/>
      <c r="AI118" s="591"/>
      <c r="AJ118" s="591"/>
      <c r="AK118" s="591"/>
      <c r="AM118" s="591"/>
      <c r="AN118" s="591"/>
      <c r="AO118" s="591"/>
      <c r="AP118" s="591"/>
      <c r="AQ118" s="591"/>
      <c r="AS118" s="591"/>
      <c r="AT118" s="591"/>
      <c r="AU118" s="591"/>
      <c r="AV118" s="591"/>
      <c r="AW118" s="591"/>
      <c r="AY118" s="591"/>
    </row>
    <row r="119" spans="1:51" ht="21" hidden="1" customHeight="1" x14ac:dyDescent="0.2">
      <c r="A119" s="2"/>
      <c r="B119" s="2"/>
      <c r="C119" s="2"/>
      <c r="D119" s="2"/>
      <c r="E119" s="2"/>
      <c r="F119" s="2"/>
      <c r="G119" s="117" t="e">
        <f>IF(ISERROR(G$135),HLOOKUP(L$138,$J$138:$L139,2,FALSE),HLOOKUP(G$135,$G$129:$I136,8,FALSE))</f>
        <v>#N/A</v>
      </c>
      <c r="H119" s="117" t="e">
        <f>IF(ISERROR(H$135),HLOOKUP(K$138,$J$138:$L139,2,FALSE),HLOOKUP(H$135,$G$129:$I136,8,FALSE))</f>
        <v>#N/A</v>
      </c>
      <c r="I119" s="2259" t="e">
        <f>IF(ISERROR(I$135),HLOOKUP(J$138,$J$138:$L139,2,FALSE),HLOOKUP(I$135,$G$129:$I136,8,FALSE))</f>
        <v>#N/A</v>
      </c>
      <c r="J119" s="2259"/>
      <c r="K119" s="2"/>
      <c r="L119" s="14"/>
      <c r="M119" s="139"/>
      <c r="N119" s="2"/>
      <c r="O119" s="2"/>
      <c r="P119" s="2"/>
      <c r="Q119" s="2"/>
      <c r="R119" s="2"/>
      <c r="S119" s="2"/>
      <c r="T119" s="2"/>
      <c r="U119" s="2"/>
      <c r="V119" s="591"/>
      <c r="W119" s="591"/>
      <c r="X119" s="591"/>
      <c r="Y119" s="591"/>
      <c r="Z119" s="591"/>
      <c r="AA119" s="591"/>
      <c r="AB119" s="591"/>
      <c r="AC119" s="591"/>
      <c r="AG119" s="591"/>
      <c r="AH119" s="591"/>
      <c r="AI119" s="591"/>
      <c r="AJ119" s="591"/>
      <c r="AK119" s="591"/>
      <c r="AM119" s="591"/>
      <c r="AN119" s="591"/>
      <c r="AO119" s="591"/>
      <c r="AP119" s="591"/>
      <c r="AQ119" s="591"/>
      <c r="AS119" s="591"/>
      <c r="AT119" s="591"/>
      <c r="AU119" s="591"/>
      <c r="AV119" s="591"/>
      <c r="AW119" s="591"/>
      <c r="AY119" s="591"/>
    </row>
    <row r="120" spans="1:51" ht="4.5" customHeight="1" x14ac:dyDescent="0.2">
      <c r="A120" s="2"/>
      <c r="B120" s="2"/>
      <c r="C120" s="2"/>
      <c r="D120" s="2"/>
      <c r="E120" s="2"/>
      <c r="F120" s="2"/>
      <c r="G120" s="14"/>
      <c r="H120" s="14"/>
      <c r="I120" s="2202"/>
      <c r="J120" s="2202"/>
      <c r="K120" s="2"/>
      <c r="L120" s="14"/>
      <c r="M120" s="139"/>
      <c r="N120" s="2"/>
      <c r="O120" s="2"/>
      <c r="P120" s="2"/>
      <c r="Q120" s="2"/>
      <c r="R120" s="2"/>
      <c r="S120" s="2"/>
      <c r="T120" s="2"/>
      <c r="U120" s="2"/>
      <c r="V120" s="591"/>
      <c r="W120" s="591"/>
      <c r="X120" s="591"/>
      <c r="Y120" s="591"/>
      <c r="Z120" s="591"/>
      <c r="AA120" s="591"/>
      <c r="AB120" s="591"/>
      <c r="AC120" s="591"/>
      <c r="AG120" s="591"/>
      <c r="AH120" s="591"/>
      <c r="AI120" s="591"/>
      <c r="AJ120" s="591"/>
      <c r="AK120" s="591"/>
      <c r="AM120" s="591"/>
      <c r="AN120" s="591"/>
      <c r="AO120" s="591"/>
      <c r="AP120" s="591"/>
      <c r="AQ120" s="591"/>
      <c r="AS120" s="591"/>
      <c r="AT120" s="591"/>
      <c r="AU120" s="591"/>
      <c r="AV120" s="591"/>
      <c r="AW120" s="591"/>
      <c r="AY120" s="591"/>
    </row>
    <row r="121" spans="1:51" ht="18" customHeight="1" x14ac:dyDescent="0.25">
      <c r="A121" s="2"/>
      <c r="B121" s="2"/>
      <c r="C121" s="2"/>
      <c r="D121" s="2"/>
      <c r="E121" s="2"/>
      <c r="F121" s="283" t="s">
        <v>483</v>
      </c>
      <c r="G121" s="285">
        <f>IMPOSTAZIONI!AL291</f>
        <v>0</v>
      </c>
      <c r="H121" s="285">
        <f>IMPOSTAZIONI!AL292</f>
        <v>0</v>
      </c>
      <c r="I121" s="2253">
        <f>IMPOSTAZIONI!AL293</f>
        <v>0</v>
      </c>
      <c r="J121" s="2254"/>
      <c r="K121" s="667">
        <f>SUM(G121:I121)</f>
        <v>0</v>
      </c>
      <c r="L121" s="14"/>
      <c r="M121" s="139"/>
      <c r="N121" s="2"/>
      <c r="O121" s="2"/>
      <c r="P121" s="2"/>
      <c r="Q121" s="2"/>
      <c r="R121" s="2"/>
      <c r="S121" s="2"/>
      <c r="T121" s="2"/>
      <c r="U121" s="2"/>
      <c r="V121" s="591"/>
      <c r="W121" s="591"/>
      <c r="X121" s="591"/>
      <c r="Y121" s="591"/>
      <c r="Z121" s="591"/>
      <c r="AA121" s="591"/>
      <c r="AB121" s="591"/>
      <c r="AC121" s="591"/>
      <c r="AG121" s="591"/>
      <c r="AH121" s="591"/>
      <c r="AI121" s="591"/>
      <c r="AJ121" s="591"/>
      <c r="AK121" s="591"/>
      <c r="AM121" s="591"/>
      <c r="AN121" s="591"/>
      <c r="AO121" s="591"/>
      <c r="AP121" s="591"/>
      <c r="AQ121" s="591"/>
      <c r="AS121" s="591"/>
      <c r="AT121" s="591"/>
      <c r="AU121" s="591"/>
      <c r="AV121" s="591"/>
      <c r="AW121" s="591"/>
      <c r="AY121" s="591"/>
    </row>
    <row r="122" spans="1:51" ht="18" customHeight="1" x14ac:dyDescent="0.2">
      <c r="A122" s="2"/>
      <c r="B122" s="2"/>
      <c r="C122" s="2"/>
      <c r="D122" s="2"/>
      <c r="E122" s="2"/>
      <c r="F122" s="284" t="s">
        <v>484</v>
      </c>
      <c r="G122" s="286">
        <f>IMPOSTAZIONI!AQ291</f>
        <v>0</v>
      </c>
      <c r="H122" s="286">
        <f>IMPOSTAZIONI!AQ292</f>
        <v>0</v>
      </c>
      <c r="I122" s="2255">
        <f>IMPOSTAZIONI!AQ293</f>
        <v>0</v>
      </c>
      <c r="J122" s="2256"/>
      <c r="K122" s="310">
        <f>SUM(G122:I122)</f>
        <v>0</v>
      </c>
      <c r="L122" s="287"/>
      <c r="M122" s="311"/>
      <c r="N122" s="2"/>
      <c r="O122" s="2"/>
      <c r="P122" s="2"/>
      <c r="Q122" s="2"/>
      <c r="R122" s="2"/>
      <c r="S122" s="2"/>
      <c r="T122" s="2"/>
      <c r="U122" s="2"/>
      <c r="V122" s="591"/>
      <c r="W122" s="591"/>
      <c r="X122" s="591"/>
      <c r="Y122" s="591"/>
      <c r="Z122" s="591"/>
      <c r="AA122" s="591"/>
      <c r="AB122" s="591"/>
      <c r="AC122" s="591"/>
      <c r="AG122" s="591"/>
      <c r="AH122" s="591"/>
      <c r="AI122" s="591"/>
      <c r="AJ122" s="591"/>
      <c r="AK122" s="591"/>
      <c r="AM122" s="591"/>
      <c r="AN122" s="591"/>
      <c r="AO122" s="591"/>
      <c r="AP122" s="591"/>
      <c r="AQ122" s="591"/>
      <c r="AS122" s="591"/>
      <c r="AT122" s="591"/>
      <c r="AU122" s="591"/>
      <c r="AV122" s="591"/>
      <c r="AW122" s="591"/>
      <c r="AY122" s="591"/>
    </row>
    <row r="123" spans="1:51" ht="21" customHeight="1" x14ac:dyDescent="0.2">
      <c r="A123" s="2"/>
      <c r="B123" s="2"/>
      <c r="C123" s="2"/>
      <c r="D123" s="2"/>
      <c r="E123" s="2"/>
      <c r="F123" s="2"/>
      <c r="G123" s="2"/>
      <c r="H123" s="2"/>
      <c r="I123" s="2"/>
      <c r="J123" s="2"/>
      <c r="K123" s="2"/>
      <c r="L123" s="2"/>
      <c r="M123" s="2"/>
      <c r="N123" s="2"/>
      <c r="O123" s="2"/>
      <c r="P123" s="2"/>
      <c r="Q123" s="2"/>
      <c r="R123" s="2"/>
      <c r="S123" s="2"/>
      <c r="T123" s="2"/>
      <c r="U123" s="2"/>
      <c r="V123" s="591"/>
      <c r="W123" s="591"/>
      <c r="X123" s="591"/>
      <c r="Y123" s="591"/>
      <c r="Z123" s="591"/>
      <c r="AA123" s="591"/>
      <c r="AB123" s="591"/>
      <c r="AC123" s="591"/>
      <c r="AG123" s="591"/>
      <c r="AH123" s="591"/>
      <c r="AI123" s="591"/>
      <c r="AJ123" s="591"/>
      <c r="AK123" s="591"/>
      <c r="AM123" s="591"/>
      <c r="AN123" s="591"/>
      <c r="AO123" s="591"/>
      <c r="AP123" s="591"/>
      <c r="AQ123" s="591"/>
      <c r="AS123" s="591"/>
      <c r="AT123" s="591"/>
      <c r="AU123" s="591"/>
      <c r="AV123" s="591"/>
      <c r="AW123" s="591"/>
      <c r="AY123" s="591"/>
    </row>
    <row r="124" spans="1:51" ht="21" customHeight="1" x14ac:dyDescent="0.2">
      <c r="A124" s="2"/>
      <c r="B124" s="2"/>
      <c r="C124" s="287"/>
      <c r="D124" s="287"/>
      <c r="E124" s="287"/>
      <c r="F124" s="287"/>
      <c r="G124" s="287"/>
      <c r="H124" s="287"/>
      <c r="I124" s="287"/>
      <c r="J124" s="287"/>
      <c r="K124" s="287"/>
      <c r="L124" s="287"/>
      <c r="M124" s="287"/>
      <c r="N124" s="287"/>
      <c r="O124" s="287"/>
      <c r="P124" s="2"/>
      <c r="Q124" s="2"/>
      <c r="R124" s="2"/>
      <c r="S124" s="2"/>
      <c r="T124" s="2"/>
      <c r="U124" s="2"/>
      <c r="V124" s="591"/>
      <c r="W124" s="591"/>
      <c r="X124" s="591"/>
      <c r="Y124" s="591"/>
      <c r="Z124" s="591"/>
      <c r="AA124" s="591"/>
      <c r="AB124" s="591"/>
      <c r="AC124" s="591"/>
      <c r="AG124" s="591"/>
      <c r="AH124" s="591"/>
      <c r="AI124" s="591"/>
      <c r="AJ124" s="591"/>
      <c r="AK124" s="591"/>
      <c r="AM124" s="591"/>
      <c r="AN124" s="591"/>
      <c r="AO124" s="591"/>
      <c r="AP124" s="591"/>
      <c r="AQ124" s="591"/>
      <c r="AS124" s="591"/>
      <c r="AT124" s="591"/>
      <c r="AU124" s="591"/>
      <c r="AV124" s="591"/>
      <c r="AW124" s="591"/>
      <c r="AY124" s="591"/>
    </row>
    <row r="125" spans="1:51" ht="13.5" hidden="1" customHeight="1" x14ac:dyDescent="0.2">
      <c r="A125" s="2"/>
      <c r="B125" s="2"/>
      <c r="C125" s="2"/>
      <c r="D125" s="2"/>
      <c r="E125" s="2"/>
      <c r="F125" s="2"/>
      <c r="G125" s="2"/>
      <c r="H125" s="2"/>
      <c r="I125" s="2"/>
      <c r="J125" s="2"/>
      <c r="K125" s="2"/>
      <c r="L125" s="2"/>
      <c r="M125" s="2"/>
      <c r="N125" s="2"/>
      <c r="O125" s="2"/>
      <c r="P125" s="2"/>
      <c r="Q125" s="2"/>
      <c r="R125" s="2"/>
      <c r="S125" s="2"/>
      <c r="T125" s="2"/>
      <c r="U125" s="2"/>
      <c r="V125" s="591"/>
      <c r="W125" s="591"/>
      <c r="X125" s="591"/>
      <c r="Y125" s="591"/>
      <c r="Z125" s="591"/>
      <c r="AA125" s="591"/>
      <c r="AB125" s="591"/>
      <c r="AC125" s="591"/>
      <c r="AG125" s="591"/>
      <c r="AH125" s="591"/>
      <c r="AI125" s="591"/>
      <c r="AJ125" s="591"/>
      <c r="AK125" s="591"/>
      <c r="AM125" s="591"/>
      <c r="AN125" s="591"/>
      <c r="AO125" s="591"/>
      <c r="AP125" s="591"/>
      <c r="AQ125" s="591"/>
      <c r="AS125" s="591"/>
      <c r="AT125" s="591"/>
      <c r="AU125" s="591"/>
      <c r="AV125" s="591"/>
      <c r="AW125" s="591"/>
      <c r="AY125" s="591"/>
    </row>
    <row r="126" spans="1:51" ht="18.75" customHeight="1" x14ac:dyDescent="0.2">
      <c r="A126" s="2"/>
      <c r="B126" s="2"/>
      <c r="C126" s="2083" t="str">
        <f ca="1">Presentazione!D70</f>
        <v>Questo file risulta al momento completamente funzionante ed il sistema rileva tutti i suoi fogli.</v>
      </c>
      <c r="D126" s="2083"/>
      <c r="E126" s="2083"/>
      <c r="F126" s="2083"/>
      <c r="G126" s="2083"/>
      <c r="H126" s="2083"/>
      <c r="I126" s="2083"/>
      <c r="J126" s="2083"/>
      <c r="K126" s="2083"/>
      <c r="L126" s="2083"/>
      <c r="M126" s="2083"/>
      <c r="N126" s="553"/>
      <c r="O126" s="553"/>
      <c r="P126" s="553"/>
      <c r="Q126" s="2"/>
      <c r="R126" s="2"/>
      <c r="S126" s="2"/>
      <c r="T126" s="2"/>
      <c r="U126" s="2"/>
      <c r="V126" s="591"/>
      <c r="W126" s="591"/>
      <c r="X126" s="591"/>
      <c r="Y126" s="591"/>
      <c r="Z126" s="591"/>
      <c r="AA126" s="591"/>
      <c r="AB126" s="591"/>
      <c r="AC126" s="591"/>
      <c r="AG126" s="591"/>
      <c r="AH126" s="591"/>
      <c r="AI126" s="591"/>
      <c r="AJ126" s="591"/>
      <c r="AK126" s="591"/>
      <c r="AM126" s="591"/>
      <c r="AN126" s="591"/>
      <c r="AO126" s="591"/>
      <c r="AP126" s="591"/>
      <c r="AQ126" s="591"/>
      <c r="AS126" s="591"/>
      <c r="AT126" s="591"/>
      <c r="AU126" s="591"/>
      <c r="AV126" s="591"/>
      <c r="AW126" s="591"/>
      <c r="AY126" s="591"/>
    </row>
    <row r="127" spans="1:51" ht="33" customHeight="1" x14ac:dyDescent="0.25">
      <c r="A127" s="2"/>
      <c r="B127" s="2"/>
      <c r="C127" s="930" t="s">
        <v>716</v>
      </c>
      <c r="D127" s="930"/>
      <c r="E127" s="930"/>
      <c r="F127" s="930"/>
      <c r="G127" s="930"/>
      <c r="H127" s="2"/>
      <c r="I127" s="2"/>
      <c r="J127" s="2"/>
      <c r="K127" s="2"/>
      <c r="L127" s="2"/>
      <c r="M127" s="908" t="s">
        <v>581</v>
      </c>
      <c r="N127" s="2"/>
      <c r="O127" s="2"/>
      <c r="P127" s="2"/>
      <c r="Q127" s="2"/>
      <c r="R127" s="2"/>
      <c r="S127" s="2"/>
      <c r="T127" s="2"/>
      <c r="U127" s="2"/>
      <c r="V127" s="591"/>
      <c r="W127" s="591"/>
      <c r="X127" s="591"/>
      <c r="Y127" s="591"/>
      <c r="Z127" s="591"/>
      <c r="AA127" s="591"/>
      <c r="AB127" s="591"/>
      <c r="AC127" s="591"/>
      <c r="AG127" s="591"/>
      <c r="AH127" s="591"/>
      <c r="AI127" s="591"/>
      <c r="AJ127" s="591"/>
      <c r="AK127" s="591"/>
      <c r="AM127" s="591"/>
      <c r="AN127" s="591"/>
      <c r="AO127" s="591"/>
      <c r="AP127" s="591"/>
      <c r="AQ127" s="591"/>
      <c r="AS127" s="591"/>
      <c r="AT127" s="591"/>
      <c r="AU127" s="591"/>
      <c r="AV127" s="591"/>
      <c r="AW127" s="591"/>
      <c r="AY127" s="591"/>
    </row>
    <row r="128" spans="1:51" ht="21" hidden="1" customHeight="1" x14ac:dyDescent="0.2">
      <c r="A128" s="2"/>
      <c r="B128" s="2"/>
      <c r="C128" s="2"/>
      <c r="D128" s="2"/>
      <c r="E128" s="2"/>
      <c r="F128" s="2"/>
      <c r="G128" s="2"/>
      <c r="H128" s="2"/>
      <c r="I128" s="2"/>
      <c r="J128" s="2"/>
      <c r="K128" s="2"/>
      <c r="L128" s="2"/>
      <c r="M128" s="2"/>
      <c r="N128" s="2"/>
      <c r="O128" s="2"/>
      <c r="P128" s="2"/>
      <c r="Q128" s="2"/>
      <c r="R128" s="2"/>
      <c r="S128" s="2"/>
      <c r="T128" s="2"/>
      <c r="U128" s="2"/>
      <c r="V128" s="591"/>
      <c r="W128" s="591"/>
      <c r="X128" s="591"/>
      <c r="Y128" s="591"/>
      <c r="Z128" s="591"/>
      <c r="AA128" s="591"/>
      <c r="AB128" s="591"/>
      <c r="AC128" s="591"/>
      <c r="AG128" s="591"/>
      <c r="AH128" s="591"/>
      <c r="AI128" s="591"/>
      <c r="AJ128" s="591"/>
      <c r="AK128" s="591"/>
      <c r="AM128" s="591"/>
      <c r="AN128" s="591"/>
      <c r="AO128" s="591"/>
      <c r="AP128" s="591"/>
      <c r="AQ128" s="591"/>
      <c r="AS128" s="591"/>
      <c r="AT128" s="591"/>
      <c r="AU128" s="591"/>
      <c r="AV128" s="591"/>
      <c r="AW128" s="591"/>
      <c r="AY128" s="591"/>
    </row>
    <row r="129" spans="1:51" ht="15.75" hidden="1" customHeight="1" x14ac:dyDescent="0.2">
      <c r="A129" s="2"/>
      <c r="B129" s="2"/>
      <c r="C129" s="2"/>
      <c r="D129" s="2"/>
      <c r="E129" s="2"/>
      <c r="F129" s="2"/>
      <c r="G129" s="257">
        <v>1</v>
      </c>
      <c r="H129" s="257">
        <v>2</v>
      </c>
      <c r="I129" s="257">
        <v>3</v>
      </c>
      <c r="J129" s="2"/>
      <c r="K129" s="2"/>
      <c r="L129" s="2"/>
      <c r="M129" s="2"/>
      <c r="N129" s="2"/>
      <c r="O129" s="2"/>
      <c r="P129" s="2"/>
      <c r="Q129" s="2"/>
      <c r="R129" s="2"/>
      <c r="S129" s="2"/>
      <c r="T129" s="2"/>
      <c r="U129" s="2"/>
      <c r="V129" s="591"/>
      <c r="W129" s="591"/>
      <c r="X129" s="591"/>
      <c r="Y129" s="591"/>
      <c r="Z129" s="591"/>
      <c r="AA129" s="591"/>
      <c r="AB129" s="591"/>
      <c r="AC129" s="591"/>
      <c r="AG129" s="591"/>
      <c r="AH129" s="591"/>
      <c r="AI129" s="591"/>
      <c r="AJ129" s="591"/>
      <c r="AK129" s="591"/>
      <c r="AM129" s="591"/>
      <c r="AN129" s="591"/>
      <c r="AO129" s="591"/>
      <c r="AP129" s="591"/>
      <c r="AQ129" s="591"/>
      <c r="AS129" s="591"/>
      <c r="AT129" s="591"/>
      <c r="AU129" s="591"/>
      <c r="AV129" s="591"/>
      <c r="AW129" s="591"/>
      <c r="AY129" s="591"/>
    </row>
    <row r="130" spans="1:51" ht="15.75" hidden="1" customHeight="1" x14ac:dyDescent="0.2">
      <c r="A130" s="2"/>
      <c r="B130" s="2"/>
      <c r="C130" s="2"/>
      <c r="D130" s="2"/>
      <c r="E130" s="2"/>
      <c r="F130" s="2"/>
      <c r="G130" s="263">
        <f>IF(E$131=1,IMPOSTAZIONI!J94,0)</f>
        <v>0</v>
      </c>
      <c r="H130" s="263">
        <f>IF(E$132=1,IMPOSTAZIONI!J102,0)</f>
        <v>0</v>
      </c>
      <c r="I130" s="263">
        <f>IF(E$133=1,IMPOSTAZIONI!J110,0)</f>
        <v>0</v>
      </c>
      <c r="J130" s="2"/>
      <c r="K130" s="263" t="str">
        <f>IMPOSTAZIONI!C154</f>
        <v>Note</v>
      </c>
      <c r="L130" s="2"/>
      <c r="M130" s="2"/>
      <c r="N130" s="2"/>
      <c r="O130" s="2"/>
      <c r="P130" s="2"/>
      <c r="Q130" s="2"/>
      <c r="R130" s="2"/>
      <c r="S130" s="2"/>
      <c r="T130" s="2"/>
      <c r="U130" s="2"/>
      <c r="V130" s="591"/>
      <c r="W130" s="591"/>
      <c r="X130" s="591"/>
      <c r="Y130" s="591"/>
      <c r="Z130" s="591"/>
      <c r="AA130" s="591"/>
      <c r="AB130" s="591"/>
      <c r="AC130" s="591"/>
      <c r="AG130" s="591"/>
      <c r="AH130" s="591"/>
      <c r="AI130" s="591"/>
      <c r="AJ130" s="591"/>
      <c r="AK130" s="591"/>
      <c r="AM130" s="591"/>
      <c r="AN130" s="591"/>
      <c r="AO130" s="591"/>
      <c r="AP130" s="591"/>
      <c r="AQ130" s="591"/>
      <c r="AS130" s="591"/>
      <c r="AT130" s="591"/>
      <c r="AU130" s="591"/>
      <c r="AV130" s="591"/>
      <c r="AW130" s="591"/>
      <c r="AY130" s="591"/>
    </row>
    <row r="131" spans="1:51" ht="15.75" hidden="1" customHeight="1" x14ac:dyDescent="0.2">
      <c r="A131" s="2"/>
      <c r="B131" s="2"/>
      <c r="C131" s="2"/>
      <c r="D131" s="2"/>
      <c r="E131" s="263">
        <f>IF(IMPOSTAZIONI!Y184=0,1,0)</f>
        <v>0</v>
      </c>
      <c r="F131" s="2"/>
      <c r="G131" s="267">
        <f>IF(E$131=1,IMPOSTAZIONI!J96,0)</f>
        <v>0</v>
      </c>
      <c r="H131" s="268">
        <f>IF(E$132=1,IMPOSTAZIONI!J104,0)</f>
        <v>0</v>
      </c>
      <c r="I131" s="269">
        <f>IF(E$133=1,IMPOSTAZIONI!J112,0)</f>
        <v>0</v>
      </c>
      <c r="J131" s="2"/>
      <c r="K131" s="2"/>
      <c r="L131" s="925" t="str">
        <f>Presentazione!$K$150</f>
        <v>attiva trim.</v>
      </c>
      <c r="M131" s="2"/>
      <c r="N131" s="2"/>
      <c r="O131" s="2"/>
      <c r="P131" s="2"/>
      <c r="Q131" s="2"/>
      <c r="R131" s="2"/>
      <c r="S131" s="2"/>
      <c r="T131" s="2"/>
      <c r="U131" s="2"/>
      <c r="V131" s="591"/>
      <c r="W131" s="591"/>
      <c r="X131" s="591"/>
      <c r="Y131" s="591"/>
      <c r="Z131" s="591"/>
      <c r="AA131" s="591"/>
      <c r="AB131" s="591"/>
      <c r="AC131" s="591"/>
      <c r="AG131" s="591"/>
      <c r="AH131" s="591"/>
      <c r="AI131" s="591"/>
      <c r="AJ131" s="591"/>
      <c r="AK131" s="591"/>
      <c r="AM131" s="591"/>
      <c r="AN131" s="591"/>
      <c r="AO131" s="591"/>
      <c r="AP131" s="591"/>
      <c r="AQ131" s="591"/>
      <c r="AS131" s="591"/>
      <c r="AT131" s="591"/>
      <c r="AU131" s="591"/>
      <c r="AV131" s="591"/>
      <c r="AW131" s="591"/>
      <c r="AY131" s="591"/>
    </row>
    <row r="132" spans="1:51" ht="15.75" hidden="1" customHeight="1" x14ac:dyDescent="0.2">
      <c r="A132" s="2"/>
      <c r="B132" s="2"/>
      <c r="C132" s="2"/>
      <c r="D132" s="2"/>
      <c r="E132" s="263">
        <f>IF(IMPOSTAZIONI!Y185=0,1,0)</f>
        <v>0</v>
      </c>
      <c r="F132" s="2"/>
      <c r="G132" s="264">
        <f>IF(E$131=1,IMPOSTAZIONI!J97,0)</f>
        <v>0</v>
      </c>
      <c r="H132" s="266">
        <f>IF(E$132=1,IMPOSTAZIONI!J105,0)</f>
        <v>0</v>
      </c>
      <c r="I132" s="265">
        <f>IF(E$133=1,IMPOSTAZIONI!J113,0)</f>
        <v>0</v>
      </c>
      <c r="J132" s="2"/>
      <c r="K132" s="263" t="s">
        <v>356</v>
      </c>
      <c r="L132" s="2"/>
      <c r="M132" s="2"/>
      <c r="N132" s="2"/>
      <c r="O132" s="2"/>
      <c r="P132" s="2"/>
      <c r="Q132" s="2"/>
      <c r="R132" s="2"/>
      <c r="S132" s="2"/>
      <c r="T132" s="2"/>
      <c r="U132" s="2"/>
      <c r="V132" s="591"/>
      <c r="W132" s="591"/>
      <c r="X132" s="591"/>
      <c r="Y132" s="591"/>
      <c r="Z132" s="591"/>
      <c r="AA132" s="591"/>
      <c r="AB132" s="591"/>
      <c r="AC132" s="591"/>
      <c r="AG132" s="591"/>
      <c r="AH132" s="591"/>
      <c r="AI132" s="591"/>
      <c r="AJ132" s="591"/>
      <c r="AK132" s="591"/>
      <c r="AM132" s="591"/>
      <c r="AN132" s="591"/>
      <c r="AO132" s="591"/>
      <c r="AP132" s="591"/>
      <c r="AQ132" s="591"/>
      <c r="AS132" s="591"/>
      <c r="AT132" s="591"/>
      <c r="AU132" s="591"/>
      <c r="AV132" s="591"/>
      <c r="AW132" s="591"/>
      <c r="AY132" s="591"/>
    </row>
    <row r="133" spans="1:51" ht="15.75" hidden="1" customHeight="1" x14ac:dyDescent="0.2">
      <c r="A133" s="2"/>
      <c r="B133" s="2"/>
      <c r="C133" s="2"/>
      <c r="D133" s="2"/>
      <c r="E133" s="263">
        <f>IF(IMPOSTAZIONI!Y186=0,1,0)</f>
        <v>0</v>
      </c>
      <c r="F133" s="2"/>
      <c r="G133" s="270">
        <f>IF(E$131=1,IMPOSTAZIONI!J98,0)</f>
        <v>0</v>
      </c>
      <c r="H133" s="271">
        <f>IF(E$132=1,IMPOSTAZIONI!J106,0)</f>
        <v>0</v>
      </c>
      <c r="I133" s="272">
        <f>IF(E$133=1,IMPOSTAZIONI!J114,0)</f>
        <v>0</v>
      </c>
      <c r="J133" s="2"/>
      <c r="K133" s="2"/>
      <c r="L133" s="2"/>
      <c r="M133" s="2"/>
      <c r="N133" s="2"/>
      <c r="O133" s="2"/>
      <c r="P133" s="2"/>
      <c r="Q133" s="2"/>
      <c r="R133" s="2"/>
      <c r="S133" s="2"/>
      <c r="T133" s="2"/>
      <c r="U133" s="2"/>
      <c r="V133" s="591"/>
      <c r="W133" s="591"/>
      <c r="X133" s="591"/>
      <c r="Y133" s="591"/>
      <c r="Z133" s="591"/>
      <c r="AA133" s="591"/>
      <c r="AB133" s="591"/>
      <c r="AC133" s="591"/>
      <c r="AG133" s="591"/>
      <c r="AH133" s="591"/>
      <c r="AI133" s="591"/>
      <c r="AJ133" s="591"/>
      <c r="AK133" s="591"/>
      <c r="AM133" s="591"/>
      <c r="AN133" s="591"/>
      <c r="AO133" s="591"/>
      <c r="AP133" s="591"/>
      <c r="AQ133" s="591"/>
      <c r="AS133" s="591"/>
      <c r="AT133" s="591"/>
      <c r="AU133" s="591"/>
      <c r="AV133" s="591"/>
      <c r="AW133" s="591"/>
      <c r="AY133" s="591"/>
    </row>
    <row r="134" spans="1:51" ht="15.75" hidden="1" customHeight="1" x14ac:dyDescent="0.2">
      <c r="A134" s="2"/>
      <c r="B134" s="2"/>
      <c r="C134" s="2"/>
      <c r="D134" s="2"/>
      <c r="E134" s="129"/>
      <c r="F134" s="2"/>
      <c r="G134" s="108">
        <f>IF(G130=0,0,G129)</f>
        <v>0</v>
      </c>
      <c r="H134" s="108">
        <f>IF(H130=0,0,H129)</f>
        <v>0</v>
      </c>
      <c r="I134" s="108">
        <f>IF(I130=0,0,I129)</f>
        <v>0</v>
      </c>
      <c r="J134" s="2"/>
      <c r="K134" s="263" t="str">
        <f>IMPOSTAZIONI!C146</f>
        <v>ESCLUDI</v>
      </c>
      <c r="L134" s="263" t="str">
        <f>IMPOSTAZIONI!H146</f>
        <v>VENTILAZIONE</v>
      </c>
      <c r="M134" s="306" t="s">
        <v>745</v>
      </c>
      <c r="N134" s="2"/>
      <c r="O134" s="2"/>
      <c r="P134" s="2"/>
      <c r="Q134" s="2"/>
      <c r="R134" s="2"/>
      <c r="S134" s="2"/>
      <c r="T134" s="2"/>
      <c r="U134" s="2"/>
      <c r="V134" s="591"/>
      <c r="W134" s="591"/>
      <c r="X134" s="591"/>
      <c r="Y134" s="591"/>
      <c r="Z134" s="591"/>
      <c r="AA134" s="591"/>
      <c r="AB134" s="591"/>
      <c r="AC134" s="591"/>
      <c r="AG134" s="591"/>
      <c r="AH134" s="591"/>
      <c r="AI134" s="591"/>
      <c r="AJ134" s="591"/>
      <c r="AK134" s="591"/>
      <c r="AM134" s="591"/>
      <c r="AN134" s="591"/>
      <c r="AO134" s="591"/>
      <c r="AP134" s="591"/>
      <c r="AQ134" s="591"/>
      <c r="AS134" s="591"/>
      <c r="AT134" s="591"/>
      <c r="AU134" s="591"/>
      <c r="AV134" s="591"/>
      <c r="AW134" s="591"/>
      <c r="AY134" s="591"/>
    </row>
    <row r="135" spans="1:51" ht="15.75" hidden="1" customHeight="1" x14ac:dyDescent="0.2">
      <c r="A135" s="2"/>
      <c r="B135" s="2"/>
      <c r="C135" s="2"/>
      <c r="D135" s="2"/>
      <c r="E135" s="274">
        <f>COUNTIF(G134:I134,0)</f>
        <v>3</v>
      </c>
      <c r="F135" s="2"/>
      <c r="G135" s="273" t="e">
        <f>SMALL($G134:$I134,$E135+1)</f>
        <v>#NUM!</v>
      </c>
      <c r="H135" s="273" t="e">
        <f>SMALL($G134:$I134,$E135+2)</f>
        <v>#NUM!</v>
      </c>
      <c r="I135" s="273" t="e">
        <f>SMALL($G134:$I134,$E135+3)</f>
        <v>#NUM!</v>
      </c>
      <c r="J135" s="2"/>
      <c r="K135" s="2"/>
      <c r="L135" s="263" t="str">
        <f>IMPOSTAZIONI!H148</f>
        <v>SCORPORO</v>
      </c>
      <c r="M135" s="306" t="s">
        <v>742</v>
      </c>
      <c r="N135" s="2"/>
      <c r="O135" s="2"/>
      <c r="P135" s="2"/>
      <c r="Q135" s="2"/>
      <c r="R135" s="2"/>
      <c r="S135" s="2"/>
      <c r="T135" s="2"/>
      <c r="U135" s="2"/>
      <c r="V135" s="591"/>
      <c r="W135" s="591"/>
      <c r="X135" s="591"/>
      <c r="Y135" s="591"/>
      <c r="Z135" s="591"/>
      <c r="AA135" s="591"/>
      <c r="AB135" s="591"/>
      <c r="AC135" s="591"/>
      <c r="AG135" s="591"/>
      <c r="AH135" s="591"/>
      <c r="AI135" s="591"/>
      <c r="AJ135" s="591"/>
      <c r="AK135" s="591"/>
      <c r="AM135" s="591"/>
      <c r="AN135" s="591"/>
      <c r="AO135" s="591"/>
      <c r="AP135" s="591"/>
      <c r="AQ135" s="591"/>
      <c r="AS135" s="591"/>
      <c r="AT135" s="591"/>
      <c r="AU135" s="591"/>
      <c r="AV135" s="591"/>
      <c r="AW135" s="591"/>
      <c r="AY135" s="591"/>
    </row>
    <row r="136" spans="1:51" ht="15.75" hidden="1" customHeight="1" x14ac:dyDescent="0.2">
      <c r="A136" s="2"/>
      <c r="B136" s="2"/>
      <c r="C136" s="2"/>
      <c r="D136" s="2"/>
      <c r="E136" s="274"/>
      <c r="F136" s="2"/>
      <c r="G136" s="275">
        <f>IF(E$131=1,CONCATENATE(IMPOSTAZIONI!I96,"-",IMPOSTAZIONI!I97,"-",IMPOSTAZIONI!I98),0)</f>
        <v>0</v>
      </c>
      <c r="H136" s="276">
        <f>IF(E$132=1,CONCATENATE(IMPOSTAZIONI!I104,"-",IMPOSTAZIONI!I105,"-",IMPOSTAZIONI!I106),0)</f>
        <v>0</v>
      </c>
      <c r="I136" s="277">
        <f>IF(E$133=1,CONCATENATE(IMPOSTAZIONI!I112,"-",IMPOSTAZIONI!I113,"-",IMPOSTAZIONI!I114),0)</f>
        <v>0</v>
      </c>
      <c r="J136" s="2"/>
      <c r="K136" s="2"/>
      <c r="L136" s="2"/>
      <c r="M136" s="2"/>
      <c r="N136" s="2"/>
      <c r="O136" s="2"/>
      <c r="P136" s="2"/>
      <c r="Q136" s="2"/>
      <c r="R136" s="2"/>
      <c r="S136" s="2"/>
      <c r="T136" s="2"/>
      <c r="U136" s="2"/>
      <c r="V136" s="591"/>
      <c r="W136" s="591"/>
      <c r="X136" s="591"/>
      <c r="Y136" s="591"/>
      <c r="Z136" s="591"/>
      <c r="AA136" s="591"/>
      <c r="AB136" s="591"/>
      <c r="AC136" s="591"/>
      <c r="AG136" s="591"/>
      <c r="AH136" s="591"/>
      <c r="AI136" s="591"/>
      <c r="AJ136" s="591"/>
      <c r="AK136" s="591"/>
      <c r="AM136" s="591"/>
      <c r="AN136" s="591"/>
      <c r="AO136" s="591"/>
      <c r="AP136" s="591"/>
      <c r="AQ136" s="591"/>
      <c r="AS136" s="591"/>
      <c r="AT136" s="591"/>
      <c r="AU136" s="591"/>
      <c r="AV136" s="591"/>
      <c r="AW136" s="591"/>
      <c r="AY136" s="591"/>
    </row>
    <row r="137" spans="1:51" ht="15.75" hidden="1" customHeight="1" x14ac:dyDescent="0.2">
      <c r="A137" s="2"/>
      <c r="B137" s="2"/>
      <c r="C137" s="2"/>
      <c r="D137" s="2"/>
      <c r="E137" s="129"/>
      <c r="F137" s="2"/>
      <c r="G137" s="273"/>
      <c r="H137" s="273"/>
      <c r="I137" s="2"/>
      <c r="J137" s="2"/>
      <c r="K137" s="2"/>
      <c r="L137" s="2"/>
      <c r="M137" s="2"/>
      <c r="N137" s="2"/>
      <c r="O137" s="2"/>
      <c r="P137" s="2"/>
      <c r="Q137" s="2"/>
      <c r="R137" s="2"/>
      <c r="S137" s="2"/>
      <c r="T137" s="2"/>
      <c r="U137" s="2"/>
      <c r="V137" s="591"/>
      <c r="W137" s="591"/>
      <c r="X137" s="591"/>
      <c r="Y137" s="591"/>
      <c r="Z137" s="591"/>
      <c r="AA137" s="591"/>
      <c r="AB137" s="591"/>
      <c r="AC137" s="591"/>
      <c r="AG137" s="591"/>
      <c r="AH137" s="591"/>
      <c r="AI137" s="591"/>
      <c r="AJ137" s="591"/>
      <c r="AK137" s="591"/>
      <c r="AM137" s="591"/>
      <c r="AN137" s="591"/>
      <c r="AO137" s="591"/>
      <c r="AP137" s="591"/>
      <c r="AQ137" s="591"/>
      <c r="AS137" s="591"/>
      <c r="AT137" s="591"/>
      <c r="AU137" s="591"/>
      <c r="AV137" s="591"/>
      <c r="AW137" s="591"/>
      <c r="AY137" s="591"/>
    </row>
    <row r="138" spans="1:51" ht="15.75" hidden="1" customHeight="1" x14ac:dyDescent="0.2">
      <c r="A138" s="2"/>
      <c r="B138" s="2"/>
      <c r="C138" s="2"/>
      <c r="D138" s="2"/>
      <c r="E138" s="129"/>
      <c r="F138" s="2"/>
      <c r="G138" s="273"/>
      <c r="H138" s="273"/>
      <c r="I138" s="273"/>
      <c r="J138" s="148">
        <v>1</v>
      </c>
      <c r="K138" s="148">
        <v>2</v>
      </c>
      <c r="L138" s="148">
        <v>3</v>
      </c>
      <c r="M138" s="2"/>
      <c r="N138" s="2"/>
      <c r="O138" s="2"/>
      <c r="P138" s="2"/>
      <c r="Q138" s="2"/>
      <c r="R138" s="2"/>
      <c r="S138" s="2"/>
      <c r="T138" s="2"/>
      <c r="U138" s="2"/>
      <c r="V138" s="591"/>
      <c r="W138" s="591"/>
      <c r="X138" s="591"/>
      <c r="Y138" s="591"/>
      <c r="Z138" s="591"/>
      <c r="AA138" s="591"/>
      <c r="AB138" s="591"/>
      <c r="AC138" s="591"/>
      <c r="AG138" s="591"/>
      <c r="AH138" s="591"/>
      <c r="AI138" s="591"/>
      <c r="AJ138" s="591"/>
      <c r="AK138" s="591"/>
      <c r="AM138" s="591"/>
      <c r="AN138" s="591"/>
      <c r="AO138" s="591"/>
      <c r="AP138" s="591"/>
      <c r="AQ138" s="591"/>
      <c r="AS138" s="591"/>
      <c r="AT138" s="591"/>
      <c r="AU138" s="591"/>
      <c r="AV138" s="591"/>
      <c r="AW138" s="591"/>
      <c r="AY138" s="591"/>
    </row>
    <row r="139" spans="1:51" ht="15.75" hidden="1" customHeight="1" x14ac:dyDescent="0.2">
      <c r="A139" s="2"/>
      <c r="B139" s="2"/>
      <c r="C139" s="148">
        <v>1</v>
      </c>
      <c r="D139" s="148">
        <f>IF(I139=0,0,1)</f>
        <v>0</v>
      </c>
      <c r="E139" s="263" t="str">
        <f>IMPOSTAZIONI!B298</f>
        <v>--</v>
      </c>
      <c r="F139" s="2"/>
      <c r="G139" s="305">
        <f>VLOOKUP(E139,IMPOSTAZIONI!$B$298:$AK$304,$E$149,FALSE)</f>
        <v>0</v>
      </c>
      <c r="H139" s="306" t="str">
        <f>IF(G139&gt;0,IF(AND(ISERROR(HLOOKUP(E139,G$136:I$136,1,FALSE)),ISERROR(HLOOKUP(E139,G$1:N$1,1,FALSE))),E139,"OK"),"")</f>
        <v/>
      </c>
      <c r="I139" s="307">
        <f>IF(H139="OK",0,IF(H139="",0,1))</f>
        <v>0</v>
      </c>
      <c r="J139" s="263" t="e">
        <f>VLOOKUP(C139,$D$139:$H$148,5,FALSE)</f>
        <v>#N/A</v>
      </c>
      <c r="K139" s="263" t="e">
        <f>VLOOKUP(C140,$D$139:$H$148,5,FALSE)</f>
        <v>#N/A</v>
      </c>
      <c r="L139" s="263" t="e">
        <f>VLOOKUP(C141,$D$139:$H$148,5,FALSE)</f>
        <v>#N/A</v>
      </c>
      <c r="M139" s="2"/>
      <c r="N139" s="2"/>
      <c r="O139" s="2"/>
      <c r="P139" s="2"/>
      <c r="Q139" s="2"/>
      <c r="R139" s="2"/>
      <c r="S139" s="2"/>
      <c r="T139" s="2"/>
      <c r="U139" s="2"/>
      <c r="V139" s="591"/>
      <c r="W139" s="591"/>
      <c r="X139" s="591"/>
      <c r="Y139" s="591"/>
      <c r="Z139" s="591"/>
      <c r="AA139" s="591"/>
      <c r="AB139" s="591"/>
      <c r="AC139" s="591"/>
      <c r="AG139" s="591"/>
      <c r="AH139" s="591"/>
      <c r="AI139" s="591"/>
      <c r="AJ139" s="591"/>
      <c r="AK139" s="591"/>
      <c r="AM139" s="591"/>
      <c r="AN139" s="591"/>
      <c r="AO139" s="591"/>
      <c r="AP139" s="591"/>
      <c r="AQ139" s="591"/>
      <c r="AS139" s="591"/>
      <c r="AT139" s="591"/>
      <c r="AU139" s="591"/>
      <c r="AV139" s="591"/>
      <c r="AW139" s="591"/>
      <c r="AY139" s="591"/>
    </row>
    <row r="140" spans="1:51" ht="15.75" hidden="1" customHeight="1" x14ac:dyDescent="0.2">
      <c r="A140" s="2"/>
      <c r="B140" s="2"/>
      <c r="C140" s="148">
        <v>2</v>
      </c>
      <c r="D140" s="103">
        <f>IF(I140=0,0,COUNTIF(D$139:D139,"&gt;0")+1)</f>
        <v>0</v>
      </c>
      <c r="E140" s="263" t="str">
        <f>IMPOSTAZIONI!B299</f>
        <v>--</v>
      </c>
      <c r="F140" s="2"/>
      <c r="G140" s="305">
        <f>VLOOKUP(E140,IMPOSTAZIONI!$B$298:$AK$304,$E$149,FALSE)</f>
        <v>0</v>
      </c>
      <c r="H140" s="306" t="str">
        <f>IF(G140&gt;0,IF(AND(ISERROR(HLOOKUP(E140,G$136:I$136,1,FALSE)),ISERROR(HLOOKUP(E140,G$1:N$1,1,FALSE))),E140,"OK"),"")</f>
        <v/>
      </c>
      <c r="I140" s="307">
        <f t="shared" ref="I140:I148" si="35">IF(H140="OK",0,IF(H140="",0,1))</f>
        <v>0</v>
      </c>
      <c r="J140" s="267">
        <f>IF(ISERROR(J$139),0,HLOOKUP(J$139,IMPOSTAZIONI!$AB$183:$AH$187,3,FALSE))</f>
        <v>0</v>
      </c>
      <c r="K140" s="267">
        <f>IF(ISERROR(K$139),0,HLOOKUP(K$139,IMPOSTAZIONI!$AB$183:$AH$187,3,FALSE))</f>
        <v>0</v>
      </c>
      <c r="L140" s="268">
        <f>IF(ISERROR(L$139),0,HLOOKUP(L$139,IMPOSTAZIONI!$AB$183:$AH$187,3,FALSE))</f>
        <v>0</v>
      </c>
      <c r="M140" s="2"/>
      <c r="N140" s="2"/>
      <c r="O140" s="2"/>
      <c r="P140" s="2"/>
      <c r="Q140" s="2"/>
      <c r="R140" s="2"/>
      <c r="S140" s="2"/>
      <c r="T140" s="2"/>
      <c r="U140" s="2"/>
      <c r="V140" s="591"/>
      <c r="W140" s="591"/>
      <c r="X140" s="591"/>
      <c r="Y140" s="591"/>
      <c r="Z140" s="591"/>
      <c r="AA140" s="591"/>
      <c r="AB140" s="591"/>
      <c r="AC140" s="591"/>
      <c r="AG140" s="591"/>
      <c r="AH140" s="591"/>
      <c r="AI140" s="591"/>
      <c r="AJ140" s="591"/>
      <c r="AK140" s="591"/>
      <c r="AM140" s="591"/>
      <c r="AN140" s="591"/>
      <c r="AO140" s="591"/>
      <c r="AP140" s="591"/>
      <c r="AQ140" s="591"/>
      <c r="AS140" s="591"/>
      <c r="AT140" s="591"/>
      <c r="AU140" s="591"/>
      <c r="AV140" s="591"/>
      <c r="AW140" s="591"/>
      <c r="AY140" s="591"/>
    </row>
    <row r="141" spans="1:51" ht="15.75" hidden="1" customHeight="1" x14ac:dyDescent="0.2">
      <c r="A141" s="2"/>
      <c r="B141" s="2"/>
      <c r="C141" s="148">
        <v>3</v>
      </c>
      <c r="D141" s="103">
        <f>IF(I141=0,0,COUNTIF(D$139:D140,"&gt;0")+1)</f>
        <v>0</v>
      </c>
      <c r="E141" s="263" t="str">
        <f>IMPOSTAZIONI!B300</f>
        <v>--</v>
      </c>
      <c r="F141" s="2"/>
      <c r="G141" s="305">
        <f>VLOOKUP(E141,IMPOSTAZIONI!$B$298:$AK$304,$E$149,FALSE)</f>
        <v>0</v>
      </c>
      <c r="H141" s="306" t="str">
        <f>IF(G141&gt;0,IF(AND(ISERROR(HLOOKUP(E141,G$136:I$136,1,FALSE)),ISERROR(HLOOKUP(E141,G$1:N$1,1,FALSE))),E141,"OK"),"")</f>
        <v/>
      </c>
      <c r="I141" s="307">
        <f t="shared" si="35"/>
        <v>0</v>
      </c>
      <c r="J141" s="264">
        <f>IF(ISERROR(J$139),0,HLOOKUP(J$139,IMPOSTAZIONI!$AB$183:$AH$187,4,FALSE))</f>
        <v>0</v>
      </c>
      <c r="K141" s="264">
        <f>IF(ISERROR(K$139),0,HLOOKUP(K$139,IMPOSTAZIONI!$AB$183:$AH$187,4,FALSE))</f>
        <v>0</v>
      </c>
      <c r="L141" s="266">
        <f>IF(ISERROR(L$139),0,HLOOKUP(L$139,IMPOSTAZIONI!$AB$183:$AH$187,4,FALSE))</f>
        <v>0</v>
      </c>
      <c r="M141" s="2"/>
      <c r="N141" s="2"/>
      <c r="O141" s="2"/>
      <c r="P141" s="2"/>
      <c r="Q141" s="2"/>
      <c r="R141" s="2"/>
      <c r="S141" s="2"/>
      <c r="T141" s="2"/>
      <c r="U141" s="2"/>
      <c r="V141" s="591"/>
      <c r="W141" s="591"/>
      <c r="X141" s="591"/>
      <c r="Y141" s="591"/>
      <c r="Z141" s="591"/>
      <c r="AA141" s="591"/>
      <c r="AB141" s="591"/>
      <c r="AC141" s="591"/>
      <c r="AG141" s="591"/>
      <c r="AH141" s="591"/>
      <c r="AI141" s="591"/>
      <c r="AJ141" s="591"/>
      <c r="AK141" s="591"/>
      <c r="AM141" s="591"/>
      <c r="AN141" s="591"/>
      <c r="AO141" s="591"/>
      <c r="AP141" s="591"/>
      <c r="AQ141" s="591"/>
      <c r="AS141" s="591"/>
      <c r="AT141" s="591"/>
      <c r="AU141" s="591"/>
      <c r="AV141" s="591"/>
      <c r="AW141" s="591"/>
      <c r="AY141" s="591"/>
    </row>
    <row r="142" spans="1:51" ht="15.75" hidden="1" customHeight="1" x14ac:dyDescent="0.2">
      <c r="A142" s="2"/>
      <c r="B142" s="2"/>
      <c r="C142" s="103"/>
      <c r="D142" s="591"/>
      <c r="E142" s="591"/>
      <c r="F142" s="591"/>
      <c r="G142" s="591"/>
      <c r="H142" s="591"/>
      <c r="I142" s="591"/>
      <c r="J142" s="270">
        <f>IF(ISERROR(J$139),0,HLOOKUP(J$139,IMPOSTAZIONI!$AB$183:$AH$187,5,FALSE))</f>
        <v>0</v>
      </c>
      <c r="K142" s="270">
        <f>IF(ISERROR(K$139),0,HLOOKUP(K$139,IMPOSTAZIONI!$AB$183:$AH$187,5,FALSE))</f>
        <v>0</v>
      </c>
      <c r="L142" s="271">
        <f>IF(ISERROR(L$139),0,HLOOKUP(L$139,IMPOSTAZIONI!$AB$183:$AH$187,5,FALSE))</f>
        <v>0</v>
      </c>
      <c r="M142" s="2"/>
      <c r="N142" s="2"/>
      <c r="O142" s="2"/>
      <c r="P142" s="2"/>
      <c r="Q142" s="2"/>
      <c r="R142" s="2"/>
      <c r="S142" s="2"/>
      <c r="T142" s="2"/>
      <c r="U142" s="2"/>
      <c r="V142" s="591"/>
      <c r="W142" s="591"/>
      <c r="X142" s="591"/>
      <c r="Y142" s="591"/>
      <c r="Z142" s="591"/>
      <c r="AA142" s="591"/>
      <c r="AB142" s="591"/>
      <c r="AC142" s="591"/>
      <c r="AG142" s="591"/>
      <c r="AH142" s="591"/>
      <c r="AI142" s="591"/>
      <c r="AJ142" s="591"/>
      <c r="AK142" s="591"/>
      <c r="AM142" s="591"/>
      <c r="AN142" s="591"/>
      <c r="AO142" s="591"/>
      <c r="AP142" s="591"/>
      <c r="AQ142" s="591"/>
      <c r="AS142" s="591"/>
      <c r="AT142" s="591"/>
      <c r="AU142" s="591"/>
      <c r="AV142" s="591"/>
      <c r="AW142" s="591"/>
      <c r="AY142" s="591"/>
    </row>
    <row r="143" spans="1:51" ht="15.75" hidden="1" customHeight="1" x14ac:dyDescent="0.2">
      <c r="A143" s="2"/>
      <c r="B143" s="2"/>
      <c r="C143" s="103"/>
      <c r="D143" s="591"/>
      <c r="E143" s="591"/>
      <c r="F143" s="591"/>
      <c r="G143" s="591"/>
      <c r="H143" s="591"/>
      <c r="I143" s="591"/>
      <c r="J143" s="2"/>
      <c r="K143" s="2"/>
      <c r="L143" s="2"/>
      <c r="M143" s="2"/>
      <c r="N143" s="2"/>
      <c r="O143" s="2"/>
      <c r="P143" s="2"/>
      <c r="Q143" s="2"/>
      <c r="R143" s="2"/>
      <c r="S143" s="2"/>
      <c r="T143" s="2"/>
      <c r="U143" s="2"/>
      <c r="V143" s="591"/>
      <c r="W143" s="591"/>
      <c r="X143" s="591"/>
      <c r="Y143" s="591"/>
      <c r="Z143" s="591"/>
      <c r="AA143" s="591"/>
      <c r="AB143" s="591"/>
      <c r="AC143" s="591"/>
      <c r="AG143" s="591"/>
      <c r="AH143" s="591"/>
      <c r="AI143" s="591"/>
      <c r="AJ143" s="591"/>
      <c r="AK143" s="591"/>
      <c r="AM143" s="591"/>
      <c r="AN143" s="591"/>
      <c r="AO143" s="591"/>
      <c r="AP143" s="591"/>
      <c r="AQ143" s="591"/>
      <c r="AS143" s="591"/>
      <c r="AT143" s="591"/>
      <c r="AU143" s="591"/>
      <c r="AV143" s="591"/>
      <c r="AW143" s="591"/>
      <c r="AY143" s="591"/>
    </row>
    <row r="144" spans="1:51" ht="15.75" hidden="1" customHeight="1" x14ac:dyDescent="0.2">
      <c r="A144" s="2"/>
      <c r="B144" s="2"/>
      <c r="C144" s="103"/>
      <c r="D144" s="591"/>
      <c r="E144" s="591"/>
      <c r="F144" s="591"/>
      <c r="G144" s="591"/>
      <c r="H144" s="591"/>
      <c r="I144" s="591"/>
      <c r="J144" s="2"/>
      <c r="K144" s="2102" t="s">
        <v>543</v>
      </c>
      <c r="L144" s="2103"/>
      <c r="M144" s="1297" t="s">
        <v>198</v>
      </c>
      <c r="N144" s="1298" t="s">
        <v>202</v>
      </c>
      <c r="O144" s="1297" t="s">
        <v>199</v>
      </c>
      <c r="P144" s="1298" t="s">
        <v>203</v>
      </c>
      <c r="Q144" s="1297" t="s">
        <v>65</v>
      </c>
      <c r="R144" s="1298" t="s">
        <v>66</v>
      </c>
      <c r="S144" s="1297" t="s">
        <v>65</v>
      </c>
      <c r="T144" s="1298" t="s">
        <v>66</v>
      </c>
      <c r="U144" s="2"/>
      <c r="V144" s="591"/>
      <c r="W144" s="591"/>
      <c r="X144" s="591"/>
      <c r="Y144" s="591"/>
      <c r="Z144" s="591"/>
      <c r="AA144" s="591"/>
      <c r="AB144" s="591"/>
      <c r="AC144" s="591"/>
      <c r="AG144" s="591"/>
      <c r="AH144" s="591"/>
      <c r="AI144" s="591"/>
      <c r="AJ144" s="591"/>
      <c r="AK144" s="591"/>
      <c r="AM144" s="591"/>
      <c r="AN144" s="591"/>
      <c r="AO144" s="591"/>
      <c r="AP144" s="591"/>
      <c r="AQ144" s="591"/>
      <c r="AS144" s="591"/>
      <c r="AT144" s="591"/>
      <c r="AU144" s="591"/>
      <c r="AV144" s="591"/>
      <c r="AW144" s="591"/>
      <c r="AY144" s="591"/>
    </row>
    <row r="145" spans="1:51" ht="15.75" hidden="1" customHeight="1" x14ac:dyDescent="0.2">
      <c r="A145" s="2"/>
      <c r="B145" s="2"/>
      <c r="C145" s="103"/>
      <c r="D145" s="103">
        <f>IF(I145=0,0,COUNTIF(D$139:D144,"&gt;0")+1)</f>
        <v>0</v>
      </c>
      <c r="E145" s="263" t="str">
        <f>IMPOSTAZIONI!B301</f>
        <v>--</v>
      </c>
      <c r="F145" s="2"/>
      <c r="G145" s="305">
        <f>VLOOKUP(E145,IMPOSTAZIONI!$B$298:$AK$304,$E$149,FALSE)</f>
        <v>0</v>
      </c>
      <c r="H145" s="306" t="str">
        <f>IF(G145&gt;0,IF(AND(ISERROR(HLOOKUP(E145,G$136:I$136,1,FALSE)),ISERROR(HLOOKUP(E145,G$1:N$1,1,FALSE))),E145,"OK"),"")</f>
        <v/>
      </c>
      <c r="I145" s="307">
        <f t="shared" si="35"/>
        <v>0</v>
      </c>
      <c r="J145" s="2"/>
      <c r="K145" s="2102" t="s">
        <v>58</v>
      </c>
      <c r="L145" s="2103"/>
      <c r="M145" s="100" t="s">
        <v>198</v>
      </c>
      <c r="N145" s="1299" t="s">
        <v>202</v>
      </c>
      <c r="O145" s="100" t="s">
        <v>199</v>
      </c>
      <c r="P145" s="1299" t="s">
        <v>203</v>
      </c>
      <c r="Q145" s="100" t="s">
        <v>65</v>
      </c>
      <c r="R145" s="1299" t="s">
        <v>66</v>
      </c>
      <c r="S145" s="100" t="s">
        <v>65</v>
      </c>
      <c r="T145" s="1299" t="s">
        <v>66</v>
      </c>
      <c r="U145" s="2"/>
      <c r="V145" s="591"/>
      <c r="W145" s="591"/>
      <c r="X145" s="591"/>
      <c r="Y145" s="591"/>
      <c r="Z145" s="591"/>
      <c r="AA145" s="591"/>
      <c r="AB145" s="591"/>
      <c r="AC145" s="591"/>
      <c r="AG145" s="591"/>
      <c r="AH145" s="591"/>
      <c r="AI145" s="591"/>
      <c r="AJ145" s="591"/>
      <c r="AK145" s="591"/>
      <c r="AM145" s="591"/>
      <c r="AN145" s="591"/>
      <c r="AO145" s="591"/>
      <c r="AP145" s="591"/>
      <c r="AQ145" s="591"/>
      <c r="AS145" s="591"/>
      <c r="AT145" s="591"/>
      <c r="AU145" s="591"/>
      <c r="AV145" s="591"/>
      <c r="AW145" s="591"/>
      <c r="AY145" s="591"/>
    </row>
    <row r="146" spans="1:51" ht="15.75" hidden="1" customHeight="1" x14ac:dyDescent="0.2">
      <c r="A146" s="2"/>
      <c r="B146" s="2"/>
      <c r="C146" s="103"/>
      <c r="D146" s="103">
        <f>IF(I146=0,0,COUNTIF(D$139:D145,"&gt;0")+1)</f>
        <v>0</v>
      </c>
      <c r="E146" s="263" t="str">
        <f>IMPOSTAZIONI!B302</f>
        <v/>
      </c>
      <c r="F146" s="2"/>
      <c r="G146" s="305">
        <f>VLOOKUP(E146,IMPOSTAZIONI!$B$298:$AK$304,$E$149,FALSE)</f>
        <v>0</v>
      </c>
      <c r="H146" s="306" t="str">
        <f>IF(G146&gt;0,IF(AND(ISERROR(HLOOKUP(E146,G$136:I$136,1,FALSE)),ISERROR(HLOOKUP(E146,G$1:N$1,1,FALSE))),E146,"OK"),"")</f>
        <v/>
      </c>
      <c r="I146" s="307">
        <f t="shared" si="35"/>
        <v>0</v>
      </c>
      <c r="J146" s="2"/>
      <c r="K146" s="2102" t="s">
        <v>59</v>
      </c>
      <c r="L146" s="2103"/>
      <c r="M146" s="100" t="s">
        <v>198</v>
      </c>
      <c r="N146" s="1299" t="s">
        <v>62</v>
      </c>
      <c r="O146" s="100" t="s">
        <v>199</v>
      </c>
      <c r="P146" s="1299" t="s">
        <v>203</v>
      </c>
      <c r="Q146" s="100" t="s">
        <v>65</v>
      </c>
      <c r="R146" s="1299" t="s">
        <v>66</v>
      </c>
      <c r="S146" s="100" t="s">
        <v>65</v>
      </c>
      <c r="T146" s="1299" t="s">
        <v>66</v>
      </c>
      <c r="U146" s="2"/>
      <c r="V146" s="591"/>
      <c r="W146" s="591"/>
      <c r="X146" s="591"/>
      <c r="Y146" s="591"/>
      <c r="Z146" s="591"/>
      <c r="AA146" s="591"/>
      <c r="AB146" s="591"/>
      <c r="AC146" s="591"/>
      <c r="AG146" s="591"/>
      <c r="AH146" s="591"/>
      <c r="AI146" s="591"/>
      <c r="AJ146" s="591"/>
      <c r="AK146" s="591"/>
      <c r="AM146" s="591"/>
      <c r="AN146" s="591"/>
      <c r="AO146" s="591"/>
      <c r="AP146" s="591"/>
      <c r="AQ146" s="591"/>
      <c r="AS146" s="591"/>
      <c r="AT146" s="591"/>
      <c r="AU146" s="591"/>
      <c r="AV146" s="591"/>
      <c r="AW146" s="591"/>
      <c r="AY146" s="591"/>
    </row>
    <row r="147" spans="1:51" ht="15.75" hidden="1" customHeight="1" x14ac:dyDescent="0.2">
      <c r="A147" s="2"/>
      <c r="B147" s="2"/>
      <c r="C147" s="103"/>
      <c r="D147" s="103">
        <f>IF(I147=0,0,COUNTIF(D$139:D146,"&gt;0")+1)</f>
        <v>0</v>
      </c>
      <c r="E147" s="263" t="str">
        <f>IMPOSTAZIONI!B303</f>
        <v/>
      </c>
      <c r="F147" s="2"/>
      <c r="G147" s="305">
        <f>VLOOKUP(E147,IMPOSTAZIONI!$B$298:$AK$304,$E$149,FALSE)</f>
        <v>0</v>
      </c>
      <c r="H147" s="306" t="str">
        <f>IF(G147&gt;0,IF(AND(ISERROR(HLOOKUP(E147,G$136:I$136,1,FALSE)),ISERROR(HLOOKUP(E147,G$1:N$1,1,FALSE))),E147,"OK"),"")</f>
        <v/>
      </c>
      <c r="I147" s="307">
        <f t="shared" si="35"/>
        <v>0</v>
      </c>
      <c r="J147" s="2"/>
      <c r="K147" s="2102" t="s">
        <v>60</v>
      </c>
      <c r="L147" s="2103"/>
      <c r="M147" s="100" t="s">
        <v>199</v>
      </c>
      <c r="N147" s="1299" t="s">
        <v>203</v>
      </c>
      <c r="O147" s="100" t="s">
        <v>198</v>
      </c>
      <c r="P147" s="1299" t="s">
        <v>63</v>
      </c>
      <c r="Q147" s="100" t="s">
        <v>67</v>
      </c>
      <c r="R147" s="1299" t="s">
        <v>68</v>
      </c>
      <c r="S147" s="100" t="s">
        <v>67</v>
      </c>
      <c r="T147" s="1299" t="s">
        <v>68</v>
      </c>
      <c r="U147" s="2"/>
      <c r="V147" s="591"/>
      <c r="W147" s="591"/>
      <c r="X147" s="591"/>
      <c r="Y147" s="591"/>
      <c r="Z147" s="591"/>
      <c r="AA147" s="591"/>
      <c r="AB147" s="591"/>
      <c r="AC147" s="591"/>
      <c r="AG147" s="591"/>
      <c r="AH147" s="591"/>
      <c r="AI147" s="591"/>
      <c r="AJ147" s="591"/>
      <c r="AK147" s="591"/>
      <c r="AM147" s="591"/>
      <c r="AN147" s="591"/>
      <c r="AO147" s="591"/>
      <c r="AP147" s="591"/>
      <c r="AQ147" s="591"/>
      <c r="AS147" s="591"/>
      <c r="AT147" s="591"/>
      <c r="AU147" s="591"/>
      <c r="AV147" s="591"/>
      <c r="AW147" s="591"/>
      <c r="AY147" s="591"/>
    </row>
    <row r="148" spans="1:51" ht="15.75" hidden="1" customHeight="1" x14ac:dyDescent="0.2">
      <c r="A148" s="2"/>
      <c r="B148" s="2"/>
      <c r="C148" s="103"/>
      <c r="D148" s="103">
        <f>IF(I148=0,0,COUNTIF(D$139:D147,"&gt;0")+1)</f>
        <v>0</v>
      </c>
      <c r="E148" s="263" t="str">
        <f>IMPOSTAZIONI!B304</f>
        <v/>
      </c>
      <c r="F148" s="2"/>
      <c r="G148" s="305">
        <f>VLOOKUP(E148,IMPOSTAZIONI!$B$298:$AK$304,$E$149,FALSE)</f>
        <v>0</v>
      </c>
      <c r="H148" s="306" t="str">
        <f>IF(G148&gt;0,IF(AND(ISERROR(HLOOKUP(E148,G$136:I$136,1,FALSE)),ISERROR(HLOOKUP(E148,G$1:N$1,1,FALSE))),E148,"OK"),"")</f>
        <v/>
      </c>
      <c r="I148" s="307">
        <f t="shared" si="35"/>
        <v>0</v>
      </c>
      <c r="J148" s="2"/>
      <c r="K148" s="2102" t="s">
        <v>61</v>
      </c>
      <c r="L148" s="2103"/>
      <c r="M148" s="100" t="s">
        <v>195</v>
      </c>
      <c r="N148" s="1301" t="s">
        <v>64</v>
      </c>
      <c r="O148" s="1300" t="s">
        <v>195</v>
      </c>
      <c r="P148" s="1301" t="s">
        <v>64</v>
      </c>
      <c r="Q148" s="1300" t="s">
        <v>69</v>
      </c>
      <c r="R148" s="1301"/>
      <c r="S148" s="1300" t="s">
        <v>70</v>
      </c>
      <c r="T148" s="1301"/>
      <c r="U148" s="2"/>
      <c r="V148" s="591"/>
      <c r="W148" s="591"/>
      <c r="X148" s="591"/>
      <c r="Y148" s="591"/>
      <c r="Z148" s="591"/>
      <c r="AA148" s="591"/>
      <c r="AB148" s="591"/>
      <c r="AC148" s="591"/>
      <c r="AG148" s="591"/>
      <c r="AH148" s="591"/>
      <c r="AI148" s="591"/>
      <c r="AJ148" s="591"/>
      <c r="AK148" s="591"/>
      <c r="AM148" s="591"/>
      <c r="AN148" s="591"/>
      <c r="AO148" s="591"/>
      <c r="AP148" s="591"/>
      <c r="AQ148" s="591"/>
      <c r="AS148" s="591"/>
      <c r="AT148" s="591"/>
      <c r="AU148" s="591"/>
      <c r="AV148" s="591"/>
      <c r="AW148" s="591"/>
      <c r="AY148" s="591"/>
    </row>
    <row r="149" spans="1:51" ht="15.75" hidden="1" customHeight="1" x14ac:dyDescent="0.2">
      <c r="A149" s="2"/>
      <c r="B149" s="2"/>
      <c r="C149" s="2"/>
      <c r="D149" s="2"/>
      <c r="E149" s="306">
        <v>33</v>
      </c>
      <c r="F149" s="2"/>
      <c r="G149" s="306" t="str">
        <f>IF(MAX(D139:D148)&gt;C141,K132,"")</f>
        <v/>
      </c>
      <c r="H149" s="308">
        <f>IF((MAX(D139:D148)+3-E135)&gt;3,K132,MAX(D139:D148))</f>
        <v>0</v>
      </c>
      <c r="I149" s="273"/>
      <c r="J149" s="2"/>
      <c r="K149" s="2099"/>
      <c r="L149" s="2099"/>
      <c r="M149" s="1302"/>
      <c r="N149" s="1302"/>
      <c r="O149" s="2"/>
      <c r="P149" s="2"/>
      <c r="Q149" s="2"/>
      <c r="R149" s="2"/>
      <c r="S149" s="2"/>
      <c r="T149" s="2"/>
      <c r="U149" s="2"/>
      <c r="V149" s="591"/>
      <c r="W149" s="591"/>
      <c r="X149" s="591"/>
      <c r="Y149" s="591"/>
      <c r="Z149" s="591"/>
      <c r="AA149" s="591"/>
      <c r="AB149" s="591"/>
      <c r="AC149" s="591"/>
      <c r="AG149" s="591"/>
      <c r="AH149" s="591"/>
      <c r="AI149" s="591"/>
      <c r="AJ149" s="591"/>
      <c r="AK149" s="591"/>
      <c r="AM149" s="591"/>
      <c r="AN149" s="591"/>
      <c r="AO149" s="591"/>
      <c r="AP149" s="591"/>
      <c r="AQ149" s="591"/>
      <c r="AS149" s="591"/>
      <c r="AT149" s="591"/>
      <c r="AU149" s="591"/>
      <c r="AV149" s="591"/>
      <c r="AW149" s="591"/>
      <c r="AY149" s="591"/>
    </row>
    <row r="150" spans="1:51" ht="21" hidden="1" customHeight="1" x14ac:dyDescent="0.2">
      <c r="A150" s="2"/>
      <c r="B150" s="2"/>
      <c r="C150" s="2"/>
      <c r="D150" s="2"/>
      <c r="E150" s="807">
        <f>VLOOKUP(E3,STORICO!C153:AO197,39,FALSE)</f>
        <v>0</v>
      </c>
      <c r="F150" s="2"/>
      <c r="G150" s="1211">
        <f>IF(AND(G152&gt;0,OR(G99&lt;&gt;"OK",G105&lt;&gt;"OK")),1,0)</f>
        <v>0</v>
      </c>
      <c r="H150" s="1211">
        <f>IF(AND(H152&gt;0,OR(H99&lt;&gt;"OK",H105&lt;&gt;"OK")),1,0)</f>
        <v>0</v>
      </c>
      <c r="I150" s="1211">
        <f>IF(AND(I152&gt;0,OR(K99&lt;&gt;"OK",K105&lt;&gt;"OK")),1,0)</f>
        <v>0</v>
      </c>
      <c r="J150" s="1211">
        <f>IF(AND(J152&gt;0,OR(N99&lt;&gt;"OK",N105&lt;&gt;"OK")),1,0)</f>
        <v>0</v>
      </c>
      <c r="K150" s="2"/>
      <c r="L150" s="2"/>
      <c r="M150" s="2"/>
      <c r="N150" s="2"/>
      <c r="O150" s="2"/>
      <c r="P150" s="2"/>
      <c r="Q150" s="2"/>
      <c r="R150" s="2"/>
      <c r="S150" s="2"/>
      <c r="T150" s="2"/>
      <c r="U150" s="2"/>
      <c r="V150" s="591"/>
      <c r="W150" s="591"/>
      <c r="X150" s="591"/>
      <c r="Y150" s="591"/>
      <c r="Z150" s="591"/>
      <c r="AA150" s="591"/>
      <c r="AB150" s="591"/>
      <c r="AC150" s="591"/>
      <c r="AG150" s="591"/>
      <c r="AH150" s="591"/>
      <c r="AI150" s="591"/>
      <c r="AJ150" s="591"/>
      <c r="AK150" s="591"/>
      <c r="AM150" s="591"/>
      <c r="AN150" s="591"/>
      <c r="AO150" s="591"/>
      <c r="AP150" s="591"/>
      <c r="AQ150" s="591"/>
      <c r="AS150" s="591"/>
      <c r="AT150" s="591"/>
      <c r="AU150" s="591"/>
      <c r="AV150" s="591"/>
      <c r="AW150" s="591"/>
      <c r="AY150" s="591"/>
    </row>
    <row r="151" spans="1:51" ht="21" hidden="1" customHeight="1" x14ac:dyDescent="0.2">
      <c r="A151" s="2"/>
      <c r="B151" s="2"/>
      <c r="C151" s="2"/>
      <c r="D151" s="2"/>
      <c r="E151" s="2"/>
      <c r="F151" s="2"/>
      <c r="G151" s="1212" t="str">
        <f>IMPOSTAZIONI!Y382</f>
        <v>Hai delle colonne ALIQUOTE DIVERSE che DEVI SCORPORARE manualmente qui.</v>
      </c>
      <c r="H151" s="1212"/>
      <c r="I151" s="1212"/>
      <c r="J151" s="1212"/>
      <c r="K151" s="1213"/>
      <c r="L151" s="1213"/>
      <c r="M151" s="1213"/>
      <c r="N151" s="1213"/>
      <c r="O151" s="688"/>
      <c r="P151" s="688"/>
      <c r="Q151" s="688"/>
      <c r="R151" s="99"/>
      <c r="S151" s="1306"/>
      <c r="T151" s="591"/>
      <c r="U151" s="591"/>
      <c r="V151" s="591"/>
      <c r="W151" s="591"/>
      <c r="X151" s="591"/>
      <c r="Y151" s="591"/>
      <c r="Z151" s="591"/>
      <c r="AA151" s="591"/>
      <c r="AB151" s="591"/>
      <c r="AC151" s="591"/>
      <c r="AG151" s="591"/>
      <c r="AH151" s="591"/>
      <c r="AI151" s="591"/>
      <c r="AJ151" s="591"/>
      <c r="AK151" s="591"/>
      <c r="AM151" s="591"/>
      <c r="AN151" s="591"/>
      <c r="AO151" s="591"/>
      <c r="AP151" s="591"/>
      <c r="AQ151" s="591"/>
      <c r="AS151" s="591"/>
      <c r="AT151" s="591"/>
      <c r="AU151" s="591"/>
      <c r="AV151" s="591"/>
      <c r="AW151" s="591"/>
      <c r="AY151" s="591"/>
    </row>
    <row r="152" spans="1:51" ht="21" hidden="1" customHeight="1" x14ac:dyDescent="0.2">
      <c r="A152" s="2"/>
      <c r="B152" s="2"/>
      <c r="C152" s="2"/>
      <c r="D152" s="2"/>
      <c r="E152" s="92" t="str">
        <f>IMPOSTAZIONI!J383</f>
        <v>INSERISCI</v>
      </c>
      <c r="F152" s="2"/>
      <c r="G152" s="86">
        <f>IF(G46=0,0,IF(AND(G62&lt;&gt;$L134,G155="X"),1,0))</f>
        <v>0</v>
      </c>
      <c r="H152" s="87">
        <f>IF(H46=0,0,IF(AND(H62&lt;&gt;$L134,H155="X"),1,0))</f>
        <v>0</v>
      </c>
      <c r="I152" s="87">
        <f>IF(K46=0,0,IF(AND(K62&lt;&gt;$L134,I155="X"),1,0))</f>
        <v>0</v>
      </c>
      <c r="J152" s="88">
        <f>IF(N46=0,0,IF(AND(N62&lt;&gt;$L134,J155="X"),1,0))</f>
        <v>0</v>
      </c>
      <c r="K152" s="100" t="str">
        <f>IMPOSTAZIONI!M383</f>
        <v>VERIFICA</v>
      </c>
      <c r="L152" s="92" t="str">
        <f>IMPOSTAZIONI!P383</f>
        <v>CANCELLA</v>
      </c>
      <c r="M152" s="2"/>
      <c r="N152" s="2"/>
      <c r="O152" s="2"/>
      <c r="P152" s="2"/>
      <c r="Q152" s="2"/>
      <c r="R152" s="2"/>
      <c r="S152" s="591"/>
      <c r="T152" s="591"/>
      <c r="U152" s="591"/>
      <c r="V152" s="591"/>
      <c r="W152" s="591"/>
      <c r="X152" s="591"/>
      <c r="Y152" s="591"/>
      <c r="Z152" s="591"/>
      <c r="AA152" s="591"/>
      <c r="AB152" s="591"/>
      <c r="AC152" s="591"/>
      <c r="AG152" s="591"/>
      <c r="AH152" s="591"/>
      <c r="AI152" s="591"/>
      <c r="AJ152" s="591"/>
      <c r="AK152" s="591"/>
      <c r="AM152" s="591"/>
      <c r="AN152" s="591"/>
      <c r="AO152" s="591"/>
      <c r="AP152" s="591"/>
      <c r="AQ152" s="591"/>
      <c r="AS152" s="591"/>
      <c r="AT152" s="591"/>
      <c r="AU152" s="591"/>
      <c r="AV152" s="591"/>
      <c r="AW152" s="591"/>
      <c r="AY152" s="591"/>
    </row>
    <row r="153" spans="1:51" hidden="1" x14ac:dyDescent="0.2">
      <c r="A153" s="2"/>
      <c r="B153" s="2"/>
      <c r="C153" s="2"/>
      <c r="D153" s="2"/>
      <c r="E153" s="2"/>
      <c r="F153" s="2"/>
      <c r="G153" s="756">
        <f>G46</f>
        <v>0</v>
      </c>
      <c r="H153" s="757">
        <f>H46</f>
        <v>0</v>
      </c>
      <c r="I153" s="757">
        <f>K46</f>
        <v>0</v>
      </c>
      <c r="J153" s="758">
        <f>N46</f>
        <v>0</v>
      </c>
      <c r="K153" s="2"/>
      <c r="L153" s="2"/>
      <c r="M153" s="2"/>
      <c r="N153" s="2"/>
      <c r="O153" s="2"/>
      <c r="P153" s="2"/>
      <c r="Q153" s="2"/>
      <c r="R153" s="2"/>
      <c r="S153" s="591"/>
      <c r="T153" s="591"/>
      <c r="U153" s="591"/>
      <c r="V153" s="591"/>
      <c r="W153" s="591"/>
      <c r="X153" s="591"/>
      <c r="Y153" s="591"/>
      <c r="Z153" s="591"/>
      <c r="AA153" s="591"/>
      <c r="AB153" s="591"/>
      <c r="AC153" s="591"/>
      <c r="AG153" s="591"/>
      <c r="AH153" s="591"/>
      <c r="AI153" s="591"/>
      <c r="AJ153" s="591"/>
      <c r="AK153" s="591"/>
      <c r="AM153" s="591"/>
      <c r="AN153" s="591"/>
      <c r="AO153" s="591"/>
      <c r="AP153" s="591"/>
      <c r="AQ153" s="591"/>
      <c r="AS153" s="591"/>
      <c r="AT153" s="591"/>
      <c r="AU153" s="591"/>
      <c r="AV153" s="591"/>
      <c r="AW153" s="591"/>
      <c r="AY153" s="591"/>
    </row>
    <row r="154" spans="1:51" ht="16.5" hidden="1" customHeight="1" x14ac:dyDescent="0.2">
      <c r="A154" s="2"/>
      <c r="B154" s="2"/>
      <c r="C154" s="2"/>
      <c r="D154" s="2"/>
      <c r="E154" s="2"/>
      <c r="F154" s="2"/>
      <c r="G154" s="756">
        <f>G48</f>
        <v>0</v>
      </c>
      <c r="H154" s="757">
        <f>H48</f>
        <v>0</v>
      </c>
      <c r="I154" s="757">
        <f>K48</f>
        <v>0</v>
      </c>
      <c r="J154" s="758">
        <f>N48</f>
        <v>0</v>
      </c>
      <c r="K154" s="2"/>
      <c r="L154" s="2"/>
      <c r="M154" s="2"/>
      <c r="N154" s="2"/>
      <c r="O154" s="2"/>
      <c r="P154" s="2"/>
      <c r="Q154" s="2"/>
      <c r="R154" s="2"/>
      <c r="S154" s="591"/>
      <c r="T154" s="591"/>
      <c r="U154" s="591"/>
      <c r="V154" s="591"/>
      <c r="W154" s="591"/>
      <c r="X154" s="591"/>
      <c r="Y154" s="591"/>
      <c r="Z154" s="591"/>
      <c r="AA154" s="591"/>
      <c r="AB154" s="591"/>
      <c r="AC154" s="591"/>
      <c r="AG154" s="591"/>
      <c r="AH154" s="591"/>
      <c r="AI154" s="591"/>
      <c r="AJ154" s="591"/>
      <c r="AK154" s="591"/>
      <c r="AM154" s="591"/>
      <c r="AN154" s="591"/>
      <c r="AO154" s="591"/>
      <c r="AP154" s="591"/>
      <c r="AQ154" s="591"/>
      <c r="AS154" s="591"/>
      <c r="AT154" s="591"/>
      <c r="AU154" s="591"/>
      <c r="AV154" s="591"/>
      <c r="AW154" s="591"/>
      <c r="AY154" s="591"/>
    </row>
    <row r="155" spans="1:51" ht="15" hidden="1" customHeight="1" x14ac:dyDescent="0.2">
      <c r="A155" s="2"/>
      <c r="B155" s="2"/>
      <c r="C155" s="2"/>
      <c r="D155" s="2"/>
      <c r="E155" s="2"/>
      <c r="F155" s="2"/>
      <c r="G155" s="753">
        <f>IF(G156="",0,VLOOKUP(G156,IMPOSTAZIONI!$R$131:$AD$145,13,FALSE))</f>
        <v>0</v>
      </c>
      <c r="H155" s="754">
        <f>IF(H156="",0,VLOOKUP(H156,IMPOSTAZIONI!$R$131:$AD$145,13,FALSE))</f>
        <v>0</v>
      </c>
      <c r="I155" s="754">
        <f>IF(I156="",0,VLOOKUP(I156,IMPOSTAZIONI!$R$131:$AD$145,13,FALSE))</f>
        <v>0</v>
      </c>
      <c r="J155" s="755">
        <f>IF(J156="",0,VLOOKUP(J156,IMPOSTAZIONI!$R$131:$AD$145,13,FALSE))</f>
        <v>0</v>
      </c>
      <c r="K155" s="2"/>
      <c r="L155" s="2"/>
      <c r="M155" s="2"/>
      <c r="N155" s="2"/>
      <c r="O155" s="2"/>
      <c r="P155" s="2"/>
      <c r="Q155" s="2"/>
      <c r="R155" s="2"/>
      <c r="S155" s="591"/>
      <c r="T155" s="591"/>
      <c r="U155" s="591"/>
      <c r="V155" s="591"/>
      <c r="W155" s="591"/>
      <c r="X155" s="591"/>
      <c r="Y155" s="591"/>
      <c r="Z155" s="591"/>
      <c r="AA155" s="591"/>
      <c r="AB155" s="591"/>
      <c r="AC155" s="591"/>
      <c r="AG155" s="591"/>
      <c r="AH155" s="591"/>
      <c r="AI155" s="591"/>
      <c r="AJ155" s="591"/>
      <c r="AK155" s="591"/>
      <c r="AM155" s="591"/>
      <c r="AN155" s="591"/>
      <c r="AO155" s="591"/>
      <c r="AP155" s="591"/>
      <c r="AQ155" s="591"/>
      <c r="AS155" s="591"/>
      <c r="AT155" s="591"/>
      <c r="AU155" s="591"/>
      <c r="AV155" s="591"/>
      <c r="AW155" s="591"/>
      <c r="AY155" s="591"/>
    </row>
    <row r="156" spans="1:51" ht="15" hidden="1" customHeight="1" x14ac:dyDescent="0.2">
      <c r="A156" s="2"/>
      <c r="B156" s="2"/>
      <c r="C156" s="2"/>
      <c r="D156" s="2"/>
      <c r="E156" s="2"/>
      <c r="F156" s="56"/>
      <c r="G156" s="752" t="str">
        <f>IMPOSTAZIONI!F224</f>
        <v/>
      </c>
      <c r="H156" s="752" t="str">
        <f>IMPOSTAZIONI!K224</f>
        <v/>
      </c>
      <c r="I156" s="752" t="str">
        <f>IMPOSTAZIONI!P224</f>
        <v/>
      </c>
      <c r="J156" s="752" t="str">
        <f>IMPOSTAZIONI!U224</f>
        <v/>
      </c>
      <c r="K156" s="2100" t="s">
        <v>195</v>
      </c>
      <c r="L156" s="2100"/>
      <c r="M156" s="2"/>
      <c r="N156" s="2"/>
      <c r="O156" s="2"/>
      <c r="P156" s="2"/>
      <c r="Q156" s="2"/>
      <c r="R156" s="2"/>
      <c r="S156" s="591"/>
      <c r="T156" s="591"/>
      <c r="U156" s="591"/>
      <c r="V156" s="591"/>
      <c r="W156" s="591"/>
      <c r="X156" s="591"/>
      <c r="Y156" s="591"/>
      <c r="Z156" s="591"/>
      <c r="AA156" s="591"/>
      <c r="AB156" s="591"/>
      <c r="AC156" s="591"/>
      <c r="AG156" s="591"/>
      <c r="AH156" s="591"/>
      <c r="AI156" s="591"/>
      <c r="AJ156" s="591"/>
      <c r="AK156" s="591"/>
      <c r="AM156" s="591"/>
      <c r="AN156" s="591"/>
      <c r="AO156" s="591"/>
      <c r="AP156" s="591"/>
      <c r="AQ156" s="591"/>
      <c r="AS156" s="591"/>
      <c r="AT156" s="591"/>
      <c r="AU156" s="591"/>
      <c r="AV156" s="591"/>
      <c r="AW156" s="591"/>
      <c r="AY156" s="591"/>
    </row>
    <row r="157" spans="1:51" ht="15" hidden="1" customHeight="1" x14ac:dyDescent="0.2">
      <c r="A157" s="2"/>
      <c r="B157" s="2"/>
      <c r="C157" s="2"/>
      <c r="D157" s="2"/>
      <c r="E157" s="288" t="str">
        <f>IMPOSTAZIONI!B321</f>
        <v>SC</v>
      </c>
      <c r="F157" s="56"/>
      <c r="G157" s="288" t="str">
        <f>IF(MID(G1,7,2)="",$E157,MID(G1,7,2))</f>
        <v>SC</v>
      </c>
      <c r="H157" s="288" t="str">
        <f>IF(MID(H1,7,2)="",$E157,MID(H1,7,2))</f>
        <v>SC</v>
      </c>
      <c r="I157" s="288" t="str">
        <f>IF(MID(K1,7,2)="",$E157,MID(K1,7,2))</f>
        <v>SC</v>
      </c>
      <c r="J157" s="288" t="str">
        <f>IF(MID(N1,7,2)="",$E157,MID(N1,7,2))</f>
        <v>SC</v>
      </c>
      <c r="K157" s="2100" t="str">
        <f>IMPOSTAZIONI!AH7</f>
        <v>Categoria</v>
      </c>
      <c r="L157" s="2100"/>
      <c r="M157" s="2"/>
      <c r="N157" s="2"/>
      <c r="O157" s="2"/>
      <c r="P157" s="2"/>
      <c r="Q157" s="2"/>
      <c r="R157" s="2"/>
      <c r="S157" s="591"/>
      <c r="T157" s="591"/>
      <c r="U157" s="591"/>
      <c r="V157" s="591"/>
      <c r="W157" s="591"/>
      <c r="X157" s="591"/>
      <c r="Y157" s="591"/>
      <c r="Z157" s="591"/>
      <c r="AA157" s="591"/>
      <c r="AB157" s="591"/>
      <c r="AC157" s="591"/>
      <c r="AG157" s="591"/>
      <c r="AH157" s="591"/>
      <c r="AI157" s="591"/>
      <c r="AJ157" s="591"/>
      <c r="AK157" s="591"/>
      <c r="AM157" s="591"/>
      <c r="AN157" s="591"/>
      <c r="AO157" s="591"/>
      <c r="AP157" s="591"/>
      <c r="AQ157" s="591"/>
      <c r="AS157" s="591"/>
      <c r="AT157" s="591"/>
      <c r="AU157" s="591"/>
      <c r="AV157" s="591"/>
      <c r="AW157" s="591"/>
      <c r="AY157" s="591"/>
    </row>
    <row r="158" spans="1:51" ht="15" hidden="1" customHeight="1" x14ac:dyDescent="0.2">
      <c r="A158" s="2"/>
      <c r="B158" s="2"/>
      <c r="C158" s="2"/>
      <c r="D158" s="2"/>
      <c r="E158" s="288" t="str">
        <f>IMPOSTAZIONI!B351</f>
        <v>%</v>
      </c>
      <c r="F158" s="56"/>
      <c r="G158" s="288" t="str">
        <f>IF(OR(G155&gt;0,G155="X"),$E158,IF(G156="","",MID(G1,4,2)))</f>
        <v/>
      </c>
      <c r="H158" s="288" t="str">
        <f>IF(OR(H155&gt;0,H155="X"),$E158,IF(H156="","",MID(H1,4,2)))</f>
        <v/>
      </c>
      <c r="I158" s="288" t="str">
        <f>IF(OR(I155&gt;0,I155="X"),$E158,IF(I156="","",MID(K1,4,2)))</f>
        <v/>
      </c>
      <c r="J158" s="288" t="str">
        <f>IF(OR(J155&gt;0,J155="X"),$E158,IF(J156="","",MID(N1,4,2)))</f>
        <v/>
      </c>
      <c r="K158" s="2100" t="str">
        <f>IMPOSTAZIONI!B337</f>
        <v>NO IVA</v>
      </c>
      <c r="L158" s="2100"/>
      <c r="M158" s="2"/>
      <c r="N158" s="2"/>
      <c r="O158" s="2"/>
      <c r="P158" s="2"/>
      <c r="Q158" s="2"/>
      <c r="R158" s="2"/>
      <c r="S158" s="591"/>
      <c r="T158" s="591"/>
      <c r="U158" s="591"/>
      <c r="V158" s="591"/>
      <c r="W158" s="591"/>
      <c r="X158" s="591"/>
      <c r="Y158" s="591"/>
      <c r="Z158" s="591"/>
      <c r="AA158" s="591"/>
      <c r="AB158" s="591"/>
      <c r="AC158" s="591"/>
      <c r="AG158" s="591"/>
      <c r="AH158" s="591"/>
      <c r="AI158" s="591"/>
      <c r="AJ158" s="591"/>
      <c r="AK158" s="591"/>
      <c r="AM158" s="591"/>
      <c r="AN158" s="591"/>
      <c r="AO158" s="591"/>
      <c r="AP158" s="591"/>
      <c r="AQ158" s="591"/>
      <c r="AS158" s="591"/>
      <c r="AT158" s="591"/>
      <c r="AU158" s="591"/>
      <c r="AV158" s="591"/>
      <c r="AW158" s="591"/>
      <c r="AY158" s="591"/>
    </row>
    <row r="159" spans="1:51" ht="15" hidden="1" customHeight="1" x14ac:dyDescent="0.2">
      <c r="A159" s="2"/>
      <c r="B159" s="2"/>
      <c r="C159" s="2"/>
      <c r="D159" s="2"/>
      <c r="E159" s="288"/>
      <c r="F159" s="56"/>
      <c r="G159" s="376" t="str">
        <f>MID(G1,1,2)</f>
        <v>--</v>
      </c>
      <c r="H159" s="376" t="str">
        <f>MID(H1,1,2)</f>
        <v>--</v>
      </c>
      <c r="I159" s="376" t="str">
        <f>MID(K1,1,2)</f>
        <v>--</v>
      </c>
      <c r="J159" s="376" t="str">
        <f>MID(N1,1,2)</f>
        <v>--</v>
      </c>
      <c r="K159" s="2100" t="str">
        <f>IMPOSTAZIONI!B354</f>
        <v>TIPO</v>
      </c>
      <c r="L159" s="2100"/>
      <c r="M159" s="2"/>
      <c r="N159" s="2"/>
      <c r="O159" s="2"/>
      <c r="P159" s="2"/>
      <c r="Q159" s="2"/>
      <c r="R159" s="2"/>
      <c r="S159" s="591"/>
      <c r="T159" s="591"/>
      <c r="U159" s="591"/>
      <c r="V159" s="591"/>
      <c r="W159" s="591"/>
      <c r="X159" s="591"/>
      <c r="Y159" s="591"/>
      <c r="Z159" s="591"/>
      <c r="AA159" s="591"/>
      <c r="AB159" s="591"/>
      <c r="AC159" s="591"/>
      <c r="AG159" s="591"/>
      <c r="AH159" s="591"/>
      <c r="AI159" s="591"/>
      <c r="AJ159" s="591"/>
      <c r="AK159" s="591"/>
      <c r="AM159" s="591"/>
      <c r="AN159" s="591"/>
      <c r="AO159" s="591"/>
      <c r="AP159" s="591"/>
      <c r="AQ159" s="591"/>
      <c r="AS159" s="591"/>
      <c r="AT159" s="591"/>
      <c r="AU159" s="591"/>
      <c r="AV159" s="591"/>
      <c r="AW159" s="591"/>
      <c r="AY159" s="591"/>
    </row>
    <row r="160" spans="1:51" ht="15" hidden="1" customHeight="1" x14ac:dyDescent="0.2">
      <c r="A160" s="2"/>
      <c r="B160" s="2"/>
      <c r="C160" s="2"/>
      <c r="D160" s="2"/>
      <c r="E160" s="288"/>
      <c r="F160" s="56"/>
      <c r="G160" s="951">
        <f>SUM(G101:G104)</f>
        <v>0</v>
      </c>
      <c r="H160" s="377">
        <f>SUM(H101:H104)</f>
        <v>0</v>
      </c>
      <c r="I160" s="377">
        <f>SUM(K101:K104)</f>
        <v>0</v>
      </c>
      <c r="J160" s="377">
        <f>SUM(N101:N104)</f>
        <v>0</v>
      </c>
      <c r="K160" s="2107" t="s">
        <v>529</v>
      </c>
      <c r="L160" s="2107"/>
      <c r="M160" s="14"/>
      <c r="N160" s="14"/>
      <c r="O160" s="14"/>
      <c r="P160" s="14"/>
      <c r="Q160" s="14"/>
      <c r="R160" s="2"/>
      <c r="S160" s="591"/>
      <c r="T160" s="591"/>
      <c r="U160" s="591"/>
      <c r="V160" s="591"/>
      <c r="W160" s="591"/>
      <c r="X160" s="591"/>
      <c r="Y160" s="591"/>
      <c r="Z160" s="591"/>
      <c r="AA160" s="591"/>
      <c r="AB160" s="591"/>
      <c r="AC160" s="591"/>
      <c r="AG160" s="591"/>
      <c r="AH160" s="591"/>
      <c r="AI160" s="591"/>
      <c r="AJ160" s="591"/>
      <c r="AK160" s="591"/>
      <c r="AM160" s="591"/>
      <c r="AN160" s="591"/>
      <c r="AO160" s="591"/>
      <c r="AP160" s="591"/>
      <c r="AQ160" s="591"/>
      <c r="AS160" s="591"/>
      <c r="AT160" s="591"/>
      <c r="AU160" s="591"/>
      <c r="AV160" s="591"/>
      <c r="AW160" s="591"/>
      <c r="AY160" s="591"/>
    </row>
    <row r="161" spans="1:51" ht="15" hidden="1" customHeight="1" x14ac:dyDescent="0.2">
      <c r="A161" s="2"/>
      <c r="B161" s="2"/>
      <c r="C161" s="2"/>
      <c r="D161" s="2"/>
      <c r="E161" s="72"/>
      <c r="F161" s="2"/>
      <c r="G161" s="950">
        <f>IF(AND(G42=$K134,G62=$L135),G48,0)</f>
        <v>0</v>
      </c>
      <c r="H161" s="950">
        <f>IF(AND(H42=$K134,H62=$L135),H48,0)</f>
        <v>0</v>
      </c>
      <c r="I161" s="950">
        <f>IF(AND(K42=$K134,K62=$L135),K48,0)</f>
        <v>0</v>
      </c>
      <c r="J161" s="950">
        <f>IF(AND(N42=$K134,N62=$L135),N48,0)</f>
        <v>0</v>
      </c>
      <c r="K161" s="211"/>
      <c r="L161" s="211"/>
      <c r="M161" s="211"/>
      <c r="N161" s="211"/>
      <c r="O161" s="211"/>
      <c r="P161" s="211"/>
      <c r="Q161" s="211"/>
      <c r="R161" s="2"/>
      <c r="S161" s="591"/>
      <c r="T161" s="591"/>
      <c r="U161" s="591"/>
      <c r="V161" s="591"/>
      <c r="W161" s="591"/>
      <c r="X161" s="591"/>
      <c r="Y161" s="591"/>
      <c r="Z161" s="591"/>
      <c r="AA161" s="591"/>
      <c r="AB161" s="591"/>
      <c r="AC161" s="591"/>
      <c r="AG161" s="591"/>
      <c r="AH161" s="591"/>
      <c r="AI161" s="591"/>
      <c r="AJ161" s="591"/>
      <c r="AK161" s="591"/>
      <c r="AM161" s="591"/>
      <c r="AN161" s="591"/>
      <c r="AO161" s="591"/>
      <c r="AP161" s="591"/>
      <c r="AQ161" s="591"/>
      <c r="AS161" s="591"/>
      <c r="AT161" s="591"/>
      <c r="AU161" s="591"/>
      <c r="AV161" s="591"/>
      <c r="AW161" s="591"/>
      <c r="AY161" s="591"/>
    </row>
    <row r="162" spans="1:51" hidden="1" x14ac:dyDescent="0.2">
      <c r="A162" s="2"/>
      <c r="B162" s="2086">
        <f>Presentazione!Q13</f>
        <v>45292</v>
      </c>
      <c r="C162" s="2087"/>
      <c r="D162" s="2088"/>
      <c r="E162" s="288" t="str">
        <f>CONCATENATE(CASSA!X485,"    ")</f>
        <v xml:space="preserve">Chiuso    </v>
      </c>
      <c r="F162" s="2"/>
      <c r="G162" s="950">
        <f>IF(G62&lt;&gt;$L134,G48-G161,0)</f>
        <v>0</v>
      </c>
      <c r="H162" s="950">
        <f>IF(H62&lt;&gt;$L134,H48-H161,0)</f>
        <v>0</v>
      </c>
      <c r="I162" s="950">
        <f>IF(K62&lt;&gt;$L134,K48-I161,0)</f>
        <v>0</v>
      </c>
      <c r="J162" s="950">
        <f>IF(N62&lt;&gt;$L134,N48-J161,0)</f>
        <v>0</v>
      </c>
      <c r="K162" s="2"/>
      <c r="L162" s="2"/>
      <c r="M162" s="2"/>
      <c r="N162" s="2"/>
      <c r="O162" s="2"/>
      <c r="P162" s="2"/>
      <c r="Q162" s="2"/>
      <c r="R162" s="2"/>
      <c r="S162" s="591"/>
      <c r="T162" s="591"/>
      <c r="U162" s="591"/>
      <c r="V162" s="591"/>
      <c r="W162" s="591"/>
      <c r="X162" s="591"/>
      <c r="Y162" s="591"/>
      <c r="Z162" s="591"/>
      <c r="AA162" s="591"/>
      <c r="AB162" s="591"/>
      <c r="AC162" s="591"/>
      <c r="AG162" s="591"/>
      <c r="AH162" s="591"/>
      <c r="AI162" s="591"/>
      <c r="AJ162" s="591"/>
      <c r="AK162" s="591"/>
      <c r="AM162" s="591"/>
      <c r="AN162" s="591"/>
      <c r="AO162" s="591"/>
      <c r="AP162" s="591"/>
      <c r="AQ162" s="591"/>
      <c r="AS162" s="591"/>
      <c r="AT162" s="591"/>
      <c r="AU162" s="591"/>
      <c r="AV162" s="591"/>
      <c r="AW162" s="591"/>
      <c r="AY162" s="591"/>
    </row>
    <row r="163" spans="1:51" ht="15" hidden="1" customHeight="1" x14ac:dyDescent="0.2">
      <c r="A163" s="2"/>
      <c r="B163" s="2086">
        <f>Presentazione!R13</f>
        <v>45382</v>
      </c>
      <c r="C163" s="2087"/>
      <c r="D163" s="2088"/>
      <c r="E163" s="288" t="str">
        <f>CONCATENATE(IMPOSTAZIONI!L188,"    ")</f>
        <v xml:space="preserve">ERROR    </v>
      </c>
      <c r="F163" s="232"/>
      <c r="G163" s="233" t="s">
        <v>299</v>
      </c>
      <c r="H163" s="60">
        <f>IMPOSTAZIONI!N387</f>
        <v>18</v>
      </c>
      <c r="I163" s="288">
        <f>IMPOSTAZIONI!Y153</f>
        <v>0</v>
      </c>
      <c r="J163" s="140" t="s">
        <v>463</v>
      </c>
      <c r="K163" s="233" t="s">
        <v>549</v>
      </c>
      <c r="L163" s="60">
        <f>Presentazione!E159</f>
        <v>0</v>
      </c>
      <c r="M163" s="170" t="s">
        <v>398</v>
      </c>
      <c r="N163" s="79">
        <v>1</v>
      </c>
      <c r="O163" s="508">
        <f>IF(OR(COUNTIF(G99:N99,E152)&gt;0,COUNTIF(G99:N99,K152)&gt;0,COUNTIF(G99:N99,L152)&gt;0,COUNTIF(G105:N105,E152)&gt;0,COUNTIF(G105:N105,K152)&gt;0,COUNTIF(G105:N105,L152)&gt;0,COUNTIF(C101:F104,"ERROR")&gt;0,COUNTIF(E8:F38,E163)&gt;0),1,0)</f>
        <v>0</v>
      </c>
      <c r="P163" s="509" t="s">
        <v>550</v>
      </c>
      <c r="Q163" s="2"/>
      <c r="R163" s="2"/>
      <c r="S163" s="591"/>
      <c r="T163" s="591"/>
      <c r="U163" s="591"/>
      <c r="V163" s="591"/>
      <c r="W163" s="591"/>
      <c r="X163" s="591"/>
      <c r="Y163" s="591"/>
      <c r="Z163" s="591"/>
      <c r="AA163" s="591"/>
      <c r="AB163" s="591"/>
      <c r="AC163" s="591"/>
      <c r="AG163" s="591"/>
      <c r="AH163" s="591"/>
      <c r="AI163" s="591"/>
      <c r="AJ163" s="591"/>
      <c r="AK163" s="591"/>
      <c r="AM163" s="591"/>
      <c r="AN163" s="591"/>
      <c r="AO163" s="591"/>
      <c r="AP163" s="591"/>
      <c r="AQ163" s="591"/>
      <c r="AS163" s="591"/>
      <c r="AT163" s="591"/>
      <c r="AU163" s="591"/>
      <c r="AV163" s="591"/>
      <c r="AW163" s="591"/>
      <c r="AY163" s="591"/>
    </row>
    <row r="164" spans="1:51" ht="15" hidden="1" customHeight="1" x14ac:dyDescent="0.2">
      <c r="A164" s="2"/>
      <c r="B164" s="2"/>
      <c r="C164" s="2"/>
      <c r="D164" s="2"/>
      <c r="E164" s="2"/>
      <c r="F164" s="2"/>
      <c r="G164" s="950">
        <f>IF(G42=$K134,0,G87)</f>
        <v>0</v>
      </c>
      <c r="H164" s="950">
        <f>IF(H42=$K134,0,H87)</f>
        <v>0</v>
      </c>
      <c r="I164" s="950">
        <f>IF(K42=$K134,0,I87)</f>
        <v>0</v>
      </c>
      <c r="J164" s="950">
        <f>IF(N42=$K134,0,K87)</f>
        <v>0</v>
      </c>
      <c r="K164" s="2"/>
      <c r="L164" s="2"/>
      <c r="M164" s="2"/>
      <c r="N164" s="2"/>
      <c r="O164" s="2"/>
      <c r="P164" s="2"/>
      <c r="Q164" s="2"/>
      <c r="R164" s="2"/>
      <c r="S164" s="591"/>
      <c r="T164" s="591"/>
      <c r="U164" s="591"/>
      <c r="V164" s="591"/>
      <c r="W164" s="591"/>
      <c r="X164" s="591"/>
      <c r="Y164" s="591"/>
      <c r="Z164" s="591"/>
      <c r="AA164" s="591"/>
      <c r="AB164" s="591"/>
      <c r="AC164" s="591"/>
      <c r="AG164" s="591"/>
      <c r="AH164" s="591"/>
      <c r="AI164" s="591"/>
      <c r="AJ164" s="591"/>
      <c r="AK164" s="591"/>
      <c r="AM164" s="591"/>
      <c r="AN164" s="591"/>
      <c r="AO164" s="591"/>
      <c r="AP164" s="591"/>
      <c r="AQ164" s="591"/>
      <c r="AS164" s="591"/>
      <c r="AT164" s="591"/>
      <c r="AU164" s="591"/>
      <c r="AV164" s="591"/>
      <c r="AW164" s="591"/>
      <c r="AY164" s="591"/>
    </row>
    <row r="165" spans="1:51" hidden="1" x14ac:dyDescent="0.2">
      <c r="A165" s="2"/>
      <c r="B165" s="2"/>
      <c r="C165" s="2"/>
      <c r="D165" s="2"/>
      <c r="E165" s="2"/>
      <c r="F165" s="2"/>
      <c r="G165" s="2"/>
      <c r="H165" s="2"/>
      <c r="I165" s="2"/>
      <c r="J165" s="2"/>
      <c r="K165" s="2"/>
      <c r="L165" s="2"/>
      <c r="M165" s="2"/>
      <c r="N165" s="2"/>
      <c r="O165" s="2"/>
      <c r="P165" s="2"/>
      <c r="Q165" s="2"/>
      <c r="R165" s="2"/>
      <c r="S165" s="591"/>
      <c r="T165" s="591"/>
      <c r="U165" s="591"/>
      <c r="V165" s="591"/>
      <c r="W165" s="591"/>
      <c r="X165" s="591"/>
      <c r="Y165" s="591"/>
      <c r="Z165" s="591"/>
      <c r="AA165" s="591"/>
      <c r="AB165" s="591"/>
      <c r="AC165" s="591"/>
      <c r="AG165" s="591"/>
      <c r="AH165" s="591"/>
      <c r="AI165" s="591"/>
      <c r="AJ165" s="591"/>
      <c r="AK165" s="591"/>
      <c r="AM165" s="591"/>
      <c r="AN165" s="591"/>
      <c r="AO165" s="591"/>
      <c r="AP165" s="591"/>
      <c r="AQ165" s="591"/>
      <c r="AS165" s="591"/>
      <c r="AT165" s="591"/>
      <c r="AU165" s="591"/>
      <c r="AV165" s="591"/>
      <c r="AW165" s="591"/>
      <c r="AY165" s="591"/>
    </row>
    <row r="166" spans="1:51" ht="22.5" customHeight="1" x14ac:dyDescent="0.2">
      <c r="A166" s="2"/>
      <c r="B166" s="2"/>
      <c r="C166" s="2"/>
      <c r="D166" s="2"/>
      <c r="E166" s="2"/>
      <c r="F166" s="2"/>
      <c r="G166" s="624">
        <v>1</v>
      </c>
      <c r="H166" s="624">
        <v>2</v>
      </c>
      <c r="I166" s="2229">
        <v>5</v>
      </c>
      <c r="J166" s="2229"/>
      <c r="K166" s="624">
        <v>8</v>
      </c>
      <c r="L166" s="2"/>
      <c r="M166" s="2228" t="s">
        <v>193</v>
      </c>
      <c r="N166" s="2228"/>
      <c r="O166" s="2"/>
      <c r="P166" s="2"/>
      <c r="Q166" s="2"/>
      <c r="R166" s="591"/>
      <c r="S166" s="591"/>
      <c r="T166" s="591"/>
      <c r="U166" s="591"/>
      <c r="V166" s="591"/>
      <c r="W166" s="591"/>
      <c r="X166" s="591"/>
      <c r="Y166" s="591"/>
      <c r="Z166" s="591"/>
      <c r="AA166" s="591"/>
      <c r="AB166" s="591"/>
      <c r="AC166" s="591"/>
      <c r="AG166" s="591"/>
      <c r="AS166" s="591"/>
    </row>
    <row r="167" spans="1:51" ht="18" customHeight="1" x14ac:dyDescent="0.2">
      <c r="A167" s="2"/>
      <c r="B167" s="2"/>
      <c r="C167" s="2084" t="s">
        <v>175</v>
      </c>
      <c r="D167" s="2084"/>
      <c r="E167" s="2085">
        <f>E43</f>
        <v>2024</v>
      </c>
      <c r="F167" s="2085">
        <f>F43</f>
        <v>0</v>
      </c>
      <c r="G167" s="590" t="str">
        <f>G43</f>
        <v/>
      </c>
      <c r="H167" s="590" t="str">
        <f>H43</f>
        <v/>
      </c>
      <c r="I167" s="2232" t="str">
        <f>K43</f>
        <v/>
      </c>
      <c r="J167" s="2232"/>
      <c r="K167" s="590" t="str">
        <f>N43</f>
        <v/>
      </c>
      <c r="L167" s="2"/>
      <c r="M167" s="908" t="s">
        <v>717</v>
      </c>
      <c r="N167" s="2"/>
      <c r="O167" s="2"/>
      <c r="P167" s="2"/>
      <c r="Q167" s="2"/>
      <c r="R167" s="591"/>
      <c r="S167" s="591"/>
      <c r="T167" s="591"/>
      <c r="U167" s="591"/>
      <c r="V167" s="591"/>
      <c r="W167" s="591"/>
      <c r="X167" s="591"/>
      <c r="Y167" s="591"/>
      <c r="Z167" s="591"/>
      <c r="AA167" s="591"/>
      <c r="AB167" s="591"/>
      <c r="AC167" s="591"/>
      <c r="AG167" s="591"/>
      <c r="AS167" s="591"/>
    </row>
    <row r="168" spans="1:51" ht="22.5" customHeight="1" x14ac:dyDescent="0.2">
      <c r="A168" s="2"/>
      <c r="B168" s="2"/>
      <c r="C168" s="2091" t="s">
        <v>298</v>
      </c>
      <c r="D168" s="2091"/>
      <c r="E168" s="2091"/>
      <c r="F168" s="2091"/>
      <c r="G168" s="57" t="str">
        <f>G44</f>
        <v/>
      </c>
      <c r="H168" s="57" t="str">
        <f>H44</f>
        <v/>
      </c>
      <c r="I168" s="2230" t="str">
        <f>K44</f>
        <v/>
      </c>
      <c r="J168" s="2230"/>
      <c r="K168" s="57" t="str">
        <f>N44</f>
        <v/>
      </c>
      <c r="L168" s="2"/>
      <c r="M168" s="2228" t="s">
        <v>719</v>
      </c>
      <c r="N168" s="2228"/>
      <c r="O168" s="2"/>
      <c r="P168" s="2"/>
      <c r="Q168" s="2"/>
      <c r="R168" s="591"/>
      <c r="S168" s="591"/>
      <c r="T168" s="591"/>
      <c r="U168" s="591"/>
      <c r="V168" s="591"/>
      <c r="W168" s="591"/>
      <c r="X168" s="591"/>
      <c r="Y168" s="591"/>
      <c r="Z168" s="591"/>
      <c r="AA168" s="591"/>
      <c r="AB168" s="591"/>
      <c r="AC168" s="591"/>
      <c r="AG168" s="591"/>
      <c r="AS168" s="591"/>
    </row>
    <row r="169" spans="1:51" ht="19.5" customHeight="1" x14ac:dyDescent="0.2">
      <c r="A169" s="2"/>
      <c r="B169" s="2"/>
      <c r="C169" s="2094" t="str">
        <f>C95</f>
        <v>01/11 - 30/11</v>
      </c>
      <c r="D169" s="2095"/>
      <c r="E169" s="2095"/>
      <c r="F169" s="2095"/>
      <c r="G169" s="90" t="str">
        <f>G45</f>
        <v/>
      </c>
      <c r="H169" s="90" t="str">
        <f>H45</f>
        <v/>
      </c>
      <c r="I169" s="2231" t="str">
        <f>K45</f>
        <v/>
      </c>
      <c r="J169" s="2231"/>
      <c r="K169" s="90" t="str">
        <f>N45</f>
        <v/>
      </c>
      <c r="L169" s="2"/>
      <c r="M169" s="12"/>
      <c r="N169" s="2"/>
      <c r="O169" s="2"/>
      <c r="P169" s="2"/>
      <c r="Q169" s="2"/>
      <c r="R169" s="591"/>
      <c r="S169" s="591"/>
      <c r="T169" s="591"/>
      <c r="U169" s="591"/>
      <c r="V169" s="591"/>
      <c r="W169" s="591"/>
      <c r="X169" s="591"/>
      <c r="Y169" s="591"/>
      <c r="Z169" s="591"/>
      <c r="AA169" s="591"/>
      <c r="AB169" s="591"/>
      <c r="AC169" s="591"/>
      <c r="AG169" s="591"/>
      <c r="AS169" s="591"/>
    </row>
    <row r="170" spans="1:51" ht="7.5" customHeight="1" x14ac:dyDescent="0.2">
      <c r="A170" s="2"/>
      <c r="B170" s="2"/>
      <c r="C170" s="2089"/>
      <c r="D170" s="2090"/>
      <c r="E170" s="484"/>
      <c r="F170" s="2"/>
      <c r="G170" s="597">
        <f>IF(AND(G$180&lt;&gt;0,G$180&gt;0),IF(($E$171*9)&gt;=G$180,0,1),IF(AND(G$180&lt;&gt;0,G$180&lt;0),IF(($E$171*9)&lt;=G$180,0,1),0))</f>
        <v>0</v>
      </c>
      <c r="H170" s="597">
        <f>IF(AND(H$180&lt;&gt;0,H$180&gt;0),IF(($E$171*9)&gt;=H$180,0,1),IF(AND(H$180&lt;&gt;0,H$180&lt;0),IF(($E$171*9)&lt;=H$180,0,1),0))</f>
        <v>0</v>
      </c>
      <c r="I170" s="2104">
        <f>IF(AND(I$180&lt;&gt;0,I$180&gt;0),IF(($E$171*9)&gt;=I$180,0,1),IF(AND(I$180&lt;&gt;0,I$180&lt;0),IF(($E$171*9)&lt;=I$180,0,1),0))</f>
        <v>0</v>
      </c>
      <c r="J170" s="2105"/>
      <c r="K170" s="597">
        <f>IF(AND(K$180&lt;&gt;0,K$180&gt;0),IF(($E$171*9)&gt;=K$180,0,1),IF(AND(K$180&lt;&gt;0,K$180&lt;0),IF(($E$171*9)&lt;=K$180,0,1),0))</f>
        <v>0</v>
      </c>
      <c r="L170" s="2"/>
      <c r="M170" s="2"/>
      <c r="N170" s="2"/>
      <c r="O170" s="2"/>
      <c r="P170" s="2"/>
      <c r="Q170" s="2"/>
      <c r="R170" s="591"/>
      <c r="S170" s="591"/>
      <c r="T170" s="591"/>
      <c r="U170" s="591"/>
      <c r="V170" s="591"/>
      <c r="W170" s="591"/>
      <c r="X170" s="591"/>
      <c r="Y170" s="591"/>
      <c r="Z170" s="591"/>
      <c r="AA170" s="591"/>
      <c r="AB170" s="591"/>
      <c r="AC170" s="591"/>
      <c r="AG170" s="591"/>
      <c r="AS170" s="591"/>
    </row>
    <row r="171" spans="1:51" ht="7.5" customHeight="1" x14ac:dyDescent="0.2">
      <c r="A171" s="2"/>
      <c r="B171" s="2"/>
      <c r="C171" s="2096" t="s">
        <v>587</v>
      </c>
      <c r="D171" s="2096"/>
      <c r="E171" s="2098">
        <f>IF(OR(M166=0,M168=""),0,IF(M168=E220,E221,MAX(G180:K180)/10))</f>
        <v>0</v>
      </c>
      <c r="F171" s="2"/>
      <c r="G171" s="598">
        <f>IF(AND(G$180&lt;&gt;0,G$180&gt;0),IF(($E$171*8)&gt;=G$180,0,1),IF(AND(G$180&lt;&gt;0,G$180&lt;0),IF(($E$171*8)&lt;=G$180,0,1),0))</f>
        <v>0</v>
      </c>
      <c r="H171" s="598">
        <f>IF(AND(H$180&lt;&gt;0,H$180&gt;0),IF(($E$171*8)&gt;=H$180,0,1),IF(AND(H$180&lt;&gt;0,H$180&lt;0),IF(($E$171*8)&lt;=H$180,0,1),0))</f>
        <v>0</v>
      </c>
      <c r="I171" s="2061">
        <f>IF(AND(I$180&lt;&gt;0,I$180&gt;0),IF(($E$171*8)&gt;=I$180,0,1),IF(AND(I$180&lt;&gt;0,I$180&lt;0),IF(($E$171*8)&lt;=I$180,0,1),0))</f>
        <v>0</v>
      </c>
      <c r="J171" s="2062"/>
      <c r="K171" s="598">
        <f>IF(AND(K$180&lt;&gt;0,K$180&gt;0),IF(($E$171*8)&gt;=K$180,0,1),IF(AND(K$180&lt;&gt;0,K$180&lt;0),IF(($E$171*8)&lt;=K$180,0,1),0))</f>
        <v>0</v>
      </c>
      <c r="L171" s="2"/>
      <c r="M171" s="2"/>
      <c r="N171" s="2"/>
      <c r="O171" s="2"/>
      <c r="P171" s="2"/>
      <c r="Q171" s="2"/>
      <c r="R171" s="591"/>
      <c r="S171" s="591"/>
      <c r="T171" s="591"/>
      <c r="U171" s="591"/>
      <c r="V171" s="591"/>
      <c r="W171" s="591"/>
      <c r="X171" s="591"/>
      <c r="AA171" s="591"/>
      <c r="AB171" s="591"/>
      <c r="AC171" s="591"/>
      <c r="AG171" s="591"/>
      <c r="AS171" s="591"/>
    </row>
    <row r="172" spans="1:51" ht="7.5" customHeight="1" x14ac:dyDescent="0.2">
      <c r="A172" s="2"/>
      <c r="B172" s="2"/>
      <c r="C172" s="2097"/>
      <c r="D172" s="2097"/>
      <c r="E172" s="2098"/>
      <c r="F172" s="2"/>
      <c r="G172" s="598">
        <f>IF(AND(G$180&lt;&gt;0,G$180&gt;0),IF(($E$171*7)&gt;=G$180,0,1),IF(AND(G$180&lt;&gt;0,G$180&lt;0),IF(($E$171*7)&lt;=G$180,0,1),0))</f>
        <v>0</v>
      </c>
      <c r="H172" s="598">
        <f>IF(AND(H$180&lt;&gt;0,H$180&gt;0),IF(($E$171*7)&gt;=H$180,0,1),IF(AND(H$180&lt;&gt;0,H$180&lt;0),IF(($E$171*7)&lt;=H$180,0,1),0))</f>
        <v>0</v>
      </c>
      <c r="I172" s="2061">
        <f>IF(AND(I$180&lt;&gt;0,I$180&gt;0),IF(($E$171*7)&gt;=I$180,0,1),IF(AND(I$180&lt;&gt;0,I$180&lt;0),IF(($E$171*7)&lt;=I$180,0,1),0))</f>
        <v>0</v>
      </c>
      <c r="J172" s="2062"/>
      <c r="K172" s="598">
        <f>IF(AND(K$180&lt;&gt;0,K$180&gt;0),IF(($E$171*7)&gt;=K$180,0,1),IF(AND(K$180&lt;&gt;0,K$180&lt;0),IF(($E$171*7)&lt;=K$180,0,1),0))</f>
        <v>0</v>
      </c>
      <c r="L172" s="2"/>
      <c r="M172" s="2"/>
      <c r="N172" s="2"/>
      <c r="O172" s="2"/>
      <c r="P172" s="2"/>
      <c r="Q172" s="2"/>
      <c r="R172" s="591"/>
      <c r="S172" s="591"/>
      <c r="T172" s="591"/>
      <c r="U172" s="591"/>
      <c r="V172" s="591"/>
      <c r="W172" s="591"/>
      <c r="X172" s="591"/>
      <c r="AA172" s="591"/>
      <c r="AB172" s="591"/>
      <c r="AC172" s="591"/>
      <c r="AG172" s="591"/>
      <c r="AS172" s="591"/>
    </row>
    <row r="173" spans="1:51" ht="7.5" customHeight="1" x14ac:dyDescent="0.2">
      <c r="A173" s="2"/>
      <c r="B173" s="2"/>
      <c r="C173" s="2"/>
      <c r="D173" s="2"/>
      <c r="E173" s="2"/>
      <c r="F173" s="2"/>
      <c r="G173" s="598">
        <f>IF(AND(G$180&lt;&gt;0,G$180&gt;0),IF(($E$171*6)&gt;=G$180,0,1),IF(AND(G$180&lt;&gt;0,G$180&lt;0),IF(($E$171*6)&lt;=G$180,0,1),0))</f>
        <v>0</v>
      </c>
      <c r="H173" s="598">
        <f>IF(AND(H$180&lt;&gt;0,H$180&gt;0),IF(($E$171*6)&gt;=H$180,0,1),IF(AND(H$180&lt;&gt;0,H$180&lt;0),IF(($E$171*6)&lt;=H$180,0,1),0))</f>
        <v>0</v>
      </c>
      <c r="I173" s="2061">
        <f>IF(AND(I$180&lt;&gt;0,I$180&gt;0),IF(($E$171*6)&gt;=I$180,0,1),IF(AND(I$180&lt;&gt;0,I$180&lt;0),IF(($E$171*6)&lt;=I$180,0,1),0))</f>
        <v>0</v>
      </c>
      <c r="J173" s="2062"/>
      <c r="K173" s="598">
        <f>IF(AND(K$180&lt;&gt;0,K$180&gt;0),IF(($E$171*6)&gt;=K$180,0,1),IF(AND(K$180&lt;&gt;0,K$180&lt;0),IF(($E$171*6)&lt;=K$180,0,1),0))</f>
        <v>0</v>
      </c>
      <c r="L173" s="2"/>
      <c r="M173" s="2"/>
      <c r="N173" s="2"/>
      <c r="O173" s="2"/>
      <c r="P173" s="2"/>
      <c r="Q173" s="2"/>
      <c r="R173" s="591"/>
      <c r="S173" s="591"/>
      <c r="T173" s="591"/>
      <c r="U173" s="591"/>
      <c r="V173" s="591"/>
      <c r="W173" s="591"/>
      <c r="X173" s="591"/>
      <c r="AA173" s="591"/>
      <c r="AB173" s="591"/>
      <c r="AC173" s="591"/>
      <c r="AG173" s="591"/>
      <c r="AS173" s="591"/>
    </row>
    <row r="174" spans="1:51" ht="7.5" customHeight="1" x14ac:dyDescent="0.2">
      <c r="A174" s="2"/>
      <c r="B174" s="2"/>
      <c r="C174" s="2"/>
      <c r="D174" s="2"/>
      <c r="E174" s="2"/>
      <c r="F174" s="2"/>
      <c r="G174" s="598">
        <f>IF(AND(G$180&lt;&gt;0,G$180&gt;0),IF(($E$171*5)&gt;=G$180,0,1),IF(AND(G$180&lt;&gt;0,G$180&lt;0),IF(($E$171*5)&lt;=G$180,0,1),0))</f>
        <v>0</v>
      </c>
      <c r="H174" s="598">
        <f>IF(AND(H$180&lt;&gt;0,H$180&gt;0),IF(($E$171*5)&gt;=H$180,0,1),IF(AND(H$180&lt;&gt;0,H$180&lt;0),IF(($E$171*5)&lt;=H$180,0,1),0))</f>
        <v>0</v>
      </c>
      <c r="I174" s="2061">
        <f>IF(AND(I$180&lt;&gt;0,I$180&gt;0),IF(($E$171*5)&gt;=I$180,0,1),IF(AND(I$180&lt;&gt;0,I$180&lt;0),IF(($E$171*5)&lt;=I$180,0,1),0))</f>
        <v>0</v>
      </c>
      <c r="J174" s="2062"/>
      <c r="K174" s="598">
        <f>IF(AND(K$180&lt;&gt;0,K$180&gt;0),IF(($E$171*5)&gt;=K$180,0,1),IF(AND(K$180&lt;&gt;0,K$180&lt;0),IF(($E$171*5)&lt;=K$180,0,1),0))</f>
        <v>0</v>
      </c>
      <c r="L174" s="2"/>
      <c r="M174" s="2"/>
      <c r="N174" s="2"/>
      <c r="O174" s="2"/>
      <c r="P174" s="2"/>
      <c r="Q174" s="2"/>
      <c r="R174" s="591"/>
      <c r="S174" s="591"/>
      <c r="T174" s="591"/>
      <c r="U174" s="591"/>
      <c r="V174" s="591"/>
      <c r="W174" s="591"/>
      <c r="X174" s="591"/>
      <c r="AA174" s="591"/>
      <c r="AB174" s="591"/>
      <c r="AC174" s="591"/>
      <c r="AG174" s="591"/>
      <c r="AS174" s="591"/>
    </row>
    <row r="175" spans="1:51" ht="7.5" customHeight="1" x14ac:dyDescent="0.2">
      <c r="A175" s="2"/>
      <c r="B175" s="2"/>
      <c r="C175" s="2"/>
      <c r="D175" s="2"/>
      <c r="E175" s="2"/>
      <c r="F175" s="2"/>
      <c r="G175" s="598">
        <f>IF(AND(G$180&lt;&gt;0,G$180&gt;0),IF(($E$171*4)&gt;=G$180,0,1),IF(AND(G$180&lt;&gt;0,G$180&lt;0),IF(($E$171*4)&lt;=G$180,0,1),0))</f>
        <v>0</v>
      </c>
      <c r="H175" s="598">
        <f>IF(AND(H$180&lt;&gt;0,H$180&gt;0),IF(($E$171*4)&gt;=H$180,0,1),IF(AND(H$180&lt;&gt;0,H$180&lt;0),IF(($E$171*4)&lt;=H$180,0,1),0))</f>
        <v>0</v>
      </c>
      <c r="I175" s="2061">
        <f>IF(AND(I$180&lt;&gt;0,I$180&gt;0),IF(($E$171*4)&gt;=I$180,0,1),IF(AND(I$180&lt;&gt;0,I$180&lt;0),IF(($E$171*4)&lt;=I$180,0,1),0))</f>
        <v>0</v>
      </c>
      <c r="J175" s="2062"/>
      <c r="K175" s="598">
        <f>IF(AND(K$180&lt;&gt;0,K$180&gt;0),IF(($E$171*4)&gt;=K$180,0,1),IF(AND(K$180&lt;&gt;0,K$180&lt;0),IF(($E$171*4)&lt;=K$180,0,1),0))</f>
        <v>0</v>
      </c>
      <c r="L175" s="2"/>
      <c r="M175" s="2"/>
      <c r="N175" s="2"/>
      <c r="O175" s="2"/>
      <c r="P175" s="2"/>
      <c r="Q175" s="2"/>
      <c r="R175" s="591"/>
      <c r="S175" s="591"/>
      <c r="T175" s="591"/>
      <c r="U175" s="591"/>
      <c r="V175" s="591"/>
      <c r="W175" s="591"/>
      <c r="X175" s="591"/>
      <c r="AA175" s="591"/>
      <c r="AB175" s="591"/>
      <c r="AC175" s="591"/>
      <c r="AG175" s="591"/>
      <c r="AS175" s="591"/>
    </row>
    <row r="176" spans="1:51" ht="7.5" customHeight="1" x14ac:dyDescent="0.2">
      <c r="A176" s="2"/>
      <c r="B176" s="2"/>
      <c r="C176" s="2"/>
      <c r="D176" s="2"/>
      <c r="E176" s="2"/>
      <c r="F176" s="2"/>
      <c r="G176" s="598">
        <f>IF(AND(G$180&lt;&gt;0,G$180&gt;0),IF(($E$171*3)&gt;=G$180,0,1),IF(AND(G$180&lt;&gt;0,G$180&lt;0),IF(($E$171*3)&lt;=G$180,0,1),0))</f>
        <v>0</v>
      </c>
      <c r="H176" s="598">
        <f>IF(AND(H$180&lt;&gt;0,H$180&gt;0),IF(($E$171*3)&gt;=H$180,0,1),IF(AND(H$180&lt;&gt;0,H$180&lt;0),IF(($E$171*3)&lt;=H$180,0,1),0))</f>
        <v>0</v>
      </c>
      <c r="I176" s="2061">
        <f>IF(AND(I$180&lt;&gt;0,I$180&gt;0),IF(($E$171*3)&gt;=I$180,0,1),IF(AND(I$180&lt;&gt;0,I$180&lt;0),IF(($E$171*3)&lt;=I$180,0,1),0))</f>
        <v>0</v>
      </c>
      <c r="J176" s="2062"/>
      <c r="K176" s="598">
        <f>IF(AND(K$180&lt;&gt;0,K$180&gt;0),IF(($E$171*3)&gt;=K$180,0,1),IF(AND(K$180&lt;&gt;0,K$180&lt;0),IF(($E$171*3)&lt;=K$180,0,1),0))</f>
        <v>0</v>
      </c>
      <c r="L176" s="2"/>
      <c r="M176" s="2"/>
      <c r="N176" s="2"/>
      <c r="O176" s="2"/>
      <c r="P176" s="2"/>
      <c r="Q176" s="2"/>
      <c r="R176" s="591"/>
      <c r="S176" s="591"/>
      <c r="T176" s="591"/>
      <c r="U176" s="591"/>
      <c r="V176" s="591"/>
      <c r="W176" s="591"/>
      <c r="X176" s="591"/>
      <c r="AA176" s="591"/>
      <c r="AB176" s="591"/>
      <c r="AC176" s="591"/>
      <c r="AG176" s="591"/>
      <c r="AS176" s="591"/>
    </row>
    <row r="177" spans="1:45" ht="7.5" customHeight="1" x14ac:dyDescent="0.2">
      <c r="A177" s="2"/>
      <c r="B177" s="2"/>
      <c r="C177" s="2"/>
      <c r="D177" s="2"/>
      <c r="E177" s="2"/>
      <c r="F177" s="2"/>
      <c r="G177" s="598">
        <f>IF(AND(G$180&lt;&gt;0,G$180&gt;0),IF(($E$171*2)&gt;=G$180,0,1),IF(AND(G$180&lt;&gt;0,G$180&lt;0),IF(($E$171*2)&lt;=G$180,0,1),0))</f>
        <v>0</v>
      </c>
      <c r="H177" s="598">
        <f>IF(AND(H$180&lt;&gt;0,H$180&gt;0),IF(($E$171*2)&gt;=H$180,0,1),IF(AND(H$180&lt;&gt;0,H$180&lt;0),IF(($E$171*2)&lt;=H$180,0,1),0))</f>
        <v>0</v>
      </c>
      <c r="I177" s="2061">
        <f>IF(AND(I$180&lt;&gt;0,I$180&gt;0),IF(($E$171*2)&gt;=I$180,0,1),IF(AND(I$180&lt;&gt;0,I$180&lt;0),IF(($E$171*2)&lt;=I$180,0,1),0))</f>
        <v>0</v>
      </c>
      <c r="J177" s="2062"/>
      <c r="K177" s="598">
        <f>IF(AND(K$180&lt;&gt;0,K$180&gt;0),IF(($E$171*2)&gt;=K$180,0,1),IF(AND(K$180&lt;&gt;0,K$180&lt;0),IF(($E$171*2)&lt;=K$180,0,1),0))</f>
        <v>0</v>
      </c>
      <c r="L177" s="2"/>
      <c r="M177" s="2"/>
      <c r="N177" s="2"/>
      <c r="O177" s="2"/>
      <c r="P177" s="2"/>
      <c r="Q177" s="2"/>
      <c r="R177" s="591"/>
      <c r="S177" s="591"/>
      <c r="T177" s="591"/>
      <c r="U177" s="591"/>
      <c r="V177" s="591"/>
      <c r="W177" s="591"/>
      <c r="X177" s="591"/>
      <c r="AA177" s="591"/>
      <c r="AB177" s="591"/>
      <c r="AC177" s="591"/>
      <c r="AG177" s="591"/>
      <c r="AS177" s="591"/>
    </row>
    <row r="178" spans="1:45" ht="7.5" customHeight="1" x14ac:dyDescent="0.2">
      <c r="A178" s="2"/>
      <c r="B178" s="2"/>
      <c r="C178" s="2"/>
      <c r="D178" s="2"/>
      <c r="E178" s="2"/>
      <c r="F178" s="2"/>
      <c r="G178" s="598">
        <f>IF(AND(G$180&lt;&gt;0,G$180&gt;0),IF(($E$171*1)&gt;=G$180,0,1),IF(AND(G$180&lt;&gt;0,G$180&lt;0),IF(($E$171*1)&lt;=G$180,0,1),0))</f>
        <v>0</v>
      </c>
      <c r="H178" s="598">
        <f>IF(AND(H$180&lt;&gt;0,H$180&gt;0),IF(($E$171*1)&gt;=H$180,0,1),IF(AND(H$180&lt;&gt;0,H$180&lt;0),IF(($E$171*1)&lt;=H$180,0,1),0))</f>
        <v>0</v>
      </c>
      <c r="I178" s="2061">
        <f>IF(AND(I$180&lt;&gt;0,I$180&gt;0),IF(($E$171*1)&gt;=I$180,0,1),IF(AND(I$180&lt;&gt;0,I$180&lt;0),IF(($E$171*1)&lt;=I$180,0,1),0))</f>
        <v>0</v>
      </c>
      <c r="J178" s="2062"/>
      <c r="K178" s="598">
        <f>IF(AND(K$180&lt;&gt;0,K$180&gt;0),IF(($E$171*1)&gt;=K$180,0,1),IF(AND(K$180&lt;&gt;0,K$180&lt;0),IF(($E$171*1)&lt;=K$180,0,1),0))</f>
        <v>0</v>
      </c>
      <c r="L178" s="2"/>
      <c r="M178" s="2"/>
      <c r="N178" s="2"/>
      <c r="O178" s="2"/>
      <c r="P178" s="2"/>
      <c r="Q178" s="2"/>
      <c r="R178" s="591"/>
      <c r="S178" s="591"/>
      <c r="T178" s="591"/>
      <c r="U178" s="591"/>
      <c r="V178" s="591"/>
      <c r="W178" s="591"/>
      <c r="X178" s="591"/>
      <c r="AA178" s="591"/>
      <c r="AB178" s="591"/>
      <c r="AC178" s="591"/>
      <c r="AG178" s="591"/>
      <c r="AS178" s="591"/>
    </row>
    <row r="179" spans="1:45" ht="7.5" customHeight="1" x14ac:dyDescent="0.2">
      <c r="A179" s="2"/>
      <c r="B179" s="2"/>
      <c r="C179" s="2"/>
      <c r="D179" s="2"/>
      <c r="E179" s="2"/>
      <c r="F179" s="2"/>
      <c r="G179" s="599">
        <f>IF(G180&lt;&gt;0,1,0)</f>
        <v>0</v>
      </c>
      <c r="H179" s="599">
        <f>IF(H180&lt;&gt;0,1,0)</f>
        <v>0</v>
      </c>
      <c r="I179" s="2199">
        <f>IF(I180&lt;&gt;0,1,0)</f>
        <v>0</v>
      </c>
      <c r="J179" s="2200"/>
      <c r="K179" s="599">
        <f>IF(K180&lt;&gt;0,1,0)</f>
        <v>0</v>
      </c>
      <c r="L179" s="2"/>
      <c r="M179" s="2"/>
      <c r="N179" s="2"/>
      <c r="O179" s="2"/>
      <c r="P179" s="2"/>
      <c r="Q179" s="2"/>
      <c r="R179" s="591"/>
      <c r="S179" s="591"/>
      <c r="T179" s="591"/>
      <c r="U179" s="591"/>
      <c r="V179" s="591"/>
      <c r="W179" s="591"/>
      <c r="X179" s="591"/>
      <c r="AA179" s="591"/>
      <c r="AB179" s="591"/>
      <c r="AC179" s="591"/>
      <c r="AG179" s="591"/>
      <c r="AS179" s="591"/>
    </row>
    <row r="180" spans="1:45" ht="21.95" customHeight="1" x14ac:dyDescent="0.2">
      <c r="A180" s="2"/>
      <c r="B180" s="7"/>
      <c r="C180" s="2092" t="s">
        <v>582</v>
      </c>
      <c r="D180" s="2092"/>
      <c r="E180" s="2093">
        <f>SUM(G180:K180)</f>
        <v>0</v>
      </c>
      <c r="F180" s="2093"/>
      <c r="G180" s="623">
        <f>VLOOKUP($M166,$C46:G48,G166+4,FALSE)</f>
        <v>0</v>
      </c>
      <c r="H180" s="623">
        <f>VLOOKUP($M166,$C46:H48,H166+4,FALSE)</f>
        <v>0</v>
      </c>
      <c r="I180" s="2196">
        <f>VLOOKUP($M166,$C46:K48,I166+4,FALSE)</f>
        <v>0</v>
      </c>
      <c r="J180" s="2196"/>
      <c r="K180" s="623">
        <f>VLOOKUP($M166,$C46:N48,K166+4,FALSE)</f>
        <v>0</v>
      </c>
      <c r="L180" s="2"/>
      <c r="M180" s="12"/>
      <c r="N180" s="2"/>
      <c r="O180" s="2"/>
      <c r="P180" s="2"/>
      <c r="Q180" s="2"/>
      <c r="R180" s="591"/>
      <c r="S180" s="591"/>
      <c r="T180" s="591"/>
      <c r="U180" s="591"/>
      <c r="V180" s="591"/>
      <c r="W180" s="591"/>
      <c r="X180" s="591"/>
      <c r="AA180" s="591"/>
      <c r="AB180" s="591"/>
      <c r="AC180" s="591"/>
      <c r="AG180" s="591"/>
      <c r="AS180" s="591"/>
    </row>
    <row r="181" spans="1:45" ht="11.25" customHeight="1" x14ac:dyDescent="0.2">
      <c r="A181" s="2"/>
      <c r="B181" s="2"/>
      <c r="C181" s="2"/>
      <c r="D181" s="2"/>
      <c r="E181" s="2"/>
      <c r="F181" s="2"/>
      <c r="G181" s="2"/>
      <c r="H181" s="2"/>
      <c r="I181" s="2201"/>
      <c r="J181" s="2201"/>
      <c r="K181" s="2"/>
      <c r="L181" s="2"/>
      <c r="M181" s="2"/>
      <c r="N181" s="2"/>
      <c r="O181" s="2"/>
      <c r="P181" s="2"/>
      <c r="Q181" s="2"/>
      <c r="R181" s="591"/>
      <c r="S181" s="591"/>
      <c r="T181" s="591"/>
      <c r="U181" s="591"/>
      <c r="V181" s="591"/>
      <c r="W181" s="591"/>
      <c r="X181" s="591"/>
      <c r="AA181" s="591"/>
      <c r="AB181" s="591"/>
      <c r="AC181" s="591"/>
      <c r="AG181" s="591"/>
      <c r="AS181" s="591"/>
    </row>
    <row r="182" spans="1:45" ht="19.5" customHeight="1" x14ac:dyDescent="0.2">
      <c r="A182" s="2"/>
      <c r="B182" s="2"/>
      <c r="C182" s="2095" t="str">
        <f>CONCATENATE("01/01 - ",RIGHT(C169,5))</f>
        <v>01/01 - 30/11</v>
      </c>
      <c r="D182" s="2095"/>
      <c r="E182" s="2095"/>
      <c r="F182" s="2095"/>
      <c r="G182" s="2"/>
      <c r="H182" s="2"/>
      <c r="I182" s="2202"/>
      <c r="J182" s="2202"/>
      <c r="K182" s="2"/>
      <c r="L182" s="2"/>
      <c r="M182" s="2"/>
      <c r="N182" s="2"/>
      <c r="O182" s="2"/>
      <c r="P182" s="2"/>
      <c r="Q182" s="2"/>
      <c r="R182" s="591"/>
      <c r="S182" s="591"/>
      <c r="T182" s="591"/>
      <c r="U182" s="591"/>
      <c r="V182" s="591"/>
      <c r="W182" s="591"/>
      <c r="X182" s="591"/>
      <c r="AA182" s="591"/>
      <c r="AB182" s="591"/>
      <c r="AC182" s="591"/>
      <c r="AG182" s="591"/>
      <c r="AS182" s="591"/>
    </row>
    <row r="183" spans="1:45" ht="7.5" customHeight="1" x14ac:dyDescent="0.2">
      <c r="A183" s="2"/>
      <c r="B183" s="2"/>
      <c r="C183" s="2089"/>
      <c r="D183" s="2090"/>
      <c r="E183" s="484"/>
      <c r="F183" s="2"/>
      <c r="G183" s="597">
        <f>IF(AND(G$193&lt;&gt;0,G$193&gt;0),IF(($E$184*9)&gt;=G$193,0,1),IF(AND(G$193&lt;&gt;0,G$193&lt;0),IF(($E$184*9)&lt;=G$193,0,1),0))</f>
        <v>0</v>
      </c>
      <c r="H183" s="597">
        <f>IF(AND(H$193&lt;&gt;0,H$193&gt;0),IF(($E$184*9)&gt;=H$193,0,1),IF(AND(H$193&lt;&gt;0,H$193&lt;0),IF(($E$184*9)&lt;=H$193,0,1),0))</f>
        <v>0</v>
      </c>
      <c r="I183" s="2104">
        <f>IF(AND(I$193&lt;&gt;0,I$193&gt;0),IF(($E$184*9)&gt;=I$193,0,1),IF(AND(I$193&lt;&gt;0,I$193&lt;0),IF(($E$184*9)&lt;=I$193,0,1),0))</f>
        <v>0</v>
      </c>
      <c r="J183" s="2105"/>
      <c r="K183" s="597">
        <f>IF(AND(K$193&lt;&gt;0,K$193&gt;0),IF(($E$184*9)&gt;=K$193,0,1),IF(AND(K$193&lt;&gt;0,K$193&lt;0),IF(($E$184*9)&lt;=K$193,0,1),0))</f>
        <v>0</v>
      </c>
      <c r="L183" s="2"/>
      <c r="M183" s="2"/>
      <c r="N183" s="2"/>
      <c r="O183" s="2"/>
      <c r="P183" s="2"/>
      <c r="Q183" s="2"/>
      <c r="R183" s="591"/>
      <c r="S183" s="591"/>
      <c r="T183" s="591"/>
      <c r="U183" s="591"/>
      <c r="V183" s="591"/>
      <c r="W183" s="591"/>
      <c r="X183" s="591"/>
      <c r="AA183" s="591"/>
      <c r="AB183" s="591"/>
      <c r="AC183" s="591"/>
      <c r="AG183" s="591"/>
      <c r="AS183" s="591"/>
    </row>
    <row r="184" spans="1:45" ht="7.5" customHeight="1" x14ac:dyDescent="0.2">
      <c r="A184" s="2"/>
      <c r="B184" s="2"/>
      <c r="C184" s="2096" t="s">
        <v>587</v>
      </c>
      <c r="D184" s="2096"/>
      <c r="E184" s="2098">
        <f>IF(OR(M166=0,M168=""),0,IF(M168=E220,E221,MAX(G193:K193)/10))</f>
        <v>0</v>
      </c>
      <c r="F184" s="2"/>
      <c r="G184" s="598">
        <f>IF(AND(G$193&lt;&gt;0,G$193&gt;0),IF(($E$184*8)&gt;=G$193,0,1),IF(AND(G$193&lt;&gt;0,G$193&lt;0),IF(($E$184*8)&lt;=G$193,0,1),0))</f>
        <v>0</v>
      </c>
      <c r="H184" s="598">
        <f>IF(AND(H$193&lt;&gt;0,H$193&gt;0),IF(($E$184*8)&gt;=H$193,0,1),IF(AND(H$193&lt;&gt;0,H$193&lt;0),IF(($E$184*8)&lt;=H$193,0,1),0))</f>
        <v>0</v>
      </c>
      <c r="I184" s="2061">
        <f>IF(AND(I$193&lt;&gt;0,I$193&gt;0),IF(($E$184*8)&gt;=I$193,0,1),IF(AND(I$193&lt;&gt;0,I$193&lt;0),IF(($E$184*8)&lt;=I$193,0,1),0))</f>
        <v>0</v>
      </c>
      <c r="J184" s="2062"/>
      <c r="K184" s="598">
        <f>IF(AND(K$193&lt;&gt;0,K$193&gt;0),IF(($E$184*8)&gt;=K$193,0,1),IF(AND(K$193&lt;&gt;0,K$193&lt;0),IF(($E$184*8)&lt;=K$193,0,1),0))</f>
        <v>0</v>
      </c>
      <c r="L184" s="2"/>
      <c r="M184" s="2"/>
      <c r="N184" s="2"/>
      <c r="O184" s="2"/>
      <c r="P184" s="2"/>
      <c r="Q184" s="2"/>
      <c r="R184" s="591"/>
      <c r="S184" s="591"/>
      <c r="T184" s="591"/>
      <c r="U184" s="591"/>
      <c r="V184" s="591"/>
      <c r="W184" s="591"/>
      <c r="X184" s="591"/>
      <c r="AA184" s="591"/>
      <c r="AB184" s="591"/>
      <c r="AC184" s="591"/>
      <c r="AG184" s="591"/>
      <c r="AS184" s="591"/>
    </row>
    <row r="185" spans="1:45" ht="7.5" customHeight="1" x14ac:dyDescent="0.2">
      <c r="A185" s="2"/>
      <c r="B185" s="2"/>
      <c r="C185" s="2097"/>
      <c r="D185" s="2097"/>
      <c r="E185" s="2098"/>
      <c r="F185" s="2"/>
      <c r="G185" s="598">
        <f>IF(AND(G$193&lt;&gt;0,G$193&gt;0),IF(($E$184*7)&gt;=G$193,0,1),IF(AND(G$193&lt;&gt;0,G$193&lt;0),IF(($E$184*7)&lt;=G$193,0,1),0))</f>
        <v>0</v>
      </c>
      <c r="H185" s="598">
        <f>IF(AND(H$193&lt;&gt;0,H$193&gt;0),IF(($E$184*7)&gt;=H$193,0,1),IF(AND(H$193&lt;&gt;0,H$193&lt;0),IF(($E$184*7)&lt;=H$193,0,1),0))</f>
        <v>0</v>
      </c>
      <c r="I185" s="2061">
        <f>IF(AND(I$193&lt;&gt;0,I$193&gt;0),IF(($E$184*7)&gt;=I$193,0,1),IF(AND(I$193&lt;&gt;0,I$193&lt;0),IF(($E$184*7)&lt;=I$193,0,1),0))</f>
        <v>0</v>
      </c>
      <c r="J185" s="2062"/>
      <c r="K185" s="598">
        <f>IF(AND(K$193&lt;&gt;0,K$193&gt;0),IF(($E$184*7)&gt;=K$193,0,1),IF(AND(K$193&lt;&gt;0,K$193&lt;0),IF(($E$184*7)&lt;=K$193,0,1),0))</f>
        <v>0</v>
      </c>
      <c r="L185" s="2"/>
      <c r="M185" s="2"/>
      <c r="N185" s="2"/>
      <c r="O185" s="2"/>
      <c r="P185" s="2"/>
      <c r="Q185" s="2"/>
      <c r="R185" s="591"/>
      <c r="S185" s="591"/>
      <c r="T185" s="591"/>
      <c r="U185" s="591"/>
      <c r="V185" s="591"/>
      <c r="W185" s="591"/>
      <c r="X185" s="591"/>
      <c r="AA185" s="591"/>
      <c r="AB185" s="591"/>
      <c r="AC185" s="591"/>
      <c r="AG185" s="591"/>
      <c r="AS185" s="591"/>
    </row>
    <row r="186" spans="1:45" ht="7.5" customHeight="1" x14ac:dyDescent="0.2">
      <c r="A186" s="2"/>
      <c r="B186" s="2"/>
      <c r="C186" s="2"/>
      <c r="D186" s="2"/>
      <c r="E186" s="2"/>
      <c r="F186" s="2"/>
      <c r="G186" s="598">
        <f>IF(AND(G$193&lt;&gt;0,G$193&gt;0),IF(($E$184*6)&gt;=G$193,0,1),IF(AND(G$193&lt;&gt;0,G$193&lt;0),IF(($E$184*6)&lt;=G$193,0,1),0))</f>
        <v>0</v>
      </c>
      <c r="H186" s="598">
        <f>IF(AND(H$193&lt;&gt;0,H$193&gt;0),IF(($E$184*6)&gt;=H$193,0,1),IF(AND(H$193&lt;&gt;0,H$193&lt;0),IF(($E$184*6)&lt;=H$193,0,1),0))</f>
        <v>0</v>
      </c>
      <c r="I186" s="2061">
        <f>IF(AND(I$193&lt;&gt;0,I$193&gt;0),IF(($E$184*6)&gt;=I$193,0,1),IF(AND(I$193&lt;&gt;0,I$193&lt;0),IF(($E$184*6)&lt;=I$193,0,1),0))</f>
        <v>0</v>
      </c>
      <c r="J186" s="2062"/>
      <c r="K186" s="598">
        <f>IF(AND(K$193&lt;&gt;0,K$193&gt;0),IF(($E$184*6)&gt;=K$193,0,1),IF(AND(K$193&lt;&gt;0,K$193&lt;0),IF(($E$184*6)&lt;=K$193,0,1),0))</f>
        <v>0</v>
      </c>
      <c r="L186" s="2"/>
      <c r="M186" s="2"/>
      <c r="N186" s="2"/>
      <c r="O186" s="2"/>
      <c r="P186" s="2"/>
      <c r="Q186" s="2"/>
      <c r="R186" s="591"/>
      <c r="S186" s="591"/>
      <c r="T186" s="591"/>
      <c r="U186" s="591"/>
      <c r="V186" s="591"/>
      <c r="W186" s="591"/>
      <c r="X186" s="591"/>
      <c r="AA186" s="591"/>
      <c r="AB186" s="591"/>
      <c r="AC186" s="591"/>
      <c r="AG186" s="591"/>
      <c r="AS186" s="591"/>
    </row>
    <row r="187" spans="1:45" ht="7.5" customHeight="1" x14ac:dyDescent="0.2">
      <c r="A187" s="2"/>
      <c r="B187" s="2"/>
      <c r="C187" s="2"/>
      <c r="D187" s="2"/>
      <c r="E187" s="2"/>
      <c r="F187" s="2"/>
      <c r="G187" s="598">
        <f>IF(AND(G$193&lt;&gt;0,G$193&gt;0),IF(($E$184*5)&gt;=G$193,0,1),IF(AND(G$193&lt;&gt;0,G$193&lt;0),IF(($E$184*5)&lt;=G$193,0,1),0))</f>
        <v>0</v>
      </c>
      <c r="H187" s="598">
        <f>IF(AND(H$193&lt;&gt;0,H$193&gt;0),IF(($E$184*5)&gt;=H$193,0,1),IF(AND(H$193&lt;&gt;0,H$193&lt;0),IF(($E$184*5)&lt;=H$193,0,1),0))</f>
        <v>0</v>
      </c>
      <c r="I187" s="2061">
        <f>IF(AND(I$193&lt;&gt;0,I$193&gt;0),IF(($E$184*5)&gt;=I$193,0,1),IF(AND(I$193&lt;&gt;0,I$193&lt;0),IF(($E$184*5)&lt;=I$193,0,1),0))</f>
        <v>0</v>
      </c>
      <c r="J187" s="2062"/>
      <c r="K187" s="598">
        <f>IF(AND(K$193&lt;&gt;0,K$193&gt;0),IF(($E$184*5)&gt;=K$193,0,1),IF(AND(K$193&lt;&gt;0,K$193&lt;0),IF(($E$184*5)&lt;=K$193,0,1),0))</f>
        <v>0</v>
      </c>
      <c r="L187" s="2"/>
      <c r="M187" s="2"/>
      <c r="N187" s="2"/>
      <c r="O187" s="2"/>
      <c r="P187" s="2"/>
      <c r="Q187" s="2"/>
      <c r="R187" s="591"/>
      <c r="S187" s="591"/>
      <c r="T187" s="591"/>
      <c r="U187" s="591"/>
      <c r="V187" s="591"/>
      <c r="W187" s="591"/>
      <c r="X187" s="591"/>
      <c r="AA187" s="591"/>
      <c r="AB187" s="591"/>
      <c r="AC187" s="591"/>
      <c r="AG187" s="591"/>
      <c r="AS187" s="591"/>
    </row>
    <row r="188" spans="1:45" ht="7.5" customHeight="1" x14ac:dyDescent="0.2">
      <c r="A188" s="2"/>
      <c r="B188" s="2"/>
      <c r="C188" s="2"/>
      <c r="D188" s="2"/>
      <c r="E188" s="2"/>
      <c r="F188" s="2"/>
      <c r="G188" s="598">
        <f>IF(AND(G$193&lt;&gt;0,G$193&gt;0),IF(($E$184*4)&gt;=G$193,0,1),IF(AND(G$193&lt;&gt;0,G$193&lt;0),IF(($E$184*4)&lt;=G$193,0,1),0))</f>
        <v>0</v>
      </c>
      <c r="H188" s="598">
        <f>IF(AND(H$193&lt;&gt;0,H$193&gt;0),IF(($E$184*4)&gt;=H$193,0,1),IF(AND(H$193&lt;&gt;0,H$193&lt;0),IF(($E$184*4)&lt;=H$193,0,1),0))</f>
        <v>0</v>
      </c>
      <c r="I188" s="2061">
        <f>IF(AND(I$193&lt;&gt;0,I$193&gt;0),IF(($E$184*4)&gt;=I$193,0,1),IF(AND(I$193&lt;&gt;0,I$193&lt;0),IF(($E$184*4)&lt;=I$193,0,1),0))</f>
        <v>0</v>
      </c>
      <c r="J188" s="2062"/>
      <c r="K188" s="598">
        <f>IF(AND(K$193&lt;&gt;0,K$193&gt;0),IF(($E$184*4)&gt;=K$193,0,1),IF(AND(K$193&lt;&gt;0,K$193&lt;0),IF(($E$184*4)&lt;=K$193,0,1),0))</f>
        <v>0</v>
      </c>
      <c r="L188" s="2"/>
      <c r="M188" s="2"/>
      <c r="N188" s="2"/>
      <c r="O188" s="2"/>
      <c r="P188" s="2"/>
      <c r="Q188" s="2"/>
      <c r="R188" s="591"/>
      <c r="S188" s="591"/>
      <c r="T188" s="591"/>
      <c r="U188" s="591"/>
      <c r="V188" s="591"/>
      <c r="W188" s="591"/>
      <c r="X188" s="591"/>
      <c r="AA188" s="591"/>
      <c r="AB188" s="591"/>
      <c r="AC188" s="591"/>
      <c r="AG188" s="591"/>
      <c r="AS188" s="591"/>
    </row>
    <row r="189" spans="1:45" ht="7.5" customHeight="1" x14ac:dyDescent="0.2">
      <c r="A189" s="2"/>
      <c r="B189" s="2"/>
      <c r="C189" s="2"/>
      <c r="D189" s="2"/>
      <c r="E189" s="2"/>
      <c r="F189" s="2"/>
      <c r="G189" s="598">
        <f>IF(AND(G$193&lt;&gt;0,G$193&gt;0),IF(($E$184*3)&gt;=G$193,0,1),IF(AND(G$193&lt;&gt;0,G$193&lt;0),IF(($E$184*3)&lt;=G$193,0,1),0))</f>
        <v>0</v>
      </c>
      <c r="H189" s="598">
        <f>IF(AND(H$193&lt;&gt;0,H$193&gt;0),IF(($E$184*3)&gt;=H$193,0,1),IF(AND(H$193&lt;&gt;0,H$193&lt;0),IF(($E$184*3)&lt;=H$193,0,1),0))</f>
        <v>0</v>
      </c>
      <c r="I189" s="2061">
        <f>IF(AND(I$193&lt;&gt;0,I$193&gt;0),IF(($E$184*3)&gt;=I$193,0,1),IF(AND(I$193&lt;&gt;0,I$193&lt;0),IF(($E$184*3)&lt;=I$193,0,1),0))</f>
        <v>0</v>
      </c>
      <c r="J189" s="2062"/>
      <c r="K189" s="598">
        <f>IF(AND(K$193&lt;&gt;0,K$193&gt;0),IF(($E$184*3)&gt;=K$193,0,1),IF(AND(K$193&lt;&gt;0,K$193&lt;0),IF(($E$184*3)&lt;=K$193,0,1),0))</f>
        <v>0</v>
      </c>
      <c r="L189" s="2"/>
      <c r="M189" s="2"/>
      <c r="N189" s="2"/>
      <c r="O189" s="2"/>
      <c r="P189" s="2"/>
      <c r="Q189" s="2"/>
      <c r="R189" s="591"/>
      <c r="S189" s="591"/>
      <c r="T189" s="591"/>
      <c r="U189" s="591"/>
      <c r="V189" s="591"/>
      <c r="W189" s="591"/>
      <c r="X189" s="591"/>
      <c r="AA189" s="591"/>
      <c r="AB189" s="591"/>
      <c r="AC189" s="591"/>
      <c r="AG189" s="591"/>
      <c r="AS189" s="591"/>
    </row>
    <row r="190" spans="1:45" ht="7.5" customHeight="1" x14ac:dyDescent="0.2">
      <c r="A190" s="2"/>
      <c r="B190" s="2"/>
      <c r="C190" s="2"/>
      <c r="D190" s="2"/>
      <c r="E190" s="2"/>
      <c r="F190" s="2"/>
      <c r="G190" s="598">
        <f>IF(AND(G$193&lt;&gt;0,G$193&gt;0),IF(($E$184*2)&gt;=G$193,0,1),IF(AND(G$193&lt;&gt;0,G$193&lt;0),IF(($E$184*2)&lt;=G$193,0,1),0))</f>
        <v>0</v>
      </c>
      <c r="H190" s="598">
        <f>IF(AND(H$193&lt;&gt;0,H$193&gt;0),IF(($E$184*2)&gt;=H$193,0,1),IF(AND(H$193&lt;&gt;0,H$193&lt;0),IF(($E$184*2)&lt;=H$193,0,1),0))</f>
        <v>0</v>
      </c>
      <c r="I190" s="2061">
        <f>IF(AND(I$193&lt;&gt;0,I$193&gt;0),IF(($E$184*2)&gt;=I$193,0,1),IF(AND(I$193&lt;&gt;0,I$193&lt;0),IF(($E$184*2)&lt;=I$193,0,1),0))</f>
        <v>0</v>
      </c>
      <c r="J190" s="2062"/>
      <c r="K190" s="598">
        <f>IF(AND(K$193&lt;&gt;0,K$193&gt;0),IF(($E$184*2)&gt;=K$193,0,1),IF(AND(K$193&lt;&gt;0,K$193&lt;0),IF(($E$184*2)&lt;=K$193,0,1),0))</f>
        <v>0</v>
      </c>
      <c r="L190" s="2"/>
      <c r="M190" s="2"/>
      <c r="N190" s="2"/>
      <c r="O190" s="2"/>
      <c r="P190" s="2"/>
      <c r="Q190" s="2"/>
      <c r="R190" s="591"/>
      <c r="S190" s="591"/>
      <c r="T190" s="591"/>
      <c r="U190" s="591"/>
      <c r="V190" s="591"/>
      <c r="W190" s="591"/>
      <c r="X190" s="591"/>
      <c r="AA190" s="591"/>
      <c r="AB190" s="591"/>
      <c r="AC190" s="591"/>
      <c r="AG190" s="591"/>
      <c r="AS190" s="591"/>
    </row>
    <row r="191" spans="1:45" ht="7.5" customHeight="1" x14ac:dyDescent="0.2">
      <c r="A191" s="2"/>
      <c r="B191" s="2"/>
      <c r="C191" s="2"/>
      <c r="D191" s="2"/>
      <c r="E191" s="2"/>
      <c r="F191" s="2"/>
      <c r="G191" s="598">
        <f>IF(AND(G$193&lt;&gt;0,G$193&gt;0),IF(($E$184*1)&gt;=G$193,0,1),IF(AND(G$193&lt;&gt;0,G$193&lt;0),IF(($E$184*1)&lt;=G$193,0,1),0))</f>
        <v>0</v>
      </c>
      <c r="H191" s="598">
        <f>IF(AND(H$193&lt;&gt;0,H$193&gt;0),IF(($E$184*1)&gt;=H$193,0,1),IF(AND(H$193&lt;&gt;0,H$193&lt;0),IF(($E$184*1)&lt;=H$193,0,1),0))</f>
        <v>0</v>
      </c>
      <c r="I191" s="2061">
        <f>IF(AND(I$193&lt;&gt;0,I$193&gt;0),IF(($E$184*1)&gt;=I$193,0,1),IF(AND(I$193&lt;&gt;0,I$193&lt;0),IF(($E$184*1)&lt;=I$193,0,1),0))</f>
        <v>0</v>
      </c>
      <c r="J191" s="2062"/>
      <c r="K191" s="598">
        <f>IF(AND(K$193&lt;&gt;0,K$193&gt;0),IF(($E$184*1)&gt;=K$193,0,1),IF(AND(K$193&lt;&gt;0,K$193&lt;0),IF(($E$184*1)&lt;=K$193,0,1),0))</f>
        <v>0</v>
      </c>
      <c r="L191" s="2"/>
      <c r="M191" s="2"/>
      <c r="N191" s="2"/>
      <c r="O191" s="2"/>
      <c r="P191" s="2"/>
      <c r="Q191" s="2"/>
      <c r="R191" s="591"/>
      <c r="S191" s="591"/>
      <c r="T191" s="591"/>
      <c r="U191" s="591"/>
      <c r="V191" s="591"/>
      <c r="W191" s="591"/>
      <c r="X191" s="591"/>
      <c r="AA191" s="591"/>
      <c r="AB191" s="591"/>
      <c r="AC191" s="591"/>
      <c r="AG191" s="591"/>
      <c r="AS191" s="591"/>
    </row>
    <row r="192" spans="1:45" ht="7.5" customHeight="1" x14ac:dyDescent="0.2">
      <c r="A192" s="2"/>
      <c r="B192" s="2"/>
      <c r="C192" s="2"/>
      <c r="D192" s="2"/>
      <c r="E192" s="2"/>
      <c r="F192" s="2"/>
      <c r="G192" s="599">
        <f>IF(G193&lt;&gt;0,1,0)</f>
        <v>0</v>
      </c>
      <c r="H192" s="599">
        <f>IF(H193&lt;&gt;0,1,0)</f>
        <v>0</v>
      </c>
      <c r="I192" s="2199">
        <f>IF(I193&lt;&gt;0,1,0)</f>
        <v>0</v>
      </c>
      <c r="J192" s="2200"/>
      <c r="K192" s="599">
        <f>IF(K193&lt;&gt;0,1,0)</f>
        <v>0</v>
      </c>
      <c r="L192" s="2"/>
      <c r="M192" s="2"/>
      <c r="N192" s="2"/>
      <c r="O192" s="2"/>
      <c r="P192" s="2"/>
      <c r="Q192" s="2"/>
      <c r="R192" s="591"/>
      <c r="S192" s="591"/>
      <c r="T192" s="591"/>
      <c r="U192" s="591"/>
      <c r="V192" s="591"/>
      <c r="W192" s="591"/>
      <c r="X192" s="591"/>
      <c r="AA192" s="591"/>
      <c r="AB192" s="591"/>
      <c r="AC192" s="591"/>
      <c r="AG192" s="591"/>
      <c r="AS192" s="591"/>
    </row>
    <row r="193" spans="1:45" ht="21.95" customHeight="1" x14ac:dyDescent="0.2">
      <c r="A193" s="2"/>
      <c r="B193" s="7"/>
      <c r="C193" s="2092" t="s">
        <v>582</v>
      </c>
      <c r="D193" s="2092"/>
      <c r="E193" s="2093">
        <f>SUM(G193:K193)</f>
        <v>0</v>
      </c>
      <c r="F193" s="2093"/>
      <c r="G193" s="623">
        <f>VLOOKUP($M166,$C215:G217,G214,FALSE)</f>
        <v>0</v>
      </c>
      <c r="H193" s="623">
        <f>VLOOKUP($M166,$C215:H217,H214,FALSE)</f>
        <v>0</v>
      </c>
      <c r="I193" s="2196">
        <f>VLOOKUP($M166,$C215:I217,I214,FALSE)</f>
        <v>0</v>
      </c>
      <c r="J193" s="2196"/>
      <c r="K193" s="623">
        <f>VLOOKUP($M166,$C215:J217,J214,FALSE)</f>
        <v>0</v>
      </c>
      <c r="L193" s="2"/>
      <c r="M193" s="12"/>
      <c r="N193" s="2"/>
      <c r="O193" s="2"/>
      <c r="P193" s="2"/>
      <c r="Q193" s="2"/>
      <c r="R193" s="591"/>
      <c r="S193" s="591"/>
      <c r="T193" s="591"/>
      <c r="U193" s="591"/>
      <c r="V193" s="591"/>
      <c r="W193" s="591"/>
      <c r="X193" s="591"/>
      <c r="AA193" s="591"/>
      <c r="AB193" s="591"/>
      <c r="AC193" s="591"/>
      <c r="AG193" s="591"/>
      <c r="AS193" s="591"/>
    </row>
    <row r="194" spans="1:45" ht="11.25" customHeight="1" x14ac:dyDescent="0.2">
      <c r="A194" s="2"/>
      <c r="B194" s="2"/>
      <c r="C194" s="2"/>
      <c r="D194" s="2"/>
      <c r="E194" s="2"/>
      <c r="F194" s="2"/>
      <c r="G194" s="2"/>
      <c r="H194" s="2"/>
      <c r="I194" s="2203"/>
      <c r="J194" s="2203"/>
      <c r="K194" s="2"/>
      <c r="L194" s="2"/>
      <c r="M194" s="2"/>
      <c r="N194" s="2"/>
      <c r="O194" s="2"/>
      <c r="P194" s="2"/>
      <c r="Q194" s="2"/>
      <c r="R194" s="591"/>
      <c r="S194" s="591"/>
      <c r="T194" s="591"/>
      <c r="U194" s="591"/>
      <c r="V194" s="591"/>
      <c r="W194" s="591"/>
      <c r="X194" s="591"/>
      <c r="AA194" s="591"/>
      <c r="AB194" s="591"/>
      <c r="AC194" s="591"/>
      <c r="AG194" s="591"/>
      <c r="AS194" s="591"/>
    </row>
    <row r="195" spans="1:45" ht="19.5" customHeight="1" x14ac:dyDescent="0.2">
      <c r="A195" s="2"/>
      <c r="B195" s="2"/>
      <c r="C195" s="2063" t="e">
        <f>VLOOKUP(I207,I220:K229,3,FALSE)</f>
        <v>#N/A</v>
      </c>
      <c r="D195" s="2063"/>
      <c r="E195" s="2063"/>
      <c r="F195" s="2063"/>
      <c r="G195" s="2063"/>
      <c r="H195" s="2063"/>
      <c r="I195" s="2202"/>
      <c r="J195" s="2202"/>
      <c r="K195" s="2"/>
      <c r="L195" s="2"/>
      <c r="M195" s="2"/>
      <c r="N195" s="2"/>
      <c r="O195" s="2"/>
      <c r="P195" s="2"/>
      <c r="Q195" s="2"/>
      <c r="R195" s="591"/>
      <c r="S195" s="591"/>
      <c r="T195" s="591"/>
      <c r="U195" s="591"/>
      <c r="V195" s="591"/>
      <c r="W195" s="591"/>
      <c r="X195" s="591"/>
      <c r="AA195" s="591"/>
      <c r="AB195" s="591"/>
      <c r="AC195" s="591"/>
      <c r="AG195" s="591"/>
      <c r="AS195" s="591"/>
    </row>
    <row r="196" spans="1:45" ht="7.5" customHeight="1" x14ac:dyDescent="0.2">
      <c r="A196" s="2"/>
      <c r="B196" s="2"/>
      <c r="C196" s="2064"/>
      <c r="D196" s="2065"/>
      <c r="E196" s="484"/>
      <c r="F196" s="2"/>
      <c r="G196" s="594" t="e">
        <f>IF(AND(G$206&lt;&gt;0,G$206&gt;0),IF(($E$197*9)&gt;=G$206,0,1),IF(AND(G$206&lt;&gt;0,G$206&lt;0),IF(($E$197*9)&lt;=G$206,0,1),0))</f>
        <v>#N/A</v>
      </c>
      <c r="H196" s="594" t="e">
        <f>IF(AND(H$206&lt;&gt;0,H$206&gt;0),IF(($E$197*9)&gt;=H$206,0,1),IF(AND(H$206&lt;&gt;0,H$206&lt;0),IF(($E$197*9)&lt;=H$206,0,1),0))</f>
        <v>#N/A</v>
      </c>
      <c r="I196" s="2197" t="e">
        <f>IF(AND(I$206&lt;&gt;0,I$206&gt;0),IF(($E$197*9)&gt;=I$206,0,1),IF(AND(I$206&lt;&gt;0,I$206&lt;0),IF(($E$197*9)&lt;=I$206,0,1),0))</f>
        <v>#N/A</v>
      </c>
      <c r="J196" s="2198"/>
      <c r="K196" s="594" t="e">
        <f>IF(AND(K$206&lt;&gt;0,K$206&gt;0),IF(($E$197*9)&gt;=K$206,0,1),IF(AND(K$206&lt;&gt;0,K$206&lt;0),IF(($E$197*9)&lt;=K$206,0,1),0))</f>
        <v>#N/A</v>
      </c>
      <c r="L196" s="2"/>
      <c r="M196" s="2"/>
      <c r="N196" s="2"/>
      <c r="O196" s="2"/>
      <c r="P196" s="2"/>
      <c r="Q196" s="2"/>
      <c r="R196" s="591"/>
      <c r="S196" s="591"/>
      <c r="T196" s="591"/>
      <c r="U196" s="591"/>
      <c r="V196" s="591"/>
      <c r="W196" s="591"/>
      <c r="X196" s="591"/>
      <c r="AA196" s="591"/>
      <c r="AB196" s="591"/>
      <c r="AC196" s="591"/>
      <c r="AG196" s="591"/>
      <c r="AS196" s="591"/>
    </row>
    <row r="197" spans="1:45" ht="7.5" customHeight="1" x14ac:dyDescent="0.2">
      <c r="A197" s="2"/>
      <c r="B197" s="2"/>
      <c r="C197" s="2096" t="s">
        <v>587</v>
      </c>
      <c r="D197" s="2096"/>
      <c r="E197" s="2098">
        <f>IF(OR(M166=0,M168=""),0,IF(M168=E220,E221,MAX(G206:K206)/10))</f>
        <v>0</v>
      </c>
      <c r="F197" s="2"/>
      <c r="G197" s="595" t="e">
        <f>IF(AND(G$206&lt;&gt;0,G$206&gt;0),IF(($E$197*8)&gt;=G$206,0,1),IF(AND(G$206&lt;&gt;0,G$206&lt;0),IF(($E$197*8)&lt;=G$206,0,1),0))</f>
        <v>#N/A</v>
      </c>
      <c r="H197" s="595" t="e">
        <f>IF(AND(H$206&lt;&gt;0,H$206&gt;0),IF(($E$197*8)&gt;=H$206,0,1),IF(AND(H$206&lt;&gt;0,H$206&lt;0),IF(($E$197*8)&lt;=H$206,0,1),0))</f>
        <v>#N/A</v>
      </c>
      <c r="I197" s="2049" t="e">
        <f>IF(AND(I$206&lt;&gt;0,I$206&gt;0),IF(($E$197*8)&gt;=I$206,0,1),IF(AND(I$206&lt;&gt;0,I$206&lt;0),IF(($E$197*8)&lt;=I$206,0,1),0))</f>
        <v>#N/A</v>
      </c>
      <c r="J197" s="2050"/>
      <c r="K197" s="595" t="e">
        <f>IF(AND(K$206&lt;&gt;0,K$206&gt;0),IF(($E$197*8)&gt;=K$206,0,1),IF(AND(K$206&lt;&gt;0,K$206&lt;0),IF(($E$197*8)&lt;=K$206,0,1),0))</f>
        <v>#N/A</v>
      </c>
      <c r="L197" s="2"/>
      <c r="M197" s="2"/>
      <c r="N197" s="2"/>
      <c r="O197" s="2"/>
      <c r="P197" s="2"/>
      <c r="Q197" s="2"/>
      <c r="R197" s="591"/>
      <c r="S197" s="591"/>
      <c r="T197" s="591"/>
      <c r="U197" s="591"/>
      <c r="V197" s="591"/>
      <c r="W197" s="591"/>
      <c r="X197" s="591"/>
      <c r="AA197" s="591"/>
      <c r="AB197" s="591"/>
      <c r="AC197" s="591"/>
      <c r="AG197" s="591"/>
      <c r="AS197" s="591"/>
    </row>
    <row r="198" spans="1:45" ht="7.5" customHeight="1" x14ac:dyDescent="0.2">
      <c r="A198" s="2"/>
      <c r="B198" s="2"/>
      <c r="C198" s="2097"/>
      <c r="D198" s="2097"/>
      <c r="E198" s="2098"/>
      <c r="F198" s="2"/>
      <c r="G198" s="595" t="e">
        <f>IF(AND(G$206&lt;&gt;0,G$206&gt;0),IF(($E$197*7)&gt;=G$206,0,1),IF(AND(G$206&lt;&gt;0,G$206&lt;0),IF(($E$197*7)&lt;=G$206,0,1),0))</f>
        <v>#N/A</v>
      </c>
      <c r="H198" s="595" t="e">
        <f>IF(AND(H$206&lt;&gt;0,H$206&gt;0),IF(($E$197*7)&gt;=H$206,0,1),IF(AND(H$206&lt;&gt;0,H$206&lt;0),IF(($E$197*7)&lt;=H$206,0,1),0))</f>
        <v>#N/A</v>
      </c>
      <c r="I198" s="2049" t="e">
        <f>IF(AND(I$206&lt;&gt;0,I$206&gt;0),IF(($E$197*7)&gt;=I$206,0,1),IF(AND(I$206&lt;&gt;0,I$206&lt;0),IF(($E$197*7)&lt;=I$206,0,1),0))</f>
        <v>#N/A</v>
      </c>
      <c r="J198" s="2050"/>
      <c r="K198" s="595" t="e">
        <f>IF(AND(K$206&lt;&gt;0,K$206&gt;0),IF(($E$197*7)&gt;=K$206,0,1),IF(AND(K$206&lt;&gt;0,K$206&lt;0),IF(($E$197*7)&lt;=K$206,0,1),0))</f>
        <v>#N/A</v>
      </c>
      <c r="L198" s="2"/>
      <c r="M198" s="2"/>
      <c r="N198" s="2"/>
      <c r="O198" s="2"/>
      <c r="P198" s="2"/>
      <c r="Q198" s="2"/>
      <c r="R198" s="591"/>
      <c r="S198" s="591"/>
      <c r="T198" s="591"/>
      <c r="U198" s="591"/>
      <c r="V198" s="591"/>
      <c r="W198" s="591"/>
      <c r="X198" s="591"/>
      <c r="AA198" s="591"/>
      <c r="AB198" s="591"/>
      <c r="AC198" s="591"/>
      <c r="AG198" s="591"/>
      <c r="AS198" s="591"/>
    </row>
    <row r="199" spans="1:45" ht="7.5" customHeight="1" x14ac:dyDescent="0.2">
      <c r="A199" s="2"/>
      <c r="B199" s="2"/>
      <c r="C199" s="2"/>
      <c r="D199" s="2"/>
      <c r="E199" s="2"/>
      <c r="F199" s="2"/>
      <c r="G199" s="595" t="e">
        <f>IF(AND(G$206&lt;&gt;0,G$206&gt;0),IF(($E$197*6)&gt;=G$206,0,1),IF(AND(G$206&lt;&gt;0,G$206&lt;0),IF(($E$197*6)&lt;=G$206,0,1),0))</f>
        <v>#N/A</v>
      </c>
      <c r="H199" s="595" t="e">
        <f>IF(AND(H$206&lt;&gt;0,H$206&gt;0),IF(($E$197*6)&gt;=H$206,0,1),IF(AND(H$206&lt;&gt;0,H$206&lt;0),IF(($E$197*6)&lt;=H$206,0,1),0))</f>
        <v>#N/A</v>
      </c>
      <c r="I199" s="2049" t="e">
        <f>IF(AND(I$206&lt;&gt;0,I$206&gt;0),IF(($E$197*6)&gt;=I$206,0,1),IF(AND(I$206&lt;&gt;0,I$206&lt;0),IF(($E$197*6)&lt;=I$206,0,1),0))</f>
        <v>#N/A</v>
      </c>
      <c r="J199" s="2050"/>
      <c r="K199" s="595" t="e">
        <f>IF(AND(K$206&lt;&gt;0,K$206&gt;0),IF(($E$197*6)&gt;=K$206,0,1),IF(AND(K$206&lt;&gt;0,K$206&lt;0),IF(($E$197*6)&lt;=K$206,0,1),0))</f>
        <v>#N/A</v>
      </c>
      <c r="L199" s="2"/>
      <c r="M199" s="2"/>
      <c r="N199" s="2"/>
      <c r="O199" s="2"/>
      <c r="P199" s="2"/>
      <c r="Q199" s="2"/>
      <c r="R199" s="591"/>
      <c r="S199" s="591"/>
      <c r="T199" s="591"/>
      <c r="U199" s="591"/>
      <c r="V199" s="591"/>
      <c r="W199" s="591"/>
      <c r="X199" s="591"/>
      <c r="AA199" s="591"/>
      <c r="AB199" s="591"/>
      <c r="AC199" s="591"/>
      <c r="AG199" s="591"/>
      <c r="AS199" s="591"/>
    </row>
    <row r="200" spans="1:45" ht="7.5" customHeight="1" x14ac:dyDescent="0.2">
      <c r="A200" s="2"/>
      <c r="B200" s="2"/>
      <c r="C200" s="2"/>
      <c r="D200" s="2"/>
      <c r="E200" s="2"/>
      <c r="F200" s="2"/>
      <c r="G200" s="595" t="e">
        <f>IF(AND(G$206&lt;&gt;0,G$206&gt;0),IF(($E$197*5)&gt;=G$206,0,1),IF(AND(G$206&lt;&gt;0,G$206&lt;0),IF(($E$197*5)&lt;=G$206,0,1),0))</f>
        <v>#N/A</v>
      </c>
      <c r="H200" s="595" t="e">
        <f>IF(AND(H$206&lt;&gt;0,H$206&gt;0),IF(($E$197*5)&gt;=H$206,0,1),IF(AND(H$206&lt;&gt;0,H$206&lt;0),IF(($E$197*5)&lt;=H$206,0,1),0))</f>
        <v>#N/A</v>
      </c>
      <c r="I200" s="2049" t="e">
        <f>IF(AND(I$206&lt;&gt;0,I$206&gt;0),IF(($E$197*5)&gt;=I$206,0,1),IF(AND(I$206&lt;&gt;0,I$206&lt;0),IF(($E$197*5)&lt;=I$206,0,1),0))</f>
        <v>#N/A</v>
      </c>
      <c r="J200" s="2050"/>
      <c r="K200" s="595" t="e">
        <f>IF(AND(K$206&lt;&gt;0,K$206&gt;0),IF(($E$197*5)&gt;=K$206,0,1),IF(AND(K$206&lt;&gt;0,K$206&lt;0),IF(($E$197*5)&lt;=K$206,0,1),0))</f>
        <v>#N/A</v>
      </c>
      <c r="L200" s="2"/>
      <c r="M200" s="2"/>
      <c r="N200" s="2"/>
      <c r="O200" s="2"/>
      <c r="P200" s="2"/>
      <c r="Q200" s="2"/>
      <c r="R200" s="591"/>
      <c r="S200" s="591"/>
      <c r="T200" s="591"/>
      <c r="U200" s="591"/>
      <c r="V200" s="591"/>
      <c r="W200" s="591"/>
      <c r="X200" s="591"/>
      <c r="AA200" s="591"/>
      <c r="AB200" s="591"/>
      <c r="AC200" s="591"/>
      <c r="AG200" s="591"/>
      <c r="AS200" s="591"/>
    </row>
    <row r="201" spans="1:45" ht="7.5" customHeight="1" x14ac:dyDescent="0.2">
      <c r="A201" s="2"/>
      <c r="B201" s="2"/>
      <c r="C201" s="2"/>
      <c r="D201" s="2"/>
      <c r="E201" s="2"/>
      <c r="F201" s="2"/>
      <c r="G201" s="595" t="e">
        <f>IF(AND(G$206&lt;&gt;0,G$206&gt;0),IF(($E$197*4)&gt;=G$206,0,1),IF(AND(G$206&lt;&gt;0,G$206&lt;0),IF(($E$197*4)&lt;=G$206,0,1),0))</f>
        <v>#N/A</v>
      </c>
      <c r="H201" s="595" t="e">
        <f>IF(AND(H$206&lt;&gt;0,H$206&gt;0),IF(($E$197*4)&gt;=H$206,0,1),IF(AND(H$206&lt;&gt;0,H$206&lt;0),IF(($E$197*4)&lt;=H$206,0,1),0))</f>
        <v>#N/A</v>
      </c>
      <c r="I201" s="2049" t="e">
        <f>IF(AND(I$206&lt;&gt;0,I$206&gt;0),IF(($E$197*4)&gt;=I$206,0,1),IF(AND(I$206&lt;&gt;0,I$206&lt;0),IF(($E$197*4)&lt;=I$206,0,1),0))</f>
        <v>#N/A</v>
      </c>
      <c r="J201" s="2050"/>
      <c r="K201" s="595" t="e">
        <f>IF(AND(K$206&lt;&gt;0,K$206&gt;0),IF(($E$197*4)&gt;=K$206,0,1),IF(AND(K$206&lt;&gt;0,K$206&lt;0),IF(($E$197*4)&lt;=K$206,0,1),0))</f>
        <v>#N/A</v>
      </c>
      <c r="L201" s="2"/>
      <c r="M201" s="2"/>
      <c r="N201" s="2"/>
      <c r="O201" s="2"/>
      <c r="P201" s="2"/>
      <c r="Q201" s="2"/>
      <c r="R201" s="591"/>
      <c r="S201" s="591"/>
      <c r="T201" s="591"/>
      <c r="U201" s="591"/>
      <c r="V201" s="591"/>
      <c r="W201" s="591"/>
      <c r="X201" s="591"/>
      <c r="AA201" s="591"/>
      <c r="AB201" s="591"/>
      <c r="AC201" s="591"/>
      <c r="AG201" s="591"/>
      <c r="AS201" s="591"/>
    </row>
    <row r="202" spans="1:45" ht="7.5" customHeight="1" x14ac:dyDescent="0.2">
      <c r="A202" s="2"/>
      <c r="B202" s="2"/>
      <c r="C202" s="2"/>
      <c r="D202" s="2"/>
      <c r="E202" s="2"/>
      <c r="F202" s="2"/>
      <c r="G202" s="595" t="e">
        <f>IF(AND(G$206&lt;&gt;0,G$206&gt;0),IF(($E$197*3)&gt;=G$206,0,1),IF(AND(G$206&lt;&gt;0,G$206&lt;0),IF(($E$197*3)&lt;=G$206,0,1),0))</f>
        <v>#N/A</v>
      </c>
      <c r="H202" s="595" t="e">
        <f>IF(AND(H$206&lt;&gt;0,H$206&gt;0),IF(($E$197*3)&gt;=H$206,0,1),IF(AND(H$206&lt;&gt;0,H$206&lt;0),IF(($E$197*3)&lt;=H$206,0,1),0))</f>
        <v>#N/A</v>
      </c>
      <c r="I202" s="2049" t="e">
        <f>IF(AND(I$206&lt;&gt;0,I$206&gt;0),IF(($E$197*3)&gt;=I$206,0,1),IF(AND(I$206&lt;&gt;0,I$206&lt;0),IF(($E$197*3)&lt;=I$206,0,1),0))</f>
        <v>#N/A</v>
      </c>
      <c r="J202" s="2050"/>
      <c r="K202" s="595" t="e">
        <f>IF(AND(K$206&lt;&gt;0,K$206&gt;0),IF(($E$197*3)&gt;=K$206,0,1),IF(AND(K$206&lt;&gt;0,K$206&lt;0),IF(($E$197*3)&lt;=K$206,0,1),0))</f>
        <v>#N/A</v>
      </c>
      <c r="L202" s="2"/>
      <c r="M202" s="2"/>
      <c r="N202" s="2"/>
      <c r="O202" s="2"/>
      <c r="P202" s="2"/>
      <c r="Q202" s="2"/>
      <c r="R202" s="591"/>
      <c r="S202" s="591"/>
      <c r="T202" s="591"/>
      <c r="U202" s="591"/>
      <c r="V202" s="591"/>
      <c r="W202" s="591"/>
      <c r="X202" s="591"/>
      <c r="AA202" s="591"/>
      <c r="AB202" s="591"/>
      <c r="AC202" s="591"/>
      <c r="AG202" s="591"/>
      <c r="AS202" s="591"/>
    </row>
    <row r="203" spans="1:45" ht="7.5" customHeight="1" x14ac:dyDescent="0.2">
      <c r="A203" s="2"/>
      <c r="B203" s="2"/>
      <c r="C203" s="2"/>
      <c r="D203" s="2"/>
      <c r="E203" s="2"/>
      <c r="F203" s="2"/>
      <c r="G203" s="595" t="e">
        <f>IF(AND(G$206&lt;&gt;0,G$206&gt;0),IF(($E$197*2)&gt;=G$206,0,1),IF(AND(G$206&lt;&gt;0,G$206&lt;0),IF(($E$197*2)&lt;=G$206,0,1),0))</f>
        <v>#N/A</v>
      </c>
      <c r="H203" s="595" t="e">
        <f>IF(AND(H$206&lt;&gt;0,H$206&gt;0),IF(($E$197*2)&gt;=H$206,0,1),IF(AND(H$206&lt;&gt;0,H$206&lt;0),IF(($E$197*2)&lt;=H$206,0,1),0))</f>
        <v>#N/A</v>
      </c>
      <c r="I203" s="2049" t="e">
        <f>IF(AND(I$206&lt;&gt;0,I$206&gt;0),IF(($E$197*2)&gt;=I$206,0,1),IF(AND(I$206&lt;&gt;0,I$206&lt;0),IF(($E$197*2)&lt;=I$206,0,1),0))</f>
        <v>#N/A</v>
      </c>
      <c r="J203" s="2050"/>
      <c r="K203" s="595" t="e">
        <f>IF(AND(K$206&lt;&gt;0,K$206&gt;0),IF(($E$197*2)&gt;=K$206,0,1),IF(AND(K$206&lt;&gt;0,K$206&lt;0),IF(($E$197*2)&lt;=K$206,0,1),0))</f>
        <v>#N/A</v>
      </c>
      <c r="L203" s="2"/>
      <c r="M203" s="2"/>
      <c r="N203" s="2"/>
      <c r="O203" s="2"/>
      <c r="P203" s="2"/>
      <c r="Q203" s="2"/>
      <c r="R203" s="591"/>
      <c r="S203" s="591"/>
      <c r="T203" s="591"/>
      <c r="U203" s="591"/>
      <c r="V203" s="591"/>
      <c r="W203" s="591"/>
      <c r="X203" s="591"/>
      <c r="AA203" s="591"/>
      <c r="AB203" s="591"/>
      <c r="AC203" s="591"/>
      <c r="AG203" s="591"/>
      <c r="AS203" s="591"/>
    </row>
    <row r="204" spans="1:45" ht="7.5" customHeight="1" x14ac:dyDescent="0.2">
      <c r="A204" s="2"/>
      <c r="B204" s="2"/>
      <c r="C204" s="2"/>
      <c r="D204" s="2"/>
      <c r="E204" s="2"/>
      <c r="F204" s="2"/>
      <c r="G204" s="595" t="e">
        <f>IF(AND(G$206&lt;&gt;0,G$206&gt;0),IF(($E$197*1)&gt;=G$206,0,1),IF(AND(G$206&lt;&gt;0,G$206&lt;0),IF(($E$197*1)&lt;=G$206,0,1),0))</f>
        <v>#N/A</v>
      </c>
      <c r="H204" s="595" t="e">
        <f>IF(AND(H$206&lt;&gt;0,H$206&gt;0),IF(($E$197*1)&gt;=H$206,0,1),IF(AND(H$206&lt;&gt;0,H$206&lt;0),IF(($E$197*1)&lt;=H$206,0,1),0))</f>
        <v>#N/A</v>
      </c>
      <c r="I204" s="2049" t="e">
        <f>IF(AND(I$206&lt;&gt;0,I$206&gt;0),IF(($E$197*1)&gt;=I$206,0,1),IF(AND(I$206&lt;&gt;0,I$206&lt;0),IF(($E$197*1)&lt;=I$206,0,1),0))</f>
        <v>#N/A</v>
      </c>
      <c r="J204" s="2050"/>
      <c r="K204" s="595" t="e">
        <f>IF(AND(K$206&lt;&gt;0,K$206&gt;0),IF(($E$197*1)&gt;=K$206,0,1),IF(AND(K$206&lt;&gt;0,K$206&lt;0),IF(($E$197*1)&lt;=K$206,0,1),0))</f>
        <v>#N/A</v>
      </c>
      <c r="L204" s="2"/>
      <c r="M204" s="2"/>
      <c r="N204" s="2"/>
      <c r="O204" s="2"/>
      <c r="P204" s="2"/>
      <c r="Q204" s="2"/>
      <c r="R204" s="591"/>
      <c r="S204" s="591"/>
      <c r="T204" s="591"/>
      <c r="U204" s="591"/>
      <c r="V204" s="591"/>
      <c r="W204" s="591"/>
      <c r="X204" s="591"/>
      <c r="AA204" s="591"/>
      <c r="AB204" s="591"/>
      <c r="AC204" s="591"/>
      <c r="AG204" s="591"/>
      <c r="AS204" s="591"/>
    </row>
    <row r="205" spans="1:45" ht="7.5" customHeight="1" x14ac:dyDescent="0.2">
      <c r="A205" s="2"/>
      <c r="B205" s="2"/>
      <c r="C205" s="2"/>
      <c r="D205" s="2"/>
      <c r="E205" s="2"/>
      <c r="F205" s="2"/>
      <c r="G205" s="596" t="e">
        <f>IF(G206&lt;&gt;0,1,0)</f>
        <v>#N/A</v>
      </c>
      <c r="H205" s="596" t="e">
        <f>IF(H206&lt;&gt;0,1,0)</f>
        <v>#N/A</v>
      </c>
      <c r="I205" s="2194" t="e">
        <f>IF(I206&lt;&gt;0,1,0)</f>
        <v>#N/A</v>
      </c>
      <c r="J205" s="2195"/>
      <c r="K205" s="596" t="e">
        <f>IF(K206&lt;&gt;0,1,0)</f>
        <v>#N/A</v>
      </c>
      <c r="L205" s="2"/>
      <c r="M205" s="2"/>
      <c r="N205" s="2"/>
      <c r="O205" s="2"/>
      <c r="P205" s="2"/>
      <c r="Q205" s="2"/>
      <c r="R205" s="591"/>
      <c r="S205" s="591"/>
      <c r="T205" s="591"/>
      <c r="U205" s="591"/>
      <c r="V205" s="591"/>
      <c r="W205" s="591"/>
      <c r="X205" s="591"/>
      <c r="AA205" s="591"/>
      <c r="AB205" s="591"/>
      <c r="AC205" s="591"/>
      <c r="AG205" s="591"/>
      <c r="AS205" s="591"/>
    </row>
    <row r="206" spans="1:45" ht="21.95" customHeight="1" x14ac:dyDescent="0.2">
      <c r="A206" s="2"/>
      <c r="B206" s="7"/>
      <c r="C206" s="2092" t="s">
        <v>582</v>
      </c>
      <c r="D206" s="2092"/>
      <c r="E206" s="2093" t="e">
        <f>SUM(G206:K206)</f>
        <v>#N/A</v>
      </c>
      <c r="F206" s="2093"/>
      <c r="G206" s="623" t="e">
        <f>HLOOKUP(G1,STORICO!$E$109:$Y$140,VLOOKUP(CONCATENATE($M166,$I207),STORICO!$AP$111:$AQ$140,2,FALSE),FALSE)</f>
        <v>#N/A</v>
      </c>
      <c r="H206" s="623" t="e">
        <f>HLOOKUP(H1,STORICO!$E$109:$Y$140,VLOOKUP(CONCATENATE($M166,$I207),STORICO!$AP$111:$AQ$140,2,FALSE),FALSE)</f>
        <v>#N/A</v>
      </c>
      <c r="I206" s="2196" t="e">
        <f>HLOOKUP(K1,STORICO!$E$109:$Y$140,VLOOKUP(CONCATENATE($M166,$I207),STORICO!$AP$111:$AQ$140,2,FALSE),FALSE)</f>
        <v>#N/A</v>
      </c>
      <c r="J206" s="2196"/>
      <c r="K206" s="623" t="e">
        <f>HLOOKUP(N1,STORICO!$E$109:$Y$140,VLOOKUP(CONCATENATE($M166,$I207),STORICO!$AP$111:$AQ$140,2,FALSE),FALSE)</f>
        <v>#N/A</v>
      </c>
      <c r="L206" s="2"/>
      <c r="M206" s="12"/>
      <c r="N206" s="2"/>
      <c r="O206" s="2"/>
      <c r="P206" s="2"/>
      <c r="Q206" s="2"/>
      <c r="R206" s="591"/>
      <c r="S206" s="591"/>
      <c r="T206" s="591"/>
      <c r="U206" s="591"/>
      <c r="V206" s="591"/>
      <c r="W206" s="591"/>
      <c r="X206" s="591"/>
      <c r="AA206" s="591"/>
      <c r="AB206" s="591"/>
      <c r="AC206" s="591"/>
      <c r="AG206" s="591"/>
      <c r="AS206" s="591"/>
    </row>
    <row r="207" spans="1:45" ht="18.75" customHeight="1" x14ac:dyDescent="0.2">
      <c r="A207" s="2"/>
      <c r="B207" s="2"/>
      <c r="C207" s="2059" t="s">
        <v>563</v>
      </c>
      <c r="D207" s="2059"/>
      <c r="E207" s="2059"/>
      <c r="F207" s="2059"/>
      <c r="G207" s="2059"/>
      <c r="H207" s="2060"/>
      <c r="I207" s="2191"/>
      <c r="J207" s="2192"/>
      <c r="K207" s="2193"/>
      <c r="L207" s="2"/>
      <c r="M207" s="2"/>
      <c r="N207" s="2"/>
      <c r="O207" s="2"/>
      <c r="P207" s="2"/>
      <c r="Q207" s="2"/>
      <c r="R207" s="591"/>
      <c r="S207" s="591"/>
      <c r="T207" s="591"/>
      <c r="U207" s="591"/>
      <c r="V207" s="591"/>
      <c r="W207" s="591"/>
      <c r="X207" s="591"/>
      <c r="AA207" s="591"/>
      <c r="AB207" s="591"/>
      <c r="AC207" s="591"/>
      <c r="AG207" s="591"/>
      <c r="AS207" s="591"/>
    </row>
    <row r="208" spans="1:45" ht="18.75" customHeight="1" x14ac:dyDescent="0.2">
      <c r="A208" s="2"/>
      <c r="B208" s="2"/>
      <c r="C208" s="14"/>
      <c r="D208" s="14"/>
      <c r="E208" s="14"/>
      <c r="F208" s="14"/>
      <c r="G208" s="14"/>
      <c r="H208" s="14"/>
      <c r="I208" s="14"/>
      <c r="J208" s="2"/>
      <c r="K208" s="2"/>
      <c r="L208" s="2"/>
      <c r="M208" s="2"/>
      <c r="N208" s="2"/>
      <c r="O208" s="2"/>
      <c r="P208" s="2"/>
      <c r="Q208" s="2"/>
      <c r="R208" s="591"/>
      <c r="S208" s="591"/>
      <c r="T208" s="591"/>
      <c r="U208" s="591"/>
      <c r="V208" s="591"/>
      <c r="W208" s="591"/>
      <c r="X208" s="591"/>
      <c r="AA208" s="591"/>
      <c r="AB208" s="591"/>
      <c r="AC208" s="591"/>
      <c r="AG208" s="591"/>
      <c r="AS208" s="591"/>
    </row>
    <row r="209" spans="1:45" ht="18.75" customHeight="1" x14ac:dyDescent="0.2">
      <c r="A209" s="2"/>
      <c r="B209" s="2"/>
      <c r="C209" s="2"/>
      <c r="D209" s="2"/>
      <c r="E209" s="2"/>
      <c r="F209" s="2"/>
      <c r="G209" s="2"/>
      <c r="H209" s="2"/>
      <c r="I209" s="2"/>
      <c r="J209" s="2"/>
      <c r="K209" s="638" t="str">
        <f ca="1">Presentazione!$H$13</f>
        <v/>
      </c>
      <c r="L209" s="2"/>
      <c r="M209" s="2"/>
      <c r="N209" s="2"/>
      <c r="O209" s="2"/>
      <c r="P209" s="2"/>
      <c r="Q209" s="2"/>
      <c r="R209" s="591"/>
      <c r="S209" s="591"/>
      <c r="T209" s="591"/>
      <c r="U209" s="591"/>
      <c r="V209" s="591"/>
      <c r="W209" s="591"/>
      <c r="X209" s="591"/>
      <c r="AA209" s="591"/>
      <c r="AB209" s="591"/>
      <c r="AC209" s="591"/>
      <c r="AG209" s="591"/>
      <c r="AS209" s="591"/>
    </row>
    <row r="210" spans="1:45" ht="18.75" customHeight="1" x14ac:dyDescent="0.2">
      <c r="A210" s="2"/>
      <c r="B210" s="2"/>
      <c r="C210" s="2"/>
      <c r="D210" s="2"/>
      <c r="E210" s="2"/>
      <c r="F210" s="2"/>
      <c r="G210" s="2"/>
      <c r="H210" s="2"/>
      <c r="I210" s="2"/>
      <c r="J210" s="2"/>
      <c r="K210" s="639" t="str">
        <f ca="1">IF(Presentazione!$J$165=Presentazione!$K$83,CONCATENATE(Presentazione!$F$77,"   -   ","P.I./C.F ",Presentazione!$K$79),Presentazione!$I$157)</f>
        <v>Sistema parzialmente attivato. Inserisci il tuo CODICE di PROPRIETA' nel foglio Presentazione.</v>
      </c>
      <c r="L210" s="2"/>
      <c r="M210" s="2"/>
      <c r="N210" s="2"/>
      <c r="O210" s="2"/>
      <c r="P210" s="2"/>
      <c r="Q210" s="2"/>
      <c r="R210" s="591"/>
      <c r="S210" s="591"/>
      <c r="T210" s="591"/>
      <c r="U210" s="591"/>
      <c r="V210" s="591"/>
      <c r="W210" s="591"/>
      <c r="X210" s="591"/>
      <c r="AA210" s="591"/>
      <c r="AB210" s="591"/>
      <c r="AC210" s="591"/>
      <c r="AG210" s="591"/>
      <c r="AS210" s="591"/>
    </row>
    <row r="211" spans="1:45" ht="18.75" customHeight="1" x14ac:dyDescent="0.2">
      <c r="A211" s="2"/>
      <c r="B211" s="2"/>
      <c r="C211" s="2"/>
      <c r="D211" s="2"/>
      <c r="E211" s="2"/>
      <c r="F211" s="2"/>
      <c r="G211" s="2"/>
      <c r="H211" s="2"/>
      <c r="I211" s="2"/>
      <c r="J211" s="2"/>
      <c r="K211" s="2"/>
      <c r="L211" s="2"/>
      <c r="M211" s="2"/>
      <c r="N211" s="2"/>
      <c r="O211" s="2"/>
      <c r="P211" s="2"/>
      <c r="Q211" s="2"/>
      <c r="R211" s="591"/>
      <c r="S211" s="591"/>
      <c r="T211" s="591"/>
      <c r="U211" s="591"/>
      <c r="V211" s="591"/>
      <c r="W211" s="591"/>
      <c r="X211" s="591"/>
      <c r="AA211" s="591"/>
      <c r="AB211" s="591"/>
      <c r="AC211" s="591"/>
      <c r="AG211" s="591"/>
      <c r="AS211" s="591"/>
    </row>
    <row r="212" spans="1:45" ht="18.75" customHeight="1" x14ac:dyDescent="0.2">
      <c r="A212" s="2"/>
      <c r="B212" s="2"/>
      <c r="C212" s="637" t="str">
        <f>CASSA!B108</f>
        <v>www.marcopiccoli.it   -   Registro dei Corrispettivi 5.2.4 3txt - per EXCEL .xlsm</v>
      </c>
      <c r="D212" s="2"/>
      <c r="E212" s="2"/>
      <c r="F212" s="2"/>
      <c r="G212" s="2"/>
      <c r="H212" s="2"/>
      <c r="I212" s="2"/>
      <c r="J212" s="2"/>
      <c r="K212" s="2"/>
      <c r="L212" s="2"/>
      <c r="M212" s="2"/>
      <c r="N212" s="2"/>
      <c r="O212" s="2"/>
      <c r="P212" s="2"/>
      <c r="Q212" s="2"/>
      <c r="R212" s="591"/>
      <c r="S212" s="591"/>
      <c r="T212" s="591"/>
      <c r="U212" s="591"/>
      <c r="V212" s="591"/>
      <c r="W212" s="591"/>
      <c r="X212" s="591"/>
      <c r="AA212" s="591"/>
      <c r="AB212" s="591"/>
      <c r="AC212" s="591"/>
      <c r="AG212" s="591"/>
      <c r="AS212" s="591"/>
    </row>
    <row r="213" spans="1:45" ht="18.75" customHeight="1" x14ac:dyDescent="0.2">
      <c r="A213" s="2"/>
      <c r="B213" s="2"/>
      <c r="C213" s="2"/>
      <c r="D213" s="2"/>
      <c r="E213" s="2"/>
      <c r="F213" s="2"/>
      <c r="G213" s="2"/>
      <c r="H213" s="2"/>
      <c r="I213" s="2"/>
      <c r="J213" s="2"/>
      <c r="K213" s="2"/>
      <c r="L213" s="2"/>
      <c r="M213" s="2"/>
      <c r="N213" s="2"/>
      <c r="O213" s="2"/>
      <c r="P213" s="2"/>
      <c r="Q213" s="2"/>
      <c r="R213" s="591"/>
      <c r="S213" s="591"/>
      <c r="T213" s="591"/>
      <c r="U213" s="591"/>
      <c r="V213" s="591"/>
      <c r="W213" s="591"/>
      <c r="X213" s="591"/>
      <c r="AA213" s="591"/>
      <c r="AB213" s="591"/>
      <c r="AC213" s="591"/>
      <c r="AG213" s="591"/>
      <c r="AS213" s="591"/>
    </row>
    <row r="214" spans="1:45" ht="18.75" hidden="1" customHeight="1" x14ac:dyDescent="0.2">
      <c r="A214" s="2"/>
      <c r="B214" s="2"/>
      <c r="C214" s="2"/>
      <c r="D214" s="600">
        <v>33</v>
      </c>
      <c r="E214" s="2"/>
      <c r="F214" s="2"/>
      <c r="G214" s="148">
        <v>5</v>
      </c>
      <c r="H214" s="148">
        <v>6</v>
      </c>
      <c r="I214" s="148">
        <v>7</v>
      </c>
      <c r="J214" s="148">
        <v>8</v>
      </c>
      <c r="K214" s="2"/>
      <c r="L214" s="2"/>
      <c r="M214" s="2"/>
      <c r="N214" s="2"/>
      <c r="O214" s="2"/>
      <c r="P214" s="2"/>
      <c r="Q214" s="2"/>
      <c r="R214" s="591"/>
      <c r="S214" s="591"/>
      <c r="T214" s="591"/>
      <c r="U214" s="591"/>
      <c r="V214" s="591"/>
      <c r="W214" s="591"/>
      <c r="X214" s="591"/>
      <c r="AA214" s="591"/>
      <c r="AB214" s="591"/>
      <c r="AC214" s="591"/>
      <c r="AG214" s="591"/>
      <c r="AS214" s="591"/>
    </row>
    <row r="215" spans="1:45" ht="21.95" hidden="1" customHeight="1" x14ac:dyDescent="0.2">
      <c r="A215" s="2"/>
      <c r="B215" s="7"/>
      <c r="C215" s="2187" t="str">
        <f>C46</f>
        <v>LORDO</v>
      </c>
      <c r="D215" s="2187"/>
      <c r="E215" s="2188">
        <f>SUM(G215:J215)</f>
        <v>0</v>
      </c>
      <c r="F215" s="2188"/>
      <c r="G215" s="602">
        <f>VLOOKUP(G$1,IMPOSTAZIONI!$B$298:$AM$304,$D$214,FALSE)</f>
        <v>0</v>
      </c>
      <c r="H215" s="602">
        <f>VLOOKUP(H$1,IMPOSTAZIONI!$B$298:$AM$304,$D$214,FALSE)</f>
        <v>0</v>
      </c>
      <c r="I215" s="602">
        <f>VLOOKUP(K$1,IMPOSTAZIONI!$B$298:$AM$304,$D$214,FALSE)</f>
        <v>0</v>
      </c>
      <c r="J215" s="602">
        <f>VLOOKUP(N$1,IMPOSTAZIONI!$B$298:$AM$304,$D$214,FALSE)</f>
        <v>0</v>
      </c>
      <c r="K215" s="14"/>
      <c r="L215" s="2"/>
      <c r="M215" s="12"/>
      <c r="N215" s="2"/>
      <c r="O215" s="2"/>
      <c r="P215" s="2"/>
      <c r="Q215" s="2"/>
      <c r="R215" s="591"/>
      <c r="S215" s="591"/>
      <c r="T215" s="591"/>
      <c r="U215" s="591"/>
      <c r="V215" s="591"/>
      <c r="W215" s="591"/>
      <c r="X215" s="591"/>
      <c r="AA215" s="591"/>
      <c r="AB215" s="591"/>
      <c r="AC215" s="591"/>
      <c r="AG215" s="591"/>
      <c r="AS215" s="591"/>
    </row>
    <row r="216" spans="1:45" hidden="1" x14ac:dyDescent="0.2">
      <c r="A216" s="2"/>
      <c r="B216" s="7"/>
      <c r="C216" s="2189" t="str">
        <f>C47</f>
        <v>NETTO</v>
      </c>
      <c r="D216" s="2189"/>
      <c r="E216" s="2190">
        <f>SUM(G216:J216)</f>
        <v>4000</v>
      </c>
      <c r="F216" s="2190"/>
      <c r="G216" s="601">
        <f>VLOOKUP(G$1,IMPOSTAZIONI!$B$391:$AM$397,$D$214,FALSE)</f>
        <v>1000</v>
      </c>
      <c r="H216" s="601">
        <f>VLOOKUP(H$1,IMPOSTAZIONI!$B$391:$AM$397,$D$214,FALSE)</f>
        <v>1000</v>
      </c>
      <c r="I216" s="601">
        <f>VLOOKUP(K$1,IMPOSTAZIONI!$B$391:$AM$397,$D$214,FALSE)</f>
        <v>1000</v>
      </c>
      <c r="J216" s="601">
        <f>VLOOKUP(N$1,IMPOSTAZIONI!$B$391:$AM$397,$D$214,FALSE)</f>
        <v>1000</v>
      </c>
      <c r="K216" s="14"/>
      <c r="L216" s="2"/>
      <c r="M216" s="12"/>
      <c r="N216" s="2"/>
      <c r="O216" s="2"/>
      <c r="P216" s="2"/>
      <c r="Q216" s="2"/>
      <c r="R216" s="591"/>
      <c r="S216" s="591"/>
      <c r="T216" s="591"/>
      <c r="U216" s="591"/>
      <c r="V216" s="591"/>
      <c r="W216" s="591"/>
      <c r="X216" s="591"/>
      <c r="AA216" s="591"/>
      <c r="AB216" s="591"/>
      <c r="AC216" s="591"/>
      <c r="AG216" s="591"/>
      <c r="AS216" s="591"/>
    </row>
    <row r="217" spans="1:45" ht="21.95" hidden="1" customHeight="1" x14ac:dyDescent="0.2">
      <c r="A217" s="2"/>
      <c r="B217" s="7"/>
      <c r="C217" s="2185" t="str">
        <f>C48</f>
        <v>IVA</v>
      </c>
      <c r="D217" s="2185"/>
      <c r="E217" s="2186">
        <f>SUM(G217:J217)</f>
        <v>-4000</v>
      </c>
      <c r="F217" s="2186"/>
      <c r="G217" s="603">
        <f>G215-G216</f>
        <v>-1000</v>
      </c>
      <c r="H217" s="603">
        <f>H215-H216</f>
        <v>-1000</v>
      </c>
      <c r="I217" s="603">
        <f>I215-I216</f>
        <v>-1000</v>
      </c>
      <c r="J217" s="603">
        <f>J215-J216</f>
        <v>-1000</v>
      </c>
      <c r="K217" s="14"/>
      <c r="L217" s="2"/>
      <c r="M217" s="12"/>
      <c r="N217" s="2"/>
      <c r="O217" s="2"/>
      <c r="P217" s="2"/>
      <c r="Q217" s="2"/>
      <c r="R217" s="591"/>
      <c r="S217" s="591"/>
      <c r="T217" s="591"/>
      <c r="U217" s="591"/>
      <c r="V217" s="591"/>
      <c r="W217" s="591"/>
      <c r="X217" s="591"/>
      <c r="AA217" s="591"/>
      <c r="AB217" s="591"/>
      <c r="AC217" s="591"/>
      <c r="AG217" s="591"/>
      <c r="AS217" s="591"/>
    </row>
    <row r="218" spans="1:45" ht="18.75" hidden="1" customHeight="1" x14ac:dyDescent="0.2">
      <c r="A218" s="2"/>
      <c r="B218" s="2"/>
      <c r="C218" s="2"/>
      <c r="D218" s="2"/>
      <c r="E218" s="2"/>
      <c r="F218" s="2"/>
      <c r="G218" s="2"/>
      <c r="H218" s="2"/>
      <c r="I218" s="2"/>
      <c r="J218" s="2"/>
      <c r="K218" s="2"/>
      <c r="L218" s="2"/>
      <c r="M218" s="2"/>
      <c r="N218" s="2"/>
      <c r="O218" s="2"/>
      <c r="P218" s="2"/>
      <c r="Q218" s="2"/>
      <c r="R218" s="591"/>
      <c r="S218" s="591"/>
      <c r="T218" s="591"/>
      <c r="U218" s="591"/>
      <c r="V218" s="591"/>
      <c r="W218" s="591"/>
      <c r="X218" s="591"/>
      <c r="AA218" s="591"/>
      <c r="AB218" s="591"/>
      <c r="AC218" s="591"/>
      <c r="AG218" s="591"/>
      <c r="AS218" s="591"/>
    </row>
    <row r="219" spans="1:45" hidden="1" x14ac:dyDescent="0.2">
      <c r="A219" s="2"/>
      <c r="B219" s="2"/>
      <c r="C219" s="2"/>
      <c r="D219" s="2"/>
      <c r="E219" s="931" t="s">
        <v>718</v>
      </c>
      <c r="F219" s="2"/>
      <c r="G219" s="592" t="s">
        <v>175</v>
      </c>
      <c r="H219" s="2"/>
      <c r="I219" s="2"/>
      <c r="J219" s="2"/>
      <c r="K219" s="2"/>
      <c r="L219" s="2"/>
      <c r="M219" s="2"/>
      <c r="N219" s="2"/>
      <c r="O219" s="2"/>
      <c r="P219" s="2"/>
      <c r="Q219" s="2"/>
      <c r="R219" s="591"/>
      <c r="S219" s="591"/>
      <c r="T219" s="591"/>
      <c r="U219" s="591"/>
      <c r="V219" s="591"/>
      <c r="W219" s="591"/>
      <c r="X219" s="591"/>
      <c r="AA219" s="591"/>
      <c r="AB219" s="591"/>
      <c r="AC219" s="591"/>
      <c r="AG219" s="591"/>
      <c r="AS219" s="591"/>
    </row>
    <row r="220" spans="1:45" ht="14.25" hidden="1" customHeight="1" x14ac:dyDescent="0.2">
      <c r="A220" s="2"/>
      <c r="B220" s="2"/>
      <c r="C220" s="2"/>
      <c r="D220" s="2"/>
      <c r="E220" s="932" t="s">
        <v>719</v>
      </c>
      <c r="F220" s="2"/>
      <c r="G220" s="593">
        <f>STORICO!C16</f>
        <v>2024</v>
      </c>
      <c r="H220" s="2"/>
      <c r="I220" s="592" t="str">
        <f t="shared" ref="I220:I229" si="36">CONCATENATE(G$219,"   ",G220)</f>
        <v>ANNO   2024</v>
      </c>
      <c r="J220" s="2"/>
      <c r="K220" s="592" t="s">
        <v>583</v>
      </c>
      <c r="L220" s="2"/>
      <c r="M220" s="2"/>
      <c r="N220" s="2"/>
      <c r="O220" s="2"/>
      <c r="P220" s="2"/>
      <c r="Q220" s="2"/>
      <c r="R220" s="591"/>
      <c r="S220" s="591"/>
      <c r="T220" s="591"/>
      <c r="U220" s="591"/>
      <c r="V220" s="591"/>
      <c r="W220" s="591"/>
      <c r="X220" s="591"/>
      <c r="AA220" s="591"/>
      <c r="AB220" s="591"/>
      <c r="AC220" s="591"/>
      <c r="AG220" s="591"/>
      <c r="AS220" s="591"/>
    </row>
    <row r="221" spans="1:45" ht="14.25" hidden="1" customHeight="1" x14ac:dyDescent="0.2">
      <c r="A221" s="2"/>
      <c r="B221" s="2"/>
      <c r="C221" s="2"/>
      <c r="D221" s="2"/>
      <c r="E221" s="933">
        <f>IF(ISERROR(G206),MAX(G180:K180,G193:K193)/10,MAX(G180:K180,G193:K193,G206:K206)/10)</f>
        <v>0</v>
      </c>
      <c r="F221" s="2"/>
      <c r="G221" s="593">
        <f>STORICO!C27</f>
        <v>2023</v>
      </c>
      <c r="H221" s="2"/>
      <c r="I221" s="592" t="str">
        <f t="shared" si="36"/>
        <v>ANNO   2023</v>
      </c>
      <c r="J221" s="2"/>
      <c r="K221" s="592" t="s">
        <v>584</v>
      </c>
      <c r="L221" s="2"/>
      <c r="M221" s="2"/>
      <c r="N221" s="2"/>
      <c r="O221" s="2"/>
      <c r="P221" s="2"/>
      <c r="Q221" s="2"/>
      <c r="AA221" s="591"/>
      <c r="AB221" s="591"/>
      <c r="AC221" s="591"/>
      <c r="AG221" s="591"/>
      <c r="AS221" s="591"/>
    </row>
    <row r="222" spans="1:45" ht="14.25" hidden="1" customHeight="1" x14ac:dyDescent="0.2">
      <c r="A222" s="2"/>
      <c r="B222" s="2"/>
      <c r="C222" s="2"/>
      <c r="D222" s="2"/>
      <c r="E222" s="2"/>
      <c r="F222" s="2"/>
      <c r="G222" s="593">
        <f>STORICO!C33</f>
        <v>2022</v>
      </c>
      <c r="H222" s="2"/>
      <c r="I222" s="592" t="str">
        <f t="shared" si="36"/>
        <v>ANNO   2022</v>
      </c>
      <c r="J222" s="2"/>
      <c r="K222" s="592" t="s">
        <v>585</v>
      </c>
      <c r="L222" s="2"/>
      <c r="M222" s="2"/>
      <c r="N222" s="2"/>
      <c r="O222" s="2"/>
      <c r="P222" s="2"/>
      <c r="Q222" s="2"/>
      <c r="AA222" s="591"/>
      <c r="AB222" s="591"/>
      <c r="AC222" s="591"/>
      <c r="AG222" s="591"/>
      <c r="AS222" s="591"/>
    </row>
    <row r="223" spans="1:45" ht="14.25" hidden="1" customHeight="1" x14ac:dyDescent="0.2">
      <c r="A223" s="2"/>
      <c r="B223" s="2"/>
      <c r="C223" s="2"/>
      <c r="D223" s="2"/>
      <c r="E223" s="2"/>
      <c r="F223" s="2"/>
      <c r="G223" s="593">
        <f>STORICO!C39</f>
        <v>2021</v>
      </c>
      <c r="H223" s="2"/>
      <c r="I223" s="592" t="str">
        <f t="shared" si="36"/>
        <v>ANNO   2021</v>
      </c>
      <c r="J223" s="2"/>
      <c r="K223" s="592" t="s">
        <v>586</v>
      </c>
      <c r="L223" s="2"/>
      <c r="M223" s="2"/>
      <c r="N223" s="2"/>
      <c r="O223" s="2"/>
      <c r="P223" s="2"/>
      <c r="Q223" s="2"/>
      <c r="AA223" s="591"/>
      <c r="AB223" s="591"/>
      <c r="AC223" s="591"/>
      <c r="AG223" s="591"/>
      <c r="AS223" s="591"/>
    </row>
    <row r="224" spans="1:45" ht="14.25" hidden="1" customHeight="1" x14ac:dyDescent="0.2">
      <c r="A224" s="2"/>
      <c r="B224" s="2"/>
      <c r="C224" s="2"/>
      <c r="D224" s="2"/>
      <c r="E224" s="934" t="str">
        <f>C215</f>
        <v>LORDO</v>
      </c>
      <c r="F224" s="2"/>
      <c r="G224" s="593" t="str">
        <f>CONCATENATE(G220," + ",G221)</f>
        <v>2024 + 2023</v>
      </c>
      <c r="H224" s="2"/>
      <c r="I224" s="592" t="str">
        <f t="shared" si="36"/>
        <v>ANNO   2024 + 2023</v>
      </c>
      <c r="J224" s="2"/>
      <c r="K224" s="592" t="str">
        <f>CONCATENATE(K220," + ",K221)</f>
        <v>ANNO IN CORSO + ANNO PRECEDENTE 1</v>
      </c>
      <c r="L224" s="2"/>
      <c r="M224" s="2"/>
      <c r="N224" s="2"/>
      <c r="O224" s="2"/>
      <c r="P224" s="2"/>
      <c r="Q224" s="2"/>
      <c r="AA224" s="591"/>
      <c r="AB224" s="591"/>
      <c r="AC224" s="591"/>
      <c r="AG224" s="591"/>
      <c r="AS224" s="591"/>
    </row>
    <row r="225" spans="1:45" ht="14.25" hidden="1" customHeight="1" x14ac:dyDescent="0.2">
      <c r="A225" s="2"/>
      <c r="B225" s="2"/>
      <c r="C225" s="2"/>
      <c r="D225" s="2"/>
      <c r="E225" s="934" t="str">
        <f>C216</f>
        <v>NETTO</v>
      </c>
      <c r="F225" s="2"/>
      <c r="G225" s="593" t="str">
        <f>CONCATENATE(G220," + ",G221," + ",G222)</f>
        <v>2024 + 2023 + 2022</v>
      </c>
      <c r="H225" s="2"/>
      <c r="I225" s="592" t="str">
        <f t="shared" si="36"/>
        <v>ANNO   2024 + 2023 + 2022</v>
      </c>
      <c r="J225" s="2"/>
      <c r="K225" s="592" t="str">
        <f>CONCATENATE(K220," + ",K221," + 2")</f>
        <v>ANNO IN CORSO + ANNO PRECEDENTE 1 + 2</v>
      </c>
      <c r="L225" s="2"/>
      <c r="M225" s="2"/>
      <c r="N225" s="2"/>
      <c r="O225" s="2"/>
      <c r="P225" s="2"/>
      <c r="Q225" s="2"/>
      <c r="AA225" s="591"/>
      <c r="AB225" s="591"/>
      <c r="AC225" s="591"/>
      <c r="AG225" s="591"/>
      <c r="AS225" s="591"/>
    </row>
    <row r="226" spans="1:45" ht="14.25" hidden="1" customHeight="1" x14ac:dyDescent="0.2">
      <c r="A226" s="2"/>
      <c r="B226" s="2"/>
      <c r="C226" s="2"/>
      <c r="D226" s="2"/>
      <c r="E226" s="934" t="str">
        <f>C217</f>
        <v>IVA</v>
      </c>
      <c r="F226" s="2"/>
      <c r="G226" s="593" t="str">
        <f>CONCATENATE(G220," + ",G221," + ",G222," + ",G223)</f>
        <v>2024 + 2023 + 2022 + 2021</v>
      </c>
      <c r="H226" s="2"/>
      <c r="I226" s="592" t="str">
        <f t="shared" si="36"/>
        <v>ANNO   2024 + 2023 + 2022 + 2021</v>
      </c>
      <c r="J226" s="2"/>
      <c r="K226" s="592" t="str">
        <f>CONCATENATE(K220," + ",K221," + 2 + 3")</f>
        <v>ANNO IN CORSO + ANNO PRECEDENTE 1 + 2 + 3</v>
      </c>
      <c r="L226" s="2"/>
      <c r="M226" s="2"/>
      <c r="N226" s="2"/>
      <c r="O226" s="2"/>
      <c r="P226" s="2"/>
      <c r="Q226" s="2"/>
      <c r="AA226" s="591"/>
      <c r="AB226" s="591"/>
      <c r="AC226" s="591"/>
      <c r="AG226" s="591"/>
      <c r="AS226" s="591"/>
    </row>
    <row r="227" spans="1:45" ht="14.25" hidden="1" customHeight="1" x14ac:dyDescent="0.2">
      <c r="A227" s="2"/>
      <c r="B227" s="2"/>
      <c r="C227" s="2"/>
      <c r="D227" s="2"/>
      <c r="E227" s="2"/>
      <c r="F227" s="2"/>
      <c r="G227" s="593" t="str">
        <f>CONCATENATE(G221," + ",G222)</f>
        <v>2023 + 2022</v>
      </c>
      <c r="H227" s="2"/>
      <c r="I227" s="592" t="str">
        <f t="shared" si="36"/>
        <v>ANNO   2023 + 2022</v>
      </c>
      <c r="J227" s="2"/>
      <c r="K227" s="592" t="str">
        <f>CONCATENATE(K221," + 2")</f>
        <v>ANNO PRECEDENTE 1 + 2</v>
      </c>
      <c r="L227" s="2"/>
      <c r="M227" s="2"/>
      <c r="N227" s="2"/>
      <c r="O227" s="2"/>
      <c r="P227" s="2"/>
      <c r="Q227" s="2"/>
      <c r="AA227" s="591"/>
      <c r="AB227" s="591"/>
      <c r="AC227" s="591"/>
      <c r="AG227" s="591"/>
      <c r="AS227" s="591"/>
    </row>
    <row r="228" spans="1:45" ht="14.25" hidden="1" customHeight="1" x14ac:dyDescent="0.2">
      <c r="A228" s="2"/>
      <c r="B228" s="2"/>
      <c r="C228" s="2"/>
      <c r="D228" s="2"/>
      <c r="E228" s="2"/>
      <c r="F228" s="2"/>
      <c r="G228" s="593" t="str">
        <f>CONCATENATE(G221," + ",G222," + ",G223)</f>
        <v>2023 + 2022 + 2021</v>
      </c>
      <c r="H228" s="2"/>
      <c r="I228" s="592" t="str">
        <f t="shared" si="36"/>
        <v>ANNO   2023 + 2022 + 2021</v>
      </c>
      <c r="J228" s="2"/>
      <c r="K228" s="592" t="str">
        <f>CONCATENATE(K221," + 2 + 3")</f>
        <v>ANNO PRECEDENTE 1 + 2 + 3</v>
      </c>
      <c r="L228" s="2"/>
      <c r="M228" s="2"/>
      <c r="N228" s="2"/>
      <c r="O228" s="2"/>
      <c r="P228" s="2"/>
      <c r="Q228" s="2"/>
      <c r="AA228" s="591"/>
      <c r="AB228" s="591"/>
      <c r="AC228" s="591"/>
      <c r="AG228" s="591"/>
      <c r="AS228" s="591"/>
    </row>
    <row r="229" spans="1:45" ht="14.25" hidden="1" customHeight="1" x14ac:dyDescent="0.2">
      <c r="A229" s="2"/>
      <c r="B229" s="2"/>
      <c r="C229" s="2"/>
      <c r="D229" s="2"/>
      <c r="E229" s="2"/>
      <c r="F229" s="2"/>
      <c r="G229" s="593" t="str">
        <f>CONCATENATE(G222," + ",G223)</f>
        <v>2022 + 2021</v>
      </c>
      <c r="H229" s="2"/>
      <c r="I229" s="592" t="str">
        <f t="shared" si="36"/>
        <v>ANNO   2022 + 2021</v>
      </c>
      <c r="J229" s="2"/>
      <c r="K229" s="592" t="str">
        <f>CONCATENATE(K222," + 3")</f>
        <v>ANNO PRECEDENTE 2 + 3</v>
      </c>
      <c r="L229" s="2"/>
      <c r="M229" s="2"/>
      <c r="N229" s="2"/>
      <c r="O229" s="2"/>
      <c r="P229" s="2"/>
      <c r="Q229" s="2"/>
      <c r="AA229" s="591"/>
      <c r="AB229" s="591"/>
      <c r="AC229" s="591"/>
      <c r="AG229" s="591"/>
      <c r="AS229" s="591"/>
    </row>
    <row r="230" spans="1:45" hidden="1" x14ac:dyDescent="0.2">
      <c r="A230" s="2"/>
      <c r="B230" s="2"/>
      <c r="C230" s="2"/>
      <c r="D230" s="2"/>
      <c r="E230" s="2"/>
      <c r="F230" s="2"/>
      <c r="G230" s="2"/>
      <c r="H230" s="2"/>
      <c r="I230" s="2"/>
      <c r="J230" s="2"/>
      <c r="K230" s="2"/>
      <c r="L230" s="2"/>
      <c r="M230" s="2"/>
      <c r="N230" s="2"/>
      <c r="O230" s="2"/>
      <c r="P230" s="2"/>
      <c r="Q230" s="2"/>
      <c r="AA230" s="591"/>
      <c r="AB230" s="591"/>
      <c r="AC230" s="591"/>
      <c r="AG230" s="591"/>
      <c r="AS230" s="591"/>
    </row>
    <row r="231" spans="1:45" x14ac:dyDescent="0.2">
      <c r="A231" s="2"/>
      <c r="B231" s="2"/>
      <c r="C231" s="2"/>
      <c r="D231" s="2"/>
      <c r="E231" s="2"/>
      <c r="F231" s="2"/>
      <c r="G231" s="1433" t="s">
        <v>572</v>
      </c>
      <c r="H231" s="1434" t="s">
        <v>869</v>
      </c>
      <c r="I231" s="2"/>
      <c r="J231" s="2"/>
      <c r="K231" s="2"/>
      <c r="L231" s="1433" t="s">
        <v>572</v>
      </c>
      <c r="M231" s="1434" t="s">
        <v>870</v>
      </c>
      <c r="N231" s="2"/>
      <c r="O231" s="2"/>
      <c r="P231" s="2"/>
      <c r="Q231" s="2"/>
      <c r="AA231" s="591"/>
      <c r="AB231" s="591"/>
      <c r="AC231" s="591"/>
      <c r="AG231" s="591"/>
      <c r="AS231" s="591"/>
    </row>
  </sheetData>
  <sheetProtection algorithmName="SHA-512" hashValue="93z0Q4wdklya7wQRsAM+tc0x2fbAZ72rjt9eo8AcjH46Od0zLex1JBXxGh4B0D3tjUvBB/mxyAqYtxv7RxqcFw==" saltValue="EOv3sV26A4FmoFXhA+UjIg==" spinCount="100000" sheet="1" objects="1" scenarios="1" selectLockedCells="1"/>
  <mergeCells count="242">
    <mergeCell ref="I205:J205"/>
    <mergeCell ref="I206:J206"/>
    <mergeCell ref="I200:J200"/>
    <mergeCell ref="I201:J201"/>
    <mergeCell ref="I202:J202"/>
    <mergeCell ref="C3:D3"/>
    <mergeCell ref="E3:G3"/>
    <mergeCell ref="I187:J187"/>
    <mergeCell ref="I188:J188"/>
    <mergeCell ref="I189:J189"/>
    <mergeCell ref="I182:J182"/>
    <mergeCell ref="I183:J183"/>
    <mergeCell ref="I166:J166"/>
    <mergeCell ref="I167:J167"/>
    <mergeCell ref="I118:J118"/>
    <mergeCell ref="I119:J119"/>
    <mergeCell ref="I203:J203"/>
    <mergeCell ref="I204:J204"/>
    <mergeCell ref="I199:J199"/>
    <mergeCell ref="I190:J190"/>
    <mergeCell ref="I191:J191"/>
    <mergeCell ref="I192:J192"/>
    <mergeCell ref="I193:J193"/>
    <mergeCell ref="I196:J196"/>
    <mergeCell ref="C2:I2"/>
    <mergeCell ref="J2:P2"/>
    <mergeCell ref="M3:P3"/>
    <mergeCell ref="H3:L3"/>
    <mergeCell ref="K160:L160"/>
    <mergeCell ref="K156:L156"/>
    <mergeCell ref="K158:L158"/>
    <mergeCell ref="K157:L157"/>
    <mergeCell ref="AN6:AQ6"/>
    <mergeCell ref="C58:F58"/>
    <mergeCell ref="C46:D46"/>
    <mergeCell ref="C57:F57"/>
    <mergeCell ref="C45:F45"/>
    <mergeCell ref="C55:E55"/>
    <mergeCell ref="C52:E52"/>
    <mergeCell ref="C50:E50"/>
    <mergeCell ref="E47:F47"/>
    <mergeCell ref="C48:D48"/>
    <mergeCell ref="E48:F48"/>
    <mergeCell ref="C103:F103"/>
    <mergeCell ref="O97:P97"/>
    <mergeCell ref="E93:F93"/>
    <mergeCell ref="O103:P103"/>
    <mergeCell ref="C94:F94"/>
    <mergeCell ref="I197:J197"/>
    <mergeCell ref="I198:J198"/>
    <mergeCell ref="I186:J186"/>
    <mergeCell ref="I176:J176"/>
    <mergeCell ref="I177:J177"/>
    <mergeCell ref="I184:J184"/>
    <mergeCell ref="I185:J185"/>
    <mergeCell ref="I178:J178"/>
    <mergeCell ref="I179:J179"/>
    <mergeCell ref="I180:J180"/>
    <mergeCell ref="I181:J181"/>
    <mergeCell ref="I170:J170"/>
    <mergeCell ref="I171:J171"/>
    <mergeCell ref="I172:J172"/>
    <mergeCell ref="I173:J173"/>
    <mergeCell ref="I174:J174"/>
    <mergeCell ref="I175:J175"/>
    <mergeCell ref="M168:N168"/>
    <mergeCell ref="I122:J122"/>
    <mergeCell ref="K159:L159"/>
    <mergeCell ref="I169:J169"/>
    <mergeCell ref="I168:J168"/>
    <mergeCell ref="K147:L147"/>
    <mergeCell ref="K148:L148"/>
    <mergeCell ref="K149:L149"/>
    <mergeCell ref="B162:D162"/>
    <mergeCell ref="C217:D217"/>
    <mergeCell ref="E217:F217"/>
    <mergeCell ref="C215:D215"/>
    <mergeCell ref="E215:F215"/>
    <mergeCell ref="C216:D216"/>
    <mergeCell ref="E216:F216"/>
    <mergeCell ref="C167:D167"/>
    <mergeCell ref="C182:F182"/>
    <mergeCell ref="E193:F193"/>
    <mergeCell ref="C170:D170"/>
    <mergeCell ref="C183:D183"/>
    <mergeCell ref="C168:F168"/>
    <mergeCell ref="B163:D163"/>
    <mergeCell ref="E167:F167"/>
    <mergeCell ref="C180:D180"/>
    <mergeCell ref="E180:F180"/>
    <mergeCell ref="C169:F169"/>
    <mergeCell ref="C206:D206"/>
    <mergeCell ref="E206:F206"/>
    <mergeCell ref="C193:D193"/>
    <mergeCell ref="I207:K207"/>
    <mergeCell ref="I195:J195"/>
    <mergeCell ref="I194:J194"/>
    <mergeCell ref="K146:L146"/>
    <mergeCell ref="C126:M126"/>
    <mergeCell ref="I114:J114"/>
    <mergeCell ref="I115:J115"/>
    <mergeCell ref="K145:L145"/>
    <mergeCell ref="L108:M108"/>
    <mergeCell ref="L109:M109"/>
    <mergeCell ref="I116:J116"/>
    <mergeCell ref="I117:J117"/>
    <mergeCell ref="I120:J120"/>
    <mergeCell ref="I121:J121"/>
    <mergeCell ref="K144:L144"/>
    <mergeCell ref="C171:D172"/>
    <mergeCell ref="E171:E172"/>
    <mergeCell ref="C207:H207"/>
    <mergeCell ref="C197:D198"/>
    <mergeCell ref="E197:E198"/>
    <mergeCell ref="C184:D185"/>
    <mergeCell ref="E184:E185"/>
    <mergeCell ref="C196:D196"/>
    <mergeCell ref="C195:H195"/>
    <mergeCell ref="C101:F101"/>
    <mergeCell ref="C98:F98"/>
    <mergeCell ref="O102:P102"/>
    <mergeCell ref="E96:F96"/>
    <mergeCell ref="O98:P98"/>
    <mergeCell ref="O96:P96"/>
    <mergeCell ref="O101:P101"/>
    <mergeCell ref="C95:F95"/>
    <mergeCell ref="O93:P93"/>
    <mergeCell ref="C96:D96"/>
    <mergeCell ref="C97:F97"/>
    <mergeCell ref="C93:D93"/>
    <mergeCell ref="C102:F102"/>
    <mergeCell ref="L4:M5"/>
    <mergeCell ref="E7:F7"/>
    <mergeCell ref="I4:J5"/>
    <mergeCell ref="O4:P5"/>
    <mergeCell ref="E6:F6"/>
    <mergeCell ref="E4:F5"/>
    <mergeCell ref="G53:G54"/>
    <mergeCell ref="E20:F20"/>
    <mergeCell ref="E18:F18"/>
    <mergeCell ref="E24:F24"/>
    <mergeCell ref="E23:F23"/>
    <mergeCell ref="E22:F22"/>
    <mergeCell ref="C53:E53"/>
    <mergeCell ref="C39:D39"/>
    <mergeCell ref="E46:F46"/>
    <mergeCell ref="C51:E51"/>
    <mergeCell ref="C4:D5"/>
    <mergeCell ref="C7:D7"/>
    <mergeCell ref="E8:F8"/>
    <mergeCell ref="E25:F25"/>
    <mergeCell ref="E19:F19"/>
    <mergeCell ref="C6:D6"/>
    <mergeCell ref="E37:F37"/>
    <mergeCell ref="E39:F39"/>
    <mergeCell ref="E9:F9"/>
    <mergeCell ref="E10:F10"/>
    <mergeCell ref="C44:F44"/>
    <mergeCell ref="E43:F43"/>
    <mergeCell ref="E13:F13"/>
    <mergeCell ref="E14:F14"/>
    <mergeCell ref="C43:D43"/>
    <mergeCell ref="E38:F38"/>
    <mergeCell ref="E36:F36"/>
    <mergeCell ref="E17:F17"/>
    <mergeCell ref="E15:F15"/>
    <mergeCell ref="E16:F16"/>
    <mergeCell ref="E11:F11"/>
    <mergeCell ref="E12:F12"/>
    <mergeCell ref="E26:F26"/>
    <mergeCell ref="E21:F21"/>
    <mergeCell ref="E28:F28"/>
    <mergeCell ref="E27:F27"/>
    <mergeCell ref="E29:F29"/>
    <mergeCell ref="E30:F30"/>
    <mergeCell ref="E35:F35"/>
    <mergeCell ref="E31:F31"/>
    <mergeCell ref="E33:F33"/>
    <mergeCell ref="E34:F34"/>
    <mergeCell ref="C104:F104"/>
    <mergeCell ref="C100:F100"/>
    <mergeCell ref="C91:P91"/>
    <mergeCell ref="I67:J67"/>
    <mergeCell ref="I68:J68"/>
    <mergeCell ref="L68:M68"/>
    <mergeCell ref="I70:J70"/>
    <mergeCell ref="L70:M70"/>
    <mergeCell ref="I71:J71"/>
    <mergeCell ref="L71:M71"/>
    <mergeCell ref="I77:J77"/>
    <mergeCell ref="L77:M77"/>
    <mergeCell ref="I78:J78"/>
    <mergeCell ref="L78:M78"/>
    <mergeCell ref="L72:M72"/>
    <mergeCell ref="I89:J89"/>
    <mergeCell ref="I85:J85"/>
    <mergeCell ref="I86:J86"/>
    <mergeCell ref="L86:M86"/>
    <mergeCell ref="I87:J87"/>
    <mergeCell ref="L87:M87"/>
    <mergeCell ref="I79:J79"/>
    <mergeCell ref="I88:J88"/>
    <mergeCell ref="I81:J81"/>
    <mergeCell ref="E32:F32"/>
    <mergeCell ref="I76:J76"/>
    <mergeCell ref="I72:J72"/>
    <mergeCell ref="I73:J73"/>
    <mergeCell ref="I74:K74"/>
    <mergeCell ref="I69:J69"/>
    <mergeCell ref="K53:K54"/>
    <mergeCell ref="I53:J54"/>
    <mergeCell ref="I55:J55"/>
    <mergeCell ref="I56:J56"/>
    <mergeCell ref="C59:E59"/>
    <mergeCell ref="C56:D56"/>
    <mergeCell ref="I52:J52"/>
    <mergeCell ref="H53:H54"/>
    <mergeCell ref="C54:E54"/>
    <mergeCell ref="C47:D47"/>
    <mergeCell ref="I44:J44"/>
    <mergeCell ref="I82:J82"/>
    <mergeCell ref="I83:J83"/>
    <mergeCell ref="I84:J84"/>
    <mergeCell ref="M166:N166"/>
    <mergeCell ref="T65:T66"/>
    <mergeCell ref="AS7:AW7"/>
    <mergeCell ref="AB7:AE7"/>
    <mergeCell ref="AG7:AK7"/>
    <mergeCell ref="P58:Q58"/>
    <mergeCell ref="L55:M55"/>
    <mergeCell ref="L56:M56"/>
    <mergeCell ref="O44:P44"/>
    <mergeCell ref="O56:P56"/>
    <mergeCell ref="L69:M69"/>
    <mergeCell ref="L52:M52"/>
    <mergeCell ref="L53:M54"/>
    <mergeCell ref="O57:P57"/>
    <mergeCell ref="L44:M44"/>
    <mergeCell ref="I51:J51"/>
    <mergeCell ref="L51:M51"/>
    <mergeCell ref="G50:M50"/>
    <mergeCell ref="O104:P104"/>
  </mergeCells>
  <phoneticPr fontId="24" type="noConversion"/>
  <conditionalFormatting sqref="C57 G57">
    <cfRule type="expression" dxfId="2187" priority="1" stopIfTrue="1">
      <formula>C58=0</formula>
    </cfRule>
  </conditionalFormatting>
  <conditionalFormatting sqref="F121:F122">
    <cfRule type="expression" dxfId="2186" priority="2" stopIfTrue="1">
      <formula>SUM($G121:$I121)=0</formula>
    </cfRule>
  </conditionalFormatting>
  <conditionalFormatting sqref="G184:H192 K197:K205 K184:K192 K171:K179 G171:H179 G197:H205">
    <cfRule type="cellIs" dxfId="2185" priority="3" stopIfTrue="1" operator="equal">
      <formula>0</formula>
    </cfRule>
    <cfRule type="expression" dxfId="2184" priority="4" stopIfTrue="1">
      <formula>AND(G171=1,G170=0)</formula>
    </cfRule>
  </conditionalFormatting>
  <conditionalFormatting sqref="I171:J179 I184:J192 I197:J205">
    <cfRule type="cellIs" dxfId="2183" priority="5" stopIfTrue="1" operator="equal">
      <formula>0</formula>
    </cfRule>
    <cfRule type="expression" dxfId="2182" priority="6" stopIfTrue="1">
      <formula>AND($I171=1,$I170=0)</formula>
    </cfRule>
  </conditionalFormatting>
  <conditionalFormatting sqref="I93">
    <cfRule type="expression" dxfId="2181" priority="7" stopIfTrue="1">
      <formula>AND(I$155="X",I$93&lt;&gt;"")</formula>
    </cfRule>
  </conditionalFormatting>
  <conditionalFormatting sqref="I97">
    <cfRule type="expression" dxfId="2180" priority="8" stopIfTrue="1">
      <formula>AND(I$152=0,I$97&lt;&gt;0)</formula>
    </cfRule>
    <cfRule type="expression" dxfId="2179" priority="9" stopIfTrue="1">
      <formula>I$152=0</formula>
    </cfRule>
  </conditionalFormatting>
  <conditionalFormatting sqref="G98:I98">
    <cfRule type="expression" dxfId="2178" priority="10" stopIfTrue="1">
      <formula>AND(G$152=0,G$98&lt;&gt;0)</formula>
    </cfRule>
    <cfRule type="expression" dxfId="2177" priority="11" stopIfTrue="1">
      <formula>G$152=0</formula>
    </cfRule>
  </conditionalFormatting>
  <conditionalFormatting sqref="J93">
    <cfRule type="expression" dxfId="2176" priority="12" stopIfTrue="1">
      <formula>AND(I$155="X",J$93&lt;&gt;"")</formula>
    </cfRule>
  </conditionalFormatting>
  <conditionalFormatting sqref="J97">
    <cfRule type="expression" dxfId="2175" priority="13" stopIfTrue="1">
      <formula>AND(I$152=0,J$97&lt;&gt;0)</formula>
    </cfRule>
    <cfRule type="expression" dxfId="2174" priority="14" stopIfTrue="1">
      <formula>I$152=0</formula>
    </cfRule>
  </conditionalFormatting>
  <conditionalFormatting sqref="J98">
    <cfRule type="expression" dxfId="2173" priority="15" stopIfTrue="1">
      <formula>AND(I$152=0,J$98&lt;&gt;0)</formula>
    </cfRule>
    <cfRule type="expression" dxfId="2172" priority="16" stopIfTrue="1">
      <formula>I$152=0</formula>
    </cfRule>
  </conditionalFormatting>
  <conditionalFormatting sqref="G101:I101">
    <cfRule type="expression" dxfId="2171" priority="17" stopIfTrue="1">
      <formula>AND(G$152=0,G$101&lt;&gt;0)</formula>
    </cfRule>
    <cfRule type="expression" dxfId="2170" priority="18" stopIfTrue="1">
      <formula>AND($C101="ERROR",G101&gt;0)</formula>
    </cfRule>
    <cfRule type="expression" dxfId="2169" priority="19" stopIfTrue="1">
      <formula>G$152=0</formula>
    </cfRule>
  </conditionalFormatting>
  <conditionalFormatting sqref="G102:I102">
    <cfRule type="expression" dxfId="2168" priority="20" stopIfTrue="1">
      <formula>AND(G$152=0,G$102&lt;&gt;0)</formula>
    </cfRule>
    <cfRule type="expression" dxfId="2167" priority="21" stopIfTrue="1">
      <formula>AND($C102="ERROR",G102&gt;0)</formula>
    </cfRule>
    <cfRule type="expression" dxfId="2166" priority="22" stopIfTrue="1">
      <formula>G$152=0</formula>
    </cfRule>
  </conditionalFormatting>
  <conditionalFormatting sqref="G103:I103">
    <cfRule type="expression" dxfId="2165" priority="23" stopIfTrue="1">
      <formula>AND(G$152=0,G$103&lt;&gt;0)</formula>
    </cfRule>
    <cfRule type="expression" dxfId="2164" priority="24" stopIfTrue="1">
      <formula>AND($C103="ERROR",G103&gt;0)</formula>
    </cfRule>
    <cfRule type="expression" dxfId="2163" priority="25" stopIfTrue="1">
      <formula>G$152=0</formula>
    </cfRule>
  </conditionalFormatting>
  <conditionalFormatting sqref="G104:I104">
    <cfRule type="expression" dxfId="2162" priority="26" stopIfTrue="1">
      <formula>AND(G$152=0,G$104&lt;&gt;0)</formula>
    </cfRule>
    <cfRule type="expression" dxfId="2161" priority="27" stopIfTrue="1">
      <formula>AND($C104="ERROR",G104&gt;0)</formula>
    </cfRule>
    <cfRule type="expression" dxfId="2160" priority="28" stopIfTrue="1">
      <formula>G$152=0</formula>
    </cfRule>
  </conditionalFormatting>
  <conditionalFormatting sqref="J101">
    <cfRule type="expression" dxfId="2159" priority="29" stopIfTrue="1">
      <formula>AND(I$152=0,J$101&lt;&gt;0)</formula>
    </cfRule>
    <cfRule type="expression" dxfId="2158" priority="30" stopIfTrue="1">
      <formula>AND($C101="ERROR",J101&gt;0)</formula>
    </cfRule>
    <cfRule type="expression" dxfId="2157" priority="31" stopIfTrue="1">
      <formula>I$152=0</formula>
    </cfRule>
  </conditionalFormatting>
  <conditionalFormatting sqref="J102">
    <cfRule type="expression" dxfId="2156" priority="32" stopIfTrue="1">
      <formula>AND(I$152=0,J$102&lt;&gt;0)</formula>
    </cfRule>
    <cfRule type="expression" dxfId="2155" priority="33" stopIfTrue="1">
      <formula>AND($C102="ERROR",J102&gt;0)</formula>
    </cfRule>
    <cfRule type="expression" dxfId="2154" priority="34" stopIfTrue="1">
      <formula>I$152=0</formula>
    </cfRule>
  </conditionalFormatting>
  <conditionalFormatting sqref="J103">
    <cfRule type="expression" dxfId="2153" priority="35" stopIfTrue="1">
      <formula>AND(I$152=0,J$103&lt;&gt;0)</formula>
    </cfRule>
    <cfRule type="expression" dxfId="2152" priority="36" stopIfTrue="1">
      <formula>AND($C103="ERROR",J103&gt;0)</formula>
    </cfRule>
    <cfRule type="expression" dxfId="2151" priority="37" stopIfTrue="1">
      <formula>I$152=0</formula>
    </cfRule>
  </conditionalFormatting>
  <conditionalFormatting sqref="J104">
    <cfRule type="expression" dxfId="2150" priority="38" stopIfTrue="1">
      <formula>AND(I$152=0,J$104&lt;&gt;0)</formula>
    </cfRule>
    <cfRule type="expression" dxfId="2149" priority="39" stopIfTrue="1">
      <formula>AND($C104="ERROR",J104&gt;0)</formula>
    </cfRule>
    <cfRule type="expression" dxfId="2148" priority="40" stopIfTrue="1">
      <formula>I$152=0</formula>
    </cfRule>
  </conditionalFormatting>
  <conditionalFormatting sqref="O101:P104">
    <cfRule type="expression" dxfId="2147" priority="41" stopIfTrue="1">
      <formula>SUM($G$152:$J$152)=0</formula>
    </cfRule>
    <cfRule type="expression" dxfId="2146" priority="42" stopIfTrue="1">
      <formula>$B101=""</formula>
    </cfRule>
  </conditionalFormatting>
  <conditionalFormatting sqref="E8:F38">
    <cfRule type="expression" dxfId="2145" priority="43" stopIfTrue="1">
      <formula>$AA8=$Y$6</formula>
    </cfRule>
    <cfRule type="expression" dxfId="2144" priority="44" stopIfTrue="1">
      <formula>AND($AA8=0,$E8=0)</formula>
    </cfRule>
    <cfRule type="expression" dxfId="2143" priority="45" stopIfTrue="1">
      <formula>$AA8=0</formula>
    </cfRule>
  </conditionalFormatting>
  <conditionalFormatting sqref="I6 L6 O6">
    <cfRule type="expression" dxfId="2142" priority="46" stopIfTrue="1">
      <formula>I6=""</formula>
    </cfRule>
    <cfRule type="expression" dxfId="2141" priority="47" stopIfTrue="1">
      <formula>OR(I4=0,I4=$K$130)</formula>
    </cfRule>
    <cfRule type="expression" dxfId="2140" priority="48" stopIfTrue="1">
      <formula>I4&lt;&gt;$K$130</formula>
    </cfRule>
  </conditionalFormatting>
  <conditionalFormatting sqref="J6 M6 P6">
    <cfRule type="expression" dxfId="2139" priority="49" stopIfTrue="1">
      <formula>J6=""</formula>
    </cfRule>
    <cfRule type="expression" dxfId="2138" priority="50" stopIfTrue="1">
      <formula>OR(I4=0,I4=$K$130)</formula>
    </cfRule>
    <cfRule type="expression" dxfId="2137" priority="51" stopIfTrue="1">
      <formula>I4&lt;&gt;$K$130</formula>
    </cfRule>
  </conditionalFormatting>
  <conditionalFormatting sqref="I53">
    <cfRule type="expression" dxfId="2136" priority="52" stopIfTrue="1">
      <formula>ISERROR($G$155)</formula>
    </cfRule>
    <cfRule type="expression" dxfId="2135" priority="53" stopIfTrue="1">
      <formula>ISERROR($I53)</formula>
    </cfRule>
  </conditionalFormatting>
  <conditionalFormatting sqref="G39:H39">
    <cfRule type="expression" dxfId="2134" priority="54" stopIfTrue="1">
      <formula>ISERROR($G$155)</formula>
    </cfRule>
    <cfRule type="expression" dxfId="2133" priority="55" stopIfTrue="1">
      <formula>OR($I$163=0,G$4="")</formula>
    </cfRule>
    <cfRule type="expression" dxfId="2132" priority="56" stopIfTrue="1">
      <formula>OR(G$4="",ISERROR(G$155))</formula>
    </cfRule>
  </conditionalFormatting>
  <conditionalFormatting sqref="G97:H97">
    <cfRule type="expression" dxfId="2131" priority="57" stopIfTrue="1">
      <formula>AND(G$152=0,G$97&lt;&gt;0)</formula>
    </cfRule>
    <cfRule type="expression" dxfId="2130" priority="58" stopIfTrue="1">
      <formula>G$152=0</formula>
    </cfRule>
    <cfRule type="expression" dxfId="2129" priority="59" stopIfTrue="1">
      <formula>AND(G$96&lt;&gt;0,G$97="")</formula>
    </cfRule>
  </conditionalFormatting>
  <conditionalFormatting sqref="C101:F104">
    <cfRule type="cellIs" dxfId="2128" priority="60" stopIfTrue="1" operator="equal">
      <formula>"ERROR"</formula>
    </cfRule>
    <cfRule type="expression" dxfId="2127" priority="61" stopIfTrue="1">
      <formula>ISBLANK($B101)</formula>
    </cfRule>
    <cfRule type="expression" dxfId="2126" priority="62" stopIfTrue="1">
      <formula>SUM($G$152:$J$152)=0</formula>
    </cfRule>
  </conditionalFormatting>
  <conditionalFormatting sqref="K73">
    <cfRule type="expression" dxfId="2125" priority="63" stopIfTrue="1">
      <formula>ISERROR(K73)</formula>
    </cfRule>
    <cfRule type="expression" dxfId="2124" priority="64" stopIfTrue="1">
      <formula>I73=0</formula>
    </cfRule>
    <cfRule type="expression" dxfId="2123" priority="65" stopIfTrue="1">
      <formula>$C$61=0</formula>
    </cfRule>
  </conditionalFormatting>
  <conditionalFormatting sqref="G70:G71">
    <cfRule type="expression" dxfId="2122" priority="66" stopIfTrue="1">
      <formula>$C$61=0</formula>
    </cfRule>
    <cfRule type="expression" dxfId="2121" priority="67" stopIfTrue="1">
      <formula>SUM($G$69:$G$72)=0</formula>
    </cfRule>
    <cfRule type="expression" dxfId="2120" priority="68" stopIfTrue="1">
      <formula>AND(G70&lt;&gt;0,ISERROR(H70))</formula>
    </cfRule>
  </conditionalFormatting>
  <conditionalFormatting sqref="G72">
    <cfRule type="expression" dxfId="2119" priority="69" stopIfTrue="1">
      <formula>$C$61=0</formula>
    </cfRule>
    <cfRule type="expression" dxfId="2118" priority="70" stopIfTrue="1">
      <formula>SUM($G$69:$G$72)=0</formula>
    </cfRule>
    <cfRule type="expression" dxfId="2117" priority="71" stopIfTrue="1">
      <formula>AND(G72&lt;&gt;0,ISERROR(H72))</formula>
    </cfRule>
  </conditionalFormatting>
  <conditionalFormatting sqref="G69">
    <cfRule type="expression" dxfId="2116" priority="72" stopIfTrue="1">
      <formula>$C$61=0</formula>
    </cfRule>
    <cfRule type="expression" dxfId="2115" priority="73" stopIfTrue="1">
      <formula>SUM($G$69:$G$72)=0</formula>
    </cfRule>
    <cfRule type="expression" dxfId="2114" priority="74" stopIfTrue="1">
      <formula>AND(G69&lt;&gt;0,ISERROR(H69))</formula>
    </cfRule>
  </conditionalFormatting>
  <conditionalFormatting sqref="I74">
    <cfRule type="expression" dxfId="2113" priority="75" stopIfTrue="1">
      <formula>$C$61=0</formula>
    </cfRule>
    <cfRule type="expression" dxfId="2112" priority="76" stopIfTrue="1">
      <formula>I73=0</formula>
    </cfRule>
  </conditionalFormatting>
  <conditionalFormatting sqref="G89:K89">
    <cfRule type="cellIs" dxfId="2111" priority="77" stopIfTrue="1" operator="equal">
      <formula>0</formula>
    </cfRule>
    <cfRule type="expression" dxfId="2110" priority="78" stopIfTrue="1">
      <formula>G$88=0</formula>
    </cfRule>
  </conditionalFormatting>
  <conditionalFormatting sqref="I77:J78">
    <cfRule type="expression" dxfId="2109" priority="79" stopIfTrue="1">
      <formula>$C$61=0</formula>
    </cfRule>
    <cfRule type="expression" dxfId="2108" priority="80" stopIfTrue="1">
      <formula>ISERROR($I77)</formula>
    </cfRule>
    <cfRule type="cellIs" dxfId="2107" priority="81" stopIfTrue="1" operator="equal">
      <formula>0</formula>
    </cfRule>
  </conditionalFormatting>
  <conditionalFormatting sqref="I79:J79">
    <cfRule type="expression" dxfId="2106" priority="82" stopIfTrue="1">
      <formula>ISERROR($I79)</formula>
    </cfRule>
    <cfRule type="expression" dxfId="2105" priority="83" stopIfTrue="1">
      <formula>$C$61=0</formula>
    </cfRule>
    <cfRule type="cellIs" dxfId="2104" priority="84" stopIfTrue="1" operator="equal">
      <formula>0</formula>
    </cfRule>
  </conditionalFormatting>
  <conditionalFormatting sqref="L77:M78">
    <cfRule type="expression" dxfId="2103" priority="85" stopIfTrue="1">
      <formula>ISERROR($L77)</formula>
    </cfRule>
    <cfRule type="expression" dxfId="2102" priority="86" stopIfTrue="1">
      <formula>$C$61=0</formula>
    </cfRule>
  </conditionalFormatting>
  <conditionalFormatting sqref="G93:H93">
    <cfRule type="expression" dxfId="2101" priority="87" stopIfTrue="1">
      <formula>AND(G$155="X",G$93&lt;&gt;"")</formula>
    </cfRule>
  </conditionalFormatting>
  <conditionalFormatting sqref="G81:K81">
    <cfRule type="expression" dxfId="2100" priority="88" stopIfTrue="1">
      <formula>$C$61=0</formula>
    </cfRule>
    <cfRule type="expression" dxfId="2099" priority="89" stopIfTrue="1">
      <formula>G$89&lt;&gt;0</formula>
    </cfRule>
  </conditionalFormatting>
  <conditionalFormatting sqref="I88:J88">
    <cfRule type="expression" dxfId="2098" priority="90" stopIfTrue="1">
      <formula>ISERROR($I88)</formula>
    </cfRule>
    <cfRule type="cellIs" dxfId="2097" priority="91" stopIfTrue="1" operator="equal">
      <formula>0</formula>
    </cfRule>
    <cfRule type="expression" dxfId="2096" priority="92" stopIfTrue="1">
      <formula>$C$61=0</formula>
    </cfRule>
  </conditionalFormatting>
  <conditionalFormatting sqref="H69:H72">
    <cfRule type="expression" dxfId="2095" priority="93" stopIfTrue="1">
      <formula>ISERROR(H69)</formula>
    </cfRule>
    <cfRule type="expression" dxfId="2094" priority="94" stopIfTrue="1">
      <formula>$C$61=0</formula>
    </cfRule>
    <cfRule type="expression" dxfId="2093" priority="95" stopIfTrue="1">
      <formula>$H69=$E$163</formula>
    </cfRule>
  </conditionalFormatting>
  <conditionalFormatting sqref="G76:H76 K76">
    <cfRule type="expression" dxfId="2092" priority="96" stopIfTrue="1">
      <formula>ISERROR(G76)</formula>
    </cfRule>
    <cfRule type="expression" dxfId="2091" priority="97" stopIfTrue="1">
      <formula>$C$61=0</formula>
    </cfRule>
    <cfRule type="expression" dxfId="2090" priority="98" stopIfTrue="1">
      <formula>G$76=$E$163</formula>
    </cfRule>
  </conditionalFormatting>
  <conditionalFormatting sqref="I76:J76">
    <cfRule type="expression" dxfId="2089" priority="99" stopIfTrue="1">
      <formula>ISERROR($I76)</formula>
    </cfRule>
    <cfRule type="expression" dxfId="2088" priority="100" stopIfTrue="1">
      <formula>$C$61=0</formula>
    </cfRule>
    <cfRule type="expression" dxfId="2087" priority="101" stopIfTrue="1">
      <formula>$I76=$E$163</formula>
    </cfRule>
  </conditionalFormatting>
  <conditionalFormatting sqref="K69:K72">
    <cfRule type="expression" dxfId="2086" priority="102" stopIfTrue="1">
      <formula>OR(ISERROR(H69),ISERROR(K69))</formula>
    </cfRule>
    <cfRule type="expression" dxfId="2085" priority="103" stopIfTrue="1">
      <formula>AND($I69=0,$C$61&lt;&gt;0,$G69=0)</formula>
    </cfRule>
    <cfRule type="expression" dxfId="2084" priority="104" stopIfTrue="1">
      <formula>$C$61=0</formula>
    </cfRule>
  </conditionalFormatting>
  <conditionalFormatting sqref="L93">
    <cfRule type="expression" dxfId="2083" priority="105" stopIfTrue="1">
      <formula>AND(J$155="X",L$93&lt;&gt;"")</formula>
    </cfRule>
  </conditionalFormatting>
  <conditionalFormatting sqref="L97">
    <cfRule type="expression" dxfId="2082" priority="106" stopIfTrue="1">
      <formula>AND(J$152=0,L$97&lt;&gt;0)</formula>
    </cfRule>
    <cfRule type="expression" dxfId="2081" priority="107" stopIfTrue="1">
      <formula>J$152=0</formula>
    </cfRule>
  </conditionalFormatting>
  <conditionalFormatting sqref="K98:L98">
    <cfRule type="expression" dxfId="2080" priority="108" stopIfTrue="1">
      <formula>AND(I$152=0,K$98&lt;&gt;0)</formula>
    </cfRule>
    <cfRule type="expression" dxfId="2079" priority="109" stopIfTrue="1">
      <formula>I$152=0</formula>
    </cfRule>
  </conditionalFormatting>
  <conditionalFormatting sqref="N98">
    <cfRule type="expression" dxfId="2078" priority="110" stopIfTrue="1">
      <formula>AND(J$152=0,N$98&lt;&gt;0)</formula>
    </cfRule>
    <cfRule type="expression" dxfId="2077" priority="111" stopIfTrue="1">
      <formula>J$152=0</formula>
    </cfRule>
  </conditionalFormatting>
  <conditionalFormatting sqref="M93">
    <cfRule type="expression" dxfId="2076" priority="112" stopIfTrue="1">
      <formula>AND(J$155="X",M$93&lt;&gt;"")</formula>
    </cfRule>
  </conditionalFormatting>
  <conditionalFormatting sqref="M97">
    <cfRule type="expression" dxfId="2075" priority="113" stopIfTrue="1">
      <formula>AND(J$152=0,M$97&lt;&gt;0)</formula>
    </cfRule>
    <cfRule type="expression" dxfId="2074" priority="114" stopIfTrue="1">
      <formula>J$152=0</formula>
    </cfRule>
  </conditionalFormatting>
  <conditionalFormatting sqref="M98">
    <cfRule type="expression" dxfId="2073" priority="115" stopIfTrue="1">
      <formula>AND(J$152=0,M$98&lt;&gt;0)</formula>
    </cfRule>
    <cfRule type="expression" dxfId="2072" priority="116" stopIfTrue="1">
      <formula>J$152=0</formula>
    </cfRule>
  </conditionalFormatting>
  <conditionalFormatting sqref="K101:L101">
    <cfRule type="expression" dxfId="2071" priority="117" stopIfTrue="1">
      <formula>AND(I$152=0,K$101&lt;&gt;0)</formula>
    </cfRule>
    <cfRule type="expression" dxfId="2070" priority="118" stopIfTrue="1">
      <formula>AND($C101="ERROR",K101&gt;0)</formula>
    </cfRule>
    <cfRule type="expression" dxfId="2069" priority="119" stopIfTrue="1">
      <formula>I$152=0</formula>
    </cfRule>
  </conditionalFormatting>
  <conditionalFormatting sqref="K102:L102">
    <cfRule type="expression" dxfId="2068" priority="120" stopIfTrue="1">
      <formula>AND(I$152=0,K$102&lt;&gt;0)</formula>
    </cfRule>
    <cfRule type="expression" dxfId="2067" priority="121" stopIfTrue="1">
      <formula>AND($C102="ERROR",K102&gt;0)</formula>
    </cfRule>
    <cfRule type="expression" dxfId="2066" priority="122" stopIfTrue="1">
      <formula>I$152=0</formula>
    </cfRule>
  </conditionalFormatting>
  <conditionalFormatting sqref="K103:L103">
    <cfRule type="expression" dxfId="2065" priority="123" stopIfTrue="1">
      <formula>AND(I$152=0,K$103&lt;&gt;0)</formula>
    </cfRule>
    <cfRule type="expression" dxfId="2064" priority="124" stopIfTrue="1">
      <formula>AND($C103="ERROR",K103&gt;0)</formula>
    </cfRule>
    <cfRule type="expression" dxfId="2063" priority="125" stopIfTrue="1">
      <formula>I$152=0</formula>
    </cfRule>
  </conditionalFormatting>
  <conditionalFormatting sqref="K104:L104">
    <cfRule type="expression" dxfId="2062" priority="126" stopIfTrue="1">
      <formula>AND(I$152=0,K$104&lt;&gt;0)</formula>
    </cfRule>
    <cfRule type="expression" dxfId="2061" priority="127" stopIfTrue="1">
      <formula>AND($C104="ERROR",K104&gt;0)</formula>
    </cfRule>
    <cfRule type="expression" dxfId="2060" priority="128" stopIfTrue="1">
      <formula>I$152=0</formula>
    </cfRule>
  </conditionalFormatting>
  <conditionalFormatting sqref="N101">
    <cfRule type="expression" dxfId="2059" priority="129" stopIfTrue="1">
      <formula>AND(J$152=0,N$101&lt;&gt;0)</formula>
    </cfRule>
    <cfRule type="expression" dxfId="2058" priority="130" stopIfTrue="1">
      <formula>AND($C101="ERROR",N101&gt;0)</formula>
    </cfRule>
    <cfRule type="expression" dxfId="2057" priority="131" stopIfTrue="1">
      <formula>J$152=0</formula>
    </cfRule>
  </conditionalFormatting>
  <conditionalFormatting sqref="N102">
    <cfRule type="expression" dxfId="2056" priority="132" stopIfTrue="1">
      <formula>AND(J$152=0,N$102&lt;&gt;0)</formula>
    </cfRule>
    <cfRule type="expression" dxfId="2055" priority="133" stopIfTrue="1">
      <formula>AND($C102="ERROR",N102&gt;0)</formula>
    </cfRule>
    <cfRule type="expression" dxfId="2054" priority="134" stopIfTrue="1">
      <formula>J$152=0</formula>
    </cfRule>
  </conditionalFormatting>
  <conditionalFormatting sqref="N103">
    <cfRule type="expression" dxfId="2053" priority="135" stopIfTrue="1">
      <formula>AND(J$152=0,N$103&lt;&gt;0)</formula>
    </cfRule>
    <cfRule type="expression" dxfId="2052" priority="136" stopIfTrue="1">
      <formula>AND($C103="ERROR",N103&gt;0)</formula>
    </cfRule>
    <cfRule type="expression" dxfId="2051" priority="137" stopIfTrue="1">
      <formula>J$152=0</formula>
    </cfRule>
  </conditionalFormatting>
  <conditionalFormatting sqref="N104">
    <cfRule type="expression" dxfId="2050" priority="138" stopIfTrue="1">
      <formula>AND(J$152=0,N$104&lt;&gt;0)</formula>
    </cfRule>
    <cfRule type="expression" dxfId="2049" priority="139" stopIfTrue="1">
      <formula>AND($C104="ERROR",N104&gt;0)</formula>
    </cfRule>
    <cfRule type="expression" dxfId="2048" priority="140" stopIfTrue="1">
      <formula>J$152=0</formula>
    </cfRule>
  </conditionalFormatting>
  <conditionalFormatting sqref="M101">
    <cfRule type="expression" dxfId="2047" priority="141" stopIfTrue="1">
      <formula>AND(J$152=0,M$101&lt;&gt;0)</formula>
    </cfRule>
    <cfRule type="expression" dxfId="2046" priority="142" stopIfTrue="1">
      <formula>AND($C101="ERROR",M101&gt;0)</formula>
    </cfRule>
    <cfRule type="expression" dxfId="2045" priority="143" stopIfTrue="1">
      <formula>J$152=0</formula>
    </cfRule>
  </conditionalFormatting>
  <conditionalFormatting sqref="M102">
    <cfRule type="expression" dxfId="2044" priority="144" stopIfTrue="1">
      <formula>AND(J$152=0,M$102&lt;&gt;0)</formula>
    </cfRule>
    <cfRule type="expression" dxfId="2043" priority="145" stopIfTrue="1">
      <formula>AND($C102="ERROR",M102&gt;0)</formula>
    </cfRule>
    <cfRule type="expression" dxfId="2042" priority="146" stopIfTrue="1">
      <formula>J$152=0</formula>
    </cfRule>
  </conditionalFormatting>
  <conditionalFormatting sqref="M103">
    <cfRule type="expression" dxfId="2041" priority="147" stopIfTrue="1">
      <formula>AND(J$152=0,M$103&lt;&gt;0)</formula>
    </cfRule>
    <cfRule type="expression" dxfId="2040" priority="148" stopIfTrue="1">
      <formula>AND($C103="ERROR",M103&gt;0)</formula>
    </cfRule>
    <cfRule type="expression" dxfId="2039" priority="149" stopIfTrue="1">
      <formula>J$152=0</formula>
    </cfRule>
  </conditionalFormatting>
  <conditionalFormatting sqref="M104">
    <cfRule type="expression" dxfId="2038" priority="150" stopIfTrue="1">
      <formula>AND(J$152=0,M$104&lt;&gt;0)</formula>
    </cfRule>
    <cfRule type="expression" dxfId="2037" priority="151" stopIfTrue="1">
      <formula>AND($C104="ERROR",M104&gt;0)</formula>
    </cfRule>
    <cfRule type="expression" dxfId="2036" priority="152" stopIfTrue="1">
      <formula>J$152=0</formula>
    </cfRule>
  </conditionalFormatting>
  <conditionalFormatting sqref="K97">
    <cfRule type="expression" dxfId="2035" priority="153" stopIfTrue="1">
      <formula>AND(I$152=0,K$97&lt;&gt;0)</formula>
    </cfRule>
    <cfRule type="expression" dxfId="2034" priority="154" stopIfTrue="1">
      <formula>I$152=0</formula>
    </cfRule>
    <cfRule type="expression" dxfId="2033" priority="155" stopIfTrue="1">
      <formula>AND(K$96&lt;&gt;0,K$97="")</formula>
    </cfRule>
  </conditionalFormatting>
  <conditionalFormatting sqref="N97">
    <cfRule type="expression" dxfId="2032" priority="156" stopIfTrue="1">
      <formula>AND(J$152=0,N$97&lt;&gt;0)</formula>
    </cfRule>
    <cfRule type="expression" dxfId="2031" priority="157" stopIfTrue="1">
      <formula>J$152=0</formula>
    </cfRule>
    <cfRule type="expression" dxfId="2030" priority="158" stopIfTrue="1">
      <formula>AND(N$96&lt;&gt;0,N$97="")</formula>
    </cfRule>
  </conditionalFormatting>
  <conditionalFormatting sqref="G83:I83 K83">
    <cfRule type="expression" dxfId="2029" priority="159" stopIfTrue="1">
      <formula>$C$61=0</formula>
    </cfRule>
    <cfRule type="expression" dxfId="2028" priority="160" stopIfTrue="1">
      <formula>G85=$M$135</formula>
    </cfRule>
    <cfRule type="cellIs" dxfId="2027" priority="161" stopIfTrue="1" operator="equal">
      <formula>0</formula>
    </cfRule>
  </conditionalFormatting>
  <conditionalFormatting sqref="G84:I84 K84">
    <cfRule type="expression" dxfId="2026" priority="162" stopIfTrue="1">
      <formula>$C$61=0</formula>
    </cfRule>
    <cfRule type="expression" dxfId="2025" priority="163" stopIfTrue="1">
      <formula>G85=$M$135</formula>
    </cfRule>
    <cfRule type="cellIs" dxfId="2024" priority="164" stopIfTrue="1" operator="equal">
      <formula>0</formula>
    </cfRule>
  </conditionalFormatting>
  <conditionalFormatting sqref="K86 G86:H86">
    <cfRule type="expression" dxfId="2023" priority="165" stopIfTrue="1">
      <formula>$C$61=0</formula>
    </cfRule>
    <cfRule type="expression" dxfId="2022" priority="166" stopIfTrue="1">
      <formula>G85=$M$135</formula>
    </cfRule>
  </conditionalFormatting>
  <conditionalFormatting sqref="G82:K82">
    <cfRule type="expression" dxfId="2021" priority="167" stopIfTrue="1">
      <formula>$C$61=0</formula>
    </cfRule>
    <cfRule type="expression" dxfId="2020" priority="168" stopIfTrue="1">
      <formula>G85=$M$135</formula>
    </cfRule>
    <cfRule type="cellIs" dxfId="2019" priority="169" stopIfTrue="1" operator="equal">
      <formula>0</formula>
    </cfRule>
  </conditionalFormatting>
  <conditionalFormatting sqref="I86:J86">
    <cfRule type="expression" dxfId="2018" priority="170" stopIfTrue="1">
      <formula>$C$61=0</formula>
    </cfRule>
    <cfRule type="expression" dxfId="2017" priority="171" stopIfTrue="1">
      <formula>$I85=$M$135</formula>
    </cfRule>
  </conditionalFormatting>
  <conditionalFormatting sqref="G87:H87 K87">
    <cfRule type="expression" dxfId="2016" priority="172" stopIfTrue="1">
      <formula>G85=$M$135</formula>
    </cfRule>
    <cfRule type="expression" dxfId="2015" priority="173" stopIfTrue="1">
      <formula>$C$61=0</formula>
    </cfRule>
  </conditionalFormatting>
  <conditionalFormatting sqref="I87:J87">
    <cfRule type="expression" dxfId="2014" priority="174" stopIfTrue="1">
      <formula>$I85=$M$135</formula>
    </cfRule>
    <cfRule type="expression" dxfId="2013" priority="175" stopIfTrue="1">
      <formula>$C$61=0</formula>
    </cfRule>
  </conditionalFormatting>
  <conditionalFormatting sqref="K93">
    <cfRule type="expression" dxfId="2012" priority="176" stopIfTrue="1">
      <formula>AND(I$155="X",K$93&lt;&gt;"")</formula>
    </cfRule>
  </conditionalFormatting>
  <conditionalFormatting sqref="N93">
    <cfRule type="expression" dxfId="2011" priority="177" stopIfTrue="1">
      <formula>AND(J$155="X",N$93&lt;&gt;"")</formula>
    </cfRule>
  </conditionalFormatting>
  <conditionalFormatting sqref="L69:M72">
    <cfRule type="expression" dxfId="2010" priority="178" stopIfTrue="1">
      <formula>OR(ISERROR($L69),$H69="")</formula>
    </cfRule>
    <cfRule type="expression" dxfId="2009" priority="179" stopIfTrue="1">
      <formula>$C$61=0</formula>
    </cfRule>
    <cfRule type="expression" dxfId="2008" priority="180" stopIfTrue="1">
      <formula>$H69=$E$163</formula>
    </cfRule>
  </conditionalFormatting>
  <conditionalFormatting sqref="I85:J85">
    <cfRule type="expression" dxfId="2007" priority="181" stopIfTrue="1">
      <formula>$C$61=0</formula>
    </cfRule>
    <cfRule type="expression" dxfId="2006" priority="182" stopIfTrue="1">
      <formula>$I85=$M$135</formula>
    </cfRule>
  </conditionalFormatting>
  <conditionalFormatting sqref="I51:J52 L51:M52">
    <cfRule type="expression" dxfId="2005" priority="183" stopIfTrue="1">
      <formula>ISERROR(I55)</formula>
    </cfRule>
  </conditionalFormatting>
  <conditionalFormatting sqref="K51:K52">
    <cfRule type="expression" dxfId="2004" priority="184" stopIfTrue="1">
      <formula>ISERROR(G51)</formula>
    </cfRule>
  </conditionalFormatting>
  <conditionalFormatting sqref="I7:I39">
    <cfRule type="expression" dxfId="2003" priority="185" stopIfTrue="1">
      <formula>OR($I$4=0,$I$4&lt;&gt;$K$130)</formula>
    </cfRule>
    <cfRule type="expression" dxfId="2002" priority="186" stopIfTrue="1">
      <formula>$AA7&lt;&gt;0</formula>
    </cfRule>
  </conditionalFormatting>
  <conditionalFormatting sqref="J7:J39">
    <cfRule type="expression" dxfId="2001" priority="187" stopIfTrue="1">
      <formula>OR($I$4=0,$I$4&lt;&gt;$K$130)</formula>
    </cfRule>
    <cfRule type="expression" dxfId="2000" priority="188" stopIfTrue="1">
      <formula>$AA7&lt;&gt;0</formula>
    </cfRule>
  </conditionalFormatting>
  <conditionalFormatting sqref="L7:L39">
    <cfRule type="expression" dxfId="1999" priority="189" stopIfTrue="1">
      <formula>OR($L$4=0,$L$4&lt;&gt;$K$130)</formula>
    </cfRule>
    <cfRule type="expression" dxfId="1998" priority="190" stopIfTrue="1">
      <formula>$AA7&lt;&gt;0</formula>
    </cfRule>
  </conditionalFormatting>
  <conditionalFormatting sqref="M7:M39">
    <cfRule type="expression" dxfId="1997" priority="191" stopIfTrue="1">
      <formula>OR($L$4=0,$L$4&lt;&gt;$K$130)</formula>
    </cfRule>
    <cfRule type="expression" dxfId="1996" priority="192" stopIfTrue="1">
      <formula>$AA7&lt;&gt;0</formula>
    </cfRule>
  </conditionalFormatting>
  <conditionalFormatting sqref="O7:O39">
    <cfRule type="expression" dxfId="1995" priority="193" stopIfTrue="1">
      <formula>OR($O$4=0,$O$4&lt;&gt;$K$130)</formula>
    </cfRule>
    <cfRule type="expression" dxfId="1994" priority="194" stopIfTrue="1">
      <formula>$AA7&lt;&gt;0</formula>
    </cfRule>
  </conditionalFormatting>
  <conditionalFormatting sqref="P7:P39">
    <cfRule type="expression" dxfId="1993" priority="195" stopIfTrue="1">
      <formula>OR($O$4=0,$O$4&lt;&gt;$K$130)</formula>
    </cfRule>
    <cfRule type="expression" dxfId="1992" priority="196" stopIfTrue="1">
      <formula>$AA7&lt;&gt;0</formula>
    </cfRule>
  </conditionalFormatting>
  <conditionalFormatting sqref="K39">
    <cfRule type="expression" dxfId="1991" priority="197" stopIfTrue="1">
      <formula>ISERROR($G$155)</formula>
    </cfRule>
    <cfRule type="expression" dxfId="1990" priority="198" stopIfTrue="1">
      <formula>OR($I$163=0,K$4="")</formula>
    </cfRule>
    <cfRule type="expression" dxfId="1989" priority="199" stopIfTrue="1">
      <formula>OR(K$4="",ISERROR(I$155))</formula>
    </cfRule>
  </conditionalFormatting>
  <conditionalFormatting sqref="N39">
    <cfRule type="expression" dxfId="1988" priority="200" stopIfTrue="1">
      <formula>ISERROR($G$155)</formula>
    </cfRule>
    <cfRule type="expression" dxfId="1987" priority="201" stopIfTrue="1">
      <formula>OR($I$163=0,N$4="")</formula>
    </cfRule>
    <cfRule type="expression" dxfId="1986" priority="202" stopIfTrue="1">
      <formula>OR(N$4="",ISERROR(J$155))</formula>
    </cfRule>
  </conditionalFormatting>
  <conditionalFormatting sqref="G8:H38 K8:K38 N8:N38">
    <cfRule type="expression" dxfId="1985" priority="203" stopIfTrue="1">
      <formula>$AA8=$Y$6</formula>
    </cfRule>
    <cfRule type="expression" dxfId="1984" priority="204" stopIfTrue="1">
      <formula>OR($AA8=0,$E8=$E$162)</formula>
    </cfRule>
  </conditionalFormatting>
  <conditionalFormatting sqref="C8:D38">
    <cfRule type="expression" dxfId="1983" priority="205" stopIfTrue="1">
      <formula>$AA8=$Y$6</formula>
    </cfRule>
    <cfRule type="expression" dxfId="1982" priority="206" stopIfTrue="1">
      <formula>AND($L$163=0,OR($V8&lt;$B$162,$V8&gt;$B$163))</formula>
    </cfRule>
    <cfRule type="expression" dxfId="1981" priority="207" stopIfTrue="1">
      <formula>AND($AA8=0,$E8=0)</formula>
    </cfRule>
  </conditionalFormatting>
  <conditionalFormatting sqref="G46:H46 K46 N46">
    <cfRule type="expression" dxfId="1980" priority="208" stopIfTrue="1">
      <formula>G$42=$K$134</formula>
    </cfRule>
    <cfRule type="expression" dxfId="1979" priority="209" stopIfTrue="1">
      <formula>OR($I$163=0,G$4="")</formula>
    </cfRule>
    <cfRule type="expression" dxfId="1978" priority="210" stopIfTrue="1">
      <formula>G44=""</formula>
    </cfRule>
  </conditionalFormatting>
  <conditionalFormatting sqref="G47:H47 K47 N47">
    <cfRule type="expression" dxfId="1977" priority="211" stopIfTrue="1">
      <formula>OR(ISERROR(G47),G$4="")</formula>
    </cfRule>
    <cfRule type="expression" dxfId="1976" priority="212" stopIfTrue="1">
      <formula>G$42=$K$134</formula>
    </cfRule>
    <cfRule type="expression" dxfId="1975" priority="213" stopIfTrue="1">
      <formula>AND(G$46&gt;0,OR(G$99=$E$152,G$99=$K$152))</formula>
    </cfRule>
  </conditionalFormatting>
  <conditionalFormatting sqref="G48:H48 K48 N48">
    <cfRule type="expression" dxfId="1974" priority="214" stopIfTrue="1">
      <formula>OR(ISERROR(G48),G$4="")</formula>
    </cfRule>
    <cfRule type="expression" dxfId="1973" priority="215" stopIfTrue="1">
      <formula>G$42=$K$134</formula>
    </cfRule>
    <cfRule type="expression" dxfId="1972" priority="216" stopIfTrue="1">
      <formula>AND(G$46&gt;0,OR(G$99=$E$152,G$99=$K$152,COUNTIF($C$101:$F$104,"ERROR")&gt;0,G$105=$E$152,G$105=$K$152))</formula>
    </cfRule>
  </conditionalFormatting>
  <conditionalFormatting sqref="I69:J72">
    <cfRule type="expression" dxfId="1971" priority="217" stopIfTrue="1">
      <formula>$C$61=0</formula>
    </cfRule>
    <cfRule type="expression" dxfId="1970" priority="218" stopIfTrue="1">
      <formula>$Z69=0</formula>
    </cfRule>
    <cfRule type="expression" dxfId="1969" priority="219" stopIfTrue="1">
      <formula>$I69=0</formula>
    </cfRule>
  </conditionalFormatting>
  <conditionalFormatting sqref="G61:H62 K61:K62 N61:N62">
    <cfRule type="expression" dxfId="1968" priority="220" stopIfTrue="1">
      <formula>$C$61=0</formula>
    </cfRule>
    <cfRule type="expression" dxfId="1967" priority="221" stopIfTrue="1">
      <formula>G$62=$L$135</formula>
    </cfRule>
  </conditionalFormatting>
  <conditionalFormatting sqref="M166:N166">
    <cfRule type="expression" dxfId="1966" priority="222" stopIfTrue="1">
      <formula>ISBLANK($M166)</formula>
    </cfRule>
  </conditionalFormatting>
  <conditionalFormatting sqref="F107 N108:N109 F108:I109 K108:K109">
    <cfRule type="expression" dxfId="1965" priority="223" stopIfTrue="1">
      <formula>$L$108=0</formula>
    </cfRule>
  </conditionalFormatting>
  <conditionalFormatting sqref="G116:J118 K121:K122 L108:M109">
    <cfRule type="cellIs" dxfId="1964" priority="224" stopIfTrue="1" operator="equal">
      <formula>0</formula>
    </cfRule>
  </conditionalFormatting>
  <conditionalFormatting sqref="L113:M121">
    <cfRule type="expression" dxfId="1963" priority="225" stopIfTrue="1">
      <formula>$L$109=0</formula>
    </cfRule>
  </conditionalFormatting>
  <conditionalFormatting sqref="L122:M122">
    <cfRule type="expression" dxfId="1962" priority="226" stopIfTrue="1">
      <formula>$K$122=0</formula>
    </cfRule>
  </conditionalFormatting>
  <conditionalFormatting sqref="K53:K54 H53:H54">
    <cfRule type="expression" dxfId="1961" priority="227" stopIfTrue="1">
      <formula>ISERROR($G$155)</formula>
    </cfRule>
  </conditionalFormatting>
  <conditionalFormatting sqref="L180 P46 L193 L206 L215:L217">
    <cfRule type="expression" dxfId="1960" priority="228" stopIfTrue="1">
      <formula>$O$44=""</formula>
    </cfRule>
    <cfRule type="expression" dxfId="1959" priority="229" stopIfTrue="1">
      <formula>$O$44=0</formula>
    </cfRule>
  </conditionalFormatting>
  <conditionalFormatting sqref="G180:I180 K180 G215:J217 G193:I193 K206 K193 G206:I206">
    <cfRule type="expression" dxfId="1958" priority="230" stopIfTrue="1">
      <formula>ISERROR(G180)</formula>
    </cfRule>
    <cfRule type="cellIs" dxfId="1957" priority="231" stopIfTrue="1" operator="equal">
      <formula>0</formula>
    </cfRule>
  </conditionalFormatting>
  <conditionalFormatting sqref="G183:K183 G170:K170 G196:K196 G121:J122">
    <cfRule type="cellIs" dxfId="1956" priority="232" stopIfTrue="1" operator="equal">
      <formula>0</formula>
    </cfRule>
  </conditionalFormatting>
  <conditionalFormatting sqref="C126:P126">
    <cfRule type="expression" dxfId="1955" priority="233" stopIfTrue="1">
      <formula>ISERROR($H$163)</formula>
    </cfRule>
  </conditionalFormatting>
  <conditionalFormatting sqref="G53:G54">
    <cfRule type="expression" dxfId="1954" priority="234" stopIfTrue="1">
      <formula>ISERROR($G$155)</formula>
    </cfRule>
    <cfRule type="expression" dxfId="1953" priority="235" stopIfTrue="1">
      <formula>ISERROR(G53)</formula>
    </cfRule>
  </conditionalFormatting>
  <conditionalFormatting sqref="O95:P95">
    <cfRule type="expression" dxfId="1952" priority="236" stopIfTrue="1">
      <formula>$O$44=""</formula>
    </cfRule>
  </conditionalFormatting>
  <conditionalFormatting sqref="O94:P94">
    <cfRule type="expression" dxfId="1951" priority="237" stopIfTrue="1">
      <formula>$O$44=""</formula>
    </cfRule>
  </conditionalFormatting>
  <conditionalFormatting sqref="AA8:AA38 O44:P44 G58 C58 I44:J44 L44:M44 G152:J152 L168 E6:F6 K42 N42 G42:H42">
    <cfRule type="cellIs" dxfId="1950" priority="238" stopIfTrue="1" operator="equal">
      <formula>0</formula>
    </cfRule>
  </conditionalFormatting>
  <conditionalFormatting sqref="W8:Z38 R8:U37 AB8:AE38 AG8:AK37 AM8:AQ37 AS8:AW37 AY8:AY37">
    <cfRule type="cellIs" dxfId="1949" priority="239" stopIfTrue="1" operator="equal">
      <formula>0</formula>
    </cfRule>
  </conditionalFormatting>
  <conditionalFormatting sqref="O45:P45 L169">
    <cfRule type="expression" dxfId="1948" priority="240" stopIfTrue="1">
      <formula>$O$4=$K$130</formula>
    </cfRule>
    <cfRule type="expression" dxfId="1947" priority="241" stopIfTrue="1">
      <formula>$O$44=0</formula>
    </cfRule>
  </conditionalFormatting>
  <conditionalFormatting sqref="E47:F48">
    <cfRule type="expression" dxfId="1946" priority="242" stopIfTrue="1">
      <formula>ISERROR(E47)</formula>
    </cfRule>
  </conditionalFormatting>
  <conditionalFormatting sqref="G168:I169 K168:K169 E197:E198 E206:F206 E171:E172 E180:F180 E184:E185 E193:F193 G94:N95 N44:N45 G44:H45 K44:K45 E221 G51:H52">
    <cfRule type="expression" dxfId="1945" priority="243" stopIfTrue="1">
      <formula>ISERROR(E44)</formula>
    </cfRule>
  </conditionalFormatting>
  <conditionalFormatting sqref="G167:I167 K167 N43 G43:H43 K43">
    <cfRule type="cellIs" dxfId="1944" priority="244" stopIfTrue="1" operator="equal">
      <formula>0</formula>
    </cfRule>
  </conditionalFormatting>
  <conditionalFormatting sqref="G99:N99 G105:N105 H139:H141 H145:H148">
    <cfRule type="cellIs" dxfId="1943" priority="245" stopIfTrue="1" operator="equal">
      <formula>"OK"</formula>
    </cfRule>
  </conditionalFormatting>
  <conditionalFormatting sqref="I139:I141 I145:I148">
    <cfRule type="cellIs" dxfId="1942" priority="246" stopIfTrue="1" operator="greaterThan">
      <formula>0</formula>
    </cfRule>
  </conditionalFormatting>
  <conditionalFormatting sqref="F110:I112 K110:M112">
    <cfRule type="expression" dxfId="1941" priority="247" stopIfTrue="1">
      <formula>$L$108=0</formula>
    </cfRule>
  </conditionalFormatting>
  <conditionalFormatting sqref="C195:H195">
    <cfRule type="expression" dxfId="1940" priority="248" stopIfTrue="1">
      <formula>ISERROR($C$195)</formula>
    </cfRule>
  </conditionalFormatting>
  <conditionalFormatting sqref="C2:J2">
    <cfRule type="expression" dxfId="1939" priority="249" stopIfTrue="1">
      <formula>$I$163=0</formula>
    </cfRule>
  </conditionalFormatting>
  <conditionalFormatting sqref="L96:M96 I96:J96">
    <cfRule type="expression" dxfId="1938" priority="250" stopIfTrue="1">
      <formula>ISERROR($G$155)</formula>
    </cfRule>
    <cfRule type="expression" dxfId="1937" priority="251" stopIfTrue="1">
      <formula>I96=0</formula>
    </cfRule>
  </conditionalFormatting>
  <conditionalFormatting sqref="N7 G7:H7 K7">
    <cfRule type="expression" dxfId="1936" priority="252" stopIfTrue="1">
      <formula>$I$163=0</formula>
    </cfRule>
  </conditionalFormatting>
  <conditionalFormatting sqref="I48:J48">
    <cfRule type="expression" dxfId="1935" priority="253" stopIfTrue="1">
      <formula>$I$4=$K$130</formula>
    </cfRule>
  </conditionalFormatting>
  <conditionalFormatting sqref="L48:M48">
    <cfRule type="expression" dxfId="1934" priority="254" stopIfTrue="1">
      <formula>$L$4=$K$130</formula>
    </cfRule>
  </conditionalFormatting>
  <conditionalFormatting sqref="I45:J45">
    <cfRule type="expression" dxfId="1933" priority="255" stopIfTrue="1">
      <formula>$I$4=$K$130</formula>
    </cfRule>
    <cfRule type="expression" dxfId="1932" priority="256" stopIfTrue="1">
      <formula>$I$44=0</formula>
    </cfRule>
  </conditionalFormatting>
  <conditionalFormatting sqref="L45:M45">
    <cfRule type="expression" dxfId="1931" priority="257" stopIfTrue="1">
      <formula>$L$4=$K$130</formula>
    </cfRule>
    <cfRule type="expression" dxfId="1930" priority="258" stopIfTrue="1">
      <formula>$L$44=0</formula>
    </cfRule>
  </conditionalFormatting>
  <conditionalFormatting sqref="L53">
    <cfRule type="expression" dxfId="1929" priority="259" stopIfTrue="1">
      <formula>ISERROR($G$155)</formula>
    </cfRule>
    <cfRule type="expression" dxfId="1928" priority="260" stopIfTrue="1">
      <formula>ISERROR($L$53)</formula>
    </cfRule>
  </conditionalFormatting>
  <conditionalFormatting sqref="O96:P98 C97:F98">
    <cfRule type="expression" dxfId="1927" priority="261" stopIfTrue="1">
      <formula>SUM($G$152:$J$152)=0</formula>
    </cfRule>
  </conditionalFormatting>
  <conditionalFormatting sqref="G155:J155">
    <cfRule type="cellIs" dxfId="1926" priority="262" stopIfTrue="1" operator="equal">
      <formula>0</formula>
    </cfRule>
  </conditionalFormatting>
  <conditionalFormatting sqref="G157:J159">
    <cfRule type="cellIs" dxfId="1925" priority="263" stopIfTrue="1" operator="equal">
      <formula>$E$157</formula>
    </cfRule>
  </conditionalFormatting>
  <conditionalFormatting sqref="Q91:S91">
    <cfRule type="expression" dxfId="1924" priority="264" stopIfTrue="1">
      <formula>SUM($G$152:$J$152)=0</formula>
    </cfRule>
  </conditionalFormatting>
  <conditionalFormatting sqref="I4:J5">
    <cfRule type="expression" dxfId="1923" priority="265" stopIfTrue="1">
      <formula>$I$6=""</formula>
    </cfRule>
    <cfRule type="cellIs" dxfId="1922" priority="266" stopIfTrue="1" operator="equal">
      <formula>0</formula>
    </cfRule>
    <cfRule type="expression" dxfId="1921" priority="267" stopIfTrue="1">
      <formula>$I$4=$K$130</formula>
    </cfRule>
  </conditionalFormatting>
  <conditionalFormatting sqref="L4:M5">
    <cfRule type="expression" dxfId="1920" priority="268" stopIfTrue="1">
      <formula>$L$6=""</formula>
    </cfRule>
    <cfRule type="cellIs" dxfId="1919" priority="269" stopIfTrue="1" operator="equal">
      <formula>0</formula>
    </cfRule>
    <cfRule type="expression" dxfId="1918" priority="270" stopIfTrue="1">
      <formula>$L$4=$K$130</formula>
    </cfRule>
  </conditionalFormatting>
  <conditionalFormatting sqref="O4:P5">
    <cfRule type="expression" dxfId="1917" priority="271" stopIfTrue="1">
      <formula>$O$6=""</formula>
    </cfRule>
    <cfRule type="cellIs" dxfId="1916" priority="272" stopIfTrue="1" operator="equal">
      <formula>0</formula>
    </cfRule>
    <cfRule type="expression" dxfId="1915" priority="273" stopIfTrue="1">
      <formula>$O$4=$K$130</formula>
    </cfRule>
  </conditionalFormatting>
  <conditionalFormatting sqref="E46:F46">
    <cfRule type="expression" dxfId="1914" priority="274" stopIfTrue="1">
      <formula>ISERROR($E$46)</formula>
    </cfRule>
  </conditionalFormatting>
  <conditionalFormatting sqref="I46">
    <cfRule type="expression" dxfId="1913" priority="275" stopIfTrue="1">
      <formula>$I$44=""</formula>
    </cfRule>
    <cfRule type="expression" dxfId="1912" priority="276" stopIfTrue="1">
      <formula>$I$44=0</formula>
    </cfRule>
  </conditionalFormatting>
  <conditionalFormatting sqref="L46">
    <cfRule type="expression" dxfId="1911" priority="277" stopIfTrue="1">
      <formula>$L$44=""</formula>
    </cfRule>
    <cfRule type="expression" dxfId="1910" priority="278" stopIfTrue="1">
      <formula>$L$44=0</formula>
    </cfRule>
  </conditionalFormatting>
  <conditionalFormatting sqref="O46">
    <cfRule type="expression" dxfId="1909" priority="279" stopIfTrue="1">
      <formula>$O$44=""</formula>
    </cfRule>
    <cfRule type="expression" dxfId="1908" priority="280" stopIfTrue="1">
      <formula>$O$44=0</formula>
    </cfRule>
  </conditionalFormatting>
  <conditionalFormatting sqref="J46">
    <cfRule type="expression" dxfId="1907" priority="281" stopIfTrue="1">
      <formula>$I$44=""</formula>
    </cfRule>
    <cfRule type="expression" dxfId="1906" priority="282" stopIfTrue="1">
      <formula>$I$44=0</formula>
    </cfRule>
  </conditionalFormatting>
  <conditionalFormatting sqref="M46">
    <cfRule type="expression" dxfId="1905" priority="283" stopIfTrue="1">
      <formula>$L$44=""</formula>
    </cfRule>
    <cfRule type="expression" dxfId="1904" priority="284" stopIfTrue="1">
      <formula>$L$44=0</formula>
    </cfRule>
  </conditionalFormatting>
  <conditionalFormatting sqref="G96:H96 K96 N96">
    <cfRule type="expression" dxfId="1903" priority="285" stopIfTrue="1">
      <formula>ISERROR($G$155)</formula>
    </cfRule>
    <cfRule type="expression" dxfId="1902" priority="286" stopIfTrue="1">
      <formula>G96=0</formula>
    </cfRule>
    <cfRule type="expression" dxfId="1901" priority="287" stopIfTrue="1">
      <formula>G96&lt;&gt;0</formula>
    </cfRule>
  </conditionalFormatting>
  <conditionalFormatting sqref="M168:N168">
    <cfRule type="expression" dxfId="1900" priority="288" stopIfTrue="1">
      <formula>$M$168=""</formula>
    </cfRule>
  </conditionalFormatting>
  <conditionalFormatting sqref="G63:H63 K63 N63">
    <cfRule type="expression" dxfId="1899" priority="289" stopIfTrue="1">
      <formula>$C$61=0</formula>
    </cfRule>
    <cfRule type="cellIs" dxfId="1898" priority="290" stopIfTrue="1" operator="equal">
      <formula>0</formula>
    </cfRule>
  </conditionalFormatting>
  <conditionalFormatting sqref="F63 F65 F73 F76:F79 F86:F89 N78:N79 N88 L86:N87 K68 C68:C69 I67:J68">
    <cfRule type="expression" dxfId="1897" priority="291" stopIfTrue="1">
      <formula>$C$61=0</formula>
    </cfRule>
  </conditionalFormatting>
  <conditionalFormatting sqref="G65">
    <cfRule type="expression" dxfId="1896" priority="292" stopIfTrue="1">
      <formula>$C$61=0</formula>
    </cfRule>
    <cfRule type="cellIs" dxfId="1895" priority="293" stopIfTrue="1" operator="equal">
      <formula>0</formula>
    </cfRule>
  </conditionalFormatting>
  <conditionalFormatting sqref="N66:N67 N74:N77 L68:N68">
    <cfRule type="expression" dxfId="1894" priority="294" stopIfTrue="1">
      <formula>$C$61=0</formula>
    </cfRule>
  </conditionalFormatting>
  <conditionalFormatting sqref="G68:H68">
    <cfRule type="expression" dxfId="1893" priority="295" stopIfTrue="1">
      <formula>ISERROR(G68)</formula>
    </cfRule>
    <cfRule type="expression" dxfId="1892" priority="296" stopIfTrue="1">
      <formula>$C$61=0</formula>
    </cfRule>
  </conditionalFormatting>
  <conditionalFormatting sqref="N73">
    <cfRule type="expression" dxfId="1891" priority="297" stopIfTrue="1">
      <formula>$C$61=0</formula>
    </cfRule>
    <cfRule type="expression" dxfId="1890" priority="298" stopIfTrue="1">
      <formula>ISERROR(N73)</formula>
    </cfRule>
  </conditionalFormatting>
  <conditionalFormatting sqref="O73 O79 O88">
    <cfRule type="expression" dxfId="1889" priority="299" stopIfTrue="1">
      <formula>O73=$E$163</formula>
    </cfRule>
    <cfRule type="expression" dxfId="1888" priority="300" stopIfTrue="1">
      <formula>$C$61=0</formula>
    </cfRule>
    <cfRule type="expression" dxfId="1887" priority="301" stopIfTrue="1">
      <formula>ISERROR(O73)</formula>
    </cfRule>
  </conditionalFormatting>
  <conditionalFormatting sqref="C67">
    <cfRule type="expression" dxfId="1886" priority="302" stopIfTrue="1">
      <formula>$C$61=0</formula>
    </cfRule>
  </conditionalFormatting>
  <conditionalFormatting sqref="G73 I73">
    <cfRule type="expression" dxfId="1885" priority="303" stopIfTrue="1">
      <formula>ISERROR(G73)</formula>
    </cfRule>
    <cfRule type="expression" dxfId="1884" priority="304" stopIfTrue="1">
      <formula>G73=0</formula>
    </cfRule>
    <cfRule type="expression" dxfId="1883" priority="305" stopIfTrue="1">
      <formula>$C$61=0</formula>
    </cfRule>
  </conditionalFormatting>
  <conditionalFormatting sqref="G77:H78 K77:K78">
    <cfRule type="expression" dxfId="1882" priority="306" stopIfTrue="1">
      <formula>$C$61=0</formula>
    </cfRule>
    <cfRule type="expression" dxfId="1881" priority="307" stopIfTrue="1">
      <formula>ISERROR(G77)</formula>
    </cfRule>
    <cfRule type="cellIs" dxfId="1880" priority="308" stopIfTrue="1" operator="equal">
      <formula>0</formula>
    </cfRule>
  </conditionalFormatting>
  <conditionalFormatting sqref="G79:H79 K79">
    <cfRule type="expression" dxfId="1879" priority="309" stopIfTrue="1">
      <formula>ISERROR(G79)</formula>
    </cfRule>
    <cfRule type="expression" dxfId="1878" priority="310" stopIfTrue="1">
      <formula>$C$61=0</formula>
    </cfRule>
    <cfRule type="cellIs" dxfId="1877" priority="311" stopIfTrue="1" operator="equal">
      <formula>0</formula>
    </cfRule>
  </conditionalFormatting>
  <conditionalFormatting sqref="N69:N72">
    <cfRule type="expression" dxfId="1876" priority="312" stopIfTrue="1">
      <formula>$C$61=0</formula>
    </cfRule>
    <cfRule type="cellIs" dxfId="1875" priority="313" stopIfTrue="1" operator="equal">
      <formula>0</formula>
    </cfRule>
    <cfRule type="expression" dxfId="1874" priority="314" stopIfTrue="1">
      <formula>ISERROR(N69)</formula>
    </cfRule>
  </conditionalFormatting>
  <conditionalFormatting sqref="C70:C71">
    <cfRule type="expression" dxfId="1873" priority="315" stopIfTrue="1">
      <formula>$C$61=0</formula>
    </cfRule>
    <cfRule type="expression" dxfId="1872" priority="316" stopIfTrue="1">
      <formula>$G$73&lt;&gt;0</formula>
    </cfRule>
  </conditionalFormatting>
  <conditionalFormatting sqref="P60:P61">
    <cfRule type="expression" dxfId="1871" priority="317" stopIfTrue="1">
      <formula>$C$61=1</formula>
    </cfRule>
  </conditionalFormatting>
  <conditionalFormatting sqref="H66:M66">
    <cfRule type="expression" dxfId="1870" priority="318" stopIfTrue="1">
      <formula>$C$61=0</formula>
    </cfRule>
  </conditionalFormatting>
  <conditionalFormatting sqref="H65">
    <cfRule type="expression" dxfId="1869" priority="319" stopIfTrue="1">
      <formula>AND($C$61=0,$D$61&gt;0)</formula>
    </cfRule>
    <cfRule type="expression" dxfId="1868" priority="320" stopIfTrue="1">
      <formula>$C$61=0</formula>
    </cfRule>
  </conditionalFormatting>
  <conditionalFormatting sqref="G67">
    <cfRule type="expression" dxfId="1867" priority="321" stopIfTrue="1">
      <formula>$C$61=0</formula>
    </cfRule>
    <cfRule type="expression" dxfId="1866" priority="322" stopIfTrue="1">
      <formula>ISERROR(G67)</formula>
    </cfRule>
  </conditionalFormatting>
  <conditionalFormatting sqref="G88:H88 K88">
    <cfRule type="expression" dxfId="1865" priority="323" stopIfTrue="1">
      <formula>ISERROR(G88)</formula>
    </cfRule>
    <cfRule type="cellIs" dxfId="1864" priority="324" stopIfTrue="1" operator="equal">
      <formula>0</formula>
    </cfRule>
    <cfRule type="expression" dxfId="1863" priority="325" stopIfTrue="1">
      <formula>$C$61=0</formula>
    </cfRule>
  </conditionalFormatting>
  <conditionalFormatting sqref="C91:P91">
    <cfRule type="expression" dxfId="1862" priority="326" stopIfTrue="1">
      <formula>SUM($G$150:$J$150)=0</formula>
    </cfRule>
  </conditionalFormatting>
  <conditionalFormatting sqref="G85:H85 K85">
    <cfRule type="expression" dxfId="1861" priority="327" stopIfTrue="1">
      <formula>$C$61=0</formula>
    </cfRule>
    <cfRule type="expression" dxfId="1860" priority="328" stopIfTrue="1">
      <formula>G85=$M$135</formula>
    </cfRule>
  </conditionalFormatting>
  <conditionalFormatting sqref="I55:J56 L55:M56">
    <cfRule type="cellIs" dxfId="1859" priority="329" stopIfTrue="1" operator="equal">
      <formula>0</formula>
    </cfRule>
    <cfRule type="expression" dxfId="1858" priority="330" stopIfTrue="1">
      <formula>ISERROR(I55)</formula>
    </cfRule>
  </conditionalFormatting>
  <dataValidations count="7">
    <dataValidation type="whole" operator="lessThanOrEqual" allowBlank="1" showInputMessage="1" showErrorMessage="1" sqref="F52">
      <formula1>E162</formula1>
    </dataValidation>
    <dataValidation type="list" allowBlank="1" showInputMessage="1" showErrorMessage="1" sqref="I207">
      <formula1>$I$219:$I$229</formula1>
    </dataValidation>
    <dataValidation type="decimal" operator="greaterThan" allowBlank="1" showInputMessage="1" showErrorMessage="1" errorTitle="ATTENZIONE !!!" error="E' ammesso solo un valore POSITIVO" sqref="G53:G54">
      <formula1>0</formula1>
    </dataValidation>
    <dataValidation type="decimal" operator="lessThan" allowBlank="1" showInputMessage="1" showErrorMessage="1" errorTitle="ATTENZIONE !!!" error="E' ammesso solo un valore NEGATIVO" sqref="H53:H54">
      <formula1>0</formula1>
    </dataValidation>
    <dataValidation type="list" allowBlank="1" showInputMessage="1" showErrorMessage="1" sqref="M168:N168">
      <formula1>$E$218:$E$220</formula1>
    </dataValidation>
    <dataValidation type="list" allowBlank="1" showInputMessage="1" showErrorMessage="1" sqref="M166">
      <formula1>$E$223:$E$226</formula1>
    </dataValidation>
    <dataValidation type="list" allowBlank="1" showInputMessage="1" showErrorMessage="1" sqref="M3:P3">
      <formula1>$K$144:$K$149</formula1>
    </dataValidation>
  </dataValidations>
  <hyperlinks>
    <hyperlink ref="G231" location="Presentazione!I106" display="QUI"/>
    <hyperlink ref="L231" location="Presentazione!K83" display="QUI"/>
  </hyperlinks>
  <printOptions horizontalCentered="1"/>
  <pageMargins left="0.39370078740157483" right="0" top="0.39370078740157483" bottom="0" header="0" footer="0"/>
  <pageSetup paperSize="9" scale="72"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7">
    <pageSetUpPr autoPageBreaks="0"/>
  </sheetPr>
  <dimension ref="A1:BB288"/>
  <sheetViews>
    <sheetView showGridLines="0" showRowColHeaders="0" topLeftCell="A2" zoomScaleNormal="100" workbookViewId="0">
      <selection activeCell="G8" sqref="G8"/>
    </sheetView>
  </sheetViews>
  <sheetFormatPr defaultRowHeight="12.75" x14ac:dyDescent="0.2"/>
  <cols>
    <col min="1" max="2" width="2.85546875" style="4" customWidth="1"/>
    <col min="3" max="4" width="5" style="4" customWidth="1"/>
    <col min="5" max="5" width="15.7109375" style="4" customWidth="1"/>
    <col min="6" max="6" width="1.42578125" style="4" customWidth="1"/>
    <col min="7" max="8" width="15.7109375" style="4" customWidth="1"/>
    <col min="9" max="10" width="7.85546875" style="4" customWidth="1"/>
    <col min="11" max="11" width="15.7109375" style="4" customWidth="1"/>
    <col min="12" max="13" width="7.85546875" style="4" customWidth="1"/>
    <col min="14" max="14" width="15.7109375" style="4" customWidth="1"/>
    <col min="15" max="16" width="7.85546875" style="4" customWidth="1"/>
    <col min="17" max="17" width="2.140625" style="4" customWidth="1"/>
    <col min="18" max="31" width="11" style="4" hidden="1" customWidth="1"/>
    <col min="32" max="32" width="6.42578125" style="4" hidden="1" customWidth="1"/>
    <col min="33" max="37" width="11" style="4" hidden="1" customWidth="1"/>
    <col min="38" max="38" width="6.42578125" style="4" hidden="1" customWidth="1"/>
    <col min="39" max="43" width="11" style="4" hidden="1" customWidth="1"/>
    <col min="44" max="44" width="6.42578125" style="4" hidden="1" customWidth="1"/>
    <col min="45" max="49" width="11" style="4" hidden="1" customWidth="1"/>
    <col min="50" max="50" width="6.42578125" style="4" hidden="1" customWidth="1"/>
    <col min="51" max="51" width="11" style="4" hidden="1" customWidth="1"/>
    <col min="52" max="52" width="35.7109375" style="4" customWidth="1"/>
    <col min="53" max="16384" width="9.140625" style="4"/>
  </cols>
  <sheetData>
    <row r="1" spans="1:53" ht="15" hidden="1" customHeight="1" x14ac:dyDescent="0.2">
      <c r="A1" s="540"/>
      <c r="B1" s="2"/>
      <c r="C1" s="2"/>
      <c r="D1" s="2"/>
      <c r="E1" s="2"/>
      <c r="F1" s="2"/>
      <c r="G1" s="252" t="str">
        <f>CONCATENATE(IMPOSTAZIONI!F226,"-",IMPOSTAZIONI!F227,"-",IMPOSTAZIONI!F228)</f>
        <v>--</v>
      </c>
      <c r="H1" s="252" t="str">
        <f>CONCATENATE(IMPOSTAZIONI!K226,"-",IMPOSTAZIONI!K227,"-",IMPOSTAZIONI!K228)</f>
        <v>--</v>
      </c>
      <c r="I1" s="252"/>
      <c r="J1" s="252"/>
      <c r="K1" s="252" t="str">
        <f>CONCATENATE(IMPOSTAZIONI!P226,"-",IMPOSTAZIONI!P227,"-",IMPOSTAZIONI!P228)</f>
        <v>--</v>
      </c>
      <c r="L1" s="252"/>
      <c r="M1" s="252"/>
      <c r="N1" s="252" t="str">
        <f>CONCATENATE(IMPOSTAZIONI!U226,"-",IMPOSTAZIONI!U227,"-",IMPOSTAZIONI!U228)</f>
        <v>--</v>
      </c>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591"/>
    </row>
    <row r="2" spans="1:53" ht="18" customHeight="1" x14ac:dyDescent="0.2">
      <c r="A2" s="540"/>
      <c r="B2" s="2"/>
      <c r="C2" s="2057" t="str">
        <f>CONCATENATE(IMPOSTAZIONI!C73," - P.I. ",IMPOSTAZIONI!O73)</f>
        <v>Inserisci la tua Ragione Sociale - P.I. 01234567891</v>
      </c>
      <c r="D2" s="2057"/>
      <c r="E2" s="2057"/>
      <c r="F2" s="2057"/>
      <c r="G2" s="2057"/>
      <c r="H2" s="2057"/>
      <c r="I2" s="2057"/>
      <c r="J2" s="2058" t="str">
        <f>CONCATENATE(IMPOSTAZIONI!C75," - ",IMPOSTAZIONI!M75," - ",IMPOSTAZIONI!O75," - ",IMPOSTAZIONI!V75)</f>
        <v xml:space="preserve">Indirizzo per esteso -  -  - </v>
      </c>
      <c r="K2" s="2058"/>
      <c r="L2" s="2058"/>
      <c r="M2" s="2058"/>
      <c r="N2" s="2058"/>
      <c r="O2" s="2058"/>
      <c r="P2" s="2058"/>
      <c r="Q2" s="3"/>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row>
    <row r="3" spans="1:53" ht="24.75" customHeight="1" x14ac:dyDescent="0.2">
      <c r="A3" s="2"/>
      <c r="B3" s="5"/>
      <c r="C3" s="2222" t="s">
        <v>98</v>
      </c>
      <c r="D3" s="2222"/>
      <c r="E3" s="2223" t="s">
        <v>320</v>
      </c>
      <c r="F3" s="2223"/>
      <c r="G3" s="2223"/>
      <c r="H3" s="2073" t="str">
        <f>IF(I163=0,IMPOSTAZIONI!Y384,"")</f>
        <v>Devi convalidare il foglio IMPOSTAZIONI</v>
      </c>
      <c r="I3" s="2073"/>
      <c r="J3" s="2073"/>
      <c r="K3" s="2073"/>
      <c r="L3" s="2073"/>
      <c r="M3" s="2072" t="s">
        <v>543</v>
      </c>
      <c r="N3" s="2072"/>
      <c r="O3" s="2072"/>
      <c r="P3" s="2072"/>
      <c r="Q3" s="3"/>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row>
    <row r="4" spans="1:53" ht="18" customHeight="1" x14ac:dyDescent="0.2">
      <c r="A4" s="2"/>
      <c r="B4" s="2"/>
      <c r="C4" s="2147" t="s">
        <v>175</v>
      </c>
      <c r="D4" s="2148"/>
      <c r="E4" s="2170" t="str">
        <f>IMPOSTAZIONI!E24</f>
        <v>TOTALE</v>
      </c>
      <c r="F4" s="2171"/>
      <c r="G4" s="291" t="str">
        <f>IF($I$163=0,"",IMPOSTAZIONI!G226)</f>
        <v/>
      </c>
      <c r="H4" s="291" t="str">
        <f>IF($I$163=0,"",IMPOSTAZIONI!L226)</f>
        <v/>
      </c>
      <c r="I4" s="2164">
        <f>IMPOSTAZIONI!Q25</f>
        <v>0</v>
      </c>
      <c r="J4" s="2165"/>
      <c r="K4" s="291" t="str">
        <f>IF($I$163=0,"",IMPOSTAZIONI!Q226)</f>
        <v/>
      </c>
      <c r="L4" s="2164">
        <f>IMPOSTAZIONI!Y25</f>
        <v>0</v>
      </c>
      <c r="M4" s="2165"/>
      <c r="N4" s="291" t="str">
        <f>IF($I$163=0,"",IMPOSTAZIONI!V226)</f>
        <v/>
      </c>
      <c r="O4" s="2164">
        <f>IMPOSTAZIONI!AG25</f>
        <v>0</v>
      </c>
      <c r="P4" s="2165"/>
      <c r="Q4" s="83"/>
      <c r="R4" s="2"/>
      <c r="S4" s="2"/>
      <c r="T4" s="2"/>
      <c r="U4" s="2"/>
      <c r="V4" s="251" t="str">
        <f>CONCATENATE(L131,"  ")</f>
        <v xml:space="preserve">attiva trim.  </v>
      </c>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row>
    <row r="5" spans="1:53" ht="18" customHeight="1" x14ac:dyDescent="0.2">
      <c r="A5" s="2"/>
      <c r="B5" s="2"/>
      <c r="C5" s="2149"/>
      <c r="D5" s="2150"/>
      <c r="E5" s="2172"/>
      <c r="F5" s="2173"/>
      <c r="G5" s="292" t="str">
        <f>IF($I$163=0,"",IMPOSTAZIONI!G227)</f>
        <v/>
      </c>
      <c r="H5" s="292" t="str">
        <f>IF($I$163=0,"",IMPOSTAZIONI!L227)</f>
        <v/>
      </c>
      <c r="I5" s="2166"/>
      <c r="J5" s="2167"/>
      <c r="K5" s="292" t="str">
        <f>IF($I$163=0,"",IMPOSTAZIONI!Q227)</f>
        <v/>
      </c>
      <c r="L5" s="2166"/>
      <c r="M5" s="2167"/>
      <c r="N5" s="292" t="str">
        <f>IF($I$163=0,"",IMPOSTAZIONI!V227)</f>
        <v/>
      </c>
      <c r="O5" s="2166"/>
      <c r="P5" s="2167"/>
      <c r="Q5" s="83"/>
      <c r="R5" s="2"/>
      <c r="S5" s="2"/>
      <c r="T5" s="2"/>
      <c r="U5" s="2"/>
      <c r="V5" s="257"/>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row>
    <row r="6" spans="1:53" ht="18" customHeight="1" x14ac:dyDescent="0.2">
      <c r="A6" s="2"/>
      <c r="B6" s="2"/>
      <c r="C6" s="2151">
        <f>IMPOSTAZIONI!$AH$52</f>
        <v>2024</v>
      </c>
      <c r="D6" s="2152"/>
      <c r="E6" s="2153">
        <f>IMPOSTAZIONI!E25</f>
        <v>0</v>
      </c>
      <c r="F6" s="2154"/>
      <c r="G6" s="55" t="str">
        <f>IF($I$163=0,"",IMPOSTAZIONI!G228)</f>
        <v/>
      </c>
      <c r="H6" s="55" t="str">
        <f>IF($I$163=0,"",IMPOSTAZIONI!L228)</f>
        <v/>
      </c>
      <c r="I6" s="834" t="str">
        <f>IMPOSTAZIONI!Q26</f>
        <v>DAL</v>
      </c>
      <c r="J6" s="835" t="str">
        <f>IMPOSTAZIONI!S26</f>
        <v>AL</v>
      </c>
      <c r="K6" s="55" t="str">
        <f>IF($I$163=0,"",IMPOSTAZIONI!Q228)</f>
        <v/>
      </c>
      <c r="L6" s="834" t="str">
        <f>IMPOSTAZIONI!Y26</f>
        <v>DAL</v>
      </c>
      <c r="M6" s="835" t="str">
        <f>IMPOSTAZIONI!AA26</f>
        <v>AL</v>
      </c>
      <c r="N6" s="55" t="str">
        <f>IF($I$163=0,"",IMPOSTAZIONI!V228)</f>
        <v/>
      </c>
      <c r="O6" s="834" t="str">
        <f>IMPOSTAZIONI!AG26</f>
        <v>DAL</v>
      </c>
      <c r="P6" s="835" t="str">
        <f>IMPOSTAZIONI!AI26</f>
        <v>AL</v>
      </c>
      <c r="Q6" s="83"/>
      <c r="R6" s="2"/>
      <c r="S6" s="2"/>
      <c r="T6" s="2"/>
      <c r="U6" s="2"/>
      <c r="V6" s="2"/>
      <c r="W6" s="2"/>
      <c r="X6" s="2"/>
      <c r="Y6" s="501" t="str">
        <f>CASSA!W484</f>
        <v>F</v>
      </c>
      <c r="Z6" s="502" t="str">
        <f>CASSA!W485</f>
        <v>C</v>
      </c>
      <c r="AA6" s="2"/>
      <c r="AB6" s="2"/>
      <c r="AC6" s="2"/>
      <c r="AD6" s="2"/>
      <c r="AE6" s="2"/>
      <c r="AF6" s="2"/>
      <c r="AG6" s="148">
        <f>IF(SUM(G152:J152)&gt;0,1,0)</f>
        <v>0</v>
      </c>
      <c r="AH6" s="1096" t="str">
        <f>$C101</f>
        <v>Aliquota 22 %</v>
      </c>
      <c r="AI6" s="1096" t="str">
        <f>$C102</f>
        <v>Aliquota 10 %</v>
      </c>
      <c r="AJ6" s="1096" t="str">
        <f>$C103</f>
        <v>Aliquota 4 %</v>
      </c>
      <c r="AK6" s="1096" t="str">
        <f>$C104</f>
        <v/>
      </c>
      <c r="AL6" s="2"/>
      <c r="AM6" s="1097" t="s">
        <v>537</v>
      </c>
      <c r="AN6" s="2204" t="s">
        <v>782</v>
      </c>
      <c r="AO6" s="2204"/>
      <c r="AP6" s="2204"/>
      <c r="AQ6" s="2204"/>
      <c r="AR6" s="2"/>
      <c r="AS6" s="148"/>
      <c r="AT6" s="1096" t="str">
        <f>$C101</f>
        <v>Aliquota 22 %</v>
      </c>
      <c r="AU6" s="1096" t="str">
        <f>$C102</f>
        <v>Aliquota 10 %</v>
      </c>
      <c r="AV6" s="1096" t="str">
        <f>$C103</f>
        <v>Aliquota 4 %</v>
      </c>
      <c r="AW6" s="1096" t="str">
        <f>$C104</f>
        <v/>
      </c>
      <c r="AX6" s="2"/>
      <c r="AY6" s="1097" t="s">
        <v>537</v>
      </c>
      <c r="AZ6" s="1382" t="s">
        <v>14</v>
      </c>
      <c r="BA6" s="2"/>
    </row>
    <row r="7" spans="1:53" ht="20.25" customHeight="1" x14ac:dyDescent="0.2">
      <c r="A7" s="2"/>
      <c r="B7" s="2"/>
      <c r="C7" s="2242" t="s">
        <v>177</v>
      </c>
      <c r="D7" s="2243"/>
      <c r="E7" s="2175">
        <f>IMPOSTAZIONI!AH265</f>
        <v>0</v>
      </c>
      <c r="F7" s="2176"/>
      <c r="G7" s="1439">
        <f>IMPOSTAZIONI!$AU276</f>
        <v>0</v>
      </c>
      <c r="H7" s="1439">
        <f>IMPOSTAZIONI!$AU277</f>
        <v>0</v>
      </c>
      <c r="I7" s="832"/>
      <c r="J7" s="833"/>
      <c r="K7" s="1439">
        <f>IMPOSTAZIONI!$AU278</f>
        <v>0</v>
      </c>
      <c r="L7" s="832"/>
      <c r="M7" s="833"/>
      <c r="N7" s="1439">
        <f>IMPOSTAZIONI!$AU279</f>
        <v>0</v>
      </c>
      <c r="O7" s="832"/>
      <c r="P7" s="833"/>
      <c r="Q7" s="83"/>
      <c r="R7" s="552" t="s">
        <v>195</v>
      </c>
      <c r="S7" s="552"/>
      <c r="T7" s="552"/>
      <c r="U7" s="552"/>
      <c r="V7" s="507">
        <f>V8-1</f>
        <v>45626</v>
      </c>
      <c r="W7" s="2"/>
      <c r="X7" s="2"/>
      <c r="Y7" s="2"/>
      <c r="Z7" s="2"/>
      <c r="AA7" s="2"/>
      <c r="AB7" s="2021" t="s">
        <v>739</v>
      </c>
      <c r="AC7" s="2021"/>
      <c r="AD7" s="2021"/>
      <c r="AE7" s="2021"/>
      <c r="AF7" s="2"/>
      <c r="AG7" s="2021" t="s">
        <v>781</v>
      </c>
      <c r="AH7" s="2021"/>
      <c r="AI7" s="2021"/>
      <c r="AJ7" s="2021"/>
      <c r="AK7" s="2021"/>
      <c r="AL7" s="2"/>
      <c r="AM7" s="2"/>
      <c r="AN7" s="2"/>
      <c r="AO7" s="2"/>
      <c r="AP7" s="2"/>
      <c r="AQ7" s="2"/>
      <c r="AR7" s="2"/>
      <c r="AS7" s="2021" t="s">
        <v>784</v>
      </c>
      <c r="AT7" s="2021"/>
      <c r="AU7" s="2021"/>
      <c r="AV7" s="2021"/>
      <c r="AW7" s="2021"/>
      <c r="AX7" s="2"/>
      <c r="AY7" s="1097" t="s">
        <v>739</v>
      </c>
      <c r="AZ7" s="1383"/>
      <c r="BA7" s="2"/>
    </row>
    <row r="8" spans="1:53" ht="20.25" customHeight="1" x14ac:dyDescent="0.2">
      <c r="A8" s="2"/>
      <c r="B8" s="18">
        <v>1</v>
      </c>
      <c r="C8" s="234">
        <f>B8</f>
        <v>1</v>
      </c>
      <c r="D8" s="235">
        <v>12</v>
      </c>
      <c r="E8" s="2168" t="str">
        <f t="shared" ref="E8:E38" si="0">IF(AND(L$163=0,OR(V8&lt;B$162,V8&gt;B$163)),CONCATENATE(L$131,"  "),IF(AND((SUM(G8:H8)+K8+N8)&lt;&gt;0,AA8=Z$6),E$163,IF(AND((SUM(G8:H8)+K8+N8)=0,AA8=Z$6),E$162,IF(ISERROR($H$163),0,SUM(G8:H8)+K8+N8-SUMIF(G$42:N$42,K$134,G8:N8)))))</f>
        <v xml:space="preserve">attiva trim.  </v>
      </c>
      <c r="F8" s="2169"/>
      <c r="G8" s="304"/>
      <c r="H8" s="304"/>
      <c r="I8" s="830"/>
      <c r="J8" s="831"/>
      <c r="K8" s="304"/>
      <c r="L8" s="830"/>
      <c r="M8" s="831"/>
      <c r="N8" s="304"/>
      <c r="O8" s="830"/>
      <c r="P8" s="831"/>
      <c r="Q8" s="83"/>
      <c r="R8" s="1050">
        <f>IF(G$62=$L$134,0,IF(AND($L$163=0,$V8&gt;$B$163),0,IF(G$155="X",0,ROUND((G8*G$155)/(100+G$155),2))))</f>
        <v>0</v>
      </c>
      <c r="S8" s="1051">
        <f t="shared" ref="S8:S38" si="1">IF(H$62=$L$134,0,IF(AND($L$163=0,$V8&gt;$B$163),0,IF(H$155="X",0,ROUND((H8*H$155)/(100+H$155),2))))</f>
        <v>0</v>
      </c>
      <c r="T8" s="1051">
        <f>IF(K$62=$L$134,0,IF(AND($L$163=0,$V8&gt;$B$163),0,IF(I$155="X",0,ROUND((K8*I$155)/(100+I$155),2))))</f>
        <v>0</v>
      </c>
      <c r="U8" s="1052">
        <f>IF(N$62=$L$134,0,IF(AND($L$163=0,$V8&gt;$B$163),0,IF(J$155="X",0,ROUND((N8*J$155)/(100+J$155),2))))</f>
        <v>0</v>
      </c>
      <c r="V8" s="231">
        <f>DATE(C$6,D8,C8)</f>
        <v>45627</v>
      </c>
      <c r="W8" s="1050">
        <f t="shared" ref="W8:W38" si="2">IF(AND($L$163=0,$V8&gt;$B$163),0,G8-R8)</f>
        <v>0</v>
      </c>
      <c r="X8" s="1051">
        <f t="shared" ref="X8:X38" si="3">IF(AND($L$163=0,$V8&gt;$B$163),0,H8-S8)</f>
        <v>0</v>
      </c>
      <c r="Y8" s="1051">
        <f t="shared" ref="Y8:Y38" si="4">IF(AND($L$163=0,$V8&gt;$B$163),0,K8-T8)</f>
        <v>0</v>
      </c>
      <c r="Z8" s="1052">
        <f t="shared" ref="Z8:Z38" si="5">IF(AND($L$163=0,$V8&gt;$B$163),0,N8-U8)</f>
        <v>0</v>
      </c>
      <c r="AA8" s="822">
        <f>VLOOKUP(V8,CASSA!$B$114:$C$479,2,FALSE)</f>
        <v>0</v>
      </c>
      <c r="AB8" s="1050">
        <f>IF(AND(G$62=$L$134,$L$78&lt;&gt;0),$L$78/$G$65*G8,0)</f>
        <v>0</v>
      </c>
      <c r="AC8" s="1051">
        <f>IF(AND(H$62=$L$134,$L$78&lt;&gt;0),$L$78/$G$65*H8,0)</f>
        <v>0</v>
      </c>
      <c r="AD8" s="1051">
        <f>IF(AND(K$62=$L$134,$L$78&lt;&gt;0),$L$78/$G$65*K8,0)</f>
        <v>0</v>
      </c>
      <c r="AE8" s="1052">
        <f>IF(AND(N$62=$L$134,$L$78&lt;&gt;0),$L$78/$G$65*N8,0)</f>
        <v>0</v>
      </c>
      <c r="AF8" s="2"/>
      <c r="AG8" s="1087">
        <f>SUMIF($G$152:$J$152,1,W8:Z8)-SUM(AH8:AK8)</f>
        <v>0</v>
      </c>
      <c r="AH8" s="1088">
        <f>IF(AND($AG$6=1,$R$101&lt;&gt;0),$R$101/$R$96*SUMIF($G$152:$J$152,1,$W8:$Z8),0)</f>
        <v>0</v>
      </c>
      <c r="AI8" s="1051">
        <f>IF(AND($AG$6=1,$R$102&lt;&gt;0),$R$102/$R$96*SUMIF($G$152:$J$152,1,$W8:$Z8),0)</f>
        <v>0</v>
      </c>
      <c r="AJ8" s="1051">
        <f>IF(AND($AG$6=1,$R$103&lt;&gt;0),$R$103/$R$96*SUMIF($G$152:$J$152,1,$W8:$Z8),0)</f>
        <v>0</v>
      </c>
      <c r="AK8" s="1089">
        <f t="shared" ref="AK8:AK38" si="6">IF(AND($AG$6=1,$R$104&lt;&gt;0),$R$104/$R$96*SUMIF($G$152:$J$152,1,$W8:$Z8),0)</f>
        <v>0</v>
      </c>
      <c r="AL8" s="2"/>
      <c r="AM8" s="1087">
        <f t="shared" ref="AM8:AM38" si="7">SUMIF($G$42:$N$42,$K$134,$G8:$N8)</f>
        <v>0</v>
      </c>
      <c r="AN8" s="1104">
        <f>IF(G$42=$K$134,R8,0)</f>
        <v>0</v>
      </c>
      <c r="AO8" s="1051">
        <f>IF(H$42=$K$134,S8,0)</f>
        <v>0</v>
      </c>
      <c r="AP8" s="1051">
        <f>IF(K$42=$K$134,T8,0)</f>
        <v>0</v>
      </c>
      <c r="AQ8" s="1089">
        <f>IF(N$42=$K$134,U8,0)</f>
        <v>0</v>
      </c>
      <c r="AR8" s="2"/>
      <c r="AS8" s="1087">
        <f>IF(AG8&lt;&gt;0,AG8*$T$97/100,0)</f>
        <v>0</v>
      </c>
      <c r="AT8" s="1088">
        <f>IF(AH8&lt;&gt;0,AH8*$T$101/100,0)</f>
        <v>0</v>
      </c>
      <c r="AU8" s="1051">
        <f>IF(AI8&lt;&gt;0,AI8*$T$102/100,0)</f>
        <v>0</v>
      </c>
      <c r="AV8" s="1051">
        <f>IF(AJ8&lt;&gt;0,AJ8*$T$103/100,0)</f>
        <v>0</v>
      </c>
      <c r="AW8" s="1089">
        <f>IF(AK8&lt;&gt;0,AK8*$T$104/100,0)</f>
        <v>0</v>
      </c>
      <c r="AX8" s="2"/>
      <c r="AY8" s="1087">
        <f>IF(SUM(AB8:AE8)=0,0,SUM(AB8:AE8)*U$90/100)</f>
        <v>0</v>
      </c>
      <c r="AZ8" s="1384" t="s">
        <v>850</v>
      </c>
      <c r="BA8" s="2"/>
    </row>
    <row r="9" spans="1:53" ht="20.25" customHeight="1" x14ac:dyDescent="0.2">
      <c r="A9" s="2"/>
      <c r="B9" s="18">
        <v>2</v>
      </c>
      <c r="C9" s="234">
        <f>IF(D9="--","--",C8+1)</f>
        <v>2</v>
      </c>
      <c r="D9" s="235">
        <f t="shared" ref="D9:D38" si="8">IF(MONTH(V9)=D$8,D8,"--")</f>
        <v>12</v>
      </c>
      <c r="E9" s="2159" t="str">
        <f t="shared" si="0"/>
        <v xml:space="preserve">attiva trim.  </v>
      </c>
      <c r="F9" s="2160"/>
      <c r="G9" s="237"/>
      <c r="H9" s="237"/>
      <c r="I9" s="828"/>
      <c r="J9" s="829"/>
      <c r="K9" s="237"/>
      <c r="L9" s="828"/>
      <c r="M9" s="829"/>
      <c r="N9" s="237"/>
      <c r="O9" s="828"/>
      <c r="P9" s="829"/>
      <c r="Q9" s="83"/>
      <c r="R9" s="1053">
        <f t="shared" ref="R9:R38" si="9">IF(G$62=$L$134,0,IF(AND($L$163=0,$V9&gt;$B$163),0,IF(G$155="X",0,ROUND((G9*G$155)/(100+G$155),2))))</f>
        <v>0</v>
      </c>
      <c r="S9" s="1054">
        <f t="shared" si="1"/>
        <v>0</v>
      </c>
      <c r="T9" s="1054">
        <f t="shared" ref="T9:T38" si="10">IF(K$62=$L$134,0,IF(AND($L$163=0,$V9&gt;$B$163),0,IF(I$155="X",0,ROUND((K9*I$155)/(100+I$155),2))))</f>
        <v>0</v>
      </c>
      <c r="U9" s="1055">
        <f t="shared" ref="U9:U38" si="11">IF(N$62=$L$134,0,IF(AND($L$163=0,$V9&gt;$B$163),0,IF(J$155="X",0,ROUND((N9*J$155)/(100+J$155),2))))</f>
        <v>0</v>
      </c>
      <c r="V9" s="231">
        <f>V8+1</f>
        <v>45628</v>
      </c>
      <c r="W9" s="1053">
        <f t="shared" si="2"/>
        <v>0</v>
      </c>
      <c r="X9" s="1054">
        <f t="shared" si="3"/>
        <v>0</v>
      </c>
      <c r="Y9" s="1054">
        <f t="shared" si="4"/>
        <v>0</v>
      </c>
      <c r="Z9" s="1055">
        <f t="shared" si="5"/>
        <v>0</v>
      </c>
      <c r="AA9" s="822">
        <f>VLOOKUP(V9,CASSA!$B$114:$C$479,2,FALSE)</f>
        <v>0</v>
      </c>
      <c r="AB9" s="1053">
        <f t="shared" ref="AB9:AB38" si="12">IF(AND(G$62=$L$134,$L$78&lt;&gt;0),$L$78/$G$65*G9,0)</f>
        <v>0</v>
      </c>
      <c r="AC9" s="1054">
        <f t="shared" ref="AC9:AC38" si="13">IF(AND(H$62=$L$134,$L$78&lt;&gt;0),$L$78/$G$65*H9,0)</f>
        <v>0</v>
      </c>
      <c r="AD9" s="1054">
        <f t="shared" ref="AD9:AD38" si="14">IF(AND(K$62=$L$134,$L$78&lt;&gt;0),$L$78/$G$65*K9,0)</f>
        <v>0</v>
      </c>
      <c r="AE9" s="1055">
        <f t="shared" ref="AE9:AE38" si="15">IF(AND(N$62=$L$134,$L$78&lt;&gt;0),$L$78/$G$65*N9,0)</f>
        <v>0</v>
      </c>
      <c r="AF9" s="2"/>
      <c r="AG9" s="1090">
        <f t="shared" ref="AG9:AG38" si="16">SUMIF($G$152:$J$152,1,W9:Z9)-SUM(AH9:AK9)</f>
        <v>0</v>
      </c>
      <c r="AH9" s="1091">
        <f t="shared" ref="AH9:AH38" si="17">IF(AND($AG$6=1,$R$101&lt;&gt;0),$R$101/$R$96*SUMIF($G$152:$J$152,1,$W9:$Z9),0)</f>
        <v>0</v>
      </c>
      <c r="AI9" s="1054">
        <f t="shared" ref="AI9:AI38" si="18">IF(AND($AG$6=1,$R$102&lt;&gt;0),$R$102/$R$96*SUMIF($G$152:$J$152,1,$W9:$Z9),0)</f>
        <v>0</v>
      </c>
      <c r="AJ9" s="1054">
        <f t="shared" ref="AJ9:AJ38" si="19">IF(AND($AG$6=1,$R$103&lt;&gt;0),$R$103/$R$96*SUMIF($G$152:$J$152,1,$W9:$Z9),0)</f>
        <v>0</v>
      </c>
      <c r="AK9" s="1092">
        <f t="shared" si="6"/>
        <v>0</v>
      </c>
      <c r="AL9" s="2"/>
      <c r="AM9" s="1090">
        <f t="shared" si="7"/>
        <v>0</v>
      </c>
      <c r="AN9" s="1105">
        <f t="shared" ref="AN9:AN38" si="20">IF(G$42=$K$134,R9,0)</f>
        <v>0</v>
      </c>
      <c r="AO9" s="1054">
        <f t="shared" ref="AO9:AO38" si="21">IF(H$42=$K$134,S9,0)</f>
        <v>0</v>
      </c>
      <c r="AP9" s="1054">
        <f t="shared" ref="AP9:AP38" si="22">IF(K$42=$K$134,T9,0)</f>
        <v>0</v>
      </c>
      <c r="AQ9" s="1092">
        <f t="shared" ref="AQ9:AQ38" si="23">IF(N$42=$K$134,U9,0)</f>
        <v>0</v>
      </c>
      <c r="AR9" s="2"/>
      <c r="AS9" s="1090">
        <f t="shared" ref="AS9:AS38" si="24">IF(AG9&lt;&gt;0,AG9*$T$97/100,0)</f>
        <v>0</v>
      </c>
      <c r="AT9" s="1091">
        <f t="shared" ref="AT9:AT38" si="25">IF(AH9&lt;&gt;0,AH9*$T$101/100,0)</f>
        <v>0</v>
      </c>
      <c r="AU9" s="1054">
        <f t="shared" ref="AU9:AU38" si="26">IF(AI9&lt;&gt;0,AI9*$T$102/100,0)</f>
        <v>0</v>
      </c>
      <c r="AV9" s="1054">
        <f t="shared" ref="AV9:AV38" si="27">IF(AJ9&lt;&gt;0,AJ9*$T$103/100,0)</f>
        <v>0</v>
      </c>
      <c r="AW9" s="1092">
        <f t="shared" ref="AW9:AW38" si="28">IF(AK9&lt;&gt;0,AK9*$T$104/100,0)</f>
        <v>0</v>
      </c>
      <c r="AX9" s="2"/>
      <c r="AY9" s="1090">
        <f t="shared" ref="AY9:AY38" si="29">IF(SUM(AB9:AE9)=0,0,SUM(AB9:AE9)*U$90/100)</f>
        <v>0</v>
      </c>
      <c r="AZ9" s="1385" t="s">
        <v>851</v>
      </c>
      <c r="BA9" s="2"/>
    </row>
    <row r="10" spans="1:53" ht="20.25" customHeight="1" x14ac:dyDescent="0.2">
      <c r="A10" s="2"/>
      <c r="B10" s="18">
        <v>3</v>
      </c>
      <c r="C10" s="234">
        <f t="shared" ref="C10:C38" si="30">IF(D10="--","--",C9+1)</f>
        <v>3</v>
      </c>
      <c r="D10" s="235">
        <f t="shared" si="8"/>
        <v>12</v>
      </c>
      <c r="E10" s="2159" t="str">
        <f t="shared" si="0"/>
        <v xml:space="preserve">attiva trim.  </v>
      </c>
      <c r="F10" s="2160"/>
      <c r="G10" s="237"/>
      <c r="H10" s="237"/>
      <c r="I10" s="828"/>
      <c r="J10" s="829"/>
      <c r="K10" s="237"/>
      <c r="L10" s="828"/>
      <c r="M10" s="829"/>
      <c r="N10" s="237"/>
      <c r="O10" s="828"/>
      <c r="P10" s="829"/>
      <c r="Q10" s="83"/>
      <c r="R10" s="1053">
        <f t="shared" si="9"/>
        <v>0</v>
      </c>
      <c r="S10" s="1054">
        <f t="shared" si="1"/>
        <v>0</v>
      </c>
      <c r="T10" s="1054">
        <f t="shared" si="10"/>
        <v>0</v>
      </c>
      <c r="U10" s="1055">
        <f t="shared" si="11"/>
        <v>0</v>
      </c>
      <c r="V10" s="231">
        <f t="shared" ref="V10:V38" si="31">V9+1</f>
        <v>45629</v>
      </c>
      <c r="W10" s="1053">
        <f t="shared" si="2"/>
        <v>0</v>
      </c>
      <c r="X10" s="1054">
        <f t="shared" si="3"/>
        <v>0</v>
      </c>
      <c r="Y10" s="1054">
        <f t="shared" si="4"/>
        <v>0</v>
      </c>
      <c r="Z10" s="1055">
        <f t="shared" si="5"/>
        <v>0</v>
      </c>
      <c r="AA10" s="822">
        <f>VLOOKUP(V10,CASSA!$B$114:$C$479,2,FALSE)</f>
        <v>0</v>
      </c>
      <c r="AB10" s="1053">
        <f t="shared" si="12"/>
        <v>0</v>
      </c>
      <c r="AC10" s="1054">
        <f t="shared" si="13"/>
        <v>0</v>
      </c>
      <c r="AD10" s="1054">
        <f t="shared" si="14"/>
        <v>0</v>
      </c>
      <c r="AE10" s="1055">
        <f t="shared" si="15"/>
        <v>0</v>
      </c>
      <c r="AF10" s="2"/>
      <c r="AG10" s="1090">
        <f t="shared" si="16"/>
        <v>0</v>
      </c>
      <c r="AH10" s="1091">
        <f t="shared" si="17"/>
        <v>0</v>
      </c>
      <c r="AI10" s="1054">
        <f t="shared" si="18"/>
        <v>0</v>
      </c>
      <c r="AJ10" s="1054">
        <f t="shared" si="19"/>
        <v>0</v>
      </c>
      <c r="AK10" s="1092">
        <f t="shared" si="6"/>
        <v>0</v>
      </c>
      <c r="AL10" s="2"/>
      <c r="AM10" s="1090">
        <f t="shared" si="7"/>
        <v>0</v>
      </c>
      <c r="AN10" s="1105">
        <f t="shared" si="20"/>
        <v>0</v>
      </c>
      <c r="AO10" s="1054">
        <f t="shared" si="21"/>
        <v>0</v>
      </c>
      <c r="AP10" s="1054">
        <f t="shared" si="22"/>
        <v>0</v>
      </c>
      <c r="AQ10" s="1092">
        <f t="shared" si="23"/>
        <v>0</v>
      </c>
      <c r="AR10" s="2"/>
      <c r="AS10" s="1090">
        <f t="shared" si="24"/>
        <v>0</v>
      </c>
      <c r="AT10" s="1091">
        <f t="shared" si="25"/>
        <v>0</v>
      </c>
      <c r="AU10" s="1054">
        <f t="shared" si="26"/>
        <v>0</v>
      </c>
      <c r="AV10" s="1054">
        <f t="shared" si="27"/>
        <v>0</v>
      </c>
      <c r="AW10" s="1092">
        <f t="shared" si="28"/>
        <v>0</v>
      </c>
      <c r="AX10" s="2"/>
      <c r="AY10" s="1090">
        <f t="shared" si="29"/>
        <v>0</v>
      </c>
      <c r="AZ10" s="1385" t="s">
        <v>852</v>
      </c>
      <c r="BA10" s="2"/>
    </row>
    <row r="11" spans="1:53" ht="20.25" customHeight="1" x14ac:dyDescent="0.2">
      <c r="A11" s="2"/>
      <c r="B11" s="18">
        <v>4</v>
      </c>
      <c r="C11" s="234">
        <f t="shared" si="30"/>
        <v>4</v>
      </c>
      <c r="D11" s="235">
        <f t="shared" si="8"/>
        <v>12</v>
      </c>
      <c r="E11" s="2159" t="str">
        <f t="shared" si="0"/>
        <v xml:space="preserve">attiva trim.  </v>
      </c>
      <c r="F11" s="2160"/>
      <c r="G11" s="237"/>
      <c r="H11" s="237"/>
      <c r="I11" s="828"/>
      <c r="J11" s="829"/>
      <c r="K11" s="237"/>
      <c r="L11" s="828"/>
      <c r="M11" s="829"/>
      <c r="N11" s="237"/>
      <c r="O11" s="828"/>
      <c r="P11" s="829"/>
      <c r="Q11" s="6"/>
      <c r="R11" s="1053">
        <f t="shared" si="9"/>
        <v>0</v>
      </c>
      <c r="S11" s="1054">
        <f t="shared" si="1"/>
        <v>0</v>
      </c>
      <c r="T11" s="1054">
        <f t="shared" si="10"/>
        <v>0</v>
      </c>
      <c r="U11" s="1055">
        <f t="shared" si="11"/>
        <v>0</v>
      </c>
      <c r="V11" s="231">
        <f t="shared" si="31"/>
        <v>45630</v>
      </c>
      <c r="W11" s="1053">
        <f t="shared" si="2"/>
        <v>0</v>
      </c>
      <c r="X11" s="1054">
        <f t="shared" si="3"/>
        <v>0</v>
      </c>
      <c r="Y11" s="1054">
        <f t="shared" si="4"/>
        <v>0</v>
      </c>
      <c r="Z11" s="1055">
        <f t="shared" si="5"/>
        <v>0</v>
      </c>
      <c r="AA11" s="822">
        <f>VLOOKUP(V11,CASSA!$B$114:$C$479,2,FALSE)</f>
        <v>0</v>
      </c>
      <c r="AB11" s="1053">
        <f t="shared" si="12"/>
        <v>0</v>
      </c>
      <c r="AC11" s="1054">
        <f t="shared" si="13"/>
        <v>0</v>
      </c>
      <c r="AD11" s="1054">
        <f t="shared" si="14"/>
        <v>0</v>
      </c>
      <c r="AE11" s="1055">
        <f t="shared" si="15"/>
        <v>0</v>
      </c>
      <c r="AF11" s="2"/>
      <c r="AG11" s="1090">
        <f t="shared" si="16"/>
        <v>0</v>
      </c>
      <c r="AH11" s="1091">
        <f t="shared" si="17"/>
        <v>0</v>
      </c>
      <c r="AI11" s="1054">
        <f t="shared" si="18"/>
        <v>0</v>
      </c>
      <c r="AJ11" s="1054">
        <f t="shared" si="19"/>
        <v>0</v>
      </c>
      <c r="AK11" s="1092">
        <f t="shared" si="6"/>
        <v>0</v>
      </c>
      <c r="AL11" s="2"/>
      <c r="AM11" s="1090">
        <f t="shared" si="7"/>
        <v>0</v>
      </c>
      <c r="AN11" s="1105">
        <f t="shared" si="20"/>
        <v>0</v>
      </c>
      <c r="AO11" s="1054">
        <f t="shared" si="21"/>
        <v>0</v>
      </c>
      <c r="AP11" s="1054">
        <f t="shared" si="22"/>
        <v>0</v>
      </c>
      <c r="AQ11" s="1092">
        <f t="shared" si="23"/>
        <v>0</v>
      </c>
      <c r="AR11" s="2"/>
      <c r="AS11" s="1090">
        <f t="shared" si="24"/>
        <v>0</v>
      </c>
      <c r="AT11" s="1091">
        <f t="shared" si="25"/>
        <v>0</v>
      </c>
      <c r="AU11" s="1054">
        <f t="shared" si="26"/>
        <v>0</v>
      </c>
      <c r="AV11" s="1054">
        <f t="shared" si="27"/>
        <v>0</v>
      </c>
      <c r="AW11" s="1092">
        <f t="shared" si="28"/>
        <v>0</v>
      </c>
      <c r="AX11" s="2"/>
      <c r="AY11" s="1090">
        <f t="shared" si="29"/>
        <v>0</v>
      </c>
      <c r="AZ11" s="1385" t="s">
        <v>853</v>
      </c>
      <c r="BA11" s="2"/>
    </row>
    <row r="12" spans="1:53" ht="20.25" customHeight="1" x14ac:dyDescent="0.2">
      <c r="A12" s="2"/>
      <c r="B12" s="18">
        <v>5</v>
      </c>
      <c r="C12" s="234">
        <f t="shared" si="30"/>
        <v>5</v>
      </c>
      <c r="D12" s="235">
        <f t="shared" si="8"/>
        <v>12</v>
      </c>
      <c r="E12" s="2159" t="str">
        <f t="shared" si="0"/>
        <v xml:space="preserve">attiva trim.  </v>
      </c>
      <c r="F12" s="2160"/>
      <c r="G12" s="237"/>
      <c r="H12" s="237"/>
      <c r="I12" s="828"/>
      <c r="J12" s="829"/>
      <c r="K12" s="237"/>
      <c r="L12" s="828"/>
      <c r="M12" s="829"/>
      <c r="N12" s="237"/>
      <c r="O12" s="828"/>
      <c r="P12" s="829"/>
      <c r="Q12" s="6"/>
      <c r="R12" s="1053">
        <f t="shared" si="9"/>
        <v>0</v>
      </c>
      <c r="S12" s="1054">
        <f t="shared" si="1"/>
        <v>0</v>
      </c>
      <c r="T12" s="1054">
        <f t="shared" si="10"/>
        <v>0</v>
      </c>
      <c r="U12" s="1055">
        <f t="shared" si="11"/>
        <v>0</v>
      </c>
      <c r="V12" s="231">
        <f t="shared" si="31"/>
        <v>45631</v>
      </c>
      <c r="W12" s="1053">
        <f t="shared" si="2"/>
        <v>0</v>
      </c>
      <c r="X12" s="1054">
        <f t="shared" si="3"/>
        <v>0</v>
      </c>
      <c r="Y12" s="1054">
        <f t="shared" si="4"/>
        <v>0</v>
      </c>
      <c r="Z12" s="1055">
        <f t="shared" si="5"/>
        <v>0</v>
      </c>
      <c r="AA12" s="822">
        <f>VLOOKUP(V12,CASSA!$B$114:$C$479,2,FALSE)</f>
        <v>0</v>
      </c>
      <c r="AB12" s="1053">
        <f t="shared" si="12"/>
        <v>0</v>
      </c>
      <c r="AC12" s="1054">
        <f t="shared" si="13"/>
        <v>0</v>
      </c>
      <c r="AD12" s="1054">
        <f t="shared" si="14"/>
        <v>0</v>
      </c>
      <c r="AE12" s="1055">
        <f t="shared" si="15"/>
        <v>0</v>
      </c>
      <c r="AF12" s="2"/>
      <c r="AG12" s="1090">
        <f t="shared" si="16"/>
        <v>0</v>
      </c>
      <c r="AH12" s="1091">
        <f t="shared" si="17"/>
        <v>0</v>
      </c>
      <c r="AI12" s="1054">
        <f t="shared" si="18"/>
        <v>0</v>
      </c>
      <c r="AJ12" s="1054">
        <f t="shared" si="19"/>
        <v>0</v>
      </c>
      <c r="AK12" s="1092">
        <f t="shared" si="6"/>
        <v>0</v>
      </c>
      <c r="AL12" s="2"/>
      <c r="AM12" s="1090">
        <f t="shared" si="7"/>
        <v>0</v>
      </c>
      <c r="AN12" s="1105">
        <f t="shared" si="20"/>
        <v>0</v>
      </c>
      <c r="AO12" s="1054">
        <f t="shared" si="21"/>
        <v>0</v>
      </c>
      <c r="AP12" s="1054">
        <f t="shared" si="22"/>
        <v>0</v>
      </c>
      <c r="AQ12" s="1092">
        <f t="shared" si="23"/>
        <v>0</v>
      </c>
      <c r="AR12" s="2"/>
      <c r="AS12" s="1090">
        <f t="shared" si="24"/>
        <v>0</v>
      </c>
      <c r="AT12" s="1091">
        <f t="shared" si="25"/>
        <v>0</v>
      </c>
      <c r="AU12" s="1054">
        <f t="shared" si="26"/>
        <v>0</v>
      </c>
      <c r="AV12" s="1054">
        <f t="shared" si="27"/>
        <v>0</v>
      </c>
      <c r="AW12" s="1092">
        <f t="shared" si="28"/>
        <v>0</v>
      </c>
      <c r="AX12" s="2"/>
      <c r="AY12" s="1090">
        <f t="shared" si="29"/>
        <v>0</v>
      </c>
      <c r="AZ12" s="1385"/>
      <c r="BA12" s="2"/>
    </row>
    <row r="13" spans="1:53" ht="20.25" customHeight="1" x14ac:dyDescent="0.2">
      <c r="A13" s="2"/>
      <c r="B13" s="18">
        <v>6</v>
      </c>
      <c r="C13" s="234">
        <f t="shared" si="30"/>
        <v>6</v>
      </c>
      <c r="D13" s="235">
        <f t="shared" si="8"/>
        <v>12</v>
      </c>
      <c r="E13" s="2159" t="str">
        <f t="shared" si="0"/>
        <v xml:space="preserve">attiva trim.  </v>
      </c>
      <c r="F13" s="2160"/>
      <c r="G13" s="237"/>
      <c r="H13" s="237"/>
      <c r="I13" s="828"/>
      <c r="J13" s="829"/>
      <c r="K13" s="237"/>
      <c r="L13" s="828"/>
      <c r="M13" s="829"/>
      <c r="N13" s="237"/>
      <c r="O13" s="828"/>
      <c r="P13" s="829"/>
      <c r="Q13" s="6"/>
      <c r="R13" s="1053">
        <f t="shared" si="9"/>
        <v>0</v>
      </c>
      <c r="S13" s="1054">
        <f t="shared" si="1"/>
        <v>0</v>
      </c>
      <c r="T13" s="1054">
        <f t="shared" si="10"/>
        <v>0</v>
      </c>
      <c r="U13" s="1055">
        <f t="shared" si="11"/>
        <v>0</v>
      </c>
      <c r="V13" s="231">
        <f t="shared" si="31"/>
        <v>45632</v>
      </c>
      <c r="W13" s="1053">
        <f t="shared" si="2"/>
        <v>0</v>
      </c>
      <c r="X13" s="1054">
        <f t="shared" si="3"/>
        <v>0</v>
      </c>
      <c r="Y13" s="1054">
        <f t="shared" si="4"/>
        <v>0</v>
      </c>
      <c r="Z13" s="1055">
        <f t="shared" si="5"/>
        <v>0</v>
      </c>
      <c r="AA13" s="822">
        <f>VLOOKUP(V13,CASSA!$B$114:$C$479,2,FALSE)</f>
        <v>0</v>
      </c>
      <c r="AB13" s="1053">
        <f t="shared" si="12"/>
        <v>0</v>
      </c>
      <c r="AC13" s="1054">
        <f t="shared" si="13"/>
        <v>0</v>
      </c>
      <c r="AD13" s="1054">
        <f t="shared" si="14"/>
        <v>0</v>
      </c>
      <c r="AE13" s="1055">
        <f t="shared" si="15"/>
        <v>0</v>
      </c>
      <c r="AF13" s="2"/>
      <c r="AG13" s="1090">
        <f t="shared" si="16"/>
        <v>0</v>
      </c>
      <c r="AH13" s="1091">
        <f t="shared" si="17"/>
        <v>0</v>
      </c>
      <c r="AI13" s="1054">
        <f t="shared" si="18"/>
        <v>0</v>
      </c>
      <c r="AJ13" s="1054">
        <f t="shared" si="19"/>
        <v>0</v>
      </c>
      <c r="AK13" s="1092">
        <f t="shared" si="6"/>
        <v>0</v>
      </c>
      <c r="AL13" s="2"/>
      <c r="AM13" s="1090">
        <f t="shared" si="7"/>
        <v>0</v>
      </c>
      <c r="AN13" s="1105">
        <f t="shared" si="20"/>
        <v>0</v>
      </c>
      <c r="AO13" s="1054">
        <f t="shared" si="21"/>
        <v>0</v>
      </c>
      <c r="AP13" s="1054">
        <f t="shared" si="22"/>
        <v>0</v>
      </c>
      <c r="AQ13" s="1092">
        <f t="shared" si="23"/>
        <v>0</v>
      </c>
      <c r="AR13" s="2"/>
      <c r="AS13" s="1090">
        <f t="shared" si="24"/>
        <v>0</v>
      </c>
      <c r="AT13" s="1091">
        <f t="shared" si="25"/>
        <v>0</v>
      </c>
      <c r="AU13" s="1054">
        <f t="shared" si="26"/>
        <v>0</v>
      </c>
      <c r="AV13" s="1054">
        <f t="shared" si="27"/>
        <v>0</v>
      </c>
      <c r="AW13" s="1092">
        <f t="shared" si="28"/>
        <v>0</v>
      </c>
      <c r="AX13" s="2"/>
      <c r="AY13" s="1090">
        <f t="shared" si="29"/>
        <v>0</v>
      </c>
      <c r="AZ13" s="1385"/>
      <c r="BA13" s="2"/>
    </row>
    <row r="14" spans="1:53" ht="20.25" customHeight="1" x14ac:dyDescent="0.2">
      <c r="A14" s="2"/>
      <c r="B14" s="18">
        <v>7</v>
      </c>
      <c r="C14" s="234">
        <f t="shared" si="30"/>
        <v>7</v>
      </c>
      <c r="D14" s="235">
        <f t="shared" si="8"/>
        <v>12</v>
      </c>
      <c r="E14" s="2159" t="str">
        <f t="shared" si="0"/>
        <v xml:space="preserve">attiva trim.  </v>
      </c>
      <c r="F14" s="2160"/>
      <c r="G14" s="237"/>
      <c r="H14" s="237"/>
      <c r="I14" s="828"/>
      <c r="J14" s="829"/>
      <c r="K14" s="237"/>
      <c r="L14" s="828"/>
      <c r="M14" s="829"/>
      <c r="N14" s="237"/>
      <c r="O14" s="828"/>
      <c r="P14" s="829"/>
      <c r="Q14" s="6"/>
      <c r="R14" s="1053">
        <f t="shared" si="9"/>
        <v>0</v>
      </c>
      <c r="S14" s="1054">
        <f t="shared" si="1"/>
        <v>0</v>
      </c>
      <c r="T14" s="1054">
        <f t="shared" si="10"/>
        <v>0</v>
      </c>
      <c r="U14" s="1055">
        <f t="shared" si="11"/>
        <v>0</v>
      </c>
      <c r="V14" s="231">
        <f t="shared" si="31"/>
        <v>45633</v>
      </c>
      <c r="W14" s="1053">
        <f t="shared" si="2"/>
        <v>0</v>
      </c>
      <c r="X14" s="1054">
        <f t="shared" si="3"/>
        <v>0</v>
      </c>
      <c r="Y14" s="1054">
        <f t="shared" si="4"/>
        <v>0</v>
      </c>
      <c r="Z14" s="1055">
        <f t="shared" si="5"/>
        <v>0</v>
      </c>
      <c r="AA14" s="822">
        <f>VLOOKUP(V14,CASSA!$B$114:$C$479,2,FALSE)</f>
        <v>0</v>
      </c>
      <c r="AB14" s="1053">
        <f t="shared" si="12"/>
        <v>0</v>
      </c>
      <c r="AC14" s="1054">
        <f t="shared" si="13"/>
        <v>0</v>
      </c>
      <c r="AD14" s="1054">
        <f t="shared" si="14"/>
        <v>0</v>
      </c>
      <c r="AE14" s="1055">
        <f t="shared" si="15"/>
        <v>0</v>
      </c>
      <c r="AF14" s="2"/>
      <c r="AG14" s="1090">
        <f t="shared" si="16"/>
        <v>0</v>
      </c>
      <c r="AH14" s="1091">
        <f t="shared" si="17"/>
        <v>0</v>
      </c>
      <c r="AI14" s="1054">
        <f t="shared" si="18"/>
        <v>0</v>
      </c>
      <c r="AJ14" s="1054">
        <f t="shared" si="19"/>
        <v>0</v>
      </c>
      <c r="AK14" s="1092">
        <f t="shared" si="6"/>
        <v>0</v>
      </c>
      <c r="AL14" s="2"/>
      <c r="AM14" s="1090">
        <f t="shared" si="7"/>
        <v>0</v>
      </c>
      <c r="AN14" s="1105">
        <f t="shared" si="20"/>
        <v>0</v>
      </c>
      <c r="AO14" s="1054">
        <f t="shared" si="21"/>
        <v>0</v>
      </c>
      <c r="AP14" s="1054">
        <f t="shared" si="22"/>
        <v>0</v>
      </c>
      <c r="AQ14" s="1092">
        <f t="shared" si="23"/>
        <v>0</v>
      </c>
      <c r="AR14" s="2"/>
      <c r="AS14" s="1090">
        <f t="shared" si="24"/>
        <v>0</v>
      </c>
      <c r="AT14" s="1091">
        <f t="shared" si="25"/>
        <v>0</v>
      </c>
      <c r="AU14" s="1054">
        <f t="shared" si="26"/>
        <v>0</v>
      </c>
      <c r="AV14" s="1054">
        <f t="shared" si="27"/>
        <v>0</v>
      </c>
      <c r="AW14" s="1092">
        <f t="shared" si="28"/>
        <v>0</v>
      </c>
      <c r="AX14" s="2"/>
      <c r="AY14" s="1090">
        <f t="shared" si="29"/>
        <v>0</v>
      </c>
      <c r="AZ14" s="1385"/>
      <c r="BA14" s="2"/>
    </row>
    <row r="15" spans="1:53" ht="20.25" customHeight="1" x14ac:dyDescent="0.2">
      <c r="A15" s="2"/>
      <c r="B15" s="18">
        <v>8</v>
      </c>
      <c r="C15" s="234">
        <f t="shared" si="30"/>
        <v>8</v>
      </c>
      <c r="D15" s="235">
        <f t="shared" si="8"/>
        <v>12</v>
      </c>
      <c r="E15" s="2159" t="str">
        <f t="shared" si="0"/>
        <v xml:space="preserve">attiva trim.  </v>
      </c>
      <c r="F15" s="2160"/>
      <c r="G15" s="237"/>
      <c r="H15" s="237"/>
      <c r="I15" s="828"/>
      <c r="J15" s="829"/>
      <c r="K15" s="237"/>
      <c r="L15" s="828"/>
      <c r="M15" s="829"/>
      <c r="N15" s="237"/>
      <c r="O15" s="828"/>
      <c r="P15" s="829"/>
      <c r="Q15" s="6"/>
      <c r="R15" s="1053">
        <f t="shared" si="9"/>
        <v>0</v>
      </c>
      <c r="S15" s="1054">
        <f t="shared" si="1"/>
        <v>0</v>
      </c>
      <c r="T15" s="1054">
        <f t="shared" si="10"/>
        <v>0</v>
      </c>
      <c r="U15" s="1055">
        <f t="shared" si="11"/>
        <v>0</v>
      </c>
      <c r="V15" s="231">
        <f t="shared" si="31"/>
        <v>45634</v>
      </c>
      <c r="W15" s="1053">
        <f t="shared" si="2"/>
        <v>0</v>
      </c>
      <c r="X15" s="1054">
        <f t="shared" si="3"/>
        <v>0</v>
      </c>
      <c r="Y15" s="1054">
        <f t="shared" si="4"/>
        <v>0</v>
      </c>
      <c r="Z15" s="1055">
        <f t="shared" si="5"/>
        <v>0</v>
      </c>
      <c r="AA15" s="822">
        <f>VLOOKUP(V15,CASSA!$B$114:$C$479,2,FALSE)</f>
        <v>0</v>
      </c>
      <c r="AB15" s="1053">
        <f t="shared" si="12"/>
        <v>0</v>
      </c>
      <c r="AC15" s="1054">
        <f t="shared" si="13"/>
        <v>0</v>
      </c>
      <c r="AD15" s="1054">
        <f t="shared" si="14"/>
        <v>0</v>
      </c>
      <c r="AE15" s="1055">
        <f t="shared" si="15"/>
        <v>0</v>
      </c>
      <c r="AF15" s="2"/>
      <c r="AG15" s="1090">
        <f t="shared" si="16"/>
        <v>0</v>
      </c>
      <c r="AH15" s="1091">
        <f t="shared" si="17"/>
        <v>0</v>
      </c>
      <c r="AI15" s="1054">
        <f t="shared" si="18"/>
        <v>0</v>
      </c>
      <c r="AJ15" s="1054">
        <f t="shared" si="19"/>
        <v>0</v>
      </c>
      <c r="AK15" s="1092">
        <f t="shared" si="6"/>
        <v>0</v>
      </c>
      <c r="AL15" s="2"/>
      <c r="AM15" s="1090">
        <f t="shared" si="7"/>
        <v>0</v>
      </c>
      <c r="AN15" s="1105">
        <f t="shared" si="20"/>
        <v>0</v>
      </c>
      <c r="AO15" s="1054">
        <f t="shared" si="21"/>
        <v>0</v>
      </c>
      <c r="AP15" s="1054">
        <f t="shared" si="22"/>
        <v>0</v>
      </c>
      <c r="AQ15" s="1092">
        <f t="shared" si="23"/>
        <v>0</v>
      </c>
      <c r="AR15" s="2"/>
      <c r="AS15" s="1090">
        <f t="shared" si="24"/>
        <v>0</v>
      </c>
      <c r="AT15" s="1091">
        <f t="shared" si="25"/>
        <v>0</v>
      </c>
      <c r="AU15" s="1054">
        <f t="shared" si="26"/>
        <v>0</v>
      </c>
      <c r="AV15" s="1054">
        <f t="shared" si="27"/>
        <v>0</v>
      </c>
      <c r="AW15" s="1092">
        <f t="shared" si="28"/>
        <v>0</v>
      </c>
      <c r="AX15" s="2"/>
      <c r="AY15" s="1090">
        <f t="shared" si="29"/>
        <v>0</v>
      </c>
      <c r="AZ15" s="1385"/>
      <c r="BA15" s="2"/>
    </row>
    <row r="16" spans="1:53" ht="20.25" customHeight="1" x14ac:dyDescent="0.2">
      <c r="A16" s="2"/>
      <c r="B16" s="18">
        <v>9</v>
      </c>
      <c r="C16" s="234">
        <f t="shared" si="30"/>
        <v>9</v>
      </c>
      <c r="D16" s="235">
        <f t="shared" si="8"/>
        <v>12</v>
      </c>
      <c r="E16" s="2159" t="str">
        <f t="shared" si="0"/>
        <v xml:space="preserve">attiva trim.  </v>
      </c>
      <c r="F16" s="2160"/>
      <c r="G16" s="237"/>
      <c r="H16" s="237"/>
      <c r="I16" s="828"/>
      <c r="J16" s="829"/>
      <c r="K16" s="237"/>
      <c r="L16" s="828"/>
      <c r="M16" s="829"/>
      <c r="N16" s="237"/>
      <c r="O16" s="828"/>
      <c r="P16" s="829"/>
      <c r="Q16" s="6"/>
      <c r="R16" s="1053">
        <f t="shared" si="9"/>
        <v>0</v>
      </c>
      <c r="S16" s="1054">
        <f t="shared" si="1"/>
        <v>0</v>
      </c>
      <c r="T16" s="1054">
        <f t="shared" si="10"/>
        <v>0</v>
      </c>
      <c r="U16" s="1055">
        <f t="shared" si="11"/>
        <v>0</v>
      </c>
      <c r="V16" s="231">
        <f t="shared" si="31"/>
        <v>45635</v>
      </c>
      <c r="W16" s="1053">
        <f t="shared" si="2"/>
        <v>0</v>
      </c>
      <c r="X16" s="1054">
        <f t="shared" si="3"/>
        <v>0</v>
      </c>
      <c r="Y16" s="1054">
        <f t="shared" si="4"/>
        <v>0</v>
      </c>
      <c r="Z16" s="1055">
        <f t="shared" si="5"/>
        <v>0</v>
      </c>
      <c r="AA16" s="822">
        <f>VLOOKUP(V16,CASSA!$B$114:$C$479,2,FALSE)</f>
        <v>0</v>
      </c>
      <c r="AB16" s="1053">
        <f t="shared" si="12"/>
        <v>0</v>
      </c>
      <c r="AC16" s="1054">
        <f t="shared" si="13"/>
        <v>0</v>
      </c>
      <c r="AD16" s="1054">
        <f t="shared" si="14"/>
        <v>0</v>
      </c>
      <c r="AE16" s="1055">
        <f t="shared" si="15"/>
        <v>0</v>
      </c>
      <c r="AF16" s="2"/>
      <c r="AG16" s="1090">
        <f t="shared" si="16"/>
        <v>0</v>
      </c>
      <c r="AH16" s="1091">
        <f t="shared" si="17"/>
        <v>0</v>
      </c>
      <c r="AI16" s="1054">
        <f t="shared" si="18"/>
        <v>0</v>
      </c>
      <c r="AJ16" s="1054">
        <f t="shared" si="19"/>
        <v>0</v>
      </c>
      <c r="AK16" s="1092">
        <f t="shared" si="6"/>
        <v>0</v>
      </c>
      <c r="AL16" s="2"/>
      <c r="AM16" s="1090">
        <f t="shared" si="7"/>
        <v>0</v>
      </c>
      <c r="AN16" s="1105">
        <f t="shared" si="20"/>
        <v>0</v>
      </c>
      <c r="AO16" s="1054">
        <f t="shared" si="21"/>
        <v>0</v>
      </c>
      <c r="AP16" s="1054">
        <f t="shared" si="22"/>
        <v>0</v>
      </c>
      <c r="AQ16" s="1092">
        <f t="shared" si="23"/>
        <v>0</v>
      </c>
      <c r="AR16" s="2"/>
      <c r="AS16" s="1090">
        <f t="shared" si="24"/>
        <v>0</v>
      </c>
      <c r="AT16" s="1091">
        <f t="shared" si="25"/>
        <v>0</v>
      </c>
      <c r="AU16" s="1054">
        <f t="shared" si="26"/>
        <v>0</v>
      </c>
      <c r="AV16" s="1054">
        <f t="shared" si="27"/>
        <v>0</v>
      </c>
      <c r="AW16" s="1092">
        <f t="shared" si="28"/>
        <v>0</v>
      </c>
      <c r="AX16" s="2"/>
      <c r="AY16" s="1090">
        <f t="shared" si="29"/>
        <v>0</v>
      </c>
      <c r="AZ16" s="1385"/>
      <c r="BA16" s="2"/>
    </row>
    <row r="17" spans="1:53" ht="20.25" customHeight="1" x14ac:dyDescent="0.2">
      <c r="A17" s="2"/>
      <c r="B17" s="18">
        <v>10</v>
      </c>
      <c r="C17" s="234">
        <f t="shared" si="30"/>
        <v>10</v>
      </c>
      <c r="D17" s="235">
        <f t="shared" si="8"/>
        <v>12</v>
      </c>
      <c r="E17" s="2159" t="str">
        <f t="shared" si="0"/>
        <v xml:space="preserve">attiva trim.  </v>
      </c>
      <c r="F17" s="2160"/>
      <c r="G17" s="237"/>
      <c r="H17" s="237"/>
      <c r="I17" s="828"/>
      <c r="J17" s="829"/>
      <c r="K17" s="237"/>
      <c r="L17" s="828"/>
      <c r="M17" s="829"/>
      <c r="N17" s="237"/>
      <c r="O17" s="828"/>
      <c r="P17" s="829"/>
      <c r="Q17" s="6"/>
      <c r="R17" s="1053">
        <f t="shared" si="9"/>
        <v>0</v>
      </c>
      <c r="S17" s="1054">
        <f t="shared" si="1"/>
        <v>0</v>
      </c>
      <c r="T17" s="1054">
        <f t="shared" si="10"/>
        <v>0</v>
      </c>
      <c r="U17" s="1055">
        <f t="shared" si="11"/>
        <v>0</v>
      </c>
      <c r="V17" s="231">
        <f t="shared" si="31"/>
        <v>45636</v>
      </c>
      <c r="W17" s="1053">
        <f t="shared" si="2"/>
        <v>0</v>
      </c>
      <c r="X17" s="1054">
        <f t="shared" si="3"/>
        <v>0</v>
      </c>
      <c r="Y17" s="1054">
        <f t="shared" si="4"/>
        <v>0</v>
      </c>
      <c r="Z17" s="1055">
        <f t="shared" si="5"/>
        <v>0</v>
      </c>
      <c r="AA17" s="822">
        <f>VLOOKUP(V17,CASSA!$B$114:$C$479,2,FALSE)</f>
        <v>0</v>
      </c>
      <c r="AB17" s="1053">
        <f t="shared" si="12"/>
        <v>0</v>
      </c>
      <c r="AC17" s="1054">
        <f t="shared" si="13"/>
        <v>0</v>
      </c>
      <c r="AD17" s="1054">
        <f t="shared" si="14"/>
        <v>0</v>
      </c>
      <c r="AE17" s="1055">
        <f t="shared" si="15"/>
        <v>0</v>
      </c>
      <c r="AF17" s="2"/>
      <c r="AG17" s="1090">
        <f t="shared" si="16"/>
        <v>0</v>
      </c>
      <c r="AH17" s="1091">
        <f t="shared" si="17"/>
        <v>0</v>
      </c>
      <c r="AI17" s="1054">
        <f t="shared" si="18"/>
        <v>0</v>
      </c>
      <c r="AJ17" s="1054">
        <f t="shared" si="19"/>
        <v>0</v>
      </c>
      <c r="AK17" s="1092">
        <f t="shared" si="6"/>
        <v>0</v>
      </c>
      <c r="AL17" s="2"/>
      <c r="AM17" s="1090">
        <f t="shared" si="7"/>
        <v>0</v>
      </c>
      <c r="AN17" s="1105">
        <f t="shared" si="20"/>
        <v>0</v>
      </c>
      <c r="AO17" s="1054">
        <f t="shared" si="21"/>
        <v>0</v>
      </c>
      <c r="AP17" s="1054">
        <f t="shared" si="22"/>
        <v>0</v>
      </c>
      <c r="AQ17" s="1092">
        <f t="shared" si="23"/>
        <v>0</v>
      </c>
      <c r="AR17" s="2"/>
      <c r="AS17" s="1090">
        <f t="shared" si="24"/>
        <v>0</v>
      </c>
      <c r="AT17" s="1091">
        <f t="shared" si="25"/>
        <v>0</v>
      </c>
      <c r="AU17" s="1054">
        <f t="shared" si="26"/>
        <v>0</v>
      </c>
      <c r="AV17" s="1054">
        <f t="shared" si="27"/>
        <v>0</v>
      </c>
      <c r="AW17" s="1092">
        <f t="shared" si="28"/>
        <v>0</v>
      </c>
      <c r="AX17" s="2"/>
      <c r="AY17" s="1090">
        <f t="shared" si="29"/>
        <v>0</v>
      </c>
      <c r="AZ17" s="1385"/>
      <c r="BA17" s="2"/>
    </row>
    <row r="18" spans="1:53" ht="20.25" customHeight="1" x14ac:dyDescent="0.2">
      <c r="A18" s="2"/>
      <c r="B18" s="18">
        <v>11</v>
      </c>
      <c r="C18" s="234">
        <f t="shared" si="30"/>
        <v>11</v>
      </c>
      <c r="D18" s="235">
        <f t="shared" si="8"/>
        <v>12</v>
      </c>
      <c r="E18" s="2159" t="str">
        <f t="shared" si="0"/>
        <v xml:space="preserve">attiva trim.  </v>
      </c>
      <c r="F18" s="2160"/>
      <c r="G18" s="237"/>
      <c r="H18" s="237"/>
      <c r="I18" s="828"/>
      <c r="J18" s="829"/>
      <c r="K18" s="237"/>
      <c r="L18" s="828"/>
      <c r="M18" s="829"/>
      <c r="N18" s="237"/>
      <c r="O18" s="828"/>
      <c r="P18" s="829"/>
      <c r="Q18" s="6"/>
      <c r="R18" s="1053">
        <f t="shared" si="9"/>
        <v>0</v>
      </c>
      <c r="S18" s="1054">
        <f t="shared" si="1"/>
        <v>0</v>
      </c>
      <c r="T18" s="1054">
        <f t="shared" si="10"/>
        <v>0</v>
      </c>
      <c r="U18" s="1055">
        <f t="shared" si="11"/>
        <v>0</v>
      </c>
      <c r="V18" s="231">
        <f t="shared" si="31"/>
        <v>45637</v>
      </c>
      <c r="W18" s="1053">
        <f t="shared" si="2"/>
        <v>0</v>
      </c>
      <c r="X18" s="1054">
        <f t="shared" si="3"/>
        <v>0</v>
      </c>
      <c r="Y18" s="1054">
        <f t="shared" si="4"/>
        <v>0</v>
      </c>
      <c r="Z18" s="1055">
        <f t="shared" si="5"/>
        <v>0</v>
      </c>
      <c r="AA18" s="822">
        <f>VLOOKUP(V18,CASSA!$B$114:$C$479,2,FALSE)</f>
        <v>0</v>
      </c>
      <c r="AB18" s="1053">
        <f t="shared" si="12"/>
        <v>0</v>
      </c>
      <c r="AC18" s="1054">
        <f t="shared" si="13"/>
        <v>0</v>
      </c>
      <c r="AD18" s="1054">
        <f t="shared" si="14"/>
        <v>0</v>
      </c>
      <c r="AE18" s="1055">
        <f t="shared" si="15"/>
        <v>0</v>
      </c>
      <c r="AF18" s="2"/>
      <c r="AG18" s="1090">
        <f t="shared" si="16"/>
        <v>0</v>
      </c>
      <c r="AH18" s="1091">
        <f t="shared" si="17"/>
        <v>0</v>
      </c>
      <c r="AI18" s="1054">
        <f t="shared" si="18"/>
        <v>0</v>
      </c>
      <c r="AJ18" s="1054">
        <f t="shared" si="19"/>
        <v>0</v>
      </c>
      <c r="AK18" s="1092">
        <f t="shared" si="6"/>
        <v>0</v>
      </c>
      <c r="AL18" s="2"/>
      <c r="AM18" s="1090">
        <f t="shared" si="7"/>
        <v>0</v>
      </c>
      <c r="AN18" s="1105">
        <f t="shared" si="20"/>
        <v>0</v>
      </c>
      <c r="AO18" s="1054">
        <f t="shared" si="21"/>
        <v>0</v>
      </c>
      <c r="AP18" s="1054">
        <f t="shared" si="22"/>
        <v>0</v>
      </c>
      <c r="AQ18" s="1092">
        <f t="shared" si="23"/>
        <v>0</v>
      </c>
      <c r="AR18" s="2"/>
      <c r="AS18" s="1090">
        <f t="shared" si="24"/>
        <v>0</v>
      </c>
      <c r="AT18" s="1091">
        <f t="shared" si="25"/>
        <v>0</v>
      </c>
      <c r="AU18" s="1054">
        <f t="shared" si="26"/>
        <v>0</v>
      </c>
      <c r="AV18" s="1054">
        <f t="shared" si="27"/>
        <v>0</v>
      </c>
      <c r="AW18" s="1092">
        <f t="shared" si="28"/>
        <v>0</v>
      </c>
      <c r="AX18" s="2"/>
      <c r="AY18" s="1090">
        <f t="shared" si="29"/>
        <v>0</v>
      </c>
      <c r="AZ18" s="1385"/>
      <c r="BA18" s="2"/>
    </row>
    <row r="19" spans="1:53" ht="20.25" customHeight="1" x14ac:dyDescent="0.2">
      <c r="A19" s="2"/>
      <c r="B19" s="18">
        <v>12</v>
      </c>
      <c r="C19" s="234">
        <f t="shared" si="30"/>
        <v>12</v>
      </c>
      <c r="D19" s="235">
        <f t="shared" si="8"/>
        <v>12</v>
      </c>
      <c r="E19" s="2159" t="str">
        <f t="shared" si="0"/>
        <v xml:space="preserve">attiva trim.  </v>
      </c>
      <c r="F19" s="2160"/>
      <c r="G19" s="237"/>
      <c r="H19" s="237"/>
      <c r="I19" s="828"/>
      <c r="J19" s="829"/>
      <c r="K19" s="237"/>
      <c r="L19" s="828"/>
      <c r="M19" s="829"/>
      <c r="N19" s="237"/>
      <c r="O19" s="828"/>
      <c r="P19" s="829"/>
      <c r="Q19" s="6"/>
      <c r="R19" s="1053">
        <f t="shared" si="9"/>
        <v>0</v>
      </c>
      <c r="S19" s="1054">
        <f t="shared" si="1"/>
        <v>0</v>
      </c>
      <c r="T19" s="1054">
        <f t="shared" si="10"/>
        <v>0</v>
      </c>
      <c r="U19" s="1055">
        <f t="shared" si="11"/>
        <v>0</v>
      </c>
      <c r="V19" s="231">
        <f t="shared" si="31"/>
        <v>45638</v>
      </c>
      <c r="W19" s="1053">
        <f t="shared" si="2"/>
        <v>0</v>
      </c>
      <c r="X19" s="1054">
        <f t="shared" si="3"/>
        <v>0</v>
      </c>
      <c r="Y19" s="1054">
        <f t="shared" si="4"/>
        <v>0</v>
      </c>
      <c r="Z19" s="1055">
        <f t="shared" si="5"/>
        <v>0</v>
      </c>
      <c r="AA19" s="822">
        <f>VLOOKUP(V19,CASSA!$B$114:$C$479,2,FALSE)</f>
        <v>0</v>
      </c>
      <c r="AB19" s="1053">
        <f t="shared" si="12"/>
        <v>0</v>
      </c>
      <c r="AC19" s="1054">
        <f t="shared" si="13"/>
        <v>0</v>
      </c>
      <c r="AD19" s="1054">
        <f t="shared" si="14"/>
        <v>0</v>
      </c>
      <c r="AE19" s="1055">
        <f t="shared" si="15"/>
        <v>0</v>
      </c>
      <c r="AF19" s="2"/>
      <c r="AG19" s="1090">
        <f t="shared" si="16"/>
        <v>0</v>
      </c>
      <c r="AH19" s="1091">
        <f t="shared" si="17"/>
        <v>0</v>
      </c>
      <c r="AI19" s="1054">
        <f t="shared" si="18"/>
        <v>0</v>
      </c>
      <c r="AJ19" s="1054">
        <f t="shared" si="19"/>
        <v>0</v>
      </c>
      <c r="AK19" s="1092">
        <f t="shared" si="6"/>
        <v>0</v>
      </c>
      <c r="AL19" s="2"/>
      <c r="AM19" s="1090">
        <f t="shared" si="7"/>
        <v>0</v>
      </c>
      <c r="AN19" s="1105">
        <f t="shared" si="20"/>
        <v>0</v>
      </c>
      <c r="AO19" s="1054">
        <f t="shared" si="21"/>
        <v>0</v>
      </c>
      <c r="AP19" s="1054">
        <f t="shared" si="22"/>
        <v>0</v>
      </c>
      <c r="AQ19" s="1092">
        <f t="shared" si="23"/>
        <v>0</v>
      </c>
      <c r="AR19" s="2"/>
      <c r="AS19" s="1090">
        <f t="shared" si="24"/>
        <v>0</v>
      </c>
      <c r="AT19" s="1091">
        <f t="shared" si="25"/>
        <v>0</v>
      </c>
      <c r="AU19" s="1054">
        <f t="shared" si="26"/>
        <v>0</v>
      </c>
      <c r="AV19" s="1054">
        <f t="shared" si="27"/>
        <v>0</v>
      </c>
      <c r="AW19" s="1092">
        <f t="shared" si="28"/>
        <v>0</v>
      </c>
      <c r="AX19" s="2"/>
      <c r="AY19" s="1090">
        <f t="shared" si="29"/>
        <v>0</v>
      </c>
      <c r="AZ19" s="1385"/>
      <c r="BA19" s="2"/>
    </row>
    <row r="20" spans="1:53" ht="20.25" customHeight="1" x14ac:dyDescent="0.2">
      <c r="A20" s="2"/>
      <c r="B20" s="18">
        <v>13</v>
      </c>
      <c r="C20" s="234">
        <f t="shared" si="30"/>
        <v>13</v>
      </c>
      <c r="D20" s="235">
        <f t="shared" si="8"/>
        <v>12</v>
      </c>
      <c r="E20" s="2159" t="str">
        <f t="shared" si="0"/>
        <v xml:space="preserve">attiva trim.  </v>
      </c>
      <c r="F20" s="2160"/>
      <c r="G20" s="237"/>
      <c r="H20" s="237"/>
      <c r="I20" s="828"/>
      <c r="J20" s="829"/>
      <c r="K20" s="237"/>
      <c r="L20" s="828"/>
      <c r="M20" s="829"/>
      <c r="N20" s="237"/>
      <c r="O20" s="828"/>
      <c r="P20" s="829"/>
      <c r="Q20" s="6"/>
      <c r="R20" s="1053">
        <f t="shared" si="9"/>
        <v>0</v>
      </c>
      <c r="S20" s="1054">
        <f t="shared" si="1"/>
        <v>0</v>
      </c>
      <c r="T20" s="1054">
        <f t="shared" si="10"/>
        <v>0</v>
      </c>
      <c r="U20" s="1055">
        <f t="shared" si="11"/>
        <v>0</v>
      </c>
      <c r="V20" s="231">
        <f t="shared" si="31"/>
        <v>45639</v>
      </c>
      <c r="W20" s="1053">
        <f t="shared" si="2"/>
        <v>0</v>
      </c>
      <c r="X20" s="1054">
        <f t="shared" si="3"/>
        <v>0</v>
      </c>
      <c r="Y20" s="1054">
        <f t="shared" si="4"/>
        <v>0</v>
      </c>
      <c r="Z20" s="1055">
        <f t="shared" si="5"/>
        <v>0</v>
      </c>
      <c r="AA20" s="822">
        <f>VLOOKUP(V20,CASSA!$B$114:$C$479,2,FALSE)</f>
        <v>0</v>
      </c>
      <c r="AB20" s="1053">
        <f t="shared" si="12"/>
        <v>0</v>
      </c>
      <c r="AC20" s="1054">
        <f t="shared" si="13"/>
        <v>0</v>
      </c>
      <c r="AD20" s="1054">
        <f t="shared" si="14"/>
        <v>0</v>
      </c>
      <c r="AE20" s="1055">
        <f t="shared" si="15"/>
        <v>0</v>
      </c>
      <c r="AF20" s="2"/>
      <c r="AG20" s="1090">
        <f t="shared" si="16"/>
        <v>0</v>
      </c>
      <c r="AH20" s="1091">
        <f t="shared" si="17"/>
        <v>0</v>
      </c>
      <c r="AI20" s="1054">
        <f t="shared" si="18"/>
        <v>0</v>
      </c>
      <c r="AJ20" s="1054">
        <f t="shared" si="19"/>
        <v>0</v>
      </c>
      <c r="AK20" s="1092">
        <f t="shared" si="6"/>
        <v>0</v>
      </c>
      <c r="AL20" s="2"/>
      <c r="AM20" s="1090">
        <f t="shared" si="7"/>
        <v>0</v>
      </c>
      <c r="AN20" s="1105">
        <f t="shared" si="20"/>
        <v>0</v>
      </c>
      <c r="AO20" s="1054">
        <f t="shared" si="21"/>
        <v>0</v>
      </c>
      <c r="AP20" s="1054">
        <f t="shared" si="22"/>
        <v>0</v>
      </c>
      <c r="AQ20" s="1092">
        <f t="shared" si="23"/>
        <v>0</v>
      </c>
      <c r="AR20" s="2"/>
      <c r="AS20" s="1090">
        <f t="shared" si="24"/>
        <v>0</v>
      </c>
      <c r="AT20" s="1091">
        <f t="shared" si="25"/>
        <v>0</v>
      </c>
      <c r="AU20" s="1054">
        <f t="shared" si="26"/>
        <v>0</v>
      </c>
      <c r="AV20" s="1054">
        <f t="shared" si="27"/>
        <v>0</v>
      </c>
      <c r="AW20" s="1092">
        <f t="shared" si="28"/>
        <v>0</v>
      </c>
      <c r="AX20" s="2"/>
      <c r="AY20" s="1090">
        <f t="shared" si="29"/>
        <v>0</v>
      </c>
      <c r="AZ20" s="1385"/>
      <c r="BA20" s="2"/>
    </row>
    <row r="21" spans="1:53" ht="20.25" customHeight="1" x14ac:dyDescent="0.2">
      <c r="A21" s="2"/>
      <c r="B21" s="18">
        <v>14</v>
      </c>
      <c r="C21" s="234">
        <f t="shared" si="30"/>
        <v>14</v>
      </c>
      <c r="D21" s="235">
        <f t="shared" si="8"/>
        <v>12</v>
      </c>
      <c r="E21" s="2159" t="str">
        <f t="shared" si="0"/>
        <v xml:space="preserve">attiva trim.  </v>
      </c>
      <c r="F21" s="2160"/>
      <c r="G21" s="237"/>
      <c r="H21" s="237"/>
      <c r="I21" s="828"/>
      <c r="J21" s="829"/>
      <c r="K21" s="237"/>
      <c r="L21" s="828"/>
      <c r="M21" s="829"/>
      <c r="N21" s="237"/>
      <c r="O21" s="828"/>
      <c r="P21" s="829"/>
      <c r="Q21" s="6"/>
      <c r="R21" s="1053">
        <f t="shared" si="9"/>
        <v>0</v>
      </c>
      <c r="S21" s="1054">
        <f t="shared" si="1"/>
        <v>0</v>
      </c>
      <c r="T21" s="1054">
        <f t="shared" si="10"/>
        <v>0</v>
      </c>
      <c r="U21" s="1055">
        <f t="shared" si="11"/>
        <v>0</v>
      </c>
      <c r="V21" s="231">
        <f t="shared" si="31"/>
        <v>45640</v>
      </c>
      <c r="W21" s="1053">
        <f t="shared" si="2"/>
        <v>0</v>
      </c>
      <c r="X21" s="1054">
        <f t="shared" si="3"/>
        <v>0</v>
      </c>
      <c r="Y21" s="1054">
        <f t="shared" si="4"/>
        <v>0</v>
      </c>
      <c r="Z21" s="1055">
        <f t="shared" si="5"/>
        <v>0</v>
      </c>
      <c r="AA21" s="822">
        <f>VLOOKUP(V21,CASSA!$B$114:$C$479,2,FALSE)</f>
        <v>0</v>
      </c>
      <c r="AB21" s="1053">
        <f t="shared" si="12"/>
        <v>0</v>
      </c>
      <c r="AC21" s="1054">
        <f t="shared" si="13"/>
        <v>0</v>
      </c>
      <c r="AD21" s="1054">
        <f t="shared" si="14"/>
        <v>0</v>
      </c>
      <c r="AE21" s="1055">
        <f t="shared" si="15"/>
        <v>0</v>
      </c>
      <c r="AF21" s="2"/>
      <c r="AG21" s="1090">
        <f t="shared" si="16"/>
        <v>0</v>
      </c>
      <c r="AH21" s="1091">
        <f t="shared" si="17"/>
        <v>0</v>
      </c>
      <c r="AI21" s="1054">
        <f t="shared" si="18"/>
        <v>0</v>
      </c>
      <c r="AJ21" s="1054">
        <f t="shared" si="19"/>
        <v>0</v>
      </c>
      <c r="AK21" s="1092">
        <f t="shared" si="6"/>
        <v>0</v>
      </c>
      <c r="AL21" s="2"/>
      <c r="AM21" s="1090">
        <f t="shared" si="7"/>
        <v>0</v>
      </c>
      <c r="AN21" s="1105">
        <f t="shared" si="20"/>
        <v>0</v>
      </c>
      <c r="AO21" s="1054">
        <f t="shared" si="21"/>
        <v>0</v>
      </c>
      <c r="AP21" s="1054">
        <f t="shared" si="22"/>
        <v>0</v>
      </c>
      <c r="AQ21" s="1092">
        <f t="shared" si="23"/>
        <v>0</v>
      </c>
      <c r="AR21" s="2"/>
      <c r="AS21" s="1090">
        <f t="shared" si="24"/>
        <v>0</v>
      </c>
      <c r="AT21" s="1091">
        <f t="shared" si="25"/>
        <v>0</v>
      </c>
      <c r="AU21" s="1054">
        <f t="shared" si="26"/>
        <v>0</v>
      </c>
      <c r="AV21" s="1054">
        <f t="shared" si="27"/>
        <v>0</v>
      </c>
      <c r="AW21" s="1092">
        <f t="shared" si="28"/>
        <v>0</v>
      </c>
      <c r="AX21" s="2"/>
      <c r="AY21" s="1090">
        <f t="shared" si="29"/>
        <v>0</v>
      </c>
      <c r="AZ21" s="1385"/>
      <c r="BA21" s="2"/>
    </row>
    <row r="22" spans="1:53" ht="20.25" customHeight="1" x14ac:dyDescent="0.2">
      <c r="A22" s="2"/>
      <c r="B22" s="18">
        <v>15</v>
      </c>
      <c r="C22" s="234">
        <f t="shared" si="30"/>
        <v>15</v>
      </c>
      <c r="D22" s="235">
        <f t="shared" si="8"/>
        <v>12</v>
      </c>
      <c r="E22" s="2159" t="str">
        <f t="shared" si="0"/>
        <v xml:space="preserve">attiva trim.  </v>
      </c>
      <c r="F22" s="2160"/>
      <c r="G22" s="237"/>
      <c r="H22" s="237"/>
      <c r="I22" s="828"/>
      <c r="J22" s="829"/>
      <c r="K22" s="237"/>
      <c r="L22" s="828"/>
      <c r="M22" s="829"/>
      <c r="N22" s="237"/>
      <c r="O22" s="828"/>
      <c r="P22" s="829"/>
      <c r="Q22" s="6"/>
      <c r="R22" s="1053">
        <f t="shared" si="9"/>
        <v>0</v>
      </c>
      <c r="S22" s="1054">
        <f t="shared" si="1"/>
        <v>0</v>
      </c>
      <c r="T22" s="1054">
        <f t="shared" si="10"/>
        <v>0</v>
      </c>
      <c r="U22" s="1055">
        <f t="shared" si="11"/>
        <v>0</v>
      </c>
      <c r="V22" s="231">
        <f t="shared" si="31"/>
        <v>45641</v>
      </c>
      <c r="W22" s="1053">
        <f t="shared" si="2"/>
        <v>0</v>
      </c>
      <c r="X22" s="1054">
        <f t="shared" si="3"/>
        <v>0</v>
      </c>
      <c r="Y22" s="1054">
        <f t="shared" si="4"/>
        <v>0</v>
      </c>
      <c r="Z22" s="1055">
        <f t="shared" si="5"/>
        <v>0</v>
      </c>
      <c r="AA22" s="822">
        <f>VLOOKUP(V22,CASSA!$B$114:$C$479,2,FALSE)</f>
        <v>0</v>
      </c>
      <c r="AB22" s="1053">
        <f t="shared" si="12"/>
        <v>0</v>
      </c>
      <c r="AC22" s="1054">
        <f t="shared" si="13"/>
        <v>0</v>
      </c>
      <c r="AD22" s="1054">
        <f t="shared" si="14"/>
        <v>0</v>
      </c>
      <c r="AE22" s="1055">
        <f t="shared" si="15"/>
        <v>0</v>
      </c>
      <c r="AF22" s="2"/>
      <c r="AG22" s="1090">
        <f t="shared" si="16"/>
        <v>0</v>
      </c>
      <c r="AH22" s="1091">
        <f t="shared" si="17"/>
        <v>0</v>
      </c>
      <c r="AI22" s="1054">
        <f t="shared" si="18"/>
        <v>0</v>
      </c>
      <c r="AJ22" s="1054">
        <f t="shared" si="19"/>
        <v>0</v>
      </c>
      <c r="AK22" s="1092">
        <f t="shared" si="6"/>
        <v>0</v>
      </c>
      <c r="AL22" s="2"/>
      <c r="AM22" s="1090">
        <f t="shared" si="7"/>
        <v>0</v>
      </c>
      <c r="AN22" s="1105">
        <f t="shared" si="20"/>
        <v>0</v>
      </c>
      <c r="AO22" s="1054">
        <f t="shared" si="21"/>
        <v>0</v>
      </c>
      <c r="AP22" s="1054">
        <f t="shared" si="22"/>
        <v>0</v>
      </c>
      <c r="AQ22" s="1092">
        <f t="shared" si="23"/>
        <v>0</v>
      </c>
      <c r="AR22" s="2"/>
      <c r="AS22" s="1090">
        <f t="shared" si="24"/>
        <v>0</v>
      </c>
      <c r="AT22" s="1091">
        <f t="shared" si="25"/>
        <v>0</v>
      </c>
      <c r="AU22" s="1054">
        <f t="shared" si="26"/>
        <v>0</v>
      </c>
      <c r="AV22" s="1054">
        <f t="shared" si="27"/>
        <v>0</v>
      </c>
      <c r="AW22" s="1092">
        <f t="shared" si="28"/>
        <v>0</v>
      </c>
      <c r="AX22" s="2"/>
      <c r="AY22" s="1090">
        <f t="shared" si="29"/>
        <v>0</v>
      </c>
      <c r="AZ22" s="1385"/>
      <c r="BA22" s="2"/>
    </row>
    <row r="23" spans="1:53" ht="20.25" customHeight="1" x14ac:dyDescent="0.2">
      <c r="A23" s="2"/>
      <c r="B23" s="18">
        <v>16</v>
      </c>
      <c r="C23" s="234">
        <f t="shared" si="30"/>
        <v>16</v>
      </c>
      <c r="D23" s="235">
        <f t="shared" si="8"/>
        <v>12</v>
      </c>
      <c r="E23" s="2159" t="str">
        <f t="shared" si="0"/>
        <v xml:space="preserve">attiva trim.  </v>
      </c>
      <c r="F23" s="2160"/>
      <c r="G23" s="237"/>
      <c r="H23" s="237"/>
      <c r="I23" s="828"/>
      <c r="J23" s="829"/>
      <c r="K23" s="237"/>
      <c r="L23" s="828"/>
      <c r="M23" s="829"/>
      <c r="N23" s="237"/>
      <c r="O23" s="828"/>
      <c r="P23" s="829"/>
      <c r="Q23" s="6"/>
      <c r="R23" s="1053">
        <f t="shared" si="9"/>
        <v>0</v>
      </c>
      <c r="S23" s="1054">
        <f t="shared" si="1"/>
        <v>0</v>
      </c>
      <c r="T23" s="1054">
        <f t="shared" si="10"/>
        <v>0</v>
      </c>
      <c r="U23" s="1055">
        <f t="shared" si="11"/>
        <v>0</v>
      </c>
      <c r="V23" s="231">
        <f t="shared" si="31"/>
        <v>45642</v>
      </c>
      <c r="W23" s="1053">
        <f t="shared" si="2"/>
        <v>0</v>
      </c>
      <c r="X23" s="1054">
        <f t="shared" si="3"/>
        <v>0</v>
      </c>
      <c r="Y23" s="1054">
        <f t="shared" si="4"/>
        <v>0</v>
      </c>
      <c r="Z23" s="1055">
        <f t="shared" si="5"/>
        <v>0</v>
      </c>
      <c r="AA23" s="822">
        <f>VLOOKUP(V23,CASSA!$B$114:$C$479,2,FALSE)</f>
        <v>0</v>
      </c>
      <c r="AB23" s="1053">
        <f t="shared" si="12"/>
        <v>0</v>
      </c>
      <c r="AC23" s="1054">
        <f t="shared" si="13"/>
        <v>0</v>
      </c>
      <c r="AD23" s="1054">
        <f t="shared" si="14"/>
        <v>0</v>
      </c>
      <c r="AE23" s="1055">
        <f t="shared" si="15"/>
        <v>0</v>
      </c>
      <c r="AF23" s="2"/>
      <c r="AG23" s="1090">
        <f t="shared" si="16"/>
        <v>0</v>
      </c>
      <c r="AH23" s="1091">
        <f t="shared" si="17"/>
        <v>0</v>
      </c>
      <c r="AI23" s="1054">
        <f t="shared" si="18"/>
        <v>0</v>
      </c>
      <c r="AJ23" s="1054">
        <f t="shared" si="19"/>
        <v>0</v>
      </c>
      <c r="AK23" s="1092">
        <f t="shared" si="6"/>
        <v>0</v>
      </c>
      <c r="AL23" s="2"/>
      <c r="AM23" s="1090">
        <f t="shared" si="7"/>
        <v>0</v>
      </c>
      <c r="AN23" s="1105">
        <f t="shared" si="20"/>
        <v>0</v>
      </c>
      <c r="AO23" s="1054">
        <f t="shared" si="21"/>
        <v>0</v>
      </c>
      <c r="AP23" s="1054">
        <f t="shared" si="22"/>
        <v>0</v>
      </c>
      <c r="AQ23" s="1092">
        <f t="shared" si="23"/>
        <v>0</v>
      </c>
      <c r="AR23" s="2"/>
      <c r="AS23" s="1090">
        <f t="shared" si="24"/>
        <v>0</v>
      </c>
      <c r="AT23" s="1091">
        <f t="shared" si="25"/>
        <v>0</v>
      </c>
      <c r="AU23" s="1054">
        <f t="shared" si="26"/>
        <v>0</v>
      </c>
      <c r="AV23" s="1054">
        <f t="shared" si="27"/>
        <v>0</v>
      </c>
      <c r="AW23" s="1092">
        <f t="shared" si="28"/>
        <v>0</v>
      </c>
      <c r="AX23" s="2"/>
      <c r="AY23" s="1090">
        <f t="shared" si="29"/>
        <v>0</v>
      </c>
      <c r="AZ23" s="1385"/>
      <c r="BA23" s="2"/>
    </row>
    <row r="24" spans="1:53" ht="20.25" customHeight="1" x14ac:dyDescent="0.2">
      <c r="A24" s="2"/>
      <c r="B24" s="18">
        <v>17</v>
      </c>
      <c r="C24" s="234">
        <f t="shared" si="30"/>
        <v>17</v>
      </c>
      <c r="D24" s="235">
        <f t="shared" si="8"/>
        <v>12</v>
      </c>
      <c r="E24" s="2159" t="str">
        <f t="shared" si="0"/>
        <v xml:space="preserve">attiva trim.  </v>
      </c>
      <c r="F24" s="2160"/>
      <c r="G24" s="237"/>
      <c r="H24" s="237"/>
      <c r="I24" s="828"/>
      <c r="J24" s="829"/>
      <c r="K24" s="237"/>
      <c r="L24" s="828"/>
      <c r="M24" s="829"/>
      <c r="N24" s="237"/>
      <c r="O24" s="828"/>
      <c r="P24" s="829"/>
      <c r="Q24" s="6"/>
      <c r="R24" s="1053">
        <f t="shared" si="9"/>
        <v>0</v>
      </c>
      <c r="S24" s="1054">
        <f t="shared" si="1"/>
        <v>0</v>
      </c>
      <c r="T24" s="1054">
        <f t="shared" si="10"/>
        <v>0</v>
      </c>
      <c r="U24" s="1055">
        <f t="shared" si="11"/>
        <v>0</v>
      </c>
      <c r="V24" s="231">
        <f t="shared" si="31"/>
        <v>45643</v>
      </c>
      <c r="W24" s="1053">
        <f t="shared" si="2"/>
        <v>0</v>
      </c>
      <c r="X24" s="1054">
        <f t="shared" si="3"/>
        <v>0</v>
      </c>
      <c r="Y24" s="1054">
        <f t="shared" si="4"/>
        <v>0</v>
      </c>
      <c r="Z24" s="1055">
        <f t="shared" si="5"/>
        <v>0</v>
      </c>
      <c r="AA24" s="822">
        <f>VLOOKUP(V24,CASSA!$B$114:$C$479,2,FALSE)</f>
        <v>0</v>
      </c>
      <c r="AB24" s="1053">
        <f t="shared" si="12"/>
        <v>0</v>
      </c>
      <c r="AC24" s="1054">
        <f t="shared" si="13"/>
        <v>0</v>
      </c>
      <c r="AD24" s="1054">
        <f t="shared" si="14"/>
        <v>0</v>
      </c>
      <c r="AE24" s="1055">
        <f t="shared" si="15"/>
        <v>0</v>
      </c>
      <c r="AF24" s="2"/>
      <c r="AG24" s="1090">
        <f t="shared" si="16"/>
        <v>0</v>
      </c>
      <c r="AH24" s="1091">
        <f t="shared" si="17"/>
        <v>0</v>
      </c>
      <c r="AI24" s="1054">
        <f t="shared" si="18"/>
        <v>0</v>
      </c>
      <c r="AJ24" s="1054">
        <f t="shared" si="19"/>
        <v>0</v>
      </c>
      <c r="AK24" s="1092">
        <f t="shared" si="6"/>
        <v>0</v>
      </c>
      <c r="AL24" s="2"/>
      <c r="AM24" s="1090">
        <f t="shared" si="7"/>
        <v>0</v>
      </c>
      <c r="AN24" s="1105">
        <f t="shared" si="20"/>
        <v>0</v>
      </c>
      <c r="AO24" s="1054">
        <f t="shared" si="21"/>
        <v>0</v>
      </c>
      <c r="AP24" s="1054">
        <f t="shared" si="22"/>
        <v>0</v>
      </c>
      <c r="AQ24" s="1092">
        <f t="shared" si="23"/>
        <v>0</v>
      </c>
      <c r="AR24" s="2"/>
      <c r="AS24" s="1090">
        <f t="shared" si="24"/>
        <v>0</v>
      </c>
      <c r="AT24" s="1091">
        <f t="shared" si="25"/>
        <v>0</v>
      </c>
      <c r="AU24" s="1054">
        <f t="shared" si="26"/>
        <v>0</v>
      </c>
      <c r="AV24" s="1054">
        <f t="shared" si="27"/>
        <v>0</v>
      </c>
      <c r="AW24" s="1092">
        <f t="shared" si="28"/>
        <v>0</v>
      </c>
      <c r="AX24" s="2"/>
      <c r="AY24" s="1090">
        <f t="shared" si="29"/>
        <v>0</v>
      </c>
      <c r="AZ24" s="1385"/>
      <c r="BA24" s="2"/>
    </row>
    <row r="25" spans="1:53" ht="20.25" customHeight="1" x14ac:dyDescent="0.2">
      <c r="A25" s="2"/>
      <c r="B25" s="18">
        <v>18</v>
      </c>
      <c r="C25" s="234">
        <f t="shared" si="30"/>
        <v>18</v>
      </c>
      <c r="D25" s="235">
        <f t="shared" si="8"/>
        <v>12</v>
      </c>
      <c r="E25" s="2159" t="str">
        <f t="shared" si="0"/>
        <v xml:space="preserve">attiva trim.  </v>
      </c>
      <c r="F25" s="2160"/>
      <c r="G25" s="237"/>
      <c r="H25" s="237"/>
      <c r="I25" s="828"/>
      <c r="J25" s="829"/>
      <c r="K25" s="237"/>
      <c r="L25" s="828"/>
      <c r="M25" s="829"/>
      <c r="N25" s="237"/>
      <c r="O25" s="828"/>
      <c r="P25" s="829"/>
      <c r="Q25" s="6"/>
      <c r="R25" s="1053">
        <f t="shared" si="9"/>
        <v>0</v>
      </c>
      <c r="S25" s="1054">
        <f t="shared" si="1"/>
        <v>0</v>
      </c>
      <c r="T25" s="1054">
        <f t="shared" si="10"/>
        <v>0</v>
      </c>
      <c r="U25" s="1055">
        <f t="shared" si="11"/>
        <v>0</v>
      </c>
      <c r="V25" s="231">
        <f t="shared" si="31"/>
        <v>45644</v>
      </c>
      <c r="W25" s="1053">
        <f t="shared" si="2"/>
        <v>0</v>
      </c>
      <c r="X25" s="1054">
        <f t="shared" si="3"/>
        <v>0</v>
      </c>
      <c r="Y25" s="1054">
        <f t="shared" si="4"/>
        <v>0</v>
      </c>
      <c r="Z25" s="1055">
        <f t="shared" si="5"/>
        <v>0</v>
      </c>
      <c r="AA25" s="822">
        <f>VLOOKUP(V25,CASSA!$B$114:$C$479,2,FALSE)</f>
        <v>0</v>
      </c>
      <c r="AB25" s="1053">
        <f t="shared" si="12"/>
        <v>0</v>
      </c>
      <c r="AC25" s="1054">
        <f t="shared" si="13"/>
        <v>0</v>
      </c>
      <c r="AD25" s="1054">
        <f t="shared" si="14"/>
        <v>0</v>
      </c>
      <c r="AE25" s="1055">
        <f t="shared" si="15"/>
        <v>0</v>
      </c>
      <c r="AF25" s="2"/>
      <c r="AG25" s="1090">
        <f t="shared" si="16"/>
        <v>0</v>
      </c>
      <c r="AH25" s="1091">
        <f t="shared" si="17"/>
        <v>0</v>
      </c>
      <c r="AI25" s="1054">
        <f t="shared" si="18"/>
        <v>0</v>
      </c>
      <c r="AJ25" s="1054">
        <f t="shared" si="19"/>
        <v>0</v>
      </c>
      <c r="AK25" s="1092">
        <f t="shared" si="6"/>
        <v>0</v>
      </c>
      <c r="AL25" s="2"/>
      <c r="AM25" s="1090">
        <f t="shared" si="7"/>
        <v>0</v>
      </c>
      <c r="AN25" s="1105">
        <f t="shared" si="20"/>
        <v>0</v>
      </c>
      <c r="AO25" s="1054">
        <f t="shared" si="21"/>
        <v>0</v>
      </c>
      <c r="AP25" s="1054">
        <f t="shared" si="22"/>
        <v>0</v>
      </c>
      <c r="AQ25" s="1092">
        <f t="shared" si="23"/>
        <v>0</v>
      </c>
      <c r="AR25" s="2"/>
      <c r="AS25" s="1090">
        <f t="shared" si="24"/>
        <v>0</v>
      </c>
      <c r="AT25" s="1091">
        <f t="shared" si="25"/>
        <v>0</v>
      </c>
      <c r="AU25" s="1054">
        <f t="shared" si="26"/>
        <v>0</v>
      </c>
      <c r="AV25" s="1054">
        <f t="shared" si="27"/>
        <v>0</v>
      </c>
      <c r="AW25" s="1092">
        <f t="shared" si="28"/>
        <v>0</v>
      </c>
      <c r="AX25" s="2"/>
      <c r="AY25" s="1090">
        <f t="shared" si="29"/>
        <v>0</v>
      </c>
      <c r="AZ25" s="1385"/>
      <c r="BA25" s="2"/>
    </row>
    <row r="26" spans="1:53" ht="20.25" customHeight="1" x14ac:dyDescent="0.2">
      <c r="A26" s="2"/>
      <c r="B26" s="18">
        <v>19</v>
      </c>
      <c r="C26" s="234">
        <f t="shared" si="30"/>
        <v>19</v>
      </c>
      <c r="D26" s="235">
        <f t="shared" si="8"/>
        <v>12</v>
      </c>
      <c r="E26" s="2159" t="str">
        <f t="shared" si="0"/>
        <v xml:space="preserve">attiva trim.  </v>
      </c>
      <c r="F26" s="2160"/>
      <c r="G26" s="237"/>
      <c r="H26" s="237"/>
      <c r="I26" s="828"/>
      <c r="J26" s="829"/>
      <c r="K26" s="237"/>
      <c r="L26" s="828"/>
      <c r="M26" s="829"/>
      <c r="N26" s="237"/>
      <c r="O26" s="828"/>
      <c r="P26" s="829"/>
      <c r="Q26" s="6"/>
      <c r="R26" s="1053">
        <f t="shared" si="9"/>
        <v>0</v>
      </c>
      <c r="S26" s="1054">
        <f t="shared" si="1"/>
        <v>0</v>
      </c>
      <c r="T26" s="1054">
        <f t="shared" si="10"/>
        <v>0</v>
      </c>
      <c r="U26" s="1055">
        <f t="shared" si="11"/>
        <v>0</v>
      </c>
      <c r="V26" s="231">
        <f t="shared" si="31"/>
        <v>45645</v>
      </c>
      <c r="W26" s="1053">
        <f t="shared" si="2"/>
        <v>0</v>
      </c>
      <c r="X26" s="1054">
        <f t="shared" si="3"/>
        <v>0</v>
      </c>
      <c r="Y26" s="1054">
        <f t="shared" si="4"/>
        <v>0</v>
      </c>
      <c r="Z26" s="1055">
        <f t="shared" si="5"/>
        <v>0</v>
      </c>
      <c r="AA26" s="822">
        <f>VLOOKUP(V26,CASSA!$B$114:$C$479,2,FALSE)</f>
        <v>0</v>
      </c>
      <c r="AB26" s="1053">
        <f t="shared" si="12"/>
        <v>0</v>
      </c>
      <c r="AC26" s="1054">
        <f t="shared" si="13"/>
        <v>0</v>
      </c>
      <c r="AD26" s="1054">
        <f t="shared" si="14"/>
        <v>0</v>
      </c>
      <c r="AE26" s="1055">
        <f t="shared" si="15"/>
        <v>0</v>
      </c>
      <c r="AF26" s="2"/>
      <c r="AG26" s="1090">
        <f t="shared" si="16"/>
        <v>0</v>
      </c>
      <c r="AH26" s="1091">
        <f t="shared" si="17"/>
        <v>0</v>
      </c>
      <c r="AI26" s="1054">
        <f t="shared" si="18"/>
        <v>0</v>
      </c>
      <c r="AJ26" s="1054">
        <f t="shared" si="19"/>
        <v>0</v>
      </c>
      <c r="AK26" s="1092">
        <f t="shared" si="6"/>
        <v>0</v>
      </c>
      <c r="AL26" s="2"/>
      <c r="AM26" s="1090">
        <f t="shared" si="7"/>
        <v>0</v>
      </c>
      <c r="AN26" s="1105">
        <f t="shared" si="20"/>
        <v>0</v>
      </c>
      <c r="AO26" s="1054">
        <f t="shared" si="21"/>
        <v>0</v>
      </c>
      <c r="AP26" s="1054">
        <f t="shared" si="22"/>
        <v>0</v>
      </c>
      <c r="AQ26" s="1092">
        <f t="shared" si="23"/>
        <v>0</v>
      </c>
      <c r="AR26" s="2"/>
      <c r="AS26" s="1090">
        <f t="shared" si="24"/>
        <v>0</v>
      </c>
      <c r="AT26" s="1091">
        <f t="shared" si="25"/>
        <v>0</v>
      </c>
      <c r="AU26" s="1054">
        <f t="shared" si="26"/>
        <v>0</v>
      </c>
      <c r="AV26" s="1054">
        <f t="shared" si="27"/>
        <v>0</v>
      </c>
      <c r="AW26" s="1092">
        <f t="shared" si="28"/>
        <v>0</v>
      </c>
      <c r="AX26" s="2"/>
      <c r="AY26" s="1090">
        <f t="shared" si="29"/>
        <v>0</v>
      </c>
      <c r="AZ26" s="1385"/>
      <c r="BA26" s="2"/>
    </row>
    <row r="27" spans="1:53" ht="20.25" customHeight="1" x14ac:dyDescent="0.2">
      <c r="A27" s="2"/>
      <c r="B27" s="18">
        <v>20</v>
      </c>
      <c r="C27" s="234">
        <f t="shared" si="30"/>
        <v>20</v>
      </c>
      <c r="D27" s="235">
        <f t="shared" si="8"/>
        <v>12</v>
      </c>
      <c r="E27" s="2159" t="str">
        <f t="shared" si="0"/>
        <v xml:space="preserve">attiva trim.  </v>
      </c>
      <c r="F27" s="2160"/>
      <c r="G27" s="237"/>
      <c r="H27" s="237"/>
      <c r="I27" s="828"/>
      <c r="J27" s="829"/>
      <c r="K27" s="237"/>
      <c r="L27" s="828"/>
      <c r="M27" s="829"/>
      <c r="N27" s="237"/>
      <c r="O27" s="828"/>
      <c r="P27" s="829"/>
      <c r="Q27" s="6"/>
      <c r="R27" s="1053">
        <f t="shared" si="9"/>
        <v>0</v>
      </c>
      <c r="S27" s="1054">
        <f t="shared" si="1"/>
        <v>0</v>
      </c>
      <c r="T27" s="1054">
        <f t="shared" si="10"/>
        <v>0</v>
      </c>
      <c r="U27" s="1055">
        <f t="shared" si="11"/>
        <v>0</v>
      </c>
      <c r="V27" s="231">
        <f t="shared" si="31"/>
        <v>45646</v>
      </c>
      <c r="W27" s="1053">
        <f t="shared" si="2"/>
        <v>0</v>
      </c>
      <c r="X27" s="1054">
        <f t="shared" si="3"/>
        <v>0</v>
      </c>
      <c r="Y27" s="1054">
        <f t="shared" si="4"/>
        <v>0</v>
      </c>
      <c r="Z27" s="1055">
        <f t="shared" si="5"/>
        <v>0</v>
      </c>
      <c r="AA27" s="822">
        <f>VLOOKUP(V27,CASSA!$B$114:$C$479,2,FALSE)</f>
        <v>0</v>
      </c>
      <c r="AB27" s="1053">
        <f t="shared" si="12"/>
        <v>0</v>
      </c>
      <c r="AC27" s="1054">
        <f t="shared" si="13"/>
        <v>0</v>
      </c>
      <c r="AD27" s="1054">
        <f t="shared" si="14"/>
        <v>0</v>
      </c>
      <c r="AE27" s="1055">
        <f t="shared" si="15"/>
        <v>0</v>
      </c>
      <c r="AF27" s="2"/>
      <c r="AG27" s="1090">
        <f t="shared" si="16"/>
        <v>0</v>
      </c>
      <c r="AH27" s="1091">
        <f t="shared" si="17"/>
        <v>0</v>
      </c>
      <c r="AI27" s="1054">
        <f t="shared" si="18"/>
        <v>0</v>
      </c>
      <c r="AJ27" s="1054">
        <f t="shared" si="19"/>
        <v>0</v>
      </c>
      <c r="AK27" s="1092">
        <f t="shared" si="6"/>
        <v>0</v>
      </c>
      <c r="AL27" s="2"/>
      <c r="AM27" s="1090">
        <f t="shared" si="7"/>
        <v>0</v>
      </c>
      <c r="AN27" s="1105">
        <f t="shared" si="20"/>
        <v>0</v>
      </c>
      <c r="AO27" s="1054">
        <f t="shared" si="21"/>
        <v>0</v>
      </c>
      <c r="AP27" s="1054">
        <f t="shared" si="22"/>
        <v>0</v>
      </c>
      <c r="AQ27" s="1092">
        <f t="shared" si="23"/>
        <v>0</v>
      </c>
      <c r="AR27" s="2"/>
      <c r="AS27" s="1090">
        <f t="shared" si="24"/>
        <v>0</v>
      </c>
      <c r="AT27" s="1091">
        <f t="shared" si="25"/>
        <v>0</v>
      </c>
      <c r="AU27" s="1054">
        <f t="shared" si="26"/>
        <v>0</v>
      </c>
      <c r="AV27" s="1054">
        <f t="shared" si="27"/>
        <v>0</v>
      </c>
      <c r="AW27" s="1092">
        <f t="shared" si="28"/>
        <v>0</v>
      </c>
      <c r="AX27" s="2"/>
      <c r="AY27" s="1090">
        <f t="shared" si="29"/>
        <v>0</v>
      </c>
      <c r="AZ27" s="1385"/>
      <c r="BA27" s="2"/>
    </row>
    <row r="28" spans="1:53" ht="20.25" customHeight="1" x14ac:dyDescent="0.2">
      <c r="A28" s="2"/>
      <c r="B28" s="18">
        <v>21</v>
      </c>
      <c r="C28" s="234">
        <f t="shared" si="30"/>
        <v>21</v>
      </c>
      <c r="D28" s="235">
        <f t="shared" si="8"/>
        <v>12</v>
      </c>
      <c r="E28" s="2159" t="str">
        <f t="shared" si="0"/>
        <v xml:space="preserve">attiva trim.  </v>
      </c>
      <c r="F28" s="2160"/>
      <c r="G28" s="237"/>
      <c r="H28" s="237"/>
      <c r="I28" s="828"/>
      <c r="J28" s="829"/>
      <c r="K28" s="237"/>
      <c r="L28" s="828"/>
      <c r="M28" s="829"/>
      <c r="N28" s="237"/>
      <c r="O28" s="828"/>
      <c r="P28" s="829"/>
      <c r="Q28" s="6"/>
      <c r="R28" s="1053">
        <f t="shared" si="9"/>
        <v>0</v>
      </c>
      <c r="S28" s="1054">
        <f t="shared" si="1"/>
        <v>0</v>
      </c>
      <c r="T28" s="1054">
        <f t="shared" si="10"/>
        <v>0</v>
      </c>
      <c r="U28" s="1055">
        <f t="shared" si="11"/>
        <v>0</v>
      </c>
      <c r="V28" s="231">
        <f t="shared" si="31"/>
        <v>45647</v>
      </c>
      <c r="W28" s="1053">
        <f t="shared" si="2"/>
        <v>0</v>
      </c>
      <c r="X28" s="1054">
        <f t="shared" si="3"/>
        <v>0</v>
      </c>
      <c r="Y28" s="1054">
        <f t="shared" si="4"/>
        <v>0</v>
      </c>
      <c r="Z28" s="1055">
        <f t="shared" si="5"/>
        <v>0</v>
      </c>
      <c r="AA28" s="822">
        <f>VLOOKUP(V28,CASSA!$B$114:$C$479,2,FALSE)</f>
        <v>0</v>
      </c>
      <c r="AB28" s="1053">
        <f t="shared" si="12"/>
        <v>0</v>
      </c>
      <c r="AC28" s="1054">
        <f t="shared" si="13"/>
        <v>0</v>
      </c>
      <c r="AD28" s="1054">
        <f t="shared" si="14"/>
        <v>0</v>
      </c>
      <c r="AE28" s="1055">
        <f t="shared" si="15"/>
        <v>0</v>
      </c>
      <c r="AF28" s="2"/>
      <c r="AG28" s="1090">
        <f t="shared" si="16"/>
        <v>0</v>
      </c>
      <c r="AH28" s="1091">
        <f t="shared" si="17"/>
        <v>0</v>
      </c>
      <c r="AI28" s="1054">
        <f t="shared" si="18"/>
        <v>0</v>
      </c>
      <c r="AJ28" s="1054">
        <f t="shared" si="19"/>
        <v>0</v>
      </c>
      <c r="AK28" s="1092">
        <f t="shared" si="6"/>
        <v>0</v>
      </c>
      <c r="AL28" s="2"/>
      <c r="AM28" s="1090">
        <f t="shared" si="7"/>
        <v>0</v>
      </c>
      <c r="AN28" s="1105">
        <f t="shared" si="20"/>
        <v>0</v>
      </c>
      <c r="AO28" s="1054">
        <f t="shared" si="21"/>
        <v>0</v>
      </c>
      <c r="AP28" s="1054">
        <f t="shared" si="22"/>
        <v>0</v>
      </c>
      <c r="AQ28" s="1092">
        <f t="shared" si="23"/>
        <v>0</v>
      </c>
      <c r="AR28" s="2"/>
      <c r="AS28" s="1090">
        <f t="shared" si="24"/>
        <v>0</v>
      </c>
      <c r="AT28" s="1091">
        <f t="shared" si="25"/>
        <v>0</v>
      </c>
      <c r="AU28" s="1054">
        <f t="shared" si="26"/>
        <v>0</v>
      </c>
      <c r="AV28" s="1054">
        <f t="shared" si="27"/>
        <v>0</v>
      </c>
      <c r="AW28" s="1092">
        <f t="shared" si="28"/>
        <v>0</v>
      </c>
      <c r="AX28" s="2"/>
      <c r="AY28" s="1090">
        <f t="shared" si="29"/>
        <v>0</v>
      </c>
      <c r="AZ28" s="1385"/>
      <c r="BA28" s="2"/>
    </row>
    <row r="29" spans="1:53" ht="20.25" customHeight="1" x14ac:dyDescent="0.2">
      <c r="A29" s="2"/>
      <c r="B29" s="18">
        <v>22</v>
      </c>
      <c r="C29" s="234">
        <f t="shared" si="30"/>
        <v>22</v>
      </c>
      <c r="D29" s="235">
        <f t="shared" si="8"/>
        <v>12</v>
      </c>
      <c r="E29" s="2159" t="str">
        <f t="shared" si="0"/>
        <v xml:space="preserve">attiva trim.  </v>
      </c>
      <c r="F29" s="2160"/>
      <c r="G29" s="237"/>
      <c r="H29" s="237"/>
      <c r="I29" s="828"/>
      <c r="J29" s="829"/>
      <c r="K29" s="237"/>
      <c r="L29" s="828"/>
      <c r="M29" s="829"/>
      <c r="N29" s="237"/>
      <c r="O29" s="828"/>
      <c r="P29" s="829"/>
      <c r="Q29" s="6"/>
      <c r="R29" s="1053">
        <f t="shared" si="9"/>
        <v>0</v>
      </c>
      <c r="S29" s="1054">
        <f t="shared" si="1"/>
        <v>0</v>
      </c>
      <c r="T29" s="1054">
        <f t="shared" si="10"/>
        <v>0</v>
      </c>
      <c r="U29" s="1055">
        <f t="shared" si="11"/>
        <v>0</v>
      </c>
      <c r="V29" s="231">
        <f t="shared" si="31"/>
        <v>45648</v>
      </c>
      <c r="W29" s="1053">
        <f t="shared" si="2"/>
        <v>0</v>
      </c>
      <c r="X29" s="1054">
        <f t="shared" si="3"/>
        <v>0</v>
      </c>
      <c r="Y29" s="1054">
        <f t="shared" si="4"/>
        <v>0</v>
      </c>
      <c r="Z29" s="1055">
        <f t="shared" si="5"/>
        <v>0</v>
      </c>
      <c r="AA29" s="822">
        <f>VLOOKUP(V29,CASSA!$B$114:$C$479,2,FALSE)</f>
        <v>0</v>
      </c>
      <c r="AB29" s="1053">
        <f t="shared" si="12"/>
        <v>0</v>
      </c>
      <c r="AC29" s="1054">
        <f t="shared" si="13"/>
        <v>0</v>
      </c>
      <c r="AD29" s="1054">
        <f t="shared" si="14"/>
        <v>0</v>
      </c>
      <c r="AE29" s="1055">
        <f t="shared" si="15"/>
        <v>0</v>
      </c>
      <c r="AF29" s="2"/>
      <c r="AG29" s="1090">
        <f t="shared" si="16"/>
        <v>0</v>
      </c>
      <c r="AH29" s="1091">
        <f t="shared" si="17"/>
        <v>0</v>
      </c>
      <c r="AI29" s="1054">
        <f t="shared" si="18"/>
        <v>0</v>
      </c>
      <c r="AJ29" s="1054">
        <f t="shared" si="19"/>
        <v>0</v>
      </c>
      <c r="AK29" s="1092">
        <f t="shared" si="6"/>
        <v>0</v>
      </c>
      <c r="AL29" s="2"/>
      <c r="AM29" s="1090">
        <f t="shared" si="7"/>
        <v>0</v>
      </c>
      <c r="AN29" s="1105">
        <f t="shared" si="20"/>
        <v>0</v>
      </c>
      <c r="AO29" s="1054">
        <f t="shared" si="21"/>
        <v>0</v>
      </c>
      <c r="AP29" s="1054">
        <f t="shared" si="22"/>
        <v>0</v>
      </c>
      <c r="AQ29" s="1092">
        <f t="shared" si="23"/>
        <v>0</v>
      </c>
      <c r="AR29" s="2"/>
      <c r="AS29" s="1090">
        <f t="shared" si="24"/>
        <v>0</v>
      </c>
      <c r="AT29" s="1091">
        <f t="shared" si="25"/>
        <v>0</v>
      </c>
      <c r="AU29" s="1054">
        <f t="shared" si="26"/>
        <v>0</v>
      </c>
      <c r="AV29" s="1054">
        <f t="shared" si="27"/>
        <v>0</v>
      </c>
      <c r="AW29" s="1092">
        <f t="shared" si="28"/>
        <v>0</v>
      </c>
      <c r="AX29" s="2"/>
      <c r="AY29" s="1090">
        <f t="shared" si="29"/>
        <v>0</v>
      </c>
      <c r="AZ29" s="1385"/>
      <c r="BA29" s="2"/>
    </row>
    <row r="30" spans="1:53" ht="20.25" customHeight="1" x14ac:dyDescent="0.2">
      <c r="A30" s="2"/>
      <c r="B30" s="18">
        <v>23</v>
      </c>
      <c r="C30" s="234">
        <f t="shared" si="30"/>
        <v>23</v>
      </c>
      <c r="D30" s="235">
        <f t="shared" si="8"/>
        <v>12</v>
      </c>
      <c r="E30" s="2159" t="str">
        <f t="shared" si="0"/>
        <v xml:space="preserve">attiva trim.  </v>
      </c>
      <c r="F30" s="2160"/>
      <c r="G30" s="237"/>
      <c r="H30" s="237"/>
      <c r="I30" s="828"/>
      <c r="J30" s="829"/>
      <c r="K30" s="237"/>
      <c r="L30" s="828"/>
      <c r="M30" s="829"/>
      <c r="N30" s="237"/>
      <c r="O30" s="828"/>
      <c r="P30" s="829"/>
      <c r="Q30" s="6"/>
      <c r="R30" s="1053">
        <f t="shared" si="9"/>
        <v>0</v>
      </c>
      <c r="S30" s="1054">
        <f t="shared" si="1"/>
        <v>0</v>
      </c>
      <c r="T30" s="1054">
        <f t="shared" si="10"/>
        <v>0</v>
      </c>
      <c r="U30" s="1055">
        <f t="shared" si="11"/>
        <v>0</v>
      </c>
      <c r="V30" s="231">
        <f t="shared" si="31"/>
        <v>45649</v>
      </c>
      <c r="W30" s="1053">
        <f t="shared" si="2"/>
        <v>0</v>
      </c>
      <c r="X30" s="1054">
        <f t="shared" si="3"/>
        <v>0</v>
      </c>
      <c r="Y30" s="1054">
        <f t="shared" si="4"/>
        <v>0</v>
      </c>
      <c r="Z30" s="1055">
        <f t="shared" si="5"/>
        <v>0</v>
      </c>
      <c r="AA30" s="822">
        <f>VLOOKUP(V30,CASSA!$B$114:$C$479,2,FALSE)</f>
        <v>0</v>
      </c>
      <c r="AB30" s="1053">
        <f t="shared" si="12"/>
        <v>0</v>
      </c>
      <c r="AC30" s="1054">
        <f t="shared" si="13"/>
        <v>0</v>
      </c>
      <c r="AD30" s="1054">
        <f t="shared" si="14"/>
        <v>0</v>
      </c>
      <c r="AE30" s="1055">
        <f t="shared" si="15"/>
        <v>0</v>
      </c>
      <c r="AF30" s="2"/>
      <c r="AG30" s="1090">
        <f t="shared" si="16"/>
        <v>0</v>
      </c>
      <c r="AH30" s="1091">
        <f t="shared" si="17"/>
        <v>0</v>
      </c>
      <c r="AI30" s="1054">
        <f t="shared" si="18"/>
        <v>0</v>
      </c>
      <c r="AJ30" s="1054">
        <f t="shared" si="19"/>
        <v>0</v>
      </c>
      <c r="AK30" s="1092">
        <f t="shared" si="6"/>
        <v>0</v>
      </c>
      <c r="AL30" s="2"/>
      <c r="AM30" s="1090">
        <f t="shared" si="7"/>
        <v>0</v>
      </c>
      <c r="AN30" s="1105">
        <f t="shared" si="20"/>
        <v>0</v>
      </c>
      <c r="AO30" s="1054">
        <f t="shared" si="21"/>
        <v>0</v>
      </c>
      <c r="AP30" s="1054">
        <f t="shared" si="22"/>
        <v>0</v>
      </c>
      <c r="AQ30" s="1092">
        <f t="shared" si="23"/>
        <v>0</v>
      </c>
      <c r="AR30" s="2"/>
      <c r="AS30" s="1090">
        <f t="shared" si="24"/>
        <v>0</v>
      </c>
      <c r="AT30" s="1091">
        <f t="shared" si="25"/>
        <v>0</v>
      </c>
      <c r="AU30" s="1054">
        <f t="shared" si="26"/>
        <v>0</v>
      </c>
      <c r="AV30" s="1054">
        <f t="shared" si="27"/>
        <v>0</v>
      </c>
      <c r="AW30" s="1092">
        <f t="shared" si="28"/>
        <v>0</v>
      </c>
      <c r="AX30" s="2"/>
      <c r="AY30" s="1090">
        <f t="shared" si="29"/>
        <v>0</v>
      </c>
      <c r="AZ30" s="1385"/>
      <c r="BA30" s="2"/>
    </row>
    <row r="31" spans="1:53" ht="20.25" customHeight="1" x14ac:dyDescent="0.2">
      <c r="A31" s="2"/>
      <c r="B31" s="18">
        <v>24</v>
      </c>
      <c r="C31" s="234">
        <f t="shared" si="30"/>
        <v>24</v>
      </c>
      <c r="D31" s="235">
        <f t="shared" si="8"/>
        <v>12</v>
      </c>
      <c r="E31" s="2159" t="str">
        <f t="shared" si="0"/>
        <v xml:space="preserve">attiva trim.  </v>
      </c>
      <c r="F31" s="2160"/>
      <c r="G31" s="237"/>
      <c r="H31" s="237"/>
      <c r="I31" s="828"/>
      <c r="J31" s="829"/>
      <c r="K31" s="237"/>
      <c r="L31" s="828"/>
      <c r="M31" s="829"/>
      <c r="N31" s="237"/>
      <c r="O31" s="828"/>
      <c r="P31" s="829"/>
      <c r="Q31" s="6"/>
      <c r="R31" s="1053">
        <f t="shared" si="9"/>
        <v>0</v>
      </c>
      <c r="S31" s="1054">
        <f t="shared" si="1"/>
        <v>0</v>
      </c>
      <c r="T31" s="1054">
        <f t="shared" si="10"/>
        <v>0</v>
      </c>
      <c r="U31" s="1055">
        <f t="shared" si="11"/>
        <v>0</v>
      </c>
      <c r="V31" s="231">
        <f t="shared" si="31"/>
        <v>45650</v>
      </c>
      <c r="W31" s="1053">
        <f t="shared" si="2"/>
        <v>0</v>
      </c>
      <c r="X31" s="1054">
        <f t="shared" si="3"/>
        <v>0</v>
      </c>
      <c r="Y31" s="1054">
        <f t="shared" si="4"/>
        <v>0</v>
      </c>
      <c r="Z31" s="1055">
        <f t="shared" si="5"/>
        <v>0</v>
      </c>
      <c r="AA31" s="822">
        <f>VLOOKUP(V31,CASSA!$B$114:$C$479,2,FALSE)</f>
        <v>0</v>
      </c>
      <c r="AB31" s="1053">
        <f t="shared" si="12"/>
        <v>0</v>
      </c>
      <c r="AC31" s="1054">
        <f t="shared" si="13"/>
        <v>0</v>
      </c>
      <c r="AD31" s="1054">
        <f t="shared" si="14"/>
        <v>0</v>
      </c>
      <c r="AE31" s="1055">
        <f t="shared" si="15"/>
        <v>0</v>
      </c>
      <c r="AF31" s="2"/>
      <c r="AG31" s="1090">
        <f t="shared" si="16"/>
        <v>0</v>
      </c>
      <c r="AH31" s="1091">
        <f t="shared" si="17"/>
        <v>0</v>
      </c>
      <c r="AI31" s="1054">
        <f t="shared" si="18"/>
        <v>0</v>
      </c>
      <c r="AJ31" s="1054">
        <f t="shared" si="19"/>
        <v>0</v>
      </c>
      <c r="AK31" s="1092">
        <f t="shared" si="6"/>
        <v>0</v>
      </c>
      <c r="AL31" s="2"/>
      <c r="AM31" s="1090">
        <f t="shared" si="7"/>
        <v>0</v>
      </c>
      <c r="AN31" s="1105">
        <f t="shared" si="20"/>
        <v>0</v>
      </c>
      <c r="AO31" s="1054">
        <f t="shared" si="21"/>
        <v>0</v>
      </c>
      <c r="AP31" s="1054">
        <f t="shared" si="22"/>
        <v>0</v>
      </c>
      <c r="AQ31" s="1092">
        <f t="shared" si="23"/>
        <v>0</v>
      </c>
      <c r="AR31" s="2"/>
      <c r="AS31" s="1090">
        <f t="shared" si="24"/>
        <v>0</v>
      </c>
      <c r="AT31" s="1091">
        <f t="shared" si="25"/>
        <v>0</v>
      </c>
      <c r="AU31" s="1054">
        <f t="shared" si="26"/>
        <v>0</v>
      </c>
      <c r="AV31" s="1054">
        <f t="shared" si="27"/>
        <v>0</v>
      </c>
      <c r="AW31" s="1092">
        <f t="shared" si="28"/>
        <v>0</v>
      </c>
      <c r="AX31" s="2"/>
      <c r="AY31" s="1090">
        <f t="shared" si="29"/>
        <v>0</v>
      </c>
      <c r="AZ31" s="1385"/>
      <c r="BA31" s="2"/>
    </row>
    <row r="32" spans="1:53" ht="20.25" customHeight="1" x14ac:dyDescent="0.2">
      <c r="A32" s="2"/>
      <c r="B32" s="18">
        <v>25</v>
      </c>
      <c r="C32" s="234">
        <f t="shared" si="30"/>
        <v>25</v>
      </c>
      <c r="D32" s="235">
        <f t="shared" si="8"/>
        <v>12</v>
      </c>
      <c r="E32" s="2159" t="str">
        <f t="shared" si="0"/>
        <v xml:space="preserve">attiva trim.  </v>
      </c>
      <c r="F32" s="2160"/>
      <c r="G32" s="237"/>
      <c r="H32" s="237"/>
      <c r="I32" s="828"/>
      <c r="J32" s="829"/>
      <c r="K32" s="237"/>
      <c r="L32" s="828"/>
      <c r="M32" s="829"/>
      <c r="N32" s="237"/>
      <c r="O32" s="828"/>
      <c r="P32" s="829"/>
      <c r="Q32" s="6"/>
      <c r="R32" s="1053">
        <f t="shared" si="9"/>
        <v>0</v>
      </c>
      <c r="S32" s="1054">
        <f t="shared" si="1"/>
        <v>0</v>
      </c>
      <c r="T32" s="1054">
        <f t="shared" si="10"/>
        <v>0</v>
      </c>
      <c r="U32" s="1055">
        <f t="shared" si="11"/>
        <v>0</v>
      </c>
      <c r="V32" s="231">
        <f t="shared" si="31"/>
        <v>45651</v>
      </c>
      <c r="W32" s="1053">
        <f t="shared" si="2"/>
        <v>0</v>
      </c>
      <c r="X32" s="1054">
        <f t="shared" si="3"/>
        <v>0</v>
      </c>
      <c r="Y32" s="1054">
        <f t="shared" si="4"/>
        <v>0</v>
      </c>
      <c r="Z32" s="1055">
        <f t="shared" si="5"/>
        <v>0</v>
      </c>
      <c r="AA32" s="822">
        <f>VLOOKUP(V32,CASSA!$B$114:$C$479,2,FALSE)</f>
        <v>0</v>
      </c>
      <c r="AB32" s="1053">
        <f t="shared" si="12"/>
        <v>0</v>
      </c>
      <c r="AC32" s="1054">
        <f t="shared" si="13"/>
        <v>0</v>
      </c>
      <c r="AD32" s="1054">
        <f t="shared" si="14"/>
        <v>0</v>
      </c>
      <c r="AE32" s="1055">
        <f t="shared" si="15"/>
        <v>0</v>
      </c>
      <c r="AF32" s="2"/>
      <c r="AG32" s="1090">
        <f t="shared" si="16"/>
        <v>0</v>
      </c>
      <c r="AH32" s="1091">
        <f t="shared" si="17"/>
        <v>0</v>
      </c>
      <c r="AI32" s="1054">
        <f t="shared" si="18"/>
        <v>0</v>
      </c>
      <c r="AJ32" s="1054">
        <f t="shared" si="19"/>
        <v>0</v>
      </c>
      <c r="AK32" s="1092">
        <f t="shared" si="6"/>
        <v>0</v>
      </c>
      <c r="AL32" s="2"/>
      <c r="AM32" s="1090">
        <f t="shared" si="7"/>
        <v>0</v>
      </c>
      <c r="AN32" s="1105">
        <f t="shared" si="20"/>
        <v>0</v>
      </c>
      <c r="AO32" s="1054">
        <f t="shared" si="21"/>
        <v>0</v>
      </c>
      <c r="AP32" s="1054">
        <f t="shared" si="22"/>
        <v>0</v>
      </c>
      <c r="AQ32" s="1092">
        <f t="shared" si="23"/>
        <v>0</v>
      </c>
      <c r="AR32" s="2"/>
      <c r="AS32" s="1090">
        <f t="shared" si="24"/>
        <v>0</v>
      </c>
      <c r="AT32" s="1091">
        <f t="shared" si="25"/>
        <v>0</v>
      </c>
      <c r="AU32" s="1054">
        <f t="shared" si="26"/>
        <v>0</v>
      </c>
      <c r="AV32" s="1054">
        <f t="shared" si="27"/>
        <v>0</v>
      </c>
      <c r="AW32" s="1092">
        <f t="shared" si="28"/>
        <v>0</v>
      </c>
      <c r="AX32" s="2"/>
      <c r="AY32" s="1090">
        <f t="shared" si="29"/>
        <v>0</v>
      </c>
      <c r="AZ32" s="1385"/>
      <c r="BA32" s="2"/>
    </row>
    <row r="33" spans="1:54" ht="20.25" customHeight="1" x14ac:dyDescent="0.2">
      <c r="A33" s="2"/>
      <c r="B33" s="18">
        <v>26</v>
      </c>
      <c r="C33" s="234">
        <f t="shared" si="30"/>
        <v>26</v>
      </c>
      <c r="D33" s="235">
        <f t="shared" si="8"/>
        <v>12</v>
      </c>
      <c r="E33" s="2159" t="str">
        <f t="shared" si="0"/>
        <v xml:space="preserve">attiva trim.  </v>
      </c>
      <c r="F33" s="2160"/>
      <c r="G33" s="237"/>
      <c r="H33" s="237"/>
      <c r="I33" s="828"/>
      <c r="J33" s="829"/>
      <c r="K33" s="237"/>
      <c r="L33" s="828"/>
      <c r="M33" s="829"/>
      <c r="N33" s="237"/>
      <c r="O33" s="828"/>
      <c r="P33" s="829"/>
      <c r="Q33" s="6"/>
      <c r="R33" s="1053">
        <f t="shared" si="9"/>
        <v>0</v>
      </c>
      <c r="S33" s="1054">
        <f t="shared" si="1"/>
        <v>0</v>
      </c>
      <c r="T33" s="1054">
        <f t="shared" si="10"/>
        <v>0</v>
      </c>
      <c r="U33" s="1055">
        <f t="shared" si="11"/>
        <v>0</v>
      </c>
      <c r="V33" s="231">
        <f t="shared" si="31"/>
        <v>45652</v>
      </c>
      <c r="W33" s="1053">
        <f t="shared" si="2"/>
        <v>0</v>
      </c>
      <c r="X33" s="1054">
        <f t="shared" si="3"/>
        <v>0</v>
      </c>
      <c r="Y33" s="1054">
        <f t="shared" si="4"/>
        <v>0</v>
      </c>
      <c r="Z33" s="1055">
        <f t="shared" si="5"/>
        <v>0</v>
      </c>
      <c r="AA33" s="822">
        <f>VLOOKUP(V33,CASSA!$B$114:$C$479,2,FALSE)</f>
        <v>0</v>
      </c>
      <c r="AB33" s="1053">
        <f t="shared" si="12"/>
        <v>0</v>
      </c>
      <c r="AC33" s="1054">
        <f t="shared" si="13"/>
        <v>0</v>
      </c>
      <c r="AD33" s="1054">
        <f t="shared" si="14"/>
        <v>0</v>
      </c>
      <c r="AE33" s="1055">
        <f t="shared" si="15"/>
        <v>0</v>
      </c>
      <c r="AF33" s="2"/>
      <c r="AG33" s="1090">
        <f t="shared" si="16"/>
        <v>0</v>
      </c>
      <c r="AH33" s="1091">
        <f t="shared" si="17"/>
        <v>0</v>
      </c>
      <c r="AI33" s="1054">
        <f t="shared" si="18"/>
        <v>0</v>
      </c>
      <c r="AJ33" s="1054">
        <f t="shared" si="19"/>
        <v>0</v>
      </c>
      <c r="AK33" s="1092">
        <f t="shared" si="6"/>
        <v>0</v>
      </c>
      <c r="AL33" s="2"/>
      <c r="AM33" s="1090">
        <f t="shared" si="7"/>
        <v>0</v>
      </c>
      <c r="AN33" s="1105">
        <f t="shared" si="20"/>
        <v>0</v>
      </c>
      <c r="AO33" s="1054">
        <f t="shared" si="21"/>
        <v>0</v>
      </c>
      <c r="AP33" s="1054">
        <f t="shared" si="22"/>
        <v>0</v>
      </c>
      <c r="AQ33" s="1092">
        <f t="shared" si="23"/>
        <v>0</v>
      </c>
      <c r="AR33" s="2"/>
      <c r="AS33" s="1090">
        <f t="shared" si="24"/>
        <v>0</v>
      </c>
      <c r="AT33" s="1091">
        <f t="shared" si="25"/>
        <v>0</v>
      </c>
      <c r="AU33" s="1054">
        <f t="shared" si="26"/>
        <v>0</v>
      </c>
      <c r="AV33" s="1054">
        <f t="shared" si="27"/>
        <v>0</v>
      </c>
      <c r="AW33" s="1092">
        <f t="shared" si="28"/>
        <v>0</v>
      </c>
      <c r="AX33" s="2"/>
      <c r="AY33" s="1090">
        <f t="shared" si="29"/>
        <v>0</v>
      </c>
      <c r="AZ33" s="1385"/>
      <c r="BA33" s="2"/>
    </row>
    <row r="34" spans="1:54" ht="20.25" customHeight="1" x14ac:dyDescent="0.2">
      <c r="A34" s="2"/>
      <c r="B34" s="18">
        <v>27</v>
      </c>
      <c r="C34" s="234">
        <f t="shared" si="30"/>
        <v>27</v>
      </c>
      <c r="D34" s="235">
        <f t="shared" si="8"/>
        <v>12</v>
      </c>
      <c r="E34" s="2159" t="str">
        <f t="shared" si="0"/>
        <v xml:space="preserve">attiva trim.  </v>
      </c>
      <c r="F34" s="2160"/>
      <c r="G34" s="237"/>
      <c r="H34" s="237"/>
      <c r="I34" s="828"/>
      <c r="J34" s="829"/>
      <c r="K34" s="237"/>
      <c r="L34" s="828"/>
      <c r="M34" s="829"/>
      <c r="N34" s="237"/>
      <c r="O34" s="828"/>
      <c r="P34" s="829"/>
      <c r="Q34" s="6"/>
      <c r="R34" s="1053">
        <f t="shared" si="9"/>
        <v>0</v>
      </c>
      <c r="S34" s="1054">
        <f t="shared" si="1"/>
        <v>0</v>
      </c>
      <c r="T34" s="1054">
        <f t="shared" si="10"/>
        <v>0</v>
      </c>
      <c r="U34" s="1055">
        <f t="shared" si="11"/>
        <v>0</v>
      </c>
      <c r="V34" s="231">
        <f t="shared" si="31"/>
        <v>45653</v>
      </c>
      <c r="W34" s="1053">
        <f t="shared" si="2"/>
        <v>0</v>
      </c>
      <c r="X34" s="1054">
        <f t="shared" si="3"/>
        <v>0</v>
      </c>
      <c r="Y34" s="1054">
        <f t="shared" si="4"/>
        <v>0</v>
      </c>
      <c r="Z34" s="1055">
        <f t="shared" si="5"/>
        <v>0</v>
      </c>
      <c r="AA34" s="822">
        <f>VLOOKUP(V34,CASSA!$B$114:$C$479,2,FALSE)</f>
        <v>0</v>
      </c>
      <c r="AB34" s="1053">
        <f t="shared" si="12"/>
        <v>0</v>
      </c>
      <c r="AC34" s="1054">
        <f t="shared" si="13"/>
        <v>0</v>
      </c>
      <c r="AD34" s="1054">
        <f t="shared" si="14"/>
        <v>0</v>
      </c>
      <c r="AE34" s="1055">
        <f t="shared" si="15"/>
        <v>0</v>
      </c>
      <c r="AF34" s="2"/>
      <c r="AG34" s="1090">
        <f t="shared" si="16"/>
        <v>0</v>
      </c>
      <c r="AH34" s="1091">
        <f t="shared" si="17"/>
        <v>0</v>
      </c>
      <c r="AI34" s="1054">
        <f t="shared" si="18"/>
        <v>0</v>
      </c>
      <c r="AJ34" s="1054">
        <f t="shared" si="19"/>
        <v>0</v>
      </c>
      <c r="AK34" s="1092">
        <f t="shared" si="6"/>
        <v>0</v>
      </c>
      <c r="AL34" s="2"/>
      <c r="AM34" s="1090">
        <f t="shared" si="7"/>
        <v>0</v>
      </c>
      <c r="AN34" s="1105">
        <f t="shared" si="20"/>
        <v>0</v>
      </c>
      <c r="AO34" s="1054">
        <f t="shared" si="21"/>
        <v>0</v>
      </c>
      <c r="AP34" s="1054">
        <f t="shared" si="22"/>
        <v>0</v>
      </c>
      <c r="AQ34" s="1092">
        <f t="shared" si="23"/>
        <v>0</v>
      </c>
      <c r="AR34" s="2"/>
      <c r="AS34" s="1090">
        <f t="shared" si="24"/>
        <v>0</v>
      </c>
      <c r="AT34" s="1091">
        <f t="shared" si="25"/>
        <v>0</v>
      </c>
      <c r="AU34" s="1054">
        <f t="shared" si="26"/>
        <v>0</v>
      </c>
      <c r="AV34" s="1054">
        <f t="shared" si="27"/>
        <v>0</v>
      </c>
      <c r="AW34" s="1092">
        <f t="shared" si="28"/>
        <v>0</v>
      </c>
      <c r="AX34" s="2"/>
      <c r="AY34" s="1090">
        <f t="shared" si="29"/>
        <v>0</v>
      </c>
      <c r="AZ34" s="1385"/>
      <c r="BA34" s="2"/>
    </row>
    <row r="35" spans="1:54" ht="20.25" customHeight="1" x14ac:dyDescent="0.2">
      <c r="A35" s="2"/>
      <c r="B35" s="18">
        <v>28</v>
      </c>
      <c r="C35" s="234">
        <f t="shared" si="30"/>
        <v>28</v>
      </c>
      <c r="D35" s="235">
        <f t="shared" si="8"/>
        <v>12</v>
      </c>
      <c r="E35" s="2159" t="str">
        <f t="shared" si="0"/>
        <v xml:space="preserve">attiva trim.  </v>
      </c>
      <c r="F35" s="2160"/>
      <c r="G35" s="237"/>
      <c r="H35" s="237"/>
      <c r="I35" s="828"/>
      <c r="J35" s="829"/>
      <c r="K35" s="237"/>
      <c r="L35" s="828"/>
      <c r="M35" s="829"/>
      <c r="N35" s="237"/>
      <c r="O35" s="828"/>
      <c r="P35" s="829"/>
      <c r="Q35" s="6"/>
      <c r="R35" s="1053">
        <f t="shared" si="9"/>
        <v>0</v>
      </c>
      <c r="S35" s="1054">
        <f t="shared" si="1"/>
        <v>0</v>
      </c>
      <c r="T35" s="1054">
        <f t="shared" si="10"/>
        <v>0</v>
      </c>
      <c r="U35" s="1055">
        <f t="shared" si="11"/>
        <v>0</v>
      </c>
      <c r="V35" s="231">
        <f t="shared" si="31"/>
        <v>45654</v>
      </c>
      <c r="W35" s="1053">
        <f t="shared" si="2"/>
        <v>0</v>
      </c>
      <c r="X35" s="1054">
        <f t="shared" si="3"/>
        <v>0</v>
      </c>
      <c r="Y35" s="1054">
        <f t="shared" si="4"/>
        <v>0</v>
      </c>
      <c r="Z35" s="1055">
        <f t="shared" si="5"/>
        <v>0</v>
      </c>
      <c r="AA35" s="822">
        <f>VLOOKUP(V35,CASSA!$B$114:$C$479,2,FALSE)</f>
        <v>0</v>
      </c>
      <c r="AB35" s="1053">
        <f t="shared" si="12"/>
        <v>0</v>
      </c>
      <c r="AC35" s="1054">
        <f t="shared" si="13"/>
        <v>0</v>
      </c>
      <c r="AD35" s="1054">
        <f t="shared" si="14"/>
        <v>0</v>
      </c>
      <c r="AE35" s="1055">
        <f t="shared" si="15"/>
        <v>0</v>
      </c>
      <c r="AF35" s="2"/>
      <c r="AG35" s="1090">
        <f t="shared" si="16"/>
        <v>0</v>
      </c>
      <c r="AH35" s="1091">
        <f t="shared" si="17"/>
        <v>0</v>
      </c>
      <c r="AI35" s="1054">
        <f t="shared" si="18"/>
        <v>0</v>
      </c>
      <c r="AJ35" s="1054">
        <f t="shared" si="19"/>
        <v>0</v>
      </c>
      <c r="AK35" s="1092">
        <f t="shared" si="6"/>
        <v>0</v>
      </c>
      <c r="AL35" s="2"/>
      <c r="AM35" s="1090">
        <f t="shared" si="7"/>
        <v>0</v>
      </c>
      <c r="AN35" s="1105">
        <f t="shared" si="20"/>
        <v>0</v>
      </c>
      <c r="AO35" s="1054">
        <f t="shared" si="21"/>
        <v>0</v>
      </c>
      <c r="AP35" s="1054">
        <f t="shared" si="22"/>
        <v>0</v>
      </c>
      <c r="AQ35" s="1092">
        <f t="shared" si="23"/>
        <v>0</v>
      </c>
      <c r="AR35" s="2"/>
      <c r="AS35" s="1090">
        <f t="shared" si="24"/>
        <v>0</v>
      </c>
      <c r="AT35" s="1091">
        <f t="shared" si="25"/>
        <v>0</v>
      </c>
      <c r="AU35" s="1054">
        <f t="shared" si="26"/>
        <v>0</v>
      </c>
      <c r="AV35" s="1054">
        <f t="shared" si="27"/>
        <v>0</v>
      </c>
      <c r="AW35" s="1092">
        <f t="shared" si="28"/>
        <v>0</v>
      </c>
      <c r="AX35" s="2"/>
      <c r="AY35" s="1090">
        <f t="shared" si="29"/>
        <v>0</v>
      </c>
      <c r="AZ35" s="1385"/>
      <c r="BA35" s="2"/>
    </row>
    <row r="36" spans="1:54" ht="20.25" customHeight="1" x14ac:dyDescent="0.2">
      <c r="A36" s="2"/>
      <c r="B36" s="18">
        <v>29</v>
      </c>
      <c r="C36" s="234">
        <f t="shared" si="30"/>
        <v>29</v>
      </c>
      <c r="D36" s="235">
        <f t="shared" si="8"/>
        <v>12</v>
      </c>
      <c r="E36" s="2159" t="str">
        <f t="shared" si="0"/>
        <v xml:space="preserve">attiva trim.  </v>
      </c>
      <c r="F36" s="2160"/>
      <c r="G36" s="237"/>
      <c r="H36" s="237"/>
      <c r="I36" s="828"/>
      <c r="J36" s="829"/>
      <c r="K36" s="237"/>
      <c r="L36" s="828"/>
      <c r="M36" s="829"/>
      <c r="N36" s="237"/>
      <c r="O36" s="828"/>
      <c r="P36" s="829"/>
      <c r="Q36" s="6"/>
      <c r="R36" s="1053">
        <f t="shared" si="9"/>
        <v>0</v>
      </c>
      <c r="S36" s="1054">
        <f t="shared" si="1"/>
        <v>0</v>
      </c>
      <c r="T36" s="1054">
        <f t="shared" si="10"/>
        <v>0</v>
      </c>
      <c r="U36" s="1055">
        <f t="shared" si="11"/>
        <v>0</v>
      </c>
      <c r="V36" s="231">
        <f t="shared" si="31"/>
        <v>45655</v>
      </c>
      <c r="W36" s="1053">
        <f t="shared" si="2"/>
        <v>0</v>
      </c>
      <c r="X36" s="1054">
        <f t="shared" si="3"/>
        <v>0</v>
      </c>
      <c r="Y36" s="1054">
        <f t="shared" si="4"/>
        <v>0</v>
      </c>
      <c r="Z36" s="1055">
        <f t="shared" si="5"/>
        <v>0</v>
      </c>
      <c r="AA36" s="822">
        <f>VLOOKUP(V36,CASSA!$B$114:$C$479,2,FALSE)</f>
        <v>0</v>
      </c>
      <c r="AB36" s="1053">
        <f t="shared" si="12"/>
        <v>0</v>
      </c>
      <c r="AC36" s="1054">
        <f t="shared" si="13"/>
        <v>0</v>
      </c>
      <c r="AD36" s="1054">
        <f t="shared" si="14"/>
        <v>0</v>
      </c>
      <c r="AE36" s="1055">
        <f t="shared" si="15"/>
        <v>0</v>
      </c>
      <c r="AF36" s="2"/>
      <c r="AG36" s="1090">
        <f t="shared" si="16"/>
        <v>0</v>
      </c>
      <c r="AH36" s="1091">
        <f t="shared" si="17"/>
        <v>0</v>
      </c>
      <c r="AI36" s="1054">
        <f t="shared" si="18"/>
        <v>0</v>
      </c>
      <c r="AJ36" s="1054">
        <f t="shared" si="19"/>
        <v>0</v>
      </c>
      <c r="AK36" s="1092">
        <f t="shared" si="6"/>
        <v>0</v>
      </c>
      <c r="AL36" s="2"/>
      <c r="AM36" s="1090">
        <f t="shared" si="7"/>
        <v>0</v>
      </c>
      <c r="AN36" s="1105">
        <f t="shared" si="20"/>
        <v>0</v>
      </c>
      <c r="AO36" s="1054">
        <f t="shared" si="21"/>
        <v>0</v>
      </c>
      <c r="AP36" s="1054">
        <f t="shared" si="22"/>
        <v>0</v>
      </c>
      <c r="AQ36" s="1092">
        <f t="shared" si="23"/>
        <v>0</v>
      </c>
      <c r="AR36" s="2"/>
      <c r="AS36" s="1090">
        <f t="shared" si="24"/>
        <v>0</v>
      </c>
      <c r="AT36" s="1091">
        <f t="shared" si="25"/>
        <v>0</v>
      </c>
      <c r="AU36" s="1054">
        <f t="shared" si="26"/>
        <v>0</v>
      </c>
      <c r="AV36" s="1054">
        <f t="shared" si="27"/>
        <v>0</v>
      </c>
      <c r="AW36" s="1092">
        <f t="shared" si="28"/>
        <v>0</v>
      </c>
      <c r="AX36" s="2"/>
      <c r="AY36" s="1090">
        <f t="shared" si="29"/>
        <v>0</v>
      </c>
      <c r="AZ36" s="1385"/>
      <c r="BA36" s="2"/>
    </row>
    <row r="37" spans="1:54" ht="20.25" customHeight="1" x14ac:dyDescent="0.2">
      <c r="A37" s="2"/>
      <c r="B37" s="18">
        <v>30</v>
      </c>
      <c r="C37" s="234">
        <f t="shared" si="30"/>
        <v>30</v>
      </c>
      <c r="D37" s="235">
        <f t="shared" si="8"/>
        <v>12</v>
      </c>
      <c r="E37" s="2159" t="str">
        <f t="shared" si="0"/>
        <v xml:space="preserve">attiva trim.  </v>
      </c>
      <c r="F37" s="2160"/>
      <c r="G37" s="237"/>
      <c r="H37" s="237"/>
      <c r="I37" s="828"/>
      <c r="J37" s="829"/>
      <c r="K37" s="237"/>
      <c r="L37" s="828"/>
      <c r="M37" s="829"/>
      <c r="N37" s="237"/>
      <c r="O37" s="828"/>
      <c r="P37" s="829"/>
      <c r="Q37" s="6"/>
      <c r="R37" s="1053">
        <f t="shared" si="9"/>
        <v>0</v>
      </c>
      <c r="S37" s="1054">
        <f t="shared" si="1"/>
        <v>0</v>
      </c>
      <c r="T37" s="1054">
        <f t="shared" si="10"/>
        <v>0</v>
      </c>
      <c r="U37" s="1055">
        <f t="shared" si="11"/>
        <v>0</v>
      </c>
      <c r="V37" s="231">
        <f t="shared" si="31"/>
        <v>45656</v>
      </c>
      <c r="W37" s="1053">
        <f t="shared" si="2"/>
        <v>0</v>
      </c>
      <c r="X37" s="1054">
        <f t="shared" si="3"/>
        <v>0</v>
      </c>
      <c r="Y37" s="1054">
        <f t="shared" si="4"/>
        <v>0</v>
      </c>
      <c r="Z37" s="1055">
        <f t="shared" si="5"/>
        <v>0</v>
      </c>
      <c r="AA37" s="822">
        <f>VLOOKUP(V37,CASSA!$B$114:$C$479,2,FALSE)</f>
        <v>0</v>
      </c>
      <c r="AB37" s="1053">
        <f t="shared" si="12"/>
        <v>0</v>
      </c>
      <c r="AC37" s="1054">
        <f t="shared" si="13"/>
        <v>0</v>
      </c>
      <c r="AD37" s="1054">
        <f t="shared" si="14"/>
        <v>0</v>
      </c>
      <c r="AE37" s="1055">
        <f t="shared" si="15"/>
        <v>0</v>
      </c>
      <c r="AF37" s="2"/>
      <c r="AG37" s="1090">
        <f t="shared" si="16"/>
        <v>0</v>
      </c>
      <c r="AH37" s="1091">
        <f t="shared" si="17"/>
        <v>0</v>
      </c>
      <c r="AI37" s="1054">
        <f t="shared" si="18"/>
        <v>0</v>
      </c>
      <c r="AJ37" s="1054">
        <f t="shared" si="19"/>
        <v>0</v>
      </c>
      <c r="AK37" s="1092">
        <f t="shared" si="6"/>
        <v>0</v>
      </c>
      <c r="AL37" s="2"/>
      <c r="AM37" s="1090">
        <f t="shared" si="7"/>
        <v>0</v>
      </c>
      <c r="AN37" s="1105">
        <f t="shared" si="20"/>
        <v>0</v>
      </c>
      <c r="AO37" s="1054">
        <f t="shared" si="21"/>
        <v>0</v>
      </c>
      <c r="AP37" s="1054">
        <f t="shared" si="22"/>
        <v>0</v>
      </c>
      <c r="AQ37" s="1092">
        <f t="shared" si="23"/>
        <v>0</v>
      </c>
      <c r="AR37" s="2"/>
      <c r="AS37" s="1090">
        <f t="shared" si="24"/>
        <v>0</v>
      </c>
      <c r="AT37" s="1091">
        <f t="shared" si="25"/>
        <v>0</v>
      </c>
      <c r="AU37" s="1054">
        <f t="shared" si="26"/>
        <v>0</v>
      </c>
      <c r="AV37" s="1054">
        <f t="shared" si="27"/>
        <v>0</v>
      </c>
      <c r="AW37" s="1092">
        <f t="shared" si="28"/>
        <v>0</v>
      </c>
      <c r="AX37" s="2"/>
      <c r="AY37" s="1090">
        <f t="shared" si="29"/>
        <v>0</v>
      </c>
      <c r="AZ37" s="1385"/>
      <c r="BA37" s="2"/>
    </row>
    <row r="38" spans="1:54" ht="20.25" customHeight="1" x14ac:dyDescent="0.2">
      <c r="A38" s="2"/>
      <c r="B38" s="18">
        <v>31</v>
      </c>
      <c r="C38" s="234">
        <f t="shared" si="30"/>
        <v>31</v>
      </c>
      <c r="D38" s="235">
        <f t="shared" si="8"/>
        <v>12</v>
      </c>
      <c r="E38" s="2162" t="str">
        <f t="shared" si="0"/>
        <v xml:space="preserve">attiva trim.  </v>
      </c>
      <c r="F38" s="2163"/>
      <c r="G38" s="824"/>
      <c r="H38" s="824"/>
      <c r="I38" s="836"/>
      <c r="J38" s="837"/>
      <c r="K38" s="824"/>
      <c r="L38" s="836"/>
      <c r="M38" s="837"/>
      <c r="N38" s="824"/>
      <c r="O38" s="836"/>
      <c r="P38" s="837"/>
      <c r="Q38" s="6"/>
      <c r="R38" s="1056">
        <f t="shared" si="9"/>
        <v>0</v>
      </c>
      <c r="S38" s="1057">
        <f t="shared" si="1"/>
        <v>0</v>
      </c>
      <c r="T38" s="1057">
        <f t="shared" si="10"/>
        <v>0</v>
      </c>
      <c r="U38" s="1058">
        <f t="shared" si="11"/>
        <v>0</v>
      </c>
      <c r="V38" s="231">
        <f t="shared" si="31"/>
        <v>45657</v>
      </c>
      <c r="W38" s="1056">
        <f t="shared" si="2"/>
        <v>0</v>
      </c>
      <c r="X38" s="1057">
        <f t="shared" si="3"/>
        <v>0</v>
      </c>
      <c r="Y38" s="1057">
        <f t="shared" si="4"/>
        <v>0</v>
      </c>
      <c r="Z38" s="1058">
        <f t="shared" si="5"/>
        <v>0</v>
      </c>
      <c r="AA38" s="822">
        <f>VLOOKUP(V38,CASSA!$B$114:$C$479,2,FALSE)</f>
        <v>0</v>
      </c>
      <c r="AB38" s="1056">
        <f t="shared" si="12"/>
        <v>0</v>
      </c>
      <c r="AC38" s="1057">
        <f t="shared" si="13"/>
        <v>0</v>
      </c>
      <c r="AD38" s="1057">
        <f t="shared" si="14"/>
        <v>0</v>
      </c>
      <c r="AE38" s="1058">
        <f t="shared" si="15"/>
        <v>0</v>
      </c>
      <c r="AF38" s="2"/>
      <c r="AG38" s="1093">
        <f t="shared" si="16"/>
        <v>0</v>
      </c>
      <c r="AH38" s="1094">
        <f t="shared" si="17"/>
        <v>0</v>
      </c>
      <c r="AI38" s="1057">
        <f t="shared" si="18"/>
        <v>0</v>
      </c>
      <c r="AJ38" s="1057">
        <f t="shared" si="19"/>
        <v>0</v>
      </c>
      <c r="AK38" s="1095">
        <f t="shared" si="6"/>
        <v>0</v>
      </c>
      <c r="AL38" s="2"/>
      <c r="AM38" s="1093">
        <f t="shared" si="7"/>
        <v>0</v>
      </c>
      <c r="AN38" s="1106">
        <f t="shared" si="20"/>
        <v>0</v>
      </c>
      <c r="AO38" s="1057">
        <f t="shared" si="21"/>
        <v>0</v>
      </c>
      <c r="AP38" s="1057">
        <f t="shared" si="22"/>
        <v>0</v>
      </c>
      <c r="AQ38" s="1095">
        <f t="shared" si="23"/>
        <v>0</v>
      </c>
      <c r="AR38" s="2"/>
      <c r="AS38" s="1093">
        <f t="shared" si="24"/>
        <v>0</v>
      </c>
      <c r="AT38" s="1094">
        <f t="shared" si="25"/>
        <v>0</v>
      </c>
      <c r="AU38" s="1057">
        <f t="shared" si="26"/>
        <v>0</v>
      </c>
      <c r="AV38" s="1057">
        <f t="shared" si="27"/>
        <v>0</v>
      </c>
      <c r="AW38" s="1095">
        <f t="shared" si="28"/>
        <v>0</v>
      </c>
      <c r="AX38" s="2"/>
      <c r="AY38" s="1093">
        <f t="shared" si="29"/>
        <v>0</v>
      </c>
      <c r="AZ38" s="1386"/>
      <c r="BA38" s="2"/>
    </row>
    <row r="39" spans="1:54" ht="20.25" customHeight="1" x14ac:dyDescent="0.2">
      <c r="A39" s="2"/>
      <c r="B39" s="7"/>
      <c r="C39" s="2077" t="s">
        <v>177</v>
      </c>
      <c r="D39" s="2078"/>
      <c r="E39" s="2074">
        <f>IMPOSTAZIONI!AK265</f>
        <v>0</v>
      </c>
      <c r="F39" s="2075"/>
      <c r="G39" s="1440">
        <f>IF(ISERROR(G$155),0,SUM(G7:G38)-SUMIF($E8:$E38,$V4,G8:G38))</f>
        <v>0</v>
      </c>
      <c r="H39" s="1440">
        <f>IF(ISERROR(H$155),0,SUM(H7:H38)-SUMIF($E8:$E38,$V4,H8:H38))</f>
        <v>0</v>
      </c>
      <c r="I39" s="838"/>
      <c r="J39" s="839"/>
      <c r="K39" s="1440">
        <f>IF(ISERROR(I$155),0,SUM(K7:K38)-SUMIF($E8:$E38,$V4,K8:K38))</f>
        <v>0</v>
      </c>
      <c r="L39" s="838"/>
      <c r="M39" s="839"/>
      <c r="N39" s="1440">
        <f>IF(ISERROR(J$155),0,SUM(N7:N38)-SUMIF($E8:$E38,$V4,N8:N38))</f>
        <v>0</v>
      </c>
      <c r="O39" s="838"/>
      <c r="P39" s="839"/>
      <c r="Q39" s="6"/>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1383"/>
      <c r="BA39" s="2"/>
    </row>
    <row r="40" spans="1:54" ht="3" customHeight="1" x14ac:dyDescent="0.2">
      <c r="A40" s="2"/>
      <c r="B40" s="2"/>
      <c r="C40" s="8"/>
      <c r="D40" s="9"/>
      <c r="E40" s="825"/>
      <c r="F40" s="826"/>
      <c r="G40" s="827"/>
      <c r="H40" s="827"/>
      <c r="I40" s="825"/>
      <c r="J40" s="826"/>
      <c r="K40" s="827"/>
      <c r="L40" s="825"/>
      <c r="M40" s="826"/>
      <c r="N40" s="827"/>
      <c r="O40" s="825"/>
      <c r="P40" s="826"/>
      <c r="Q40" s="6"/>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row>
    <row r="41" spans="1:54" ht="6" customHeight="1" x14ac:dyDescent="0.2">
      <c r="A41" s="2"/>
      <c r="B41" s="2"/>
      <c r="C41" s="10"/>
      <c r="D41" s="10"/>
      <c r="E41" s="11"/>
      <c r="F41" s="11"/>
      <c r="G41" s="11"/>
      <c r="H41" s="11"/>
      <c r="I41" s="11"/>
      <c r="J41" s="11"/>
      <c r="K41" s="11"/>
      <c r="L41" s="11"/>
      <c r="M41" s="11"/>
      <c r="N41" s="11"/>
      <c r="O41" s="11"/>
      <c r="P41" s="11"/>
      <c r="Q41" s="1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row>
    <row r="42" spans="1:54" ht="18.75" customHeight="1" x14ac:dyDescent="0.2">
      <c r="A42" s="2"/>
      <c r="B42" s="2"/>
      <c r="C42" s="946" t="s">
        <v>657</v>
      </c>
      <c r="D42" s="14"/>
      <c r="E42" s="12"/>
      <c r="F42" s="12"/>
      <c r="G42" s="957">
        <f>IMPOSTAZIONI!I33</f>
        <v>0</v>
      </c>
      <c r="H42" s="957">
        <f>IMPOSTAZIONI!M33</f>
        <v>0</v>
      </c>
      <c r="I42" s="12"/>
      <c r="J42" s="12"/>
      <c r="K42" s="957">
        <f>IMPOSTAZIONI!U33</f>
        <v>0</v>
      </c>
      <c r="L42" s="12"/>
      <c r="M42" s="12"/>
      <c r="N42" s="957">
        <f>IMPOSTAZIONI!AC33</f>
        <v>0</v>
      </c>
      <c r="O42" s="12"/>
      <c r="P42" s="12"/>
      <c r="Q42" s="12"/>
      <c r="R42" s="2"/>
      <c r="S42" s="591"/>
      <c r="T42" s="591"/>
      <c r="U42" s="591"/>
      <c r="V42" s="591"/>
      <c r="W42" s="591"/>
      <c r="X42" s="591"/>
      <c r="Y42" s="591"/>
      <c r="Z42" s="591"/>
      <c r="AA42" s="591"/>
      <c r="AB42" s="591"/>
      <c r="AC42" s="591"/>
      <c r="AD42" s="591"/>
      <c r="AE42" s="591"/>
      <c r="AF42" s="591"/>
      <c r="AG42" s="591"/>
      <c r="AH42" s="591"/>
      <c r="AI42" s="591"/>
      <c r="AJ42" s="591"/>
      <c r="AK42" s="591"/>
      <c r="AL42" s="591"/>
      <c r="AM42" s="591"/>
      <c r="AN42" s="591"/>
      <c r="AO42" s="591"/>
      <c r="AP42" s="591"/>
      <c r="AQ42" s="591"/>
      <c r="AR42" s="591"/>
      <c r="AS42" s="591"/>
      <c r="AT42" s="591"/>
      <c r="AU42" s="591"/>
      <c r="AV42" s="591"/>
      <c r="AW42" s="591"/>
      <c r="AX42" s="591"/>
      <c r="AY42" s="591"/>
      <c r="AZ42" s="2"/>
      <c r="BA42" s="2"/>
      <c r="BB42" s="591"/>
    </row>
    <row r="43" spans="1:54" ht="18" customHeight="1" x14ac:dyDescent="0.2">
      <c r="A43" s="2"/>
      <c r="B43" s="2"/>
      <c r="C43" s="2161" t="s">
        <v>175</v>
      </c>
      <c r="D43" s="2161"/>
      <c r="E43" s="2076">
        <f>C6</f>
        <v>2024</v>
      </c>
      <c r="F43" s="2076"/>
      <c r="G43" s="888" t="str">
        <f>G6</f>
        <v/>
      </c>
      <c r="H43" s="889" t="str">
        <f>H6</f>
        <v/>
      </c>
      <c r="I43" s="2"/>
      <c r="J43" s="2"/>
      <c r="K43" s="887" t="str">
        <f>K6</f>
        <v/>
      </c>
      <c r="L43" s="2"/>
      <c r="M43" s="2"/>
      <c r="N43" s="887" t="str">
        <f>N6</f>
        <v/>
      </c>
      <c r="O43" s="2"/>
      <c r="P43" s="2"/>
      <c r="Q43" s="12"/>
      <c r="R43" s="2"/>
      <c r="S43" s="591"/>
      <c r="T43" s="591"/>
      <c r="U43" s="591"/>
      <c r="V43" s="591"/>
      <c r="W43" s="591"/>
      <c r="X43" s="591"/>
      <c r="Y43" s="591"/>
      <c r="Z43" s="591"/>
      <c r="AA43" s="591"/>
      <c r="AB43" s="591"/>
      <c r="AC43" s="591"/>
      <c r="AD43" s="591"/>
      <c r="AE43" s="591"/>
      <c r="AF43" s="591"/>
      <c r="AG43" s="591"/>
      <c r="AH43" s="591"/>
      <c r="AI43" s="591"/>
      <c r="AJ43" s="591"/>
      <c r="AK43" s="591"/>
      <c r="AL43" s="591"/>
      <c r="AM43" s="591"/>
      <c r="AN43" s="591"/>
      <c r="AO43" s="591"/>
      <c r="AP43" s="591"/>
      <c r="AQ43" s="591"/>
      <c r="AR43" s="591"/>
      <c r="AS43" s="591"/>
      <c r="AT43" s="591"/>
      <c r="AU43" s="591"/>
      <c r="AV43" s="591"/>
      <c r="AW43" s="591"/>
      <c r="AX43" s="591"/>
      <c r="AY43" s="591"/>
      <c r="AZ43" s="2"/>
      <c r="BA43" s="2"/>
      <c r="BB43" s="591"/>
    </row>
    <row r="44" spans="1:54" ht="22.5" customHeight="1" x14ac:dyDescent="0.2">
      <c r="A44" s="2"/>
      <c r="B44" s="2"/>
      <c r="C44" s="2091" t="s">
        <v>298</v>
      </c>
      <c r="D44" s="2091"/>
      <c r="E44" s="2091"/>
      <c r="F44" s="2091"/>
      <c r="G44" s="57" t="str">
        <f t="shared" ref="G44:K45" si="32">G4</f>
        <v/>
      </c>
      <c r="H44" s="57" t="str">
        <f t="shared" si="32"/>
        <v/>
      </c>
      <c r="I44" s="2034">
        <f>IF(I4=K130,"",I4)</f>
        <v>0</v>
      </c>
      <c r="J44" s="2034"/>
      <c r="K44" s="57" t="str">
        <f t="shared" si="32"/>
        <v/>
      </c>
      <c r="L44" s="2034">
        <f>IF(L4=K130,"",L4)</f>
        <v>0</v>
      </c>
      <c r="M44" s="2034"/>
      <c r="N44" s="57" t="str">
        <f>N4</f>
        <v/>
      </c>
      <c r="O44" s="2034">
        <f>IF(O4=K130,"",O4)</f>
        <v>0</v>
      </c>
      <c r="P44" s="2034"/>
      <c r="Q44" s="12"/>
      <c r="R44" s="2"/>
      <c r="S44" s="591"/>
      <c r="T44" s="591"/>
      <c r="U44" s="591"/>
      <c r="V44" s="591"/>
      <c r="W44" s="591"/>
      <c r="X44" s="591"/>
      <c r="Y44" s="591"/>
      <c r="Z44" s="591"/>
      <c r="AA44" s="591"/>
      <c r="AB44" s="591"/>
      <c r="AC44" s="591"/>
      <c r="AD44" s="591"/>
      <c r="AE44" s="591"/>
      <c r="AF44" s="591"/>
      <c r="AG44" s="591"/>
      <c r="AH44" s="591"/>
      <c r="AI44" s="591"/>
      <c r="AJ44" s="591"/>
      <c r="AK44" s="591"/>
      <c r="AL44" s="591"/>
      <c r="AM44" s="591"/>
      <c r="AN44" s="591"/>
      <c r="AO44" s="591"/>
      <c r="AP44" s="591"/>
      <c r="AQ44" s="591"/>
      <c r="AR44" s="591"/>
      <c r="AS44" s="591"/>
      <c r="AT44" s="591"/>
      <c r="AU44" s="591"/>
      <c r="AV44" s="591"/>
      <c r="AW44" s="591"/>
      <c r="AX44" s="591"/>
      <c r="AY44" s="591"/>
      <c r="AZ44" s="2"/>
      <c r="BA44" s="2"/>
      <c r="BB44" s="591"/>
    </row>
    <row r="45" spans="1:54" ht="22.5" customHeight="1" x14ac:dyDescent="0.2">
      <c r="A45" s="2"/>
      <c r="B45" s="2"/>
      <c r="C45" s="2081" t="s">
        <v>321</v>
      </c>
      <c r="D45" s="2081"/>
      <c r="E45" s="2082"/>
      <c r="F45" s="2082"/>
      <c r="G45" s="58" t="str">
        <f t="shared" si="32"/>
        <v/>
      </c>
      <c r="H45" s="58" t="str">
        <f t="shared" si="32"/>
        <v/>
      </c>
      <c r="I45" s="488" t="str">
        <f>I6</f>
        <v>DAL</v>
      </c>
      <c r="J45" s="489" t="str">
        <f>J6</f>
        <v>AL</v>
      </c>
      <c r="K45" s="58" t="str">
        <f t="shared" si="32"/>
        <v/>
      </c>
      <c r="L45" s="488" t="str">
        <f>L6</f>
        <v>DAL</v>
      </c>
      <c r="M45" s="489" t="str">
        <f>M6</f>
        <v>AL</v>
      </c>
      <c r="N45" s="58" t="str">
        <f>N5</f>
        <v/>
      </c>
      <c r="O45" s="488" t="str">
        <f>O6</f>
        <v>DAL</v>
      </c>
      <c r="P45" s="489" t="str">
        <f>P6</f>
        <v>AL</v>
      </c>
      <c r="Q45" s="12"/>
      <c r="R45" s="2"/>
      <c r="S45" s="591"/>
      <c r="T45" s="591"/>
      <c r="U45" s="591"/>
      <c r="V45" s="591"/>
      <c r="W45" s="591"/>
      <c r="X45" s="591"/>
      <c r="Y45" s="591"/>
      <c r="Z45" s="591"/>
      <c r="AA45" s="591"/>
      <c r="AB45" s="591"/>
      <c r="AC45" s="591"/>
      <c r="AD45" s="591"/>
      <c r="AE45" s="591"/>
      <c r="AF45" s="591"/>
      <c r="AG45" s="591"/>
      <c r="AH45" s="591"/>
      <c r="AI45" s="591"/>
      <c r="AJ45" s="591"/>
      <c r="AK45" s="591"/>
      <c r="AL45" s="591"/>
      <c r="AM45" s="591"/>
      <c r="AN45" s="591"/>
      <c r="AO45" s="591"/>
      <c r="AP45" s="591"/>
      <c r="AQ45" s="591"/>
      <c r="AR45" s="591"/>
      <c r="AS45" s="591"/>
      <c r="AT45" s="591"/>
      <c r="AU45" s="591"/>
      <c r="AV45" s="591"/>
      <c r="AW45" s="591"/>
      <c r="AX45" s="591"/>
      <c r="AY45" s="591"/>
      <c r="AZ45" s="2"/>
      <c r="BA45" s="2"/>
      <c r="BB45" s="591"/>
    </row>
    <row r="46" spans="1:54" ht="21.95" customHeight="1" x14ac:dyDescent="0.2">
      <c r="A46" s="2"/>
      <c r="B46" s="7"/>
      <c r="C46" s="2079" t="s">
        <v>193</v>
      </c>
      <c r="D46" s="2080"/>
      <c r="E46" s="2157">
        <f>IF(E150=1,SUM(E8:E38),SUM(G46:H46)+K46+N46-SUMIF(G42:N42,K134,G46:N46))</f>
        <v>0</v>
      </c>
      <c r="F46" s="2158"/>
      <c r="G46" s="881">
        <f>IF(ISERROR(G$155),0,SUM(G8:G38)-SUMIF($E8:$E38,$V4,G8:G38)+IF(ISERROR(VLOOKUP(G1,IMPOSTAZIONI!$B$401:$AM$407,$E$149,FALSE)),0,VLOOKUP(G1,IMPOSTAZIONI!$B$401:$AM$407,$E$149,FALSE)))</f>
        <v>0</v>
      </c>
      <c r="H46" s="882">
        <f>IF(ISERROR(H$155),0,SUM(H8:H38)-SUMIF($E8:$E38,$V4,H8:H38)+IF(ISERROR(VLOOKUP(H1,IMPOSTAZIONI!$B$401:$AM$407,$E$149,FALSE)),0,VLOOKUP(H1,IMPOSTAZIONI!$B$401:$AM$407,$E$149,FALSE)))</f>
        <v>0</v>
      </c>
      <c r="I46" s="884"/>
      <c r="J46" s="883"/>
      <c r="K46" s="297">
        <f>IF(ISERROR(I$155),0,SUM(K8:K38)-SUMIF($E8:$E38,$V4,K8:K38)+IF(ISERROR(VLOOKUP(K1,IMPOSTAZIONI!$B$401:$AM$407,$E$149,FALSE)),0,VLOOKUP(K1,IMPOSTAZIONI!$B$401:$AM$407,$E$149,FALSE)))</f>
        <v>0</v>
      </c>
      <c r="L46" s="884"/>
      <c r="M46" s="883"/>
      <c r="N46" s="297">
        <f>IF(ISERROR(J$155),0,SUM(N8:N38)-SUMIF($E8:$E38,$V4,N8:N38)+IF(ISERROR(VLOOKUP(N1,IMPOSTAZIONI!$B$401:$AM$407,$E$149,FALSE)),0,VLOOKUP(N1,IMPOSTAZIONI!$B$401:$AM$407,$E$149,FALSE)))</f>
        <v>0</v>
      </c>
      <c r="O46" s="885"/>
      <c r="P46" s="886"/>
      <c r="Q46" s="12"/>
      <c r="R46" s="2"/>
      <c r="S46" s="591"/>
      <c r="T46" s="591"/>
      <c r="U46" s="591"/>
      <c r="V46" s="591"/>
      <c r="W46" s="591"/>
      <c r="X46" s="591"/>
      <c r="Y46" s="591"/>
      <c r="Z46" s="591"/>
      <c r="AA46" s="591"/>
      <c r="AB46" s="591"/>
      <c r="AC46" s="591"/>
      <c r="AD46" s="591"/>
      <c r="AE46" s="591"/>
      <c r="AF46" s="591"/>
      <c r="AG46" s="591"/>
      <c r="AH46" s="591"/>
      <c r="AI46" s="591"/>
      <c r="AJ46" s="591"/>
      <c r="AK46" s="591"/>
      <c r="AL46" s="591"/>
      <c r="AM46" s="591"/>
      <c r="AN46" s="591"/>
      <c r="AO46" s="591"/>
      <c r="AP46" s="591"/>
      <c r="AQ46" s="591"/>
      <c r="AR46" s="591"/>
      <c r="AS46" s="591"/>
      <c r="AT46" s="591"/>
      <c r="AU46" s="591"/>
      <c r="AV46" s="591"/>
      <c r="AW46" s="591"/>
      <c r="AX46" s="591"/>
      <c r="AY46" s="591"/>
      <c r="AZ46" s="2"/>
      <c r="BA46" s="2"/>
      <c r="BB46" s="591"/>
    </row>
    <row r="47" spans="1:54" ht="16.5" customHeight="1" x14ac:dyDescent="0.2">
      <c r="A47" s="2"/>
      <c r="B47" s="7"/>
      <c r="C47" s="2179" t="s">
        <v>194</v>
      </c>
      <c r="D47" s="2180"/>
      <c r="E47" s="2177">
        <f>E46-E48</f>
        <v>0</v>
      </c>
      <c r="F47" s="2178"/>
      <c r="G47" s="238">
        <f>G46-G48</f>
        <v>0</v>
      </c>
      <c r="H47" s="652">
        <f>H46-H48</f>
        <v>0</v>
      </c>
      <c r="I47" s="2"/>
      <c r="J47" s="2"/>
      <c r="K47" s="654">
        <f>K46-K48</f>
        <v>0</v>
      </c>
      <c r="L47" s="2"/>
      <c r="M47" s="2"/>
      <c r="N47" s="654">
        <f>N46-N48</f>
        <v>0</v>
      </c>
      <c r="O47" s="2"/>
      <c r="P47" s="2"/>
      <c r="Q47" s="12"/>
      <c r="R47" s="2"/>
      <c r="S47" s="591"/>
      <c r="T47" s="591"/>
      <c r="U47" s="591"/>
      <c r="V47" s="591"/>
      <c r="W47" s="591"/>
      <c r="X47" s="591"/>
      <c r="Y47" s="591"/>
      <c r="Z47" s="591"/>
      <c r="AA47" s="591"/>
      <c r="AB47" s="591"/>
      <c r="AC47" s="591"/>
      <c r="AD47" s="591"/>
      <c r="AE47" s="591"/>
      <c r="AF47" s="591"/>
      <c r="AG47" s="591"/>
      <c r="AH47" s="591"/>
      <c r="AI47" s="591"/>
      <c r="AJ47" s="591"/>
      <c r="AK47" s="591"/>
      <c r="AL47" s="591"/>
      <c r="AM47" s="591"/>
      <c r="AN47" s="591"/>
      <c r="AO47" s="591"/>
      <c r="AP47" s="591"/>
      <c r="AQ47" s="591"/>
      <c r="AR47" s="591"/>
      <c r="AS47" s="591"/>
      <c r="AT47" s="591"/>
      <c r="AU47" s="591"/>
      <c r="AV47" s="591"/>
      <c r="AW47" s="591"/>
      <c r="AX47" s="591"/>
      <c r="AY47" s="591"/>
      <c r="AZ47" s="2"/>
      <c r="BA47" s="2"/>
      <c r="BB47" s="591"/>
    </row>
    <row r="48" spans="1:54" ht="16.5" customHeight="1" x14ac:dyDescent="0.2">
      <c r="A48" s="2"/>
      <c r="B48" s="7"/>
      <c r="C48" s="2070" t="s">
        <v>195</v>
      </c>
      <c r="D48" s="2071"/>
      <c r="E48" s="2181">
        <f>IF(I163=0,0,SUM(G48:H48)+K48+N48-SUMIF(G42:N42,K134,G48:N48))</f>
        <v>0</v>
      </c>
      <c r="F48" s="2182"/>
      <c r="G48" s="239">
        <f>IF(AND(C61=1,G63&lt;&gt;0),G87,IF(G152=0,SUM(R8:R38)-SUMIF($E8:$E38,$V4,R8:R38)+VLOOKUP(G1,IMPOSTAZIONI!$B$419:$AK$425,$E$149,FALSE),G98))</f>
        <v>0</v>
      </c>
      <c r="H48" s="653">
        <f>IF(AND(C61=1,H63&lt;&gt;0),H87,IF(H152=0,SUM(S8:S38)-SUMIF($E8:$E38,$V4,S8:S38)+VLOOKUP(H1,IMPOSTAZIONI!$B$419:$AK$425,$E$149,FALSE),H98))</f>
        <v>0</v>
      </c>
      <c r="I48" s="59"/>
      <c r="J48" s="139"/>
      <c r="K48" s="655">
        <f>IF(AND(C61=1,K63&lt;&gt;0),I87,IF(I152=0,SUM(T8:T38)-SUMIF($E8:$E38,$V4,T8:T38)+VLOOKUP(K1,IMPOSTAZIONI!$B$419:$AK$425,$E$149,FALSE),K98))</f>
        <v>0</v>
      </c>
      <c r="L48" s="59"/>
      <c r="M48" s="139"/>
      <c r="N48" s="655">
        <f>IF(AND(C61=1,N63&lt;&gt;0),K87,IF(J152=0,SUM(U8:U38)-SUMIF($E8:$E38,$V4,U8:U38)+VLOOKUP(N1,IMPOSTAZIONI!$B$419:$AK$425,$E$149,FALSE),N98))</f>
        <v>0</v>
      </c>
      <c r="O48" s="2"/>
      <c r="P48" s="2"/>
      <c r="Q48" s="13"/>
      <c r="R48" s="2"/>
      <c r="S48" s="591"/>
      <c r="T48" s="591"/>
      <c r="U48" s="591"/>
      <c r="V48" s="591"/>
      <c r="W48" s="591"/>
      <c r="X48" s="591"/>
      <c r="Y48" s="591"/>
      <c r="Z48" s="591"/>
      <c r="AA48" s="591"/>
      <c r="AB48" s="591"/>
      <c r="AC48" s="591"/>
      <c r="AD48" s="591"/>
      <c r="AE48" s="591"/>
      <c r="AF48" s="591"/>
      <c r="AG48" s="591"/>
      <c r="AH48" s="591"/>
      <c r="AI48" s="591"/>
      <c r="AJ48" s="591"/>
      <c r="AK48" s="591"/>
      <c r="AL48" s="591"/>
      <c r="AM48" s="591"/>
      <c r="AN48" s="591"/>
      <c r="AO48" s="591"/>
      <c r="AP48" s="591"/>
      <c r="AQ48" s="591"/>
      <c r="AR48" s="591"/>
      <c r="AS48" s="591"/>
      <c r="AT48" s="591"/>
      <c r="AU48" s="591"/>
      <c r="AV48" s="591"/>
      <c r="AW48" s="591"/>
      <c r="AX48" s="591"/>
      <c r="AY48" s="591"/>
      <c r="AZ48" s="2"/>
      <c r="BA48" s="2"/>
      <c r="BB48" s="591"/>
    </row>
    <row r="49" spans="1:54" ht="37.5" customHeight="1" x14ac:dyDescent="0.2">
      <c r="A49" s="2"/>
      <c r="B49" s="2"/>
      <c r="C49" s="14"/>
      <c r="D49" s="14"/>
      <c r="E49" s="12"/>
      <c r="F49" s="12"/>
      <c r="G49" s="11"/>
      <c r="H49" s="11"/>
      <c r="I49" s="12"/>
      <c r="J49" s="12"/>
      <c r="K49" s="11"/>
      <c r="L49" s="12"/>
      <c r="M49" s="12"/>
      <c r="N49" s="11"/>
      <c r="O49" s="12"/>
      <c r="P49" s="12"/>
      <c r="Q49" s="12"/>
      <c r="R49" s="12"/>
      <c r="S49" s="1308"/>
      <c r="T49" s="1308"/>
      <c r="U49" s="591"/>
      <c r="V49" s="591"/>
      <c r="W49" s="591"/>
      <c r="X49" s="591"/>
      <c r="Y49" s="591"/>
      <c r="Z49" s="591"/>
      <c r="AA49" s="591"/>
      <c r="AB49" s="591"/>
      <c r="AC49" s="591"/>
      <c r="AD49" s="591"/>
      <c r="AE49" s="591"/>
      <c r="AF49" s="591"/>
      <c r="AG49" s="591"/>
      <c r="AH49" s="591"/>
      <c r="AI49" s="591"/>
      <c r="AJ49" s="591"/>
      <c r="AK49" s="591"/>
      <c r="AL49" s="591"/>
      <c r="AM49" s="591"/>
      <c r="AN49" s="591"/>
      <c r="AO49" s="591"/>
      <c r="AP49" s="591"/>
      <c r="AQ49" s="591"/>
      <c r="AR49" s="591"/>
      <c r="AS49" s="591"/>
      <c r="AT49" s="591"/>
      <c r="AU49" s="591"/>
      <c r="AV49" s="591"/>
      <c r="AW49" s="591"/>
      <c r="AX49" s="591"/>
      <c r="AY49" s="591"/>
      <c r="AZ49" s="2"/>
      <c r="BA49" s="2"/>
      <c r="BB49" s="591"/>
    </row>
    <row r="50" spans="1:54" ht="18.75" customHeight="1" x14ac:dyDescent="0.2">
      <c r="A50" s="2"/>
      <c r="B50" s="2"/>
      <c r="C50" s="2174" t="s">
        <v>196</v>
      </c>
      <c r="D50" s="2174"/>
      <c r="E50" s="2174"/>
      <c r="F50" s="96"/>
      <c r="G50" s="2225" t="s">
        <v>488</v>
      </c>
      <c r="H50" s="2226"/>
      <c r="I50" s="2226"/>
      <c r="J50" s="2226"/>
      <c r="K50" s="2226"/>
      <c r="L50" s="2226"/>
      <c r="M50" s="2227"/>
      <c r="N50" s="656"/>
      <c r="O50" s="656"/>
      <c r="P50" s="14"/>
      <c r="Q50" s="2"/>
      <c r="R50" s="15"/>
      <c r="S50" s="1309"/>
      <c r="T50" s="591"/>
      <c r="U50" s="591"/>
      <c r="V50" s="591"/>
      <c r="W50" s="591"/>
      <c r="X50" s="591"/>
      <c r="Y50" s="591"/>
      <c r="Z50" s="1308"/>
      <c r="AA50" s="1309"/>
      <c r="AB50" s="591"/>
      <c r="AC50" s="591"/>
      <c r="AD50" s="591"/>
      <c r="AE50" s="591"/>
      <c r="AF50" s="591"/>
      <c r="AG50" s="591"/>
      <c r="AH50" s="591"/>
      <c r="AI50" s="591"/>
      <c r="AJ50" s="591"/>
      <c r="AK50" s="591"/>
      <c r="AL50" s="591"/>
      <c r="AM50" s="591"/>
      <c r="AN50" s="591"/>
      <c r="AO50" s="591"/>
      <c r="AP50" s="591"/>
      <c r="AQ50" s="591"/>
      <c r="AR50" s="591"/>
      <c r="AS50" s="591"/>
      <c r="AT50" s="591"/>
      <c r="AU50" s="591"/>
      <c r="AV50" s="591"/>
      <c r="AW50" s="591"/>
      <c r="AX50" s="591"/>
      <c r="AY50" s="591"/>
      <c r="AZ50" s="2"/>
      <c r="BA50" s="2"/>
      <c r="BB50" s="591"/>
    </row>
    <row r="51" spans="1:54" ht="16.5" customHeight="1" x14ac:dyDescent="0.25">
      <c r="A51" s="2"/>
      <c r="B51" s="2"/>
      <c r="C51" s="2126" t="s">
        <v>197</v>
      </c>
      <c r="D51" s="2127"/>
      <c r="E51" s="2128"/>
      <c r="F51" s="554"/>
      <c r="G51" s="293" t="str">
        <f>VLOOKUP(M3,K144:M148,3,FALSE)</f>
        <v>IVA a debito</v>
      </c>
      <c r="H51" s="294" t="str">
        <f>VLOOKUP(M3,K144:O148,5,FALSE)</f>
        <v>IVA a credito</v>
      </c>
      <c r="I51" s="2214" t="s">
        <v>200</v>
      </c>
      <c r="J51" s="2215"/>
      <c r="K51" s="1303" t="s">
        <v>201</v>
      </c>
      <c r="L51" s="2214" t="s">
        <v>71</v>
      </c>
      <c r="M51" s="2215"/>
      <c r="N51" s="14"/>
      <c r="O51" s="14"/>
      <c r="P51" s="14"/>
      <c r="Q51" s="12"/>
      <c r="R51" s="2"/>
      <c r="S51" s="591"/>
      <c r="T51" s="591"/>
      <c r="U51" s="591"/>
      <c r="V51" s="591"/>
      <c r="W51" s="591"/>
      <c r="X51" s="591"/>
      <c r="Y51" s="591"/>
      <c r="Z51" s="591"/>
      <c r="AA51" s="591"/>
      <c r="AB51" s="591"/>
      <c r="AC51" s="591"/>
      <c r="AD51" s="591"/>
      <c r="AE51" s="591"/>
      <c r="AF51" s="591"/>
      <c r="AG51" s="591"/>
      <c r="AH51" s="591"/>
      <c r="AI51" s="591"/>
      <c r="AJ51" s="591"/>
      <c r="AK51" s="591"/>
      <c r="AL51" s="591"/>
      <c r="AM51" s="591"/>
      <c r="AN51" s="591"/>
      <c r="AO51" s="591"/>
      <c r="AP51" s="591"/>
      <c r="AQ51" s="591"/>
      <c r="AR51" s="591"/>
      <c r="AS51" s="591"/>
      <c r="AT51" s="591"/>
      <c r="AU51" s="591"/>
      <c r="AV51" s="591"/>
      <c r="AW51" s="591"/>
      <c r="AX51" s="591"/>
      <c r="AY51" s="591"/>
      <c r="AZ51" s="2"/>
      <c r="BA51" s="2"/>
      <c r="BB51" s="591"/>
    </row>
    <row r="52" spans="1:54" ht="16.5" customHeight="1" x14ac:dyDescent="0.2">
      <c r="A52" s="2"/>
      <c r="B52" s="2"/>
      <c r="C52" s="2129"/>
      <c r="D52" s="2130"/>
      <c r="E52" s="2131"/>
      <c r="F52" s="576"/>
      <c r="G52" s="295" t="str">
        <f>VLOOKUP(M3,K144:N148,4,FALSE)</f>
        <v>corrispettivi</v>
      </c>
      <c r="H52" s="296" t="str">
        <f>VLOOKUP(M3,K144:P148,6,FALSE)</f>
        <v>ACQUISTI</v>
      </c>
      <c r="I52" s="2212" t="s">
        <v>201</v>
      </c>
      <c r="J52" s="2213"/>
      <c r="K52" s="1304" t="s">
        <v>204</v>
      </c>
      <c r="L52" s="2212" t="s">
        <v>205</v>
      </c>
      <c r="M52" s="2213"/>
      <c r="N52" s="14"/>
      <c r="O52" s="14"/>
      <c r="P52" s="14"/>
      <c r="Q52" s="12"/>
      <c r="R52" s="2"/>
      <c r="S52" s="591"/>
      <c r="T52" s="591"/>
      <c r="U52" s="591"/>
      <c r="V52" s="591"/>
      <c r="W52" s="591"/>
      <c r="X52" s="591"/>
      <c r="Y52" s="591"/>
      <c r="Z52" s="591"/>
      <c r="AA52" s="591"/>
      <c r="AB52" s="591"/>
      <c r="AC52" s="591"/>
      <c r="AD52" s="591"/>
      <c r="AE52" s="591"/>
      <c r="AF52" s="591"/>
      <c r="AG52" s="591"/>
      <c r="AH52" s="591"/>
      <c r="AI52" s="591"/>
      <c r="AJ52" s="591"/>
      <c r="AK52" s="591"/>
      <c r="AL52" s="591"/>
      <c r="AM52" s="591"/>
      <c r="AN52" s="591"/>
      <c r="AO52" s="591"/>
      <c r="AP52" s="591"/>
      <c r="AQ52" s="591"/>
      <c r="AR52" s="591"/>
      <c r="AS52" s="591"/>
      <c r="AT52" s="591"/>
      <c r="AU52" s="591"/>
      <c r="AV52" s="591"/>
      <c r="AW52" s="591"/>
      <c r="AX52" s="591"/>
      <c r="AY52" s="591"/>
      <c r="AZ52" s="2"/>
      <c r="BA52" s="2"/>
      <c r="BB52" s="591"/>
    </row>
    <row r="53" spans="1:54" ht="16.5" customHeight="1" x14ac:dyDescent="0.2">
      <c r="A53" s="2"/>
      <c r="B53" s="2"/>
      <c r="C53" s="2132" t="s">
        <v>816</v>
      </c>
      <c r="D53" s="2133"/>
      <c r="E53" s="2134"/>
      <c r="F53" s="554"/>
      <c r="G53" s="2045">
        <f>E48</f>
        <v>0</v>
      </c>
      <c r="H53" s="2047"/>
      <c r="I53" s="2066">
        <f>G53+H53</f>
        <v>0</v>
      </c>
      <c r="J53" s="2067"/>
      <c r="K53" s="2183"/>
      <c r="L53" s="2066">
        <f>I53+K53</f>
        <v>0</v>
      </c>
      <c r="M53" s="2067"/>
      <c r="N53" s="14"/>
      <c r="O53" s="14"/>
      <c r="P53" s="14"/>
      <c r="Q53" s="12"/>
      <c r="R53" s="2"/>
      <c r="S53" s="591"/>
      <c r="T53" s="591"/>
      <c r="U53" s="591"/>
      <c r="V53" s="591"/>
      <c r="W53" s="591"/>
      <c r="X53" s="591"/>
      <c r="Y53" s="591"/>
      <c r="Z53" s="591"/>
      <c r="AA53" s="591"/>
      <c r="AB53" s="591"/>
      <c r="AC53" s="591"/>
      <c r="AD53" s="591"/>
      <c r="AE53" s="591"/>
      <c r="AF53" s="591"/>
      <c r="AG53" s="591"/>
      <c r="AH53" s="591"/>
      <c r="AI53" s="591"/>
      <c r="AJ53" s="591"/>
      <c r="AK53" s="591"/>
      <c r="AL53" s="591"/>
      <c r="AM53" s="591"/>
      <c r="AN53" s="591"/>
      <c r="AO53" s="591"/>
      <c r="AP53" s="591"/>
      <c r="AQ53" s="591"/>
      <c r="AR53" s="591"/>
      <c r="AS53" s="591"/>
      <c r="AT53" s="591"/>
      <c r="AU53" s="591"/>
      <c r="AV53" s="591"/>
      <c r="AW53" s="591"/>
      <c r="AX53" s="591"/>
      <c r="AY53" s="591"/>
      <c r="AZ53" s="2"/>
      <c r="BA53" s="2"/>
      <c r="BB53" s="591"/>
    </row>
    <row r="54" spans="1:54" ht="16.5" customHeight="1" x14ac:dyDescent="0.2">
      <c r="A54" s="2"/>
      <c r="B54" s="2"/>
      <c r="C54" s="2042"/>
      <c r="D54" s="2043"/>
      <c r="E54" s="2044"/>
      <c r="F54" s="577"/>
      <c r="G54" s="2046"/>
      <c r="H54" s="2048"/>
      <c r="I54" s="2068"/>
      <c r="J54" s="2069"/>
      <c r="K54" s="2184"/>
      <c r="L54" s="2068"/>
      <c r="M54" s="2069"/>
      <c r="N54" s="14"/>
      <c r="O54" s="14"/>
      <c r="P54" s="14"/>
      <c r="Q54" s="12"/>
      <c r="R54" s="2"/>
      <c r="S54" s="591"/>
      <c r="T54" s="591"/>
      <c r="U54" s="591"/>
      <c r="V54" s="591"/>
      <c r="W54" s="591"/>
      <c r="X54" s="591"/>
      <c r="Y54" s="591"/>
      <c r="Z54" s="591"/>
      <c r="AA54" s="591"/>
      <c r="AB54" s="591"/>
      <c r="AC54" s="591"/>
      <c r="AD54" s="591"/>
      <c r="AE54" s="591"/>
      <c r="AF54" s="591"/>
      <c r="AG54" s="591"/>
      <c r="AH54" s="591"/>
      <c r="AI54" s="591"/>
      <c r="AJ54" s="591"/>
      <c r="AK54" s="591"/>
      <c r="AL54" s="591"/>
      <c r="AM54" s="591"/>
      <c r="AN54" s="591"/>
      <c r="AO54" s="591"/>
      <c r="AP54" s="591"/>
      <c r="AQ54" s="591"/>
      <c r="AR54" s="591"/>
      <c r="AS54" s="591"/>
      <c r="AT54" s="591"/>
      <c r="AU54" s="591"/>
      <c r="AV54" s="591"/>
      <c r="AW54" s="591"/>
      <c r="AX54" s="591"/>
      <c r="AY54" s="591"/>
      <c r="AZ54" s="2"/>
      <c r="BA54" s="2"/>
      <c r="BB54" s="591"/>
    </row>
    <row r="55" spans="1:54" ht="16.5" customHeight="1" x14ac:dyDescent="0.2">
      <c r="A55" s="2"/>
      <c r="B55" s="2"/>
      <c r="C55" s="2132" t="s">
        <v>815</v>
      </c>
      <c r="D55" s="2133"/>
      <c r="E55" s="2134"/>
      <c r="F55" s="555"/>
      <c r="G55" s="16" t="s">
        <v>206</v>
      </c>
      <c r="H55" s="890" t="s">
        <v>207</v>
      </c>
      <c r="I55" s="2120" t="str">
        <f>VLOOKUP(M3,K144:Q148,7,FALSE)</f>
        <v>DEBITO +</v>
      </c>
      <c r="J55" s="2121"/>
      <c r="K55" s="891" t="s">
        <v>208</v>
      </c>
      <c r="L55" s="2120" t="str">
        <f>VLOOKUP(M3,K144:T148,9,FALSE)</f>
        <v>DEBITO +</v>
      </c>
      <c r="M55" s="2121"/>
      <c r="N55" s="14"/>
      <c r="O55" s="14"/>
      <c r="P55" s="12"/>
      <c r="Q55" s="2"/>
      <c r="R55" s="2"/>
      <c r="S55" s="591"/>
      <c r="T55" s="591"/>
      <c r="U55" s="591"/>
      <c r="V55" s="591"/>
      <c r="W55" s="591"/>
      <c r="X55" s="591"/>
      <c r="Y55" s="591"/>
      <c r="Z55" s="591"/>
      <c r="AA55" s="591"/>
      <c r="AB55" s="591"/>
      <c r="AC55" s="591"/>
      <c r="AD55" s="591"/>
      <c r="AE55" s="591"/>
      <c r="AF55" s="591"/>
      <c r="AG55" s="591"/>
      <c r="AH55" s="591"/>
      <c r="AI55" s="591"/>
      <c r="AJ55" s="591"/>
      <c r="AK55" s="591"/>
      <c r="AL55" s="591"/>
      <c r="AM55" s="591"/>
      <c r="AN55" s="591"/>
      <c r="AO55" s="591"/>
      <c r="AP55" s="591"/>
      <c r="AQ55" s="591"/>
      <c r="AR55" s="591"/>
      <c r="AS55" s="591"/>
      <c r="AT55" s="591"/>
      <c r="AU55" s="591"/>
      <c r="AV55" s="591"/>
      <c r="AW55" s="591"/>
      <c r="AX55" s="591"/>
      <c r="AY55" s="591"/>
      <c r="AZ55" s="2"/>
      <c r="BA55" s="2"/>
      <c r="BB55" s="591"/>
    </row>
    <row r="56" spans="1:54" ht="16.5" customHeight="1" x14ac:dyDescent="0.2">
      <c r="A56" s="2"/>
      <c r="B56" s="2"/>
      <c r="C56" s="2138"/>
      <c r="D56" s="2139"/>
      <c r="E56" s="1215"/>
      <c r="F56" s="514"/>
      <c r="G56" s="97"/>
      <c r="H56" s="14"/>
      <c r="I56" s="2123" t="str">
        <f>VLOOKUP(M3,K144:R148,8,FALSE)</f>
        <v>CREDITO -</v>
      </c>
      <c r="J56" s="2124"/>
      <c r="K56" s="14"/>
      <c r="L56" s="2123" t="str">
        <f>VLOOKUP(M3,K144:T148,10,FALSE)</f>
        <v>CREDITO -</v>
      </c>
      <c r="M56" s="2124"/>
      <c r="N56" s="14"/>
      <c r="O56" s="2122"/>
      <c r="P56" s="2122"/>
      <c r="Q56" s="14"/>
      <c r="R56" s="2"/>
      <c r="S56" s="591"/>
      <c r="T56" s="591"/>
      <c r="U56" s="591"/>
      <c r="V56" s="591"/>
      <c r="W56" s="591"/>
      <c r="X56" s="591"/>
      <c r="Y56" s="591"/>
      <c r="Z56" s="591"/>
      <c r="AA56" s="591"/>
      <c r="AB56" s="591"/>
      <c r="AC56" s="591"/>
      <c r="AD56" s="591"/>
      <c r="AE56" s="591"/>
      <c r="AF56" s="591"/>
      <c r="AG56" s="591"/>
      <c r="AH56" s="591"/>
      <c r="AI56" s="591"/>
      <c r="AJ56" s="591"/>
      <c r="AK56" s="591"/>
      <c r="AL56" s="591"/>
      <c r="AM56" s="591"/>
      <c r="AN56" s="591"/>
      <c r="AO56" s="591"/>
      <c r="AP56" s="591"/>
      <c r="AQ56" s="591"/>
      <c r="AR56" s="591"/>
      <c r="AS56" s="591"/>
      <c r="AT56" s="591"/>
      <c r="AU56" s="591"/>
      <c r="AV56" s="591"/>
      <c r="AW56" s="591"/>
      <c r="AX56" s="591"/>
      <c r="AY56" s="591"/>
      <c r="AZ56" s="2"/>
      <c r="BA56" s="2"/>
      <c r="BB56" s="591"/>
    </row>
    <row r="57" spans="1:54" ht="30" customHeight="1" x14ac:dyDescent="0.2">
      <c r="A57" s="2"/>
      <c r="B57" s="17"/>
      <c r="C57" s="2144" t="s">
        <v>346</v>
      </c>
      <c r="D57" s="2144"/>
      <c r="E57" s="2145"/>
      <c r="F57" s="2145"/>
      <c r="G57" s="892" t="s">
        <v>347</v>
      </c>
      <c r="H57" s="892"/>
      <c r="I57" s="892"/>
      <c r="J57" s="892"/>
      <c r="K57" s="892"/>
      <c r="L57" s="892"/>
      <c r="M57" s="892"/>
      <c r="N57" s="892"/>
      <c r="O57" s="2211" t="s">
        <v>405</v>
      </c>
      <c r="P57" s="2211"/>
      <c r="Q57" s="255"/>
      <c r="R57" s="255"/>
      <c r="S57" s="1307"/>
      <c r="T57" s="1307"/>
      <c r="U57" s="591"/>
      <c r="V57" s="591"/>
      <c r="W57" s="591"/>
      <c r="X57" s="591"/>
      <c r="Y57" s="591"/>
      <c r="Z57" s="591"/>
      <c r="AA57" s="1307"/>
      <c r="AB57" s="1307"/>
      <c r="AC57" s="591"/>
      <c r="AD57" s="591"/>
      <c r="AE57" s="591"/>
      <c r="AF57" s="591"/>
      <c r="AG57" s="591"/>
      <c r="AH57" s="591"/>
      <c r="AI57" s="591"/>
      <c r="AJ57" s="591"/>
      <c r="AK57" s="591"/>
      <c r="AL57" s="591"/>
      <c r="AM57" s="591"/>
      <c r="AN57" s="591"/>
      <c r="AO57" s="591"/>
      <c r="AP57" s="591"/>
      <c r="AQ57" s="591"/>
      <c r="AR57" s="591"/>
      <c r="AS57" s="591"/>
      <c r="AT57" s="591"/>
      <c r="AU57" s="591"/>
      <c r="AV57" s="591"/>
      <c r="AW57" s="591"/>
      <c r="AX57" s="591"/>
      <c r="AY57" s="591"/>
      <c r="AZ57" s="2"/>
      <c r="BA57" s="2"/>
      <c r="BB57" s="591"/>
    </row>
    <row r="58" spans="1:54" ht="24.75" customHeight="1" x14ac:dyDescent="0.2">
      <c r="A58" s="2"/>
      <c r="B58" s="2"/>
      <c r="C58" s="2143">
        <f>IMPOSTAZIONI!T73</f>
        <v>0</v>
      </c>
      <c r="D58" s="2143"/>
      <c r="E58" s="2143"/>
      <c r="F58" s="2143"/>
      <c r="G58" s="893" t="str">
        <f>IMPOSTAZIONI!Y75</f>
        <v>Indirizzo esteso UBICAZIONE dell' Esercizio (facoltativo)</v>
      </c>
      <c r="H58" s="893"/>
      <c r="I58" s="893"/>
      <c r="J58" s="893"/>
      <c r="K58" s="893"/>
      <c r="L58" s="893"/>
      <c r="M58" s="893"/>
      <c r="N58" s="893"/>
      <c r="O58" s="1113" t="s">
        <v>344</v>
      </c>
      <c r="P58" s="2119">
        <v>12</v>
      </c>
      <c r="Q58" s="2119"/>
      <c r="R58" s="14"/>
      <c r="S58" s="591"/>
      <c r="T58" s="591"/>
      <c r="U58" s="591"/>
      <c r="V58" s="591"/>
      <c r="W58" s="591"/>
      <c r="X58" s="591"/>
      <c r="Y58" s="591"/>
      <c r="Z58" s="591"/>
      <c r="AA58" s="591"/>
      <c r="AB58" s="591"/>
      <c r="AC58" s="591"/>
      <c r="AD58" s="591"/>
      <c r="AE58" s="591"/>
      <c r="AF58" s="591"/>
      <c r="AG58" s="591"/>
      <c r="AH58" s="591"/>
      <c r="AI58" s="591"/>
      <c r="AJ58" s="591"/>
      <c r="AK58" s="591"/>
      <c r="AL58" s="591"/>
      <c r="AM58" s="591"/>
      <c r="AN58" s="591"/>
      <c r="AO58" s="591"/>
      <c r="AP58" s="591"/>
      <c r="AQ58" s="591"/>
      <c r="AR58" s="591"/>
      <c r="AS58" s="591"/>
      <c r="AT58" s="591"/>
      <c r="AU58" s="591"/>
      <c r="AV58" s="591"/>
      <c r="AW58" s="591"/>
      <c r="AX58" s="591"/>
      <c r="AY58" s="591"/>
      <c r="AZ58" s="2"/>
      <c r="BA58" s="2"/>
      <c r="BB58" s="591"/>
    </row>
    <row r="59" spans="1:54" ht="15.75" customHeight="1" x14ac:dyDescent="0.2">
      <c r="A59" s="2"/>
      <c r="B59" s="2"/>
      <c r="C59" s="2146" t="s">
        <v>248</v>
      </c>
      <c r="D59" s="2146"/>
      <c r="E59" s="2146"/>
      <c r="F59" s="2"/>
      <c r="G59" s="2"/>
      <c r="H59" s="2"/>
      <c r="I59" s="2"/>
      <c r="J59" s="2"/>
      <c r="K59" s="2"/>
      <c r="L59" s="2"/>
      <c r="M59" s="2"/>
      <c r="N59" s="2"/>
      <c r="O59" s="2"/>
      <c r="P59" s="2"/>
      <c r="Q59" s="2"/>
      <c r="R59" s="2"/>
      <c r="S59" s="591"/>
      <c r="T59" s="591"/>
      <c r="U59" s="591"/>
      <c r="V59" s="591"/>
      <c r="W59" s="591"/>
      <c r="X59" s="591"/>
      <c r="Y59" s="591"/>
      <c r="Z59" s="591"/>
      <c r="AA59" s="591"/>
      <c r="AB59" s="591"/>
      <c r="AC59" s="591"/>
      <c r="AD59" s="591"/>
      <c r="AE59" s="591"/>
      <c r="AF59" s="591"/>
      <c r="AG59" s="591"/>
      <c r="AH59" s="591"/>
      <c r="AI59" s="591"/>
      <c r="AJ59" s="591"/>
      <c r="AK59" s="591"/>
      <c r="AL59" s="591"/>
      <c r="AM59" s="591"/>
      <c r="AN59" s="591"/>
      <c r="AO59" s="591"/>
      <c r="AP59" s="591"/>
      <c r="AQ59" s="591"/>
      <c r="AR59" s="591"/>
      <c r="AS59" s="591"/>
      <c r="AT59" s="591"/>
      <c r="AU59" s="591"/>
      <c r="AV59" s="591"/>
      <c r="AW59" s="591"/>
      <c r="AX59" s="591"/>
      <c r="AY59" s="591"/>
      <c r="AZ59" s="591"/>
      <c r="BA59" s="591"/>
      <c r="BB59" s="591"/>
    </row>
    <row r="60" spans="1:54" ht="15" hidden="1" customHeight="1" x14ac:dyDescent="0.2">
      <c r="A60" s="2"/>
      <c r="B60" s="2"/>
      <c r="C60" s="2"/>
      <c r="D60" s="2"/>
      <c r="E60" s="2"/>
      <c r="F60" s="2"/>
      <c r="G60" s="2"/>
      <c r="H60" s="2"/>
      <c r="I60" s="2"/>
      <c r="J60" s="2"/>
      <c r="K60" s="2"/>
      <c r="L60" s="2"/>
      <c r="M60" s="2"/>
      <c r="N60" s="2"/>
      <c r="O60" s="2"/>
      <c r="P60" s="1012" t="s">
        <v>765</v>
      </c>
      <c r="Q60" s="2"/>
      <c r="R60" s="2"/>
      <c r="S60" s="591"/>
      <c r="T60" s="591"/>
      <c r="U60" s="591"/>
      <c r="V60" s="591"/>
      <c r="W60" s="591"/>
      <c r="X60" s="591"/>
      <c r="Y60" s="591"/>
      <c r="Z60" s="591"/>
      <c r="AA60" s="591"/>
      <c r="AB60" s="591"/>
      <c r="AC60" s="591"/>
      <c r="AD60" s="591"/>
      <c r="AE60" s="591"/>
      <c r="AF60" s="591"/>
      <c r="AG60" s="591"/>
      <c r="AH60" s="591"/>
      <c r="AI60" s="591"/>
      <c r="AJ60" s="591"/>
      <c r="AK60" s="591"/>
      <c r="AL60" s="591"/>
      <c r="AM60" s="591"/>
      <c r="AN60" s="591"/>
      <c r="AO60" s="591"/>
      <c r="AP60" s="591"/>
      <c r="AQ60" s="591"/>
      <c r="AR60" s="591"/>
      <c r="AS60" s="591"/>
      <c r="AT60" s="591"/>
      <c r="AU60" s="591"/>
      <c r="AV60" s="591"/>
      <c r="AW60" s="591"/>
      <c r="AX60" s="591"/>
      <c r="AY60" s="591"/>
      <c r="AZ60" s="591"/>
      <c r="BA60" s="591"/>
      <c r="BB60" s="591"/>
    </row>
    <row r="61" spans="1:54" ht="16.5" hidden="1" customHeight="1" x14ac:dyDescent="0.2">
      <c r="A61" s="2"/>
      <c r="B61" s="2"/>
      <c r="C61" s="1369">
        <f>IF(M3=K147,0,IF(T65=0,0,IF(E8=CONCATENATE(L131,"  "),0,IF(COUNTIF(G62:N62,$L$134)&gt;0,1,0))))</f>
        <v>0</v>
      </c>
      <c r="D61" s="1369">
        <f>IMPOSTAZIONI!H35</f>
        <v>0</v>
      </c>
      <c r="E61" s="2"/>
      <c r="F61" s="2"/>
      <c r="G61" s="1010" t="str">
        <f>IMPOSTAZIONI!$I$19</f>
        <v>Colonna 1</v>
      </c>
      <c r="H61" s="1010" t="str">
        <f>IMPOSTAZIONI!$M$19</f>
        <v>Colonna 2</v>
      </c>
      <c r="I61" s="101"/>
      <c r="J61" s="101"/>
      <c r="K61" s="1010" t="str">
        <f>IMPOSTAZIONI!$U$19</f>
        <v>Colonna 3</v>
      </c>
      <c r="L61" s="101"/>
      <c r="M61" s="101"/>
      <c r="N61" s="1010" t="str">
        <f>IMPOSTAZIONI!$AC$19</f>
        <v>Colonna 4</v>
      </c>
      <c r="O61" s="2"/>
      <c r="P61" s="1013" t="s">
        <v>766</v>
      </c>
      <c r="Q61" s="2"/>
      <c r="R61" s="2"/>
      <c r="S61" s="591"/>
      <c r="T61" s="591"/>
      <c r="U61" s="591"/>
      <c r="V61" s="591"/>
      <c r="W61" s="591"/>
      <c r="X61" s="591"/>
      <c r="Y61" s="591"/>
      <c r="Z61" s="591"/>
      <c r="AA61" s="591"/>
      <c r="AB61" s="591"/>
      <c r="AC61" s="591"/>
      <c r="AD61" s="591"/>
      <c r="AE61" s="591"/>
      <c r="AF61" s="591"/>
      <c r="AG61" s="591"/>
      <c r="AH61" s="591"/>
      <c r="AI61" s="591"/>
      <c r="AJ61" s="591"/>
      <c r="AK61" s="591"/>
      <c r="AL61" s="591"/>
      <c r="AM61" s="591"/>
      <c r="AN61" s="591"/>
      <c r="AO61" s="591"/>
      <c r="AP61" s="591"/>
      <c r="AQ61" s="591"/>
      <c r="AR61" s="591"/>
      <c r="AS61" s="591"/>
      <c r="AT61" s="591"/>
      <c r="AU61" s="591"/>
      <c r="AV61" s="591"/>
      <c r="AW61" s="591"/>
      <c r="AX61" s="591"/>
      <c r="AY61" s="591"/>
      <c r="AZ61" s="591"/>
      <c r="BA61" s="591"/>
      <c r="BB61" s="591"/>
    </row>
    <row r="62" spans="1:54" ht="20.25" hidden="1" customHeight="1" x14ac:dyDescent="0.2">
      <c r="A62" s="2"/>
      <c r="B62" s="2"/>
      <c r="C62" s="2"/>
      <c r="D62" s="2"/>
      <c r="E62" s="2"/>
      <c r="F62" s="2"/>
      <c r="G62" s="1011" t="str">
        <f>IF(IMPOSTAZIONI!$I$35=0,$L$135,IMPOSTAZIONI!$I$35)</f>
        <v>SCORPORO</v>
      </c>
      <c r="H62" s="1011" t="str">
        <f>IF(IMPOSTAZIONI!$M$35=0,$L$135,IMPOSTAZIONI!$M$35)</f>
        <v>SCORPORO</v>
      </c>
      <c r="I62" s="101"/>
      <c r="J62" s="101"/>
      <c r="K62" s="1011" t="str">
        <f>IF(IMPOSTAZIONI!$U$35=0,$L$135,IMPOSTAZIONI!$U$35)</f>
        <v>SCORPORO</v>
      </c>
      <c r="L62" s="101"/>
      <c r="M62" s="101"/>
      <c r="N62" s="1011" t="str">
        <f>IF(IMPOSTAZIONI!$AC$35=0,$L$135,IMPOSTAZIONI!$AC$35)</f>
        <v>SCORPORO</v>
      </c>
      <c r="O62" s="2"/>
      <c r="P62" s="2"/>
      <c r="Q62" s="2"/>
      <c r="R62" s="2"/>
      <c r="S62" s="2"/>
      <c r="T62" s="2"/>
      <c r="U62" s="2"/>
      <c r="V62" s="2"/>
      <c r="W62" s="2"/>
      <c r="X62" s="2"/>
      <c r="Y62" s="2"/>
      <c r="Z62" s="2"/>
      <c r="AA62" s="2"/>
      <c r="AB62" s="591"/>
      <c r="AC62" s="591"/>
      <c r="AD62" s="591"/>
      <c r="AE62" s="591"/>
      <c r="AF62" s="591"/>
      <c r="AG62" s="591"/>
      <c r="AH62" s="591"/>
      <c r="AI62" s="591"/>
      <c r="AJ62" s="591"/>
      <c r="AK62" s="591"/>
      <c r="AL62" s="591"/>
      <c r="AM62" s="591"/>
      <c r="AN62" s="591"/>
      <c r="AO62" s="591"/>
      <c r="AP62" s="591"/>
      <c r="AQ62" s="591"/>
      <c r="AR62" s="591"/>
      <c r="AS62" s="591"/>
      <c r="AT62" s="591"/>
      <c r="AU62" s="591"/>
      <c r="AV62" s="591"/>
      <c r="AW62" s="591"/>
      <c r="AX62" s="591"/>
      <c r="AY62" s="591"/>
      <c r="AZ62" s="591"/>
      <c r="BA62" s="591"/>
      <c r="BB62" s="591"/>
    </row>
    <row r="63" spans="1:54" ht="20.25" hidden="1" customHeight="1" x14ac:dyDescent="0.2">
      <c r="A63" s="2"/>
      <c r="B63" s="2"/>
      <c r="C63" s="2"/>
      <c r="D63" s="2"/>
      <c r="E63" s="2"/>
      <c r="F63" s="966" t="s">
        <v>814</v>
      </c>
      <c r="G63" s="965">
        <f>IF(G62=$L134,ROUND(G46,2),0)</f>
        <v>0</v>
      </c>
      <c r="H63" s="964">
        <f>IF(H62=$L134,ROUND(H46,2),0)</f>
        <v>0</v>
      </c>
      <c r="I63" s="2"/>
      <c r="J63" s="2"/>
      <c r="K63" s="963">
        <f>IF(K62=$L134,ROUND(K46,2),0)</f>
        <v>0</v>
      </c>
      <c r="L63" s="2"/>
      <c r="M63" s="2"/>
      <c r="N63" s="963">
        <f>IF(N62=$L134,ROUND(N46,2),0)</f>
        <v>0</v>
      </c>
      <c r="O63" s="2"/>
      <c r="P63" s="2"/>
      <c r="Q63" s="2"/>
      <c r="R63" s="2"/>
      <c r="S63" s="2"/>
      <c r="T63" s="2"/>
      <c r="U63" s="2"/>
      <c r="V63" s="2"/>
      <c r="W63" s="2"/>
      <c r="X63" s="2"/>
      <c r="Y63" s="2"/>
      <c r="Z63" s="2"/>
      <c r="AA63" s="2"/>
      <c r="AB63" s="591"/>
      <c r="AC63" s="591"/>
      <c r="AD63" s="591"/>
      <c r="AE63" s="591"/>
      <c r="AF63" s="591"/>
      <c r="AG63" s="591"/>
      <c r="AH63" s="591"/>
      <c r="AI63" s="591"/>
      <c r="AJ63" s="591"/>
      <c r="AK63" s="591"/>
      <c r="AL63" s="591"/>
      <c r="AM63" s="591"/>
      <c r="AN63" s="591"/>
      <c r="AO63" s="591"/>
      <c r="AP63" s="591"/>
      <c r="AQ63" s="591"/>
      <c r="AR63" s="591"/>
      <c r="AS63" s="591"/>
      <c r="AT63" s="591"/>
      <c r="AU63" s="591"/>
      <c r="AV63" s="591"/>
      <c r="AW63" s="591"/>
      <c r="AX63" s="591"/>
      <c r="AY63" s="591"/>
      <c r="AZ63" s="591"/>
      <c r="BA63" s="591"/>
      <c r="BB63" s="591"/>
    </row>
    <row r="64" spans="1:54" ht="3.75" hidden="1"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591"/>
      <c r="AC64" s="591"/>
      <c r="AD64" s="591"/>
      <c r="AE64" s="591"/>
      <c r="AF64" s="591"/>
      <c r="AG64" s="591"/>
      <c r="AH64" s="591"/>
      <c r="AI64" s="591"/>
      <c r="AJ64" s="591"/>
      <c r="AK64" s="591"/>
      <c r="AL64" s="591"/>
      <c r="AM64" s="591"/>
      <c r="AN64" s="591"/>
      <c r="AO64" s="591"/>
      <c r="AP64" s="591"/>
      <c r="AQ64" s="591"/>
      <c r="AR64" s="591"/>
      <c r="AS64" s="591"/>
      <c r="AT64" s="591"/>
      <c r="AU64" s="591"/>
      <c r="AV64" s="591"/>
      <c r="AW64" s="591"/>
      <c r="AX64" s="591"/>
      <c r="AY64" s="591"/>
      <c r="AZ64" s="591"/>
      <c r="BA64" s="591"/>
      <c r="BB64" s="591"/>
    </row>
    <row r="65" spans="1:54" ht="20.25" hidden="1" customHeight="1" x14ac:dyDescent="0.2">
      <c r="A65" s="2"/>
      <c r="B65" s="2"/>
      <c r="C65" s="2"/>
      <c r="D65" s="2"/>
      <c r="E65" s="2"/>
      <c r="F65" s="966" t="s">
        <v>744</v>
      </c>
      <c r="G65" s="967">
        <f>G63+H63+K63+N63</f>
        <v>0</v>
      </c>
      <c r="H65" s="1114" t="str">
        <f>IF(M3=K147,"",CONCATENATE("VENTILAZIONE ",IMPOSTAZIONI!D35,IMPOSTAZIONI!B32))</f>
        <v xml:space="preserve">VENTILAZIONE </v>
      </c>
      <c r="I65" s="2"/>
      <c r="J65" s="2"/>
      <c r="K65" s="2"/>
      <c r="L65" s="2"/>
      <c r="M65" s="2"/>
      <c r="N65" s="2"/>
      <c r="O65" s="2"/>
      <c r="P65" s="2"/>
      <c r="Q65" s="2"/>
      <c r="R65" s="2"/>
      <c r="S65" s="1111" t="str">
        <f>IMPOSTAZIONI!H143</f>
        <v>MENSILE</v>
      </c>
      <c r="T65" s="2019">
        <f>IMPOSTAZIONI!D35</f>
        <v>0</v>
      </c>
      <c r="U65" s="1116" t="str">
        <f>$C182</f>
        <v>01/01 - 31/12</v>
      </c>
      <c r="V65" s="1081" t="s">
        <v>790</v>
      </c>
      <c r="W65" s="2"/>
      <c r="X65" s="2"/>
      <c r="Y65" s="1081" t="s">
        <v>792</v>
      </c>
      <c r="Z65" s="2"/>
      <c r="AA65" s="2"/>
      <c r="AB65" s="591"/>
      <c r="AC65" s="591"/>
      <c r="AD65" s="591"/>
      <c r="AE65" s="591"/>
      <c r="AF65" s="591"/>
      <c r="AG65" s="591"/>
      <c r="AH65" s="591"/>
      <c r="AI65" s="591"/>
      <c r="AJ65" s="591"/>
      <c r="AK65" s="591"/>
      <c r="AL65" s="591"/>
      <c r="AM65" s="591"/>
      <c r="AN65" s="591"/>
      <c r="AO65" s="591"/>
      <c r="AP65" s="591"/>
      <c r="AQ65" s="591"/>
      <c r="AR65" s="591"/>
      <c r="AS65" s="591"/>
      <c r="AT65" s="591"/>
      <c r="AU65" s="591"/>
      <c r="AV65" s="591"/>
      <c r="AW65" s="591"/>
      <c r="AX65" s="591"/>
      <c r="AY65" s="591"/>
      <c r="AZ65" s="591"/>
      <c r="BA65" s="591"/>
      <c r="BB65" s="591"/>
    </row>
    <row r="66" spans="1:54" ht="20.25" hidden="1" customHeight="1" x14ac:dyDescent="0.2">
      <c r="A66" s="2"/>
      <c r="B66" s="2"/>
      <c r="C66" s="2"/>
      <c r="D66" s="2"/>
      <c r="E66" s="2"/>
      <c r="F66" s="2"/>
      <c r="G66" s="2"/>
      <c r="H66" s="10"/>
      <c r="I66" s="10"/>
      <c r="J66" s="10"/>
      <c r="K66" s="10"/>
      <c r="L66" s="10"/>
      <c r="M66" s="10"/>
      <c r="N66" s="1008" t="s">
        <v>746</v>
      </c>
      <c r="O66" s="2"/>
      <c r="P66" s="2"/>
      <c r="Q66" s="2"/>
      <c r="R66" s="2"/>
      <c r="S66" s="1112" t="str">
        <f>IMPOSTAZIONI!H144</f>
        <v>TRIMESTRALE</v>
      </c>
      <c r="T66" s="2020"/>
      <c r="U66" s="806" t="str">
        <f>U65</f>
        <v>01/01 - 31/12</v>
      </c>
      <c r="V66" s="478" t="s">
        <v>790</v>
      </c>
      <c r="W66" s="2"/>
      <c r="X66" s="2"/>
      <c r="Y66" s="478" t="s">
        <v>792</v>
      </c>
      <c r="Z66" s="2"/>
      <c r="AA66" s="2"/>
      <c r="AB66" s="591"/>
      <c r="AC66" s="591"/>
      <c r="AD66" s="591"/>
      <c r="AE66" s="591"/>
      <c r="AF66" s="591"/>
      <c r="AG66" s="591"/>
      <c r="AH66" s="591"/>
      <c r="AI66" s="591"/>
      <c r="AJ66" s="591"/>
      <c r="AK66" s="591"/>
      <c r="AM66" s="591"/>
      <c r="AN66" s="591"/>
      <c r="AO66" s="591"/>
      <c r="AP66" s="591"/>
      <c r="AQ66" s="591"/>
      <c r="AS66" s="591"/>
      <c r="AT66" s="591"/>
      <c r="AU66" s="591"/>
      <c r="AV66" s="591"/>
      <c r="AW66" s="591"/>
      <c r="AY66" s="591"/>
    </row>
    <row r="67" spans="1:54" ht="24" hidden="1" customHeight="1" x14ac:dyDescent="0.2">
      <c r="A67" s="2"/>
      <c r="B67" s="2"/>
      <c r="C67" s="1183" t="s">
        <v>747</v>
      </c>
      <c r="D67" s="1165"/>
      <c r="E67" s="1165"/>
      <c r="F67" s="1165"/>
      <c r="G67" s="1197" t="e">
        <f>VLOOKUP(T65,S65:V66,4,FALSE)</f>
        <v>#N/A</v>
      </c>
      <c r="H67" s="1165"/>
      <c r="I67" s="2136" t="s">
        <v>748</v>
      </c>
      <c r="J67" s="2136"/>
      <c r="K67" s="1167"/>
      <c r="L67" s="14"/>
      <c r="M67" s="14"/>
      <c r="N67" s="1009" t="s">
        <v>749</v>
      </c>
      <c r="O67" s="2"/>
      <c r="P67" s="2"/>
      <c r="Q67" s="2"/>
      <c r="R67" s="2"/>
      <c r="S67" s="1129" t="e">
        <f>VLOOKUP(G67,V65:Y66,4,FALSE)</f>
        <v>#N/A</v>
      </c>
      <c r="T67" s="1115" t="str">
        <f>IF(T65=S66,U66,U65)</f>
        <v>01/01 - 31/12</v>
      </c>
      <c r="U67" s="2"/>
      <c r="V67" s="2"/>
      <c r="W67" s="2"/>
      <c r="X67" s="2"/>
      <c r="Y67" s="2"/>
      <c r="Z67" s="2"/>
      <c r="AA67" s="2"/>
      <c r="AB67" s="591"/>
      <c r="AC67" s="591"/>
      <c r="AD67" s="591"/>
      <c r="AE67" s="591"/>
      <c r="AF67" s="591"/>
      <c r="AG67" s="591"/>
      <c r="AH67" s="591"/>
      <c r="AI67" s="591"/>
      <c r="AJ67" s="591"/>
      <c r="AK67" s="591"/>
      <c r="AM67" s="591"/>
      <c r="AN67" s="591"/>
      <c r="AO67" s="591"/>
      <c r="AP67" s="591"/>
      <c r="AQ67" s="591"/>
      <c r="AS67" s="591"/>
      <c r="AT67" s="591"/>
      <c r="AU67" s="591"/>
      <c r="AV67" s="591"/>
      <c r="AW67" s="591"/>
      <c r="AY67" s="591"/>
    </row>
    <row r="68" spans="1:54" ht="20.25" hidden="1" customHeight="1" x14ac:dyDescent="0.2">
      <c r="A68" s="2"/>
      <c r="B68" s="2"/>
      <c r="C68" s="1169" t="s">
        <v>750</v>
      </c>
      <c r="D68" s="14"/>
      <c r="E68" s="14"/>
      <c r="F68" s="14"/>
      <c r="G68" s="1209" t="str">
        <f>C95</f>
        <v>01/12 - 31/12</v>
      </c>
      <c r="H68" s="971" t="s">
        <v>751</v>
      </c>
      <c r="I68" s="2137" t="str">
        <f>T67</f>
        <v>01/01 - 31/12</v>
      </c>
      <c r="J68" s="2137"/>
      <c r="K68" s="1208" t="s">
        <v>752</v>
      </c>
      <c r="L68" s="2022" t="s">
        <v>195</v>
      </c>
      <c r="M68" s="2022"/>
      <c r="N68" s="972" t="s">
        <v>353</v>
      </c>
      <c r="O68" s="2"/>
      <c r="P68" s="2"/>
      <c r="Q68" s="2"/>
      <c r="R68" s="2"/>
      <c r="S68" s="2"/>
      <c r="T68" s="2"/>
      <c r="U68" s="2"/>
      <c r="V68" s="2"/>
      <c r="W68" s="2"/>
      <c r="X68" s="2"/>
      <c r="Y68" s="2"/>
      <c r="Z68" s="2"/>
      <c r="AA68" s="2"/>
      <c r="AB68" s="591"/>
      <c r="AC68" s="591"/>
      <c r="AD68" s="591"/>
      <c r="AE68" s="591"/>
      <c r="AF68" s="591"/>
      <c r="AG68" s="591"/>
      <c r="AH68" s="591"/>
      <c r="AI68" s="591"/>
      <c r="AJ68" s="591"/>
      <c r="AK68" s="591"/>
      <c r="AM68" s="591"/>
      <c r="AN68" s="591"/>
      <c r="AO68" s="591"/>
      <c r="AP68" s="591"/>
      <c r="AQ68" s="591"/>
      <c r="AS68" s="591"/>
      <c r="AT68" s="591"/>
      <c r="AU68" s="591"/>
      <c r="AV68" s="591"/>
      <c r="AW68" s="591"/>
      <c r="AY68" s="591"/>
    </row>
    <row r="69" spans="1:54" ht="20.25" hidden="1" customHeight="1" x14ac:dyDescent="0.2">
      <c r="A69" s="2"/>
      <c r="B69" s="2"/>
      <c r="C69" s="1198" t="s">
        <v>753</v>
      </c>
      <c r="D69" s="14"/>
      <c r="E69" s="14"/>
      <c r="F69" s="14"/>
      <c r="G69" s="1015"/>
      <c r="H69" s="1202">
        <f>IF(AND(IMPOSTAZIONI!AF$147="",G69&lt;&gt;0),E$163,IMPOSTAZIONI!AF$147)</f>
        <v>22</v>
      </c>
      <c r="I69" s="2024">
        <f>IF($T$65=$S$66,Z69,G69+NOV!I69)</f>
        <v>0</v>
      </c>
      <c r="J69" s="2025"/>
      <c r="K69" s="1201">
        <f>IF(I73=0,0,K73-SUM(K70:K72))</f>
        <v>0</v>
      </c>
      <c r="L69" s="2023" t="str">
        <f>CONCATENATE("al ",H69," %")</f>
        <v>al 22 %</v>
      </c>
      <c r="M69" s="2023"/>
      <c r="N69" s="973">
        <f>IF(SUM(I69:J72)=0,0,ROUND(G65-SUM(N70:N72),2))</f>
        <v>0</v>
      </c>
      <c r="O69" s="2"/>
      <c r="P69" s="2"/>
      <c r="Q69" s="2"/>
      <c r="R69" s="2"/>
      <c r="S69" s="974">
        <f>IF(ISERROR(G77),0,G77)</f>
        <v>0</v>
      </c>
      <c r="T69" s="975">
        <f>IF(ISERROR(G78),0,G78)</f>
        <v>0</v>
      </c>
      <c r="U69" s="976">
        <f>IF(ISERROR(G79),0,G79)</f>
        <v>0</v>
      </c>
      <c r="V69" s="2"/>
      <c r="W69" s="1117">
        <f>OTT!$G69</f>
        <v>0</v>
      </c>
      <c r="X69" s="1118">
        <f>NOV!$G69</f>
        <v>0</v>
      </c>
      <c r="Y69" s="1119">
        <f>DIC!$G69</f>
        <v>0</v>
      </c>
      <c r="Z69" s="1120">
        <f>SUM(W69:Y69)+SET!Z69</f>
        <v>0</v>
      </c>
      <c r="AA69" s="2"/>
      <c r="AB69" s="591"/>
      <c r="AC69" s="591"/>
      <c r="AD69" s="591"/>
      <c r="AE69" s="591"/>
      <c r="AF69" s="591"/>
      <c r="AG69" s="591"/>
      <c r="AH69" s="591"/>
      <c r="AI69" s="591"/>
      <c r="AJ69" s="591"/>
      <c r="AK69" s="591"/>
      <c r="AM69" s="591"/>
      <c r="AN69" s="591"/>
      <c r="AO69" s="591"/>
      <c r="AP69" s="591"/>
      <c r="AQ69" s="591"/>
      <c r="AS69" s="591"/>
      <c r="AT69" s="591"/>
      <c r="AU69" s="591"/>
      <c r="AV69" s="591"/>
      <c r="AW69" s="591"/>
      <c r="AY69" s="591"/>
    </row>
    <row r="70" spans="1:54" ht="20.25" hidden="1" customHeight="1" x14ac:dyDescent="0.25">
      <c r="A70" s="2"/>
      <c r="B70" s="2"/>
      <c r="C70" s="1199" t="s">
        <v>754</v>
      </c>
      <c r="D70" s="14"/>
      <c r="E70" s="14"/>
      <c r="F70" s="14"/>
      <c r="G70" s="1016"/>
      <c r="H70" s="1202">
        <f>IF(AND(IMPOSTAZIONI!AG$147="",G70&lt;&gt;0),E$163,IMPOSTAZIONI!AG$147)</f>
        <v>10</v>
      </c>
      <c r="I70" s="2026">
        <f>IF($T$65=$S$66,Z70,G70+NOV!I70)</f>
        <v>0</v>
      </c>
      <c r="J70" s="2027"/>
      <c r="K70" s="1201">
        <f>IF(I$73=0,0,ROUND(I70/I$73*100,2))</f>
        <v>0</v>
      </c>
      <c r="L70" s="2023" t="str">
        <f>CONCATENATE("al ",H70," %")</f>
        <v>al 10 %</v>
      </c>
      <c r="M70" s="2023"/>
      <c r="N70" s="977">
        <f>ROUND(G$65*K70/100,2)</f>
        <v>0</v>
      </c>
      <c r="O70" s="2"/>
      <c r="P70" s="2"/>
      <c r="Q70" s="2"/>
      <c r="R70" s="2"/>
      <c r="S70" s="978">
        <f>IF(ISERROR(H77),0,H77)</f>
        <v>0</v>
      </c>
      <c r="T70" s="968">
        <f>IF(ISERROR(H78),0,H78)</f>
        <v>0</v>
      </c>
      <c r="U70" s="979">
        <f>IF(ISERROR(H79),0,H79)</f>
        <v>0</v>
      </c>
      <c r="V70" s="2"/>
      <c r="W70" s="1121">
        <f>OTT!$G70</f>
        <v>0</v>
      </c>
      <c r="X70" s="1122">
        <f>NOV!$G70</f>
        <v>0</v>
      </c>
      <c r="Y70" s="1123">
        <f>DIC!$G70</f>
        <v>0</v>
      </c>
      <c r="Z70" s="1124">
        <f>SUM(W70:Y70)+SET!Z70</f>
        <v>0</v>
      </c>
      <c r="AA70" s="2"/>
      <c r="AB70" s="591"/>
      <c r="AC70" s="591"/>
      <c r="AD70" s="591"/>
      <c r="AE70" s="591"/>
      <c r="AF70" s="591"/>
      <c r="AG70" s="591"/>
      <c r="AH70" s="591"/>
      <c r="AI70" s="591"/>
      <c r="AJ70" s="591"/>
      <c r="AK70" s="591"/>
      <c r="AM70" s="591"/>
      <c r="AN70" s="591"/>
      <c r="AO70" s="591"/>
      <c r="AP70" s="591"/>
      <c r="AQ70" s="591"/>
      <c r="AS70" s="591"/>
      <c r="AT70" s="591"/>
      <c r="AU70" s="591"/>
      <c r="AV70" s="591"/>
      <c r="AW70" s="591"/>
      <c r="AY70" s="591"/>
    </row>
    <row r="71" spans="1:54" ht="20.25" hidden="1" customHeight="1" x14ac:dyDescent="0.2">
      <c r="A71" s="2"/>
      <c r="B71" s="2"/>
      <c r="C71" s="1200" t="s">
        <v>755</v>
      </c>
      <c r="D71" s="14"/>
      <c r="E71" s="14"/>
      <c r="F71" s="14"/>
      <c r="G71" s="1016"/>
      <c r="H71" s="1202">
        <f>IF(AND(IMPOSTAZIONI!AH$147="",G71&lt;&gt;0),E$163,IMPOSTAZIONI!AH$147)</f>
        <v>4</v>
      </c>
      <c r="I71" s="2026">
        <f>IF($T$65=$S$66,Z71,G71+NOV!I71)</f>
        <v>0</v>
      </c>
      <c r="J71" s="2027"/>
      <c r="K71" s="1201">
        <f>IF(I$73=0,0,ROUND(I71/I$73*100,2))</f>
        <v>0</v>
      </c>
      <c r="L71" s="2023" t="str">
        <f>CONCATENATE("al ",H71," %")</f>
        <v>al 4 %</v>
      </c>
      <c r="M71" s="2023"/>
      <c r="N71" s="977">
        <f>ROUND(G$65*K71/100,2)</f>
        <v>0</v>
      </c>
      <c r="O71" s="2"/>
      <c r="P71" s="2"/>
      <c r="Q71" s="2"/>
      <c r="R71" s="2"/>
      <c r="S71" s="978">
        <f>IF(ISERROR(I77),0,I77)</f>
        <v>0</v>
      </c>
      <c r="T71" s="968">
        <f>IF(ISERROR(I78),0,I78)</f>
        <v>0</v>
      </c>
      <c r="U71" s="979">
        <f>IF(ISERROR(I79),0,I79)</f>
        <v>0</v>
      </c>
      <c r="V71" s="2"/>
      <c r="W71" s="1121">
        <f>OTT!$G71</f>
        <v>0</v>
      </c>
      <c r="X71" s="1122">
        <f>NOV!$G71</f>
        <v>0</v>
      </c>
      <c r="Y71" s="1123">
        <f>DIC!$G71</f>
        <v>0</v>
      </c>
      <c r="Z71" s="1124">
        <f>SUM(W71:Y71)+SET!Z71</f>
        <v>0</v>
      </c>
      <c r="AA71" s="2"/>
      <c r="AB71" s="591"/>
      <c r="AC71" s="591"/>
      <c r="AD71" s="591"/>
      <c r="AE71" s="591"/>
      <c r="AF71" s="591"/>
      <c r="AG71" s="591"/>
      <c r="AH71" s="591"/>
      <c r="AI71" s="591"/>
      <c r="AJ71" s="591"/>
      <c r="AK71" s="591"/>
      <c r="AM71" s="591"/>
      <c r="AN71" s="591"/>
      <c r="AO71" s="591"/>
      <c r="AP71" s="591"/>
      <c r="AQ71" s="591"/>
      <c r="AS71" s="591"/>
      <c r="AT71" s="591"/>
      <c r="AU71" s="591"/>
      <c r="AV71" s="591"/>
      <c r="AW71" s="591"/>
      <c r="AY71" s="591"/>
    </row>
    <row r="72" spans="1:54" ht="20.25" hidden="1" customHeight="1" x14ac:dyDescent="0.2">
      <c r="A72" s="2"/>
      <c r="B72" s="2"/>
      <c r="C72" s="1171"/>
      <c r="D72" s="14"/>
      <c r="E72" s="14"/>
      <c r="F72" s="14"/>
      <c r="G72" s="1017"/>
      <c r="H72" s="1202" t="str">
        <f>IF(AND(IMPOSTAZIONI!AI$147="",G72&lt;&gt;0),E$163,IMPOSTAZIONI!AI$147)</f>
        <v/>
      </c>
      <c r="I72" s="2039">
        <f>IF($T$65=$S$66,Z72,G72+NOV!I72)</f>
        <v>0</v>
      </c>
      <c r="J72" s="2040"/>
      <c r="K72" s="1201">
        <f>IF(I$73=0,0,ROUND(I72/I$73*100,2))</f>
        <v>0</v>
      </c>
      <c r="L72" s="2023" t="str">
        <f>CONCATENATE("al ",H72," %")</f>
        <v>al  %</v>
      </c>
      <c r="M72" s="2023"/>
      <c r="N72" s="980">
        <f>ROUND(G$65*K72/100,2)</f>
        <v>0</v>
      </c>
      <c r="O72" s="2"/>
      <c r="P72" s="2"/>
      <c r="Q72" s="2"/>
      <c r="R72" s="2"/>
      <c r="S72" s="981">
        <f>IF(ISERROR(K77),0,K77)</f>
        <v>0</v>
      </c>
      <c r="T72" s="969">
        <f>IF(ISERROR(K78),0,K78)</f>
        <v>0</v>
      </c>
      <c r="U72" s="982">
        <f>IF(ISERROR(K79),0,K79)</f>
        <v>0</v>
      </c>
      <c r="V72" s="2"/>
      <c r="W72" s="1125">
        <f>OTT!$G72</f>
        <v>0</v>
      </c>
      <c r="X72" s="1126">
        <f>NOV!$G72</f>
        <v>0</v>
      </c>
      <c r="Y72" s="1127">
        <f>DIC!$G72</f>
        <v>0</v>
      </c>
      <c r="Z72" s="1128">
        <f>SUM(W72:Y72)+SET!Z72</f>
        <v>0</v>
      </c>
      <c r="AA72" s="2"/>
      <c r="AB72" s="591"/>
      <c r="AC72" s="591"/>
      <c r="AD72" s="591"/>
      <c r="AE72" s="591"/>
      <c r="AF72" s="591"/>
      <c r="AG72" s="591"/>
      <c r="AH72" s="591"/>
      <c r="AI72" s="591"/>
      <c r="AJ72" s="591"/>
      <c r="AK72" s="591"/>
      <c r="AM72" s="591"/>
      <c r="AN72" s="591"/>
      <c r="AO72" s="591"/>
      <c r="AP72" s="591"/>
      <c r="AQ72" s="591"/>
      <c r="AS72" s="591"/>
      <c r="AT72" s="591"/>
      <c r="AU72" s="591"/>
      <c r="AV72" s="591"/>
      <c r="AW72" s="591"/>
      <c r="AY72" s="591"/>
    </row>
    <row r="73" spans="1:54" ht="20.25" hidden="1" customHeight="1" x14ac:dyDescent="0.2">
      <c r="A73" s="2"/>
      <c r="B73" s="2"/>
      <c r="C73" s="1171"/>
      <c r="D73" s="14"/>
      <c r="E73" s="14"/>
      <c r="F73" s="983" t="s">
        <v>105</v>
      </c>
      <c r="G73" s="1014">
        <f>SUM(G69:G72)</f>
        <v>0</v>
      </c>
      <c r="H73" s="866"/>
      <c r="I73" s="2041">
        <f>SUM(I69:I72)</f>
        <v>0</v>
      </c>
      <c r="J73" s="2041"/>
      <c r="K73" s="1196">
        <v>100</v>
      </c>
      <c r="L73" s="2"/>
      <c r="M73" s="2"/>
      <c r="N73" s="967">
        <f>SUM(N69:N72)</f>
        <v>0</v>
      </c>
      <c r="O73" s="503" t="str">
        <f>IF(C61=0,"",IF(G65=N73,"OK",E163))</f>
        <v/>
      </c>
      <c r="P73" s="2"/>
      <c r="Q73" s="2"/>
      <c r="R73" s="2"/>
      <c r="S73" s="2"/>
      <c r="T73" s="2"/>
      <c r="U73" s="2"/>
      <c r="V73" s="2"/>
      <c r="W73" s="2"/>
      <c r="X73" s="2"/>
      <c r="Y73" s="2"/>
      <c r="Z73" s="2"/>
      <c r="AA73" s="2"/>
      <c r="AB73" s="591"/>
      <c r="AC73" s="591"/>
      <c r="AD73" s="591"/>
      <c r="AE73" s="591"/>
      <c r="AF73" s="591"/>
      <c r="AG73" s="591"/>
      <c r="AH73" s="591"/>
      <c r="AI73" s="591"/>
      <c r="AJ73" s="591"/>
      <c r="AK73" s="591"/>
      <c r="AM73" s="591"/>
      <c r="AN73" s="591"/>
      <c r="AO73" s="591"/>
      <c r="AP73" s="591"/>
      <c r="AQ73" s="591"/>
      <c r="AS73" s="591"/>
      <c r="AT73" s="591"/>
      <c r="AU73" s="591"/>
      <c r="AV73" s="591"/>
      <c r="AW73" s="591"/>
      <c r="AY73" s="591"/>
    </row>
    <row r="74" spans="1:54" ht="20.25" hidden="1" customHeight="1" x14ac:dyDescent="0.2">
      <c r="A74" s="2"/>
      <c r="B74" s="2"/>
      <c r="C74" s="1172"/>
      <c r="D74" s="1173"/>
      <c r="E74" s="1173"/>
      <c r="F74" s="1173"/>
      <c r="G74" s="1173"/>
      <c r="H74" s="1173"/>
      <c r="I74" s="2051" t="s">
        <v>756</v>
      </c>
      <c r="J74" s="2051"/>
      <c r="K74" s="2052"/>
      <c r="L74" s="14"/>
      <c r="M74" s="14"/>
      <c r="N74" s="139"/>
      <c r="O74" s="2"/>
      <c r="P74" s="2"/>
      <c r="Q74" s="2"/>
      <c r="R74" s="2"/>
      <c r="S74" s="2"/>
      <c r="T74" s="2"/>
      <c r="U74" s="2"/>
      <c r="V74" s="2"/>
      <c r="W74" s="2"/>
      <c r="X74" s="2"/>
      <c r="Y74" s="2"/>
      <c r="Z74" s="2"/>
      <c r="AA74" s="2"/>
      <c r="AB74" s="591"/>
      <c r="AC74" s="591"/>
      <c r="AD74" s="591"/>
      <c r="AE74" s="591"/>
      <c r="AF74" s="591"/>
      <c r="AG74" s="591"/>
      <c r="AH74" s="591"/>
      <c r="AI74" s="591"/>
      <c r="AJ74" s="591"/>
      <c r="AK74" s="591"/>
      <c r="AM74" s="591"/>
      <c r="AN74" s="591"/>
      <c r="AO74" s="591"/>
      <c r="AP74" s="591"/>
      <c r="AQ74" s="591"/>
      <c r="AS74" s="591"/>
      <c r="AT74" s="591"/>
      <c r="AU74" s="591"/>
      <c r="AV74" s="591"/>
      <c r="AW74" s="591"/>
      <c r="AY74" s="591"/>
    </row>
    <row r="75" spans="1:54" ht="11.25" hidden="1" customHeight="1" x14ac:dyDescent="0.2">
      <c r="A75" s="2"/>
      <c r="B75" s="2"/>
      <c r="C75" s="2"/>
      <c r="D75" s="2"/>
      <c r="E75" s="2"/>
      <c r="F75" s="2"/>
      <c r="G75" s="2"/>
      <c r="H75" s="2"/>
      <c r="I75" s="2"/>
      <c r="J75" s="2"/>
      <c r="K75" s="2"/>
      <c r="L75" s="14"/>
      <c r="M75" s="14"/>
      <c r="N75" s="139"/>
      <c r="O75" s="2"/>
      <c r="P75" s="2"/>
      <c r="Q75" s="2"/>
      <c r="R75" s="2"/>
      <c r="S75" s="2"/>
      <c r="T75" s="2"/>
      <c r="U75" s="2"/>
      <c r="V75" s="2"/>
      <c r="W75" s="2"/>
      <c r="X75" s="2"/>
      <c r="Y75" s="2"/>
      <c r="Z75" s="2"/>
      <c r="AA75" s="2"/>
      <c r="AB75" s="591"/>
      <c r="AC75" s="591"/>
      <c r="AD75" s="591"/>
      <c r="AE75" s="591"/>
      <c r="AF75" s="591"/>
      <c r="AG75" s="591"/>
      <c r="AH75" s="591"/>
      <c r="AI75" s="591"/>
      <c r="AJ75" s="591"/>
      <c r="AK75" s="591"/>
      <c r="AM75" s="591"/>
      <c r="AN75" s="591"/>
      <c r="AO75" s="591"/>
      <c r="AP75" s="591"/>
      <c r="AQ75" s="591"/>
      <c r="AS75" s="591"/>
      <c r="AT75" s="591"/>
      <c r="AU75" s="591"/>
      <c r="AV75" s="591"/>
      <c r="AW75" s="591"/>
      <c r="AY75" s="591"/>
    </row>
    <row r="76" spans="1:54" ht="20.25" hidden="1" customHeight="1" x14ac:dyDescent="0.2">
      <c r="A76" s="2"/>
      <c r="B76" s="2"/>
      <c r="C76" s="2"/>
      <c r="D76" s="2"/>
      <c r="E76" s="20"/>
      <c r="F76" s="984" t="s">
        <v>764</v>
      </c>
      <c r="G76" s="985">
        <f>H69</f>
        <v>22</v>
      </c>
      <c r="H76" s="985">
        <f>H70</f>
        <v>10</v>
      </c>
      <c r="I76" s="2142">
        <f>H71</f>
        <v>4</v>
      </c>
      <c r="J76" s="2142"/>
      <c r="K76" s="1162" t="str">
        <f>H72</f>
        <v/>
      </c>
      <c r="L76" s="2"/>
      <c r="M76" s="2"/>
      <c r="N76" s="986"/>
      <c r="O76" s="2"/>
      <c r="P76" s="2"/>
      <c r="Q76" s="2"/>
      <c r="R76" s="2"/>
      <c r="S76" s="2"/>
      <c r="T76" s="2"/>
      <c r="U76" s="2"/>
      <c r="V76" s="2"/>
      <c r="W76" s="2"/>
      <c r="X76" s="591"/>
      <c r="Y76" s="591"/>
      <c r="AB76" s="591"/>
      <c r="AC76" s="591"/>
      <c r="AD76" s="591"/>
      <c r="AE76" s="591"/>
      <c r="AF76" s="591"/>
      <c r="AG76" s="591"/>
      <c r="AH76" s="591"/>
      <c r="AI76" s="591"/>
      <c r="AJ76" s="591"/>
      <c r="AK76" s="591"/>
      <c r="AM76" s="591"/>
      <c r="AN76" s="591"/>
      <c r="AO76" s="591"/>
      <c r="AP76" s="591"/>
      <c r="AQ76" s="591"/>
      <c r="AS76" s="591"/>
      <c r="AT76" s="591"/>
      <c r="AU76" s="591"/>
      <c r="AV76" s="591"/>
      <c r="AW76" s="591"/>
      <c r="AY76" s="591"/>
    </row>
    <row r="77" spans="1:54" ht="20.25" hidden="1" customHeight="1" x14ac:dyDescent="0.2">
      <c r="A77" s="2"/>
      <c r="B77" s="2"/>
      <c r="C77" s="2"/>
      <c r="D77" s="2"/>
      <c r="E77" s="2"/>
      <c r="F77" s="987" t="s">
        <v>757</v>
      </c>
      <c r="G77" s="988">
        <f>N69-G78</f>
        <v>0</v>
      </c>
      <c r="H77" s="989">
        <f>N70-H78</f>
        <v>0</v>
      </c>
      <c r="I77" s="2037">
        <f>N71-I78</f>
        <v>0</v>
      </c>
      <c r="J77" s="2038"/>
      <c r="K77" s="989">
        <f>N72-K78</f>
        <v>0</v>
      </c>
      <c r="L77" s="2233">
        <f>SUM(S69:S72)</f>
        <v>0</v>
      </c>
      <c r="M77" s="2234"/>
      <c r="N77" s="990" t="s">
        <v>758</v>
      </c>
      <c r="O77" s="2"/>
      <c r="P77" s="2"/>
      <c r="Q77" s="2"/>
      <c r="R77" s="2"/>
      <c r="S77" s="2"/>
      <c r="T77" s="2"/>
      <c r="U77" s="2"/>
      <c r="V77" s="2"/>
      <c r="W77" s="2"/>
      <c r="X77" s="591"/>
      <c r="Y77" s="591"/>
      <c r="AG77" s="591"/>
      <c r="AH77" s="591"/>
      <c r="AI77" s="591"/>
      <c r="AJ77" s="591"/>
      <c r="AK77" s="591"/>
      <c r="AM77" s="591"/>
      <c r="AN77" s="591"/>
      <c r="AO77" s="591"/>
      <c r="AP77" s="591"/>
      <c r="AQ77" s="591"/>
      <c r="AS77" s="591"/>
      <c r="AT77" s="591"/>
      <c r="AU77" s="591"/>
      <c r="AV77" s="591"/>
      <c r="AW77" s="591"/>
      <c r="AY77" s="591"/>
    </row>
    <row r="78" spans="1:54" ht="20.25" hidden="1" customHeight="1" x14ac:dyDescent="0.2">
      <c r="A78" s="2"/>
      <c r="B78" s="2"/>
      <c r="C78" s="2"/>
      <c r="D78" s="2"/>
      <c r="E78" s="2"/>
      <c r="F78" s="991" t="s">
        <v>759</v>
      </c>
      <c r="G78" s="992">
        <f>IF(G76="",0,ROUND(N69*G76/(100+G76),2))</f>
        <v>0</v>
      </c>
      <c r="H78" s="993">
        <f>IF(H76="",0,ROUND(N70*H76/(100+H76),2))</f>
        <v>0</v>
      </c>
      <c r="I78" s="2140">
        <f>IF(I76="",0,ROUND(N71*I76/(100+I76),2))</f>
        <v>0</v>
      </c>
      <c r="J78" s="2141"/>
      <c r="K78" s="993">
        <f>IF(K76="",0,ROUND(N72*K76/(100+K76),2))</f>
        <v>0</v>
      </c>
      <c r="L78" s="2235">
        <f>SUM(T69:T72)</f>
        <v>0</v>
      </c>
      <c r="M78" s="2236"/>
      <c r="N78" s="994" t="s">
        <v>760</v>
      </c>
      <c r="O78" s="2"/>
      <c r="P78" s="2"/>
      <c r="Q78" s="2"/>
      <c r="R78" s="2"/>
      <c r="S78" s="2"/>
      <c r="T78" s="2"/>
      <c r="U78" s="128" t="s">
        <v>783</v>
      </c>
      <c r="V78" s="2"/>
      <c r="W78" s="2"/>
      <c r="X78" s="591"/>
      <c r="Y78" s="591"/>
      <c r="AG78" s="591"/>
      <c r="AH78" s="591"/>
      <c r="AI78" s="591"/>
      <c r="AJ78" s="591"/>
      <c r="AK78" s="591"/>
      <c r="AM78" s="591"/>
      <c r="AN78" s="591"/>
      <c r="AO78" s="591"/>
      <c r="AP78" s="591"/>
      <c r="AQ78" s="591"/>
      <c r="AS78" s="591"/>
      <c r="AT78" s="591"/>
      <c r="AU78" s="591"/>
      <c r="AV78" s="591"/>
      <c r="AW78" s="591"/>
      <c r="AY78" s="591"/>
    </row>
    <row r="79" spans="1:54" ht="20.25" hidden="1" customHeight="1" x14ac:dyDescent="0.2">
      <c r="A79" s="2"/>
      <c r="B79" s="2"/>
      <c r="C79" s="2"/>
      <c r="D79" s="2"/>
      <c r="E79" s="287"/>
      <c r="F79" s="995" t="s">
        <v>105</v>
      </c>
      <c r="G79" s="996">
        <f>G77+G78</f>
        <v>0</v>
      </c>
      <c r="H79" s="996">
        <f>H77+H78</f>
        <v>0</v>
      </c>
      <c r="I79" s="2135">
        <f>I77+I78</f>
        <v>0</v>
      </c>
      <c r="J79" s="2135"/>
      <c r="K79" s="996">
        <f>K77+K78</f>
        <v>0</v>
      </c>
      <c r="L79" s="287"/>
      <c r="M79" s="287"/>
      <c r="N79" s="996">
        <f>SUM(U69:U72)</f>
        <v>0</v>
      </c>
      <c r="O79" s="503" t="str">
        <f>IF(N79=N73,"OK",E163)</f>
        <v>OK</v>
      </c>
      <c r="P79" s="2"/>
      <c r="Q79" s="2"/>
      <c r="R79" s="924" t="str">
        <f>G62</f>
        <v>SCORPORO</v>
      </c>
      <c r="S79" s="997">
        <f>IF(R79=L$134,G$63,0)</f>
        <v>0</v>
      </c>
      <c r="T79" s="92">
        <f>G42</f>
        <v>0</v>
      </c>
      <c r="U79" s="997">
        <f>IF(T79=K$134,S79,0)</f>
        <v>0</v>
      </c>
      <c r="V79" s="2"/>
      <c r="W79" s="2"/>
      <c r="X79" s="591"/>
      <c r="Y79" s="591"/>
      <c r="AG79" s="591"/>
      <c r="AH79" s="591"/>
      <c r="AI79" s="591"/>
      <c r="AJ79" s="591"/>
      <c r="AK79" s="591"/>
      <c r="AM79" s="591"/>
      <c r="AN79" s="591"/>
      <c r="AO79" s="591"/>
      <c r="AP79" s="591"/>
      <c r="AQ79" s="591"/>
      <c r="AS79" s="591"/>
      <c r="AT79" s="591"/>
      <c r="AU79" s="591"/>
      <c r="AV79" s="591"/>
      <c r="AW79" s="591"/>
      <c r="AY79" s="591"/>
    </row>
    <row r="80" spans="1:54" ht="20.25" hidden="1" customHeight="1" x14ac:dyDescent="0.2">
      <c r="A80" s="2"/>
      <c r="B80" s="2"/>
      <c r="C80" s="2"/>
      <c r="D80" s="2"/>
      <c r="E80" s="2"/>
      <c r="F80" s="2"/>
      <c r="G80" s="2"/>
      <c r="H80" s="2"/>
      <c r="I80" s="2"/>
      <c r="J80" s="2"/>
      <c r="K80" s="2"/>
      <c r="L80" s="2"/>
      <c r="M80" s="2"/>
      <c r="N80" s="10"/>
      <c r="O80" s="2"/>
      <c r="P80" s="2"/>
      <c r="Q80" s="2"/>
      <c r="R80" s="924" t="str">
        <f>H62</f>
        <v>SCORPORO</v>
      </c>
      <c r="S80" s="998">
        <f>IF(R80=L$134,H63,0)</f>
        <v>0</v>
      </c>
      <c r="T80" s="92">
        <f>H42</f>
        <v>0</v>
      </c>
      <c r="U80" s="998">
        <f>IF(T80=K$134,S80,0)</f>
        <v>0</v>
      </c>
      <c r="V80" s="2"/>
      <c r="W80" s="2"/>
      <c r="X80" s="591"/>
      <c r="Y80" s="591"/>
      <c r="AG80" s="591"/>
      <c r="AH80" s="591"/>
      <c r="AI80" s="591"/>
      <c r="AJ80" s="591"/>
      <c r="AK80" s="591"/>
      <c r="AM80" s="591"/>
      <c r="AN80" s="591"/>
      <c r="AO80" s="591"/>
      <c r="AP80" s="591"/>
      <c r="AQ80" s="591"/>
      <c r="AS80" s="591"/>
      <c r="AT80" s="591"/>
      <c r="AU80" s="591"/>
      <c r="AV80" s="591"/>
      <c r="AW80" s="591"/>
      <c r="AY80" s="591"/>
    </row>
    <row r="81" spans="1:51" ht="20.25" hidden="1" customHeight="1" x14ac:dyDescent="0.2">
      <c r="A81" s="2"/>
      <c r="B81" s="2"/>
      <c r="C81" s="2"/>
      <c r="D81" s="2"/>
      <c r="E81" s="2"/>
      <c r="F81" s="2"/>
      <c r="G81" s="103" t="str">
        <f>G61</f>
        <v>Colonna 1</v>
      </c>
      <c r="H81" s="103" t="str">
        <f>H61</f>
        <v>Colonna 2</v>
      </c>
      <c r="I81" s="2053" t="str">
        <f>K61</f>
        <v>Colonna 3</v>
      </c>
      <c r="J81" s="2053"/>
      <c r="K81" s="103" t="str">
        <f>N61</f>
        <v>Colonna 4</v>
      </c>
      <c r="L81" s="2"/>
      <c r="M81" s="2"/>
      <c r="N81" s="14"/>
      <c r="O81" s="2"/>
      <c r="P81" s="2"/>
      <c r="Q81" s="2"/>
      <c r="R81" s="924" t="str">
        <f>K62</f>
        <v>SCORPORO</v>
      </c>
      <c r="S81" s="998">
        <f>IF(R81=L$134,K63,0)</f>
        <v>0</v>
      </c>
      <c r="T81" s="92">
        <f>K42</f>
        <v>0</v>
      </c>
      <c r="U81" s="998">
        <f>IF(T81=K$134,S81,0)</f>
        <v>0</v>
      </c>
      <c r="V81" s="2"/>
      <c r="W81" s="2"/>
      <c r="X81" s="591"/>
      <c r="Y81" s="591"/>
      <c r="AG81" s="591"/>
      <c r="AH81" s="591"/>
      <c r="AI81" s="591"/>
      <c r="AJ81" s="591"/>
      <c r="AK81" s="591"/>
      <c r="AM81" s="591"/>
      <c r="AN81" s="591"/>
      <c r="AO81" s="591"/>
      <c r="AP81" s="591"/>
      <c r="AQ81" s="591"/>
      <c r="AS81" s="591"/>
      <c r="AT81" s="591"/>
      <c r="AU81" s="591"/>
      <c r="AV81" s="591"/>
      <c r="AW81" s="591"/>
      <c r="AY81" s="591"/>
    </row>
    <row r="82" spans="1:51" ht="18" hidden="1" customHeight="1" x14ac:dyDescent="0.2">
      <c r="A82" s="2"/>
      <c r="B82" s="2"/>
      <c r="C82" s="2"/>
      <c r="D82" s="2"/>
      <c r="E82" s="2"/>
      <c r="F82" s="2"/>
      <c r="G82" s="1203" t="str">
        <f t="shared" ref="G82:H84" si="33">G43</f>
        <v/>
      </c>
      <c r="H82" s="1204" t="str">
        <f t="shared" si="33"/>
        <v/>
      </c>
      <c r="I82" s="2031" t="str">
        <f>K43</f>
        <v/>
      </c>
      <c r="J82" s="2031"/>
      <c r="K82" s="1205" t="str">
        <f>N43</f>
        <v/>
      </c>
      <c r="L82" s="2"/>
      <c r="M82" s="2"/>
      <c r="N82" s="14"/>
      <c r="O82" s="2"/>
      <c r="P82" s="2"/>
      <c r="Q82" s="2"/>
      <c r="R82" s="924" t="str">
        <f>N62</f>
        <v>SCORPORO</v>
      </c>
      <c r="S82" s="1007">
        <f>IF(R82=L$134,N63,0)</f>
        <v>0</v>
      </c>
      <c r="T82" s="92">
        <f>N42</f>
        <v>0</v>
      </c>
      <c r="U82" s="1007">
        <f>IF(T82=K$134,S82,0)</f>
        <v>0</v>
      </c>
      <c r="V82" s="2"/>
      <c r="W82" s="2"/>
      <c r="X82" s="591"/>
      <c r="Y82" s="591"/>
      <c r="AG82" s="591"/>
      <c r="AH82" s="591"/>
      <c r="AI82" s="591"/>
      <c r="AJ82" s="591"/>
      <c r="AK82" s="591"/>
      <c r="AM82" s="591"/>
      <c r="AN82" s="591"/>
      <c r="AO82" s="591"/>
      <c r="AP82" s="591"/>
      <c r="AQ82" s="591"/>
      <c r="AS82" s="591"/>
      <c r="AT82" s="591"/>
      <c r="AU82" s="591"/>
      <c r="AV82" s="591"/>
      <c r="AW82" s="591"/>
      <c r="AY82" s="591"/>
    </row>
    <row r="83" spans="1:51" ht="18" hidden="1" customHeight="1" x14ac:dyDescent="0.2">
      <c r="A83" s="2"/>
      <c r="B83" s="2"/>
      <c r="C83" s="2"/>
      <c r="D83" s="2"/>
      <c r="E83" s="2"/>
      <c r="F83" s="2"/>
      <c r="G83" s="1000" t="str">
        <f t="shared" si="33"/>
        <v/>
      </c>
      <c r="H83" s="1000" t="str">
        <f t="shared" si="33"/>
        <v/>
      </c>
      <c r="I83" s="2054" t="str">
        <f>K44</f>
        <v/>
      </c>
      <c r="J83" s="2054"/>
      <c r="K83" s="1000" t="str">
        <f>N44</f>
        <v/>
      </c>
      <c r="L83" s="2"/>
      <c r="M83" s="2"/>
      <c r="N83" s="14"/>
      <c r="O83" s="2"/>
      <c r="P83" s="2"/>
      <c r="Q83" s="2"/>
      <c r="R83" s="2"/>
      <c r="S83" s="999"/>
      <c r="T83" s="2"/>
      <c r="U83" s="999"/>
      <c r="V83" s="2"/>
      <c r="W83" s="2"/>
      <c r="X83" s="591"/>
      <c r="Y83" s="591"/>
      <c r="AG83" s="591"/>
      <c r="AH83" s="591"/>
      <c r="AI83" s="591"/>
      <c r="AJ83" s="591"/>
      <c r="AK83" s="591"/>
      <c r="AM83" s="591"/>
      <c r="AN83" s="591"/>
      <c r="AO83" s="591"/>
      <c r="AP83" s="591"/>
      <c r="AQ83" s="591"/>
      <c r="AS83" s="591"/>
      <c r="AT83" s="591"/>
      <c r="AU83" s="591"/>
      <c r="AV83" s="591"/>
      <c r="AW83" s="591"/>
      <c r="AY83" s="591"/>
    </row>
    <row r="84" spans="1:51" ht="18" hidden="1" customHeight="1" x14ac:dyDescent="0.2">
      <c r="A84" s="2"/>
      <c r="B84" s="2"/>
      <c r="C84" s="2"/>
      <c r="D84" s="2"/>
      <c r="E84" s="2"/>
      <c r="F84" s="2"/>
      <c r="G84" s="1001" t="str">
        <f t="shared" si="33"/>
        <v/>
      </c>
      <c r="H84" s="1001" t="str">
        <f t="shared" si="33"/>
        <v/>
      </c>
      <c r="I84" s="2055" t="str">
        <f>K45</f>
        <v/>
      </c>
      <c r="J84" s="2055"/>
      <c r="K84" s="1001" t="str">
        <f>N45</f>
        <v/>
      </c>
      <c r="L84" s="2"/>
      <c r="M84" s="2"/>
      <c r="N84" s="14"/>
      <c r="O84" s="2"/>
      <c r="P84" s="2"/>
      <c r="Q84" s="2"/>
      <c r="R84" s="2"/>
      <c r="S84" s="999"/>
      <c r="T84" s="2"/>
      <c r="U84" s="999"/>
      <c r="V84" s="2"/>
      <c r="W84" s="2"/>
      <c r="X84" s="591"/>
      <c r="Y84" s="591"/>
      <c r="AG84" s="591"/>
      <c r="AH84" s="591"/>
      <c r="AI84" s="591"/>
      <c r="AJ84" s="591"/>
      <c r="AK84" s="591"/>
      <c r="AM84" s="591"/>
      <c r="AN84" s="591"/>
      <c r="AO84" s="591"/>
      <c r="AP84" s="591"/>
      <c r="AQ84" s="591"/>
      <c r="AS84" s="591"/>
      <c r="AT84" s="591"/>
      <c r="AU84" s="591"/>
      <c r="AV84" s="591"/>
      <c r="AW84" s="591"/>
      <c r="AY84" s="591"/>
    </row>
    <row r="85" spans="1:51" ht="18" hidden="1" customHeight="1" x14ac:dyDescent="0.2">
      <c r="A85" s="2"/>
      <c r="B85" s="2"/>
      <c r="C85" s="2"/>
      <c r="D85" s="2"/>
      <c r="E85" s="2"/>
      <c r="F85" s="2"/>
      <c r="G85" s="1011" t="str">
        <f>VLOOKUP(G62,$L$134:$M$135,2,FALSE)</f>
        <v>SCORPORO</v>
      </c>
      <c r="H85" s="1011" t="str">
        <f>VLOOKUP(H62,$L$134:$M$135,2,FALSE)</f>
        <v>SCORPORO</v>
      </c>
      <c r="I85" s="2056" t="str">
        <f>VLOOKUP(K62,$L$134:$M$135,2,FALSE)</f>
        <v>SCORPORO</v>
      </c>
      <c r="J85" s="2056"/>
      <c r="K85" s="1011" t="str">
        <f>VLOOKUP(N62,$L$134:$M$135,2,FALSE)</f>
        <v>SCORPORO</v>
      </c>
      <c r="L85" s="2"/>
      <c r="M85" s="2"/>
      <c r="N85" s="14"/>
      <c r="O85" s="2"/>
      <c r="P85" s="2"/>
      <c r="Q85" s="2"/>
      <c r="R85" s="2"/>
      <c r="S85" s="999"/>
      <c r="T85" s="2"/>
      <c r="U85" s="999"/>
      <c r="V85" s="2"/>
      <c r="W85" s="2"/>
      <c r="X85" s="591"/>
      <c r="Y85" s="591"/>
      <c r="AG85" s="591"/>
      <c r="AH85" s="591"/>
      <c r="AI85" s="591"/>
      <c r="AJ85" s="591"/>
      <c r="AK85" s="591"/>
      <c r="AM85" s="591"/>
      <c r="AN85" s="591"/>
      <c r="AO85" s="591"/>
      <c r="AP85" s="591"/>
      <c r="AQ85" s="591"/>
      <c r="AS85" s="591"/>
      <c r="AT85" s="591"/>
      <c r="AU85" s="591"/>
      <c r="AV85" s="591"/>
      <c r="AW85" s="591"/>
      <c r="AY85" s="591"/>
    </row>
    <row r="86" spans="1:51" ht="20.25" hidden="1" customHeight="1" x14ac:dyDescent="0.2">
      <c r="A86" s="2"/>
      <c r="B86" s="2"/>
      <c r="C86" s="2"/>
      <c r="D86" s="2"/>
      <c r="E86" s="2"/>
      <c r="F86" s="1002" t="s">
        <v>761</v>
      </c>
      <c r="G86" s="1206">
        <f>IF($L77=0,0,$S79-G87)</f>
        <v>0</v>
      </c>
      <c r="H86" s="1206">
        <f>IF($L77=0,0,S80-H87)</f>
        <v>0</v>
      </c>
      <c r="I86" s="2035">
        <f>IF($L77=0,0,S81-I87)</f>
        <v>0</v>
      </c>
      <c r="J86" s="2036"/>
      <c r="K86" s="1206">
        <f>IF($L77=0,0,S82-K87)</f>
        <v>0</v>
      </c>
      <c r="L86" s="2237">
        <f>SUM(G86:K86)</f>
        <v>0</v>
      </c>
      <c r="M86" s="2237"/>
      <c r="N86" s="1003" t="s">
        <v>758</v>
      </c>
      <c r="O86" s="2"/>
      <c r="P86" s="2"/>
      <c r="Q86" s="2"/>
      <c r="R86" s="2"/>
      <c r="S86" s="999"/>
      <c r="T86" s="2"/>
      <c r="U86" s="999"/>
      <c r="V86" s="2"/>
      <c r="W86" s="2"/>
      <c r="X86" s="591"/>
      <c r="Y86" s="591"/>
      <c r="AG86" s="591"/>
      <c r="AH86" s="591"/>
      <c r="AI86" s="591"/>
      <c r="AJ86" s="591"/>
      <c r="AK86" s="591"/>
      <c r="AM86" s="591"/>
      <c r="AN86" s="591"/>
      <c r="AO86" s="591"/>
      <c r="AP86" s="591"/>
      <c r="AQ86" s="591"/>
      <c r="AS86" s="591"/>
      <c r="AT86" s="591"/>
      <c r="AU86" s="591"/>
      <c r="AV86" s="591"/>
      <c r="AW86" s="591"/>
      <c r="AY86" s="591"/>
    </row>
    <row r="87" spans="1:51" ht="20.25" hidden="1" customHeight="1" x14ac:dyDescent="0.2">
      <c r="A87" s="2"/>
      <c r="B87" s="2"/>
      <c r="C87" s="2"/>
      <c r="D87" s="2"/>
      <c r="E87" s="2"/>
      <c r="F87" s="1004" t="s">
        <v>762</v>
      </c>
      <c r="G87" s="1207">
        <f>IF($C$61=0,0,ROUND($L78*G89/100,2))</f>
        <v>0</v>
      </c>
      <c r="H87" s="1207">
        <f>IF($C$61=0,0,ROUND($L78*H89/100,2))</f>
        <v>0</v>
      </c>
      <c r="I87" s="2028">
        <f>IF($C$61=0,0,ROUND($L78*I89/100,2))</f>
        <v>0</v>
      </c>
      <c r="J87" s="2029"/>
      <c r="K87" s="1207">
        <f>IF($C$61=0,0,L78-G87-H87-I87)</f>
        <v>0</v>
      </c>
      <c r="L87" s="2125">
        <f>SUM(G87:K87)</f>
        <v>0</v>
      </c>
      <c r="M87" s="2125"/>
      <c r="N87" s="1005" t="s">
        <v>760</v>
      </c>
      <c r="O87" s="2"/>
      <c r="P87" s="2"/>
      <c r="Q87" s="2"/>
      <c r="R87" s="2"/>
      <c r="S87" s="999"/>
      <c r="T87" s="2"/>
      <c r="U87" s="999"/>
      <c r="V87" s="2"/>
      <c r="W87" s="2"/>
      <c r="X87" s="591"/>
      <c r="Y87" s="591"/>
      <c r="AG87" s="591"/>
      <c r="AH87" s="591"/>
      <c r="AI87" s="591"/>
      <c r="AJ87" s="591"/>
      <c r="AK87" s="591"/>
      <c r="AM87" s="591"/>
      <c r="AN87" s="591"/>
      <c r="AO87" s="591"/>
      <c r="AP87" s="591"/>
      <c r="AQ87" s="591"/>
      <c r="AS87" s="591"/>
      <c r="AT87" s="591"/>
      <c r="AU87" s="591"/>
      <c r="AV87" s="591"/>
      <c r="AW87" s="591"/>
      <c r="AY87" s="591"/>
    </row>
    <row r="88" spans="1:51" ht="20.25" hidden="1" customHeight="1" x14ac:dyDescent="0.2">
      <c r="A88" s="2"/>
      <c r="B88" s="2"/>
      <c r="C88" s="2"/>
      <c r="D88" s="2"/>
      <c r="E88" s="287"/>
      <c r="F88" s="995" t="s">
        <v>105</v>
      </c>
      <c r="G88" s="1020">
        <f>IF(G85=$M135,0,G86+G87)</f>
        <v>0</v>
      </c>
      <c r="H88" s="1020">
        <f>IF(H85=$M135,0,H86+H87)</f>
        <v>0</v>
      </c>
      <c r="I88" s="2216">
        <f>IF(I85=$M135,0,I86+I87)</f>
        <v>0</v>
      </c>
      <c r="J88" s="2216"/>
      <c r="K88" s="1020">
        <f>IF(K85=$M135,0,K86+K87)</f>
        <v>0</v>
      </c>
      <c r="L88" s="287"/>
      <c r="M88" s="287"/>
      <c r="N88" s="996">
        <f>SUM(G88:K88)</f>
        <v>0</v>
      </c>
      <c r="O88" s="503" t="str">
        <f>IF(N88=N79,"OK",E163)</f>
        <v>OK</v>
      </c>
      <c r="P88" s="2"/>
      <c r="Q88" s="2"/>
      <c r="R88" s="2"/>
      <c r="S88" s="1006"/>
      <c r="T88" s="2"/>
      <c r="U88" s="1006"/>
      <c r="V88" s="2"/>
      <c r="W88" s="2"/>
      <c r="X88" s="591"/>
      <c r="Y88" s="591"/>
      <c r="AG88" s="591"/>
      <c r="AH88" s="591"/>
      <c r="AI88" s="591"/>
      <c r="AJ88" s="591"/>
      <c r="AK88" s="591"/>
      <c r="AM88" s="591"/>
      <c r="AN88" s="591"/>
      <c r="AO88" s="591"/>
      <c r="AP88" s="591"/>
      <c r="AQ88" s="591"/>
      <c r="AS88" s="591"/>
      <c r="AT88" s="591"/>
      <c r="AU88" s="591"/>
      <c r="AV88" s="591"/>
      <c r="AW88" s="591"/>
      <c r="AY88" s="591"/>
    </row>
    <row r="89" spans="1:51" ht="20.25" hidden="1" customHeight="1" x14ac:dyDescent="0.2">
      <c r="A89" s="2"/>
      <c r="B89" s="2"/>
      <c r="C89" s="2"/>
      <c r="D89" s="2"/>
      <c r="E89" s="2"/>
      <c r="F89" s="970" t="s">
        <v>763</v>
      </c>
      <c r="G89" s="1021">
        <f>IF($C$61=0,0,IF(S79=0,0,ROUND($S79/$S89*100,10)))</f>
        <v>0</v>
      </c>
      <c r="H89" s="1021">
        <f>IF($C$61=0,0,IF(S80=0,0,ROUND(S80/$S89*100,10)))</f>
        <v>0</v>
      </c>
      <c r="I89" s="2101">
        <f>IF($C$61=0,0,IF(S81=0,0,ROUND(S81/$S89*100,10)))</f>
        <v>0</v>
      </c>
      <c r="J89" s="2101"/>
      <c r="K89" s="1021">
        <f>IF($C$61=0,0,IF(S82=0,0,100-G89-H89-I89))</f>
        <v>0</v>
      </c>
      <c r="L89" s="2"/>
      <c r="M89" s="2"/>
      <c r="N89" s="2"/>
      <c r="O89" s="2"/>
      <c r="P89" s="2"/>
      <c r="Q89" s="2"/>
      <c r="R89" s="2"/>
      <c r="S89" s="1006">
        <f>SUM(S79:S88)</f>
        <v>0</v>
      </c>
      <c r="T89" s="2"/>
      <c r="U89" s="1006">
        <f>SUM(U79:U88)</f>
        <v>0</v>
      </c>
      <c r="V89" s="2"/>
      <c r="W89" s="2"/>
      <c r="X89" s="591"/>
      <c r="Y89" s="591"/>
      <c r="Z89" s="591"/>
      <c r="AA89" s="591"/>
      <c r="AB89" s="591"/>
      <c r="AC89" s="591"/>
      <c r="AG89" s="591"/>
      <c r="AH89" s="591"/>
      <c r="AI89" s="591"/>
      <c r="AJ89" s="591"/>
      <c r="AK89" s="591"/>
      <c r="AM89" s="591"/>
      <c r="AN89" s="591"/>
      <c r="AO89" s="591"/>
      <c r="AP89" s="591"/>
      <c r="AQ89" s="591"/>
      <c r="AS89" s="591"/>
      <c r="AT89" s="591"/>
      <c r="AU89" s="591"/>
      <c r="AV89" s="591"/>
      <c r="AW89" s="591"/>
      <c r="AY89" s="591"/>
    </row>
    <row r="90" spans="1:51" ht="20.25" customHeight="1" x14ac:dyDescent="0.2">
      <c r="A90" s="2"/>
      <c r="B90" s="2"/>
      <c r="C90" s="2"/>
      <c r="D90" s="2"/>
      <c r="E90" s="2"/>
      <c r="F90" s="2"/>
      <c r="G90" s="2"/>
      <c r="H90" s="2"/>
      <c r="I90" s="2"/>
      <c r="J90" s="2"/>
      <c r="K90" s="2"/>
      <c r="L90" s="2"/>
      <c r="M90" s="2"/>
      <c r="N90" s="2"/>
      <c r="O90" s="2"/>
      <c r="P90" s="2"/>
      <c r="Q90" s="2"/>
      <c r="R90" s="2"/>
      <c r="S90" s="2"/>
      <c r="T90" s="2"/>
      <c r="U90" s="1110" t="e">
        <f>U89/S89*100</f>
        <v>#DIV/0!</v>
      </c>
      <c r="V90" s="2"/>
      <c r="W90" s="2"/>
      <c r="X90" s="591"/>
      <c r="Y90" s="591"/>
      <c r="Z90" s="591"/>
      <c r="AA90" s="591"/>
      <c r="AB90" s="591"/>
      <c r="AC90" s="591"/>
      <c r="AG90" s="591"/>
      <c r="AH90" s="591"/>
      <c r="AI90" s="591"/>
      <c r="AJ90" s="591"/>
      <c r="AK90" s="591"/>
      <c r="AM90" s="591"/>
      <c r="AN90" s="591"/>
      <c r="AO90" s="591"/>
      <c r="AP90" s="591"/>
      <c r="AQ90" s="591"/>
      <c r="AS90" s="591"/>
      <c r="AT90" s="591"/>
      <c r="AU90" s="591"/>
      <c r="AV90" s="591"/>
      <c r="AW90" s="591"/>
      <c r="AY90" s="591"/>
    </row>
    <row r="91" spans="1:51" ht="30" customHeight="1" x14ac:dyDescent="0.2">
      <c r="A91" s="2"/>
      <c r="B91" s="2"/>
      <c r="C91" s="2030" t="str">
        <f>IF(SUM(G150:J150)&gt;0,G151,IMPOSTAZIONI!Y383)</f>
        <v>Quest' area si attiva con colonne IVA "Aliquote diverse" - Al momento non c'è nessun importo da scorporare manualmente.</v>
      </c>
      <c r="D91" s="2030"/>
      <c r="E91" s="2030"/>
      <c r="F91" s="2030"/>
      <c r="G91" s="2030"/>
      <c r="H91" s="2030"/>
      <c r="I91" s="2030"/>
      <c r="J91" s="2030"/>
      <c r="K91" s="2030"/>
      <c r="L91" s="2030"/>
      <c r="M91" s="2030"/>
      <c r="N91" s="2030"/>
      <c r="O91" s="2030"/>
      <c r="P91" s="2030"/>
      <c r="Q91" s="98"/>
      <c r="R91" s="98"/>
      <c r="S91" s="98"/>
      <c r="T91" s="2"/>
      <c r="U91" s="2"/>
      <c r="V91" s="2"/>
      <c r="W91" s="2"/>
      <c r="X91" s="591"/>
      <c r="Y91" s="591"/>
      <c r="Z91" s="591"/>
      <c r="AA91" s="591"/>
      <c r="AB91" s="591"/>
      <c r="AC91" s="591"/>
      <c r="AG91" s="591"/>
      <c r="AH91" s="591"/>
      <c r="AI91" s="591"/>
      <c r="AJ91" s="591"/>
      <c r="AK91" s="591"/>
      <c r="AM91" s="591"/>
      <c r="AN91" s="591"/>
      <c r="AO91" s="591"/>
      <c r="AP91" s="591"/>
      <c r="AQ91" s="591"/>
      <c r="AS91" s="591"/>
      <c r="AT91" s="591"/>
      <c r="AU91" s="591"/>
      <c r="AV91" s="591"/>
      <c r="AW91" s="591"/>
      <c r="AY91" s="591"/>
    </row>
    <row r="92" spans="1:51" ht="5.25" customHeight="1" x14ac:dyDescent="0.2">
      <c r="A92" s="2"/>
      <c r="B92" s="2"/>
      <c r="C92" s="2"/>
      <c r="D92" s="2"/>
      <c r="E92" s="2"/>
      <c r="F92" s="2"/>
      <c r="G92" s="2"/>
      <c r="H92" s="2"/>
      <c r="I92" s="2"/>
      <c r="J92" s="2"/>
      <c r="K92" s="2"/>
      <c r="L92" s="2"/>
      <c r="M92" s="2"/>
      <c r="N92" s="2"/>
      <c r="O92" s="2"/>
      <c r="P92" s="2"/>
      <c r="Q92" s="2"/>
      <c r="R92" s="2"/>
      <c r="S92" s="2"/>
      <c r="T92" s="2"/>
      <c r="U92" s="2"/>
      <c r="V92" s="2"/>
      <c r="W92" s="2"/>
      <c r="X92" s="591"/>
      <c r="Y92" s="591"/>
      <c r="Z92" s="591"/>
      <c r="AA92" s="591"/>
      <c r="AB92" s="591"/>
      <c r="AC92" s="591"/>
      <c r="AG92" s="591"/>
      <c r="AH92" s="591"/>
      <c r="AI92" s="591"/>
      <c r="AJ92" s="591"/>
      <c r="AK92" s="591"/>
      <c r="AM92" s="591"/>
      <c r="AN92" s="591"/>
      <c r="AO92" s="591"/>
      <c r="AP92" s="591"/>
      <c r="AQ92" s="591"/>
      <c r="AS92" s="591"/>
      <c r="AT92" s="591"/>
      <c r="AU92" s="591"/>
      <c r="AV92" s="591"/>
      <c r="AW92" s="591"/>
      <c r="AY92" s="591"/>
    </row>
    <row r="93" spans="1:51" ht="18" customHeight="1" x14ac:dyDescent="0.2">
      <c r="A93" s="2"/>
      <c r="B93" s="2"/>
      <c r="C93" s="2111"/>
      <c r="D93" s="2111"/>
      <c r="E93" s="2112"/>
      <c r="F93" s="2113"/>
      <c r="G93" s="298" t="str">
        <f t="shared" ref="G93:H95" si="34">IF(G$155="X",G43,"")</f>
        <v/>
      </c>
      <c r="H93" s="298" t="str">
        <f t="shared" si="34"/>
        <v/>
      </c>
      <c r="I93" s="298"/>
      <c r="J93" s="298"/>
      <c r="K93" s="298" t="str">
        <f>IF(I$155="X",K43,"")</f>
        <v/>
      </c>
      <c r="L93" s="298"/>
      <c r="M93" s="298"/>
      <c r="N93" s="298" t="str">
        <f>IF(J$155="X",N43,"")</f>
        <v/>
      </c>
      <c r="O93" s="2033"/>
      <c r="P93" s="2033"/>
      <c r="Q93" s="12"/>
      <c r="R93" s="2"/>
      <c r="S93" s="2"/>
      <c r="T93" s="2"/>
      <c r="U93" s="2"/>
      <c r="V93" s="2"/>
      <c r="W93" s="2"/>
      <c r="X93" s="591"/>
      <c r="Y93" s="591"/>
      <c r="Z93" s="591"/>
      <c r="AA93" s="591"/>
      <c r="AB93" s="591"/>
      <c r="AC93" s="591"/>
      <c r="AG93" s="591"/>
      <c r="AH93" s="591"/>
      <c r="AI93" s="591"/>
      <c r="AJ93" s="591"/>
      <c r="AK93" s="591"/>
      <c r="AM93" s="591"/>
      <c r="AN93" s="591"/>
      <c r="AO93" s="591"/>
      <c r="AP93" s="591"/>
      <c r="AQ93" s="591"/>
      <c r="AS93" s="591"/>
      <c r="AT93" s="591"/>
      <c r="AU93" s="591"/>
      <c r="AV93" s="591"/>
      <c r="AW93" s="591"/>
      <c r="AY93" s="591"/>
    </row>
    <row r="94" spans="1:51" ht="18" customHeight="1" x14ac:dyDescent="0.2">
      <c r="A94" s="2"/>
      <c r="B94" s="2"/>
      <c r="C94" s="2114" t="str">
        <f>C44</f>
        <v>TOTALI DEL PERIODO:</v>
      </c>
      <c r="D94" s="2091"/>
      <c r="E94" s="2091"/>
      <c r="F94" s="2091"/>
      <c r="G94" s="57" t="str">
        <f t="shared" si="34"/>
        <v/>
      </c>
      <c r="H94" s="57" t="str">
        <f t="shared" si="34"/>
        <v/>
      </c>
      <c r="I94" s="57" t="s">
        <v>288</v>
      </c>
      <c r="J94" s="57"/>
      <c r="K94" s="57" t="str">
        <f>IF(I$155="X",K44,"")</f>
        <v/>
      </c>
      <c r="L94" s="57" t="s">
        <v>288</v>
      </c>
      <c r="M94" s="57"/>
      <c r="N94" s="57" t="str">
        <f>IF(J$155="X",N44,"")</f>
        <v/>
      </c>
      <c r="O94" s="85"/>
      <c r="P94" s="85"/>
      <c r="Q94" s="12"/>
      <c r="R94" s="2"/>
      <c r="S94" s="2"/>
      <c r="T94" s="2"/>
      <c r="U94" s="2"/>
      <c r="V94" s="2"/>
      <c r="W94" s="2"/>
      <c r="X94" s="591"/>
      <c r="Y94" s="591"/>
      <c r="Z94" s="591"/>
      <c r="AA94" s="591"/>
      <c r="AB94" s="591"/>
      <c r="AC94" s="591"/>
      <c r="AG94" s="591"/>
      <c r="AH94" s="591"/>
      <c r="AI94" s="591"/>
      <c r="AJ94" s="591"/>
      <c r="AK94" s="591"/>
      <c r="AM94" s="591"/>
      <c r="AN94" s="591"/>
      <c r="AO94" s="591"/>
      <c r="AP94" s="591"/>
      <c r="AQ94" s="591"/>
      <c r="AS94" s="591"/>
      <c r="AT94" s="591"/>
      <c r="AU94" s="591"/>
      <c r="AV94" s="591"/>
      <c r="AW94" s="591"/>
      <c r="AY94" s="591"/>
    </row>
    <row r="95" spans="1:51" ht="18" customHeight="1" x14ac:dyDescent="0.2">
      <c r="A95" s="2"/>
      <c r="B95" s="2"/>
      <c r="C95" s="2115" t="str">
        <f>C45</f>
        <v>01/12 - 31/12</v>
      </c>
      <c r="D95" s="2115"/>
      <c r="E95" s="2115"/>
      <c r="F95" s="2115"/>
      <c r="G95" s="90" t="str">
        <f t="shared" si="34"/>
        <v/>
      </c>
      <c r="H95" s="90" t="str">
        <f t="shared" si="34"/>
        <v/>
      </c>
      <c r="I95" s="90" t="s">
        <v>288</v>
      </c>
      <c r="J95" s="90"/>
      <c r="K95" s="90" t="str">
        <f>IF(I$155="X",K45,"")</f>
        <v/>
      </c>
      <c r="L95" s="90" t="s">
        <v>288</v>
      </c>
      <c r="M95" s="90"/>
      <c r="N95" s="90" t="str">
        <f>IF(J$155="X",N45,"")</f>
        <v/>
      </c>
      <c r="O95" s="89"/>
      <c r="P95" s="89"/>
      <c r="Q95" s="12"/>
      <c r="R95" s="2"/>
      <c r="S95" s="2"/>
      <c r="T95" s="2"/>
      <c r="U95" s="2"/>
      <c r="V95" s="2"/>
      <c r="W95" s="2"/>
      <c r="X95" s="591"/>
      <c r="Y95" s="591"/>
      <c r="Z95" s="591"/>
      <c r="AA95" s="591"/>
      <c r="AB95" s="591"/>
      <c r="AC95" s="591"/>
      <c r="AG95" s="591"/>
      <c r="AH95" s="591"/>
      <c r="AI95" s="591"/>
      <c r="AJ95" s="591"/>
      <c r="AK95" s="591"/>
      <c r="AM95" s="591"/>
      <c r="AN95" s="591"/>
      <c r="AO95" s="591"/>
      <c r="AP95" s="591"/>
      <c r="AQ95" s="591"/>
      <c r="AS95" s="591"/>
      <c r="AT95" s="591"/>
      <c r="AU95" s="591"/>
      <c r="AV95" s="591"/>
      <c r="AW95" s="591"/>
      <c r="AY95" s="591"/>
    </row>
    <row r="96" spans="1:51" ht="18.75" customHeight="1" x14ac:dyDescent="0.2">
      <c r="A96" s="2"/>
      <c r="B96" s="7"/>
      <c r="C96" s="2110"/>
      <c r="D96" s="2110"/>
      <c r="E96" s="2109"/>
      <c r="F96" s="2109"/>
      <c r="G96" s="297">
        <f>IF(G155="X",G46,0)</f>
        <v>0</v>
      </c>
      <c r="H96" s="297">
        <f>IF(H155="X",H46,0)</f>
        <v>0</v>
      </c>
      <c r="I96" s="657"/>
      <c r="J96" s="657"/>
      <c r="K96" s="297">
        <f>IF(I155="X",K46,0)</f>
        <v>0</v>
      </c>
      <c r="L96" s="657"/>
      <c r="M96" s="657"/>
      <c r="N96" s="297">
        <f>IF(J155="X",N46,0)</f>
        <v>0</v>
      </c>
      <c r="O96" s="2210" t="s">
        <v>353</v>
      </c>
      <c r="P96" s="2210"/>
      <c r="Q96" s="12"/>
      <c r="R96" s="462">
        <f>R97+R98</f>
        <v>0</v>
      </c>
      <c r="S96" s="2"/>
      <c r="T96" s="2"/>
      <c r="U96" s="2"/>
      <c r="V96" s="591"/>
      <c r="W96" s="591"/>
      <c r="X96" s="591"/>
      <c r="Y96" s="591"/>
      <c r="Z96" s="591"/>
      <c r="AA96" s="591"/>
      <c r="AB96" s="591"/>
      <c r="AC96" s="591"/>
      <c r="AG96" s="591"/>
      <c r="AH96" s="591"/>
      <c r="AI96" s="591"/>
      <c r="AJ96" s="591"/>
      <c r="AK96" s="591"/>
      <c r="AM96" s="591"/>
      <c r="AN96" s="591"/>
      <c r="AO96" s="591"/>
      <c r="AP96" s="591"/>
      <c r="AQ96" s="591"/>
      <c r="AS96" s="591"/>
      <c r="AT96" s="591"/>
      <c r="AU96" s="591"/>
      <c r="AV96" s="591"/>
      <c r="AW96" s="591"/>
      <c r="AY96" s="591"/>
    </row>
    <row r="97" spans="1:51" ht="18.75" customHeight="1" x14ac:dyDescent="0.25">
      <c r="A97" s="2"/>
      <c r="B97" s="7"/>
      <c r="C97" s="2032" t="s">
        <v>350</v>
      </c>
      <c r="D97" s="2032"/>
      <c r="E97" s="2032"/>
      <c r="F97" s="2032"/>
      <c r="G97" s="299"/>
      <c r="H97" s="299"/>
      <c r="I97" s="658"/>
      <c r="J97" s="658"/>
      <c r="K97" s="299"/>
      <c r="L97" s="658"/>
      <c r="M97" s="658"/>
      <c r="N97" s="299"/>
      <c r="O97" s="2221" t="s">
        <v>355</v>
      </c>
      <c r="P97" s="2221"/>
      <c r="Q97" s="12"/>
      <c r="R97" s="462">
        <f>SUM(G97:N97)</f>
        <v>0</v>
      </c>
      <c r="S97" s="462">
        <f>SUMIF($G$42:N$42,K$134,$G97:N97)</f>
        <v>0</v>
      </c>
      <c r="T97" s="1110" t="e">
        <f>S97/R97*100</f>
        <v>#DIV/0!</v>
      </c>
      <c r="U97" s="2"/>
      <c r="V97" s="591"/>
      <c r="W97" s="591"/>
      <c r="X97" s="591"/>
      <c r="Y97" s="591"/>
      <c r="Z97" s="591"/>
      <c r="AA97" s="591"/>
      <c r="AB97" s="591"/>
      <c r="AC97" s="591"/>
      <c r="AG97" s="591"/>
      <c r="AH97" s="591"/>
      <c r="AI97" s="591"/>
      <c r="AJ97" s="591"/>
      <c r="AK97" s="591"/>
      <c r="AM97" s="591"/>
      <c r="AN97" s="591"/>
      <c r="AO97" s="591"/>
      <c r="AP97" s="591"/>
      <c r="AQ97" s="591"/>
      <c r="AS97" s="591"/>
      <c r="AT97" s="591"/>
      <c r="AU97" s="591"/>
      <c r="AV97" s="591"/>
      <c r="AW97" s="591"/>
      <c r="AY97" s="591"/>
    </row>
    <row r="98" spans="1:51" ht="18.75" customHeight="1" x14ac:dyDescent="0.2">
      <c r="A98" s="2"/>
      <c r="B98" s="7"/>
      <c r="C98" s="2108" t="s">
        <v>490</v>
      </c>
      <c r="D98" s="2108"/>
      <c r="E98" s="2108"/>
      <c r="F98" s="2108"/>
      <c r="G98" s="300"/>
      <c r="H98" s="660"/>
      <c r="I98" s="659"/>
      <c r="J98" s="659"/>
      <c r="K98" s="660"/>
      <c r="L98" s="659"/>
      <c r="M98" s="659"/>
      <c r="N98" s="660"/>
      <c r="O98" s="2018" t="s">
        <v>349</v>
      </c>
      <c r="P98" s="2018"/>
      <c r="Q98" s="13"/>
      <c r="R98" s="462">
        <f>SUM(G98:N98)</f>
        <v>0</v>
      </c>
      <c r="S98" s="2"/>
      <c r="T98" s="2"/>
      <c r="U98" s="2"/>
      <c r="V98" s="591"/>
      <c r="W98" s="591"/>
      <c r="X98" s="591"/>
      <c r="Y98" s="591"/>
      <c r="Z98" s="591"/>
      <c r="AA98" s="591"/>
      <c r="AB98" s="591"/>
      <c r="AC98" s="591"/>
      <c r="AG98" s="591"/>
      <c r="AH98" s="591"/>
      <c r="AI98" s="591"/>
      <c r="AJ98" s="591"/>
      <c r="AK98" s="591"/>
      <c r="AM98" s="591"/>
      <c r="AN98" s="591"/>
      <c r="AO98" s="591"/>
      <c r="AP98" s="591"/>
      <c r="AQ98" s="591"/>
      <c r="AS98" s="591"/>
      <c r="AT98" s="591"/>
      <c r="AU98" s="591"/>
      <c r="AV98" s="591"/>
      <c r="AW98" s="591"/>
      <c r="AY98" s="591"/>
    </row>
    <row r="99" spans="1:51" ht="15" customHeight="1" x14ac:dyDescent="0.2">
      <c r="A99" s="2"/>
      <c r="B99" s="2"/>
      <c r="C99" s="10"/>
      <c r="D99" s="10"/>
      <c r="E99" s="10"/>
      <c r="F99" s="10"/>
      <c r="G99" s="91" t="str">
        <f>IF(AND(SUM(G97:G98)&lt;&gt;0,G152=0),$L$152,IF(G152=0,"",IF(G97=0,IMPOSTAZIONI!$J$383,IF((G97+G98)&lt;&gt;G96,IMPOSTAZIONI!$M$383,IMPOSTAZIONI!$H$383))))</f>
        <v/>
      </c>
      <c r="H99" s="91" t="str">
        <f>IF(AND(SUM(H97:H98)&lt;&gt;0,H152=0),$L$152,IF(H152=0,"",IF(H97=0,IMPOSTAZIONI!$J$383,IF((H97+H98)&lt;&gt;H96,IMPOSTAZIONI!$M$383,IMPOSTAZIONI!$H$383))))</f>
        <v/>
      </c>
      <c r="I99" s="91"/>
      <c r="J99" s="91"/>
      <c r="K99" s="91" t="str">
        <f>IF(AND(SUM(K97:K98)&lt;&gt;0,I152=0),$L$152,IF(I152=0,"",IF(K97=0,IMPOSTAZIONI!$J$383,IF((K97+K98)&lt;&gt;K96,IMPOSTAZIONI!$M$383,IMPOSTAZIONI!$H$383))))</f>
        <v/>
      </c>
      <c r="L99" s="91"/>
      <c r="M99" s="91"/>
      <c r="N99" s="91" t="str">
        <f>IF(AND(SUM(N97:N98)&lt;&gt;0,J152=0),$L$152,IF(J152=0,"",IF(N97=0,IMPOSTAZIONI!$J$383,IF((N97+N98)&lt;&gt;N96,IMPOSTAZIONI!$M$383,IMPOSTAZIONI!$H$383))))</f>
        <v/>
      </c>
      <c r="O99" s="10"/>
      <c r="P99" s="10"/>
      <c r="Q99" s="2"/>
      <c r="R99" s="2"/>
      <c r="S99" s="2"/>
      <c r="T99" s="2"/>
      <c r="U99" s="2"/>
      <c r="V99" s="591"/>
      <c r="W99" s="591"/>
      <c r="X99" s="591"/>
      <c r="Y99" s="591"/>
      <c r="Z99" s="591"/>
      <c r="AA99" s="591"/>
      <c r="AB99" s="591"/>
      <c r="AC99" s="591"/>
      <c r="AG99" s="591"/>
      <c r="AH99" s="591"/>
      <c r="AI99" s="591"/>
      <c r="AJ99" s="591"/>
      <c r="AK99" s="591"/>
      <c r="AM99" s="591"/>
      <c r="AN99" s="591"/>
      <c r="AO99" s="591"/>
      <c r="AP99" s="591"/>
      <c r="AQ99" s="591"/>
      <c r="AS99" s="591"/>
      <c r="AT99" s="591"/>
      <c r="AU99" s="591"/>
      <c r="AV99" s="591"/>
      <c r="AW99" s="591"/>
      <c r="AY99" s="591"/>
    </row>
    <row r="100" spans="1:51" ht="21" customHeight="1" x14ac:dyDescent="0.2">
      <c r="A100" s="2"/>
      <c r="B100" s="2"/>
      <c r="C100" s="2116" t="s">
        <v>354</v>
      </c>
      <c r="D100" s="2116"/>
      <c r="E100" s="2116"/>
      <c r="F100" s="2116"/>
      <c r="G100" s="2"/>
      <c r="H100" s="2"/>
      <c r="I100" s="2"/>
      <c r="J100" s="2"/>
      <c r="K100" s="2"/>
      <c r="L100" s="2"/>
      <c r="M100" s="2"/>
      <c r="N100" s="2"/>
      <c r="O100" s="2"/>
      <c r="P100" s="2"/>
      <c r="Q100" s="2"/>
      <c r="R100" s="2"/>
      <c r="S100" s="2"/>
      <c r="T100" s="128" t="s">
        <v>783</v>
      </c>
      <c r="U100" s="2"/>
      <c r="V100" s="591"/>
      <c r="W100" s="591"/>
      <c r="X100" s="591"/>
      <c r="Y100" s="591"/>
      <c r="Z100" s="591"/>
      <c r="AA100" s="591"/>
      <c r="AB100" s="591"/>
      <c r="AC100" s="591"/>
      <c r="AG100" s="591"/>
      <c r="AH100" s="591"/>
      <c r="AI100" s="591"/>
      <c r="AJ100" s="591"/>
      <c r="AK100" s="591"/>
      <c r="AM100" s="591"/>
      <c r="AN100" s="591"/>
      <c r="AO100" s="591"/>
      <c r="AP100" s="591"/>
      <c r="AQ100" s="591"/>
      <c r="AS100" s="591"/>
      <c r="AT100" s="591"/>
      <c r="AU100" s="591"/>
      <c r="AV100" s="591"/>
      <c r="AW100" s="591"/>
      <c r="AY100" s="591"/>
    </row>
    <row r="101" spans="1:51" ht="16.5" customHeight="1" x14ac:dyDescent="0.2">
      <c r="A101" s="2"/>
      <c r="B101" s="18" t="e">
        <f>VERIFICA!#REF!</f>
        <v>#REF!</v>
      </c>
      <c r="C101" s="2106" t="str">
        <f>IF(AND(RIEPILOGO!B8="",SUM(G101:N101)&gt;0),"ERROR",RIEPILOGO!B8)</f>
        <v>Aliquota 22 %</v>
      </c>
      <c r="D101" s="2106"/>
      <c r="E101" s="2106"/>
      <c r="F101" s="2106"/>
      <c r="G101" s="236"/>
      <c r="H101" s="236"/>
      <c r="I101" s="658"/>
      <c r="J101" s="658"/>
      <c r="K101" s="236"/>
      <c r="L101" s="658"/>
      <c r="M101" s="658"/>
      <c r="N101" s="236"/>
      <c r="O101" s="2218" t="s">
        <v>349</v>
      </c>
      <c r="P101" s="2218"/>
      <c r="Q101" s="12"/>
      <c r="R101" s="93">
        <f>SUM(G101:N101)</f>
        <v>0</v>
      </c>
      <c r="S101" s="93">
        <f>SUMIF($G$42:N$42,K$134,$G101:N101)</f>
        <v>0</v>
      </c>
      <c r="T101" s="1110" t="e">
        <f>S101/R101*100</f>
        <v>#DIV/0!</v>
      </c>
      <c r="U101" s="2"/>
      <c r="V101" s="591"/>
      <c r="W101" s="591"/>
      <c r="X101" s="591"/>
      <c r="Y101" s="591"/>
      <c r="Z101" s="591"/>
      <c r="AA101" s="591"/>
      <c r="AB101" s="591"/>
      <c r="AC101" s="591"/>
      <c r="AG101" s="591"/>
      <c r="AH101" s="591"/>
      <c r="AI101" s="591"/>
      <c r="AJ101" s="591"/>
      <c r="AK101" s="591"/>
      <c r="AM101" s="591"/>
      <c r="AN101" s="591"/>
      <c r="AO101" s="591"/>
      <c r="AP101" s="591"/>
      <c r="AQ101" s="591"/>
      <c r="AS101" s="591"/>
      <c r="AT101" s="591"/>
      <c r="AU101" s="591"/>
      <c r="AV101" s="591"/>
      <c r="AW101" s="591"/>
      <c r="AY101" s="591"/>
    </row>
    <row r="102" spans="1:51" ht="16.5" customHeight="1" x14ac:dyDescent="0.2">
      <c r="A102" s="2"/>
      <c r="B102" s="18" t="e">
        <f>VERIFICA!#REF!</f>
        <v>#REF!</v>
      </c>
      <c r="C102" s="2106" t="str">
        <f>IF(AND(RIEPILOGO!B9="",SUM(G102:N102)&gt;0),"ERROR",RIEPILOGO!B9)</f>
        <v>Aliquota 10 %</v>
      </c>
      <c r="D102" s="2106"/>
      <c r="E102" s="2106"/>
      <c r="F102" s="2106"/>
      <c r="G102" s="237"/>
      <c r="H102" s="237"/>
      <c r="I102" s="658"/>
      <c r="J102" s="658"/>
      <c r="K102" s="237"/>
      <c r="L102" s="658"/>
      <c r="M102" s="658"/>
      <c r="N102" s="237"/>
      <c r="O102" s="2218" t="s">
        <v>349</v>
      </c>
      <c r="P102" s="2218"/>
      <c r="Q102" s="12"/>
      <c r="R102" s="94">
        <f>SUM(G102:N102)</f>
        <v>0</v>
      </c>
      <c r="S102" s="94">
        <f>SUMIF($G$42:N$42,K$134,$G102:N102)</f>
        <v>0</v>
      </c>
      <c r="T102" s="1110" t="e">
        <f>S102/R102*100</f>
        <v>#DIV/0!</v>
      </c>
      <c r="U102" s="2"/>
      <c r="V102" s="591"/>
      <c r="W102" s="591"/>
      <c r="X102" s="591"/>
      <c r="Y102" s="591"/>
      <c r="Z102" s="591"/>
      <c r="AA102" s="591"/>
      <c r="AB102" s="591"/>
      <c r="AC102" s="591"/>
      <c r="AG102" s="591"/>
      <c r="AH102" s="591"/>
      <c r="AI102" s="591"/>
      <c r="AJ102" s="591"/>
      <c r="AK102" s="591"/>
      <c r="AM102" s="591"/>
      <c r="AN102" s="591"/>
      <c r="AO102" s="591"/>
      <c r="AP102" s="591"/>
      <c r="AQ102" s="591"/>
      <c r="AS102" s="591"/>
      <c r="AT102" s="591"/>
      <c r="AU102" s="591"/>
      <c r="AV102" s="591"/>
      <c r="AW102" s="591"/>
      <c r="AY102" s="591"/>
    </row>
    <row r="103" spans="1:51" ht="16.5" customHeight="1" x14ac:dyDescent="0.2">
      <c r="A103" s="2"/>
      <c r="B103" s="18" t="e">
        <f>VERIFICA!#REF!</f>
        <v>#REF!</v>
      </c>
      <c r="C103" s="2106" t="str">
        <f>IF(AND(RIEPILOGO!B10="",SUM(G103:N103)&gt;0),"ERROR",RIEPILOGO!B10)</f>
        <v>Aliquota 4 %</v>
      </c>
      <c r="D103" s="2106"/>
      <c r="E103" s="2106"/>
      <c r="F103" s="2106"/>
      <c r="G103" s="304"/>
      <c r="H103" s="304"/>
      <c r="I103" s="658"/>
      <c r="J103" s="658"/>
      <c r="K103" s="304"/>
      <c r="L103" s="658"/>
      <c r="M103" s="658"/>
      <c r="N103" s="304"/>
      <c r="O103" s="2218" t="s">
        <v>349</v>
      </c>
      <c r="P103" s="2218"/>
      <c r="Q103" s="12"/>
      <c r="R103" s="94">
        <f>SUM(G103:N103)</f>
        <v>0</v>
      </c>
      <c r="S103" s="94">
        <f>SUMIF($G$42:N$42,K$134,$G103:N103)</f>
        <v>0</v>
      </c>
      <c r="T103" s="1110" t="e">
        <f>S103/R103*100</f>
        <v>#DIV/0!</v>
      </c>
      <c r="U103" s="2"/>
      <c r="V103" s="591"/>
      <c r="W103" s="591"/>
      <c r="X103" s="591"/>
      <c r="Y103" s="591"/>
      <c r="Z103" s="591"/>
      <c r="AA103" s="591"/>
      <c r="AB103" s="591"/>
      <c r="AC103" s="591"/>
      <c r="AG103" s="591"/>
      <c r="AH103" s="591"/>
      <c r="AI103" s="591"/>
      <c r="AJ103" s="591"/>
      <c r="AK103" s="591"/>
      <c r="AM103" s="591"/>
      <c r="AN103" s="591"/>
      <c r="AO103" s="591"/>
      <c r="AP103" s="591"/>
      <c r="AQ103" s="591"/>
      <c r="AS103" s="591"/>
      <c r="AT103" s="591"/>
      <c r="AU103" s="591"/>
      <c r="AV103" s="591"/>
      <c r="AW103" s="591"/>
      <c r="AY103" s="591"/>
    </row>
    <row r="104" spans="1:51" ht="16.5" customHeight="1" x14ac:dyDescent="0.2">
      <c r="A104" s="2"/>
      <c r="B104" s="18" t="e">
        <f>VERIFICA!#REF!</f>
        <v>#REF!</v>
      </c>
      <c r="C104" s="2106" t="str">
        <f>IF(AND(RIEPILOGO!B11="",SUM(G104:N104)&gt;0),"ERROR",RIEPILOGO!B11)</f>
        <v/>
      </c>
      <c r="D104" s="2106"/>
      <c r="E104" s="2106"/>
      <c r="F104" s="2106"/>
      <c r="G104" s="304"/>
      <c r="H104" s="660"/>
      <c r="I104" s="659"/>
      <c r="J104" s="659"/>
      <c r="K104" s="660"/>
      <c r="L104" s="659"/>
      <c r="M104" s="659"/>
      <c r="N104" s="660"/>
      <c r="O104" s="2217" t="s">
        <v>349</v>
      </c>
      <c r="P104" s="2217"/>
      <c r="Q104" s="12"/>
      <c r="R104" s="95">
        <f>SUM(G104:N104)</f>
        <v>0</v>
      </c>
      <c r="S104" s="95">
        <f>SUMIF($G$42:N$42,K$134,$G104:N104)</f>
        <v>0</v>
      </c>
      <c r="T104" s="1110" t="e">
        <f>S104/R104*100</f>
        <v>#DIV/0!</v>
      </c>
      <c r="U104" s="2"/>
      <c r="V104" s="591"/>
      <c r="W104" s="591"/>
      <c r="X104" s="591"/>
      <c r="Y104" s="591"/>
      <c r="Z104" s="591"/>
      <c r="AA104" s="591"/>
      <c r="AB104" s="591"/>
      <c r="AC104" s="591"/>
      <c r="AG104" s="591"/>
      <c r="AH104" s="591"/>
      <c r="AI104" s="591"/>
      <c r="AJ104" s="591"/>
      <c r="AK104" s="591"/>
      <c r="AM104" s="591"/>
      <c r="AN104" s="591"/>
      <c r="AO104" s="591"/>
      <c r="AP104" s="591"/>
      <c r="AQ104" s="591"/>
      <c r="AS104" s="591"/>
      <c r="AT104" s="591"/>
      <c r="AU104" s="591"/>
      <c r="AV104" s="591"/>
      <c r="AW104" s="591"/>
      <c r="AY104" s="591"/>
    </row>
    <row r="105" spans="1:51" ht="15" customHeight="1" x14ac:dyDescent="0.2">
      <c r="A105" s="2"/>
      <c r="B105" s="2"/>
      <c r="C105" s="10"/>
      <c r="D105" s="10"/>
      <c r="E105" s="10"/>
      <c r="F105" s="10"/>
      <c r="G105" s="91" t="str">
        <f>IF(AND(SUM(G101:G104)&lt;&gt;0,G152=0),$L$152,IF(G152=0,"",IF(SUM(G101:G104)&lt;&gt;G98,IMPOSTAZIONI!$J$383,IF(SUM(G101:G104)&lt;&gt;G98,IMPOSTAZIONI!$M$383,IMPOSTAZIONI!$H$383))))</f>
        <v/>
      </c>
      <c r="H105" s="91" t="str">
        <f>IF(AND(SUM(H101:H104)&lt;&gt;0,H152=0),$L$152,IF(H152=0,"",IF(SUM(H101:H104)&lt;&gt;H98,IMPOSTAZIONI!$J$383,IF(SUM(H101:H104)&lt;&gt;H98,IMPOSTAZIONI!$M$383,IMPOSTAZIONI!$H$383))))</f>
        <v/>
      </c>
      <c r="I105" s="91"/>
      <c r="J105" s="91"/>
      <c r="K105" s="91" t="str">
        <f>IF(AND(SUM(K101:K104)&lt;&gt;0,I152=0),$L$152,IF(I152=0,"",IF(SUM(K101:K104)&lt;&gt;K98,IMPOSTAZIONI!$J$383,IF(SUM(K101:K104)&lt;&gt;K98,IMPOSTAZIONI!$M$383,IMPOSTAZIONI!$H$383))))</f>
        <v/>
      </c>
      <c r="L105" s="91"/>
      <c r="M105" s="91"/>
      <c r="N105" s="91" t="str">
        <f>IF(AND(SUM(N101:N104)&lt;&gt;0,J152=0),$L$152,IF(J152=0,"",IF(SUM(N101:N104)&lt;&gt;N98,IMPOSTAZIONI!$J$383,IF(SUM(N101:N104)&lt;&gt;N98,IMPOSTAZIONI!$M$383,IMPOSTAZIONI!$H$383))))</f>
        <v/>
      </c>
      <c r="O105" s="10"/>
      <c r="P105" s="10"/>
      <c r="Q105" s="2"/>
      <c r="R105" s="2"/>
      <c r="S105" s="2"/>
      <c r="T105" s="2"/>
      <c r="U105" s="2"/>
      <c r="V105" s="591"/>
      <c r="W105" s="591"/>
      <c r="X105" s="591"/>
      <c r="Y105" s="591"/>
      <c r="Z105" s="591"/>
      <c r="AA105" s="591"/>
      <c r="AB105" s="591"/>
      <c r="AC105" s="591"/>
      <c r="AG105" s="591"/>
      <c r="AH105" s="591"/>
      <c r="AI105" s="591"/>
      <c r="AJ105" s="591"/>
      <c r="AK105" s="591"/>
      <c r="AM105" s="591"/>
      <c r="AN105" s="591"/>
      <c r="AO105" s="591"/>
      <c r="AP105" s="591"/>
      <c r="AQ105" s="591"/>
      <c r="AS105" s="591"/>
      <c r="AT105" s="591"/>
      <c r="AU105" s="591"/>
      <c r="AV105" s="591"/>
      <c r="AW105" s="591"/>
      <c r="AY105" s="591"/>
    </row>
    <row r="106" spans="1:51" ht="21" customHeight="1" x14ac:dyDescent="0.2">
      <c r="A106" s="2"/>
      <c r="B106" s="2"/>
      <c r="C106" s="2"/>
      <c r="D106" s="2"/>
      <c r="E106" s="2"/>
      <c r="F106" s="2"/>
      <c r="G106" s="2"/>
      <c r="H106" s="2"/>
      <c r="I106" s="2"/>
      <c r="J106" s="2"/>
      <c r="K106" s="2"/>
      <c r="L106" s="2"/>
      <c r="M106" s="2"/>
      <c r="N106" s="2"/>
      <c r="O106" s="2"/>
      <c r="P106" s="2"/>
      <c r="Q106" s="2"/>
      <c r="R106" s="2"/>
      <c r="S106" s="2"/>
      <c r="T106" s="2"/>
      <c r="U106" s="2"/>
      <c r="V106" s="591"/>
      <c r="W106" s="591"/>
      <c r="X106" s="591"/>
      <c r="Y106" s="591"/>
      <c r="Z106" s="591"/>
      <c r="AA106" s="591"/>
      <c r="AB106" s="591"/>
      <c r="AC106" s="591"/>
      <c r="AG106" s="591"/>
      <c r="AH106" s="591"/>
      <c r="AI106" s="591"/>
      <c r="AJ106" s="591"/>
      <c r="AK106" s="591"/>
      <c r="AM106" s="591"/>
      <c r="AN106" s="591"/>
      <c r="AO106" s="591"/>
      <c r="AP106" s="591"/>
      <c r="AQ106" s="591"/>
      <c r="AS106" s="591"/>
      <c r="AT106" s="591"/>
      <c r="AU106" s="591"/>
      <c r="AV106" s="591"/>
      <c r="AW106" s="591"/>
      <c r="AY106" s="591"/>
    </row>
    <row r="107" spans="1:51" ht="21" customHeight="1" x14ac:dyDescent="0.2">
      <c r="A107" s="2"/>
      <c r="B107" s="2"/>
      <c r="C107" s="2"/>
      <c r="D107" s="2"/>
      <c r="E107" s="2"/>
      <c r="F107" s="278" t="s">
        <v>324</v>
      </c>
      <c r="G107" s="2"/>
      <c r="H107" s="2"/>
      <c r="I107" s="256"/>
      <c r="J107" s="256"/>
      <c r="K107" s="256"/>
      <c r="L107" s="2"/>
      <c r="M107" s="2"/>
      <c r="N107" s="2"/>
      <c r="O107" s="2"/>
      <c r="P107" s="2"/>
      <c r="Q107" s="2"/>
      <c r="R107" s="2"/>
      <c r="S107" s="2"/>
      <c r="T107" s="2"/>
      <c r="U107" s="2"/>
      <c r="V107" s="591"/>
      <c r="W107" s="591"/>
      <c r="X107" s="591"/>
      <c r="Y107" s="591"/>
      <c r="Z107" s="591"/>
      <c r="AA107" s="591"/>
      <c r="AB107" s="591"/>
      <c r="AC107" s="591"/>
      <c r="AG107" s="591"/>
      <c r="AH107" s="591"/>
      <c r="AI107" s="591"/>
      <c r="AJ107" s="591"/>
      <c r="AK107" s="591"/>
      <c r="AM107" s="591"/>
      <c r="AN107" s="591"/>
      <c r="AO107" s="591"/>
      <c r="AP107" s="591"/>
      <c r="AQ107" s="591"/>
      <c r="AS107" s="591"/>
      <c r="AT107" s="591"/>
      <c r="AU107" s="591"/>
      <c r="AV107" s="591"/>
      <c r="AW107" s="591"/>
      <c r="AY107" s="591"/>
    </row>
    <row r="108" spans="1:51" ht="18.75" customHeight="1" x14ac:dyDescent="0.2">
      <c r="A108" s="2"/>
      <c r="B108" s="2"/>
      <c r="C108" s="2"/>
      <c r="D108" s="2"/>
      <c r="E108" s="2"/>
      <c r="F108" s="763" t="s">
        <v>735</v>
      </c>
      <c r="G108" s="763"/>
      <c r="H108" s="763"/>
      <c r="I108" s="763"/>
      <c r="J108" s="2"/>
      <c r="K108" s="666">
        <f>E7</f>
        <v>0</v>
      </c>
      <c r="L108" s="2245">
        <f>K108-(SUM(G7:H7)+K7+N7)+SUMIF(G42:N42,K134,G7:N7)</f>
        <v>0</v>
      </c>
      <c r="M108" s="2246"/>
      <c r="N108" s="1045" t="s">
        <v>492</v>
      </c>
      <c r="O108" s="2"/>
      <c r="P108" s="2"/>
      <c r="Q108" s="2"/>
      <c r="R108" s="2"/>
      <c r="S108" s="2"/>
      <c r="T108" s="2"/>
      <c r="U108" s="2"/>
      <c r="V108" s="591"/>
      <c r="W108" s="591"/>
      <c r="X108" s="591"/>
      <c r="Y108" s="591"/>
      <c r="Z108" s="591"/>
      <c r="AA108" s="591"/>
      <c r="AB108" s="591"/>
      <c r="AC108" s="591"/>
      <c r="AG108" s="591"/>
      <c r="AH108" s="591"/>
      <c r="AI108" s="591"/>
      <c r="AJ108" s="591"/>
      <c r="AK108" s="591"/>
      <c r="AM108" s="591"/>
      <c r="AN108" s="591"/>
      <c r="AO108" s="591"/>
      <c r="AP108" s="591"/>
      <c r="AQ108" s="591"/>
      <c r="AS108" s="591"/>
      <c r="AT108" s="591"/>
      <c r="AU108" s="591"/>
      <c r="AV108" s="591"/>
      <c r="AW108" s="591"/>
      <c r="AY108" s="591"/>
    </row>
    <row r="109" spans="1:51" ht="18.75" customHeight="1" x14ac:dyDescent="0.2">
      <c r="A109" s="2"/>
      <c r="B109" s="2"/>
      <c r="C109" s="2"/>
      <c r="D109" s="2"/>
      <c r="E109" s="2"/>
      <c r="F109" s="764" t="s">
        <v>736</v>
      </c>
      <c r="G109" s="764"/>
      <c r="H109" s="764"/>
      <c r="I109" s="764"/>
      <c r="J109" s="2"/>
      <c r="K109" s="279">
        <f>E39</f>
        <v>0</v>
      </c>
      <c r="L109" s="2247">
        <f>K109-(SUM(G39:H39)+K39+N39)+SUMIF(G42:N42,K134,G39:N39)</f>
        <v>0</v>
      </c>
      <c r="M109" s="2248"/>
      <c r="N109" s="1046" t="s">
        <v>493</v>
      </c>
      <c r="O109" s="2"/>
      <c r="P109" s="2"/>
      <c r="Q109" s="2"/>
      <c r="R109" s="2"/>
      <c r="S109" s="2"/>
      <c r="T109" s="2"/>
      <c r="U109" s="2"/>
      <c r="V109" s="591"/>
      <c r="W109" s="591"/>
      <c r="X109" s="591"/>
      <c r="Y109" s="591"/>
      <c r="Z109" s="591"/>
      <c r="AA109" s="591"/>
      <c r="AB109" s="591"/>
      <c r="AC109" s="591"/>
      <c r="AG109" s="591"/>
      <c r="AH109" s="591"/>
      <c r="AI109" s="591"/>
      <c r="AJ109" s="591"/>
      <c r="AK109" s="591"/>
      <c r="AM109" s="591"/>
      <c r="AN109" s="591"/>
      <c r="AO109" s="591"/>
      <c r="AP109" s="591"/>
      <c r="AQ109" s="591"/>
      <c r="AS109" s="591"/>
      <c r="AT109" s="591"/>
      <c r="AU109" s="591"/>
      <c r="AV109" s="591"/>
      <c r="AW109" s="591"/>
      <c r="AY109" s="591"/>
    </row>
    <row r="110" spans="1:51" ht="19.5" customHeight="1" x14ac:dyDescent="0.25">
      <c r="A110" s="2"/>
      <c r="B110" s="2"/>
      <c r="C110" s="2"/>
      <c r="D110" s="2"/>
      <c r="E110" s="2"/>
      <c r="F110" s="661" t="s">
        <v>485</v>
      </c>
      <c r="G110" s="661"/>
      <c r="H110" s="661"/>
      <c r="I110" s="661"/>
      <c r="J110" s="2"/>
      <c r="K110" s="661"/>
      <c r="L110" s="668"/>
      <c r="M110" s="662"/>
      <c r="N110" s="2"/>
      <c r="O110" s="2"/>
      <c r="P110" s="2"/>
      <c r="Q110" s="2"/>
      <c r="R110" s="2"/>
      <c r="S110" s="2"/>
      <c r="T110" s="2"/>
      <c r="U110" s="2"/>
      <c r="V110" s="591"/>
      <c r="W110" s="591"/>
      <c r="X110" s="591"/>
      <c r="Y110" s="591"/>
      <c r="Z110" s="591"/>
      <c r="AA110" s="591"/>
      <c r="AB110" s="591"/>
      <c r="AC110" s="591"/>
      <c r="AG110" s="591"/>
      <c r="AH110" s="591"/>
      <c r="AI110" s="591"/>
      <c r="AJ110" s="591"/>
      <c r="AK110" s="591"/>
      <c r="AM110" s="591"/>
      <c r="AN110" s="591"/>
      <c r="AO110" s="591"/>
      <c r="AP110" s="591"/>
      <c r="AQ110" s="591"/>
      <c r="AS110" s="591"/>
      <c r="AT110" s="591"/>
      <c r="AU110" s="591"/>
      <c r="AV110" s="591"/>
      <c r="AW110" s="591"/>
      <c r="AY110" s="591"/>
    </row>
    <row r="111" spans="1:51" ht="19.5" customHeight="1" x14ac:dyDescent="0.2">
      <c r="A111" s="2"/>
      <c r="B111" s="2"/>
      <c r="C111" s="2"/>
      <c r="D111" s="2"/>
      <c r="E111" s="2"/>
      <c r="F111" s="663" t="s">
        <v>480</v>
      </c>
      <c r="G111" s="663"/>
      <c r="H111" s="663"/>
      <c r="I111" s="663"/>
      <c r="J111" s="2"/>
      <c r="K111" s="663"/>
      <c r="L111" s="669"/>
      <c r="M111" s="664"/>
      <c r="N111" s="2"/>
      <c r="O111" s="2"/>
      <c r="P111" s="2"/>
      <c r="Q111" s="2"/>
      <c r="R111" s="2"/>
      <c r="S111" s="2"/>
      <c r="T111" s="2"/>
      <c r="U111" s="2"/>
      <c r="V111" s="591"/>
      <c r="W111" s="591"/>
      <c r="X111" s="591"/>
      <c r="Y111" s="591"/>
      <c r="Z111" s="591"/>
      <c r="AA111" s="591"/>
      <c r="AB111" s="591"/>
      <c r="AC111" s="591"/>
      <c r="AG111" s="591"/>
      <c r="AH111" s="591"/>
      <c r="AI111" s="591"/>
      <c r="AJ111" s="591"/>
      <c r="AK111" s="591"/>
      <c r="AM111" s="591"/>
      <c r="AN111" s="591"/>
      <c r="AO111" s="591"/>
      <c r="AP111" s="591"/>
      <c r="AQ111" s="591"/>
      <c r="AS111" s="591"/>
      <c r="AT111" s="591"/>
      <c r="AU111" s="591"/>
      <c r="AV111" s="591"/>
      <c r="AW111" s="591"/>
      <c r="AY111" s="591"/>
    </row>
    <row r="112" spans="1:51" ht="21" customHeight="1" x14ac:dyDescent="0.2">
      <c r="A112" s="2"/>
      <c r="B112" s="2"/>
      <c r="C112" s="2"/>
      <c r="D112" s="2"/>
      <c r="E112" s="2"/>
      <c r="F112" s="104" t="s">
        <v>97</v>
      </c>
      <c r="G112" s="104"/>
      <c r="H112" s="104"/>
      <c r="I112" s="104"/>
      <c r="J112" s="2"/>
      <c r="K112" s="104"/>
      <c r="L112" s="484"/>
      <c r="M112" s="665"/>
      <c r="N112" s="2"/>
      <c r="O112" s="2"/>
      <c r="P112" s="2"/>
      <c r="Q112" s="2"/>
      <c r="R112" s="2"/>
      <c r="S112" s="2"/>
      <c r="T112" s="2"/>
      <c r="U112" s="2"/>
      <c r="V112" s="591"/>
      <c r="W112" s="591"/>
      <c r="X112" s="591"/>
      <c r="Y112" s="591"/>
      <c r="Z112" s="591"/>
      <c r="AA112" s="591"/>
      <c r="AB112" s="591"/>
      <c r="AC112" s="591"/>
      <c r="AG112" s="591"/>
      <c r="AH112" s="591"/>
      <c r="AI112" s="591"/>
      <c r="AJ112" s="591"/>
      <c r="AK112" s="591"/>
      <c r="AM112" s="591"/>
      <c r="AN112" s="591"/>
      <c r="AO112" s="591"/>
      <c r="AP112" s="591"/>
      <c r="AQ112" s="591"/>
      <c r="AS112" s="591"/>
      <c r="AT112" s="591"/>
      <c r="AU112" s="591"/>
      <c r="AV112" s="591"/>
      <c r="AW112" s="591"/>
      <c r="AY112" s="591"/>
    </row>
    <row r="113" spans="1:51" ht="12" customHeight="1" x14ac:dyDescent="0.2">
      <c r="A113" s="2"/>
      <c r="B113" s="2"/>
      <c r="C113" s="2"/>
      <c r="D113" s="2"/>
      <c r="E113" s="2"/>
      <c r="F113" s="2"/>
      <c r="G113" s="2"/>
      <c r="H113" s="2"/>
      <c r="I113" s="2"/>
      <c r="J113" s="2"/>
      <c r="K113" s="2"/>
      <c r="L113" s="14"/>
      <c r="M113" s="139"/>
      <c r="N113" s="2"/>
      <c r="O113" s="2"/>
      <c r="P113" s="2"/>
      <c r="Q113" s="2"/>
      <c r="R113" s="2"/>
      <c r="S113" s="2"/>
      <c r="T113" s="2"/>
      <c r="U113" s="2"/>
      <c r="V113" s="591"/>
      <c r="W113" s="591"/>
      <c r="X113" s="591"/>
      <c r="Y113" s="591"/>
      <c r="Z113" s="591"/>
      <c r="AA113" s="591"/>
      <c r="AB113" s="591"/>
      <c r="AC113" s="591"/>
      <c r="AG113" s="591"/>
      <c r="AH113" s="591"/>
      <c r="AI113" s="591"/>
      <c r="AJ113" s="591"/>
      <c r="AK113" s="591"/>
      <c r="AM113" s="591"/>
      <c r="AN113" s="591"/>
      <c r="AO113" s="591"/>
      <c r="AP113" s="591"/>
      <c r="AQ113" s="591"/>
      <c r="AS113" s="591"/>
      <c r="AT113" s="591"/>
      <c r="AU113" s="591"/>
      <c r="AV113" s="591"/>
      <c r="AW113" s="591"/>
      <c r="AY113" s="591"/>
    </row>
    <row r="114" spans="1:51" ht="15" hidden="1" customHeight="1" x14ac:dyDescent="0.2">
      <c r="A114" s="2"/>
      <c r="B114" s="2"/>
      <c r="C114" s="2"/>
      <c r="D114" s="2"/>
      <c r="E114" s="2"/>
      <c r="F114" s="2"/>
      <c r="G114" s="103">
        <f>IF(ISERROR(G$135),HLOOKUP(L$138,$J$138:$L$138,1,FALSE),HLOOKUP(G$135,$G$129:$I129,1,FALSE))</f>
        <v>3</v>
      </c>
      <c r="H114" s="103">
        <f>IF(ISERROR(H$135),HLOOKUP(K$138,$J$138:$L$138,1,FALSE),HLOOKUP(H$135,$G$129:$I129,1,FALSE))</f>
        <v>2</v>
      </c>
      <c r="I114" s="2053">
        <f>IF(ISERROR(I$135),HLOOKUP(J$138,$J$138:$L$138,1,FALSE),HLOOKUP(I$135,$G$129:$I129,1,FALSE))</f>
        <v>1</v>
      </c>
      <c r="J114" s="2053"/>
      <c r="K114" s="2"/>
      <c r="L114" s="14"/>
      <c r="M114" s="139"/>
      <c r="N114" s="2"/>
      <c r="O114" s="2"/>
      <c r="P114" s="2"/>
      <c r="Q114" s="2"/>
      <c r="R114" s="2"/>
      <c r="S114" s="2"/>
      <c r="T114" s="2"/>
      <c r="U114" s="2"/>
      <c r="V114" s="591"/>
      <c r="W114" s="591"/>
      <c r="X114" s="591"/>
      <c r="Y114" s="591"/>
      <c r="Z114" s="591"/>
      <c r="AA114" s="591"/>
      <c r="AB114" s="591"/>
      <c r="AC114" s="591"/>
      <c r="AG114" s="591"/>
      <c r="AH114" s="591"/>
      <c r="AI114" s="591"/>
      <c r="AJ114" s="591"/>
      <c r="AK114" s="591"/>
      <c r="AM114" s="591"/>
      <c r="AN114" s="591"/>
      <c r="AO114" s="591"/>
      <c r="AP114" s="591"/>
      <c r="AQ114" s="591"/>
      <c r="AS114" s="591"/>
      <c r="AT114" s="591"/>
      <c r="AU114" s="591"/>
      <c r="AV114" s="591"/>
      <c r="AW114" s="591"/>
      <c r="AY114" s="591"/>
    </row>
    <row r="115" spans="1:51" ht="21" hidden="1" customHeight="1" x14ac:dyDescent="0.2">
      <c r="A115" s="2"/>
      <c r="B115" s="2"/>
      <c r="C115" s="2"/>
      <c r="D115" s="2"/>
      <c r="E115" s="2"/>
      <c r="F115" s="2"/>
      <c r="G115" s="129">
        <f>IF(ISERROR(G$135),0,HLOOKUP(G$135,$G$129:$I130,2,FALSE))</f>
        <v>0</v>
      </c>
      <c r="H115" s="129">
        <f>IF(ISERROR(H$135),0,HLOOKUP(H$135,$G$129:$I130,2,FALSE))</f>
        <v>0</v>
      </c>
      <c r="I115" s="2244">
        <f>IF(ISERROR(I$135),0,HLOOKUP(I$135,$G$129:$I130,2,FALSE))</f>
        <v>0</v>
      </c>
      <c r="J115" s="2244"/>
      <c r="K115" s="2"/>
      <c r="L115" s="14"/>
      <c r="M115" s="139"/>
      <c r="N115" s="2"/>
      <c r="O115" s="2"/>
      <c r="P115" s="2"/>
      <c r="Q115" s="2"/>
      <c r="R115" s="2"/>
      <c r="S115" s="2"/>
      <c r="T115" s="2"/>
      <c r="U115" s="2"/>
      <c r="V115" s="591"/>
      <c r="W115" s="591"/>
      <c r="X115" s="591"/>
      <c r="Y115" s="591"/>
      <c r="Z115" s="591"/>
      <c r="AA115" s="591"/>
      <c r="AB115" s="591"/>
      <c r="AC115" s="591"/>
      <c r="AG115" s="591"/>
      <c r="AH115" s="591"/>
      <c r="AI115" s="591"/>
      <c r="AJ115" s="591"/>
      <c r="AK115" s="591"/>
      <c r="AM115" s="591"/>
      <c r="AN115" s="591"/>
      <c r="AO115" s="591"/>
      <c r="AP115" s="591"/>
      <c r="AQ115" s="591"/>
      <c r="AS115" s="591"/>
      <c r="AT115" s="591"/>
      <c r="AU115" s="591"/>
      <c r="AV115" s="591"/>
      <c r="AW115" s="591"/>
      <c r="AY115" s="591"/>
    </row>
    <row r="116" spans="1:51" ht="18" customHeight="1" x14ac:dyDescent="0.2">
      <c r="A116" s="2"/>
      <c r="B116" s="2"/>
      <c r="C116" s="2"/>
      <c r="D116" s="2"/>
      <c r="E116" s="2"/>
      <c r="F116" s="2"/>
      <c r="G116" s="280">
        <f>IF(ISERROR(G$135),HLOOKUP(L$138,$J$138:$L140,3,FALSE),HLOOKUP(G$135,$G$129:$I131,3,FALSE))</f>
        <v>0</v>
      </c>
      <c r="H116" s="280">
        <f>IF(ISERROR(H$135),HLOOKUP(K$138,$J$138:$L140,3,FALSE),HLOOKUP(H$135,$G$129:$I131,3,FALSE))</f>
        <v>0</v>
      </c>
      <c r="I116" s="2249">
        <f>IF(ISERROR(I$135),HLOOKUP(J$138,$J$138:$L140,3,FALSE),HLOOKUP(I$135,$G$129:$I131,3,FALSE))</f>
        <v>0</v>
      </c>
      <c r="J116" s="2250"/>
      <c r="K116" s="2"/>
      <c r="L116" s="14"/>
      <c r="M116" s="139"/>
      <c r="N116" s="2"/>
      <c r="O116" s="2"/>
      <c r="P116" s="2"/>
      <c r="Q116" s="2"/>
      <c r="R116" s="2"/>
      <c r="S116" s="2"/>
      <c r="T116" s="2"/>
      <c r="U116" s="2"/>
      <c r="V116" s="591"/>
      <c r="W116" s="591"/>
      <c r="X116" s="591"/>
      <c r="Y116" s="591"/>
      <c r="Z116" s="591"/>
      <c r="AA116" s="591"/>
      <c r="AB116" s="591"/>
      <c r="AC116" s="591"/>
      <c r="AG116" s="591"/>
      <c r="AH116" s="591"/>
      <c r="AI116" s="591"/>
      <c r="AJ116" s="591"/>
      <c r="AK116" s="591"/>
      <c r="AM116" s="591"/>
      <c r="AN116" s="591"/>
      <c r="AO116" s="591"/>
      <c r="AP116" s="591"/>
      <c r="AQ116" s="591"/>
      <c r="AS116" s="591"/>
      <c r="AT116" s="591"/>
      <c r="AU116" s="591"/>
      <c r="AV116" s="591"/>
      <c r="AW116" s="591"/>
      <c r="AY116" s="591"/>
    </row>
    <row r="117" spans="1:51" ht="18" customHeight="1" x14ac:dyDescent="0.2">
      <c r="A117" s="2"/>
      <c r="B117" s="2"/>
      <c r="C117" s="2"/>
      <c r="D117" s="2"/>
      <c r="E117" s="2"/>
      <c r="F117" s="2"/>
      <c r="G117" s="281">
        <f>IF(ISERROR(G$135),HLOOKUP(L$138,$J$138:$L141,4,FALSE),HLOOKUP(G$135,$G$129:$I132,4,FALSE))</f>
        <v>0</v>
      </c>
      <c r="H117" s="281">
        <f>IF(ISERROR(H$135),HLOOKUP(K$138,$J$138:$L141,4,FALSE),HLOOKUP(H$135,$G$129:$I132,4,FALSE))</f>
        <v>0</v>
      </c>
      <c r="I117" s="2251">
        <f>IF(ISERROR(I$135),HLOOKUP(J$138,$J$138:$L141,4,FALSE),HLOOKUP(I$135,$G$129:$I132,4,FALSE))</f>
        <v>0</v>
      </c>
      <c r="J117" s="2252"/>
      <c r="K117" s="2"/>
      <c r="L117" s="14"/>
      <c r="M117" s="139"/>
      <c r="N117" s="2"/>
      <c r="O117" s="2"/>
      <c r="P117" s="2"/>
      <c r="Q117" s="2"/>
      <c r="R117" s="2"/>
      <c r="S117" s="2"/>
      <c r="T117" s="2"/>
      <c r="U117" s="2"/>
      <c r="V117" s="591"/>
      <c r="W117" s="591"/>
      <c r="X117" s="591"/>
      <c r="Y117" s="591"/>
      <c r="Z117" s="591"/>
      <c r="AA117" s="591"/>
      <c r="AB117" s="591"/>
      <c r="AC117" s="591"/>
      <c r="AG117" s="591"/>
      <c r="AH117" s="591"/>
      <c r="AI117" s="591"/>
      <c r="AJ117" s="591"/>
      <c r="AK117" s="591"/>
      <c r="AM117" s="591"/>
      <c r="AN117" s="591"/>
      <c r="AO117" s="591"/>
      <c r="AP117" s="591"/>
      <c r="AQ117" s="591"/>
      <c r="AS117" s="591"/>
      <c r="AT117" s="591"/>
      <c r="AU117" s="591"/>
      <c r="AV117" s="591"/>
      <c r="AW117" s="591"/>
      <c r="AY117" s="591"/>
    </row>
    <row r="118" spans="1:51" ht="18" customHeight="1" x14ac:dyDescent="0.2">
      <c r="A118" s="2"/>
      <c r="B118" s="2"/>
      <c r="C118" s="2"/>
      <c r="D118" s="2"/>
      <c r="E118" s="2"/>
      <c r="F118" s="2"/>
      <c r="G118" s="282">
        <f>IF(ISERROR(G$135),HLOOKUP(L$138,$J$138:$L142,5,FALSE),HLOOKUP(G$135,$G$129:$I133,5,FALSE))</f>
        <v>0</v>
      </c>
      <c r="H118" s="282">
        <f>IF(ISERROR(H$135),HLOOKUP(K$138,$J$138:$L142,5,FALSE),HLOOKUP(H$135,$G$129:$I133,5,FALSE))</f>
        <v>0</v>
      </c>
      <c r="I118" s="2257">
        <f>IF(ISERROR(I$135),HLOOKUP(J$138,$J$138:$L142,5,FALSE),HLOOKUP(I$135,$G$129:$I133,5,FALSE))</f>
        <v>0</v>
      </c>
      <c r="J118" s="2258"/>
      <c r="K118" s="2"/>
      <c r="L118" s="14"/>
      <c r="M118" s="139"/>
      <c r="N118" s="2"/>
      <c r="O118" s="2"/>
      <c r="P118" s="2"/>
      <c r="Q118" s="2"/>
      <c r="R118" s="2"/>
      <c r="S118" s="2"/>
      <c r="T118" s="2"/>
      <c r="U118" s="2"/>
      <c r="V118" s="591"/>
      <c r="W118" s="591"/>
      <c r="X118" s="591"/>
      <c r="Y118" s="591"/>
      <c r="Z118" s="591"/>
      <c r="AA118" s="591"/>
      <c r="AB118" s="591"/>
      <c r="AC118" s="591"/>
      <c r="AG118" s="591"/>
      <c r="AH118" s="591"/>
      <c r="AI118" s="591"/>
      <c r="AJ118" s="591"/>
      <c r="AK118" s="591"/>
      <c r="AM118" s="591"/>
      <c r="AN118" s="591"/>
      <c r="AO118" s="591"/>
      <c r="AP118" s="591"/>
      <c r="AQ118" s="591"/>
      <c r="AS118" s="591"/>
      <c r="AT118" s="591"/>
      <c r="AU118" s="591"/>
      <c r="AV118" s="591"/>
      <c r="AW118" s="591"/>
      <c r="AY118" s="591"/>
    </row>
    <row r="119" spans="1:51" ht="21" hidden="1" customHeight="1" x14ac:dyDescent="0.2">
      <c r="A119" s="2"/>
      <c r="B119" s="2"/>
      <c r="C119" s="2"/>
      <c r="D119" s="2"/>
      <c r="E119" s="2"/>
      <c r="F119" s="2"/>
      <c r="G119" s="117" t="e">
        <f>IF(ISERROR(G$135),HLOOKUP(L$138,$J$138:$L139,2,FALSE),HLOOKUP(G$135,$G$129:$I136,8,FALSE))</f>
        <v>#N/A</v>
      </c>
      <c r="H119" s="117" t="e">
        <f>IF(ISERROR(H$135),HLOOKUP(K$138,$J$138:$L139,2,FALSE),HLOOKUP(H$135,$G$129:$I136,8,FALSE))</f>
        <v>#N/A</v>
      </c>
      <c r="I119" s="2259" t="e">
        <f>IF(ISERROR(I$135),HLOOKUP(J$138,$J$138:$L139,2,FALSE),HLOOKUP(I$135,$G$129:$I136,8,FALSE))</f>
        <v>#N/A</v>
      </c>
      <c r="J119" s="2259"/>
      <c r="K119" s="2"/>
      <c r="L119" s="14"/>
      <c r="M119" s="139"/>
      <c r="N119" s="2"/>
      <c r="O119" s="2"/>
      <c r="P119" s="2"/>
      <c r="Q119" s="2"/>
      <c r="R119" s="2"/>
      <c r="S119" s="2"/>
      <c r="T119" s="2"/>
      <c r="U119" s="2"/>
      <c r="V119" s="591"/>
      <c r="W119" s="591"/>
      <c r="X119" s="591"/>
      <c r="Y119" s="591"/>
      <c r="Z119" s="591"/>
      <c r="AA119" s="591"/>
      <c r="AB119" s="591"/>
      <c r="AC119" s="591"/>
      <c r="AG119" s="591"/>
      <c r="AH119" s="591"/>
      <c r="AI119" s="591"/>
      <c r="AJ119" s="591"/>
      <c r="AK119" s="591"/>
      <c r="AM119" s="591"/>
      <c r="AN119" s="591"/>
      <c r="AO119" s="591"/>
      <c r="AP119" s="591"/>
      <c r="AQ119" s="591"/>
      <c r="AS119" s="591"/>
      <c r="AT119" s="591"/>
      <c r="AU119" s="591"/>
      <c r="AV119" s="591"/>
      <c r="AW119" s="591"/>
      <c r="AY119" s="591"/>
    </row>
    <row r="120" spans="1:51" ht="4.5" customHeight="1" x14ac:dyDescent="0.2">
      <c r="A120" s="2"/>
      <c r="B120" s="2"/>
      <c r="C120" s="2"/>
      <c r="D120" s="2"/>
      <c r="E120" s="2"/>
      <c r="F120" s="2"/>
      <c r="G120" s="14"/>
      <c r="H120" s="14"/>
      <c r="I120" s="2202"/>
      <c r="J120" s="2202"/>
      <c r="K120" s="2"/>
      <c r="L120" s="14"/>
      <c r="M120" s="139"/>
      <c r="N120" s="2"/>
      <c r="O120" s="2"/>
      <c r="P120" s="2"/>
      <c r="Q120" s="2"/>
      <c r="R120" s="2"/>
      <c r="S120" s="2"/>
      <c r="T120" s="2"/>
      <c r="U120" s="2"/>
      <c r="V120" s="591"/>
      <c r="W120" s="591"/>
      <c r="X120" s="591"/>
      <c r="Y120" s="591"/>
      <c r="Z120" s="591"/>
      <c r="AA120" s="591"/>
      <c r="AB120" s="591"/>
      <c r="AC120" s="591"/>
      <c r="AG120" s="591"/>
      <c r="AH120" s="591"/>
      <c r="AI120" s="591"/>
      <c r="AJ120" s="591"/>
      <c r="AK120" s="591"/>
      <c r="AM120" s="591"/>
      <c r="AN120" s="591"/>
      <c r="AO120" s="591"/>
      <c r="AP120" s="591"/>
      <c r="AQ120" s="591"/>
      <c r="AS120" s="591"/>
      <c r="AT120" s="591"/>
      <c r="AU120" s="591"/>
      <c r="AV120" s="591"/>
      <c r="AW120" s="591"/>
      <c r="AY120" s="591"/>
    </row>
    <row r="121" spans="1:51" ht="18" customHeight="1" x14ac:dyDescent="0.25">
      <c r="A121" s="2"/>
      <c r="B121" s="2"/>
      <c r="C121" s="2"/>
      <c r="D121" s="2"/>
      <c r="E121" s="2"/>
      <c r="F121" s="283" t="s">
        <v>483</v>
      </c>
      <c r="G121" s="285">
        <f>IMPOSTAZIONI!AU291</f>
        <v>0</v>
      </c>
      <c r="H121" s="285">
        <f>IMPOSTAZIONI!AU292</f>
        <v>0</v>
      </c>
      <c r="I121" s="2253">
        <f>IMPOSTAZIONI!AU293</f>
        <v>0</v>
      </c>
      <c r="J121" s="2254"/>
      <c r="K121" s="667">
        <f>SUM(G121:I121)</f>
        <v>0</v>
      </c>
      <c r="L121" s="14"/>
      <c r="M121" s="139"/>
      <c r="N121" s="2"/>
      <c r="O121" s="2"/>
      <c r="P121" s="2"/>
      <c r="Q121" s="2"/>
      <c r="R121" s="2"/>
      <c r="S121" s="2"/>
      <c r="T121" s="2"/>
      <c r="U121" s="2"/>
      <c r="V121" s="591"/>
      <c r="W121" s="591"/>
      <c r="X121" s="591"/>
      <c r="Y121" s="591"/>
      <c r="Z121" s="591"/>
      <c r="AA121" s="591"/>
      <c r="AB121" s="591"/>
      <c r="AC121" s="591"/>
      <c r="AG121" s="591"/>
      <c r="AH121" s="591"/>
      <c r="AI121" s="591"/>
      <c r="AJ121" s="591"/>
      <c r="AK121" s="591"/>
      <c r="AM121" s="591"/>
      <c r="AN121" s="591"/>
      <c r="AO121" s="591"/>
      <c r="AP121" s="591"/>
      <c r="AQ121" s="591"/>
      <c r="AS121" s="591"/>
      <c r="AT121" s="591"/>
      <c r="AU121" s="591"/>
      <c r="AV121" s="591"/>
      <c r="AW121" s="591"/>
      <c r="AY121" s="591"/>
    </row>
    <row r="122" spans="1:51" ht="18" customHeight="1" x14ac:dyDescent="0.2">
      <c r="A122" s="2"/>
      <c r="B122" s="2"/>
      <c r="C122" s="2"/>
      <c r="D122" s="2"/>
      <c r="E122" s="2"/>
      <c r="F122" s="284" t="s">
        <v>484</v>
      </c>
      <c r="G122" s="286">
        <f>IMPOSTAZIONI!AZ291</f>
        <v>0</v>
      </c>
      <c r="H122" s="286">
        <f>IMPOSTAZIONI!AZ292</f>
        <v>0</v>
      </c>
      <c r="I122" s="2255">
        <f>IMPOSTAZIONI!AZ293</f>
        <v>0</v>
      </c>
      <c r="J122" s="2256"/>
      <c r="K122" s="310">
        <f>SUM(G122:I122)</f>
        <v>0</v>
      </c>
      <c r="L122" s="287"/>
      <c r="M122" s="311"/>
      <c r="N122" s="2"/>
      <c r="O122" s="2"/>
      <c r="P122" s="2"/>
      <c r="Q122" s="2"/>
      <c r="R122" s="2"/>
      <c r="S122" s="2"/>
      <c r="T122" s="2"/>
      <c r="U122" s="2"/>
      <c r="V122" s="591"/>
      <c r="W122" s="591"/>
      <c r="X122" s="591"/>
      <c r="Y122" s="591"/>
      <c r="Z122" s="591"/>
      <c r="AA122" s="591"/>
      <c r="AB122" s="591"/>
      <c r="AC122" s="591"/>
      <c r="AG122" s="591"/>
      <c r="AH122" s="591"/>
      <c r="AI122" s="591"/>
      <c r="AJ122" s="591"/>
      <c r="AK122" s="591"/>
      <c r="AM122" s="591"/>
      <c r="AN122" s="591"/>
      <c r="AO122" s="591"/>
      <c r="AP122" s="591"/>
      <c r="AQ122" s="591"/>
      <c r="AS122" s="591"/>
      <c r="AT122" s="591"/>
      <c r="AU122" s="591"/>
      <c r="AV122" s="591"/>
      <c r="AW122" s="591"/>
      <c r="AY122" s="591"/>
    </row>
    <row r="123" spans="1:51" ht="21" customHeight="1" x14ac:dyDescent="0.2">
      <c r="A123" s="2"/>
      <c r="B123" s="2"/>
      <c r="C123" s="2"/>
      <c r="D123" s="2"/>
      <c r="E123" s="2"/>
      <c r="F123" s="2"/>
      <c r="G123" s="2"/>
      <c r="H123" s="2"/>
      <c r="I123" s="2"/>
      <c r="J123" s="2"/>
      <c r="K123" s="2"/>
      <c r="L123" s="2"/>
      <c r="M123" s="2"/>
      <c r="N123" s="2"/>
      <c r="O123" s="2"/>
      <c r="P123" s="2"/>
      <c r="Q123" s="2"/>
      <c r="R123" s="2"/>
      <c r="S123" s="2"/>
      <c r="T123" s="2"/>
      <c r="U123" s="2"/>
      <c r="V123" s="591"/>
      <c r="W123" s="591"/>
      <c r="X123" s="591"/>
      <c r="Y123" s="591"/>
      <c r="Z123" s="591"/>
      <c r="AA123" s="591"/>
      <c r="AB123" s="591"/>
      <c r="AC123" s="591"/>
      <c r="AG123" s="591"/>
      <c r="AH123" s="591"/>
      <c r="AI123" s="591"/>
      <c r="AJ123" s="591"/>
      <c r="AK123" s="591"/>
      <c r="AM123" s="591"/>
      <c r="AN123" s="591"/>
      <c r="AO123" s="591"/>
      <c r="AP123" s="591"/>
      <c r="AQ123" s="591"/>
      <c r="AS123" s="591"/>
      <c r="AT123" s="591"/>
      <c r="AU123" s="591"/>
      <c r="AV123" s="591"/>
      <c r="AW123" s="591"/>
      <c r="AY123" s="591"/>
    </row>
    <row r="124" spans="1:51" ht="21" customHeight="1" x14ac:dyDescent="0.2">
      <c r="A124" s="2"/>
      <c r="B124" s="2"/>
      <c r="C124" s="287"/>
      <c r="D124" s="287"/>
      <c r="E124" s="287"/>
      <c r="F124" s="287"/>
      <c r="G124" s="287"/>
      <c r="H124" s="287"/>
      <c r="I124" s="287"/>
      <c r="J124" s="287"/>
      <c r="K124" s="287"/>
      <c r="L124" s="287"/>
      <c r="M124" s="287"/>
      <c r="N124" s="287"/>
      <c r="O124" s="287"/>
      <c r="P124" s="2"/>
      <c r="Q124" s="2"/>
      <c r="R124" s="2"/>
      <c r="S124" s="2"/>
      <c r="T124" s="2"/>
      <c r="U124" s="2"/>
      <c r="V124" s="591"/>
      <c r="W124" s="591"/>
      <c r="X124" s="591"/>
      <c r="Y124" s="591"/>
      <c r="Z124" s="591"/>
      <c r="AA124" s="591"/>
      <c r="AB124" s="591"/>
      <c r="AC124" s="591"/>
      <c r="AG124" s="591"/>
      <c r="AH124" s="591"/>
      <c r="AI124" s="591"/>
      <c r="AJ124" s="591"/>
      <c r="AK124" s="591"/>
      <c r="AM124" s="591"/>
      <c r="AN124" s="591"/>
      <c r="AO124" s="591"/>
      <c r="AP124" s="591"/>
      <c r="AQ124" s="591"/>
      <c r="AS124" s="591"/>
      <c r="AT124" s="591"/>
      <c r="AU124" s="591"/>
      <c r="AV124" s="591"/>
      <c r="AW124" s="591"/>
      <c r="AY124" s="591"/>
    </row>
    <row r="125" spans="1:51" ht="13.5" hidden="1" customHeight="1" x14ac:dyDescent="0.2">
      <c r="A125" s="2"/>
      <c r="B125" s="2"/>
      <c r="C125" s="2"/>
      <c r="D125" s="2"/>
      <c r="E125" s="2"/>
      <c r="F125" s="2"/>
      <c r="G125" s="2"/>
      <c r="H125" s="2"/>
      <c r="I125" s="2"/>
      <c r="J125" s="2"/>
      <c r="K125" s="2"/>
      <c r="L125" s="2"/>
      <c r="M125" s="2"/>
      <c r="N125" s="2"/>
      <c r="O125" s="2"/>
      <c r="P125" s="2"/>
      <c r="Q125" s="2"/>
      <c r="R125" s="2"/>
      <c r="S125" s="2"/>
      <c r="T125" s="2"/>
      <c r="U125" s="2"/>
      <c r="V125" s="591"/>
      <c r="W125" s="591"/>
      <c r="X125" s="591"/>
      <c r="Y125" s="591"/>
      <c r="Z125" s="591"/>
      <c r="AA125" s="591"/>
      <c r="AB125" s="591"/>
      <c r="AC125" s="591"/>
      <c r="AG125" s="591"/>
      <c r="AH125" s="591"/>
      <c r="AI125" s="591"/>
      <c r="AJ125" s="591"/>
      <c r="AK125" s="591"/>
      <c r="AM125" s="591"/>
      <c r="AN125" s="591"/>
      <c r="AO125" s="591"/>
      <c r="AP125" s="591"/>
      <c r="AQ125" s="591"/>
      <c r="AS125" s="591"/>
      <c r="AT125" s="591"/>
      <c r="AU125" s="591"/>
      <c r="AV125" s="591"/>
      <c r="AW125" s="591"/>
      <c r="AY125" s="591"/>
    </row>
    <row r="126" spans="1:51" ht="18.75" customHeight="1" x14ac:dyDescent="0.2">
      <c r="A126" s="2"/>
      <c r="B126" s="2"/>
      <c r="C126" s="2083" t="str">
        <f ca="1">Presentazione!D70</f>
        <v>Questo file risulta al momento completamente funzionante ed il sistema rileva tutti i suoi fogli.</v>
      </c>
      <c r="D126" s="2083"/>
      <c r="E126" s="2083"/>
      <c r="F126" s="2083"/>
      <c r="G126" s="2083"/>
      <c r="H126" s="2083"/>
      <c r="I126" s="2083"/>
      <c r="J126" s="2083"/>
      <c r="K126" s="2083"/>
      <c r="L126" s="2083"/>
      <c r="M126" s="2083"/>
      <c r="N126" s="553"/>
      <c r="O126" s="553"/>
      <c r="P126" s="553"/>
      <c r="Q126" s="2"/>
      <c r="R126" s="2"/>
      <c r="S126" s="2"/>
      <c r="T126" s="2"/>
      <c r="U126" s="2"/>
      <c r="V126" s="591"/>
      <c r="W126" s="591"/>
      <c r="X126" s="591"/>
      <c r="Y126" s="591"/>
      <c r="Z126" s="591"/>
      <c r="AA126" s="591"/>
      <c r="AB126" s="591"/>
      <c r="AC126" s="591"/>
      <c r="AG126" s="591"/>
      <c r="AH126" s="591"/>
      <c r="AI126" s="591"/>
      <c r="AJ126" s="591"/>
      <c r="AK126" s="591"/>
      <c r="AM126" s="591"/>
      <c r="AN126" s="591"/>
      <c r="AO126" s="591"/>
      <c r="AP126" s="591"/>
      <c r="AQ126" s="591"/>
      <c r="AS126" s="591"/>
      <c r="AT126" s="591"/>
      <c r="AU126" s="591"/>
      <c r="AV126" s="591"/>
      <c r="AW126" s="591"/>
      <c r="AY126" s="591"/>
    </row>
    <row r="127" spans="1:51" ht="33" customHeight="1" x14ac:dyDescent="0.25">
      <c r="A127" s="2"/>
      <c r="B127" s="2"/>
      <c r="C127" s="930" t="s">
        <v>716</v>
      </c>
      <c r="D127" s="930"/>
      <c r="E127" s="930"/>
      <c r="F127" s="930"/>
      <c r="G127" s="930"/>
      <c r="H127" s="2"/>
      <c r="I127" s="2"/>
      <c r="J127" s="2"/>
      <c r="K127" s="2"/>
      <c r="L127" s="2"/>
      <c r="M127" s="908" t="s">
        <v>581</v>
      </c>
      <c r="N127" s="2"/>
      <c r="O127" s="2"/>
      <c r="P127" s="2"/>
      <c r="Q127" s="2"/>
      <c r="R127" s="2"/>
      <c r="S127" s="2"/>
      <c r="T127" s="2"/>
      <c r="U127" s="2"/>
      <c r="V127" s="591"/>
      <c r="W127" s="591"/>
      <c r="X127" s="591"/>
      <c r="Y127" s="591"/>
      <c r="Z127" s="591"/>
      <c r="AA127" s="591"/>
      <c r="AB127" s="591"/>
      <c r="AC127" s="591"/>
      <c r="AG127" s="591"/>
      <c r="AH127" s="591"/>
      <c r="AI127" s="591"/>
      <c r="AJ127" s="591"/>
      <c r="AK127" s="591"/>
      <c r="AM127" s="591"/>
      <c r="AN127" s="591"/>
      <c r="AO127" s="591"/>
      <c r="AP127" s="591"/>
      <c r="AQ127" s="591"/>
      <c r="AS127" s="591"/>
      <c r="AT127" s="591"/>
      <c r="AU127" s="591"/>
      <c r="AV127" s="591"/>
      <c r="AW127" s="591"/>
      <c r="AY127" s="591"/>
    </row>
    <row r="128" spans="1:51" ht="21" hidden="1" customHeight="1" x14ac:dyDescent="0.2">
      <c r="A128" s="2"/>
      <c r="B128" s="2"/>
      <c r="C128" s="2"/>
      <c r="D128" s="2"/>
      <c r="E128" s="2"/>
      <c r="F128" s="2"/>
      <c r="G128" s="2"/>
      <c r="H128" s="2"/>
      <c r="I128" s="2"/>
      <c r="J128" s="2"/>
      <c r="K128" s="2"/>
      <c r="L128" s="2"/>
      <c r="M128" s="2"/>
      <c r="N128" s="2"/>
      <c r="O128" s="2"/>
      <c r="P128" s="2"/>
      <c r="Q128" s="2"/>
      <c r="R128" s="2"/>
      <c r="S128" s="2"/>
      <c r="T128" s="2"/>
      <c r="U128" s="2"/>
      <c r="V128" s="591"/>
      <c r="W128" s="591"/>
      <c r="X128" s="591"/>
      <c r="Y128" s="591"/>
      <c r="Z128" s="591"/>
      <c r="AA128" s="591"/>
      <c r="AB128" s="591"/>
      <c r="AC128" s="591"/>
      <c r="AG128" s="591"/>
      <c r="AH128" s="591"/>
      <c r="AI128" s="591"/>
      <c r="AJ128" s="591"/>
      <c r="AK128" s="591"/>
      <c r="AM128" s="591"/>
      <c r="AN128" s="591"/>
      <c r="AO128" s="591"/>
      <c r="AP128" s="591"/>
      <c r="AQ128" s="591"/>
      <c r="AS128" s="591"/>
      <c r="AT128" s="591"/>
      <c r="AU128" s="591"/>
      <c r="AV128" s="591"/>
      <c r="AW128" s="591"/>
      <c r="AY128" s="591"/>
    </row>
    <row r="129" spans="1:51" ht="15.75" hidden="1" customHeight="1" x14ac:dyDescent="0.2">
      <c r="A129" s="2"/>
      <c r="B129" s="2"/>
      <c r="C129" s="2"/>
      <c r="D129" s="2"/>
      <c r="E129" s="2"/>
      <c r="F129" s="2"/>
      <c r="G129" s="257">
        <v>1</v>
      </c>
      <c r="H129" s="257">
        <v>2</v>
      </c>
      <c r="I129" s="257">
        <v>3</v>
      </c>
      <c r="J129" s="2"/>
      <c r="K129" s="2"/>
      <c r="L129" s="2"/>
      <c r="M129" s="2"/>
      <c r="N129" s="2"/>
      <c r="O129" s="2"/>
      <c r="P129" s="2"/>
      <c r="Q129" s="2"/>
      <c r="R129" s="2"/>
      <c r="S129" s="2"/>
      <c r="T129" s="2"/>
      <c r="U129" s="2"/>
      <c r="V129" s="591"/>
      <c r="W129" s="591"/>
      <c r="X129" s="591"/>
      <c r="Y129" s="591"/>
      <c r="Z129" s="591"/>
      <c r="AA129" s="591"/>
      <c r="AB129" s="591"/>
      <c r="AC129" s="591"/>
      <c r="AG129" s="591"/>
      <c r="AH129" s="591"/>
      <c r="AI129" s="591"/>
      <c r="AJ129" s="591"/>
      <c r="AK129" s="591"/>
      <c r="AM129" s="591"/>
      <c r="AN129" s="591"/>
      <c r="AO129" s="591"/>
      <c r="AP129" s="591"/>
      <c r="AQ129" s="591"/>
      <c r="AS129" s="591"/>
      <c r="AT129" s="591"/>
      <c r="AU129" s="591"/>
      <c r="AV129" s="591"/>
      <c r="AW129" s="591"/>
      <c r="AY129" s="591"/>
    </row>
    <row r="130" spans="1:51" ht="15.75" hidden="1" customHeight="1" x14ac:dyDescent="0.2">
      <c r="A130" s="2"/>
      <c r="B130" s="2"/>
      <c r="C130" s="2"/>
      <c r="D130" s="2"/>
      <c r="E130" s="2"/>
      <c r="F130" s="2"/>
      <c r="G130" s="263">
        <f>IF(E$131=1,IMPOSTAZIONI!J94,0)</f>
        <v>0</v>
      </c>
      <c r="H130" s="263">
        <f>IF(E$132=1,IMPOSTAZIONI!J102,0)</f>
        <v>0</v>
      </c>
      <c r="I130" s="263">
        <f>IF(E$133=1,IMPOSTAZIONI!J110,0)</f>
        <v>0</v>
      </c>
      <c r="J130" s="2"/>
      <c r="K130" s="263" t="str">
        <f>IMPOSTAZIONI!C154</f>
        <v>Note</v>
      </c>
      <c r="L130" s="2"/>
      <c r="M130" s="2"/>
      <c r="N130" s="2"/>
      <c r="O130" s="2"/>
      <c r="P130" s="2"/>
      <c r="Q130" s="2"/>
      <c r="R130" s="2"/>
      <c r="S130" s="2"/>
      <c r="T130" s="2"/>
      <c r="U130" s="2"/>
      <c r="V130" s="591"/>
      <c r="W130" s="591"/>
      <c r="X130" s="591"/>
      <c r="Y130" s="591"/>
      <c r="Z130" s="591"/>
      <c r="AA130" s="591"/>
      <c r="AB130" s="591"/>
      <c r="AC130" s="591"/>
      <c r="AG130" s="591"/>
      <c r="AH130" s="591"/>
      <c r="AI130" s="591"/>
      <c r="AJ130" s="591"/>
      <c r="AK130" s="591"/>
      <c r="AM130" s="591"/>
      <c r="AN130" s="591"/>
      <c r="AO130" s="591"/>
      <c r="AP130" s="591"/>
      <c r="AQ130" s="591"/>
      <c r="AS130" s="591"/>
      <c r="AT130" s="591"/>
      <c r="AU130" s="591"/>
      <c r="AV130" s="591"/>
      <c r="AW130" s="591"/>
      <c r="AY130" s="591"/>
    </row>
    <row r="131" spans="1:51" ht="15.75" hidden="1" customHeight="1" x14ac:dyDescent="0.2">
      <c r="A131" s="2"/>
      <c r="B131" s="2"/>
      <c r="C131" s="2"/>
      <c r="D131" s="2"/>
      <c r="E131" s="263">
        <f>IF(IMPOSTAZIONI!Z184=0,1,0)</f>
        <v>0</v>
      </c>
      <c r="F131" s="2"/>
      <c r="G131" s="267">
        <f>IF(E$131=1,IMPOSTAZIONI!J96,0)</f>
        <v>0</v>
      </c>
      <c r="H131" s="268">
        <f>IF(E$132=1,IMPOSTAZIONI!J104,0)</f>
        <v>0</v>
      </c>
      <c r="I131" s="269">
        <f>IF(E$133=1,IMPOSTAZIONI!J112,0)</f>
        <v>0</v>
      </c>
      <c r="J131" s="2"/>
      <c r="K131" s="2"/>
      <c r="L131" s="925" t="str">
        <f>Presentazione!$K$150</f>
        <v>attiva trim.</v>
      </c>
      <c r="M131" s="2"/>
      <c r="N131" s="2"/>
      <c r="O131" s="2"/>
      <c r="P131" s="2"/>
      <c r="Q131" s="2"/>
      <c r="R131" s="2"/>
      <c r="S131" s="2"/>
      <c r="T131" s="2"/>
      <c r="U131" s="2"/>
      <c r="V131" s="591"/>
      <c r="W131" s="591"/>
      <c r="X131" s="591"/>
      <c r="Y131" s="591"/>
      <c r="Z131" s="591"/>
      <c r="AA131" s="591"/>
      <c r="AB131" s="591"/>
      <c r="AC131" s="591"/>
      <c r="AG131" s="591"/>
      <c r="AH131" s="591"/>
      <c r="AI131" s="591"/>
      <c r="AJ131" s="591"/>
      <c r="AK131" s="591"/>
      <c r="AM131" s="591"/>
      <c r="AN131" s="591"/>
      <c r="AO131" s="591"/>
      <c r="AP131" s="591"/>
      <c r="AQ131" s="591"/>
      <c r="AS131" s="591"/>
      <c r="AT131" s="591"/>
      <c r="AU131" s="591"/>
      <c r="AV131" s="591"/>
      <c r="AW131" s="591"/>
      <c r="AY131" s="591"/>
    </row>
    <row r="132" spans="1:51" ht="15.75" hidden="1" customHeight="1" x14ac:dyDescent="0.2">
      <c r="A132" s="2"/>
      <c r="B132" s="2"/>
      <c r="C132" s="2"/>
      <c r="D132" s="2"/>
      <c r="E132" s="263">
        <f>IF(IMPOSTAZIONI!Z185=0,1,0)</f>
        <v>0</v>
      </c>
      <c r="F132" s="2"/>
      <c r="G132" s="264">
        <f>IF(E$131=1,IMPOSTAZIONI!J97,0)</f>
        <v>0</v>
      </c>
      <c r="H132" s="266">
        <f>IF(E$132=1,IMPOSTAZIONI!J105,0)</f>
        <v>0</v>
      </c>
      <c r="I132" s="265">
        <f>IF(E$133=1,IMPOSTAZIONI!J113,0)</f>
        <v>0</v>
      </c>
      <c r="J132" s="2"/>
      <c r="K132" s="263" t="s">
        <v>356</v>
      </c>
      <c r="L132" s="2"/>
      <c r="M132" s="2"/>
      <c r="N132" s="2"/>
      <c r="O132" s="2"/>
      <c r="P132" s="2"/>
      <c r="Q132" s="2"/>
      <c r="R132" s="2"/>
      <c r="S132" s="2"/>
      <c r="T132" s="2"/>
      <c r="U132" s="2"/>
      <c r="V132" s="591"/>
      <c r="W132" s="591"/>
      <c r="X132" s="591"/>
      <c r="Y132" s="591"/>
      <c r="Z132" s="591"/>
      <c r="AA132" s="591"/>
      <c r="AB132" s="591"/>
      <c r="AC132" s="591"/>
      <c r="AG132" s="591"/>
      <c r="AH132" s="591"/>
      <c r="AI132" s="591"/>
      <c r="AJ132" s="591"/>
      <c r="AK132" s="591"/>
      <c r="AM132" s="591"/>
      <c r="AN132" s="591"/>
      <c r="AO132" s="591"/>
      <c r="AP132" s="591"/>
      <c r="AQ132" s="591"/>
      <c r="AS132" s="591"/>
      <c r="AT132" s="591"/>
      <c r="AU132" s="591"/>
      <c r="AV132" s="591"/>
      <c r="AW132" s="591"/>
      <c r="AY132" s="591"/>
    </row>
    <row r="133" spans="1:51" ht="15.75" hidden="1" customHeight="1" x14ac:dyDescent="0.2">
      <c r="A133" s="2"/>
      <c r="B133" s="2"/>
      <c r="C133" s="2"/>
      <c r="D133" s="2"/>
      <c r="E133" s="263">
        <f>IF(IMPOSTAZIONI!Z186=0,1,0)</f>
        <v>0</v>
      </c>
      <c r="F133" s="2"/>
      <c r="G133" s="270">
        <f>IF(E$131=1,IMPOSTAZIONI!J98,0)</f>
        <v>0</v>
      </c>
      <c r="H133" s="271">
        <f>IF(E$132=1,IMPOSTAZIONI!J106,0)</f>
        <v>0</v>
      </c>
      <c r="I133" s="272">
        <f>IF(E$133=1,IMPOSTAZIONI!J114,0)</f>
        <v>0</v>
      </c>
      <c r="J133" s="2"/>
      <c r="K133" s="2"/>
      <c r="L133" s="2"/>
      <c r="M133" s="2"/>
      <c r="N133" s="2"/>
      <c r="O133" s="2"/>
      <c r="P133" s="2"/>
      <c r="Q133" s="2"/>
      <c r="R133" s="2"/>
      <c r="S133" s="2"/>
      <c r="T133" s="2"/>
      <c r="U133" s="2"/>
      <c r="V133" s="591"/>
      <c r="W133" s="591"/>
      <c r="X133" s="591"/>
      <c r="Y133" s="591"/>
      <c r="Z133" s="591"/>
      <c r="AA133" s="591"/>
      <c r="AB133" s="591"/>
      <c r="AC133" s="591"/>
      <c r="AG133" s="591"/>
      <c r="AH133" s="591"/>
      <c r="AI133" s="591"/>
      <c r="AJ133" s="591"/>
      <c r="AK133" s="591"/>
      <c r="AM133" s="591"/>
      <c r="AN133" s="591"/>
      <c r="AO133" s="591"/>
      <c r="AP133" s="591"/>
      <c r="AQ133" s="591"/>
      <c r="AS133" s="591"/>
      <c r="AT133" s="591"/>
      <c r="AU133" s="591"/>
      <c r="AV133" s="591"/>
      <c r="AW133" s="591"/>
      <c r="AY133" s="591"/>
    </row>
    <row r="134" spans="1:51" ht="15.75" hidden="1" customHeight="1" x14ac:dyDescent="0.2">
      <c r="A134" s="2"/>
      <c r="B134" s="2"/>
      <c r="C134" s="2"/>
      <c r="D134" s="2"/>
      <c r="E134" s="129"/>
      <c r="F134" s="2"/>
      <c r="G134" s="108">
        <f>IF(G130=0,0,G129)</f>
        <v>0</v>
      </c>
      <c r="H134" s="108">
        <f>IF(H130=0,0,H129)</f>
        <v>0</v>
      </c>
      <c r="I134" s="108">
        <f>IF(I130=0,0,I129)</f>
        <v>0</v>
      </c>
      <c r="J134" s="2"/>
      <c r="K134" s="263" t="str">
        <f>IMPOSTAZIONI!C146</f>
        <v>ESCLUDI</v>
      </c>
      <c r="L134" s="263" t="str">
        <f>IMPOSTAZIONI!H146</f>
        <v>VENTILAZIONE</v>
      </c>
      <c r="M134" s="306" t="s">
        <v>745</v>
      </c>
      <c r="N134" s="2"/>
      <c r="O134" s="2"/>
      <c r="P134" s="2"/>
      <c r="Q134" s="2"/>
      <c r="R134" s="2"/>
      <c r="S134" s="2"/>
      <c r="T134" s="2"/>
      <c r="U134" s="2"/>
      <c r="V134" s="591"/>
      <c r="W134" s="591"/>
      <c r="X134" s="591"/>
      <c r="Y134" s="591"/>
      <c r="Z134" s="591"/>
      <c r="AA134" s="591"/>
      <c r="AB134" s="591"/>
      <c r="AC134" s="591"/>
      <c r="AG134" s="591"/>
      <c r="AH134" s="591"/>
      <c r="AI134" s="591"/>
      <c r="AJ134" s="591"/>
      <c r="AK134" s="591"/>
      <c r="AM134" s="591"/>
      <c r="AN134" s="591"/>
      <c r="AO134" s="591"/>
      <c r="AP134" s="591"/>
      <c r="AQ134" s="591"/>
      <c r="AS134" s="591"/>
      <c r="AT134" s="591"/>
      <c r="AU134" s="591"/>
      <c r="AV134" s="591"/>
      <c r="AW134" s="591"/>
      <c r="AY134" s="591"/>
    </row>
    <row r="135" spans="1:51" ht="15.75" hidden="1" customHeight="1" x14ac:dyDescent="0.2">
      <c r="A135" s="2"/>
      <c r="B135" s="2"/>
      <c r="C135" s="2"/>
      <c r="D135" s="2"/>
      <c r="E135" s="274">
        <f>COUNTIF(G134:I134,0)</f>
        <v>3</v>
      </c>
      <c r="F135" s="2"/>
      <c r="G135" s="273" t="e">
        <f>SMALL($G134:$I134,$E135+1)</f>
        <v>#NUM!</v>
      </c>
      <c r="H135" s="273" t="e">
        <f>SMALL($G134:$I134,$E135+2)</f>
        <v>#NUM!</v>
      </c>
      <c r="I135" s="273" t="e">
        <f>SMALL($G134:$I134,$E135+3)</f>
        <v>#NUM!</v>
      </c>
      <c r="J135" s="2"/>
      <c r="K135" s="2"/>
      <c r="L135" s="263" t="str">
        <f>IMPOSTAZIONI!H148</f>
        <v>SCORPORO</v>
      </c>
      <c r="M135" s="306" t="s">
        <v>742</v>
      </c>
      <c r="N135" s="2"/>
      <c r="O135" s="2"/>
      <c r="P135" s="2"/>
      <c r="Q135" s="2"/>
      <c r="R135" s="2"/>
      <c r="S135" s="2"/>
      <c r="T135" s="2"/>
      <c r="U135" s="2"/>
      <c r="V135" s="591"/>
      <c r="W135" s="591"/>
      <c r="X135" s="591"/>
      <c r="Y135" s="591"/>
      <c r="Z135" s="591"/>
      <c r="AA135" s="591"/>
      <c r="AB135" s="591"/>
      <c r="AC135" s="591"/>
      <c r="AG135" s="591"/>
      <c r="AH135" s="591"/>
      <c r="AI135" s="591"/>
      <c r="AJ135" s="591"/>
      <c r="AK135" s="591"/>
      <c r="AM135" s="591"/>
      <c r="AN135" s="591"/>
      <c r="AO135" s="591"/>
      <c r="AP135" s="591"/>
      <c r="AQ135" s="591"/>
      <c r="AS135" s="591"/>
      <c r="AT135" s="591"/>
      <c r="AU135" s="591"/>
      <c r="AV135" s="591"/>
      <c r="AW135" s="591"/>
      <c r="AY135" s="591"/>
    </row>
    <row r="136" spans="1:51" ht="15.75" hidden="1" customHeight="1" x14ac:dyDescent="0.2">
      <c r="A136" s="2"/>
      <c r="B136" s="2"/>
      <c r="C136" s="2"/>
      <c r="D136" s="2"/>
      <c r="E136" s="274"/>
      <c r="F136" s="2"/>
      <c r="G136" s="275">
        <f>IF(E$131=1,CONCATENATE(IMPOSTAZIONI!I96,"-",IMPOSTAZIONI!I97,"-",IMPOSTAZIONI!I98),0)</f>
        <v>0</v>
      </c>
      <c r="H136" s="276">
        <f>IF(E$132=1,CONCATENATE(IMPOSTAZIONI!I104,"-",IMPOSTAZIONI!I105,"-",IMPOSTAZIONI!I106),0)</f>
        <v>0</v>
      </c>
      <c r="I136" s="277">
        <f>IF(E$133=1,CONCATENATE(IMPOSTAZIONI!I112,"-",IMPOSTAZIONI!I113,"-",IMPOSTAZIONI!I114),0)</f>
        <v>0</v>
      </c>
      <c r="J136" s="2"/>
      <c r="K136" s="2"/>
      <c r="L136" s="2"/>
      <c r="M136" s="2"/>
      <c r="N136" s="2"/>
      <c r="O136" s="2"/>
      <c r="P136" s="2"/>
      <c r="Q136" s="2"/>
      <c r="R136" s="2"/>
      <c r="S136" s="2"/>
      <c r="T136" s="2"/>
      <c r="U136" s="2"/>
      <c r="V136" s="591"/>
      <c r="W136" s="591"/>
      <c r="X136" s="591"/>
      <c r="Y136" s="591"/>
      <c r="Z136" s="591"/>
      <c r="AA136" s="591"/>
      <c r="AB136" s="591"/>
      <c r="AC136" s="591"/>
      <c r="AG136" s="591"/>
      <c r="AH136" s="591"/>
      <c r="AI136" s="591"/>
      <c r="AJ136" s="591"/>
      <c r="AK136" s="591"/>
      <c r="AM136" s="591"/>
      <c r="AN136" s="591"/>
      <c r="AO136" s="591"/>
      <c r="AP136" s="591"/>
      <c r="AQ136" s="591"/>
      <c r="AS136" s="591"/>
      <c r="AT136" s="591"/>
      <c r="AU136" s="591"/>
      <c r="AV136" s="591"/>
      <c r="AW136" s="591"/>
      <c r="AY136" s="591"/>
    </row>
    <row r="137" spans="1:51" ht="15.75" hidden="1" customHeight="1" x14ac:dyDescent="0.2">
      <c r="A137" s="2"/>
      <c r="B137" s="2"/>
      <c r="C137" s="2"/>
      <c r="D137" s="2"/>
      <c r="E137" s="129"/>
      <c r="F137" s="2"/>
      <c r="G137" s="273"/>
      <c r="H137" s="273"/>
      <c r="I137" s="2"/>
      <c r="J137" s="2"/>
      <c r="K137" s="2"/>
      <c r="L137" s="2"/>
      <c r="M137" s="2"/>
      <c r="N137" s="2"/>
      <c r="O137" s="2"/>
      <c r="P137" s="2"/>
      <c r="Q137" s="2"/>
      <c r="R137" s="2"/>
      <c r="S137" s="2"/>
      <c r="T137" s="2"/>
      <c r="U137" s="2"/>
      <c r="V137" s="591"/>
      <c r="W137" s="591"/>
      <c r="X137" s="591"/>
      <c r="Y137" s="591"/>
      <c r="Z137" s="591"/>
      <c r="AA137" s="591"/>
      <c r="AB137" s="591"/>
      <c r="AC137" s="591"/>
      <c r="AG137" s="591"/>
      <c r="AH137" s="591"/>
      <c r="AI137" s="591"/>
      <c r="AJ137" s="591"/>
      <c r="AK137" s="591"/>
      <c r="AM137" s="591"/>
      <c r="AN137" s="591"/>
      <c r="AO137" s="591"/>
      <c r="AP137" s="591"/>
      <c r="AQ137" s="591"/>
      <c r="AS137" s="591"/>
      <c r="AT137" s="591"/>
      <c r="AU137" s="591"/>
      <c r="AV137" s="591"/>
      <c r="AW137" s="591"/>
      <c r="AY137" s="591"/>
    </row>
    <row r="138" spans="1:51" ht="15.75" hidden="1" customHeight="1" x14ac:dyDescent="0.2">
      <c r="A138" s="2"/>
      <c r="B138" s="2"/>
      <c r="C138" s="2"/>
      <c r="D138" s="2"/>
      <c r="E138" s="129"/>
      <c r="F138" s="2"/>
      <c r="G138" s="273"/>
      <c r="H138" s="273"/>
      <c r="I138" s="273"/>
      <c r="J138" s="148">
        <v>1</v>
      </c>
      <c r="K138" s="148">
        <v>2</v>
      </c>
      <c r="L138" s="148">
        <v>3</v>
      </c>
      <c r="M138" s="2"/>
      <c r="N138" s="2"/>
      <c r="O138" s="2"/>
      <c r="P138" s="2"/>
      <c r="Q138" s="2"/>
      <c r="R138" s="2"/>
      <c r="S138" s="2"/>
      <c r="T138" s="2"/>
      <c r="U138" s="2"/>
      <c r="V138" s="591"/>
      <c r="W138" s="591"/>
      <c r="X138" s="591"/>
      <c r="Y138" s="591"/>
      <c r="Z138" s="591"/>
      <c r="AA138" s="591"/>
      <c r="AB138" s="591"/>
      <c r="AC138" s="591"/>
      <c r="AG138" s="591"/>
      <c r="AH138" s="591"/>
      <c r="AI138" s="591"/>
      <c r="AJ138" s="591"/>
      <c r="AK138" s="591"/>
      <c r="AM138" s="591"/>
      <c r="AN138" s="591"/>
      <c r="AO138" s="591"/>
      <c r="AP138" s="591"/>
      <c r="AQ138" s="591"/>
      <c r="AS138" s="591"/>
      <c r="AT138" s="591"/>
      <c r="AU138" s="591"/>
      <c r="AV138" s="591"/>
      <c r="AW138" s="591"/>
      <c r="AY138" s="591"/>
    </row>
    <row r="139" spans="1:51" ht="15.75" hidden="1" customHeight="1" x14ac:dyDescent="0.2">
      <c r="A139" s="2"/>
      <c r="B139" s="2"/>
      <c r="C139" s="148">
        <v>1</v>
      </c>
      <c r="D139" s="148">
        <f>IF(I139=0,0,1)</f>
        <v>0</v>
      </c>
      <c r="E139" s="263" t="str">
        <f>IMPOSTAZIONI!B298</f>
        <v>--</v>
      </c>
      <c r="F139" s="2"/>
      <c r="G139" s="305">
        <f>VLOOKUP(E139,IMPOSTAZIONI!$B$298:$AK$304,$E$149,FALSE)</f>
        <v>0</v>
      </c>
      <c r="H139" s="306" t="str">
        <f>IF(G139&gt;0,IF(AND(ISERROR(HLOOKUP(E139,G$136:I$136,1,FALSE)),ISERROR(HLOOKUP(E139,G$1:N$1,1,FALSE))),E139,"OK"),"")</f>
        <v/>
      </c>
      <c r="I139" s="307">
        <f>IF(H139="OK",0,IF(H139="",0,1))</f>
        <v>0</v>
      </c>
      <c r="J139" s="263" t="e">
        <f>VLOOKUP(C139,$D$139:$H$148,5,FALSE)</f>
        <v>#N/A</v>
      </c>
      <c r="K139" s="263" t="e">
        <f>VLOOKUP(C140,$D$139:$H$148,5,FALSE)</f>
        <v>#N/A</v>
      </c>
      <c r="L139" s="263" t="e">
        <f>VLOOKUP(C141,$D$139:$H$148,5,FALSE)</f>
        <v>#N/A</v>
      </c>
      <c r="M139" s="2"/>
      <c r="N139" s="2"/>
      <c r="O139" s="2"/>
      <c r="P139" s="2"/>
      <c r="Q139" s="2"/>
      <c r="R139" s="2"/>
      <c r="S139" s="2"/>
      <c r="T139" s="2"/>
      <c r="U139" s="2"/>
      <c r="V139" s="591"/>
      <c r="W139" s="591"/>
      <c r="X139" s="591"/>
      <c r="Y139" s="591"/>
      <c r="Z139" s="591"/>
      <c r="AA139" s="591"/>
      <c r="AB139" s="591"/>
      <c r="AC139" s="591"/>
      <c r="AG139" s="591"/>
      <c r="AH139" s="591"/>
      <c r="AI139" s="591"/>
      <c r="AJ139" s="591"/>
      <c r="AK139" s="591"/>
      <c r="AM139" s="591"/>
      <c r="AN139" s="591"/>
      <c r="AO139" s="591"/>
      <c r="AP139" s="591"/>
      <c r="AQ139" s="591"/>
      <c r="AS139" s="591"/>
      <c r="AT139" s="591"/>
      <c r="AU139" s="591"/>
      <c r="AV139" s="591"/>
      <c r="AW139" s="591"/>
      <c r="AY139" s="591"/>
    </row>
    <row r="140" spans="1:51" ht="15.75" hidden="1" customHeight="1" x14ac:dyDescent="0.2">
      <c r="A140" s="2"/>
      <c r="B140" s="2"/>
      <c r="C140" s="148">
        <v>2</v>
      </c>
      <c r="D140" s="103">
        <f>IF(I140=0,0,COUNTIF(D$139:D139,"&gt;0")+1)</f>
        <v>0</v>
      </c>
      <c r="E140" s="263" t="str">
        <f>IMPOSTAZIONI!B299</f>
        <v>--</v>
      </c>
      <c r="F140" s="2"/>
      <c r="G140" s="305">
        <f>VLOOKUP(E140,IMPOSTAZIONI!$B$298:$AK$304,$E$149,FALSE)</f>
        <v>0</v>
      </c>
      <c r="H140" s="306" t="str">
        <f>IF(G140&gt;0,IF(AND(ISERROR(HLOOKUP(E140,G$136:I$136,1,FALSE)),ISERROR(HLOOKUP(E140,G$1:N$1,1,FALSE))),E140,"OK"),"")</f>
        <v/>
      </c>
      <c r="I140" s="307">
        <f t="shared" ref="I140:I148" si="35">IF(H140="OK",0,IF(H140="",0,1))</f>
        <v>0</v>
      </c>
      <c r="J140" s="267">
        <f>IF(ISERROR(J$139),0,HLOOKUP(J$139,IMPOSTAZIONI!$AB$183:$AH$187,3,FALSE))</f>
        <v>0</v>
      </c>
      <c r="K140" s="267">
        <f>IF(ISERROR(K$139),0,HLOOKUP(K$139,IMPOSTAZIONI!$AB$183:$AH$187,3,FALSE))</f>
        <v>0</v>
      </c>
      <c r="L140" s="268">
        <f>IF(ISERROR(L$139),0,HLOOKUP(L$139,IMPOSTAZIONI!$AB$183:$AH$187,3,FALSE))</f>
        <v>0</v>
      </c>
      <c r="M140" s="2"/>
      <c r="N140" s="2"/>
      <c r="O140" s="2"/>
      <c r="P140" s="2"/>
      <c r="Q140" s="2"/>
      <c r="R140" s="2"/>
      <c r="S140" s="2"/>
      <c r="T140" s="2"/>
      <c r="U140" s="2"/>
      <c r="V140" s="591"/>
      <c r="W140" s="591"/>
      <c r="X140" s="591"/>
      <c r="Y140" s="591"/>
      <c r="Z140" s="591"/>
      <c r="AA140" s="591"/>
      <c r="AB140" s="591"/>
      <c r="AC140" s="591"/>
      <c r="AG140" s="591"/>
      <c r="AH140" s="591"/>
      <c r="AI140" s="591"/>
      <c r="AJ140" s="591"/>
      <c r="AK140" s="591"/>
      <c r="AM140" s="591"/>
      <c r="AN140" s="591"/>
      <c r="AO140" s="591"/>
      <c r="AP140" s="591"/>
      <c r="AQ140" s="591"/>
      <c r="AS140" s="591"/>
      <c r="AT140" s="591"/>
      <c r="AU140" s="591"/>
      <c r="AV140" s="591"/>
      <c r="AW140" s="591"/>
      <c r="AY140" s="591"/>
    </row>
    <row r="141" spans="1:51" ht="15.75" hidden="1" customHeight="1" x14ac:dyDescent="0.2">
      <c r="A141" s="2"/>
      <c r="B141" s="2"/>
      <c r="C141" s="148">
        <v>3</v>
      </c>
      <c r="D141" s="103">
        <f>IF(I141=0,0,COUNTIF(D$139:D140,"&gt;0")+1)</f>
        <v>0</v>
      </c>
      <c r="E141" s="263" t="str">
        <f>IMPOSTAZIONI!B300</f>
        <v>--</v>
      </c>
      <c r="F141" s="2"/>
      <c r="G141" s="305">
        <f>VLOOKUP(E141,IMPOSTAZIONI!$B$298:$AK$304,$E$149,FALSE)</f>
        <v>0</v>
      </c>
      <c r="H141" s="306" t="str">
        <f>IF(G141&gt;0,IF(AND(ISERROR(HLOOKUP(E141,G$136:I$136,1,FALSE)),ISERROR(HLOOKUP(E141,G$1:N$1,1,FALSE))),E141,"OK"),"")</f>
        <v/>
      </c>
      <c r="I141" s="307">
        <f t="shared" si="35"/>
        <v>0</v>
      </c>
      <c r="J141" s="264">
        <f>IF(ISERROR(J$139),0,HLOOKUP(J$139,IMPOSTAZIONI!$AB$183:$AH$187,4,FALSE))</f>
        <v>0</v>
      </c>
      <c r="K141" s="264">
        <f>IF(ISERROR(K$139),0,HLOOKUP(K$139,IMPOSTAZIONI!$AB$183:$AH$187,4,FALSE))</f>
        <v>0</v>
      </c>
      <c r="L141" s="266">
        <f>IF(ISERROR(L$139),0,HLOOKUP(L$139,IMPOSTAZIONI!$AB$183:$AH$187,4,FALSE))</f>
        <v>0</v>
      </c>
      <c r="M141" s="2"/>
      <c r="N141" s="2"/>
      <c r="O141" s="2"/>
      <c r="P141" s="2"/>
      <c r="Q141" s="2"/>
      <c r="R141" s="2"/>
      <c r="S141" s="2"/>
      <c r="T141" s="2"/>
      <c r="U141" s="2"/>
      <c r="V141" s="591"/>
      <c r="W141" s="591"/>
      <c r="X141" s="591"/>
      <c r="Y141" s="591"/>
      <c r="Z141" s="591"/>
      <c r="AA141" s="591"/>
      <c r="AB141" s="591"/>
      <c r="AC141" s="591"/>
      <c r="AG141" s="591"/>
      <c r="AH141" s="591"/>
      <c r="AI141" s="591"/>
      <c r="AJ141" s="591"/>
      <c r="AK141" s="591"/>
      <c r="AM141" s="591"/>
      <c r="AN141" s="591"/>
      <c r="AO141" s="591"/>
      <c r="AP141" s="591"/>
      <c r="AQ141" s="591"/>
      <c r="AS141" s="591"/>
      <c r="AT141" s="591"/>
      <c r="AU141" s="591"/>
      <c r="AV141" s="591"/>
      <c r="AW141" s="591"/>
      <c r="AY141" s="591"/>
    </row>
    <row r="142" spans="1:51" ht="15.75" hidden="1" customHeight="1" x14ac:dyDescent="0.2">
      <c r="A142" s="2"/>
      <c r="B142" s="2"/>
      <c r="C142" s="103"/>
      <c r="D142" s="591"/>
      <c r="E142" s="591"/>
      <c r="F142" s="591"/>
      <c r="G142" s="591"/>
      <c r="H142" s="591"/>
      <c r="I142" s="591"/>
      <c r="J142" s="270">
        <f>IF(ISERROR(J$139),0,HLOOKUP(J$139,IMPOSTAZIONI!$AB$183:$AH$187,5,FALSE))</f>
        <v>0</v>
      </c>
      <c r="K142" s="270">
        <f>IF(ISERROR(K$139),0,HLOOKUP(K$139,IMPOSTAZIONI!$AB$183:$AH$187,5,FALSE))</f>
        <v>0</v>
      </c>
      <c r="L142" s="271">
        <f>IF(ISERROR(L$139),0,HLOOKUP(L$139,IMPOSTAZIONI!$AB$183:$AH$187,5,FALSE))</f>
        <v>0</v>
      </c>
      <c r="M142" s="2"/>
      <c r="N142" s="2"/>
      <c r="O142" s="2"/>
      <c r="P142" s="2"/>
      <c r="Q142" s="2"/>
      <c r="R142" s="2"/>
      <c r="S142" s="2"/>
      <c r="T142" s="2"/>
      <c r="U142" s="2"/>
      <c r="V142" s="591"/>
      <c r="W142" s="591"/>
      <c r="X142" s="591"/>
      <c r="Y142" s="591"/>
      <c r="Z142" s="591"/>
      <c r="AA142" s="591"/>
      <c r="AB142" s="591"/>
      <c r="AC142" s="591"/>
      <c r="AG142" s="591"/>
      <c r="AH142" s="591"/>
      <c r="AI142" s="591"/>
      <c r="AJ142" s="591"/>
      <c r="AK142" s="591"/>
      <c r="AM142" s="591"/>
      <c r="AN142" s="591"/>
      <c r="AO142" s="591"/>
      <c r="AP142" s="591"/>
      <c r="AQ142" s="591"/>
      <c r="AS142" s="591"/>
      <c r="AT142" s="591"/>
      <c r="AU142" s="591"/>
      <c r="AV142" s="591"/>
      <c r="AW142" s="591"/>
      <c r="AY142" s="591"/>
    </row>
    <row r="143" spans="1:51" ht="15.75" hidden="1" customHeight="1" x14ac:dyDescent="0.2">
      <c r="A143" s="2"/>
      <c r="B143" s="2"/>
      <c r="C143" s="103"/>
      <c r="D143" s="591"/>
      <c r="E143" s="591"/>
      <c r="F143" s="591"/>
      <c r="G143" s="591"/>
      <c r="H143" s="591"/>
      <c r="I143" s="591"/>
      <c r="J143" s="2"/>
      <c r="K143" s="2"/>
      <c r="L143" s="2"/>
      <c r="M143" s="2"/>
      <c r="N143" s="2"/>
      <c r="O143" s="2"/>
      <c r="P143" s="2"/>
      <c r="Q143" s="2"/>
      <c r="R143" s="2"/>
      <c r="S143" s="2"/>
      <c r="T143" s="2"/>
      <c r="U143" s="2"/>
      <c r="V143" s="591"/>
      <c r="W143" s="591"/>
      <c r="X143" s="591"/>
      <c r="Y143" s="591"/>
      <c r="Z143" s="591"/>
      <c r="AA143" s="591"/>
      <c r="AB143" s="591"/>
      <c r="AC143" s="591"/>
      <c r="AG143" s="591"/>
      <c r="AH143" s="591"/>
      <c r="AI143" s="591"/>
      <c r="AJ143" s="591"/>
      <c r="AK143" s="591"/>
      <c r="AM143" s="591"/>
      <c r="AN143" s="591"/>
      <c r="AO143" s="591"/>
      <c r="AP143" s="591"/>
      <c r="AQ143" s="591"/>
      <c r="AS143" s="591"/>
      <c r="AT143" s="591"/>
      <c r="AU143" s="591"/>
      <c r="AV143" s="591"/>
      <c r="AW143" s="591"/>
      <c r="AY143" s="591"/>
    </row>
    <row r="144" spans="1:51" ht="15.75" hidden="1" customHeight="1" x14ac:dyDescent="0.2">
      <c r="A144" s="2"/>
      <c r="B144" s="2"/>
      <c r="C144" s="103"/>
      <c r="D144" s="591"/>
      <c r="E144" s="591"/>
      <c r="F144" s="591"/>
      <c r="G144" s="591"/>
      <c r="H144" s="591"/>
      <c r="I144" s="591"/>
      <c r="J144" s="2"/>
      <c r="K144" s="2102" t="s">
        <v>543</v>
      </c>
      <c r="L144" s="2103"/>
      <c r="M144" s="1297" t="s">
        <v>198</v>
      </c>
      <c r="N144" s="1298" t="s">
        <v>202</v>
      </c>
      <c r="O144" s="1297" t="s">
        <v>199</v>
      </c>
      <c r="P144" s="1298" t="s">
        <v>203</v>
      </c>
      <c r="Q144" s="1297" t="s">
        <v>65</v>
      </c>
      <c r="R144" s="1298" t="s">
        <v>66</v>
      </c>
      <c r="S144" s="1297" t="s">
        <v>65</v>
      </c>
      <c r="T144" s="1298" t="s">
        <v>66</v>
      </c>
      <c r="U144" s="2"/>
      <c r="V144" s="591"/>
      <c r="W144" s="591"/>
      <c r="X144" s="591"/>
      <c r="Y144" s="591"/>
      <c r="Z144" s="591"/>
      <c r="AA144" s="591"/>
      <c r="AB144" s="591"/>
      <c r="AC144" s="591"/>
      <c r="AG144" s="591"/>
      <c r="AH144" s="591"/>
      <c r="AI144" s="591"/>
      <c r="AJ144" s="591"/>
      <c r="AK144" s="591"/>
      <c r="AM144" s="591"/>
      <c r="AN144" s="591"/>
      <c r="AO144" s="591"/>
      <c r="AP144" s="591"/>
      <c r="AQ144" s="591"/>
      <c r="AS144" s="591"/>
      <c r="AT144" s="591"/>
      <c r="AU144" s="591"/>
      <c r="AV144" s="591"/>
      <c r="AW144" s="591"/>
      <c r="AY144" s="591"/>
    </row>
    <row r="145" spans="1:51" ht="15.75" hidden="1" customHeight="1" x14ac:dyDescent="0.2">
      <c r="A145" s="2"/>
      <c r="B145" s="2"/>
      <c r="C145" s="103"/>
      <c r="D145" s="103">
        <f>IF(I145=0,0,COUNTIF(D$139:D144,"&gt;0")+1)</f>
        <v>0</v>
      </c>
      <c r="E145" s="263" t="str">
        <f>IMPOSTAZIONI!B301</f>
        <v>--</v>
      </c>
      <c r="F145" s="2"/>
      <c r="G145" s="305">
        <f>VLOOKUP(E145,IMPOSTAZIONI!$B$298:$AK$304,$E$149,FALSE)</f>
        <v>0</v>
      </c>
      <c r="H145" s="306" t="str">
        <f>IF(G145&gt;0,IF(AND(ISERROR(HLOOKUP(E145,G$136:I$136,1,FALSE)),ISERROR(HLOOKUP(E145,G$1:N$1,1,FALSE))),E145,"OK"),"")</f>
        <v/>
      </c>
      <c r="I145" s="307">
        <f t="shared" si="35"/>
        <v>0</v>
      </c>
      <c r="J145" s="2"/>
      <c r="K145" s="2102" t="s">
        <v>58</v>
      </c>
      <c r="L145" s="2103"/>
      <c r="M145" s="100" t="s">
        <v>198</v>
      </c>
      <c r="N145" s="1299" t="s">
        <v>202</v>
      </c>
      <c r="O145" s="100" t="s">
        <v>199</v>
      </c>
      <c r="P145" s="1299" t="s">
        <v>203</v>
      </c>
      <c r="Q145" s="100" t="s">
        <v>65</v>
      </c>
      <c r="R145" s="1299" t="s">
        <v>66</v>
      </c>
      <c r="S145" s="100" t="s">
        <v>65</v>
      </c>
      <c r="T145" s="1299" t="s">
        <v>66</v>
      </c>
      <c r="U145" s="2"/>
      <c r="V145" s="591"/>
      <c r="W145" s="591"/>
      <c r="X145" s="591"/>
      <c r="Y145" s="591"/>
      <c r="Z145" s="591"/>
      <c r="AA145" s="591"/>
      <c r="AB145" s="591"/>
      <c r="AC145" s="591"/>
      <c r="AG145" s="591"/>
      <c r="AH145" s="591"/>
      <c r="AI145" s="591"/>
      <c r="AJ145" s="591"/>
      <c r="AK145" s="591"/>
      <c r="AM145" s="591"/>
      <c r="AN145" s="591"/>
      <c r="AO145" s="591"/>
      <c r="AP145" s="591"/>
      <c r="AQ145" s="591"/>
      <c r="AS145" s="591"/>
      <c r="AT145" s="591"/>
      <c r="AU145" s="591"/>
      <c r="AV145" s="591"/>
      <c r="AW145" s="591"/>
      <c r="AY145" s="591"/>
    </row>
    <row r="146" spans="1:51" ht="15.75" hidden="1" customHeight="1" x14ac:dyDescent="0.2">
      <c r="A146" s="2"/>
      <c r="B146" s="2"/>
      <c r="C146" s="103"/>
      <c r="D146" s="103">
        <f>IF(I146=0,0,COUNTIF(D$139:D145,"&gt;0")+1)</f>
        <v>0</v>
      </c>
      <c r="E146" s="263" t="str">
        <f>IMPOSTAZIONI!B302</f>
        <v/>
      </c>
      <c r="F146" s="2"/>
      <c r="G146" s="305">
        <f>VLOOKUP(E146,IMPOSTAZIONI!$B$298:$AK$304,$E$149,FALSE)</f>
        <v>0</v>
      </c>
      <c r="H146" s="306" t="str">
        <f>IF(G146&gt;0,IF(AND(ISERROR(HLOOKUP(E146,G$136:I$136,1,FALSE)),ISERROR(HLOOKUP(E146,G$1:N$1,1,FALSE))),E146,"OK"),"")</f>
        <v/>
      </c>
      <c r="I146" s="307">
        <f t="shared" si="35"/>
        <v>0</v>
      </c>
      <c r="J146" s="2"/>
      <c r="K146" s="2102" t="s">
        <v>59</v>
      </c>
      <c r="L146" s="2103"/>
      <c r="M146" s="100" t="s">
        <v>198</v>
      </c>
      <c r="N146" s="1299" t="s">
        <v>62</v>
      </c>
      <c r="O146" s="100" t="s">
        <v>199</v>
      </c>
      <c r="P146" s="1299" t="s">
        <v>203</v>
      </c>
      <c r="Q146" s="100" t="s">
        <v>65</v>
      </c>
      <c r="R146" s="1299" t="s">
        <v>66</v>
      </c>
      <c r="S146" s="100" t="s">
        <v>65</v>
      </c>
      <c r="T146" s="1299" t="s">
        <v>66</v>
      </c>
      <c r="U146" s="2"/>
      <c r="V146" s="591"/>
      <c r="W146" s="591"/>
      <c r="X146" s="591"/>
      <c r="Y146" s="591"/>
      <c r="Z146" s="591"/>
      <c r="AA146" s="591"/>
      <c r="AB146" s="591"/>
      <c r="AC146" s="591"/>
      <c r="AG146" s="591"/>
      <c r="AH146" s="591"/>
      <c r="AI146" s="591"/>
      <c r="AJ146" s="591"/>
      <c r="AK146" s="591"/>
      <c r="AM146" s="591"/>
      <c r="AN146" s="591"/>
      <c r="AO146" s="591"/>
      <c r="AP146" s="591"/>
      <c r="AQ146" s="591"/>
      <c r="AS146" s="591"/>
      <c r="AT146" s="591"/>
      <c r="AU146" s="591"/>
      <c r="AV146" s="591"/>
      <c r="AW146" s="591"/>
      <c r="AY146" s="591"/>
    </row>
    <row r="147" spans="1:51" ht="15.75" hidden="1" customHeight="1" x14ac:dyDescent="0.2">
      <c r="A147" s="2"/>
      <c r="B147" s="2"/>
      <c r="C147" s="103"/>
      <c r="D147" s="103">
        <f>IF(I147=0,0,COUNTIF(D$139:D146,"&gt;0")+1)</f>
        <v>0</v>
      </c>
      <c r="E147" s="263" t="str">
        <f>IMPOSTAZIONI!B303</f>
        <v/>
      </c>
      <c r="F147" s="2"/>
      <c r="G147" s="305">
        <f>VLOOKUP(E147,IMPOSTAZIONI!$B$298:$AK$304,$E$149,FALSE)</f>
        <v>0</v>
      </c>
      <c r="H147" s="306" t="str">
        <f>IF(G147&gt;0,IF(AND(ISERROR(HLOOKUP(E147,G$136:I$136,1,FALSE)),ISERROR(HLOOKUP(E147,G$1:N$1,1,FALSE))),E147,"OK"),"")</f>
        <v/>
      </c>
      <c r="I147" s="307">
        <f t="shared" si="35"/>
        <v>0</v>
      </c>
      <c r="J147" s="2"/>
      <c r="K147" s="2102" t="s">
        <v>60</v>
      </c>
      <c r="L147" s="2103"/>
      <c r="M147" s="100" t="s">
        <v>199</v>
      </c>
      <c r="N147" s="1299" t="s">
        <v>203</v>
      </c>
      <c r="O147" s="100" t="s">
        <v>198</v>
      </c>
      <c r="P147" s="1299" t="s">
        <v>63</v>
      </c>
      <c r="Q147" s="100" t="s">
        <v>67</v>
      </c>
      <c r="R147" s="1299" t="s">
        <v>68</v>
      </c>
      <c r="S147" s="100" t="s">
        <v>67</v>
      </c>
      <c r="T147" s="1299" t="s">
        <v>68</v>
      </c>
      <c r="U147" s="2"/>
      <c r="V147" s="591"/>
      <c r="W147" s="591"/>
      <c r="X147" s="591"/>
      <c r="Y147" s="591"/>
      <c r="Z147" s="591"/>
      <c r="AA147" s="591"/>
      <c r="AB147" s="591"/>
      <c r="AC147" s="591"/>
      <c r="AG147" s="591"/>
      <c r="AH147" s="591"/>
      <c r="AI147" s="591"/>
      <c r="AJ147" s="591"/>
      <c r="AK147" s="591"/>
      <c r="AM147" s="591"/>
      <c r="AN147" s="591"/>
      <c r="AO147" s="591"/>
      <c r="AP147" s="591"/>
      <c r="AQ147" s="591"/>
      <c r="AS147" s="591"/>
      <c r="AT147" s="591"/>
      <c r="AU147" s="591"/>
      <c r="AV147" s="591"/>
      <c r="AW147" s="591"/>
      <c r="AY147" s="591"/>
    </row>
    <row r="148" spans="1:51" ht="15.75" hidden="1" customHeight="1" x14ac:dyDescent="0.2">
      <c r="A148" s="2"/>
      <c r="B148" s="2"/>
      <c r="C148" s="103"/>
      <c r="D148" s="103">
        <f>IF(I148=0,0,COUNTIF(D$139:D147,"&gt;0")+1)</f>
        <v>0</v>
      </c>
      <c r="E148" s="263" t="str">
        <f>IMPOSTAZIONI!B304</f>
        <v/>
      </c>
      <c r="F148" s="2"/>
      <c r="G148" s="305">
        <f>VLOOKUP(E148,IMPOSTAZIONI!$B$298:$AK$304,$E$149,FALSE)</f>
        <v>0</v>
      </c>
      <c r="H148" s="306" t="str">
        <f>IF(G148&gt;0,IF(AND(ISERROR(HLOOKUP(E148,G$136:I$136,1,FALSE)),ISERROR(HLOOKUP(E148,G$1:N$1,1,FALSE))),E148,"OK"),"")</f>
        <v/>
      </c>
      <c r="I148" s="307">
        <f t="shared" si="35"/>
        <v>0</v>
      </c>
      <c r="J148" s="2"/>
      <c r="K148" s="2102" t="s">
        <v>61</v>
      </c>
      <c r="L148" s="2103"/>
      <c r="M148" s="100" t="s">
        <v>195</v>
      </c>
      <c r="N148" s="1301" t="s">
        <v>64</v>
      </c>
      <c r="O148" s="1300" t="s">
        <v>195</v>
      </c>
      <c r="P148" s="1301" t="s">
        <v>64</v>
      </c>
      <c r="Q148" s="1300" t="s">
        <v>69</v>
      </c>
      <c r="R148" s="1301"/>
      <c r="S148" s="1300" t="s">
        <v>70</v>
      </c>
      <c r="T148" s="1301"/>
      <c r="U148" s="2"/>
      <c r="V148" s="591"/>
      <c r="W148" s="591"/>
      <c r="X148" s="591"/>
      <c r="Y148" s="591"/>
      <c r="Z148" s="591"/>
      <c r="AA148" s="591"/>
      <c r="AB148" s="591"/>
      <c r="AC148" s="591"/>
      <c r="AG148" s="591"/>
      <c r="AH148" s="591"/>
      <c r="AI148" s="591"/>
      <c r="AJ148" s="591"/>
      <c r="AK148" s="591"/>
      <c r="AM148" s="591"/>
      <c r="AN148" s="591"/>
      <c r="AO148" s="591"/>
      <c r="AP148" s="591"/>
      <c r="AQ148" s="591"/>
      <c r="AS148" s="591"/>
      <c r="AT148" s="591"/>
      <c r="AU148" s="591"/>
      <c r="AV148" s="591"/>
      <c r="AW148" s="591"/>
      <c r="AY148" s="591"/>
    </row>
    <row r="149" spans="1:51" ht="15.75" hidden="1" customHeight="1" x14ac:dyDescent="0.2">
      <c r="A149" s="2"/>
      <c r="B149" s="2"/>
      <c r="C149" s="2"/>
      <c r="D149" s="2"/>
      <c r="E149" s="306">
        <v>36</v>
      </c>
      <c r="F149" s="2"/>
      <c r="G149" s="306" t="str">
        <f>IF(MAX(D139:D148)&gt;C141,K132,"")</f>
        <v/>
      </c>
      <c r="H149" s="308">
        <f>IF((MAX(D139:D148)+3-E135)&gt;3,K132,MAX(D139:D148))</f>
        <v>0</v>
      </c>
      <c r="I149" s="273"/>
      <c r="J149" s="2"/>
      <c r="K149" s="2099"/>
      <c r="L149" s="2099"/>
      <c r="M149" s="1302"/>
      <c r="N149" s="1302"/>
      <c r="O149" s="2"/>
      <c r="P149" s="2"/>
      <c r="Q149" s="2"/>
      <c r="R149" s="2"/>
      <c r="S149" s="2"/>
      <c r="T149" s="2"/>
      <c r="U149" s="2"/>
      <c r="V149" s="591"/>
      <c r="W149" s="591"/>
      <c r="X149" s="591"/>
      <c r="Y149" s="591"/>
      <c r="Z149" s="591"/>
      <c r="AA149" s="591"/>
      <c r="AB149" s="591"/>
      <c r="AC149" s="591"/>
      <c r="AG149" s="591"/>
      <c r="AH149" s="591"/>
      <c r="AI149" s="591"/>
      <c r="AJ149" s="591"/>
      <c r="AK149" s="591"/>
      <c r="AM149" s="591"/>
      <c r="AN149" s="591"/>
      <c r="AO149" s="591"/>
      <c r="AP149" s="591"/>
      <c r="AQ149" s="591"/>
      <c r="AS149" s="591"/>
      <c r="AT149" s="591"/>
      <c r="AU149" s="591"/>
      <c r="AV149" s="591"/>
      <c r="AW149" s="591"/>
      <c r="AY149" s="591"/>
    </row>
    <row r="150" spans="1:51" ht="21" hidden="1" customHeight="1" x14ac:dyDescent="0.2">
      <c r="A150" s="2"/>
      <c r="B150" s="2"/>
      <c r="C150" s="2"/>
      <c r="D150" s="2"/>
      <c r="E150" s="807">
        <f>VLOOKUP(E3,STORICO!C153:AO197,39,FALSE)</f>
        <v>0</v>
      </c>
      <c r="F150" s="2"/>
      <c r="G150" s="1211">
        <f>IF(AND(G152&gt;0,OR(G99&lt;&gt;"OK",G105&lt;&gt;"OK")),1,0)</f>
        <v>0</v>
      </c>
      <c r="H150" s="1211">
        <f>IF(AND(H152&gt;0,OR(H99&lt;&gt;"OK",H105&lt;&gt;"OK")),1,0)</f>
        <v>0</v>
      </c>
      <c r="I150" s="1211">
        <f>IF(AND(I152&gt;0,OR(K99&lt;&gt;"OK",K105&lt;&gt;"OK")),1,0)</f>
        <v>0</v>
      </c>
      <c r="J150" s="1211">
        <f>IF(AND(J152&gt;0,OR(N99&lt;&gt;"OK",N105&lt;&gt;"OK")),1,0)</f>
        <v>0</v>
      </c>
      <c r="K150" s="2"/>
      <c r="L150" s="2"/>
      <c r="M150" s="2"/>
      <c r="N150" s="2"/>
      <c r="O150" s="2"/>
      <c r="P150" s="2"/>
      <c r="Q150" s="2"/>
      <c r="R150" s="2"/>
      <c r="S150" s="2"/>
      <c r="T150" s="2"/>
      <c r="U150" s="2"/>
      <c r="V150" s="591"/>
      <c r="W150" s="591"/>
      <c r="X150" s="591"/>
      <c r="Y150" s="591"/>
      <c r="Z150" s="591"/>
      <c r="AA150" s="591"/>
      <c r="AB150" s="591"/>
      <c r="AC150" s="591"/>
      <c r="AG150" s="591"/>
      <c r="AH150" s="591"/>
      <c r="AI150" s="591"/>
      <c r="AJ150" s="591"/>
      <c r="AK150" s="591"/>
      <c r="AM150" s="591"/>
      <c r="AN150" s="591"/>
      <c r="AO150" s="591"/>
      <c r="AP150" s="591"/>
      <c r="AQ150" s="591"/>
      <c r="AS150" s="591"/>
      <c r="AT150" s="591"/>
      <c r="AU150" s="591"/>
      <c r="AV150" s="591"/>
      <c r="AW150" s="591"/>
      <c r="AY150" s="591"/>
    </row>
    <row r="151" spans="1:51" ht="21" hidden="1" customHeight="1" x14ac:dyDescent="0.2">
      <c r="A151" s="2"/>
      <c r="B151" s="2"/>
      <c r="C151" s="2"/>
      <c r="D151" s="2"/>
      <c r="E151" s="2"/>
      <c r="F151" s="2"/>
      <c r="G151" s="1212" t="str">
        <f>IMPOSTAZIONI!Y382</f>
        <v>Hai delle colonne ALIQUOTE DIVERSE che DEVI SCORPORARE manualmente qui.</v>
      </c>
      <c r="H151" s="1212"/>
      <c r="I151" s="1212"/>
      <c r="J151" s="1212"/>
      <c r="K151" s="1213"/>
      <c r="L151" s="1213"/>
      <c r="M151" s="1213"/>
      <c r="N151" s="1213"/>
      <c r="O151" s="688"/>
      <c r="P151" s="688"/>
      <c r="Q151" s="688"/>
      <c r="R151" s="99"/>
      <c r="S151" s="1306"/>
      <c r="T151" s="591"/>
      <c r="U151" s="591"/>
      <c r="V151" s="591"/>
      <c r="W151" s="591"/>
      <c r="X151" s="591"/>
      <c r="Y151" s="591"/>
      <c r="Z151" s="591"/>
      <c r="AA151" s="591"/>
      <c r="AB151" s="591"/>
      <c r="AC151" s="591"/>
      <c r="AG151" s="591"/>
      <c r="AH151" s="591"/>
      <c r="AI151" s="591"/>
      <c r="AJ151" s="591"/>
      <c r="AK151" s="591"/>
      <c r="AM151" s="591"/>
      <c r="AN151" s="591"/>
      <c r="AO151" s="591"/>
      <c r="AP151" s="591"/>
      <c r="AQ151" s="591"/>
      <c r="AS151" s="591"/>
      <c r="AT151" s="591"/>
      <c r="AU151" s="591"/>
      <c r="AV151" s="591"/>
      <c r="AW151" s="591"/>
      <c r="AY151" s="591"/>
    </row>
    <row r="152" spans="1:51" ht="21" hidden="1" customHeight="1" x14ac:dyDescent="0.2">
      <c r="A152" s="2"/>
      <c r="B152" s="2"/>
      <c r="C152" s="2"/>
      <c r="D152" s="2"/>
      <c r="E152" s="92" t="str">
        <f>IMPOSTAZIONI!J383</f>
        <v>INSERISCI</v>
      </c>
      <c r="F152" s="2"/>
      <c r="G152" s="86">
        <f>IF(G46=0,0,IF(AND(G62&lt;&gt;$L134,G155="X"),1,0))</f>
        <v>0</v>
      </c>
      <c r="H152" s="87">
        <f>IF(H46=0,0,IF(AND(H62&lt;&gt;$L134,H155="X"),1,0))</f>
        <v>0</v>
      </c>
      <c r="I152" s="87">
        <f>IF(K46=0,0,IF(AND(K62&lt;&gt;$L134,I155="X"),1,0))</f>
        <v>0</v>
      </c>
      <c r="J152" s="88">
        <f>IF(N46=0,0,IF(AND(N62&lt;&gt;$L134,J155="X"),1,0))</f>
        <v>0</v>
      </c>
      <c r="K152" s="100" t="str">
        <f>IMPOSTAZIONI!M383</f>
        <v>VERIFICA</v>
      </c>
      <c r="L152" s="92" t="str">
        <f>IMPOSTAZIONI!P383</f>
        <v>CANCELLA</v>
      </c>
      <c r="M152" s="2"/>
      <c r="N152" s="2"/>
      <c r="O152" s="2"/>
      <c r="P152" s="2"/>
      <c r="Q152" s="2"/>
      <c r="R152" s="2"/>
      <c r="S152" s="591"/>
      <c r="T152" s="591"/>
      <c r="U152" s="591"/>
      <c r="V152" s="591"/>
      <c r="W152" s="591"/>
      <c r="X152" s="591"/>
      <c r="Y152" s="591"/>
      <c r="Z152" s="591"/>
      <c r="AA152" s="591"/>
      <c r="AB152" s="591"/>
      <c r="AC152" s="591"/>
      <c r="AG152" s="591"/>
      <c r="AH152" s="591"/>
      <c r="AI152" s="591"/>
      <c r="AJ152" s="591"/>
      <c r="AK152" s="591"/>
      <c r="AM152" s="591"/>
      <c r="AN152" s="591"/>
      <c r="AO152" s="591"/>
      <c r="AP152" s="591"/>
      <c r="AQ152" s="591"/>
      <c r="AS152" s="591"/>
      <c r="AT152" s="591"/>
      <c r="AU152" s="591"/>
      <c r="AV152" s="591"/>
      <c r="AW152" s="591"/>
      <c r="AY152" s="591"/>
    </row>
    <row r="153" spans="1:51" hidden="1" x14ac:dyDescent="0.2">
      <c r="A153" s="2"/>
      <c r="B153" s="2"/>
      <c r="C153" s="2"/>
      <c r="D153" s="2"/>
      <c r="E153" s="2"/>
      <c r="F153" s="2"/>
      <c r="G153" s="756">
        <f>G46</f>
        <v>0</v>
      </c>
      <c r="H153" s="757">
        <f>H46</f>
        <v>0</v>
      </c>
      <c r="I153" s="757">
        <f>K46</f>
        <v>0</v>
      </c>
      <c r="J153" s="758">
        <f>N46</f>
        <v>0</v>
      </c>
      <c r="K153" s="2"/>
      <c r="L153" s="2"/>
      <c r="M153" s="2"/>
      <c r="N153" s="2"/>
      <c r="O153" s="2"/>
      <c r="P153" s="2"/>
      <c r="Q153" s="2"/>
      <c r="R153" s="2"/>
      <c r="S153" s="591"/>
      <c r="T153" s="591"/>
      <c r="U153" s="591"/>
      <c r="V153" s="591"/>
      <c r="W153" s="591"/>
      <c r="X153" s="591"/>
      <c r="Y153" s="591"/>
      <c r="Z153" s="591"/>
      <c r="AA153" s="591"/>
      <c r="AB153" s="591"/>
      <c r="AC153" s="591"/>
      <c r="AG153" s="591"/>
      <c r="AH153" s="591"/>
      <c r="AI153" s="591"/>
      <c r="AJ153" s="591"/>
      <c r="AK153" s="591"/>
      <c r="AM153" s="591"/>
      <c r="AN153" s="591"/>
      <c r="AO153" s="591"/>
      <c r="AP153" s="591"/>
      <c r="AQ153" s="591"/>
      <c r="AS153" s="591"/>
      <c r="AT153" s="591"/>
      <c r="AU153" s="591"/>
      <c r="AV153" s="591"/>
      <c r="AW153" s="591"/>
      <c r="AY153" s="591"/>
    </row>
    <row r="154" spans="1:51" ht="16.5" hidden="1" customHeight="1" x14ac:dyDescent="0.2">
      <c r="A154" s="2"/>
      <c r="B154" s="2"/>
      <c r="C154" s="2"/>
      <c r="D154" s="2"/>
      <c r="E154" s="2"/>
      <c r="F154" s="2"/>
      <c r="G154" s="756">
        <f>G48</f>
        <v>0</v>
      </c>
      <c r="H154" s="757">
        <f>H48</f>
        <v>0</v>
      </c>
      <c r="I154" s="757">
        <f>K48</f>
        <v>0</v>
      </c>
      <c r="J154" s="758">
        <f>N48</f>
        <v>0</v>
      </c>
      <c r="K154" s="2"/>
      <c r="L154" s="2"/>
      <c r="M154" s="2"/>
      <c r="N154" s="2"/>
      <c r="O154" s="2"/>
      <c r="P154" s="2"/>
      <c r="Q154" s="2"/>
      <c r="R154" s="2"/>
      <c r="S154" s="591"/>
      <c r="T154" s="591"/>
      <c r="U154" s="591"/>
      <c r="V154" s="591"/>
      <c r="W154" s="591"/>
      <c r="X154" s="591"/>
      <c r="Y154" s="591"/>
      <c r="Z154" s="591"/>
      <c r="AA154" s="591"/>
      <c r="AB154" s="591"/>
      <c r="AC154" s="591"/>
      <c r="AG154" s="591"/>
      <c r="AH154" s="591"/>
      <c r="AI154" s="591"/>
      <c r="AJ154" s="591"/>
      <c r="AK154" s="591"/>
      <c r="AM154" s="591"/>
      <c r="AN154" s="591"/>
      <c r="AO154" s="591"/>
      <c r="AP154" s="591"/>
      <c r="AQ154" s="591"/>
      <c r="AS154" s="591"/>
      <c r="AT154" s="591"/>
      <c r="AU154" s="591"/>
      <c r="AV154" s="591"/>
      <c r="AW154" s="591"/>
      <c r="AY154" s="591"/>
    </row>
    <row r="155" spans="1:51" ht="15" hidden="1" customHeight="1" x14ac:dyDescent="0.2">
      <c r="A155" s="2"/>
      <c r="B155" s="2"/>
      <c r="C155" s="2"/>
      <c r="D155" s="2"/>
      <c r="E155" s="2"/>
      <c r="F155" s="2"/>
      <c r="G155" s="753">
        <f>IF(G156="",0,VLOOKUP(G156,IMPOSTAZIONI!$R$131:$AD$145,13,FALSE))</f>
        <v>0</v>
      </c>
      <c r="H155" s="754">
        <f>IF(H156="",0,VLOOKUP(H156,IMPOSTAZIONI!$R$131:$AD$145,13,FALSE))</f>
        <v>0</v>
      </c>
      <c r="I155" s="754">
        <f>IF(I156="",0,VLOOKUP(I156,IMPOSTAZIONI!$R$131:$AD$145,13,FALSE))</f>
        <v>0</v>
      </c>
      <c r="J155" s="755">
        <f>IF(J156="",0,VLOOKUP(J156,IMPOSTAZIONI!$R$131:$AD$145,13,FALSE))</f>
        <v>0</v>
      </c>
      <c r="K155" s="2"/>
      <c r="L155" s="2"/>
      <c r="M155" s="2"/>
      <c r="N155" s="2"/>
      <c r="O155" s="2"/>
      <c r="P155" s="2"/>
      <c r="Q155" s="2"/>
      <c r="R155" s="2"/>
      <c r="S155" s="591"/>
      <c r="T155" s="591"/>
      <c r="U155" s="591"/>
      <c r="V155" s="591"/>
      <c r="W155" s="591"/>
      <c r="X155" s="591"/>
      <c r="Y155" s="591"/>
      <c r="Z155" s="591"/>
      <c r="AA155" s="591"/>
      <c r="AB155" s="591"/>
      <c r="AC155" s="591"/>
      <c r="AG155" s="591"/>
      <c r="AH155" s="591"/>
      <c r="AI155" s="591"/>
      <c r="AJ155" s="591"/>
      <c r="AK155" s="591"/>
      <c r="AM155" s="591"/>
      <c r="AN155" s="591"/>
      <c r="AO155" s="591"/>
      <c r="AP155" s="591"/>
      <c r="AQ155" s="591"/>
      <c r="AS155" s="591"/>
      <c r="AT155" s="591"/>
      <c r="AU155" s="591"/>
      <c r="AV155" s="591"/>
      <c r="AW155" s="591"/>
      <c r="AY155" s="591"/>
    </row>
    <row r="156" spans="1:51" ht="15" hidden="1" customHeight="1" x14ac:dyDescent="0.2">
      <c r="A156" s="2"/>
      <c r="B156" s="2"/>
      <c r="C156" s="2"/>
      <c r="D156" s="2"/>
      <c r="E156" s="2"/>
      <c r="F156" s="56"/>
      <c r="G156" s="752" t="str">
        <f>IMPOSTAZIONI!F227</f>
        <v/>
      </c>
      <c r="H156" s="752" t="str">
        <f>IMPOSTAZIONI!K227</f>
        <v/>
      </c>
      <c r="I156" s="752" t="str">
        <f>IMPOSTAZIONI!P227</f>
        <v/>
      </c>
      <c r="J156" s="752" t="str">
        <f>IMPOSTAZIONI!U227</f>
        <v/>
      </c>
      <c r="K156" s="2100" t="s">
        <v>195</v>
      </c>
      <c r="L156" s="2100"/>
      <c r="M156" s="2"/>
      <c r="N156" s="2"/>
      <c r="O156" s="2"/>
      <c r="P156" s="2"/>
      <c r="Q156" s="2"/>
      <c r="R156" s="2"/>
      <c r="S156" s="591"/>
      <c r="T156" s="591"/>
      <c r="U156" s="591"/>
      <c r="V156" s="591"/>
      <c r="W156" s="591"/>
      <c r="X156" s="591"/>
      <c r="Y156" s="591"/>
      <c r="Z156" s="591"/>
      <c r="AA156" s="591"/>
      <c r="AB156" s="591"/>
      <c r="AC156" s="591"/>
      <c r="AG156" s="591"/>
      <c r="AH156" s="591"/>
      <c r="AI156" s="591"/>
      <c r="AJ156" s="591"/>
      <c r="AK156" s="591"/>
      <c r="AM156" s="591"/>
      <c r="AN156" s="591"/>
      <c r="AO156" s="591"/>
      <c r="AP156" s="591"/>
      <c r="AQ156" s="591"/>
      <c r="AS156" s="591"/>
      <c r="AT156" s="591"/>
      <c r="AU156" s="591"/>
      <c r="AV156" s="591"/>
      <c r="AW156" s="591"/>
      <c r="AY156" s="591"/>
    </row>
    <row r="157" spans="1:51" ht="15" hidden="1" customHeight="1" x14ac:dyDescent="0.2">
      <c r="A157" s="2"/>
      <c r="B157" s="2"/>
      <c r="C157" s="2"/>
      <c r="D157" s="2"/>
      <c r="E157" s="288" t="str">
        <f>IMPOSTAZIONI!B321</f>
        <v>SC</v>
      </c>
      <c r="F157" s="56"/>
      <c r="G157" s="288" t="str">
        <f>IF(MID(G1,7,2)="",$E157,MID(G1,7,2))</f>
        <v>SC</v>
      </c>
      <c r="H157" s="288" t="str">
        <f>IF(MID(H1,7,2)="",$E157,MID(H1,7,2))</f>
        <v>SC</v>
      </c>
      <c r="I157" s="288" t="str">
        <f>IF(MID(K1,7,2)="",$E157,MID(K1,7,2))</f>
        <v>SC</v>
      </c>
      <c r="J157" s="288" t="str">
        <f>IF(MID(N1,7,2)="",$E157,MID(N1,7,2))</f>
        <v>SC</v>
      </c>
      <c r="K157" s="2100" t="str">
        <f>IMPOSTAZIONI!AH7</f>
        <v>Categoria</v>
      </c>
      <c r="L157" s="2100"/>
      <c r="M157" s="2"/>
      <c r="N157" s="2"/>
      <c r="O157" s="2"/>
      <c r="P157" s="2"/>
      <c r="Q157" s="2"/>
      <c r="R157" s="2"/>
      <c r="S157" s="591"/>
      <c r="T157" s="591"/>
      <c r="U157" s="591"/>
      <c r="V157" s="591"/>
      <c r="W157" s="591"/>
      <c r="X157" s="591"/>
      <c r="Y157" s="591"/>
      <c r="Z157" s="591"/>
      <c r="AA157" s="591"/>
      <c r="AB157" s="591"/>
      <c r="AC157" s="591"/>
      <c r="AG157" s="591"/>
      <c r="AH157" s="591"/>
      <c r="AI157" s="591"/>
      <c r="AJ157" s="591"/>
      <c r="AK157" s="591"/>
      <c r="AM157" s="591"/>
      <c r="AN157" s="591"/>
      <c r="AO157" s="591"/>
      <c r="AP157" s="591"/>
      <c r="AQ157" s="591"/>
      <c r="AS157" s="591"/>
      <c r="AT157" s="591"/>
      <c r="AU157" s="591"/>
      <c r="AV157" s="591"/>
      <c r="AW157" s="591"/>
      <c r="AY157" s="591"/>
    </row>
    <row r="158" spans="1:51" ht="15" hidden="1" customHeight="1" x14ac:dyDescent="0.2">
      <c r="A158" s="2"/>
      <c r="B158" s="2"/>
      <c r="C158" s="2"/>
      <c r="D158" s="2"/>
      <c r="E158" s="288" t="str">
        <f>IMPOSTAZIONI!B351</f>
        <v>%</v>
      </c>
      <c r="F158" s="56"/>
      <c r="G158" s="288" t="str">
        <f>IF(OR(G155&gt;0,G155="X"),$E158,IF(G156="","",MID(G1,4,2)))</f>
        <v/>
      </c>
      <c r="H158" s="288" t="str">
        <f>IF(OR(H155&gt;0,H155="X"),$E158,IF(H156="","",MID(H1,4,2)))</f>
        <v/>
      </c>
      <c r="I158" s="288" t="str">
        <f>IF(OR(I155&gt;0,I155="X"),$E158,IF(I156="","",MID(K1,4,2)))</f>
        <v/>
      </c>
      <c r="J158" s="288" t="str">
        <f>IF(OR(J155&gt;0,J155="X"),$E158,IF(J156="","",MID(N1,4,2)))</f>
        <v/>
      </c>
      <c r="K158" s="2100" t="str">
        <f>IMPOSTAZIONI!B337</f>
        <v>NO IVA</v>
      </c>
      <c r="L158" s="2100"/>
      <c r="M158" s="2"/>
      <c r="N158" s="2"/>
      <c r="O158" s="2"/>
      <c r="P158" s="2"/>
      <c r="Q158" s="2"/>
      <c r="R158" s="2"/>
      <c r="S158" s="591"/>
      <c r="T158" s="591"/>
      <c r="U158" s="591"/>
      <c r="V158" s="591"/>
      <c r="W158" s="591"/>
      <c r="X158" s="591"/>
      <c r="Y158" s="591"/>
      <c r="Z158" s="591"/>
      <c r="AA158" s="591"/>
      <c r="AB158" s="591"/>
      <c r="AC158" s="591"/>
      <c r="AG158" s="591"/>
      <c r="AH158" s="591"/>
      <c r="AI158" s="591"/>
      <c r="AJ158" s="591"/>
      <c r="AK158" s="591"/>
      <c r="AM158" s="591"/>
      <c r="AN158" s="591"/>
      <c r="AO158" s="591"/>
      <c r="AP158" s="591"/>
      <c r="AQ158" s="591"/>
      <c r="AS158" s="591"/>
      <c r="AT158" s="591"/>
      <c r="AU158" s="591"/>
      <c r="AV158" s="591"/>
      <c r="AW158" s="591"/>
      <c r="AY158" s="591"/>
    </row>
    <row r="159" spans="1:51" ht="15" hidden="1" customHeight="1" x14ac:dyDescent="0.2">
      <c r="A159" s="2"/>
      <c r="B159" s="2"/>
      <c r="C159" s="2"/>
      <c r="D159" s="2"/>
      <c r="E159" s="288"/>
      <c r="F159" s="56"/>
      <c r="G159" s="376" t="str">
        <f>MID(G1,1,2)</f>
        <v>--</v>
      </c>
      <c r="H159" s="376" t="str">
        <f>MID(H1,1,2)</f>
        <v>--</v>
      </c>
      <c r="I159" s="376" t="str">
        <f>MID(K1,1,2)</f>
        <v>--</v>
      </c>
      <c r="J159" s="376" t="str">
        <f>MID(N1,1,2)</f>
        <v>--</v>
      </c>
      <c r="K159" s="2100" t="str">
        <f>IMPOSTAZIONI!B354</f>
        <v>TIPO</v>
      </c>
      <c r="L159" s="2100"/>
      <c r="M159" s="2"/>
      <c r="N159" s="2"/>
      <c r="O159" s="2"/>
      <c r="P159" s="2"/>
      <c r="Q159" s="2"/>
      <c r="R159" s="2"/>
      <c r="S159" s="591"/>
      <c r="T159" s="591"/>
      <c r="U159" s="591"/>
      <c r="V159" s="591"/>
      <c r="W159" s="591"/>
      <c r="X159" s="591"/>
      <c r="Y159" s="591"/>
      <c r="Z159" s="591"/>
      <c r="AA159" s="591"/>
      <c r="AB159" s="591"/>
      <c r="AC159" s="591"/>
      <c r="AG159" s="591"/>
      <c r="AH159" s="591"/>
      <c r="AI159" s="591"/>
      <c r="AJ159" s="591"/>
      <c r="AK159" s="591"/>
      <c r="AM159" s="591"/>
      <c r="AN159" s="591"/>
      <c r="AO159" s="591"/>
      <c r="AP159" s="591"/>
      <c r="AQ159" s="591"/>
      <c r="AS159" s="591"/>
      <c r="AT159" s="591"/>
      <c r="AU159" s="591"/>
      <c r="AV159" s="591"/>
      <c r="AW159" s="591"/>
      <c r="AY159" s="591"/>
    </row>
    <row r="160" spans="1:51" ht="15" hidden="1" customHeight="1" x14ac:dyDescent="0.2">
      <c r="A160" s="2"/>
      <c r="B160" s="2"/>
      <c r="C160" s="2"/>
      <c r="D160" s="2"/>
      <c r="E160" s="288"/>
      <c r="F160" s="56"/>
      <c r="G160" s="951">
        <f>SUM(G101:G104)</f>
        <v>0</v>
      </c>
      <c r="H160" s="377">
        <f>SUM(H101:H104)</f>
        <v>0</v>
      </c>
      <c r="I160" s="377">
        <f>SUM(K101:K104)</f>
        <v>0</v>
      </c>
      <c r="J160" s="377">
        <f>SUM(N101:N104)</f>
        <v>0</v>
      </c>
      <c r="K160" s="2107" t="s">
        <v>529</v>
      </c>
      <c r="L160" s="2107"/>
      <c r="M160" s="14"/>
      <c r="N160" s="14"/>
      <c r="O160" s="14"/>
      <c r="P160" s="14"/>
      <c r="Q160" s="14"/>
      <c r="R160" s="2"/>
      <c r="S160" s="591"/>
      <c r="T160" s="591"/>
      <c r="U160" s="591"/>
      <c r="V160" s="591"/>
      <c r="W160" s="591"/>
      <c r="X160" s="591"/>
      <c r="Y160" s="591"/>
      <c r="Z160" s="591"/>
      <c r="AA160" s="591"/>
      <c r="AB160" s="591"/>
      <c r="AC160" s="591"/>
      <c r="AG160" s="591"/>
      <c r="AH160" s="591"/>
      <c r="AI160" s="591"/>
      <c r="AJ160" s="591"/>
      <c r="AK160" s="591"/>
      <c r="AM160" s="591"/>
      <c r="AN160" s="591"/>
      <c r="AO160" s="591"/>
      <c r="AP160" s="591"/>
      <c r="AQ160" s="591"/>
      <c r="AS160" s="591"/>
      <c r="AT160" s="591"/>
      <c r="AU160" s="591"/>
      <c r="AV160" s="591"/>
      <c r="AW160" s="591"/>
      <c r="AY160" s="591"/>
    </row>
    <row r="161" spans="1:51" ht="15" hidden="1" customHeight="1" x14ac:dyDescent="0.2">
      <c r="A161" s="2"/>
      <c r="B161" s="2"/>
      <c r="C161" s="2"/>
      <c r="D161" s="2"/>
      <c r="E161" s="72"/>
      <c r="F161" s="2"/>
      <c r="G161" s="950">
        <f>IF(AND(G42=$K134,G62=$L135),G48,0)</f>
        <v>0</v>
      </c>
      <c r="H161" s="950">
        <f>IF(AND(H42=$K134,H62=$L135),H48,0)</f>
        <v>0</v>
      </c>
      <c r="I161" s="950">
        <f>IF(AND(K42=$K134,K62=$L135),K48,0)</f>
        <v>0</v>
      </c>
      <c r="J161" s="950">
        <f>IF(AND(N42=$K134,N62=$L135),N48,0)</f>
        <v>0</v>
      </c>
      <c r="K161" s="211"/>
      <c r="L161" s="211"/>
      <c r="M161" s="211"/>
      <c r="N161" s="211"/>
      <c r="O161" s="211"/>
      <c r="P161" s="211"/>
      <c r="Q161" s="211"/>
      <c r="R161" s="2"/>
      <c r="S161" s="591"/>
      <c r="T161" s="591"/>
      <c r="U161" s="591"/>
      <c r="V161" s="591"/>
      <c r="W161" s="591"/>
      <c r="X161" s="591"/>
      <c r="Y161" s="591"/>
      <c r="Z161" s="591"/>
      <c r="AA161" s="591"/>
      <c r="AB161" s="591"/>
      <c r="AC161" s="591"/>
      <c r="AG161" s="591"/>
      <c r="AH161" s="591"/>
      <c r="AI161" s="591"/>
      <c r="AJ161" s="591"/>
      <c r="AK161" s="591"/>
      <c r="AM161" s="591"/>
      <c r="AN161" s="591"/>
      <c r="AO161" s="591"/>
      <c r="AP161" s="591"/>
      <c r="AQ161" s="591"/>
      <c r="AS161" s="591"/>
      <c r="AT161" s="591"/>
      <c r="AU161" s="591"/>
      <c r="AV161" s="591"/>
      <c r="AW161" s="591"/>
      <c r="AY161" s="591"/>
    </row>
    <row r="162" spans="1:51" hidden="1" x14ac:dyDescent="0.2">
      <c r="A162" s="2"/>
      <c r="B162" s="2086">
        <f>Presentazione!Q13</f>
        <v>45292</v>
      </c>
      <c r="C162" s="2087"/>
      <c r="D162" s="2088"/>
      <c r="E162" s="288" t="str">
        <f>CONCATENATE(CASSA!X485,"    ")</f>
        <v xml:space="preserve">Chiuso    </v>
      </c>
      <c r="F162" s="2"/>
      <c r="G162" s="950">
        <f>IF(G62&lt;&gt;$L134,G48-G161,0)</f>
        <v>0</v>
      </c>
      <c r="H162" s="950">
        <f>IF(H62&lt;&gt;$L134,H48-H161,0)</f>
        <v>0</v>
      </c>
      <c r="I162" s="950">
        <f>IF(K62&lt;&gt;$L134,K48-I161,0)</f>
        <v>0</v>
      </c>
      <c r="J162" s="950">
        <f>IF(N62&lt;&gt;$L134,N48-J161,0)</f>
        <v>0</v>
      </c>
      <c r="K162" s="2"/>
      <c r="L162" s="2"/>
      <c r="M162" s="2"/>
      <c r="N162" s="2"/>
      <c r="O162" s="2"/>
      <c r="P162" s="2"/>
      <c r="Q162" s="2"/>
      <c r="R162" s="2"/>
      <c r="S162" s="591"/>
      <c r="T162" s="591"/>
      <c r="U162" s="591"/>
      <c r="V162" s="591"/>
      <c r="W162" s="591"/>
      <c r="X162" s="591"/>
      <c r="Y162" s="591"/>
      <c r="Z162" s="591"/>
      <c r="AA162" s="591"/>
      <c r="AB162" s="591"/>
      <c r="AC162" s="591"/>
      <c r="AG162" s="591"/>
      <c r="AH162" s="591"/>
      <c r="AI162" s="591"/>
      <c r="AJ162" s="591"/>
      <c r="AK162" s="591"/>
      <c r="AM162" s="591"/>
      <c r="AN162" s="591"/>
      <c r="AO162" s="591"/>
      <c r="AP162" s="591"/>
      <c r="AQ162" s="591"/>
      <c r="AS162" s="591"/>
      <c r="AT162" s="591"/>
      <c r="AU162" s="591"/>
      <c r="AV162" s="591"/>
      <c r="AW162" s="591"/>
      <c r="AY162" s="591"/>
    </row>
    <row r="163" spans="1:51" ht="15" hidden="1" customHeight="1" x14ac:dyDescent="0.2">
      <c r="A163" s="2"/>
      <c r="B163" s="2086">
        <f>Presentazione!R13</f>
        <v>45382</v>
      </c>
      <c r="C163" s="2087"/>
      <c r="D163" s="2088"/>
      <c r="E163" s="288" t="str">
        <f>CONCATENATE(IMPOSTAZIONI!L188,"    ")</f>
        <v xml:space="preserve">ERROR    </v>
      </c>
      <c r="F163" s="232"/>
      <c r="G163" s="233" t="s">
        <v>299</v>
      </c>
      <c r="H163" s="60">
        <f>IMPOSTAZIONI!N387</f>
        <v>18</v>
      </c>
      <c r="I163" s="288">
        <f>IMPOSTAZIONI!Y153</f>
        <v>0</v>
      </c>
      <c r="J163" s="140" t="s">
        <v>463</v>
      </c>
      <c r="K163" s="233" t="s">
        <v>549</v>
      </c>
      <c r="L163" s="60">
        <f>Presentazione!E159</f>
        <v>0</v>
      </c>
      <c r="M163" s="170" t="s">
        <v>398</v>
      </c>
      <c r="N163" s="79">
        <v>1</v>
      </c>
      <c r="O163" s="508">
        <f>IF(OR(COUNTIF(G99:N99,E152)&gt;0,COUNTIF(G99:N99,K152)&gt;0,COUNTIF(G99:N99,L152)&gt;0,COUNTIF(G105:N105,E152)&gt;0,COUNTIF(G105:N105,K152)&gt;0,COUNTIF(G105:N105,L152)&gt;0,COUNTIF(C101:F104,"ERROR")&gt;0,COUNTIF(E8:F38,E163)&gt;0),1,0)</f>
        <v>0</v>
      </c>
      <c r="P163" s="509" t="s">
        <v>550</v>
      </c>
      <c r="Q163" s="2"/>
      <c r="R163" s="2"/>
      <c r="S163" s="591"/>
      <c r="T163" s="591"/>
      <c r="U163" s="591"/>
      <c r="V163" s="591"/>
      <c r="W163" s="591"/>
      <c r="X163" s="591"/>
      <c r="Y163" s="591"/>
      <c r="Z163" s="591"/>
      <c r="AA163" s="591"/>
      <c r="AB163" s="591"/>
      <c r="AC163" s="591"/>
      <c r="AG163" s="591"/>
      <c r="AH163" s="591"/>
      <c r="AI163" s="591"/>
      <c r="AJ163" s="591"/>
      <c r="AK163" s="591"/>
      <c r="AM163" s="591"/>
      <c r="AN163" s="591"/>
      <c r="AO163" s="591"/>
      <c r="AP163" s="591"/>
      <c r="AQ163" s="591"/>
      <c r="AS163" s="591"/>
      <c r="AT163" s="591"/>
      <c r="AU163" s="591"/>
      <c r="AV163" s="591"/>
      <c r="AW163" s="591"/>
      <c r="AY163" s="591"/>
    </row>
    <row r="164" spans="1:51" ht="15" hidden="1" customHeight="1" x14ac:dyDescent="0.2">
      <c r="A164" s="2"/>
      <c r="B164" s="2"/>
      <c r="C164" s="2"/>
      <c r="D164" s="2"/>
      <c r="E164" s="2"/>
      <c r="F164" s="2"/>
      <c r="G164" s="950">
        <f>IF(G42=$K134,0,G87)</f>
        <v>0</v>
      </c>
      <c r="H164" s="950">
        <f>IF(H42=$K134,0,H87)</f>
        <v>0</v>
      </c>
      <c r="I164" s="950">
        <f>IF(K42=$K134,0,I87)</f>
        <v>0</v>
      </c>
      <c r="J164" s="950">
        <f>IF(N42=$K134,0,K87)</f>
        <v>0</v>
      </c>
      <c r="K164" s="2"/>
      <c r="L164" s="2"/>
      <c r="M164" s="2"/>
      <c r="N164" s="2"/>
      <c r="O164" s="2"/>
      <c r="P164" s="2"/>
      <c r="Q164" s="2"/>
      <c r="R164" s="2"/>
      <c r="S164" s="591"/>
      <c r="T164" s="591"/>
      <c r="U164" s="591"/>
      <c r="V164" s="591"/>
      <c r="W164" s="591"/>
      <c r="X164" s="591"/>
      <c r="Y164" s="591"/>
      <c r="Z164" s="591"/>
      <c r="AA164" s="591"/>
      <c r="AB164" s="591"/>
      <c r="AC164" s="591"/>
      <c r="AG164" s="591"/>
      <c r="AH164" s="591"/>
      <c r="AI164" s="591"/>
      <c r="AJ164" s="591"/>
      <c r="AK164" s="591"/>
      <c r="AM164" s="591"/>
      <c r="AN164" s="591"/>
      <c r="AO164" s="591"/>
      <c r="AP164" s="591"/>
      <c r="AQ164" s="591"/>
      <c r="AS164" s="591"/>
      <c r="AT164" s="591"/>
      <c r="AU164" s="591"/>
      <c r="AV164" s="591"/>
      <c r="AW164" s="591"/>
      <c r="AY164" s="591"/>
    </row>
    <row r="165" spans="1:51" hidden="1" x14ac:dyDescent="0.2">
      <c r="A165" s="2"/>
      <c r="B165" s="2"/>
      <c r="C165" s="2"/>
      <c r="D165" s="2"/>
      <c r="E165" s="2"/>
      <c r="F165" s="2"/>
      <c r="G165" s="2"/>
      <c r="H165" s="2"/>
      <c r="I165" s="2"/>
      <c r="J165" s="2"/>
      <c r="K165" s="2"/>
      <c r="L165" s="2"/>
      <c r="M165" s="2"/>
      <c r="N165" s="2"/>
      <c r="O165" s="2"/>
      <c r="P165" s="2"/>
      <c r="Q165" s="2"/>
      <c r="R165" s="2"/>
      <c r="S165" s="591"/>
      <c r="T165" s="591"/>
      <c r="U165" s="591"/>
      <c r="V165" s="591"/>
      <c r="W165" s="591"/>
      <c r="X165" s="591"/>
      <c r="Y165" s="591"/>
      <c r="Z165" s="591"/>
      <c r="AA165" s="591"/>
      <c r="AB165" s="591"/>
      <c r="AC165" s="591"/>
      <c r="AG165" s="591"/>
      <c r="AH165" s="591"/>
      <c r="AI165" s="591"/>
      <c r="AJ165" s="591"/>
      <c r="AK165" s="591"/>
      <c r="AM165" s="591"/>
      <c r="AN165" s="591"/>
      <c r="AO165" s="591"/>
      <c r="AP165" s="591"/>
      <c r="AQ165" s="591"/>
      <c r="AS165" s="591"/>
      <c r="AT165" s="591"/>
      <c r="AU165" s="591"/>
      <c r="AV165" s="591"/>
      <c r="AW165" s="591"/>
      <c r="AY165" s="591"/>
    </row>
    <row r="166" spans="1:51" ht="22.5" customHeight="1" x14ac:dyDescent="0.2">
      <c r="A166" s="2"/>
      <c r="B166" s="2"/>
      <c r="C166" s="2"/>
      <c r="D166" s="2"/>
      <c r="E166" s="2"/>
      <c r="F166" s="2"/>
      <c r="G166" s="624">
        <v>1</v>
      </c>
      <c r="H166" s="624">
        <v>2</v>
      </c>
      <c r="I166" s="2229">
        <v>5</v>
      </c>
      <c r="J166" s="2229"/>
      <c r="K166" s="624">
        <v>8</v>
      </c>
      <c r="L166" s="2"/>
      <c r="M166" s="2228" t="s">
        <v>193</v>
      </c>
      <c r="N166" s="2228"/>
      <c r="O166" s="2"/>
      <c r="P166" s="2"/>
      <c r="Q166" s="2"/>
      <c r="R166" s="591"/>
      <c r="S166" s="591"/>
      <c r="T166" s="591"/>
      <c r="U166" s="591"/>
      <c r="V166" s="591"/>
      <c r="W166" s="591"/>
      <c r="X166" s="591"/>
      <c r="Y166" s="591"/>
      <c r="Z166" s="591"/>
      <c r="AA166" s="591"/>
      <c r="AB166" s="591"/>
      <c r="AC166" s="591"/>
      <c r="AG166" s="591"/>
      <c r="AS166" s="591"/>
    </row>
    <row r="167" spans="1:51" ht="18" customHeight="1" x14ac:dyDescent="0.2">
      <c r="A167" s="2"/>
      <c r="B167" s="2"/>
      <c r="C167" s="2084" t="s">
        <v>175</v>
      </c>
      <c r="D167" s="2084"/>
      <c r="E167" s="2085">
        <f>E43</f>
        <v>2024</v>
      </c>
      <c r="F167" s="2085">
        <f>F43</f>
        <v>0</v>
      </c>
      <c r="G167" s="590" t="str">
        <f>G43</f>
        <v/>
      </c>
      <c r="H167" s="590" t="str">
        <f>H43</f>
        <v/>
      </c>
      <c r="I167" s="2232" t="str">
        <f>K43</f>
        <v/>
      </c>
      <c r="J167" s="2232"/>
      <c r="K167" s="590" t="str">
        <f>N43</f>
        <v/>
      </c>
      <c r="L167" s="2"/>
      <c r="M167" s="908" t="s">
        <v>717</v>
      </c>
      <c r="N167" s="2"/>
      <c r="O167" s="2"/>
      <c r="P167" s="2"/>
      <c r="Q167" s="2"/>
      <c r="R167" s="591"/>
      <c r="S167" s="591"/>
      <c r="T167" s="591"/>
      <c r="U167" s="591"/>
      <c r="V167" s="591"/>
      <c r="W167" s="591"/>
      <c r="X167" s="591"/>
      <c r="Y167" s="591"/>
      <c r="Z167" s="591"/>
      <c r="AA167" s="591"/>
      <c r="AB167" s="591"/>
      <c r="AC167" s="591"/>
      <c r="AG167" s="591"/>
      <c r="AS167" s="591"/>
    </row>
    <row r="168" spans="1:51" ht="22.5" customHeight="1" x14ac:dyDescent="0.2">
      <c r="A168" s="2"/>
      <c r="B168" s="2"/>
      <c r="C168" s="2091" t="s">
        <v>298</v>
      </c>
      <c r="D168" s="2091"/>
      <c r="E168" s="2091"/>
      <c r="F168" s="2091"/>
      <c r="G168" s="57" t="str">
        <f>G44</f>
        <v/>
      </c>
      <c r="H168" s="57" t="str">
        <f>H44</f>
        <v/>
      </c>
      <c r="I168" s="2230" t="str">
        <f>K44</f>
        <v/>
      </c>
      <c r="J168" s="2230"/>
      <c r="K168" s="57" t="str">
        <f>N44</f>
        <v/>
      </c>
      <c r="L168" s="2"/>
      <c r="M168" s="2228" t="s">
        <v>719</v>
      </c>
      <c r="N168" s="2228"/>
      <c r="O168" s="2"/>
      <c r="P168" s="2"/>
      <c r="Q168" s="2"/>
      <c r="R168" s="591"/>
      <c r="S168" s="591"/>
      <c r="T168" s="591"/>
      <c r="U168" s="591"/>
      <c r="V168" s="591"/>
      <c r="W168" s="591"/>
      <c r="X168" s="591"/>
      <c r="Y168" s="591"/>
      <c r="Z168" s="591"/>
      <c r="AA168" s="591"/>
      <c r="AB168" s="591"/>
      <c r="AC168" s="591"/>
      <c r="AG168" s="591"/>
      <c r="AS168" s="591"/>
    </row>
    <row r="169" spans="1:51" ht="19.5" customHeight="1" x14ac:dyDescent="0.2">
      <c r="A169" s="2"/>
      <c r="B169" s="2"/>
      <c r="C169" s="2094" t="str">
        <f>C95</f>
        <v>01/12 - 31/12</v>
      </c>
      <c r="D169" s="2095"/>
      <c r="E169" s="2095"/>
      <c r="F169" s="2095"/>
      <c r="G169" s="90" t="str">
        <f>G45</f>
        <v/>
      </c>
      <c r="H169" s="90" t="str">
        <f>H45</f>
        <v/>
      </c>
      <c r="I169" s="2231" t="str">
        <f>K45</f>
        <v/>
      </c>
      <c r="J169" s="2231"/>
      <c r="K169" s="90" t="str">
        <f>N45</f>
        <v/>
      </c>
      <c r="L169" s="2"/>
      <c r="M169" s="12"/>
      <c r="N169" s="2"/>
      <c r="O169" s="2"/>
      <c r="P169" s="2"/>
      <c r="Q169" s="2"/>
      <c r="R169" s="591"/>
      <c r="S169" s="591"/>
      <c r="T169" s="591"/>
      <c r="U169" s="591"/>
      <c r="V169" s="591"/>
      <c r="W169" s="591"/>
      <c r="X169" s="591"/>
      <c r="Y169" s="591"/>
      <c r="Z169" s="591"/>
      <c r="AA169" s="591"/>
      <c r="AB169" s="591"/>
      <c r="AC169" s="591"/>
      <c r="AG169" s="591"/>
      <c r="AS169" s="591"/>
    </row>
    <row r="170" spans="1:51" ht="7.5" customHeight="1" x14ac:dyDescent="0.2">
      <c r="A170" s="2"/>
      <c r="B170" s="2"/>
      <c r="C170" s="2089"/>
      <c r="D170" s="2090"/>
      <c r="E170" s="484"/>
      <c r="F170" s="2"/>
      <c r="G170" s="597">
        <f>IF(AND(G$180&lt;&gt;0,G$180&gt;0),IF(($E$171*9)&gt;=G$180,0,1),IF(AND(G$180&lt;&gt;0,G$180&lt;0),IF(($E$171*9)&lt;=G$180,0,1),0))</f>
        <v>0</v>
      </c>
      <c r="H170" s="597">
        <f>IF(AND(H$180&lt;&gt;0,H$180&gt;0),IF(($E$171*9)&gt;=H$180,0,1),IF(AND(H$180&lt;&gt;0,H$180&lt;0),IF(($E$171*9)&lt;=H$180,0,1),0))</f>
        <v>0</v>
      </c>
      <c r="I170" s="2104">
        <f>IF(AND(I$180&lt;&gt;0,I$180&gt;0),IF(($E$171*9)&gt;=I$180,0,1),IF(AND(I$180&lt;&gt;0,I$180&lt;0),IF(($E$171*9)&lt;=I$180,0,1),0))</f>
        <v>0</v>
      </c>
      <c r="J170" s="2105"/>
      <c r="K170" s="597">
        <f>IF(AND(K$180&lt;&gt;0,K$180&gt;0),IF(($E$171*9)&gt;=K$180,0,1),IF(AND(K$180&lt;&gt;0,K$180&lt;0),IF(($E$171*9)&lt;=K$180,0,1),0))</f>
        <v>0</v>
      </c>
      <c r="L170" s="2"/>
      <c r="M170" s="2"/>
      <c r="N170" s="2"/>
      <c r="O170" s="2"/>
      <c r="P170" s="2"/>
      <c r="Q170" s="2"/>
      <c r="R170" s="591"/>
      <c r="S170" s="591"/>
      <c r="T170" s="591"/>
      <c r="U170" s="591"/>
      <c r="V170" s="591"/>
      <c r="W170" s="591"/>
      <c r="X170" s="591"/>
      <c r="Y170" s="591"/>
      <c r="Z170" s="591"/>
      <c r="AA170" s="591"/>
      <c r="AB170" s="591"/>
      <c r="AC170" s="591"/>
      <c r="AG170" s="591"/>
      <c r="AS170" s="591"/>
    </row>
    <row r="171" spans="1:51" ht="7.5" customHeight="1" x14ac:dyDescent="0.2">
      <c r="A171" s="2"/>
      <c r="B171" s="2"/>
      <c r="C171" s="2096" t="s">
        <v>587</v>
      </c>
      <c r="D171" s="2096"/>
      <c r="E171" s="2098">
        <f>IF(OR(M166=0,M168=""),0,IF(M168=E220,E221,MAX(G180:K180)/10))</f>
        <v>0</v>
      </c>
      <c r="F171" s="2"/>
      <c r="G171" s="598">
        <f>IF(AND(G$180&lt;&gt;0,G$180&gt;0),IF(($E$171*8)&gt;=G$180,0,1),IF(AND(G$180&lt;&gt;0,G$180&lt;0),IF(($E$171*8)&lt;=G$180,0,1),0))</f>
        <v>0</v>
      </c>
      <c r="H171" s="598">
        <f>IF(AND(H$180&lt;&gt;0,H$180&gt;0),IF(($E$171*8)&gt;=H$180,0,1),IF(AND(H$180&lt;&gt;0,H$180&lt;0),IF(($E$171*8)&lt;=H$180,0,1),0))</f>
        <v>0</v>
      </c>
      <c r="I171" s="2061">
        <f>IF(AND(I$180&lt;&gt;0,I$180&gt;0),IF(($E$171*8)&gt;=I$180,0,1),IF(AND(I$180&lt;&gt;0,I$180&lt;0),IF(($E$171*8)&lt;=I$180,0,1),0))</f>
        <v>0</v>
      </c>
      <c r="J171" s="2062"/>
      <c r="K171" s="598">
        <f>IF(AND(K$180&lt;&gt;0,K$180&gt;0),IF(($E$171*8)&gt;=K$180,0,1),IF(AND(K$180&lt;&gt;0,K$180&lt;0),IF(($E$171*8)&lt;=K$180,0,1),0))</f>
        <v>0</v>
      </c>
      <c r="L171" s="2"/>
      <c r="M171" s="2"/>
      <c r="N171" s="2"/>
      <c r="O171" s="2"/>
      <c r="P171" s="2"/>
      <c r="Q171" s="2"/>
      <c r="R171" s="591"/>
      <c r="S171" s="591"/>
      <c r="T171" s="591"/>
      <c r="U171" s="591"/>
      <c r="V171" s="591"/>
      <c r="W171" s="591"/>
      <c r="X171" s="591"/>
      <c r="AA171" s="591"/>
      <c r="AB171" s="591"/>
      <c r="AC171" s="591"/>
      <c r="AG171" s="591"/>
      <c r="AS171" s="591"/>
    </row>
    <row r="172" spans="1:51" ht="7.5" customHeight="1" x14ac:dyDescent="0.2">
      <c r="A172" s="2"/>
      <c r="B172" s="2"/>
      <c r="C172" s="2097"/>
      <c r="D172" s="2097"/>
      <c r="E172" s="2098"/>
      <c r="F172" s="2"/>
      <c r="G172" s="598">
        <f>IF(AND(G$180&lt;&gt;0,G$180&gt;0),IF(($E$171*7)&gt;=G$180,0,1),IF(AND(G$180&lt;&gt;0,G$180&lt;0),IF(($E$171*7)&lt;=G$180,0,1),0))</f>
        <v>0</v>
      </c>
      <c r="H172" s="598">
        <f>IF(AND(H$180&lt;&gt;0,H$180&gt;0),IF(($E$171*7)&gt;=H$180,0,1),IF(AND(H$180&lt;&gt;0,H$180&lt;0),IF(($E$171*7)&lt;=H$180,0,1),0))</f>
        <v>0</v>
      </c>
      <c r="I172" s="2061">
        <f>IF(AND(I$180&lt;&gt;0,I$180&gt;0),IF(($E$171*7)&gt;=I$180,0,1),IF(AND(I$180&lt;&gt;0,I$180&lt;0),IF(($E$171*7)&lt;=I$180,0,1),0))</f>
        <v>0</v>
      </c>
      <c r="J172" s="2062"/>
      <c r="K172" s="598">
        <f>IF(AND(K$180&lt;&gt;0,K$180&gt;0),IF(($E$171*7)&gt;=K$180,0,1),IF(AND(K$180&lt;&gt;0,K$180&lt;0),IF(($E$171*7)&lt;=K$180,0,1),0))</f>
        <v>0</v>
      </c>
      <c r="L172" s="2"/>
      <c r="M172" s="2"/>
      <c r="N172" s="2"/>
      <c r="O172" s="2"/>
      <c r="P172" s="2"/>
      <c r="Q172" s="2"/>
      <c r="R172" s="591"/>
      <c r="S172" s="591"/>
      <c r="T172" s="591"/>
      <c r="U172" s="591"/>
      <c r="V172" s="591"/>
      <c r="W172" s="591"/>
      <c r="X172" s="591"/>
      <c r="AA172" s="591"/>
      <c r="AB172" s="591"/>
      <c r="AC172" s="591"/>
      <c r="AG172" s="591"/>
      <c r="AS172" s="591"/>
    </row>
    <row r="173" spans="1:51" ht="7.5" customHeight="1" x14ac:dyDescent="0.2">
      <c r="A173" s="2"/>
      <c r="B173" s="2"/>
      <c r="C173" s="2"/>
      <c r="D173" s="2"/>
      <c r="E173" s="2"/>
      <c r="F173" s="2"/>
      <c r="G173" s="598">
        <f>IF(AND(G$180&lt;&gt;0,G$180&gt;0),IF(($E$171*6)&gt;=G$180,0,1),IF(AND(G$180&lt;&gt;0,G$180&lt;0),IF(($E$171*6)&lt;=G$180,0,1),0))</f>
        <v>0</v>
      </c>
      <c r="H173" s="598">
        <f>IF(AND(H$180&lt;&gt;0,H$180&gt;0),IF(($E$171*6)&gt;=H$180,0,1),IF(AND(H$180&lt;&gt;0,H$180&lt;0),IF(($E$171*6)&lt;=H$180,0,1),0))</f>
        <v>0</v>
      </c>
      <c r="I173" s="2061">
        <f>IF(AND(I$180&lt;&gt;0,I$180&gt;0),IF(($E$171*6)&gt;=I$180,0,1),IF(AND(I$180&lt;&gt;0,I$180&lt;0),IF(($E$171*6)&lt;=I$180,0,1),0))</f>
        <v>0</v>
      </c>
      <c r="J173" s="2062"/>
      <c r="K173" s="598">
        <f>IF(AND(K$180&lt;&gt;0,K$180&gt;0),IF(($E$171*6)&gt;=K$180,0,1),IF(AND(K$180&lt;&gt;0,K$180&lt;0),IF(($E$171*6)&lt;=K$180,0,1),0))</f>
        <v>0</v>
      </c>
      <c r="L173" s="2"/>
      <c r="M173" s="2"/>
      <c r="N173" s="2"/>
      <c r="O173" s="2"/>
      <c r="P173" s="2"/>
      <c r="Q173" s="2"/>
      <c r="R173" s="591"/>
      <c r="S173" s="591"/>
      <c r="T173" s="591"/>
      <c r="U173" s="591"/>
      <c r="V173" s="591"/>
      <c r="W173" s="591"/>
      <c r="X173" s="591"/>
      <c r="AA173" s="591"/>
      <c r="AB173" s="591"/>
      <c r="AC173" s="591"/>
      <c r="AG173" s="591"/>
      <c r="AS173" s="591"/>
    </row>
    <row r="174" spans="1:51" ht="7.5" customHeight="1" x14ac:dyDescent="0.2">
      <c r="A174" s="2"/>
      <c r="B174" s="2"/>
      <c r="C174" s="2"/>
      <c r="D174" s="2"/>
      <c r="E174" s="2"/>
      <c r="F174" s="2"/>
      <c r="G174" s="598">
        <f>IF(AND(G$180&lt;&gt;0,G$180&gt;0),IF(($E$171*5)&gt;=G$180,0,1),IF(AND(G$180&lt;&gt;0,G$180&lt;0),IF(($E$171*5)&lt;=G$180,0,1),0))</f>
        <v>0</v>
      </c>
      <c r="H174" s="598">
        <f>IF(AND(H$180&lt;&gt;0,H$180&gt;0),IF(($E$171*5)&gt;=H$180,0,1),IF(AND(H$180&lt;&gt;0,H$180&lt;0),IF(($E$171*5)&lt;=H$180,0,1),0))</f>
        <v>0</v>
      </c>
      <c r="I174" s="2061">
        <f>IF(AND(I$180&lt;&gt;0,I$180&gt;0),IF(($E$171*5)&gt;=I$180,0,1),IF(AND(I$180&lt;&gt;0,I$180&lt;0),IF(($E$171*5)&lt;=I$180,0,1),0))</f>
        <v>0</v>
      </c>
      <c r="J174" s="2062"/>
      <c r="K174" s="598">
        <f>IF(AND(K$180&lt;&gt;0,K$180&gt;0),IF(($E$171*5)&gt;=K$180,0,1),IF(AND(K$180&lt;&gt;0,K$180&lt;0),IF(($E$171*5)&lt;=K$180,0,1),0))</f>
        <v>0</v>
      </c>
      <c r="L174" s="2"/>
      <c r="M174" s="2"/>
      <c r="N174" s="2"/>
      <c r="O174" s="2"/>
      <c r="P174" s="2"/>
      <c r="Q174" s="2"/>
      <c r="R174" s="591"/>
      <c r="S174" s="591"/>
      <c r="T174" s="591"/>
      <c r="U174" s="591"/>
      <c r="V174" s="591"/>
      <c r="W174" s="591"/>
      <c r="X174" s="591"/>
      <c r="AA174" s="591"/>
      <c r="AB174" s="591"/>
      <c r="AC174" s="591"/>
      <c r="AG174" s="591"/>
      <c r="AS174" s="591"/>
    </row>
    <row r="175" spans="1:51" ht="7.5" customHeight="1" x14ac:dyDescent="0.2">
      <c r="A175" s="2"/>
      <c r="B175" s="2"/>
      <c r="C175" s="2"/>
      <c r="D175" s="2"/>
      <c r="E175" s="2"/>
      <c r="F175" s="2"/>
      <c r="G175" s="598">
        <f>IF(AND(G$180&lt;&gt;0,G$180&gt;0),IF(($E$171*4)&gt;=G$180,0,1),IF(AND(G$180&lt;&gt;0,G$180&lt;0),IF(($E$171*4)&lt;=G$180,0,1),0))</f>
        <v>0</v>
      </c>
      <c r="H175" s="598">
        <f>IF(AND(H$180&lt;&gt;0,H$180&gt;0),IF(($E$171*4)&gt;=H$180,0,1),IF(AND(H$180&lt;&gt;0,H$180&lt;0),IF(($E$171*4)&lt;=H$180,0,1),0))</f>
        <v>0</v>
      </c>
      <c r="I175" s="2061">
        <f>IF(AND(I$180&lt;&gt;0,I$180&gt;0),IF(($E$171*4)&gt;=I$180,0,1),IF(AND(I$180&lt;&gt;0,I$180&lt;0),IF(($E$171*4)&lt;=I$180,0,1),0))</f>
        <v>0</v>
      </c>
      <c r="J175" s="2062"/>
      <c r="K175" s="598">
        <f>IF(AND(K$180&lt;&gt;0,K$180&gt;0),IF(($E$171*4)&gt;=K$180,0,1),IF(AND(K$180&lt;&gt;0,K$180&lt;0),IF(($E$171*4)&lt;=K$180,0,1),0))</f>
        <v>0</v>
      </c>
      <c r="L175" s="2"/>
      <c r="M175" s="2"/>
      <c r="N175" s="2"/>
      <c r="O175" s="2"/>
      <c r="P175" s="2"/>
      <c r="Q175" s="2"/>
      <c r="R175" s="591"/>
      <c r="S175" s="591"/>
      <c r="T175" s="591"/>
      <c r="U175" s="591"/>
      <c r="V175" s="591"/>
      <c r="W175" s="591"/>
      <c r="X175" s="591"/>
      <c r="AA175" s="591"/>
      <c r="AB175" s="591"/>
      <c r="AC175" s="591"/>
      <c r="AG175" s="591"/>
      <c r="AS175" s="591"/>
    </row>
    <row r="176" spans="1:51" ht="7.5" customHeight="1" x14ac:dyDescent="0.2">
      <c r="A176" s="2"/>
      <c r="B176" s="2"/>
      <c r="C176" s="2"/>
      <c r="D176" s="2"/>
      <c r="E176" s="2"/>
      <c r="F176" s="2"/>
      <c r="G176" s="598">
        <f>IF(AND(G$180&lt;&gt;0,G$180&gt;0),IF(($E$171*3)&gt;=G$180,0,1),IF(AND(G$180&lt;&gt;0,G$180&lt;0),IF(($E$171*3)&lt;=G$180,0,1),0))</f>
        <v>0</v>
      </c>
      <c r="H176" s="598">
        <f>IF(AND(H$180&lt;&gt;0,H$180&gt;0),IF(($E$171*3)&gt;=H$180,0,1),IF(AND(H$180&lt;&gt;0,H$180&lt;0),IF(($E$171*3)&lt;=H$180,0,1),0))</f>
        <v>0</v>
      </c>
      <c r="I176" s="2061">
        <f>IF(AND(I$180&lt;&gt;0,I$180&gt;0),IF(($E$171*3)&gt;=I$180,0,1),IF(AND(I$180&lt;&gt;0,I$180&lt;0),IF(($E$171*3)&lt;=I$180,0,1),0))</f>
        <v>0</v>
      </c>
      <c r="J176" s="2062"/>
      <c r="K176" s="598">
        <f>IF(AND(K$180&lt;&gt;0,K$180&gt;0),IF(($E$171*3)&gt;=K$180,0,1),IF(AND(K$180&lt;&gt;0,K$180&lt;0),IF(($E$171*3)&lt;=K$180,0,1),0))</f>
        <v>0</v>
      </c>
      <c r="L176" s="2"/>
      <c r="M176" s="2"/>
      <c r="N176" s="2"/>
      <c r="O176" s="2"/>
      <c r="P176" s="2"/>
      <c r="Q176" s="2"/>
      <c r="R176" s="591"/>
      <c r="S176" s="591"/>
      <c r="T176" s="591"/>
      <c r="U176" s="591"/>
      <c r="V176" s="591"/>
      <c r="W176" s="591"/>
      <c r="X176" s="591"/>
      <c r="AA176" s="591"/>
      <c r="AB176" s="591"/>
      <c r="AC176" s="591"/>
      <c r="AG176" s="591"/>
      <c r="AS176" s="591"/>
    </row>
    <row r="177" spans="1:45" ht="7.5" customHeight="1" x14ac:dyDescent="0.2">
      <c r="A177" s="2"/>
      <c r="B177" s="2"/>
      <c r="C177" s="2"/>
      <c r="D177" s="2"/>
      <c r="E177" s="2"/>
      <c r="F177" s="2"/>
      <c r="G177" s="598">
        <f>IF(AND(G$180&lt;&gt;0,G$180&gt;0),IF(($E$171*2)&gt;=G$180,0,1),IF(AND(G$180&lt;&gt;0,G$180&lt;0),IF(($E$171*2)&lt;=G$180,0,1),0))</f>
        <v>0</v>
      </c>
      <c r="H177" s="598">
        <f>IF(AND(H$180&lt;&gt;0,H$180&gt;0),IF(($E$171*2)&gt;=H$180,0,1),IF(AND(H$180&lt;&gt;0,H$180&lt;0),IF(($E$171*2)&lt;=H$180,0,1),0))</f>
        <v>0</v>
      </c>
      <c r="I177" s="2061">
        <f>IF(AND(I$180&lt;&gt;0,I$180&gt;0),IF(($E$171*2)&gt;=I$180,0,1),IF(AND(I$180&lt;&gt;0,I$180&lt;0),IF(($E$171*2)&lt;=I$180,0,1),0))</f>
        <v>0</v>
      </c>
      <c r="J177" s="2062"/>
      <c r="K177" s="598">
        <f>IF(AND(K$180&lt;&gt;0,K$180&gt;0),IF(($E$171*2)&gt;=K$180,0,1),IF(AND(K$180&lt;&gt;0,K$180&lt;0),IF(($E$171*2)&lt;=K$180,0,1),0))</f>
        <v>0</v>
      </c>
      <c r="L177" s="2"/>
      <c r="M177" s="2"/>
      <c r="N177" s="2"/>
      <c r="O177" s="2"/>
      <c r="P177" s="2"/>
      <c r="Q177" s="2"/>
      <c r="R177" s="591"/>
      <c r="S177" s="591"/>
      <c r="T177" s="591"/>
      <c r="U177" s="591"/>
      <c r="V177" s="591"/>
      <c r="W177" s="591"/>
      <c r="X177" s="591"/>
      <c r="AA177" s="591"/>
      <c r="AB177" s="591"/>
      <c r="AC177" s="591"/>
      <c r="AG177" s="591"/>
      <c r="AS177" s="591"/>
    </row>
    <row r="178" spans="1:45" ht="7.5" customHeight="1" x14ac:dyDescent="0.2">
      <c r="A178" s="2"/>
      <c r="B178" s="2"/>
      <c r="C178" s="2"/>
      <c r="D178" s="2"/>
      <c r="E178" s="2"/>
      <c r="F178" s="2"/>
      <c r="G178" s="598">
        <f>IF(AND(G$180&lt;&gt;0,G$180&gt;0),IF(($E$171*1)&gt;=G$180,0,1),IF(AND(G$180&lt;&gt;0,G$180&lt;0),IF(($E$171*1)&lt;=G$180,0,1),0))</f>
        <v>0</v>
      </c>
      <c r="H178" s="598">
        <f>IF(AND(H$180&lt;&gt;0,H$180&gt;0),IF(($E$171*1)&gt;=H$180,0,1),IF(AND(H$180&lt;&gt;0,H$180&lt;0),IF(($E$171*1)&lt;=H$180,0,1),0))</f>
        <v>0</v>
      </c>
      <c r="I178" s="2061">
        <f>IF(AND(I$180&lt;&gt;0,I$180&gt;0),IF(($E$171*1)&gt;=I$180,0,1),IF(AND(I$180&lt;&gt;0,I$180&lt;0),IF(($E$171*1)&lt;=I$180,0,1),0))</f>
        <v>0</v>
      </c>
      <c r="J178" s="2062"/>
      <c r="K178" s="598">
        <f>IF(AND(K$180&lt;&gt;0,K$180&gt;0),IF(($E$171*1)&gt;=K$180,0,1),IF(AND(K$180&lt;&gt;0,K$180&lt;0),IF(($E$171*1)&lt;=K$180,0,1),0))</f>
        <v>0</v>
      </c>
      <c r="L178" s="2"/>
      <c r="M178" s="2"/>
      <c r="N178" s="2"/>
      <c r="O178" s="2"/>
      <c r="P178" s="2"/>
      <c r="Q178" s="2"/>
      <c r="R178" s="591"/>
      <c r="S178" s="591"/>
      <c r="T178" s="591"/>
      <c r="U178" s="591"/>
      <c r="V178" s="591"/>
      <c r="W178" s="591"/>
      <c r="X178" s="591"/>
      <c r="AA178" s="591"/>
      <c r="AB178" s="591"/>
      <c r="AC178" s="591"/>
      <c r="AG178" s="591"/>
      <c r="AS178" s="591"/>
    </row>
    <row r="179" spans="1:45" ht="7.5" customHeight="1" x14ac:dyDescent="0.2">
      <c r="A179" s="2"/>
      <c r="B179" s="2"/>
      <c r="C179" s="2"/>
      <c r="D179" s="2"/>
      <c r="E179" s="2"/>
      <c r="F179" s="2"/>
      <c r="G179" s="599">
        <f>IF(G180&lt;&gt;0,1,0)</f>
        <v>0</v>
      </c>
      <c r="H179" s="599">
        <f>IF(H180&lt;&gt;0,1,0)</f>
        <v>0</v>
      </c>
      <c r="I179" s="2199">
        <f>IF(I180&lt;&gt;0,1,0)</f>
        <v>0</v>
      </c>
      <c r="J179" s="2200"/>
      <c r="K179" s="599">
        <f>IF(K180&lt;&gt;0,1,0)</f>
        <v>0</v>
      </c>
      <c r="L179" s="2"/>
      <c r="M179" s="2"/>
      <c r="N179" s="2"/>
      <c r="O179" s="2"/>
      <c r="P179" s="2"/>
      <c r="Q179" s="2"/>
      <c r="R179" s="591"/>
      <c r="S179" s="591"/>
      <c r="T179" s="591"/>
      <c r="U179" s="591"/>
      <c r="V179" s="591"/>
      <c r="W179" s="591"/>
      <c r="X179" s="591"/>
      <c r="AA179" s="591"/>
      <c r="AB179" s="591"/>
      <c r="AC179" s="591"/>
      <c r="AG179" s="591"/>
      <c r="AS179" s="591"/>
    </row>
    <row r="180" spans="1:45" ht="21.95" customHeight="1" x14ac:dyDescent="0.2">
      <c r="A180" s="2"/>
      <c r="B180" s="7"/>
      <c r="C180" s="2092" t="s">
        <v>582</v>
      </c>
      <c r="D180" s="2092"/>
      <c r="E180" s="2093">
        <f>SUM(G180:K180)</f>
        <v>0</v>
      </c>
      <c r="F180" s="2093"/>
      <c r="G180" s="623">
        <f>VLOOKUP($M166,$C46:G48,G166+4,FALSE)</f>
        <v>0</v>
      </c>
      <c r="H180" s="623">
        <f>VLOOKUP($M166,$C46:H48,H166+4,FALSE)</f>
        <v>0</v>
      </c>
      <c r="I180" s="2196">
        <f>VLOOKUP($M166,$C46:K48,I166+4,FALSE)</f>
        <v>0</v>
      </c>
      <c r="J180" s="2196"/>
      <c r="K180" s="623">
        <f>VLOOKUP($M166,$C46:N48,K166+4,FALSE)</f>
        <v>0</v>
      </c>
      <c r="L180" s="2"/>
      <c r="M180" s="12"/>
      <c r="N180" s="2"/>
      <c r="O180" s="2"/>
      <c r="P180" s="2"/>
      <c r="Q180" s="2"/>
      <c r="R180" s="591"/>
      <c r="S180" s="591"/>
      <c r="T180" s="591"/>
      <c r="U180" s="591"/>
      <c r="V180" s="591"/>
      <c r="W180" s="591"/>
      <c r="X180" s="591"/>
      <c r="AA180" s="591"/>
      <c r="AB180" s="591"/>
      <c r="AC180" s="591"/>
      <c r="AG180" s="591"/>
      <c r="AS180" s="591"/>
    </row>
    <row r="181" spans="1:45" ht="11.25" customHeight="1" x14ac:dyDescent="0.2">
      <c r="A181" s="2"/>
      <c r="B181" s="2"/>
      <c r="C181" s="2"/>
      <c r="D181" s="2"/>
      <c r="E181" s="2"/>
      <c r="F181" s="2"/>
      <c r="G181" s="2"/>
      <c r="H181" s="2"/>
      <c r="I181" s="2201"/>
      <c r="J181" s="2201"/>
      <c r="K181" s="2"/>
      <c r="L181" s="2"/>
      <c r="M181" s="2"/>
      <c r="N181" s="2"/>
      <c r="O181" s="2"/>
      <c r="P181" s="2"/>
      <c r="Q181" s="2"/>
      <c r="R181" s="591"/>
      <c r="S181" s="591"/>
      <c r="T181" s="591"/>
      <c r="U181" s="591"/>
      <c r="V181" s="591"/>
      <c r="W181" s="591"/>
      <c r="X181" s="591"/>
      <c r="AA181" s="591"/>
      <c r="AB181" s="591"/>
      <c r="AC181" s="591"/>
      <c r="AG181" s="591"/>
      <c r="AS181" s="591"/>
    </row>
    <row r="182" spans="1:45" ht="19.5" customHeight="1" x14ac:dyDescent="0.2">
      <c r="A182" s="2"/>
      <c r="B182" s="2"/>
      <c r="C182" s="2095" t="str">
        <f>CONCATENATE("01/01 - ",RIGHT(C169,5))</f>
        <v>01/01 - 31/12</v>
      </c>
      <c r="D182" s="2095"/>
      <c r="E182" s="2095"/>
      <c r="F182" s="2095"/>
      <c r="G182" s="2"/>
      <c r="H182" s="2"/>
      <c r="I182" s="2202"/>
      <c r="J182" s="2202"/>
      <c r="K182" s="2"/>
      <c r="L182" s="2"/>
      <c r="M182" s="2"/>
      <c r="N182" s="2"/>
      <c r="O182" s="2"/>
      <c r="P182" s="2"/>
      <c r="Q182" s="2"/>
      <c r="R182" s="591"/>
      <c r="S182" s="591"/>
      <c r="T182" s="591"/>
      <c r="U182" s="591"/>
      <c r="V182" s="591"/>
      <c r="W182" s="591"/>
      <c r="X182" s="591"/>
      <c r="AA182" s="591"/>
      <c r="AB182" s="591"/>
      <c r="AC182" s="591"/>
      <c r="AG182" s="591"/>
      <c r="AS182" s="591"/>
    </row>
    <row r="183" spans="1:45" ht="7.5" customHeight="1" x14ac:dyDescent="0.2">
      <c r="A183" s="2"/>
      <c r="B183" s="2"/>
      <c r="C183" s="2089"/>
      <c r="D183" s="2090"/>
      <c r="E183" s="484"/>
      <c r="F183" s="2"/>
      <c r="G183" s="597">
        <f>IF(AND(G$193&lt;&gt;0,G$193&gt;0),IF(($E$184*9)&gt;=G$193,0,1),IF(AND(G$193&lt;&gt;0,G$193&lt;0),IF(($E$184*9)&lt;=G$193,0,1),0))</f>
        <v>0</v>
      </c>
      <c r="H183" s="597">
        <f>IF(AND(H$193&lt;&gt;0,H$193&gt;0),IF(($E$184*9)&gt;=H$193,0,1),IF(AND(H$193&lt;&gt;0,H$193&lt;0),IF(($E$184*9)&lt;=H$193,0,1),0))</f>
        <v>0</v>
      </c>
      <c r="I183" s="2104">
        <f>IF(AND(I$193&lt;&gt;0,I$193&gt;0),IF(($E$184*9)&gt;=I$193,0,1),IF(AND(I$193&lt;&gt;0,I$193&lt;0),IF(($E$184*9)&lt;=I$193,0,1),0))</f>
        <v>0</v>
      </c>
      <c r="J183" s="2105"/>
      <c r="K183" s="597">
        <f>IF(AND(K$193&lt;&gt;0,K$193&gt;0),IF(($E$184*9)&gt;=K$193,0,1),IF(AND(K$193&lt;&gt;0,K$193&lt;0),IF(($E$184*9)&lt;=K$193,0,1),0))</f>
        <v>0</v>
      </c>
      <c r="L183" s="2"/>
      <c r="M183" s="2"/>
      <c r="N183" s="2"/>
      <c r="O183" s="2"/>
      <c r="P183" s="2"/>
      <c r="Q183" s="2"/>
      <c r="R183" s="591"/>
      <c r="S183" s="591"/>
      <c r="T183" s="591"/>
      <c r="U183" s="591"/>
      <c r="V183" s="591"/>
      <c r="W183" s="591"/>
      <c r="X183" s="591"/>
      <c r="AA183" s="591"/>
      <c r="AB183" s="591"/>
      <c r="AC183" s="591"/>
      <c r="AG183" s="591"/>
      <c r="AS183" s="591"/>
    </row>
    <row r="184" spans="1:45" ht="7.5" customHeight="1" x14ac:dyDescent="0.2">
      <c r="A184" s="2"/>
      <c r="B184" s="2"/>
      <c r="C184" s="2096" t="s">
        <v>587</v>
      </c>
      <c r="D184" s="2096"/>
      <c r="E184" s="2098">
        <f>IF(OR(M166=0,M168=""),0,IF(M168=E220,E221,MAX(G193:K193)/10))</f>
        <v>0</v>
      </c>
      <c r="F184" s="2"/>
      <c r="G184" s="598">
        <f>IF(AND(G$193&lt;&gt;0,G$193&gt;0),IF(($E$184*8)&gt;=G$193,0,1),IF(AND(G$193&lt;&gt;0,G$193&lt;0),IF(($E$184*8)&lt;=G$193,0,1),0))</f>
        <v>0</v>
      </c>
      <c r="H184" s="598">
        <f>IF(AND(H$193&lt;&gt;0,H$193&gt;0),IF(($E$184*8)&gt;=H$193,0,1),IF(AND(H$193&lt;&gt;0,H$193&lt;0),IF(($E$184*8)&lt;=H$193,0,1),0))</f>
        <v>0</v>
      </c>
      <c r="I184" s="2061">
        <f>IF(AND(I$193&lt;&gt;0,I$193&gt;0),IF(($E$184*8)&gt;=I$193,0,1),IF(AND(I$193&lt;&gt;0,I$193&lt;0),IF(($E$184*8)&lt;=I$193,0,1),0))</f>
        <v>0</v>
      </c>
      <c r="J184" s="2062"/>
      <c r="K184" s="598">
        <f>IF(AND(K$193&lt;&gt;0,K$193&gt;0),IF(($E$184*8)&gt;=K$193,0,1),IF(AND(K$193&lt;&gt;0,K$193&lt;0),IF(($E$184*8)&lt;=K$193,0,1),0))</f>
        <v>0</v>
      </c>
      <c r="L184" s="2"/>
      <c r="M184" s="2"/>
      <c r="N184" s="2"/>
      <c r="O184" s="2"/>
      <c r="P184" s="2"/>
      <c r="Q184" s="2"/>
      <c r="R184" s="591"/>
      <c r="S184" s="591"/>
      <c r="T184" s="591"/>
      <c r="U184" s="591"/>
      <c r="V184" s="591"/>
      <c r="W184" s="591"/>
      <c r="X184" s="591"/>
      <c r="AA184" s="591"/>
      <c r="AB184" s="591"/>
      <c r="AC184" s="591"/>
      <c r="AG184" s="591"/>
      <c r="AS184" s="591"/>
    </row>
    <row r="185" spans="1:45" ht="7.5" customHeight="1" x14ac:dyDescent="0.2">
      <c r="A185" s="2"/>
      <c r="B185" s="2"/>
      <c r="C185" s="2097"/>
      <c r="D185" s="2097"/>
      <c r="E185" s="2098"/>
      <c r="F185" s="2"/>
      <c r="G185" s="598">
        <f>IF(AND(G$193&lt;&gt;0,G$193&gt;0),IF(($E$184*7)&gt;=G$193,0,1),IF(AND(G$193&lt;&gt;0,G$193&lt;0),IF(($E$184*7)&lt;=G$193,0,1),0))</f>
        <v>0</v>
      </c>
      <c r="H185" s="598">
        <f>IF(AND(H$193&lt;&gt;0,H$193&gt;0),IF(($E$184*7)&gt;=H$193,0,1),IF(AND(H$193&lt;&gt;0,H$193&lt;0),IF(($E$184*7)&lt;=H$193,0,1),0))</f>
        <v>0</v>
      </c>
      <c r="I185" s="2061">
        <f>IF(AND(I$193&lt;&gt;0,I$193&gt;0),IF(($E$184*7)&gt;=I$193,0,1),IF(AND(I$193&lt;&gt;0,I$193&lt;0),IF(($E$184*7)&lt;=I$193,0,1),0))</f>
        <v>0</v>
      </c>
      <c r="J185" s="2062"/>
      <c r="K185" s="598">
        <f>IF(AND(K$193&lt;&gt;0,K$193&gt;0),IF(($E$184*7)&gt;=K$193,0,1),IF(AND(K$193&lt;&gt;0,K$193&lt;0),IF(($E$184*7)&lt;=K$193,0,1),0))</f>
        <v>0</v>
      </c>
      <c r="L185" s="2"/>
      <c r="M185" s="2"/>
      <c r="N185" s="2"/>
      <c r="O185" s="2"/>
      <c r="P185" s="2"/>
      <c r="Q185" s="2"/>
      <c r="R185" s="591"/>
      <c r="S185" s="591"/>
      <c r="T185" s="591"/>
      <c r="U185" s="591"/>
      <c r="V185" s="591"/>
      <c r="W185" s="591"/>
      <c r="X185" s="591"/>
      <c r="AA185" s="591"/>
      <c r="AB185" s="591"/>
      <c r="AC185" s="591"/>
      <c r="AG185" s="591"/>
      <c r="AS185" s="591"/>
    </row>
    <row r="186" spans="1:45" ht="7.5" customHeight="1" x14ac:dyDescent="0.2">
      <c r="A186" s="2"/>
      <c r="B186" s="2"/>
      <c r="C186" s="2"/>
      <c r="D186" s="2"/>
      <c r="E186" s="2"/>
      <c r="F186" s="2"/>
      <c r="G186" s="598">
        <f>IF(AND(G$193&lt;&gt;0,G$193&gt;0),IF(($E$184*6)&gt;=G$193,0,1),IF(AND(G$193&lt;&gt;0,G$193&lt;0),IF(($E$184*6)&lt;=G$193,0,1),0))</f>
        <v>0</v>
      </c>
      <c r="H186" s="598">
        <f>IF(AND(H$193&lt;&gt;0,H$193&gt;0),IF(($E$184*6)&gt;=H$193,0,1),IF(AND(H$193&lt;&gt;0,H$193&lt;0),IF(($E$184*6)&lt;=H$193,0,1),0))</f>
        <v>0</v>
      </c>
      <c r="I186" s="2061">
        <f>IF(AND(I$193&lt;&gt;0,I$193&gt;0),IF(($E$184*6)&gt;=I$193,0,1),IF(AND(I$193&lt;&gt;0,I$193&lt;0),IF(($E$184*6)&lt;=I$193,0,1),0))</f>
        <v>0</v>
      </c>
      <c r="J186" s="2062"/>
      <c r="K186" s="598">
        <f>IF(AND(K$193&lt;&gt;0,K$193&gt;0),IF(($E$184*6)&gt;=K$193,0,1),IF(AND(K$193&lt;&gt;0,K$193&lt;0),IF(($E$184*6)&lt;=K$193,0,1),0))</f>
        <v>0</v>
      </c>
      <c r="L186" s="2"/>
      <c r="M186" s="2"/>
      <c r="N186" s="2"/>
      <c r="O186" s="2"/>
      <c r="P186" s="2"/>
      <c r="Q186" s="2"/>
      <c r="R186" s="591"/>
      <c r="S186" s="591"/>
      <c r="T186" s="591"/>
      <c r="U186" s="591"/>
      <c r="V186" s="591"/>
      <c r="W186" s="591"/>
      <c r="X186" s="591"/>
      <c r="AA186" s="591"/>
      <c r="AB186" s="591"/>
      <c r="AC186" s="591"/>
      <c r="AG186" s="591"/>
      <c r="AS186" s="591"/>
    </row>
    <row r="187" spans="1:45" ht="7.5" customHeight="1" x14ac:dyDescent="0.2">
      <c r="A187" s="2"/>
      <c r="B187" s="2"/>
      <c r="C187" s="2"/>
      <c r="D187" s="2"/>
      <c r="E187" s="2"/>
      <c r="F187" s="2"/>
      <c r="G187" s="598">
        <f>IF(AND(G$193&lt;&gt;0,G$193&gt;0),IF(($E$184*5)&gt;=G$193,0,1),IF(AND(G$193&lt;&gt;0,G$193&lt;0),IF(($E$184*5)&lt;=G$193,0,1),0))</f>
        <v>0</v>
      </c>
      <c r="H187" s="598">
        <f>IF(AND(H$193&lt;&gt;0,H$193&gt;0),IF(($E$184*5)&gt;=H$193,0,1),IF(AND(H$193&lt;&gt;0,H$193&lt;0),IF(($E$184*5)&lt;=H$193,0,1),0))</f>
        <v>0</v>
      </c>
      <c r="I187" s="2061">
        <f>IF(AND(I$193&lt;&gt;0,I$193&gt;0),IF(($E$184*5)&gt;=I$193,0,1),IF(AND(I$193&lt;&gt;0,I$193&lt;0),IF(($E$184*5)&lt;=I$193,0,1),0))</f>
        <v>0</v>
      </c>
      <c r="J187" s="2062"/>
      <c r="K187" s="598">
        <f>IF(AND(K$193&lt;&gt;0,K$193&gt;0),IF(($E$184*5)&gt;=K$193,0,1),IF(AND(K$193&lt;&gt;0,K$193&lt;0),IF(($E$184*5)&lt;=K$193,0,1),0))</f>
        <v>0</v>
      </c>
      <c r="L187" s="2"/>
      <c r="M187" s="2"/>
      <c r="N187" s="2"/>
      <c r="O187" s="2"/>
      <c r="P187" s="2"/>
      <c r="Q187" s="2"/>
      <c r="R187" s="591"/>
      <c r="S187" s="591"/>
      <c r="T187" s="591"/>
      <c r="U187" s="591"/>
      <c r="V187" s="591"/>
      <c r="W187" s="591"/>
      <c r="X187" s="591"/>
      <c r="AA187" s="591"/>
      <c r="AB187" s="591"/>
      <c r="AC187" s="591"/>
      <c r="AG187" s="591"/>
      <c r="AS187" s="591"/>
    </row>
    <row r="188" spans="1:45" ht="7.5" customHeight="1" x14ac:dyDescent="0.2">
      <c r="A188" s="2"/>
      <c r="B188" s="2"/>
      <c r="C188" s="2"/>
      <c r="D188" s="2"/>
      <c r="E188" s="2"/>
      <c r="F188" s="2"/>
      <c r="G188" s="598">
        <f>IF(AND(G$193&lt;&gt;0,G$193&gt;0),IF(($E$184*4)&gt;=G$193,0,1),IF(AND(G$193&lt;&gt;0,G$193&lt;0),IF(($E$184*4)&lt;=G$193,0,1),0))</f>
        <v>0</v>
      </c>
      <c r="H188" s="598">
        <f>IF(AND(H$193&lt;&gt;0,H$193&gt;0),IF(($E$184*4)&gt;=H$193,0,1),IF(AND(H$193&lt;&gt;0,H$193&lt;0),IF(($E$184*4)&lt;=H$193,0,1),0))</f>
        <v>0</v>
      </c>
      <c r="I188" s="2061">
        <f>IF(AND(I$193&lt;&gt;0,I$193&gt;0),IF(($E$184*4)&gt;=I$193,0,1),IF(AND(I$193&lt;&gt;0,I$193&lt;0),IF(($E$184*4)&lt;=I$193,0,1),0))</f>
        <v>0</v>
      </c>
      <c r="J188" s="2062"/>
      <c r="K188" s="598">
        <f>IF(AND(K$193&lt;&gt;0,K$193&gt;0),IF(($E$184*4)&gt;=K$193,0,1),IF(AND(K$193&lt;&gt;0,K$193&lt;0),IF(($E$184*4)&lt;=K$193,0,1),0))</f>
        <v>0</v>
      </c>
      <c r="L188" s="2"/>
      <c r="M188" s="2"/>
      <c r="N188" s="2"/>
      <c r="O188" s="2"/>
      <c r="P188" s="2"/>
      <c r="Q188" s="2"/>
      <c r="R188" s="591"/>
      <c r="S188" s="591"/>
      <c r="T188" s="591"/>
      <c r="U188" s="591"/>
      <c r="V188" s="591"/>
      <c r="W188" s="591"/>
      <c r="X188" s="591"/>
      <c r="AA188" s="591"/>
      <c r="AB188" s="591"/>
      <c r="AC188" s="591"/>
      <c r="AG188" s="591"/>
      <c r="AS188" s="591"/>
    </row>
    <row r="189" spans="1:45" ht="7.5" customHeight="1" x14ac:dyDescent="0.2">
      <c r="A189" s="2"/>
      <c r="B189" s="2"/>
      <c r="C189" s="2"/>
      <c r="D189" s="2"/>
      <c r="E189" s="2"/>
      <c r="F189" s="2"/>
      <c r="G189" s="598">
        <f>IF(AND(G$193&lt;&gt;0,G$193&gt;0),IF(($E$184*3)&gt;=G$193,0,1),IF(AND(G$193&lt;&gt;0,G$193&lt;0),IF(($E$184*3)&lt;=G$193,0,1),0))</f>
        <v>0</v>
      </c>
      <c r="H189" s="598">
        <f>IF(AND(H$193&lt;&gt;0,H$193&gt;0),IF(($E$184*3)&gt;=H$193,0,1),IF(AND(H$193&lt;&gt;0,H$193&lt;0),IF(($E$184*3)&lt;=H$193,0,1),0))</f>
        <v>0</v>
      </c>
      <c r="I189" s="2061">
        <f>IF(AND(I$193&lt;&gt;0,I$193&gt;0),IF(($E$184*3)&gt;=I$193,0,1),IF(AND(I$193&lt;&gt;0,I$193&lt;0),IF(($E$184*3)&lt;=I$193,0,1),0))</f>
        <v>0</v>
      </c>
      <c r="J189" s="2062"/>
      <c r="K189" s="598">
        <f>IF(AND(K$193&lt;&gt;0,K$193&gt;0),IF(($E$184*3)&gt;=K$193,0,1),IF(AND(K$193&lt;&gt;0,K$193&lt;0),IF(($E$184*3)&lt;=K$193,0,1),0))</f>
        <v>0</v>
      </c>
      <c r="L189" s="2"/>
      <c r="M189" s="2"/>
      <c r="N189" s="2"/>
      <c r="O189" s="2"/>
      <c r="P189" s="2"/>
      <c r="Q189" s="2"/>
      <c r="R189" s="591"/>
      <c r="S189" s="591"/>
      <c r="T189" s="591"/>
      <c r="U189" s="591"/>
      <c r="V189" s="591"/>
      <c r="W189" s="591"/>
      <c r="X189" s="591"/>
      <c r="AA189" s="591"/>
      <c r="AB189" s="591"/>
      <c r="AC189" s="591"/>
      <c r="AG189" s="591"/>
      <c r="AS189" s="591"/>
    </row>
    <row r="190" spans="1:45" ht="7.5" customHeight="1" x14ac:dyDescent="0.2">
      <c r="A190" s="2"/>
      <c r="B190" s="2"/>
      <c r="C190" s="2"/>
      <c r="D190" s="2"/>
      <c r="E190" s="2"/>
      <c r="F190" s="2"/>
      <c r="G190" s="598">
        <f>IF(AND(G$193&lt;&gt;0,G$193&gt;0),IF(($E$184*2)&gt;=G$193,0,1),IF(AND(G$193&lt;&gt;0,G$193&lt;0),IF(($E$184*2)&lt;=G$193,0,1),0))</f>
        <v>0</v>
      </c>
      <c r="H190" s="598">
        <f>IF(AND(H$193&lt;&gt;0,H$193&gt;0),IF(($E$184*2)&gt;=H$193,0,1),IF(AND(H$193&lt;&gt;0,H$193&lt;0),IF(($E$184*2)&lt;=H$193,0,1),0))</f>
        <v>0</v>
      </c>
      <c r="I190" s="2061">
        <f>IF(AND(I$193&lt;&gt;0,I$193&gt;0),IF(($E$184*2)&gt;=I$193,0,1),IF(AND(I$193&lt;&gt;0,I$193&lt;0),IF(($E$184*2)&lt;=I$193,0,1),0))</f>
        <v>0</v>
      </c>
      <c r="J190" s="2062"/>
      <c r="K190" s="598">
        <f>IF(AND(K$193&lt;&gt;0,K$193&gt;0),IF(($E$184*2)&gt;=K$193,0,1),IF(AND(K$193&lt;&gt;0,K$193&lt;0),IF(($E$184*2)&lt;=K$193,0,1),0))</f>
        <v>0</v>
      </c>
      <c r="L190" s="2"/>
      <c r="M190" s="2"/>
      <c r="N190" s="2"/>
      <c r="O190" s="2"/>
      <c r="P190" s="2"/>
      <c r="Q190" s="2"/>
      <c r="R190" s="591"/>
      <c r="S190" s="591"/>
      <c r="T190" s="591"/>
      <c r="U190" s="591"/>
      <c r="V190" s="591"/>
      <c r="W190" s="591"/>
      <c r="X190" s="591"/>
      <c r="AA190" s="591"/>
      <c r="AB190" s="591"/>
      <c r="AC190" s="591"/>
      <c r="AG190" s="591"/>
      <c r="AS190" s="591"/>
    </row>
    <row r="191" spans="1:45" ht="7.5" customHeight="1" x14ac:dyDescent="0.2">
      <c r="A191" s="2"/>
      <c r="B191" s="2"/>
      <c r="C191" s="2"/>
      <c r="D191" s="2"/>
      <c r="E191" s="2"/>
      <c r="F191" s="2"/>
      <c r="G191" s="598">
        <f>IF(AND(G$193&lt;&gt;0,G$193&gt;0),IF(($E$184*1)&gt;=G$193,0,1),IF(AND(G$193&lt;&gt;0,G$193&lt;0),IF(($E$184*1)&lt;=G$193,0,1),0))</f>
        <v>0</v>
      </c>
      <c r="H191" s="598">
        <f>IF(AND(H$193&lt;&gt;0,H$193&gt;0),IF(($E$184*1)&gt;=H$193,0,1),IF(AND(H$193&lt;&gt;0,H$193&lt;0),IF(($E$184*1)&lt;=H$193,0,1),0))</f>
        <v>0</v>
      </c>
      <c r="I191" s="2061">
        <f>IF(AND(I$193&lt;&gt;0,I$193&gt;0),IF(($E$184*1)&gt;=I$193,0,1),IF(AND(I$193&lt;&gt;0,I$193&lt;0),IF(($E$184*1)&lt;=I$193,0,1),0))</f>
        <v>0</v>
      </c>
      <c r="J191" s="2062"/>
      <c r="K191" s="598">
        <f>IF(AND(K$193&lt;&gt;0,K$193&gt;0),IF(($E$184*1)&gt;=K$193,0,1),IF(AND(K$193&lt;&gt;0,K$193&lt;0),IF(($E$184*1)&lt;=K$193,0,1),0))</f>
        <v>0</v>
      </c>
      <c r="L191" s="2"/>
      <c r="M191" s="2"/>
      <c r="N191" s="2"/>
      <c r="O191" s="2"/>
      <c r="P191" s="2"/>
      <c r="Q191" s="2"/>
      <c r="R191" s="591"/>
      <c r="S191" s="591"/>
      <c r="T191" s="591"/>
      <c r="U191" s="591"/>
      <c r="V191" s="591"/>
      <c r="W191" s="591"/>
      <c r="X191" s="591"/>
      <c r="AA191" s="591"/>
      <c r="AB191" s="591"/>
      <c r="AC191" s="591"/>
      <c r="AG191" s="591"/>
      <c r="AS191" s="591"/>
    </row>
    <row r="192" spans="1:45" ht="7.5" customHeight="1" x14ac:dyDescent="0.2">
      <c r="A192" s="2"/>
      <c r="B192" s="2"/>
      <c r="C192" s="2"/>
      <c r="D192" s="2"/>
      <c r="E192" s="2"/>
      <c r="F192" s="2"/>
      <c r="G192" s="599">
        <f>IF(G193&lt;&gt;0,1,0)</f>
        <v>0</v>
      </c>
      <c r="H192" s="599">
        <f>IF(H193&lt;&gt;0,1,0)</f>
        <v>0</v>
      </c>
      <c r="I192" s="2199">
        <f>IF(I193&lt;&gt;0,1,0)</f>
        <v>0</v>
      </c>
      <c r="J192" s="2200"/>
      <c r="K192" s="599">
        <f>IF(K193&lt;&gt;0,1,0)</f>
        <v>0</v>
      </c>
      <c r="L192" s="2"/>
      <c r="M192" s="2"/>
      <c r="N192" s="2"/>
      <c r="O192" s="2"/>
      <c r="P192" s="2"/>
      <c r="Q192" s="2"/>
      <c r="R192" s="591"/>
      <c r="S192" s="591"/>
      <c r="T192" s="591"/>
      <c r="U192" s="591"/>
      <c r="V192" s="591"/>
      <c r="W192" s="591"/>
      <c r="X192" s="591"/>
      <c r="AA192" s="591"/>
      <c r="AB192" s="591"/>
      <c r="AC192" s="591"/>
      <c r="AG192" s="591"/>
      <c r="AS192" s="591"/>
    </row>
    <row r="193" spans="1:45" ht="21.95" customHeight="1" x14ac:dyDescent="0.2">
      <c r="A193" s="2"/>
      <c r="B193" s="7"/>
      <c r="C193" s="2092" t="s">
        <v>582</v>
      </c>
      <c r="D193" s="2092"/>
      <c r="E193" s="2093">
        <f>SUM(G193:K193)</f>
        <v>0</v>
      </c>
      <c r="F193" s="2093"/>
      <c r="G193" s="623">
        <f>VLOOKUP($M166,$C215:G217,G214,FALSE)</f>
        <v>0</v>
      </c>
      <c r="H193" s="623">
        <f>VLOOKUP($M166,$C215:H217,H214,FALSE)</f>
        <v>0</v>
      </c>
      <c r="I193" s="2196">
        <f>VLOOKUP($M166,$C215:I217,I214,FALSE)</f>
        <v>0</v>
      </c>
      <c r="J193" s="2196"/>
      <c r="K193" s="623">
        <f>VLOOKUP($M166,$C215:J217,J214,FALSE)</f>
        <v>0</v>
      </c>
      <c r="L193" s="2"/>
      <c r="M193" s="12"/>
      <c r="N193" s="2"/>
      <c r="O193" s="2"/>
      <c r="P193" s="2"/>
      <c r="Q193" s="2"/>
      <c r="R193" s="591"/>
      <c r="S193" s="591"/>
      <c r="T193" s="591"/>
      <c r="U193" s="591"/>
      <c r="V193" s="591"/>
      <c r="W193" s="591"/>
      <c r="X193" s="591"/>
      <c r="AA193" s="591"/>
      <c r="AB193" s="591"/>
      <c r="AC193" s="591"/>
      <c r="AG193" s="591"/>
      <c r="AS193" s="591"/>
    </row>
    <row r="194" spans="1:45" ht="11.25" customHeight="1" x14ac:dyDescent="0.2">
      <c r="A194" s="2"/>
      <c r="B194" s="2"/>
      <c r="C194" s="2"/>
      <c r="D194" s="2"/>
      <c r="E194" s="2"/>
      <c r="F194" s="2"/>
      <c r="G194" s="2"/>
      <c r="H194" s="2"/>
      <c r="I194" s="2203"/>
      <c r="J194" s="2203"/>
      <c r="K194" s="2"/>
      <c r="L194" s="2"/>
      <c r="M194" s="2"/>
      <c r="N194" s="2"/>
      <c r="O194" s="2"/>
      <c r="P194" s="2"/>
      <c r="Q194" s="2"/>
      <c r="R194" s="591"/>
      <c r="S194" s="591"/>
      <c r="T194" s="591"/>
      <c r="U194" s="591"/>
      <c r="V194" s="591"/>
      <c r="W194" s="591"/>
      <c r="X194" s="591"/>
      <c r="AA194" s="591"/>
      <c r="AB194" s="591"/>
      <c r="AC194" s="591"/>
      <c r="AG194" s="591"/>
      <c r="AS194" s="591"/>
    </row>
    <row r="195" spans="1:45" ht="19.5" customHeight="1" x14ac:dyDescent="0.2">
      <c r="A195" s="2"/>
      <c r="B195" s="2"/>
      <c r="C195" s="2063" t="e">
        <f>VLOOKUP(I207,I220:K229,3,FALSE)</f>
        <v>#N/A</v>
      </c>
      <c r="D195" s="2063"/>
      <c r="E195" s="2063"/>
      <c r="F195" s="2063"/>
      <c r="G195" s="2063"/>
      <c r="H195" s="2063"/>
      <c r="I195" s="2202"/>
      <c r="J195" s="2202"/>
      <c r="K195" s="2"/>
      <c r="L195" s="2"/>
      <c r="M195" s="2"/>
      <c r="N195" s="2"/>
      <c r="O195" s="2"/>
      <c r="P195" s="2"/>
      <c r="Q195" s="2"/>
      <c r="R195" s="591"/>
      <c r="S195" s="591"/>
      <c r="T195" s="591"/>
      <c r="U195" s="591"/>
      <c r="V195" s="591"/>
      <c r="W195" s="591"/>
      <c r="X195" s="591"/>
      <c r="AA195" s="591"/>
      <c r="AB195" s="591"/>
      <c r="AC195" s="591"/>
      <c r="AG195" s="591"/>
      <c r="AS195" s="591"/>
    </row>
    <row r="196" spans="1:45" ht="7.5" customHeight="1" x14ac:dyDescent="0.2">
      <c r="A196" s="2"/>
      <c r="B196" s="2"/>
      <c r="C196" s="2064"/>
      <c r="D196" s="2065"/>
      <c r="E196" s="484"/>
      <c r="F196" s="2"/>
      <c r="G196" s="594" t="e">
        <f>IF(AND(G$206&lt;&gt;0,G$206&gt;0),IF(($E$197*9)&gt;=G$206,0,1),IF(AND(G$206&lt;&gt;0,G$206&lt;0),IF(($E$197*9)&lt;=G$206,0,1),0))</f>
        <v>#N/A</v>
      </c>
      <c r="H196" s="594" t="e">
        <f>IF(AND(H$206&lt;&gt;0,H$206&gt;0),IF(($E$197*9)&gt;=H$206,0,1),IF(AND(H$206&lt;&gt;0,H$206&lt;0),IF(($E$197*9)&lt;=H$206,0,1),0))</f>
        <v>#N/A</v>
      </c>
      <c r="I196" s="2197" t="e">
        <f>IF(AND(I$206&lt;&gt;0,I$206&gt;0),IF(($E$197*9)&gt;=I$206,0,1),IF(AND(I$206&lt;&gt;0,I$206&lt;0),IF(($E$197*9)&lt;=I$206,0,1),0))</f>
        <v>#N/A</v>
      </c>
      <c r="J196" s="2198"/>
      <c r="K196" s="594" t="e">
        <f>IF(AND(K$206&lt;&gt;0,K$206&gt;0),IF(($E$197*9)&gt;=K$206,0,1),IF(AND(K$206&lt;&gt;0,K$206&lt;0),IF(($E$197*9)&lt;=K$206,0,1),0))</f>
        <v>#N/A</v>
      </c>
      <c r="L196" s="2"/>
      <c r="M196" s="2"/>
      <c r="N196" s="2"/>
      <c r="O196" s="2"/>
      <c r="P196" s="2"/>
      <c r="Q196" s="2"/>
      <c r="R196" s="591"/>
      <c r="S196" s="591"/>
      <c r="T196" s="591"/>
      <c r="U196" s="591"/>
      <c r="V196" s="591"/>
      <c r="W196" s="591"/>
      <c r="X196" s="591"/>
      <c r="AA196" s="591"/>
      <c r="AB196" s="591"/>
      <c r="AC196" s="591"/>
      <c r="AG196" s="591"/>
      <c r="AS196" s="591"/>
    </row>
    <row r="197" spans="1:45" ht="7.5" customHeight="1" x14ac:dyDescent="0.2">
      <c r="A197" s="2"/>
      <c r="B197" s="2"/>
      <c r="C197" s="2096" t="s">
        <v>587</v>
      </c>
      <c r="D197" s="2096"/>
      <c r="E197" s="2098">
        <f>IF(OR(M166=0,M168=""),0,IF(M168=E220,E221,MAX(G206:K206)/10))</f>
        <v>0</v>
      </c>
      <c r="F197" s="2"/>
      <c r="G197" s="595" t="e">
        <f>IF(AND(G$206&lt;&gt;0,G$206&gt;0),IF(($E$197*8)&gt;=G$206,0,1),IF(AND(G$206&lt;&gt;0,G$206&lt;0),IF(($E$197*8)&lt;=G$206,0,1),0))</f>
        <v>#N/A</v>
      </c>
      <c r="H197" s="595" t="e">
        <f>IF(AND(H$206&lt;&gt;0,H$206&gt;0),IF(($E$197*8)&gt;=H$206,0,1),IF(AND(H$206&lt;&gt;0,H$206&lt;0),IF(($E$197*8)&lt;=H$206,0,1),0))</f>
        <v>#N/A</v>
      </c>
      <c r="I197" s="2049" t="e">
        <f>IF(AND(I$206&lt;&gt;0,I$206&gt;0),IF(($E$197*8)&gt;=I$206,0,1),IF(AND(I$206&lt;&gt;0,I$206&lt;0),IF(($E$197*8)&lt;=I$206,0,1),0))</f>
        <v>#N/A</v>
      </c>
      <c r="J197" s="2050"/>
      <c r="K197" s="595" t="e">
        <f>IF(AND(K$206&lt;&gt;0,K$206&gt;0),IF(($E$197*8)&gt;=K$206,0,1),IF(AND(K$206&lt;&gt;0,K$206&lt;0),IF(($E$197*8)&lt;=K$206,0,1),0))</f>
        <v>#N/A</v>
      </c>
      <c r="L197" s="2"/>
      <c r="M197" s="2"/>
      <c r="N197" s="2"/>
      <c r="O197" s="2"/>
      <c r="P197" s="2"/>
      <c r="Q197" s="2"/>
      <c r="R197" s="591"/>
      <c r="S197" s="591"/>
      <c r="T197" s="591"/>
      <c r="U197" s="591"/>
      <c r="V197" s="591"/>
      <c r="W197" s="591"/>
      <c r="X197" s="591"/>
      <c r="AA197" s="591"/>
      <c r="AB197" s="591"/>
      <c r="AC197" s="591"/>
      <c r="AG197" s="591"/>
      <c r="AS197" s="591"/>
    </row>
    <row r="198" spans="1:45" ht="7.5" customHeight="1" x14ac:dyDescent="0.2">
      <c r="A198" s="2"/>
      <c r="B198" s="2"/>
      <c r="C198" s="2097"/>
      <c r="D198" s="2097"/>
      <c r="E198" s="2098"/>
      <c r="F198" s="2"/>
      <c r="G198" s="595" t="e">
        <f>IF(AND(G$206&lt;&gt;0,G$206&gt;0),IF(($E$197*7)&gt;=G$206,0,1),IF(AND(G$206&lt;&gt;0,G$206&lt;0),IF(($E$197*7)&lt;=G$206,0,1),0))</f>
        <v>#N/A</v>
      </c>
      <c r="H198" s="595" t="e">
        <f>IF(AND(H$206&lt;&gt;0,H$206&gt;0),IF(($E$197*7)&gt;=H$206,0,1),IF(AND(H$206&lt;&gt;0,H$206&lt;0),IF(($E$197*7)&lt;=H$206,0,1),0))</f>
        <v>#N/A</v>
      </c>
      <c r="I198" s="2049" t="e">
        <f>IF(AND(I$206&lt;&gt;0,I$206&gt;0),IF(($E$197*7)&gt;=I$206,0,1),IF(AND(I$206&lt;&gt;0,I$206&lt;0),IF(($E$197*7)&lt;=I$206,0,1),0))</f>
        <v>#N/A</v>
      </c>
      <c r="J198" s="2050"/>
      <c r="K198" s="595" t="e">
        <f>IF(AND(K$206&lt;&gt;0,K$206&gt;0),IF(($E$197*7)&gt;=K$206,0,1),IF(AND(K$206&lt;&gt;0,K$206&lt;0),IF(($E$197*7)&lt;=K$206,0,1),0))</f>
        <v>#N/A</v>
      </c>
      <c r="L198" s="2"/>
      <c r="M198" s="2"/>
      <c r="N198" s="2"/>
      <c r="O198" s="2"/>
      <c r="P198" s="2"/>
      <c r="Q198" s="2"/>
      <c r="R198" s="591"/>
      <c r="S198" s="591"/>
      <c r="T198" s="591"/>
      <c r="U198" s="591"/>
      <c r="V198" s="591"/>
      <c r="W198" s="591"/>
      <c r="X198" s="591"/>
      <c r="AA198" s="591"/>
      <c r="AB198" s="591"/>
      <c r="AC198" s="591"/>
      <c r="AG198" s="591"/>
      <c r="AS198" s="591"/>
    </row>
    <row r="199" spans="1:45" ht="7.5" customHeight="1" x14ac:dyDescent="0.2">
      <c r="A199" s="2"/>
      <c r="B199" s="2"/>
      <c r="C199" s="2"/>
      <c r="D199" s="2"/>
      <c r="E199" s="2"/>
      <c r="F199" s="2"/>
      <c r="G199" s="595" t="e">
        <f>IF(AND(G$206&lt;&gt;0,G$206&gt;0),IF(($E$197*6)&gt;=G$206,0,1),IF(AND(G$206&lt;&gt;0,G$206&lt;0),IF(($E$197*6)&lt;=G$206,0,1),0))</f>
        <v>#N/A</v>
      </c>
      <c r="H199" s="595" t="e">
        <f>IF(AND(H$206&lt;&gt;0,H$206&gt;0),IF(($E$197*6)&gt;=H$206,0,1),IF(AND(H$206&lt;&gt;0,H$206&lt;0),IF(($E$197*6)&lt;=H$206,0,1),0))</f>
        <v>#N/A</v>
      </c>
      <c r="I199" s="2049" t="e">
        <f>IF(AND(I$206&lt;&gt;0,I$206&gt;0),IF(($E$197*6)&gt;=I$206,0,1),IF(AND(I$206&lt;&gt;0,I$206&lt;0),IF(($E$197*6)&lt;=I$206,0,1),0))</f>
        <v>#N/A</v>
      </c>
      <c r="J199" s="2050"/>
      <c r="K199" s="595" t="e">
        <f>IF(AND(K$206&lt;&gt;0,K$206&gt;0),IF(($E$197*6)&gt;=K$206,0,1),IF(AND(K$206&lt;&gt;0,K$206&lt;0),IF(($E$197*6)&lt;=K$206,0,1),0))</f>
        <v>#N/A</v>
      </c>
      <c r="L199" s="2"/>
      <c r="M199" s="2"/>
      <c r="N199" s="2"/>
      <c r="O199" s="2"/>
      <c r="P199" s="2"/>
      <c r="Q199" s="2"/>
      <c r="R199" s="591"/>
      <c r="S199" s="591"/>
      <c r="T199" s="591"/>
      <c r="U199" s="591"/>
      <c r="V199" s="591"/>
      <c r="W199" s="591"/>
      <c r="X199" s="591"/>
      <c r="AA199" s="591"/>
      <c r="AB199" s="591"/>
      <c r="AC199" s="591"/>
      <c r="AG199" s="591"/>
      <c r="AS199" s="591"/>
    </row>
    <row r="200" spans="1:45" ht="7.5" customHeight="1" x14ac:dyDescent="0.2">
      <c r="A200" s="2"/>
      <c r="B200" s="2"/>
      <c r="C200" s="2"/>
      <c r="D200" s="2"/>
      <c r="E200" s="2"/>
      <c r="F200" s="2"/>
      <c r="G200" s="595" t="e">
        <f>IF(AND(G$206&lt;&gt;0,G$206&gt;0),IF(($E$197*5)&gt;=G$206,0,1),IF(AND(G$206&lt;&gt;0,G$206&lt;0),IF(($E$197*5)&lt;=G$206,0,1),0))</f>
        <v>#N/A</v>
      </c>
      <c r="H200" s="595" t="e">
        <f>IF(AND(H$206&lt;&gt;0,H$206&gt;0),IF(($E$197*5)&gt;=H$206,0,1),IF(AND(H$206&lt;&gt;0,H$206&lt;0),IF(($E$197*5)&lt;=H$206,0,1),0))</f>
        <v>#N/A</v>
      </c>
      <c r="I200" s="2049" t="e">
        <f>IF(AND(I$206&lt;&gt;0,I$206&gt;0),IF(($E$197*5)&gt;=I$206,0,1),IF(AND(I$206&lt;&gt;0,I$206&lt;0),IF(($E$197*5)&lt;=I$206,0,1),0))</f>
        <v>#N/A</v>
      </c>
      <c r="J200" s="2050"/>
      <c r="K200" s="595" t="e">
        <f>IF(AND(K$206&lt;&gt;0,K$206&gt;0),IF(($E$197*5)&gt;=K$206,0,1),IF(AND(K$206&lt;&gt;0,K$206&lt;0),IF(($E$197*5)&lt;=K$206,0,1),0))</f>
        <v>#N/A</v>
      </c>
      <c r="L200" s="2"/>
      <c r="M200" s="2"/>
      <c r="N200" s="2"/>
      <c r="O200" s="2"/>
      <c r="P200" s="2"/>
      <c r="Q200" s="2"/>
      <c r="R200" s="591"/>
      <c r="S200" s="591"/>
      <c r="T200" s="591"/>
      <c r="U200" s="591"/>
      <c r="V200" s="591"/>
      <c r="W200" s="591"/>
      <c r="X200" s="591"/>
      <c r="AA200" s="591"/>
      <c r="AB200" s="591"/>
      <c r="AC200" s="591"/>
      <c r="AG200" s="591"/>
      <c r="AS200" s="591"/>
    </row>
    <row r="201" spans="1:45" ht="7.5" customHeight="1" x14ac:dyDescent="0.2">
      <c r="A201" s="2"/>
      <c r="B201" s="2"/>
      <c r="C201" s="2"/>
      <c r="D201" s="2"/>
      <c r="E201" s="2"/>
      <c r="F201" s="2"/>
      <c r="G201" s="595" t="e">
        <f>IF(AND(G$206&lt;&gt;0,G$206&gt;0),IF(($E$197*4)&gt;=G$206,0,1),IF(AND(G$206&lt;&gt;0,G$206&lt;0),IF(($E$197*4)&lt;=G$206,0,1),0))</f>
        <v>#N/A</v>
      </c>
      <c r="H201" s="595" t="e">
        <f>IF(AND(H$206&lt;&gt;0,H$206&gt;0),IF(($E$197*4)&gt;=H$206,0,1),IF(AND(H$206&lt;&gt;0,H$206&lt;0),IF(($E$197*4)&lt;=H$206,0,1),0))</f>
        <v>#N/A</v>
      </c>
      <c r="I201" s="2049" t="e">
        <f>IF(AND(I$206&lt;&gt;0,I$206&gt;0),IF(($E$197*4)&gt;=I$206,0,1),IF(AND(I$206&lt;&gt;0,I$206&lt;0),IF(($E$197*4)&lt;=I$206,0,1),0))</f>
        <v>#N/A</v>
      </c>
      <c r="J201" s="2050"/>
      <c r="K201" s="595" t="e">
        <f>IF(AND(K$206&lt;&gt;0,K$206&gt;0),IF(($E$197*4)&gt;=K$206,0,1),IF(AND(K$206&lt;&gt;0,K$206&lt;0),IF(($E$197*4)&lt;=K$206,0,1),0))</f>
        <v>#N/A</v>
      </c>
      <c r="L201" s="2"/>
      <c r="M201" s="2"/>
      <c r="N201" s="2"/>
      <c r="O201" s="2"/>
      <c r="P201" s="2"/>
      <c r="Q201" s="2"/>
      <c r="R201" s="591"/>
      <c r="S201" s="591"/>
      <c r="T201" s="591"/>
      <c r="U201" s="591"/>
      <c r="V201" s="591"/>
      <c r="W201" s="591"/>
      <c r="X201" s="591"/>
      <c r="AA201" s="591"/>
      <c r="AB201" s="591"/>
      <c r="AC201" s="591"/>
      <c r="AG201" s="591"/>
      <c r="AS201" s="591"/>
    </row>
    <row r="202" spans="1:45" ht="7.5" customHeight="1" x14ac:dyDescent="0.2">
      <c r="A202" s="2"/>
      <c r="B202" s="2"/>
      <c r="C202" s="2"/>
      <c r="D202" s="2"/>
      <c r="E202" s="2"/>
      <c r="F202" s="2"/>
      <c r="G202" s="595" t="e">
        <f>IF(AND(G$206&lt;&gt;0,G$206&gt;0),IF(($E$197*3)&gt;=G$206,0,1),IF(AND(G$206&lt;&gt;0,G$206&lt;0),IF(($E$197*3)&lt;=G$206,0,1),0))</f>
        <v>#N/A</v>
      </c>
      <c r="H202" s="595" t="e">
        <f>IF(AND(H$206&lt;&gt;0,H$206&gt;0),IF(($E$197*3)&gt;=H$206,0,1),IF(AND(H$206&lt;&gt;0,H$206&lt;0),IF(($E$197*3)&lt;=H$206,0,1),0))</f>
        <v>#N/A</v>
      </c>
      <c r="I202" s="2049" t="e">
        <f>IF(AND(I$206&lt;&gt;0,I$206&gt;0),IF(($E$197*3)&gt;=I$206,0,1),IF(AND(I$206&lt;&gt;0,I$206&lt;0),IF(($E$197*3)&lt;=I$206,0,1),0))</f>
        <v>#N/A</v>
      </c>
      <c r="J202" s="2050"/>
      <c r="K202" s="595" t="e">
        <f>IF(AND(K$206&lt;&gt;0,K$206&gt;0),IF(($E$197*3)&gt;=K$206,0,1),IF(AND(K$206&lt;&gt;0,K$206&lt;0),IF(($E$197*3)&lt;=K$206,0,1),0))</f>
        <v>#N/A</v>
      </c>
      <c r="L202" s="2"/>
      <c r="M202" s="2"/>
      <c r="N202" s="2"/>
      <c r="O202" s="2"/>
      <c r="P202" s="2"/>
      <c r="Q202" s="2"/>
      <c r="R202" s="591"/>
      <c r="S202" s="591"/>
      <c r="T202" s="591"/>
      <c r="U202" s="591"/>
      <c r="V202" s="591"/>
      <c r="W202" s="591"/>
      <c r="X202" s="591"/>
      <c r="AA202" s="591"/>
      <c r="AB202" s="591"/>
      <c r="AC202" s="591"/>
      <c r="AG202" s="591"/>
      <c r="AS202" s="591"/>
    </row>
    <row r="203" spans="1:45" ht="7.5" customHeight="1" x14ac:dyDescent="0.2">
      <c r="A203" s="2"/>
      <c r="B203" s="2"/>
      <c r="C203" s="2"/>
      <c r="D203" s="2"/>
      <c r="E203" s="2"/>
      <c r="F203" s="2"/>
      <c r="G203" s="595" t="e">
        <f>IF(AND(G$206&lt;&gt;0,G$206&gt;0),IF(($E$197*2)&gt;=G$206,0,1),IF(AND(G$206&lt;&gt;0,G$206&lt;0),IF(($E$197*2)&lt;=G$206,0,1),0))</f>
        <v>#N/A</v>
      </c>
      <c r="H203" s="595" t="e">
        <f>IF(AND(H$206&lt;&gt;0,H$206&gt;0),IF(($E$197*2)&gt;=H$206,0,1),IF(AND(H$206&lt;&gt;0,H$206&lt;0),IF(($E$197*2)&lt;=H$206,0,1),0))</f>
        <v>#N/A</v>
      </c>
      <c r="I203" s="2049" t="e">
        <f>IF(AND(I$206&lt;&gt;0,I$206&gt;0),IF(($E$197*2)&gt;=I$206,0,1),IF(AND(I$206&lt;&gt;0,I$206&lt;0),IF(($E$197*2)&lt;=I$206,0,1),0))</f>
        <v>#N/A</v>
      </c>
      <c r="J203" s="2050"/>
      <c r="K203" s="595" t="e">
        <f>IF(AND(K$206&lt;&gt;0,K$206&gt;0),IF(($E$197*2)&gt;=K$206,0,1),IF(AND(K$206&lt;&gt;0,K$206&lt;0),IF(($E$197*2)&lt;=K$206,0,1),0))</f>
        <v>#N/A</v>
      </c>
      <c r="L203" s="2"/>
      <c r="M203" s="2"/>
      <c r="N203" s="2"/>
      <c r="O203" s="2"/>
      <c r="P203" s="2"/>
      <c r="Q203" s="2"/>
      <c r="R203" s="591"/>
      <c r="S203" s="591"/>
      <c r="T203" s="591"/>
      <c r="U203" s="591"/>
      <c r="V203" s="591"/>
      <c r="W203" s="591"/>
      <c r="X203" s="591"/>
      <c r="AA203" s="591"/>
      <c r="AB203" s="591"/>
      <c r="AC203" s="591"/>
      <c r="AG203" s="591"/>
      <c r="AS203" s="591"/>
    </row>
    <row r="204" spans="1:45" ht="7.5" customHeight="1" x14ac:dyDescent="0.2">
      <c r="A204" s="2"/>
      <c r="B204" s="2"/>
      <c r="C204" s="2"/>
      <c r="D204" s="2"/>
      <c r="E204" s="2"/>
      <c r="F204" s="2"/>
      <c r="G204" s="595" t="e">
        <f>IF(AND(G$206&lt;&gt;0,G$206&gt;0),IF(($E$197*1)&gt;=G$206,0,1),IF(AND(G$206&lt;&gt;0,G$206&lt;0),IF(($E$197*1)&lt;=G$206,0,1),0))</f>
        <v>#N/A</v>
      </c>
      <c r="H204" s="595" t="e">
        <f>IF(AND(H$206&lt;&gt;0,H$206&gt;0),IF(($E$197*1)&gt;=H$206,0,1),IF(AND(H$206&lt;&gt;0,H$206&lt;0),IF(($E$197*1)&lt;=H$206,0,1),0))</f>
        <v>#N/A</v>
      </c>
      <c r="I204" s="2049" t="e">
        <f>IF(AND(I$206&lt;&gt;0,I$206&gt;0),IF(($E$197*1)&gt;=I$206,0,1),IF(AND(I$206&lt;&gt;0,I$206&lt;0),IF(($E$197*1)&lt;=I$206,0,1),0))</f>
        <v>#N/A</v>
      </c>
      <c r="J204" s="2050"/>
      <c r="K204" s="595" t="e">
        <f>IF(AND(K$206&lt;&gt;0,K$206&gt;0),IF(($E$197*1)&gt;=K$206,0,1),IF(AND(K$206&lt;&gt;0,K$206&lt;0),IF(($E$197*1)&lt;=K$206,0,1),0))</f>
        <v>#N/A</v>
      </c>
      <c r="L204" s="2"/>
      <c r="M204" s="2"/>
      <c r="N204" s="2"/>
      <c r="O204" s="2"/>
      <c r="P204" s="2"/>
      <c r="Q204" s="2"/>
      <c r="R204" s="591"/>
      <c r="S204" s="591"/>
      <c r="T204" s="591"/>
      <c r="U204" s="591"/>
      <c r="V204" s="591"/>
      <c r="W204" s="591"/>
      <c r="X204" s="591"/>
      <c r="AA204" s="591"/>
      <c r="AB204" s="591"/>
      <c r="AC204" s="591"/>
      <c r="AG204" s="591"/>
      <c r="AS204" s="591"/>
    </row>
    <row r="205" spans="1:45" ht="7.5" customHeight="1" x14ac:dyDescent="0.2">
      <c r="A205" s="2"/>
      <c r="B205" s="2"/>
      <c r="C205" s="2"/>
      <c r="D205" s="2"/>
      <c r="E205" s="2"/>
      <c r="F205" s="2"/>
      <c r="G205" s="596" t="e">
        <f>IF(G206&lt;&gt;0,1,0)</f>
        <v>#N/A</v>
      </c>
      <c r="H205" s="596" t="e">
        <f>IF(H206&lt;&gt;0,1,0)</f>
        <v>#N/A</v>
      </c>
      <c r="I205" s="2194" t="e">
        <f>IF(I206&lt;&gt;0,1,0)</f>
        <v>#N/A</v>
      </c>
      <c r="J205" s="2195"/>
      <c r="K205" s="596" t="e">
        <f>IF(K206&lt;&gt;0,1,0)</f>
        <v>#N/A</v>
      </c>
      <c r="L205" s="2"/>
      <c r="M205" s="2"/>
      <c r="N205" s="2"/>
      <c r="O205" s="2"/>
      <c r="P205" s="2"/>
      <c r="Q205" s="2"/>
      <c r="R205" s="591"/>
      <c r="S205" s="591"/>
      <c r="T205" s="591"/>
      <c r="U205" s="591"/>
      <c r="V205" s="591"/>
      <c r="W205" s="591"/>
      <c r="X205" s="591"/>
      <c r="AA205" s="591"/>
      <c r="AB205" s="591"/>
      <c r="AC205" s="591"/>
      <c r="AG205" s="591"/>
      <c r="AS205" s="591"/>
    </row>
    <row r="206" spans="1:45" ht="21.95" customHeight="1" x14ac:dyDescent="0.2">
      <c r="A206" s="2"/>
      <c r="B206" s="7"/>
      <c r="C206" s="2092" t="s">
        <v>582</v>
      </c>
      <c r="D206" s="2092"/>
      <c r="E206" s="2093" t="e">
        <f>SUM(G206:K206)</f>
        <v>#N/A</v>
      </c>
      <c r="F206" s="2093"/>
      <c r="G206" s="623" t="e">
        <f>HLOOKUP(G1,STORICO!$E$109:$Y$140,VLOOKUP(CONCATENATE($M166,$I207),STORICO!$AP$111:$AQ$140,2,FALSE),FALSE)</f>
        <v>#N/A</v>
      </c>
      <c r="H206" s="623" t="e">
        <f>HLOOKUP(H1,STORICO!$E$109:$Y$140,VLOOKUP(CONCATENATE($M166,$I207),STORICO!$AP$111:$AQ$140,2,FALSE),FALSE)</f>
        <v>#N/A</v>
      </c>
      <c r="I206" s="2196" t="e">
        <f>HLOOKUP(K1,STORICO!$E$109:$Y$140,VLOOKUP(CONCATENATE($M166,$I207),STORICO!$AP$111:$AQ$140,2,FALSE),FALSE)</f>
        <v>#N/A</v>
      </c>
      <c r="J206" s="2196"/>
      <c r="K206" s="623" t="e">
        <f>HLOOKUP(N1,STORICO!$E$109:$Y$140,VLOOKUP(CONCATENATE($M166,$I207),STORICO!$AP$111:$AQ$140,2,FALSE),FALSE)</f>
        <v>#N/A</v>
      </c>
      <c r="L206" s="2"/>
      <c r="M206" s="12"/>
      <c r="N206" s="2"/>
      <c r="O206" s="2"/>
      <c r="P206" s="2"/>
      <c r="Q206" s="2"/>
      <c r="R206" s="591"/>
      <c r="S206" s="591"/>
      <c r="T206" s="591"/>
      <c r="U206" s="591"/>
      <c r="V206" s="591"/>
      <c r="W206" s="591"/>
      <c r="X206" s="591"/>
      <c r="AA206" s="591"/>
      <c r="AB206" s="591"/>
      <c r="AC206" s="591"/>
      <c r="AG206" s="591"/>
      <c r="AS206" s="591"/>
    </row>
    <row r="207" spans="1:45" ht="18.75" customHeight="1" x14ac:dyDescent="0.2">
      <c r="A207" s="2"/>
      <c r="B207" s="2"/>
      <c r="C207" s="2059" t="s">
        <v>563</v>
      </c>
      <c r="D207" s="2059"/>
      <c r="E207" s="2059"/>
      <c r="F207" s="2059"/>
      <c r="G207" s="2059"/>
      <c r="H207" s="2060"/>
      <c r="I207" s="2191"/>
      <c r="J207" s="2192"/>
      <c r="K207" s="2193"/>
      <c r="L207" s="2"/>
      <c r="M207" s="2"/>
      <c r="N207" s="2"/>
      <c r="O207" s="2"/>
      <c r="P207" s="2"/>
      <c r="Q207" s="2"/>
      <c r="R207" s="591"/>
      <c r="S207" s="591"/>
      <c r="T207" s="591"/>
      <c r="U207" s="591"/>
      <c r="V207" s="591"/>
      <c r="W207" s="591"/>
      <c r="X207" s="591"/>
      <c r="AA207" s="591"/>
      <c r="AB207" s="591"/>
      <c r="AC207" s="591"/>
      <c r="AG207" s="591"/>
      <c r="AS207" s="591"/>
    </row>
    <row r="208" spans="1:45" ht="18.75" customHeight="1" x14ac:dyDescent="0.2">
      <c r="A208" s="2"/>
      <c r="B208" s="2"/>
      <c r="C208" s="14"/>
      <c r="D208" s="14"/>
      <c r="E208" s="14"/>
      <c r="F208" s="14"/>
      <c r="G208" s="14"/>
      <c r="H208" s="14"/>
      <c r="I208" s="14"/>
      <c r="J208" s="2"/>
      <c r="K208" s="2"/>
      <c r="L208" s="2"/>
      <c r="M208" s="2"/>
      <c r="N208" s="2"/>
      <c r="O208" s="2"/>
      <c r="P208" s="2"/>
      <c r="Q208" s="2"/>
      <c r="R208" s="591"/>
      <c r="S208" s="591"/>
      <c r="T208" s="591"/>
      <c r="U208" s="591"/>
      <c r="V208" s="591"/>
      <c r="W208" s="591"/>
      <c r="X208" s="591"/>
      <c r="AA208" s="591"/>
      <c r="AB208" s="591"/>
      <c r="AC208" s="591"/>
      <c r="AG208" s="591"/>
      <c r="AS208" s="591"/>
    </row>
    <row r="209" spans="1:45" ht="18.75" customHeight="1" x14ac:dyDescent="0.2">
      <c r="A209" s="2"/>
      <c r="B209" s="2"/>
      <c r="C209" s="2"/>
      <c r="D209" s="2"/>
      <c r="E209" s="2"/>
      <c r="F209" s="2"/>
      <c r="G209" s="2"/>
      <c r="H209" s="2"/>
      <c r="I209" s="2"/>
      <c r="J209" s="2"/>
      <c r="K209" s="638" t="str">
        <f ca="1">Presentazione!$H$13</f>
        <v/>
      </c>
      <c r="L209" s="2"/>
      <c r="M209" s="2"/>
      <c r="N209" s="2"/>
      <c r="O209" s="2"/>
      <c r="P209" s="2"/>
      <c r="Q209" s="2"/>
      <c r="R209" s="591"/>
      <c r="S209" s="591"/>
      <c r="T209" s="591"/>
      <c r="U209" s="591"/>
      <c r="V209" s="591"/>
      <c r="W209" s="591"/>
      <c r="X209" s="591"/>
      <c r="AA209" s="591"/>
      <c r="AB209" s="591"/>
      <c r="AC209" s="591"/>
      <c r="AG209" s="591"/>
      <c r="AS209" s="591"/>
    </row>
    <row r="210" spans="1:45" ht="18.75" customHeight="1" x14ac:dyDescent="0.2">
      <c r="A210" s="2"/>
      <c r="B210" s="2"/>
      <c r="C210" s="2"/>
      <c r="D210" s="2"/>
      <c r="E210" s="2"/>
      <c r="F210" s="2"/>
      <c r="G210" s="2"/>
      <c r="H210" s="2"/>
      <c r="I210" s="2"/>
      <c r="J210" s="2"/>
      <c r="K210" s="639" t="str">
        <f ca="1">IF(Presentazione!$J$165=Presentazione!$K$83,CONCATENATE(Presentazione!$F$77,"   -   ","P.I./C.F ",Presentazione!$K$79),Presentazione!$I$157)</f>
        <v>Sistema parzialmente attivato. Inserisci il tuo CODICE di PROPRIETA' nel foglio Presentazione.</v>
      </c>
      <c r="L210" s="2"/>
      <c r="M210" s="2"/>
      <c r="N210" s="2"/>
      <c r="O210" s="2"/>
      <c r="P210" s="2"/>
      <c r="Q210" s="2"/>
      <c r="R210" s="591"/>
      <c r="S210" s="591"/>
      <c r="T210" s="591"/>
      <c r="U210" s="591"/>
      <c r="V210" s="591"/>
      <c r="W210" s="591"/>
      <c r="X210" s="591"/>
      <c r="AA210" s="591"/>
      <c r="AB210" s="591"/>
      <c r="AC210" s="591"/>
      <c r="AG210" s="591"/>
      <c r="AS210" s="591"/>
    </row>
    <row r="211" spans="1:45" ht="18.75" customHeight="1" x14ac:dyDescent="0.2">
      <c r="A211" s="2"/>
      <c r="B211" s="2"/>
      <c r="C211" s="2"/>
      <c r="D211" s="2"/>
      <c r="E211" s="2"/>
      <c r="F211" s="2"/>
      <c r="G211" s="2"/>
      <c r="H211" s="2"/>
      <c r="I211" s="2"/>
      <c r="J211" s="2"/>
      <c r="K211" s="2"/>
      <c r="L211" s="2"/>
      <c r="M211" s="2"/>
      <c r="N211" s="2"/>
      <c r="O211" s="2"/>
      <c r="P211" s="2"/>
      <c r="Q211" s="2"/>
      <c r="R211" s="591"/>
      <c r="S211" s="591"/>
      <c r="T211" s="591"/>
      <c r="U211" s="591"/>
      <c r="V211" s="591"/>
      <c r="W211" s="591"/>
      <c r="X211" s="591"/>
      <c r="AA211" s="591"/>
      <c r="AB211" s="591"/>
      <c r="AC211" s="591"/>
      <c r="AG211" s="591"/>
      <c r="AS211" s="591"/>
    </row>
    <row r="212" spans="1:45" ht="18.75" customHeight="1" x14ac:dyDescent="0.2">
      <c r="A212" s="2"/>
      <c r="B212" s="2"/>
      <c r="C212" s="637" t="str">
        <f>CASSA!B108</f>
        <v>www.marcopiccoli.it   -   Registro dei Corrispettivi 5.2.4 3txt - per EXCEL .xlsm</v>
      </c>
      <c r="D212" s="2"/>
      <c r="E212" s="2"/>
      <c r="F212" s="2"/>
      <c r="G212" s="2"/>
      <c r="H212" s="2"/>
      <c r="I212" s="2"/>
      <c r="J212" s="2"/>
      <c r="K212" s="2"/>
      <c r="L212" s="2"/>
      <c r="M212" s="2"/>
      <c r="N212" s="2"/>
      <c r="O212" s="2"/>
      <c r="P212" s="2"/>
      <c r="Q212" s="2"/>
      <c r="R212" s="591"/>
      <c r="S212" s="591"/>
      <c r="T212" s="591"/>
      <c r="U212" s="591"/>
      <c r="V212" s="591"/>
      <c r="W212" s="591"/>
      <c r="X212" s="591"/>
      <c r="AA212" s="591"/>
      <c r="AB212" s="591"/>
      <c r="AC212" s="591"/>
      <c r="AG212" s="591"/>
      <c r="AS212" s="591"/>
    </row>
    <row r="213" spans="1:45" ht="18.75" customHeight="1" x14ac:dyDescent="0.2">
      <c r="A213" s="2"/>
      <c r="B213" s="2"/>
      <c r="C213" s="2"/>
      <c r="D213" s="2"/>
      <c r="E213" s="2"/>
      <c r="F213" s="2"/>
      <c r="G213" s="2"/>
      <c r="H213" s="2"/>
      <c r="I213" s="2"/>
      <c r="J213" s="2"/>
      <c r="K213" s="2"/>
      <c r="L213" s="2"/>
      <c r="M213" s="2"/>
      <c r="N213" s="2"/>
      <c r="O213" s="2"/>
      <c r="P213" s="2"/>
      <c r="Q213" s="2"/>
      <c r="R213" s="591"/>
      <c r="S213" s="591"/>
      <c r="T213" s="591"/>
      <c r="U213" s="591"/>
      <c r="V213" s="591"/>
      <c r="W213" s="591"/>
      <c r="X213" s="591"/>
      <c r="AA213" s="591"/>
      <c r="AB213" s="591"/>
      <c r="AC213" s="591"/>
      <c r="AG213" s="591"/>
      <c r="AS213" s="591"/>
    </row>
    <row r="214" spans="1:45" ht="18.75" hidden="1" customHeight="1" x14ac:dyDescent="0.2">
      <c r="A214" s="2"/>
      <c r="B214" s="2"/>
      <c r="C214" s="2"/>
      <c r="D214" s="600">
        <v>36</v>
      </c>
      <c r="E214" s="2"/>
      <c r="F214" s="2"/>
      <c r="G214" s="148">
        <v>5</v>
      </c>
      <c r="H214" s="148">
        <v>6</v>
      </c>
      <c r="I214" s="148">
        <v>7</v>
      </c>
      <c r="J214" s="148">
        <v>8</v>
      </c>
      <c r="K214" s="2"/>
      <c r="L214" s="2"/>
      <c r="M214" s="2"/>
      <c r="N214" s="2"/>
      <c r="O214" s="2"/>
      <c r="P214" s="2"/>
      <c r="Q214" s="2"/>
      <c r="R214" s="591"/>
      <c r="S214" s="591"/>
      <c r="T214" s="591"/>
      <c r="U214" s="591"/>
      <c r="V214" s="591"/>
      <c r="W214" s="591"/>
      <c r="X214" s="591"/>
      <c r="AA214" s="591"/>
      <c r="AB214" s="591"/>
      <c r="AC214" s="591"/>
      <c r="AG214" s="591"/>
      <c r="AS214" s="591"/>
    </row>
    <row r="215" spans="1:45" ht="21.95" hidden="1" customHeight="1" x14ac:dyDescent="0.2">
      <c r="A215" s="2"/>
      <c r="B215" s="7"/>
      <c r="C215" s="2187" t="str">
        <f>C46</f>
        <v>LORDO</v>
      </c>
      <c r="D215" s="2187"/>
      <c r="E215" s="2188">
        <f>SUM(G215:J215)</f>
        <v>0</v>
      </c>
      <c r="F215" s="2188"/>
      <c r="G215" s="602">
        <f>VLOOKUP(G$1,IMPOSTAZIONI!$B$298:$AM$304,$D$214,FALSE)</f>
        <v>0</v>
      </c>
      <c r="H215" s="602">
        <f>VLOOKUP(H$1,IMPOSTAZIONI!$B$298:$AM$304,$D$214,FALSE)</f>
        <v>0</v>
      </c>
      <c r="I215" s="602">
        <f>VLOOKUP(K$1,IMPOSTAZIONI!$B$298:$AM$304,$D$214,FALSE)</f>
        <v>0</v>
      </c>
      <c r="J215" s="602">
        <f>VLOOKUP(N$1,IMPOSTAZIONI!$B$298:$AM$304,$D$214,FALSE)</f>
        <v>0</v>
      </c>
      <c r="K215" s="14"/>
      <c r="L215" s="2"/>
      <c r="M215" s="12"/>
      <c r="N215" s="2"/>
      <c r="O215" s="2"/>
      <c r="P215" s="2"/>
      <c r="Q215" s="2"/>
      <c r="R215" s="591"/>
      <c r="S215" s="591"/>
      <c r="T215" s="591"/>
      <c r="U215" s="591"/>
      <c r="V215" s="591"/>
      <c r="W215" s="591"/>
      <c r="X215" s="591"/>
      <c r="AA215" s="591"/>
      <c r="AB215" s="591"/>
      <c r="AC215" s="591"/>
      <c r="AG215" s="591"/>
      <c r="AS215" s="591"/>
    </row>
    <row r="216" spans="1:45" hidden="1" x14ac:dyDescent="0.2">
      <c r="A216" s="2"/>
      <c r="B216" s="7"/>
      <c r="C216" s="2189" t="str">
        <f>C47</f>
        <v>NETTO</v>
      </c>
      <c r="D216" s="2189"/>
      <c r="E216" s="2190">
        <f>SUM(G216:J216)</f>
        <v>4000</v>
      </c>
      <c r="F216" s="2190"/>
      <c r="G216" s="601">
        <f>VLOOKUP(G$1,IMPOSTAZIONI!$B$391:$AM$397,$D$214,FALSE)</f>
        <v>1000</v>
      </c>
      <c r="H216" s="601">
        <f>VLOOKUP(H$1,IMPOSTAZIONI!$B$391:$AM$397,$D$214,FALSE)</f>
        <v>1000</v>
      </c>
      <c r="I216" s="601">
        <f>VLOOKUP(K$1,IMPOSTAZIONI!$B$391:$AM$397,$D$214,FALSE)</f>
        <v>1000</v>
      </c>
      <c r="J216" s="601">
        <f>VLOOKUP(N$1,IMPOSTAZIONI!$B$391:$AM$397,$D$214,FALSE)</f>
        <v>1000</v>
      </c>
      <c r="K216" s="14"/>
      <c r="L216" s="2"/>
      <c r="M216" s="12"/>
      <c r="N216" s="2"/>
      <c r="O216" s="2"/>
      <c r="P216" s="2"/>
      <c r="Q216" s="2"/>
      <c r="R216" s="591"/>
      <c r="S216" s="591"/>
      <c r="T216" s="591"/>
      <c r="U216" s="591"/>
      <c r="V216" s="591"/>
      <c r="W216" s="591"/>
      <c r="X216" s="591"/>
      <c r="AA216" s="591"/>
      <c r="AB216" s="591"/>
      <c r="AC216" s="591"/>
      <c r="AG216" s="591"/>
      <c r="AS216" s="591"/>
    </row>
    <row r="217" spans="1:45" ht="21.95" hidden="1" customHeight="1" x14ac:dyDescent="0.2">
      <c r="A217" s="2"/>
      <c r="B217" s="7"/>
      <c r="C217" s="2185" t="str">
        <f>C48</f>
        <v>IVA</v>
      </c>
      <c r="D217" s="2185"/>
      <c r="E217" s="2186">
        <f>SUM(G217:J217)</f>
        <v>-4000</v>
      </c>
      <c r="F217" s="2186"/>
      <c r="G217" s="603">
        <f>G215-G216</f>
        <v>-1000</v>
      </c>
      <c r="H217" s="603">
        <f>H215-H216</f>
        <v>-1000</v>
      </c>
      <c r="I217" s="603">
        <f>I215-I216</f>
        <v>-1000</v>
      </c>
      <c r="J217" s="603">
        <f>J215-J216</f>
        <v>-1000</v>
      </c>
      <c r="K217" s="14"/>
      <c r="L217" s="2"/>
      <c r="M217" s="12"/>
      <c r="N217" s="2"/>
      <c r="O217" s="2"/>
      <c r="P217" s="2"/>
      <c r="Q217" s="2"/>
      <c r="R217" s="591"/>
      <c r="S217" s="591"/>
      <c r="T217" s="591"/>
      <c r="U217" s="591"/>
      <c r="V217" s="591"/>
      <c r="W217" s="591"/>
      <c r="X217" s="591"/>
      <c r="AA217" s="591"/>
      <c r="AB217" s="591"/>
      <c r="AC217" s="591"/>
      <c r="AG217" s="591"/>
      <c r="AS217" s="591"/>
    </row>
    <row r="218" spans="1:45" ht="18.75" hidden="1" customHeight="1" x14ac:dyDescent="0.2">
      <c r="A218" s="2"/>
      <c r="B218" s="2"/>
      <c r="C218" s="2"/>
      <c r="D218" s="2"/>
      <c r="E218" s="2"/>
      <c r="F218" s="2"/>
      <c r="G218" s="2"/>
      <c r="H218" s="2"/>
      <c r="I218" s="2"/>
      <c r="J218" s="2"/>
      <c r="K218" s="2"/>
      <c r="L218" s="2"/>
      <c r="M218" s="2"/>
      <c r="N218" s="2"/>
      <c r="O218" s="2"/>
      <c r="P218" s="2"/>
      <c r="Q218" s="2"/>
      <c r="R218" s="591"/>
      <c r="S218" s="591"/>
      <c r="T218" s="591"/>
      <c r="U218" s="591"/>
      <c r="V218" s="591"/>
      <c r="W218" s="591"/>
      <c r="X218" s="591"/>
      <c r="AA218" s="591"/>
      <c r="AB218" s="591"/>
      <c r="AC218" s="591"/>
      <c r="AG218" s="591"/>
      <c r="AS218" s="591"/>
    </row>
    <row r="219" spans="1:45" hidden="1" x14ac:dyDescent="0.2">
      <c r="A219" s="2"/>
      <c r="B219" s="2"/>
      <c r="C219" s="2"/>
      <c r="D219" s="2"/>
      <c r="E219" s="931" t="s">
        <v>718</v>
      </c>
      <c r="F219" s="2"/>
      <c r="G219" s="592" t="s">
        <v>175</v>
      </c>
      <c r="H219" s="2"/>
      <c r="I219" s="2"/>
      <c r="J219" s="2"/>
      <c r="K219" s="2"/>
      <c r="L219" s="2"/>
      <c r="M219" s="2"/>
      <c r="N219" s="2"/>
      <c r="O219" s="2"/>
      <c r="P219" s="2"/>
      <c r="Q219" s="2"/>
      <c r="R219" s="591"/>
      <c r="S219" s="591"/>
      <c r="T219" s="591"/>
      <c r="U219" s="591"/>
      <c r="V219" s="591"/>
      <c r="W219" s="591"/>
      <c r="X219" s="591"/>
      <c r="AA219" s="591"/>
      <c r="AB219" s="591"/>
      <c r="AC219" s="591"/>
      <c r="AG219" s="591"/>
      <c r="AS219" s="591"/>
    </row>
    <row r="220" spans="1:45" ht="14.25" hidden="1" customHeight="1" x14ac:dyDescent="0.2">
      <c r="A220" s="2"/>
      <c r="B220" s="2"/>
      <c r="C220" s="2"/>
      <c r="D220" s="2"/>
      <c r="E220" s="932" t="s">
        <v>719</v>
      </c>
      <c r="F220" s="2"/>
      <c r="G220" s="593">
        <f>STORICO!C16</f>
        <v>2024</v>
      </c>
      <c r="H220" s="2"/>
      <c r="I220" s="592" t="str">
        <f t="shared" ref="I220:I229" si="36">CONCATENATE(G$219,"   ",G220)</f>
        <v>ANNO   2024</v>
      </c>
      <c r="J220" s="2"/>
      <c r="K220" s="592" t="s">
        <v>583</v>
      </c>
      <c r="L220" s="2"/>
      <c r="M220" s="2"/>
      <c r="N220" s="2"/>
      <c r="O220" s="2"/>
      <c r="P220" s="2"/>
      <c r="Q220" s="2"/>
      <c r="R220" s="591"/>
      <c r="S220" s="591"/>
      <c r="T220" s="591"/>
      <c r="U220" s="591"/>
      <c r="V220" s="591"/>
      <c r="W220" s="591"/>
      <c r="X220" s="591"/>
      <c r="AA220" s="591"/>
      <c r="AB220" s="591"/>
      <c r="AC220" s="591"/>
      <c r="AG220" s="591"/>
      <c r="AS220" s="591"/>
    </row>
    <row r="221" spans="1:45" ht="14.25" hidden="1" customHeight="1" x14ac:dyDescent="0.2">
      <c r="A221" s="2"/>
      <c r="B221" s="2"/>
      <c r="C221" s="2"/>
      <c r="D221" s="2"/>
      <c r="E221" s="933">
        <f>IF(ISERROR(G206),MAX(G180:K180,G193:K193)/10,MAX(G180:K180,G193:K193,G206:K206)/10)</f>
        <v>0</v>
      </c>
      <c r="F221" s="2"/>
      <c r="G221" s="593">
        <f>STORICO!C27</f>
        <v>2023</v>
      </c>
      <c r="H221" s="2"/>
      <c r="I221" s="592" t="str">
        <f t="shared" si="36"/>
        <v>ANNO   2023</v>
      </c>
      <c r="J221" s="2"/>
      <c r="K221" s="592" t="s">
        <v>584</v>
      </c>
      <c r="L221" s="2"/>
      <c r="M221" s="2"/>
      <c r="N221" s="2"/>
      <c r="O221" s="2"/>
      <c r="P221" s="2"/>
      <c r="Q221" s="2"/>
      <c r="R221" s="591"/>
      <c r="S221" s="591"/>
      <c r="T221" s="591"/>
      <c r="U221" s="591"/>
      <c r="V221" s="591"/>
      <c r="AA221" s="591"/>
      <c r="AB221" s="591"/>
      <c r="AC221" s="591"/>
      <c r="AG221" s="591"/>
      <c r="AS221" s="591"/>
    </row>
    <row r="222" spans="1:45" ht="14.25" hidden="1" customHeight="1" x14ac:dyDescent="0.2">
      <c r="A222" s="2"/>
      <c r="B222" s="2"/>
      <c r="C222" s="2"/>
      <c r="D222" s="2"/>
      <c r="E222" s="2"/>
      <c r="F222" s="2"/>
      <c r="G222" s="593">
        <f>STORICO!C33</f>
        <v>2022</v>
      </c>
      <c r="H222" s="2"/>
      <c r="I222" s="592" t="str">
        <f t="shared" si="36"/>
        <v>ANNO   2022</v>
      </c>
      <c r="J222" s="2"/>
      <c r="K222" s="592" t="s">
        <v>585</v>
      </c>
      <c r="L222" s="2"/>
      <c r="M222" s="2"/>
      <c r="N222" s="2"/>
      <c r="O222" s="2"/>
      <c r="P222" s="2"/>
      <c r="Q222" s="2"/>
      <c r="R222" s="591"/>
      <c r="S222" s="591"/>
      <c r="T222" s="591"/>
      <c r="U222" s="591"/>
      <c r="V222" s="591"/>
      <c r="AA222" s="591"/>
      <c r="AB222" s="591"/>
      <c r="AC222" s="591"/>
      <c r="AG222" s="591"/>
      <c r="AS222" s="591"/>
    </row>
    <row r="223" spans="1:45" ht="14.25" hidden="1" customHeight="1" x14ac:dyDescent="0.2">
      <c r="A223" s="2"/>
      <c r="B223" s="2"/>
      <c r="C223" s="2"/>
      <c r="D223" s="2"/>
      <c r="E223" s="2"/>
      <c r="F223" s="2"/>
      <c r="G223" s="593">
        <f>STORICO!C39</f>
        <v>2021</v>
      </c>
      <c r="H223" s="2"/>
      <c r="I223" s="592" t="str">
        <f t="shared" si="36"/>
        <v>ANNO   2021</v>
      </c>
      <c r="J223" s="2"/>
      <c r="K223" s="592" t="s">
        <v>586</v>
      </c>
      <c r="L223" s="2"/>
      <c r="M223" s="2"/>
      <c r="N223" s="2"/>
      <c r="O223" s="2"/>
      <c r="P223" s="2"/>
      <c r="Q223" s="2"/>
      <c r="R223" s="591"/>
      <c r="S223" s="591"/>
      <c r="T223" s="591"/>
      <c r="U223" s="591"/>
      <c r="V223" s="591"/>
      <c r="AA223" s="591"/>
      <c r="AB223" s="591"/>
      <c r="AC223" s="591"/>
      <c r="AG223" s="591"/>
      <c r="AS223" s="591"/>
    </row>
    <row r="224" spans="1:45" ht="14.25" hidden="1" customHeight="1" x14ac:dyDescent="0.2">
      <c r="A224" s="2"/>
      <c r="B224" s="2"/>
      <c r="C224" s="2"/>
      <c r="D224" s="2"/>
      <c r="E224" s="934" t="str">
        <f>C215</f>
        <v>LORDO</v>
      </c>
      <c r="F224" s="2"/>
      <c r="G224" s="593" t="str">
        <f>CONCATENATE(G220," + ",G221)</f>
        <v>2024 + 2023</v>
      </c>
      <c r="H224" s="2"/>
      <c r="I224" s="592" t="str">
        <f t="shared" si="36"/>
        <v>ANNO   2024 + 2023</v>
      </c>
      <c r="J224" s="2"/>
      <c r="K224" s="592" t="str">
        <f>CONCATENATE(K220," + ",K221)</f>
        <v>ANNO IN CORSO + ANNO PRECEDENTE 1</v>
      </c>
      <c r="L224" s="2"/>
      <c r="M224" s="2"/>
      <c r="N224" s="2"/>
      <c r="O224" s="2"/>
      <c r="P224" s="2"/>
      <c r="Q224" s="2"/>
      <c r="R224" s="591"/>
      <c r="S224" s="591"/>
      <c r="T224" s="591"/>
      <c r="U224" s="591"/>
      <c r="V224" s="591"/>
      <c r="AA224" s="591"/>
      <c r="AB224" s="591"/>
      <c r="AC224" s="591"/>
      <c r="AG224" s="591"/>
      <c r="AS224" s="591"/>
    </row>
    <row r="225" spans="1:49" ht="14.25" hidden="1" customHeight="1" x14ac:dyDescent="0.2">
      <c r="A225" s="2"/>
      <c r="B225" s="2"/>
      <c r="C225" s="2"/>
      <c r="D225" s="2"/>
      <c r="E225" s="934" t="str">
        <f>C216</f>
        <v>NETTO</v>
      </c>
      <c r="F225" s="2"/>
      <c r="G225" s="593" t="str">
        <f>CONCATENATE(G220," + ",G221," + ",G222)</f>
        <v>2024 + 2023 + 2022</v>
      </c>
      <c r="H225" s="2"/>
      <c r="I225" s="592" t="str">
        <f t="shared" si="36"/>
        <v>ANNO   2024 + 2023 + 2022</v>
      </c>
      <c r="J225" s="2"/>
      <c r="K225" s="592" t="str">
        <f>CONCATENATE(K220," + ",K221," + 2")</f>
        <v>ANNO IN CORSO + ANNO PRECEDENTE 1 + 2</v>
      </c>
      <c r="L225" s="2"/>
      <c r="M225" s="2"/>
      <c r="N225" s="2"/>
      <c r="O225" s="2"/>
      <c r="P225" s="2"/>
      <c r="Q225" s="2"/>
      <c r="R225" s="591"/>
      <c r="S225" s="591"/>
      <c r="T225" s="591"/>
      <c r="U225" s="591"/>
      <c r="V225" s="591"/>
      <c r="AA225" s="591"/>
      <c r="AB225" s="591"/>
      <c r="AC225" s="591"/>
      <c r="AG225" s="591"/>
      <c r="AS225" s="591"/>
    </row>
    <row r="226" spans="1:49" ht="14.25" hidden="1" customHeight="1" x14ac:dyDescent="0.2">
      <c r="A226" s="2"/>
      <c r="B226" s="2"/>
      <c r="C226" s="2"/>
      <c r="D226" s="2"/>
      <c r="E226" s="934" t="str">
        <f>C217</f>
        <v>IVA</v>
      </c>
      <c r="F226" s="2"/>
      <c r="G226" s="593" t="str">
        <f>CONCATENATE(G220," + ",G221," + ",G222," + ",G223)</f>
        <v>2024 + 2023 + 2022 + 2021</v>
      </c>
      <c r="H226" s="2"/>
      <c r="I226" s="592" t="str">
        <f t="shared" si="36"/>
        <v>ANNO   2024 + 2023 + 2022 + 2021</v>
      </c>
      <c r="J226" s="2"/>
      <c r="K226" s="592" t="str">
        <f>CONCATENATE(K220," + ",K221," + 2 + 3")</f>
        <v>ANNO IN CORSO + ANNO PRECEDENTE 1 + 2 + 3</v>
      </c>
      <c r="L226" s="2"/>
      <c r="M226" s="2"/>
      <c r="N226" s="2"/>
      <c r="O226" s="2"/>
      <c r="P226" s="2"/>
      <c r="Q226" s="2"/>
      <c r="R226" s="591"/>
      <c r="S226" s="591"/>
      <c r="T226" s="591"/>
      <c r="U226" s="591"/>
      <c r="V226" s="591"/>
      <c r="AA226" s="591"/>
      <c r="AB226" s="591"/>
      <c r="AC226" s="591"/>
      <c r="AG226" s="591"/>
      <c r="AS226" s="591"/>
    </row>
    <row r="227" spans="1:49" ht="14.25" hidden="1" customHeight="1" x14ac:dyDescent="0.2">
      <c r="A227" s="2"/>
      <c r="B227" s="2"/>
      <c r="C227" s="2"/>
      <c r="D227" s="2"/>
      <c r="E227" s="2"/>
      <c r="F227" s="2"/>
      <c r="G227" s="593" t="str">
        <f>CONCATENATE(G221," + ",G222)</f>
        <v>2023 + 2022</v>
      </c>
      <c r="H227" s="2"/>
      <c r="I227" s="592" t="str">
        <f t="shared" si="36"/>
        <v>ANNO   2023 + 2022</v>
      </c>
      <c r="J227" s="2"/>
      <c r="K227" s="592" t="str">
        <f>CONCATENATE(K221," + 2")</f>
        <v>ANNO PRECEDENTE 1 + 2</v>
      </c>
      <c r="L227" s="2"/>
      <c r="M227" s="2"/>
      <c r="N227" s="2"/>
      <c r="O227" s="2"/>
      <c r="P227" s="2"/>
      <c r="Q227" s="2"/>
      <c r="R227" s="591"/>
      <c r="S227" s="591"/>
      <c r="T227" s="591"/>
      <c r="U227" s="591"/>
      <c r="V227" s="591"/>
      <c r="AA227" s="591"/>
      <c r="AB227" s="591"/>
      <c r="AC227" s="591"/>
      <c r="AG227" s="591"/>
      <c r="AS227" s="591"/>
    </row>
    <row r="228" spans="1:49" ht="14.25" hidden="1" customHeight="1" x14ac:dyDescent="0.2">
      <c r="A228" s="2"/>
      <c r="B228" s="2"/>
      <c r="C228" s="2"/>
      <c r="D228" s="2"/>
      <c r="E228" s="2"/>
      <c r="F228" s="2"/>
      <c r="G228" s="593" t="str">
        <f>CONCATENATE(G221," + ",G222," + ",G223)</f>
        <v>2023 + 2022 + 2021</v>
      </c>
      <c r="H228" s="2"/>
      <c r="I228" s="592" t="str">
        <f t="shared" si="36"/>
        <v>ANNO   2023 + 2022 + 2021</v>
      </c>
      <c r="J228" s="2"/>
      <c r="K228" s="592" t="str">
        <f>CONCATENATE(K221," + 2 + 3")</f>
        <v>ANNO PRECEDENTE 1 + 2 + 3</v>
      </c>
      <c r="L228" s="2"/>
      <c r="M228" s="2"/>
      <c r="N228" s="2"/>
      <c r="O228" s="2"/>
      <c r="P228" s="2"/>
      <c r="Q228" s="2"/>
      <c r="R228" s="591"/>
      <c r="S228" s="591"/>
      <c r="T228" s="591"/>
      <c r="U228" s="591"/>
      <c r="V228" s="591"/>
      <c r="AA228" s="591"/>
      <c r="AB228" s="591"/>
      <c r="AC228" s="591"/>
      <c r="AG228" s="591"/>
      <c r="AS228" s="591"/>
    </row>
    <row r="229" spans="1:49" ht="14.25" hidden="1" customHeight="1" x14ac:dyDescent="0.2">
      <c r="A229" s="2"/>
      <c r="B229" s="2"/>
      <c r="C229" s="2"/>
      <c r="D229" s="2"/>
      <c r="E229" s="2"/>
      <c r="F229" s="2"/>
      <c r="G229" s="593" t="str">
        <f>CONCATENATE(G222," + ",G223)</f>
        <v>2022 + 2021</v>
      </c>
      <c r="H229" s="2"/>
      <c r="I229" s="592" t="str">
        <f t="shared" si="36"/>
        <v>ANNO   2022 + 2021</v>
      </c>
      <c r="J229" s="2"/>
      <c r="K229" s="592" t="str">
        <f>CONCATENATE(K222," + 3")</f>
        <v>ANNO PRECEDENTE 2 + 3</v>
      </c>
      <c r="L229" s="2"/>
      <c r="M229" s="2"/>
      <c r="N229" s="2"/>
      <c r="O229" s="2"/>
      <c r="P229" s="2"/>
      <c r="Q229" s="2"/>
      <c r="R229" s="591"/>
      <c r="S229" s="591"/>
      <c r="T229" s="591"/>
      <c r="U229" s="591"/>
      <c r="V229" s="591"/>
      <c r="AA229" s="591"/>
      <c r="AB229" s="591"/>
      <c r="AC229" s="591"/>
      <c r="AG229" s="591"/>
      <c r="AS229" s="591"/>
    </row>
    <row r="230" spans="1:49" hidden="1" x14ac:dyDescent="0.2">
      <c r="A230" s="2"/>
      <c r="B230" s="2"/>
      <c r="C230" s="2"/>
      <c r="D230" s="2"/>
      <c r="E230" s="2"/>
      <c r="F230" s="2"/>
      <c r="G230" s="2"/>
      <c r="H230" s="2"/>
      <c r="I230" s="2"/>
      <c r="J230" s="2"/>
      <c r="K230" s="2"/>
      <c r="L230" s="2"/>
      <c r="M230" s="2"/>
      <c r="N230" s="2"/>
      <c r="O230" s="2"/>
      <c r="P230" s="2"/>
      <c r="Q230" s="2"/>
      <c r="R230" s="591"/>
      <c r="S230" s="591"/>
      <c r="T230" s="591"/>
      <c r="U230" s="591"/>
      <c r="V230" s="591"/>
      <c r="AA230" s="591"/>
      <c r="AB230" s="591"/>
      <c r="AC230" s="591"/>
      <c r="AG230" s="591"/>
      <c r="AS230" s="591"/>
    </row>
    <row r="231" spans="1:49" x14ac:dyDescent="0.2">
      <c r="A231" s="2"/>
      <c r="B231" s="2"/>
      <c r="C231" s="2"/>
      <c r="D231" s="2"/>
      <c r="E231" s="2"/>
      <c r="F231" s="2"/>
      <c r="G231" s="1433" t="s">
        <v>572</v>
      </c>
      <c r="H231" s="1434" t="s">
        <v>869</v>
      </c>
      <c r="I231" s="2"/>
      <c r="J231" s="2"/>
      <c r="K231" s="2"/>
      <c r="L231" s="1433" t="s">
        <v>572</v>
      </c>
      <c r="M231" s="1434" t="s">
        <v>870</v>
      </c>
      <c r="N231" s="2"/>
      <c r="O231" s="2"/>
      <c r="P231" s="2"/>
      <c r="Q231" s="2"/>
      <c r="R231" s="591"/>
      <c r="S231" s="591"/>
      <c r="T231" s="591"/>
      <c r="U231" s="591"/>
      <c r="V231" s="591"/>
      <c r="AE231" s="591"/>
      <c r="AF231" s="591"/>
      <c r="AG231" s="591"/>
      <c r="AK231" s="591"/>
      <c r="AW231" s="591"/>
    </row>
    <row r="232" spans="1:49" ht="15" hidden="1" customHeight="1" x14ac:dyDescent="0.2">
      <c r="A232" s="2"/>
      <c r="B232" s="2"/>
      <c r="C232" s="1045" t="s">
        <v>805</v>
      </c>
      <c r="D232" s="2"/>
      <c r="E232" s="2"/>
      <c r="F232" s="2"/>
      <c r="G232" s="2"/>
      <c r="H232" s="2"/>
      <c r="I232" s="2"/>
      <c r="J232" s="2"/>
      <c r="K232" s="2"/>
      <c r="L232" s="2"/>
      <c r="M232" s="2"/>
      <c r="N232" s="2"/>
      <c r="O232" s="2"/>
      <c r="P232" s="1012" t="s">
        <v>820</v>
      </c>
      <c r="Q232" s="2"/>
      <c r="R232" s="591"/>
      <c r="S232" s="591"/>
      <c r="T232" s="591"/>
      <c r="U232" s="591"/>
      <c r="V232" s="591"/>
      <c r="AJ232" s="591"/>
      <c r="AK232" s="591"/>
      <c r="AL232" s="591"/>
    </row>
    <row r="233" spans="1:49" ht="16.5" hidden="1" customHeight="1" x14ac:dyDescent="0.2">
      <c r="A233" s="2"/>
      <c r="B233" s="2"/>
      <c r="C233" s="1046" t="s">
        <v>806</v>
      </c>
      <c r="D233" s="962"/>
      <c r="E233" s="2"/>
      <c r="F233" s="2"/>
      <c r="G233" s="1175" t="str">
        <f>IMPOSTAZIONI!$I$19</f>
        <v>Colonna 1</v>
      </c>
      <c r="H233" s="1175" t="str">
        <f>IMPOSTAZIONI!$M$19</f>
        <v>Colonna 2</v>
      </c>
      <c r="I233" s="101"/>
      <c r="J233" s="101"/>
      <c r="K233" s="1175" t="str">
        <f>IMPOSTAZIONI!$U$19</f>
        <v>Colonna 3</v>
      </c>
      <c r="L233" s="101"/>
      <c r="M233" s="101"/>
      <c r="N233" s="1175" t="str">
        <f>IMPOSTAZIONI!$AC$19</f>
        <v>Colonna 4</v>
      </c>
      <c r="O233" s="2"/>
      <c r="P233" s="1013" t="s">
        <v>766</v>
      </c>
      <c r="Q233" s="2"/>
      <c r="R233" s="591"/>
      <c r="S233" s="591"/>
      <c r="T233" s="591"/>
      <c r="U233" s="591"/>
      <c r="V233" s="591"/>
      <c r="AC233" s="591"/>
      <c r="AD233" s="591"/>
      <c r="AE233" s="591"/>
      <c r="AF233" s="591"/>
      <c r="AG233" s="591"/>
      <c r="AI233" s="591"/>
      <c r="AJ233" s="591"/>
      <c r="AK233" s="591"/>
      <c r="AL233" s="591"/>
      <c r="AN233" s="591"/>
      <c r="AO233" s="591"/>
      <c r="AP233" s="591"/>
      <c r="AQ233" s="591"/>
      <c r="AR233" s="591"/>
      <c r="AT233" s="591"/>
    </row>
    <row r="234" spans="1:49" ht="20.25" hidden="1" customHeight="1" x14ac:dyDescent="0.2">
      <c r="A234" s="2"/>
      <c r="B234" s="2"/>
      <c r="C234" s="2"/>
      <c r="D234" s="2"/>
      <c r="E234" s="2"/>
      <c r="F234" s="2"/>
      <c r="G234" s="1176" t="str">
        <f>IF(IMPOSTAZIONI!$I$35=0,$L$135,IMPOSTAZIONI!$I$35)</f>
        <v>SCORPORO</v>
      </c>
      <c r="H234" s="1176" t="str">
        <f>IF(IMPOSTAZIONI!$M$35=0,$L$135,IMPOSTAZIONI!$M$35)</f>
        <v>SCORPORO</v>
      </c>
      <c r="I234" s="1222"/>
      <c r="J234" s="1222"/>
      <c r="K234" s="1176" t="str">
        <f>IF(IMPOSTAZIONI!$U$35=0,$L$135,IMPOSTAZIONI!$U$35)</f>
        <v>SCORPORO</v>
      </c>
      <c r="L234" s="1222"/>
      <c r="M234" s="1222"/>
      <c r="N234" s="1176" t="str">
        <f>IF(IMPOSTAZIONI!$AC$35=0,$L$135,IMPOSTAZIONI!$AC$35)</f>
        <v>SCORPORO</v>
      </c>
      <c r="O234" s="2"/>
      <c r="P234" s="2"/>
      <c r="Q234" s="2"/>
      <c r="R234" s="591"/>
      <c r="S234" s="591"/>
      <c r="T234" s="591"/>
      <c r="U234" s="591"/>
      <c r="V234" s="591"/>
      <c r="AC234" s="591"/>
      <c r="AD234" s="591"/>
      <c r="AE234" s="591"/>
      <c r="AF234" s="591"/>
      <c r="AG234" s="591"/>
      <c r="AI234" s="591"/>
      <c r="AJ234" s="591"/>
      <c r="AK234" s="591"/>
      <c r="AL234" s="591"/>
      <c r="AN234" s="591"/>
      <c r="AO234" s="591"/>
      <c r="AP234" s="591"/>
      <c r="AQ234" s="591"/>
      <c r="AR234" s="591"/>
      <c r="AT234" s="591"/>
    </row>
    <row r="235" spans="1:49" ht="20.25" hidden="1" customHeight="1" x14ac:dyDescent="0.2">
      <c r="A235" s="2"/>
      <c r="B235" s="2"/>
      <c r="C235" s="2"/>
      <c r="D235" s="2"/>
      <c r="E235" s="2"/>
      <c r="F235" s="966" t="s">
        <v>743</v>
      </c>
      <c r="G235" s="1177">
        <f>GEN!G63+FEB!G63+MAR!G63+APR!G63+MAG!G63+GIU!G63+LUG!G63+AGO!G63+SET!G63+OTT!G63+NOV!G63+DIC!G63</f>
        <v>0</v>
      </c>
      <c r="H235" s="1178">
        <f>GEN!H63+FEB!H63+MAR!H63+APR!H63+MAG!H63+GIU!H63+LUG!H63+AGO!H63+SET!H63+OTT!H63+NOV!H63+DIC!H63</f>
        <v>0</v>
      </c>
      <c r="I235" s="2"/>
      <c r="J235" s="2"/>
      <c r="K235" s="1179">
        <f>GEN!K63+FEB!K63+MAR!K63+APR!K63+MAG!K63+GIU!K63+LUG!K63+AGO!K63+SET!K63+OTT!K63+NOV!K63+DIC!K63</f>
        <v>0</v>
      </c>
      <c r="L235" s="2"/>
      <c r="M235" s="2"/>
      <c r="N235" s="1179">
        <f>GEN!N63+FEB!N63+MAR!N63+APR!N63+MAG!N63+GIU!N63+LUG!N63+AGO!N63+SET!N63+OTT!N63+NOV!N63+DIC!N63</f>
        <v>0</v>
      </c>
      <c r="O235" s="2"/>
      <c r="P235" s="2"/>
      <c r="Q235" s="2"/>
      <c r="R235" s="591"/>
      <c r="S235" s="591"/>
      <c r="T235" s="591"/>
      <c r="U235" s="591"/>
      <c r="V235" s="591"/>
      <c r="AA235" s="591"/>
      <c r="AB235" s="591"/>
      <c r="AC235" s="591"/>
      <c r="AD235" s="591"/>
      <c r="AE235" s="591"/>
      <c r="AG235" s="591"/>
      <c r="AH235" s="591"/>
      <c r="AI235" s="591"/>
      <c r="AJ235" s="591"/>
      <c r="AL235" s="591"/>
      <c r="AM235" s="591"/>
      <c r="AN235" s="591"/>
      <c r="AO235" s="591"/>
      <c r="AP235" s="591"/>
      <c r="AR235" s="591"/>
    </row>
    <row r="236" spans="1:49" ht="3.75" hidden="1" customHeight="1" x14ac:dyDescent="0.2">
      <c r="A236" s="2"/>
      <c r="B236" s="2"/>
      <c r="C236" s="2"/>
      <c r="D236" s="2"/>
      <c r="E236" s="2"/>
      <c r="F236" s="2"/>
      <c r="G236" s="2"/>
      <c r="H236" s="2"/>
      <c r="I236" s="2"/>
      <c r="J236" s="2"/>
      <c r="K236" s="2"/>
      <c r="L236" s="2"/>
      <c r="M236" s="2"/>
      <c r="N236" s="2"/>
      <c r="O236" s="2"/>
      <c r="P236" s="2"/>
      <c r="Q236" s="2"/>
      <c r="AA236" s="591"/>
      <c r="AB236" s="591"/>
      <c r="AC236" s="591"/>
      <c r="AD236" s="591"/>
      <c r="AE236" s="591"/>
      <c r="AG236" s="591"/>
      <c r="AH236" s="591"/>
      <c r="AI236" s="591"/>
      <c r="AJ236" s="591"/>
      <c r="AL236" s="591"/>
      <c r="AM236" s="591"/>
      <c r="AN236" s="591"/>
      <c r="AO236" s="591"/>
      <c r="AP236" s="591"/>
      <c r="AR236" s="591"/>
    </row>
    <row r="237" spans="1:49" ht="20.25" hidden="1" customHeight="1" x14ac:dyDescent="0.2">
      <c r="A237" s="2"/>
      <c r="B237" s="2"/>
      <c r="C237" s="2"/>
      <c r="D237" s="2"/>
      <c r="E237" s="2"/>
      <c r="F237" s="966" t="s">
        <v>744</v>
      </c>
      <c r="G237" s="1180">
        <f>G235+H235+K235+N235</f>
        <v>0</v>
      </c>
      <c r="H237" s="1114" t="str">
        <f>CONCATENATE("VENTILAZIONE ","ANNUALE")</f>
        <v>VENTILAZIONE ANNUALE</v>
      </c>
      <c r="I237" s="2"/>
      <c r="J237" s="2"/>
      <c r="K237" s="2"/>
      <c r="L237" s="2"/>
      <c r="M237" s="2"/>
      <c r="N237" s="2"/>
      <c r="O237" s="2"/>
      <c r="P237" s="2"/>
      <c r="Q237" s="2"/>
      <c r="AC237" s="591"/>
      <c r="AD237" s="591"/>
      <c r="AE237" s="591"/>
      <c r="AF237" s="591"/>
      <c r="AG237" s="591"/>
      <c r="AI237" s="591"/>
      <c r="AJ237" s="591"/>
      <c r="AK237" s="591"/>
      <c r="AL237" s="591"/>
      <c r="AN237" s="591"/>
      <c r="AO237" s="591"/>
      <c r="AP237" s="591"/>
      <c r="AQ237" s="591"/>
      <c r="AR237" s="591"/>
      <c r="AT237" s="591"/>
    </row>
    <row r="238" spans="1:49" ht="20.25" hidden="1" customHeight="1" x14ac:dyDescent="0.2">
      <c r="A238" s="2"/>
      <c r="B238" s="2"/>
      <c r="C238" s="2"/>
      <c r="D238" s="2"/>
      <c r="E238" s="2"/>
      <c r="F238" s="2"/>
      <c r="G238" s="2"/>
      <c r="H238" s="10"/>
      <c r="I238" s="10"/>
      <c r="J238" s="10"/>
      <c r="K238" s="10"/>
      <c r="L238" s="10"/>
      <c r="M238" s="10"/>
      <c r="N238" s="1008"/>
      <c r="O238" s="1149"/>
      <c r="P238" s="2"/>
      <c r="Q238" s="2"/>
      <c r="AG238" s="591"/>
      <c r="AI238" s="591"/>
      <c r="AJ238" s="591"/>
      <c r="AK238" s="591"/>
      <c r="AL238" s="591"/>
      <c r="AN238" s="591"/>
      <c r="AO238" s="591"/>
      <c r="AP238" s="591"/>
      <c r="AQ238" s="591"/>
      <c r="AR238" s="591"/>
      <c r="AT238" s="591"/>
    </row>
    <row r="239" spans="1:49" ht="24" hidden="1" customHeight="1" x14ac:dyDescent="0.2">
      <c r="A239" s="2"/>
      <c r="B239" s="2"/>
      <c r="C239" s="2"/>
      <c r="D239" s="1183" t="s">
        <v>747</v>
      </c>
      <c r="E239" s="1165"/>
      <c r="F239" s="1165"/>
      <c r="G239" s="1331"/>
      <c r="H239" s="1166"/>
      <c r="I239" s="1165"/>
      <c r="J239" s="1332"/>
      <c r="K239" s="2263" t="s">
        <v>106</v>
      </c>
      <c r="L239" s="2264"/>
      <c r="M239" s="2264"/>
      <c r="N239" s="2265"/>
      <c r="O239" s="1150"/>
      <c r="P239" s="2"/>
      <c r="Q239" s="2"/>
      <c r="AG239" s="591"/>
      <c r="AI239" s="591"/>
      <c r="AJ239" s="591"/>
      <c r="AK239" s="591"/>
      <c r="AL239" s="591"/>
      <c r="AN239" s="591"/>
      <c r="AO239" s="591"/>
      <c r="AP239" s="591"/>
      <c r="AQ239" s="591"/>
      <c r="AR239" s="591"/>
      <c r="AT239" s="591"/>
    </row>
    <row r="240" spans="1:49" ht="16.5" hidden="1" customHeight="1" x14ac:dyDescent="0.2">
      <c r="A240" s="2"/>
      <c r="B240" s="2"/>
      <c r="C240" s="2"/>
      <c r="D240" s="1334" t="s">
        <v>103</v>
      </c>
      <c r="E240" s="14"/>
      <c r="F240" s="14"/>
      <c r="G240" s="14"/>
      <c r="H240" s="2"/>
      <c r="I240" s="14"/>
      <c r="J240" s="1330"/>
      <c r="K240" s="2266" t="s">
        <v>107</v>
      </c>
      <c r="L240" s="2267"/>
      <c r="M240" s="2267"/>
      <c r="N240" s="2268"/>
      <c r="O240" s="1150"/>
      <c r="P240" s="2"/>
      <c r="Q240" s="2"/>
      <c r="AG240" s="591"/>
      <c r="AI240" s="591"/>
      <c r="AJ240" s="591"/>
      <c r="AK240" s="591"/>
      <c r="AL240" s="591"/>
      <c r="AN240" s="591"/>
      <c r="AO240" s="591"/>
      <c r="AP240" s="591"/>
      <c r="AQ240" s="591"/>
      <c r="AR240" s="591"/>
      <c r="AT240" s="591"/>
    </row>
    <row r="241" spans="1:46" ht="16.5" hidden="1" customHeight="1" x14ac:dyDescent="0.2">
      <c r="A241" s="2"/>
      <c r="B241" s="2"/>
      <c r="C241" s="2"/>
      <c r="D241" s="1168"/>
      <c r="E241" s="14"/>
      <c r="F241" s="14"/>
      <c r="G241" s="14"/>
      <c r="H241" s="1333" t="s">
        <v>748</v>
      </c>
      <c r="I241" s="14"/>
      <c r="J241" s="1330"/>
      <c r="K241" s="14"/>
      <c r="L241" s="2264" t="s">
        <v>108</v>
      </c>
      <c r="M241" s="2264"/>
      <c r="N241" s="1340" t="s">
        <v>109</v>
      </c>
      <c r="O241" s="1150"/>
      <c r="P241" s="2"/>
      <c r="Q241" s="2"/>
      <c r="AG241" s="591"/>
      <c r="AI241" s="591"/>
      <c r="AJ241" s="591"/>
      <c r="AK241" s="591"/>
      <c r="AL241" s="591"/>
      <c r="AN241" s="591"/>
      <c r="AO241" s="591"/>
      <c r="AP241" s="591"/>
      <c r="AQ241" s="591"/>
      <c r="AR241" s="591"/>
      <c r="AT241" s="591"/>
    </row>
    <row r="242" spans="1:46" ht="16.5" hidden="1" customHeight="1" x14ac:dyDescent="0.2">
      <c r="A242" s="2"/>
      <c r="B242" s="2"/>
      <c r="C242" s="2"/>
      <c r="D242" s="1328"/>
      <c r="E242" s="14"/>
      <c r="F242" s="14"/>
      <c r="G242" s="1151" t="s">
        <v>751</v>
      </c>
      <c r="H242" s="1223" t="s">
        <v>807</v>
      </c>
      <c r="I242" s="2282" t="s">
        <v>752</v>
      </c>
      <c r="J242" s="2283"/>
      <c r="K242" s="1151" t="s">
        <v>751</v>
      </c>
      <c r="L242" s="2279" t="s">
        <v>110</v>
      </c>
      <c r="M242" s="2279"/>
      <c r="N242" s="1341" t="s">
        <v>110</v>
      </c>
      <c r="O242" s="1150"/>
      <c r="P242" s="2"/>
      <c r="Q242" s="2"/>
      <c r="AG242" s="591"/>
      <c r="AI242" s="591"/>
      <c r="AJ242" s="591"/>
      <c r="AK242" s="591"/>
      <c r="AL242" s="591"/>
      <c r="AN242" s="591"/>
      <c r="AO242" s="591"/>
      <c r="AP242" s="591"/>
      <c r="AQ242" s="591"/>
      <c r="AR242" s="591"/>
      <c r="AT242" s="591"/>
    </row>
    <row r="243" spans="1:46" ht="18.75" hidden="1" customHeight="1" x14ac:dyDescent="0.2">
      <c r="A243" s="2"/>
      <c r="B243" s="2"/>
      <c r="C243" s="2"/>
      <c r="D243" s="1169" t="s">
        <v>808</v>
      </c>
      <c r="E243" s="14"/>
      <c r="F243" s="14"/>
      <c r="G243" s="1174">
        <f>H69</f>
        <v>22</v>
      </c>
      <c r="H243" s="1152">
        <f>GEN!G69+FEB!G69+MAR!G69+APR!G69+MAG!G69+GIU!G69+LUG!G69+AGO!G69+SET!G69+OTT!G69+NOV!G69+DIC!G69</f>
        <v>0</v>
      </c>
      <c r="I243" s="2271" t="e">
        <f>I247-SUM(I244:I246)</f>
        <v>#DIV/0!</v>
      </c>
      <c r="J243" s="2272"/>
      <c r="K243" s="1174">
        <f>G243</f>
        <v>22</v>
      </c>
      <c r="L243" s="2277">
        <f>SUMIF(I$250:I$259,K243,H$250:H$259)+H243</f>
        <v>0</v>
      </c>
      <c r="M243" s="2278"/>
      <c r="N243" s="1360" t="e">
        <f>N247-SUM(N244:N246)</f>
        <v>#DIV/0!</v>
      </c>
      <c r="O243" s="1150"/>
      <c r="P243" s="2"/>
      <c r="Q243" s="2"/>
      <c r="AG243" s="591"/>
      <c r="AI243" s="591"/>
      <c r="AJ243" s="591"/>
      <c r="AK243" s="591"/>
      <c r="AL243" s="591"/>
      <c r="AN243" s="591"/>
      <c r="AO243" s="591"/>
      <c r="AP243" s="591"/>
      <c r="AQ243" s="591"/>
      <c r="AR243" s="591"/>
      <c r="AT243" s="591"/>
    </row>
    <row r="244" spans="1:46" ht="18.75" hidden="1" customHeight="1" x14ac:dyDescent="0.2">
      <c r="A244" s="2"/>
      <c r="B244" s="2"/>
      <c r="C244" s="2"/>
      <c r="D244" s="1170" t="s">
        <v>809</v>
      </c>
      <c r="E244" s="14"/>
      <c r="F244" s="14"/>
      <c r="G244" s="1174">
        <f>H70</f>
        <v>10</v>
      </c>
      <c r="H244" s="1153">
        <f>GEN!G70+FEB!G70+MAR!G70+APR!G70+MAG!G70+GIU!G70+LUG!G70+AGO!G70+SET!G70+OTT!G70+NOV!G70+DIC!G70</f>
        <v>0</v>
      </c>
      <c r="I244" s="2271" t="e">
        <f>ROUND(H244/H$247*100,2)</f>
        <v>#DIV/0!</v>
      </c>
      <c r="J244" s="2272"/>
      <c r="K244" s="1174">
        <f>G244</f>
        <v>10</v>
      </c>
      <c r="L244" s="2280">
        <f>SUMIF(I$250:I$259,K244,H$250:H$259)+H244</f>
        <v>0</v>
      </c>
      <c r="M244" s="2281"/>
      <c r="N244" s="1360" t="e">
        <f>ROUND(L244/L$247*100,2)</f>
        <v>#DIV/0!</v>
      </c>
      <c r="O244" s="1150"/>
      <c r="P244" s="2"/>
      <c r="Q244" s="2"/>
      <c r="AG244" s="591"/>
      <c r="AI244" s="591"/>
      <c r="AJ244" s="591"/>
      <c r="AK244" s="591"/>
      <c r="AL244" s="591"/>
      <c r="AN244" s="591"/>
      <c r="AO244" s="591"/>
      <c r="AP244" s="591"/>
      <c r="AQ244" s="591"/>
      <c r="AR244" s="591"/>
      <c r="AT244" s="591"/>
    </row>
    <row r="245" spans="1:46" ht="18.75" hidden="1" customHeight="1" x14ac:dyDescent="0.2">
      <c r="A245" s="2"/>
      <c r="B245" s="2"/>
      <c r="C245" s="2"/>
      <c r="D245" s="1328"/>
      <c r="E245" s="14"/>
      <c r="F245" s="14"/>
      <c r="G245" s="1174">
        <f>H71</f>
        <v>4</v>
      </c>
      <c r="H245" s="1153">
        <f>GEN!G71+FEB!G71+MAR!G71+APR!G71+MAG!G71+GIU!G71+LUG!G71+AGO!G71+SET!G71+OTT!G71+NOV!G71+DIC!G71</f>
        <v>0</v>
      </c>
      <c r="I245" s="2271" t="e">
        <f>ROUND(H245/H$247*100,2)</f>
        <v>#DIV/0!</v>
      </c>
      <c r="J245" s="2272"/>
      <c r="K245" s="1174">
        <f>G245</f>
        <v>4</v>
      </c>
      <c r="L245" s="2280">
        <f>SUMIF(I$250:I$259,K245,H$250:H$259)+H245</f>
        <v>0</v>
      </c>
      <c r="M245" s="2281"/>
      <c r="N245" s="1360" t="e">
        <f>ROUND(L245/L$247*100,2)</f>
        <v>#DIV/0!</v>
      </c>
      <c r="O245" s="1150"/>
      <c r="P245" s="2"/>
      <c r="Q245" s="2"/>
      <c r="AG245" s="591"/>
      <c r="AI245" s="591"/>
      <c r="AJ245" s="591"/>
      <c r="AK245" s="591"/>
      <c r="AL245" s="591"/>
      <c r="AN245" s="591"/>
      <c r="AO245" s="591"/>
      <c r="AP245" s="591"/>
      <c r="AQ245" s="591"/>
      <c r="AR245" s="591"/>
      <c r="AT245" s="591"/>
    </row>
    <row r="246" spans="1:46" ht="18.75" hidden="1" customHeight="1" x14ac:dyDescent="0.2">
      <c r="A246" s="2"/>
      <c r="B246" s="2"/>
      <c r="C246" s="2"/>
      <c r="D246" s="1328"/>
      <c r="E246" s="14"/>
      <c r="F246" s="14"/>
      <c r="G246" s="1174" t="str">
        <f>H72</f>
        <v/>
      </c>
      <c r="H246" s="1154">
        <f>GEN!G72+FEB!G72+MAR!G72+APR!G72+MAG!G72+GIU!G72+LUG!G72+AGO!G72+SET!G72+OTT!G72+NOV!G72+DIC!G72</f>
        <v>0</v>
      </c>
      <c r="I246" s="2271" t="e">
        <f>ROUND(H246/H$247*100,2)</f>
        <v>#DIV/0!</v>
      </c>
      <c r="J246" s="2272"/>
      <c r="K246" s="1174" t="str">
        <f>G246</f>
        <v/>
      </c>
      <c r="L246" s="2273">
        <f>SUMIF(I$250:I$259,K246,H$250:H$259)+H246</f>
        <v>0</v>
      </c>
      <c r="M246" s="2274"/>
      <c r="N246" s="1360" t="e">
        <f>ROUND(L246/L$247*100,2)</f>
        <v>#DIV/0!</v>
      </c>
      <c r="O246" s="1150"/>
      <c r="P246" s="2"/>
      <c r="Q246" s="2"/>
      <c r="AG246" s="591"/>
      <c r="AI246" s="591"/>
      <c r="AJ246" s="591"/>
      <c r="AK246" s="591"/>
      <c r="AL246" s="591"/>
      <c r="AN246" s="591"/>
      <c r="AO246" s="591"/>
      <c r="AP246" s="591"/>
      <c r="AQ246" s="591"/>
      <c r="AR246" s="591"/>
      <c r="AT246" s="591"/>
    </row>
    <row r="247" spans="1:46" ht="18.75" hidden="1" customHeight="1" x14ac:dyDescent="0.2">
      <c r="A247" s="2"/>
      <c r="B247" s="2"/>
      <c r="C247" s="2"/>
      <c r="D247" s="1328"/>
      <c r="E247" s="14"/>
      <c r="F247" s="14"/>
      <c r="G247" s="983" t="s">
        <v>105</v>
      </c>
      <c r="H247" s="1335">
        <f>SUM(H243:H246)</f>
        <v>0</v>
      </c>
      <c r="I247" s="2261">
        <v>100</v>
      </c>
      <c r="J247" s="2262"/>
      <c r="K247" s="983" t="s">
        <v>105</v>
      </c>
      <c r="L247" s="2275">
        <f>SUM(L243:L246)</f>
        <v>0</v>
      </c>
      <c r="M247" s="2275"/>
      <c r="N247" s="1342">
        <v>100</v>
      </c>
      <c r="O247" s="1150"/>
      <c r="P247" s="2"/>
      <c r="Q247" s="2"/>
      <c r="AG247" s="591"/>
      <c r="AI247" s="591"/>
      <c r="AJ247" s="591"/>
      <c r="AK247" s="591"/>
      <c r="AL247" s="591"/>
      <c r="AN247" s="591"/>
      <c r="AO247" s="591"/>
      <c r="AP247" s="591"/>
      <c r="AQ247" s="591"/>
      <c r="AR247" s="591"/>
      <c r="AT247" s="591"/>
    </row>
    <row r="248" spans="1:46" ht="10.5" hidden="1" customHeight="1" x14ac:dyDescent="0.2">
      <c r="A248" s="2"/>
      <c r="B248" s="2"/>
      <c r="C248" s="2"/>
      <c r="D248" s="1328"/>
      <c r="E248" s="14"/>
      <c r="F248" s="14"/>
      <c r="G248" s="14"/>
      <c r="H248" s="1329"/>
      <c r="I248" s="14"/>
      <c r="J248" s="1330"/>
      <c r="K248" s="14"/>
      <c r="L248" s="2276">
        <f>L247-H247</f>
        <v>0</v>
      </c>
      <c r="M248" s="2276"/>
      <c r="N248" s="1343"/>
      <c r="O248" s="1150"/>
      <c r="P248" s="2"/>
      <c r="Q248" s="2"/>
      <c r="AG248" s="591"/>
      <c r="AI248" s="591"/>
      <c r="AJ248" s="591"/>
      <c r="AK248" s="591"/>
      <c r="AL248" s="591"/>
      <c r="AN248" s="591"/>
      <c r="AO248" s="591"/>
      <c r="AP248" s="591"/>
      <c r="AQ248" s="591"/>
      <c r="AR248" s="591"/>
      <c r="AT248" s="591"/>
    </row>
    <row r="249" spans="1:46" ht="22.5" hidden="1" customHeight="1" x14ac:dyDescent="0.2">
      <c r="A249" s="2"/>
      <c r="B249" s="2"/>
      <c r="C249" s="2"/>
      <c r="D249" s="1336" t="s">
        <v>104</v>
      </c>
      <c r="E249" s="14"/>
      <c r="F249" s="14"/>
      <c r="G249" s="14"/>
      <c r="H249" s="1329"/>
      <c r="I249" s="14"/>
      <c r="J249" s="1330"/>
      <c r="K249" s="14"/>
      <c r="L249" s="2276"/>
      <c r="M249" s="2276"/>
      <c r="N249" s="1343"/>
      <c r="O249" s="1150"/>
      <c r="P249" s="2"/>
      <c r="Q249" s="2"/>
      <c r="AG249" s="591"/>
      <c r="AI249" s="591"/>
      <c r="AJ249" s="591"/>
      <c r="AK249" s="591"/>
      <c r="AL249" s="591"/>
      <c r="AN249" s="591"/>
      <c r="AO249" s="591"/>
      <c r="AP249" s="591"/>
      <c r="AQ249" s="591"/>
      <c r="AR249" s="591"/>
      <c r="AT249" s="591"/>
    </row>
    <row r="250" spans="1:46" ht="15.75" hidden="1" customHeight="1" x14ac:dyDescent="0.2">
      <c r="A250" s="2"/>
      <c r="B250" s="2"/>
      <c r="C250" s="2"/>
      <c r="D250" s="1337">
        <v>1</v>
      </c>
      <c r="E250" s="2260"/>
      <c r="F250" s="2260"/>
      <c r="G250" s="2260"/>
      <c r="H250" s="1152"/>
      <c r="I250" s="2269"/>
      <c r="J250" s="2270"/>
      <c r="K250" s="14"/>
      <c r="L250" s="14"/>
      <c r="M250" s="2"/>
      <c r="N250" s="1343"/>
      <c r="O250" s="1150"/>
      <c r="P250" s="2"/>
      <c r="Q250" s="2"/>
      <c r="AG250" s="591"/>
      <c r="AI250" s="591"/>
      <c r="AJ250" s="591"/>
      <c r="AK250" s="591"/>
      <c r="AL250" s="591"/>
      <c r="AN250" s="591"/>
      <c r="AO250" s="591"/>
      <c r="AP250" s="591"/>
      <c r="AQ250" s="591"/>
      <c r="AR250" s="591"/>
      <c r="AT250" s="591"/>
    </row>
    <row r="251" spans="1:46" ht="15.75" hidden="1" customHeight="1" x14ac:dyDescent="0.2">
      <c r="A251" s="2"/>
      <c r="B251" s="2"/>
      <c r="C251" s="2"/>
      <c r="D251" s="1337">
        <v>2</v>
      </c>
      <c r="E251" s="2260"/>
      <c r="F251" s="2260"/>
      <c r="G251" s="2260"/>
      <c r="H251" s="1153"/>
      <c r="I251" s="2269"/>
      <c r="J251" s="2270"/>
      <c r="K251" s="866"/>
      <c r="L251" s="14"/>
      <c r="M251" s="2"/>
      <c r="N251" s="1344" t="s">
        <v>111</v>
      </c>
      <c r="O251" s="1150"/>
      <c r="P251" s="2"/>
      <c r="Q251" s="2"/>
      <c r="AG251" s="591"/>
      <c r="AI251" s="591"/>
      <c r="AJ251" s="591"/>
      <c r="AK251" s="591"/>
      <c r="AL251" s="591"/>
      <c r="AN251" s="591"/>
      <c r="AO251" s="591"/>
      <c r="AP251" s="591"/>
      <c r="AQ251" s="591"/>
      <c r="AR251" s="591"/>
      <c r="AT251" s="591"/>
    </row>
    <row r="252" spans="1:46" ht="15.75" hidden="1" customHeight="1" x14ac:dyDescent="0.2">
      <c r="A252" s="2"/>
      <c r="B252" s="2"/>
      <c r="C252" s="2"/>
      <c r="D252" s="1337">
        <v>3</v>
      </c>
      <c r="E252" s="2260"/>
      <c r="F252" s="2260"/>
      <c r="G252" s="2260"/>
      <c r="H252" s="1153"/>
      <c r="I252" s="2269"/>
      <c r="J252" s="2270"/>
      <c r="K252" s="14"/>
      <c r="L252" s="14"/>
      <c r="M252" s="2"/>
      <c r="N252" s="1343" t="s">
        <v>112</v>
      </c>
      <c r="O252" s="1150"/>
      <c r="P252" s="2"/>
      <c r="Q252" s="2"/>
      <c r="AG252" s="591"/>
      <c r="AI252" s="591"/>
      <c r="AJ252" s="591"/>
      <c r="AK252" s="591"/>
      <c r="AL252" s="591"/>
      <c r="AN252" s="591"/>
      <c r="AO252" s="591"/>
      <c r="AP252" s="591"/>
      <c r="AQ252" s="591"/>
      <c r="AR252" s="591"/>
      <c r="AT252" s="591"/>
    </row>
    <row r="253" spans="1:46" ht="15.75" hidden="1" customHeight="1" x14ac:dyDescent="0.2">
      <c r="A253" s="2"/>
      <c r="B253" s="2"/>
      <c r="C253" s="2"/>
      <c r="D253" s="1337">
        <v>4</v>
      </c>
      <c r="E253" s="2260"/>
      <c r="F253" s="2260"/>
      <c r="G253" s="2260"/>
      <c r="H253" s="1153"/>
      <c r="I253" s="2269"/>
      <c r="J253" s="2270"/>
      <c r="K253" s="2"/>
      <c r="L253" s="2"/>
      <c r="M253" s="2"/>
      <c r="N253" s="139"/>
      <c r="O253" s="2"/>
      <c r="P253" s="2"/>
      <c r="Q253" s="2"/>
      <c r="AG253" s="591"/>
      <c r="AI253" s="591"/>
      <c r="AJ253" s="591"/>
      <c r="AK253" s="591"/>
      <c r="AL253" s="591"/>
      <c r="AN253" s="591"/>
      <c r="AO253" s="591"/>
      <c r="AP253" s="591"/>
      <c r="AQ253" s="591"/>
      <c r="AR253" s="591"/>
      <c r="AT253" s="591"/>
    </row>
    <row r="254" spans="1:46" ht="15.75" hidden="1" customHeight="1" x14ac:dyDescent="0.2">
      <c r="A254" s="2"/>
      <c r="B254" s="2"/>
      <c r="C254" s="2"/>
      <c r="D254" s="1337">
        <v>5</v>
      </c>
      <c r="E254" s="2260"/>
      <c r="F254" s="2260"/>
      <c r="G254" s="2260"/>
      <c r="H254" s="1153"/>
      <c r="I254" s="2269"/>
      <c r="J254" s="2270"/>
      <c r="K254" s="2"/>
      <c r="L254" s="2"/>
      <c r="M254" s="1345" t="s">
        <v>195</v>
      </c>
      <c r="N254" s="1346" t="s">
        <v>353</v>
      </c>
      <c r="O254" s="2"/>
      <c r="P254" s="2"/>
      <c r="Q254" s="2"/>
      <c r="AG254" s="591"/>
      <c r="AI254" s="591"/>
      <c r="AJ254" s="591"/>
      <c r="AK254" s="591"/>
      <c r="AL254" s="591"/>
      <c r="AN254" s="591"/>
      <c r="AO254" s="591"/>
      <c r="AP254" s="591"/>
      <c r="AQ254" s="591"/>
      <c r="AR254" s="591"/>
      <c r="AT254" s="591"/>
    </row>
    <row r="255" spans="1:46" ht="15.75" hidden="1" customHeight="1" x14ac:dyDescent="0.2">
      <c r="A255" s="2"/>
      <c r="B255" s="2"/>
      <c r="C255" s="2"/>
      <c r="D255" s="1337">
        <v>6</v>
      </c>
      <c r="E255" s="2260"/>
      <c r="F255" s="2260"/>
      <c r="G255" s="2260"/>
      <c r="H255" s="1153"/>
      <c r="I255" s="2269"/>
      <c r="J255" s="2270"/>
      <c r="K255" s="2"/>
      <c r="L255" s="2"/>
      <c r="M255" s="1339" t="str">
        <f>CONCATENATE("al ",G243," %")</f>
        <v>al 22 %</v>
      </c>
      <c r="N255" s="1347" t="e">
        <f>ROUND(G237-SUM(N256:N258),2)</f>
        <v>#DIV/0!</v>
      </c>
      <c r="O255" s="2"/>
      <c r="P255" s="2"/>
      <c r="Q255" s="2"/>
      <c r="R255" s="2"/>
      <c r="S255" s="2"/>
      <c r="T255" s="2"/>
      <c r="U255" s="2"/>
      <c r="AG255" s="591"/>
      <c r="AI255" s="591"/>
      <c r="AJ255" s="591"/>
      <c r="AK255" s="591"/>
      <c r="AL255" s="591"/>
      <c r="AN255" s="591"/>
      <c r="AO255" s="591"/>
      <c r="AP255" s="591"/>
      <c r="AQ255" s="591"/>
      <c r="AR255" s="591"/>
      <c r="AT255" s="591"/>
    </row>
    <row r="256" spans="1:46" ht="15.75" hidden="1" customHeight="1" x14ac:dyDescent="0.2">
      <c r="A256" s="2"/>
      <c r="B256" s="2"/>
      <c r="C256" s="2"/>
      <c r="D256" s="1337">
        <v>7</v>
      </c>
      <c r="E256" s="2260"/>
      <c r="F256" s="2260"/>
      <c r="G256" s="2260"/>
      <c r="H256" s="1153"/>
      <c r="I256" s="2269"/>
      <c r="J256" s="2270"/>
      <c r="K256" s="2"/>
      <c r="L256" s="2"/>
      <c r="M256" s="1339" t="str">
        <f>CONCATENATE("al ",G244," %")</f>
        <v>al 10 %</v>
      </c>
      <c r="N256" s="1348" t="e">
        <f>ROUND(G$237*N244/100,2)</f>
        <v>#DIV/0!</v>
      </c>
      <c r="O256" s="2"/>
      <c r="P256" s="2"/>
      <c r="Q256" s="2"/>
      <c r="R256" s="974">
        <f>IF(ISERROR(G264),0,G264)</f>
        <v>0</v>
      </c>
      <c r="S256" s="975">
        <f>IF(ISERROR(G265),0,G265)</f>
        <v>0</v>
      </c>
      <c r="T256" s="976">
        <f>IF(ISERROR(G266),0,G266)</f>
        <v>0</v>
      </c>
      <c r="U256" s="2"/>
      <c r="AG256" s="591"/>
      <c r="AI256" s="591"/>
      <c r="AJ256" s="591"/>
      <c r="AK256" s="591"/>
      <c r="AL256" s="591"/>
      <c r="AN256" s="591"/>
      <c r="AO256" s="591"/>
      <c r="AP256" s="591"/>
      <c r="AQ256" s="591"/>
      <c r="AR256" s="591"/>
      <c r="AT256" s="591"/>
    </row>
    <row r="257" spans="1:46" ht="15.75" hidden="1" customHeight="1" x14ac:dyDescent="0.2">
      <c r="A257" s="2"/>
      <c r="B257" s="2"/>
      <c r="C257" s="2"/>
      <c r="D257" s="1337">
        <v>8</v>
      </c>
      <c r="E257" s="2260"/>
      <c r="F257" s="2260"/>
      <c r="G257" s="2260"/>
      <c r="H257" s="1153"/>
      <c r="I257" s="2269"/>
      <c r="J257" s="2270"/>
      <c r="K257" s="2"/>
      <c r="L257" s="2"/>
      <c r="M257" s="1339" t="str">
        <f>CONCATENATE("al ",G245," %")</f>
        <v>al 4 %</v>
      </c>
      <c r="N257" s="1348" t="e">
        <f>ROUND(G$237*N245/100,2)</f>
        <v>#DIV/0!</v>
      </c>
      <c r="O257" s="2"/>
      <c r="P257" s="2"/>
      <c r="Q257" s="2"/>
      <c r="R257" s="978">
        <f>IF(ISERROR(H264),0,H264)</f>
        <v>0</v>
      </c>
      <c r="S257" s="968">
        <f>IF(ISERROR(H265),0,H265)</f>
        <v>0</v>
      </c>
      <c r="T257" s="979">
        <f>IF(ISERROR(H266),0,H266)</f>
        <v>0</v>
      </c>
      <c r="U257" s="2"/>
      <c r="AG257" s="591"/>
      <c r="AI257" s="591"/>
      <c r="AJ257" s="591"/>
      <c r="AK257" s="591"/>
      <c r="AL257" s="591"/>
      <c r="AN257" s="591"/>
      <c r="AO257" s="591"/>
      <c r="AP257" s="591"/>
      <c r="AQ257" s="591"/>
      <c r="AR257" s="591"/>
      <c r="AT257" s="591"/>
    </row>
    <row r="258" spans="1:46" ht="15.75" hidden="1" customHeight="1" x14ac:dyDescent="0.2">
      <c r="A258" s="2"/>
      <c r="B258" s="2"/>
      <c r="C258" s="2"/>
      <c r="D258" s="1337">
        <v>9</v>
      </c>
      <c r="E258" s="2260"/>
      <c r="F258" s="2260"/>
      <c r="G258" s="2260"/>
      <c r="H258" s="1153"/>
      <c r="I258" s="2269"/>
      <c r="J258" s="2270"/>
      <c r="K258" s="2"/>
      <c r="L258" s="2"/>
      <c r="M258" s="1339" t="str">
        <f>CONCATENATE("al ",G246," %")</f>
        <v>al  %</v>
      </c>
      <c r="N258" s="1349" t="e">
        <f>ROUND(G$237*N246/100,2)</f>
        <v>#DIV/0!</v>
      </c>
      <c r="O258" s="2"/>
      <c r="P258" s="2"/>
      <c r="Q258" s="2"/>
      <c r="R258" s="978">
        <f>IF(ISERROR(I264),0,I264)</f>
        <v>0</v>
      </c>
      <c r="S258" s="968">
        <f>IF(ISERROR(I265),0,I265)</f>
        <v>0</v>
      </c>
      <c r="T258" s="979">
        <f>IF(ISERROR(I266),0,I266)</f>
        <v>0</v>
      </c>
      <c r="U258" s="2"/>
      <c r="AG258" s="591"/>
      <c r="AI258" s="591"/>
      <c r="AJ258" s="591"/>
      <c r="AK258" s="591"/>
      <c r="AL258" s="591"/>
      <c r="AN258" s="591"/>
      <c r="AO258" s="591"/>
      <c r="AP258" s="591"/>
      <c r="AQ258" s="591"/>
      <c r="AR258" s="591"/>
      <c r="AT258" s="591"/>
    </row>
    <row r="259" spans="1:46" ht="15.75" hidden="1" customHeight="1" x14ac:dyDescent="0.2">
      <c r="A259" s="2"/>
      <c r="B259" s="2"/>
      <c r="C259" s="2"/>
      <c r="D259" s="1337">
        <v>10</v>
      </c>
      <c r="E259" s="2260"/>
      <c r="F259" s="2260"/>
      <c r="G259" s="2260"/>
      <c r="H259" s="1154"/>
      <c r="I259" s="2269"/>
      <c r="J259" s="2270"/>
      <c r="K259" s="2"/>
      <c r="L259" s="2"/>
      <c r="M259" s="2"/>
      <c r="N259" s="1350" t="e">
        <f>SUM(N255:N258)</f>
        <v>#DIV/0!</v>
      </c>
      <c r="O259" s="503" t="e">
        <f>IF(G237=N259,"OK",E163)</f>
        <v>#DIV/0!</v>
      </c>
      <c r="P259" s="2"/>
      <c r="Q259" s="2"/>
      <c r="R259" s="981">
        <f>IF(ISERROR(K264),0,K264)</f>
        <v>0</v>
      </c>
      <c r="S259" s="969">
        <f>IF(ISERROR(K265),0,K265)</f>
        <v>0</v>
      </c>
      <c r="T259" s="982">
        <f>IF(ISERROR(K266),0,K266)</f>
        <v>0</v>
      </c>
      <c r="U259" s="2"/>
      <c r="AG259" s="591"/>
      <c r="AI259" s="591"/>
      <c r="AJ259" s="591"/>
      <c r="AK259" s="591"/>
      <c r="AL259" s="591"/>
      <c r="AN259" s="591"/>
      <c r="AO259" s="591"/>
      <c r="AP259" s="591"/>
      <c r="AQ259" s="591"/>
      <c r="AR259" s="591"/>
      <c r="AT259" s="591"/>
    </row>
    <row r="260" spans="1:46" ht="18.75" hidden="1" customHeight="1" x14ac:dyDescent="0.2">
      <c r="A260" s="2"/>
      <c r="B260" s="2"/>
      <c r="C260" s="2"/>
      <c r="D260" s="1171"/>
      <c r="E260" s="14"/>
      <c r="F260" s="14"/>
      <c r="G260" s="983" t="s">
        <v>105</v>
      </c>
      <c r="H260" s="1338">
        <f>SUM(H250:H259)</f>
        <v>0</v>
      </c>
      <c r="I260" s="2"/>
      <c r="J260" s="1330"/>
      <c r="K260" s="2"/>
      <c r="L260" s="2"/>
      <c r="M260" s="2"/>
      <c r="N260" s="139"/>
      <c r="O260" s="2"/>
      <c r="P260" s="2"/>
      <c r="Q260" s="2"/>
      <c r="R260" s="2"/>
      <c r="S260" s="2"/>
      <c r="T260" s="2"/>
      <c r="U260" s="2"/>
      <c r="AG260" s="591"/>
      <c r="AI260" s="591"/>
      <c r="AJ260" s="591"/>
      <c r="AK260" s="591"/>
      <c r="AL260" s="591"/>
      <c r="AN260" s="591"/>
      <c r="AO260" s="591"/>
      <c r="AP260" s="591"/>
      <c r="AQ260" s="591"/>
      <c r="AR260" s="591"/>
      <c r="AT260" s="591"/>
    </row>
    <row r="261" spans="1:46" ht="20.25" hidden="1" customHeight="1" x14ac:dyDescent="0.2">
      <c r="A261" s="2"/>
      <c r="B261" s="2"/>
      <c r="C261" s="2"/>
      <c r="D261" s="1172"/>
      <c r="E261" s="1173"/>
      <c r="F261" s="1173"/>
      <c r="G261" s="1173"/>
      <c r="H261" s="2051"/>
      <c r="I261" s="2051"/>
      <c r="J261" s="2052"/>
      <c r="K261" s="1155"/>
      <c r="L261" s="2"/>
      <c r="M261" s="1155"/>
      <c r="N261" s="139"/>
      <c r="O261" s="59"/>
      <c r="P261" s="2"/>
      <c r="Q261" s="2"/>
      <c r="AG261" s="591"/>
      <c r="AI261" s="591"/>
      <c r="AJ261" s="591"/>
      <c r="AK261" s="591"/>
      <c r="AL261" s="591"/>
      <c r="AN261" s="591"/>
      <c r="AO261" s="591"/>
      <c r="AP261" s="591"/>
      <c r="AQ261" s="591"/>
      <c r="AR261" s="591"/>
      <c r="AT261" s="591"/>
    </row>
    <row r="262" spans="1:46" ht="20.25" hidden="1" customHeight="1" x14ac:dyDescent="0.2">
      <c r="A262" s="2"/>
      <c r="B262" s="2"/>
      <c r="C262" s="2"/>
      <c r="D262" s="2"/>
      <c r="E262" s="2"/>
      <c r="F262" s="2"/>
      <c r="G262" s="2"/>
      <c r="H262" s="2"/>
      <c r="I262" s="2"/>
      <c r="J262" s="2"/>
      <c r="K262" s="2"/>
      <c r="L262" s="2"/>
      <c r="M262" s="2"/>
      <c r="N262" s="139"/>
      <c r="O262" s="59"/>
      <c r="P262" s="2"/>
      <c r="Q262" s="2"/>
      <c r="AG262" s="591"/>
      <c r="AI262" s="591"/>
      <c r="AJ262" s="591"/>
      <c r="AK262" s="591"/>
      <c r="AL262" s="591"/>
      <c r="AN262" s="591"/>
      <c r="AO262" s="591"/>
      <c r="AP262" s="591"/>
      <c r="AQ262" s="591"/>
      <c r="AR262" s="591"/>
      <c r="AT262" s="591"/>
    </row>
    <row r="263" spans="1:46" ht="20.25" hidden="1" customHeight="1" x14ac:dyDescent="0.2">
      <c r="A263" s="2"/>
      <c r="B263" s="2"/>
      <c r="C263" s="2"/>
      <c r="D263" s="2"/>
      <c r="E263" s="20"/>
      <c r="F263" s="984" t="s">
        <v>764</v>
      </c>
      <c r="G263" s="985">
        <f>G243</f>
        <v>22</v>
      </c>
      <c r="H263" s="985">
        <f>G244</f>
        <v>10</v>
      </c>
      <c r="I263" s="2142">
        <f>G245</f>
        <v>4</v>
      </c>
      <c r="J263" s="2142"/>
      <c r="K263" s="985" t="str">
        <f>G246</f>
        <v/>
      </c>
      <c r="L263" s="2"/>
      <c r="M263" s="2298" t="str">
        <f>CONCATENATE("ANNO ",IMPOSTAZIONI!AH52)</f>
        <v>ANNO 2024</v>
      </c>
      <c r="N263" s="2299"/>
      <c r="O263" s="59"/>
      <c r="P263" s="2"/>
      <c r="Q263" s="2"/>
      <c r="AG263" s="591"/>
      <c r="AI263" s="591"/>
      <c r="AJ263" s="591"/>
      <c r="AK263" s="591"/>
      <c r="AL263" s="591"/>
      <c r="AN263" s="591"/>
      <c r="AO263" s="591"/>
      <c r="AP263" s="591"/>
      <c r="AQ263" s="591"/>
      <c r="AR263" s="591"/>
      <c r="AT263" s="591"/>
    </row>
    <row r="264" spans="1:46" ht="20.25" hidden="1" customHeight="1" x14ac:dyDescent="0.2">
      <c r="A264" s="2"/>
      <c r="B264" s="2"/>
      <c r="C264" s="2"/>
      <c r="D264" s="2"/>
      <c r="E264" s="2"/>
      <c r="F264" s="987" t="s">
        <v>757</v>
      </c>
      <c r="G264" s="1181" t="e">
        <f>N255-G265</f>
        <v>#DIV/0!</v>
      </c>
      <c r="H264" s="1224" t="e">
        <f>N256-H265</f>
        <v>#DIV/0!</v>
      </c>
      <c r="I264" s="2300" t="e">
        <f>N257-I265</f>
        <v>#DIV/0!</v>
      </c>
      <c r="J264" s="2300"/>
      <c r="K264" s="1226" t="e">
        <f>N258-K265</f>
        <v>#DIV/0!</v>
      </c>
      <c r="L264" s="14"/>
      <c r="M264" s="14"/>
      <c r="N264" s="1353">
        <f>SUM(R256:R259)</f>
        <v>0</v>
      </c>
      <c r="O264" s="1340" t="s">
        <v>758</v>
      </c>
      <c r="P264" s="2"/>
      <c r="Q264" s="2"/>
      <c r="AG264" s="591"/>
      <c r="AI264" s="591"/>
      <c r="AJ264" s="591"/>
      <c r="AK264" s="591"/>
      <c r="AL264" s="591"/>
      <c r="AN264" s="591"/>
      <c r="AO264" s="591"/>
      <c r="AP264" s="591"/>
      <c r="AQ264" s="591"/>
      <c r="AR264" s="591"/>
      <c r="AT264" s="591"/>
    </row>
    <row r="265" spans="1:46" ht="20.25" hidden="1" customHeight="1" x14ac:dyDescent="0.2">
      <c r="A265" s="2"/>
      <c r="B265" s="2"/>
      <c r="C265" s="2"/>
      <c r="D265" s="2"/>
      <c r="E265" s="2"/>
      <c r="F265" s="991" t="s">
        <v>759</v>
      </c>
      <c r="G265" s="1182" t="e">
        <f>ROUND(N255*G263/(100+G263),2)</f>
        <v>#DIV/0!</v>
      </c>
      <c r="H265" s="1225" t="e">
        <f>ROUND(N256*H263/(100+H263),2)</f>
        <v>#DIV/0!</v>
      </c>
      <c r="I265" s="2289" t="e">
        <f>ROUND(N257*I263/(100+I263),2)</f>
        <v>#DIV/0!</v>
      </c>
      <c r="J265" s="2289"/>
      <c r="K265" s="1227" t="e">
        <f>ROUND(N258*K263/(100+K263),2)</f>
        <v>#DIV/0!</v>
      </c>
      <c r="L265" s="2"/>
      <c r="M265" s="2"/>
      <c r="N265" s="1354">
        <f>SUM(S256:S259)</f>
        <v>0</v>
      </c>
      <c r="O265" s="1164" t="s">
        <v>760</v>
      </c>
      <c r="P265" s="2"/>
      <c r="Q265" s="2"/>
      <c r="AG265" s="591"/>
      <c r="AI265" s="591"/>
      <c r="AJ265" s="591"/>
      <c r="AK265" s="591"/>
      <c r="AL265" s="591"/>
      <c r="AN265" s="591"/>
      <c r="AO265" s="591"/>
      <c r="AP265" s="591"/>
      <c r="AQ265" s="591"/>
      <c r="AR265" s="591"/>
      <c r="AT265" s="591"/>
    </row>
    <row r="266" spans="1:46" ht="20.25" hidden="1" customHeight="1" x14ac:dyDescent="0.2">
      <c r="A266" s="2"/>
      <c r="B266" s="2"/>
      <c r="C266" s="2"/>
      <c r="D266" s="2"/>
      <c r="E266" s="287"/>
      <c r="F266" s="995" t="s">
        <v>602</v>
      </c>
      <c r="G266" s="996" t="e">
        <f>G264+G265</f>
        <v>#DIV/0!</v>
      </c>
      <c r="H266" s="996" t="e">
        <f>H264+H265</f>
        <v>#DIV/0!</v>
      </c>
      <c r="I266" s="2135" t="e">
        <f>I264+I265</f>
        <v>#DIV/0!</v>
      </c>
      <c r="J266" s="2135"/>
      <c r="K266" s="996" t="e">
        <f>K264+K265</f>
        <v>#DIV/0!</v>
      </c>
      <c r="L266" s="1351"/>
      <c r="M266" s="1351"/>
      <c r="N266" s="1352">
        <f>SUM(T256:T259)</f>
        <v>0</v>
      </c>
      <c r="O266" s="968" t="str">
        <f>IF(N283&lt;&gt;12,"",IF(N266=N259,"OK",E163))</f>
        <v/>
      </c>
      <c r="P266" s="2"/>
      <c r="Q266" s="2"/>
      <c r="AG266" s="591"/>
      <c r="AI266" s="591"/>
      <c r="AJ266" s="591"/>
      <c r="AK266" s="591"/>
      <c r="AL266" s="591"/>
      <c r="AN266" s="591"/>
      <c r="AO266" s="591"/>
      <c r="AP266" s="591"/>
      <c r="AQ266" s="591"/>
      <c r="AR266" s="591"/>
      <c r="AT266" s="591"/>
    </row>
    <row r="267" spans="1:46" hidden="1" x14ac:dyDescent="0.2">
      <c r="A267" s="2"/>
      <c r="B267" s="2"/>
      <c r="C267" s="2"/>
      <c r="D267" s="2"/>
      <c r="E267" s="2"/>
      <c r="F267" s="2"/>
      <c r="G267" s="2"/>
      <c r="H267" s="2"/>
      <c r="I267" s="2"/>
      <c r="J267" s="2"/>
      <c r="K267" s="2"/>
      <c r="L267" s="2"/>
      <c r="M267" s="2"/>
      <c r="N267" s="2"/>
      <c r="O267" s="2"/>
      <c r="P267" s="2"/>
      <c r="Q267" s="2"/>
    </row>
    <row r="268" spans="1:46" ht="19.5" hidden="1" customHeight="1" x14ac:dyDescent="0.2">
      <c r="A268" s="2"/>
      <c r="B268" s="2"/>
      <c r="C268" s="2"/>
      <c r="D268" s="2"/>
      <c r="E268" s="20"/>
      <c r="F268" s="1156" t="s">
        <v>810</v>
      </c>
      <c r="G268" s="2"/>
      <c r="H268" s="2"/>
      <c r="I268" s="2"/>
      <c r="J268" s="2"/>
      <c r="K268" s="2"/>
      <c r="L268" s="2"/>
      <c r="M268" s="14"/>
      <c r="N268" s="14"/>
      <c r="O268" s="2"/>
      <c r="P268" s="2"/>
      <c r="Q268" s="2"/>
      <c r="AC268" s="591"/>
      <c r="AD268" s="591"/>
      <c r="AE268" s="591"/>
      <c r="AF268" s="591"/>
      <c r="AG268" s="591"/>
      <c r="AI268" s="591"/>
      <c r="AJ268" s="591"/>
      <c r="AK268" s="591"/>
      <c r="AL268" s="591"/>
      <c r="AN268" s="591"/>
      <c r="AO268" s="591"/>
      <c r="AP268" s="591"/>
      <c r="AQ268" s="591"/>
      <c r="AR268" s="591"/>
      <c r="AT268" s="591"/>
    </row>
    <row r="269" spans="1:46" ht="19.5" hidden="1" customHeight="1" x14ac:dyDescent="0.2">
      <c r="A269" s="2"/>
      <c r="B269" s="2"/>
      <c r="C269" s="2"/>
      <c r="D269" s="2"/>
      <c r="E269" s="2"/>
      <c r="F269" s="984" t="s">
        <v>811</v>
      </c>
      <c r="G269" s="985">
        <f>G263</f>
        <v>22</v>
      </c>
      <c r="H269" s="985">
        <f>H263</f>
        <v>10</v>
      </c>
      <c r="I269" s="2142">
        <f>I263</f>
        <v>4</v>
      </c>
      <c r="J269" s="2142"/>
      <c r="K269" s="985" t="str">
        <f>K263</f>
        <v/>
      </c>
      <c r="L269" s="2288" t="s">
        <v>760</v>
      </c>
      <c r="M269" s="2288"/>
      <c r="N269" s="2"/>
      <c r="O269" s="2"/>
      <c r="P269" s="2"/>
      <c r="Q269" s="2"/>
    </row>
    <row r="270" spans="1:46" ht="16.5" hidden="1" customHeight="1" x14ac:dyDescent="0.2">
      <c r="A270" s="2"/>
      <c r="B270" s="2"/>
      <c r="C270" s="2"/>
      <c r="D270" s="2"/>
      <c r="E270" s="2"/>
      <c r="F270" s="966" t="s">
        <v>228</v>
      </c>
      <c r="G270" s="1228">
        <f>GEN!G$78</f>
        <v>0</v>
      </c>
      <c r="H270" s="1157">
        <f>GEN!H$78</f>
        <v>0</v>
      </c>
      <c r="I270" s="2286">
        <f>GEN!I$78</f>
        <v>0</v>
      </c>
      <c r="J270" s="2287"/>
      <c r="K270" s="1229">
        <f>GEN!K$78</f>
        <v>0</v>
      </c>
      <c r="L270" s="2275">
        <f t="shared" ref="L270:L281" si="37">SUM(G270:K270)</f>
        <v>0</v>
      </c>
      <c r="M270" s="2275"/>
      <c r="N270" s="624">
        <f>GEN!$C$61</f>
        <v>0</v>
      </c>
      <c r="O270" s="2"/>
      <c r="P270" s="2"/>
      <c r="Q270" s="2"/>
    </row>
    <row r="271" spans="1:46" ht="16.5" hidden="1" customHeight="1" x14ac:dyDescent="0.2">
      <c r="A271" s="2"/>
      <c r="B271" s="2"/>
      <c r="C271" s="2"/>
      <c r="D271" s="2"/>
      <c r="E271" s="2"/>
      <c r="F271" s="966" t="s">
        <v>229</v>
      </c>
      <c r="G271" s="1230">
        <f>FEB!G$78</f>
        <v>0</v>
      </c>
      <c r="H271" s="1158">
        <f>FEB!H$78</f>
        <v>0</v>
      </c>
      <c r="I271" s="2284">
        <f>FEB!I$78</f>
        <v>0</v>
      </c>
      <c r="J271" s="2285"/>
      <c r="K271" s="1231">
        <f>FEB!K$78</f>
        <v>0</v>
      </c>
      <c r="L271" s="2275">
        <f t="shared" si="37"/>
        <v>0</v>
      </c>
      <c r="M271" s="2275"/>
      <c r="N271" s="624">
        <f>FEB!$C$61</f>
        <v>0</v>
      </c>
      <c r="O271" s="2"/>
      <c r="P271" s="2"/>
      <c r="Q271" s="2"/>
    </row>
    <row r="272" spans="1:46" ht="16.5" hidden="1" customHeight="1" x14ac:dyDescent="0.2">
      <c r="A272" s="2"/>
      <c r="B272" s="2"/>
      <c r="C272" s="2"/>
      <c r="D272" s="2"/>
      <c r="E272" s="2"/>
      <c r="F272" s="966" t="s">
        <v>230</v>
      </c>
      <c r="G272" s="1230">
        <f>MAR!G$78</f>
        <v>0</v>
      </c>
      <c r="H272" s="1158">
        <f>MAR!H$78</f>
        <v>0</v>
      </c>
      <c r="I272" s="2284">
        <f>MAR!I$78</f>
        <v>0</v>
      </c>
      <c r="J272" s="2285"/>
      <c r="K272" s="1231">
        <f>MAR!K$78</f>
        <v>0</v>
      </c>
      <c r="L272" s="2275">
        <f t="shared" si="37"/>
        <v>0</v>
      </c>
      <c r="M272" s="2275"/>
      <c r="N272" s="624">
        <f>MAR!$C$61</f>
        <v>0</v>
      </c>
      <c r="O272" s="2"/>
      <c r="P272" s="2"/>
      <c r="Q272" s="2"/>
    </row>
    <row r="273" spans="1:17" ht="16.5" hidden="1" customHeight="1" x14ac:dyDescent="0.2">
      <c r="A273" s="2"/>
      <c r="B273" s="2"/>
      <c r="C273" s="2"/>
      <c r="D273" s="2"/>
      <c r="E273" s="2"/>
      <c r="F273" s="966" t="s">
        <v>232</v>
      </c>
      <c r="G273" s="1230">
        <f>APR!G$78</f>
        <v>0</v>
      </c>
      <c r="H273" s="1158">
        <f>APR!H$78</f>
        <v>0</v>
      </c>
      <c r="I273" s="2284">
        <f>APR!I$78</f>
        <v>0</v>
      </c>
      <c r="J273" s="2285"/>
      <c r="K273" s="1231">
        <f>APR!K$78</f>
        <v>0</v>
      </c>
      <c r="L273" s="2275">
        <f t="shared" si="37"/>
        <v>0</v>
      </c>
      <c r="M273" s="2275"/>
      <c r="N273" s="624">
        <f>APR!$C$61</f>
        <v>0</v>
      </c>
      <c r="O273" s="2"/>
      <c r="P273" s="2"/>
      <c r="Q273" s="2"/>
    </row>
    <row r="274" spans="1:17" ht="16.5" hidden="1" customHeight="1" x14ac:dyDescent="0.2">
      <c r="A274" s="2"/>
      <c r="B274" s="2"/>
      <c r="C274" s="2"/>
      <c r="D274" s="2"/>
      <c r="E274" s="2"/>
      <c r="F274" s="966" t="s">
        <v>233</v>
      </c>
      <c r="G274" s="1230">
        <f>MAG!G$78</f>
        <v>0</v>
      </c>
      <c r="H274" s="1158">
        <f>MAG!H$78</f>
        <v>0</v>
      </c>
      <c r="I274" s="2284">
        <f>MAG!I$78</f>
        <v>0</v>
      </c>
      <c r="J274" s="2285"/>
      <c r="K274" s="1231">
        <f>MAG!K$78</f>
        <v>0</v>
      </c>
      <c r="L274" s="2275">
        <f t="shared" si="37"/>
        <v>0</v>
      </c>
      <c r="M274" s="2275"/>
      <c r="N274" s="624">
        <f>MAG!$C$61</f>
        <v>0</v>
      </c>
      <c r="O274" s="2"/>
      <c r="P274" s="2"/>
      <c r="Q274" s="2"/>
    </row>
    <row r="275" spans="1:17" ht="16.5" hidden="1" customHeight="1" x14ac:dyDescent="0.2">
      <c r="A275" s="2"/>
      <c r="B275" s="2"/>
      <c r="C275" s="2"/>
      <c r="D275" s="2"/>
      <c r="E275" s="2"/>
      <c r="F275" s="966" t="s">
        <v>234</v>
      </c>
      <c r="G275" s="1230">
        <f>GIU!G$78</f>
        <v>0</v>
      </c>
      <c r="H275" s="1158">
        <f>GIU!H$78</f>
        <v>0</v>
      </c>
      <c r="I275" s="2284">
        <f>GIU!I$78</f>
        <v>0</v>
      </c>
      <c r="J275" s="2285"/>
      <c r="K275" s="1231">
        <f>GIU!K$78</f>
        <v>0</v>
      </c>
      <c r="L275" s="2275">
        <f t="shared" si="37"/>
        <v>0</v>
      </c>
      <c r="M275" s="2275"/>
      <c r="N275" s="624">
        <f>GIU!$C$61</f>
        <v>0</v>
      </c>
      <c r="O275" s="2"/>
      <c r="P275" s="2"/>
      <c r="Q275" s="2"/>
    </row>
    <row r="276" spans="1:17" ht="16.5" hidden="1" customHeight="1" x14ac:dyDescent="0.2">
      <c r="A276" s="2"/>
      <c r="B276" s="2"/>
      <c r="C276" s="2"/>
      <c r="D276" s="2"/>
      <c r="E276" s="2"/>
      <c r="F276" s="966" t="s">
        <v>236</v>
      </c>
      <c r="G276" s="1230">
        <f>LUG!G$78</f>
        <v>0</v>
      </c>
      <c r="H276" s="1158">
        <f>LUG!H$78</f>
        <v>0</v>
      </c>
      <c r="I276" s="2284">
        <f>LUG!I$78</f>
        <v>0</v>
      </c>
      <c r="J276" s="2285"/>
      <c r="K276" s="1231">
        <f>LUG!K$78</f>
        <v>0</v>
      </c>
      <c r="L276" s="2275">
        <f t="shared" si="37"/>
        <v>0</v>
      </c>
      <c r="M276" s="2275"/>
      <c r="N276" s="624">
        <f>LUG!$C$61</f>
        <v>0</v>
      </c>
      <c r="O276" s="2"/>
      <c r="P276" s="2"/>
      <c r="Q276" s="2"/>
    </row>
    <row r="277" spans="1:17" ht="16.5" hidden="1" customHeight="1" x14ac:dyDescent="0.2">
      <c r="A277" s="2"/>
      <c r="B277" s="2"/>
      <c r="C277" s="2"/>
      <c r="D277" s="2"/>
      <c r="E277" s="2"/>
      <c r="F277" s="966" t="s">
        <v>237</v>
      </c>
      <c r="G277" s="1230">
        <f>AGO!G$78</f>
        <v>0</v>
      </c>
      <c r="H277" s="1158">
        <f>AGO!H$78</f>
        <v>0</v>
      </c>
      <c r="I277" s="2284">
        <f>AGO!I$78</f>
        <v>0</v>
      </c>
      <c r="J277" s="2285"/>
      <c r="K277" s="1231">
        <f>AGO!K$78</f>
        <v>0</v>
      </c>
      <c r="L277" s="2275">
        <f t="shared" si="37"/>
        <v>0</v>
      </c>
      <c r="M277" s="2275"/>
      <c r="N277" s="624">
        <f>AGO!$C$61</f>
        <v>0</v>
      </c>
      <c r="O277" s="2"/>
      <c r="P277" s="2"/>
      <c r="Q277" s="2"/>
    </row>
    <row r="278" spans="1:17" ht="16.5" hidden="1" customHeight="1" x14ac:dyDescent="0.2">
      <c r="A278" s="2"/>
      <c r="B278" s="2"/>
      <c r="C278" s="2"/>
      <c r="D278" s="2"/>
      <c r="E278" s="2"/>
      <c r="F278" s="966" t="s">
        <v>238</v>
      </c>
      <c r="G278" s="1230">
        <f>SET!G$78</f>
        <v>0</v>
      </c>
      <c r="H278" s="1158">
        <f>SET!H$78</f>
        <v>0</v>
      </c>
      <c r="I278" s="2284">
        <f>SET!I$78</f>
        <v>0</v>
      </c>
      <c r="J278" s="2285"/>
      <c r="K278" s="1231">
        <f>SET!K$78</f>
        <v>0</v>
      </c>
      <c r="L278" s="2275">
        <f t="shared" si="37"/>
        <v>0</v>
      </c>
      <c r="M278" s="2275"/>
      <c r="N278" s="624">
        <f>SET!$C$61</f>
        <v>0</v>
      </c>
      <c r="O278" s="2"/>
      <c r="P278" s="2"/>
      <c r="Q278" s="2"/>
    </row>
    <row r="279" spans="1:17" ht="16.5" hidden="1" customHeight="1" x14ac:dyDescent="0.2">
      <c r="A279" s="2"/>
      <c r="B279" s="2"/>
      <c r="C279" s="2"/>
      <c r="D279" s="2"/>
      <c r="E279" s="2"/>
      <c r="F279" s="966" t="s">
        <v>240</v>
      </c>
      <c r="G279" s="1230">
        <f>OTT!G$78</f>
        <v>0</v>
      </c>
      <c r="H279" s="1158">
        <f>OTT!H$78</f>
        <v>0</v>
      </c>
      <c r="I279" s="2284">
        <f>OTT!I$78</f>
        <v>0</v>
      </c>
      <c r="J279" s="2285"/>
      <c r="K279" s="1231">
        <f>OTT!K$78</f>
        <v>0</v>
      </c>
      <c r="L279" s="2275">
        <f t="shared" si="37"/>
        <v>0</v>
      </c>
      <c r="M279" s="2275"/>
      <c r="N279" s="624">
        <f>OTT!$C$61</f>
        <v>0</v>
      </c>
      <c r="O279" s="2"/>
      <c r="P279" s="2"/>
      <c r="Q279" s="2"/>
    </row>
    <row r="280" spans="1:17" ht="16.5" hidden="1" customHeight="1" x14ac:dyDescent="0.2">
      <c r="A280" s="2"/>
      <c r="B280" s="2"/>
      <c r="C280" s="2"/>
      <c r="D280" s="2"/>
      <c r="E280" s="2"/>
      <c r="F280" s="966" t="s">
        <v>241</v>
      </c>
      <c r="G280" s="1230">
        <f>NOV!G$78</f>
        <v>0</v>
      </c>
      <c r="H280" s="1158">
        <f>NOV!H$78</f>
        <v>0</v>
      </c>
      <c r="I280" s="2284">
        <f>NOV!I$78</f>
        <v>0</v>
      </c>
      <c r="J280" s="2285"/>
      <c r="K280" s="1231">
        <f>NOV!K$78</f>
        <v>0</v>
      </c>
      <c r="L280" s="2275">
        <f t="shared" si="37"/>
        <v>0</v>
      </c>
      <c r="M280" s="2275"/>
      <c r="N280" s="624">
        <f>NOV!$C$61</f>
        <v>0</v>
      </c>
      <c r="O280" s="2"/>
      <c r="P280" s="2"/>
      <c r="Q280" s="2"/>
    </row>
    <row r="281" spans="1:17" ht="16.5" hidden="1" customHeight="1" x14ac:dyDescent="0.2">
      <c r="A281" s="2"/>
      <c r="B281" s="2"/>
      <c r="C281" s="2"/>
      <c r="D281" s="2"/>
      <c r="E281" s="2"/>
      <c r="F281" s="966" t="s">
        <v>242</v>
      </c>
      <c r="G281" s="1232">
        <f>DIC!G$78</f>
        <v>0</v>
      </c>
      <c r="H281" s="1159">
        <f>DIC!H$78</f>
        <v>0</v>
      </c>
      <c r="I281" s="2296">
        <f>DIC!I$78</f>
        <v>0</v>
      </c>
      <c r="J281" s="2297"/>
      <c r="K281" s="1233">
        <f>DIC!K$78</f>
        <v>0</v>
      </c>
      <c r="L281" s="2275">
        <f t="shared" si="37"/>
        <v>0</v>
      </c>
      <c r="M281" s="2275"/>
      <c r="N281" s="624">
        <f>DIC!$C$61</f>
        <v>0</v>
      </c>
      <c r="O281" s="2"/>
      <c r="P281" s="2"/>
      <c r="Q281" s="2"/>
    </row>
    <row r="282" spans="1:17" ht="3.75" hidden="1" customHeight="1" x14ac:dyDescent="0.2">
      <c r="A282" s="2"/>
      <c r="B282" s="2"/>
      <c r="C282" s="2"/>
      <c r="D282" s="2"/>
      <c r="E282" s="2"/>
      <c r="F282" s="2"/>
      <c r="G282" s="2"/>
      <c r="H282" s="2"/>
      <c r="I282" s="2202"/>
      <c r="J282" s="2202"/>
      <c r="K282" s="2"/>
      <c r="L282" s="2"/>
      <c r="M282" s="2"/>
      <c r="N282" s="1370"/>
      <c r="O282" s="2"/>
      <c r="P282" s="2"/>
      <c r="Q282" s="2"/>
    </row>
    <row r="283" spans="1:17" ht="18.75" hidden="1" customHeight="1" x14ac:dyDescent="0.2">
      <c r="A283" s="2"/>
      <c r="B283" s="2"/>
      <c r="C283" s="2"/>
      <c r="D283" s="2"/>
      <c r="E283" s="2"/>
      <c r="F283" s="966" t="s">
        <v>812</v>
      </c>
      <c r="G283" s="1234">
        <f>SUM(G270:G281)</f>
        <v>0</v>
      </c>
      <c r="H283" s="1160">
        <f>SUM(H270:H281)</f>
        <v>0</v>
      </c>
      <c r="I283" s="2293">
        <f>SUM(I270:I281)</f>
        <v>0</v>
      </c>
      <c r="J283" s="2294"/>
      <c r="K283" s="1235">
        <f>SUM(K270:K281)</f>
        <v>0</v>
      </c>
      <c r="L283" s="2292">
        <f>SUM(G283:K283)</f>
        <v>0</v>
      </c>
      <c r="M283" s="2292"/>
      <c r="N283" s="624">
        <f>SUM(N270:N281)</f>
        <v>0</v>
      </c>
      <c r="O283" s="2"/>
      <c r="P283" s="2"/>
      <c r="Q283" s="2"/>
    </row>
    <row r="284" spans="1:17" hidden="1" x14ac:dyDescent="0.2">
      <c r="A284" s="2"/>
      <c r="B284" s="2"/>
      <c r="C284" s="2"/>
      <c r="D284" s="2"/>
      <c r="E284" s="2"/>
      <c r="F284" s="2"/>
      <c r="G284" s="2"/>
      <c r="H284" s="2"/>
      <c r="I284" s="2"/>
      <c r="J284" s="2"/>
      <c r="K284" s="2"/>
      <c r="L284" s="2"/>
      <c r="M284" s="2"/>
      <c r="N284" s="2"/>
      <c r="O284" s="2"/>
      <c r="P284" s="2"/>
      <c r="Q284" s="2"/>
    </row>
    <row r="285" spans="1:17" ht="20.25" hidden="1" customHeight="1" x14ac:dyDescent="0.2">
      <c r="A285" s="2"/>
      <c r="B285" s="2"/>
      <c r="C285" s="2"/>
      <c r="D285" s="2"/>
      <c r="E285" s="2"/>
      <c r="F285" s="966" t="s">
        <v>102</v>
      </c>
      <c r="G285" s="1236">
        <f>IF($N$283&lt;&gt;12,0,IF(ISERROR(G265),0,G265-G283))</f>
        <v>0</v>
      </c>
      <c r="H285" s="1161">
        <f>IF($N$283&lt;&gt;12,0,IF(ISERROR(H265),0,H265-H283))</f>
        <v>0</v>
      </c>
      <c r="I285" s="2295">
        <f>IF(N283&lt;&gt;12,0,IF(ISERROR(I265),0,I265-I283))</f>
        <v>0</v>
      </c>
      <c r="J285" s="2295"/>
      <c r="K285" s="1237">
        <f>IF($N$283&lt;&gt;12,0,IF(ISERROR(K265),0,K265-K283))</f>
        <v>0</v>
      </c>
      <c r="L285" s="2290">
        <f>SUM(G285:K285)</f>
        <v>0</v>
      </c>
      <c r="M285" s="2291"/>
      <c r="N285" s="968" t="s">
        <v>603</v>
      </c>
      <c r="O285" s="2"/>
      <c r="P285" s="2"/>
      <c r="Q285" s="2"/>
    </row>
    <row r="286" spans="1:17" ht="18.75" hidden="1" customHeight="1" x14ac:dyDescent="0.2">
      <c r="A286" s="2"/>
      <c r="B286" s="2"/>
      <c r="C286" s="2"/>
      <c r="D286" s="2"/>
      <c r="E286" s="2"/>
      <c r="F286" s="2"/>
      <c r="G286" s="2"/>
      <c r="H286" s="2"/>
      <c r="I286" s="2"/>
      <c r="J286" s="2"/>
      <c r="K286" s="2"/>
      <c r="L286" s="2"/>
      <c r="M286" s="1163" t="s">
        <v>813</v>
      </c>
      <c r="N286" s="2"/>
      <c r="O286" s="2"/>
      <c r="P286" s="2"/>
      <c r="Q286" s="2"/>
    </row>
    <row r="287" spans="1:17" ht="15" hidden="1" customHeight="1" x14ac:dyDescent="0.2">
      <c r="A287" s="2"/>
      <c r="B287" s="2"/>
      <c r="C287" s="2"/>
      <c r="D287" s="2"/>
      <c r="E287" s="2"/>
      <c r="F287" s="2"/>
      <c r="G287" s="2"/>
      <c r="H287" s="2"/>
      <c r="I287" s="2"/>
      <c r="J287" s="2"/>
      <c r="K287" s="2"/>
      <c r="L287" s="2"/>
      <c r="M287" s="2"/>
      <c r="N287" s="2"/>
      <c r="O287" s="2"/>
      <c r="P287" s="2"/>
      <c r="Q287" s="2"/>
    </row>
    <row r="288" spans="1:17" ht="15" hidden="1" customHeight="1" x14ac:dyDescent="0.2">
      <c r="A288" s="2"/>
      <c r="B288" s="2"/>
      <c r="C288" s="2"/>
      <c r="D288" s="2"/>
      <c r="E288" s="2"/>
      <c r="F288" s="2"/>
      <c r="G288" s="2"/>
      <c r="H288" s="2"/>
      <c r="I288" s="2"/>
      <c r="J288" s="2"/>
      <c r="K288" s="2"/>
      <c r="L288" s="2"/>
      <c r="M288" s="2"/>
      <c r="N288" s="2"/>
      <c r="O288" s="2"/>
      <c r="P288" s="2"/>
      <c r="Q288" s="2"/>
    </row>
  </sheetData>
  <sheetProtection algorithmName="SHA-512" hashValue="xRfKlLiRVTkyFjzVYk5MHZ2WtoscTobZ2FNJJZ0xGHG8jwweXd5OnPrxpo9FUwirpT7/MGxJgnxDRztswn4jHw==" saltValue="OpUxiU5UO9V6WWlP/8CL+w==" spinCount="100000" sheet="1" objects="1" scenarios="1" selectLockedCells="1"/>
  <mergeCells count="315">
    <mergeCell ref="AN6:AQ6"/>
    <mergeCell ref="L51:M51"/>
    <mergeCell ref="L52:M52"/>
    <mergeCell ref="L53:M54"/>
    <mergeCell ref="L55:M55"/>
    <mergeCell ref="K147:L147"/>
    <mergeCell ref="K148:L148"/>
    <mergeCell ref="O97:P97"/>
    <mergeCell ref="O96:P96"/>
    <mergeCell ref="T65:T66"/>
    <mergeCell ref="O98:P98"/>
    <mergeCell ref="K53:K54"/>
    <mergeCell ref="P58:Q58"/>
    <mergeCell ref="I190:J190"/>
    <mergeCell ref="I180:J180"/>
    <mergeCell ref="I191:J191"/>
    <mergeCell ref="I181:J181"/>
    <mergeCell ref="I182:J182"/>
    <mergeCell ref="I183:J183"/>
    <mergeCell ref="I184:J184"/>
    <mergeCell ref="I185:J185"/>
    <mergeCell ref="I186:J186"/>
    <mergeCell ref="I189:J189"/>
    <mergeCell ref="I188:J188"/>
    <mergeCell ref="I206:J206"/>
    <mergeCell ref="I200:J200"/>
    <mergeCell ref="I201:J201"/>
    <mergeCell ref="I202:J202"/>
    <mergeCell ref="I203:J203"/>
    <mergeCell ref="I204:J204"/>
    <mergeCell ref="I205:J205"/>
    <mergeCell ref="I187:J187"/>
    <mergeCell ref="I172:J172"/>
    <mergeCell ref="I173:J173"/>
    <mergeCell ref="I174:J174"/>
    <mergeCell ref="I175:J175"/>
    <mergeCell ref="I176:J176"/>
    <mergeCell ref="I177:J177"/>
    <mergeCell ref="I199:J199"/>
    <mergeCell ref="I193:J193"/>
    <mergeCell ref="I195:J195"/>
    <mergeCell ref="I194:J194"/>
    <mergeCell ref="I196:J196"/>
    <mergeCell ref="I197:J197"/>
    <mergeCell ref="I198:J198"/>
    <mergeCell ref="I192:J192"/>
    <mergeCell ref="I178:J178"/>
    <mergeCell ref="I179:J179"/>
    <mergeCell ref="I168:J168"/>
    <mergeCell ref="I56:J56"/>
    <mergeCell ref="I119:J119"/>
    <mergeCell ref="C91:P91"/>
    <mergeCell ref="O104:P104"/>
    <mergeCell ref="O102:P102"/>
    <mergeCell ref="O103:P103"/>
    <mergeCell ref="L4:M5"/>
    <mergeCell ref="L44:M44"/>
    <mergeCell ref="I4:J5"/>
    <mergeCell ref="I44:J44"/>
    <mergeCell ref="I52:J52"/>
    <mergeCell ref="I53:J54"/>
    <mergeCell ref="C45:F45"/>
    <mergeCell ref="C39:D39"/>
    <mergeCell ref="C44:F44"/>
    <mergeCell ref="C43:D43"/>
    <mergeCell ref="E43:F43"/>
    <mergeCell ref="E39:F39"/>
    <mergeCell ref="C55:E55"/>
    <mergeCell ref="C53:E53"/>
    <mergeCell ref="C54:E54"/>
    <mergeCell ref="O101:P101"/>
    <mergeCell ref="G53:G54"/>
    <mergeCell ref="C217:D217"/>
    <mergeCell ref="E217:F217"/>
    <mergeCell ref="C215:D215"/>
    <mergeCell ref="E215:F215"/>
    <mergeCell ref="C216:D216"/>
    <mergeCell ref="E216:F216"/>
    <mergeCell ref="K149:L149"/>
    <mergeCell ref="I120:J120"/>
    <mergeCell ref="I121:J121"/>
    <mergeCell ref="K146:L146"/>
    <mergeCell ref="K145:L145"/>
    <mergeCell ref="I122:J122"/>
    <mergeCell ref="K144:L144"/>
    <mergeCell ref="C171:D172"/>
    <mergeCell ref="C170:D170"/>
    <mergeCell ref="C195:H195"/>
    <mergeCell ref="C193:D193"/>
    <mergeCell ref="E193:F193"/>
    <mergeCell ref="C196:D196"/>
    <mergeCell ref="C180:D180"/>
    <mergeCell ref="E180:F180"/>
    <mergeCell ref="C182:F182"/>
    <mergeCell ref="C207:H207"/>
    <mergeCell ref="C197:D198"/>
    <mergeCell ref="C56:D56"/>
    <mergeCell ref="L109:M109"/>
    <mergeCell ref="C103:F103"/>
    <mergeCell ref="I116:J116"/>
    <mergeCell ref="L69:M69"/>
    <mergeCell ref="I70:J70"/>
    <mergeCell ref="L70:M70"/>
    <mergeCell ref="I71:J71"/>
    <mergeCell ref="L71:M71"/>
    <mergeCell ref="L77:M77"/>
    <mergeCell ref="H53:H54"/>
    <mergeCell ref="O93:P93"/>
    <mergeCell ref="O56:P56"/>
    <mergeCell ref="O57:P57"/>
    <mergeCell ref="I55:J55"/>
    <mergeCell ref="L56:M56"/>
    <mergeCell ref="L108:M108"/>
    <mergeCell ref="I114:J114"/>
    <mergeCell ref="I115:J115"/>
    <mergeCell ref="I67:J67"/>
    <mergeCell ref="I68:J68"/>
    <mergeCell ref="L68:M68"/>
    <mergeCell ref="I69:J69"/>
    <mergeCell ref="I88:J88"/>
    <mergeCell ref="I89:J89"/>
    <mergeCell ref="I84:J84"/>
    <mergeCell ref="I85:J85"/>
    <mergeCell ref="I86:J86"/>
    <mergeCell ref="I87:J87"/>
    <mergeCell ref="C6:D6"/>
    <mergeCell ref="E16:F16"/>
    <mergeCell ref="E21:F21"/>
    <mergeCell ref="C7:D7"/>
    <mergeCell ref="E11:F11"/>
    <mergeCell ref="E9:F9"/>
    <mergeCell ref="E10:F10"/>
    <mergeCell ref="E15:F15"/>
    <mergeCell ref="E19:F19"/>
    <mergeCell ref="E18:F18"/>
    <mergeCell ref="E6:F6"/>
    <mergeCell ref="E7:F7"/>
    <mergeCell ref="E8:F8"/>
    <mergeCell ref="E14:F14"/>
    <mergeCell ref="E12:F12"/>
    <mergeCell ref="E13:F13"/>
    <mergeCell ref="E17:F17"/>
    <mergeCell ref="O4:P5"/>
    <mergeCell ref="E4:F5"/>
    <mergeCell ref="E28:F28"/>
    <mergeCell ref="E24:F24"/>
    <mergeCell ref="E25:F25"/>
    <mergeCell ref="E26:F26"/>
    <mergeCell ref="E29:F29"/>
    <mergeCell ref="E48:F48"/>
    <mergeCell ref="E47:F47"/>
    <mergeCell ref="E36:F36"/>
    <mergeCell ref="E30:F30"/>
    <mergeCell ref="E32:F32"/>
    <mergeCell ref="E23:F23"/>
    <mergeCell ref="C169:F169"/>
    <mergeCell ref="C57:F57"/>
    <mergeCell ref="C95:F95"/>
    <mergeCell ref="C96:D96"/>
    <mergeCell ref="C59:E59"/>
    <mergeCell ref="C98:F98"/>
    <mergeCell ref="C97:F97"/>
    <mergeCell ref="C102:F102"/>
    <mergeCell ref="C100:F100"/>
    <mergeCell ref="C126:M126"/>
    <mergeCell ref="I78:J78"/>
    <mergeCell ref="L78:M78"/>
    <mergeCell ref="I72:J72"/>
    <mergeCell ref="L72:M72"/>
    <mergeCell ref="I73:J73"/>
    <mergeCell ref="I74:K74"/>
    <mergeCell ref="I76:J76"/>
    <mergeCell ref="I77:J77"/>
    <mergeCell ref="I79:J79"/>
    <mergeCell ref="I81:J81"/>
    <mergeCell ref="I82:J82"/>
    <mergeCell ref="I83:J83"/>
    <mergeCell ref="I117:J117"/>
    <mergeCell ref="I118:J118"/>
    <mergeCell ref="E171:E172"/>
    <mergeCell ref="B163:D163"/>
    <mergeCell ref="E197:E198"/>
    <mergeCell ref="C184:D185"/>
    <mergeCell ref="E184:E185"/>
    <mergeCell ref="C183:D183"/>
    <mergeCell ref="C206:D206"/>
    <mergeCell ref="E206:F206"/>
    <mergeCell ref="E46:F46"/>
    <mergeCell ref="E167:F167"/>
    <mergeCell ref="C50:E50"/>
    <mergeCell ref="C51:E51"/>
    <mergeCell ref="C46:D46"/>
    <mergeCell ref="C48:D48"/>
    <mergeCell ref="C58:F58"/>
    <mergeCell ref="C94:F94"/>
    <mergeCell ref="E93:F93"/>
    <mergeCell ref="C93:D93"/>
    <mergeCell ref="C168:F168"/>
    <mergeCell ref="C104:F104"/>
    <mergeCell ref="E96:F96"/>
    <mergeCell ref="C101:F101"/>
    <mergeCell ref="B162:D162"/>
    <mergeCell ref="C167:D167"/>
    <mergeCell ref="K158:L158"/>
    <mergeCell ref="K157:L157"/>
    <mergeCell ref="K159:L159"/>
    <mergeCell ref="K160:L160"/>
    <mergeCell ref="M3:P3"/>
    <mergeCell ref="H3:L3"/>
    <mergeCell ref="C2:I2"/>
    <mergeCell ref="J2:P2"/>
    <mergeCell ref="C3:D3"/>
    <mergeCell ref="E3:G3"/>
    <mergeCell ref="E33:F33"/>
    <mergeCell ref="E34:F34"/>
    <mergeCell ref="E37:F37"/>
    <mergeCell ref="E35:F35"/>
    <mergeCell ref="E20:F20"/>
    <mergeCell ref="E22:F22"/>
    <mergeCell ref="E31:F31"/>
    <mergeCell ref="E27:F27"/>
    <mergeCell ref="C52:E52"/>
    <mergeCell ref="C47:D47"/>
    <mergeCell ref="E38:F38"/>
    <mergeCell ref="G50:M50"/>
    <mergeCell ref="I51:J51"/>
    <mergeCell ref="C4:D5"/>
    <mergeCell ref="I266:J266"/>
    <mergeCell ref="M263:N263"/>
    <mergeCell ref="I263:J263"/>
    <mergeCell ref="I264:J264"/>
    <mergeCell ref="I272:J272"/>
    <mergeCell ref="L272:M272"/>
    <mergeCell ref="AS7:AW7"/>
    <mergeCell ref="AB7:AE7"/>
    <mergeCell ref="AG7:AK7"/>
    <mergeCell ref="L87:M87"/>
    <mergeCell ref="L86:M86"/>
    <mergeCell ref="O44:P44"/>
    <mergeCell ref="H261:J261"/>
    <mergeCell ref="I250:J250"/>
    <mergeCell ref="I251:J251"/>
    <mergeCell ref="I252:J252"/>
    <mergeCell ref="I253:J253"/>
    <mergeCell ref="I258:J258"/>
    <mergeCell ref="I259:J259"/>
    <mergeCell ref="I254:J254"/>
    <mergeCell ref="I255:J255"/>
    <mergeCell ref="I256:J256"/>
    <mergeCell ref="I207:K207"/>
    <mergeCell ref="K156:L156"/>
    <mergeCell ref="L285:M285"/>
    <mergeCell ref="L276:M276"/>
    <mergeCell ref="L277:M277"/>
    <mergeCell ref="L278:M278"/>
    <mergeCell ref="L279:M279"/>
    <mergeCell ref="L283:M283"/>
    <mergeCell ref="I283:J283"/>
    <mergeCell ref="L280:M280"/>
    <mergeCell ref="L281:M281"/>
    <mergeCell ref="I285:J285"/>
    <mergeCell ref="I282:J282"/>
    <mergeCell ref="I276:J276"/>
    <mergeCell ref="I277:J277"/>
    <mergeCell ref="I278:J278"/>
    <mergeCell ref="I279:J279"/>
    <mergeCell ref="I280:J280"/>
    <mergeCell ref="I281:J281"/>
    <mergeCell ref="L273:M273"/>
    <mergeCell ref="L274:M274"/>
    <mergeCell ref="L275:M275"/>
    <mergeCell ref="M166:N166"/>
    <mergeCell ref="I166:J166"/>
    <mergeCell ref="I167:J167"/>
    <mergeCell ref="I169:J169"/>
    <mergeCell ref="I170:J170"/>
    <mergeCell ref="I171:J171"/>
    <mergeCell ref="I242:J242"/>
    <mergeCell ref="I243:J243"/>
    <mergeCell ref="I244:J244"/>
    <mergeCell ref="I245:J245"/>
    <mergeCell ref="M168:N168"/>
    <mergeCell ref="I273:J273"/>
    <mergeCell ref="I274:J274"/>
    <mergeCell ref="I275:J275"/>
    <mergeCell ref="I269:J269"/>
    <mergeCell ref="I270:J270"/>
    <mergeCell ref="I271:J271"/>
    <mergeCell ref="L270:M270"/>
    <mergeCell ref="L271:M271"/>
    <mergeCell ref="L269:M269"/>
    <mergeCell ref="I265:J265"/>
    <mergeCell ref="E259:G259"/>
    <mergeCell ref="E254:G254"/>
    <mergeCell ref="E255:G255"/>
    <mergeCell ref="E256:G256"/>
    <mergeCell ref="E257:G257"/>
    <mergeCell ref="I247:J247"/>
    <mergeCell ref="K239:N239"/>
    <mergeCell ref="K240:N240"/>
    <mergeCell ref="L241:M241"/>
    <mergeCell ref="E258:G258"/>
    <mergeCell ref="E252:G252"/>
    <mergeCell ref="E253:G253"/>
    <mergeCell ref="E251:G251"/>
    <mergeCell ref="E250:G250"/>
    <mergeCell ref="I257:J257"/>
    <mergeCell ref="I246:J246"/>
    <mergeCell ref="L246:M246"/>
    <mergeCell ref="L247:M247"/>
    <mergeCell ref="L248:M249"/>
    <mergeCell ref="L243:M243"/>
    <mergeCell ref="L242:M242"/>
    <mergeCell ref="L244:M244"/>
    <mergeCell ref="L245:M245"/>
  </mergeCells>
  <phoneticPr fontId="24" type="noConversion"/>
  <conditionalFormatting sqref="C57 G57">
    <cfRule type="expression" dxfId="1857" priority="1" stopIfTrue="1">
      <formula>C58=0</formula>
    </cfRule>
  </conditionalFormatting>
  <conditionalFormatting sqref="F121:F122">
    <cfRule type="expression" dxfId="1856" priority="2" stopIfTrue="1">
      <formula>SUM($G121:$I121)=0</formula>
    </cfRule>
  </conditionalFormatting>
  <conditionalFormatting sqref="G184:H192 K197:K205 K184:K192 K171:K179 G171:H179 G197:H205">
    <cfRule type="cellIs" dxfId="1855" priority="3" stopIfTrue="1" operator="equal">
      <formula>0</formula>
    </cfRule>
    <cfRule type="expression" dxfId="1854" priority="4" stopIfTrue="1">
      <formula>AND(G171=1,G170=0)</formula>
    </cfRule>
  </conditionalFormatting>
  <conditionalFormatting sqref="I171:J179 I184:J192 I197:J205">
    <cfRule type="cellIs" dxfId="1853" priority="5" stopIfTrue="1" operator="equal">
      <formula>0</formula>
    </cfRule>
    <cfRule type="expression" dxfId="1852" priority="6" stopIfTrue="1">
      <formula>AND($I171=1,$I170=0)</formula>
    </cfRule>
  </conditionalFormatting>
  <conditionalFormatting sqref="I93">
    <cfRule type="expression" dxfId="1851" priority="7" stopIfTrue="1">
      <formula>AND(I$155="X",I$93&lt;&gt;"")</formula>
    </cfRule>
  </conditionalFormatting>
  <conditionalFormatting sqref="I97">
    <cfRule type="expression" dxfId="1850" priority="8" stopIfTrue="1">
      <formula>AND(I$152=0,I$97&lt;&gt;0)</formula>
    </cfRule>
    <cfRule type="expression" dxfId="1849" priority="9" stopIfTrue="1">
      <formula>I$152=0</formula>
    </cfRule>
  </conditionalFormatting>
  <conditionalFormatting sqref="G98:I98">
    <cfRule type="expression" dxfId="1848" priority="10" stopIfTrue="1">
      <formula>AND(G$152=0,G$98&lt;&gt;0)</formula>
    </cfRule>
    <cfRule type="expression" dxfId="1847" priority="11" stopIfTrue="1">
      <formula>G$152=0</formula>
    </cfRule>
  </conditionalFormatting>
  <conditionalFormatting sqref="J93">
    <cfRule type="expression" dxfId="1846" priority="12" stopIfTrue="1">
      <formula>AND(I$155="X",J$93&lt;&gt;"")</formula>
    </cfRule>
  </conditionalFormatting>
  <conditionalFormatting sqref="J97">
    <cfRule type="expression" dxfId="1845" priority="13" stopIfTrue="1">
      <formula>AND(I$152=0,J$97&lt;&gt;0)</formula>
    </cfRule>
    <cfRule type="expression" dxfId="1844" priority="14" stopIfTrue="1">
      <formula>I$152=0</formula>
    </cfRule>
  </conditionalFormatting>
  <conditionalFormatting sqref="J98">
    <cfRule type="expression" dxfId="1843" priority="15" stopIfTrue="1">
      <formula>AND(I$152=0,J$98&lt;&gt;0)</formula>
    </cfRule>
    <cfRule type="expression" dxfId="1842" priority="16" stopIfTrue="1">
      <formula>I$152=0</formula>
    </cfRule>
  </conditionalFormatting>
  <conditionalFormatting sqref="G101:I101">
    <cfRule type="expression" dxfId="1841" priority="17" stopIfTrue="1">
      <formula>AND(G$152=0,G$101&lt;&gt;0)</formula>
    </cfRule>
    <cfRule type="expression" dxfId="1840" priority="18" stopIfTrue="1">
      <formula>AND($C101="ERROR",G101&gt;0)</formula>
    </cfRule>
    <cfRule type="expression" dxfId="1839" priority="19" stopIfTrue="1">
      <formula>G$152=0</formula>
    </cfRule>
  </conditionalFormatting>
  <conditionalFormatting sqref="G102:I102">
    <cfRule type="expression" dxfId="1838" priority="20" stopIfTrue="1">
      <formula>AND(G$152=0,G$102&lt;&gt;0)</formula>
    </cfRule>
    <cfRule type="expression" dxfId="1837" priority="21" stopIfTrue="1">
      <formula>AND($C102="ERROR",G102&gt;0)</formula>
    </cfRule>
    <cfRule type="expression" dxfId="1836" priority="22" stopIfTrue="1">
      <formula>G$152=0</formula>
    </cfRule>
  </conditionalFormatting>
  <conditionalFormatting sqref="G103:I103">
    <cfRule type="expression" dxfId="1835" priority="23" stopIfTrue="1">
      <formula>AND(G$152=0,G$103&lt;&gt;0)</formula>
    </cfRule>
    <cfRule type="expression" dxfId="1834" priority="24" stopIfTrue="1">
      <formula>AND($C103="ERROR",G103&gt;0)</formula>
    </cfRule>
    <cfRule type="expression" dxfId="1833" priority="25" stopIfTrue="1">
      <formula>G$152=0</formula>
    </cfRule>
  </conditionalFormatting>
  <conditionalFormatting sqref="G104:I104">
    <cfRule type="expression" dxfId="1832" priority="26" stopIfTrue="1">
      <formula>AND(G$152=0,G$104&lt;&gt;0)</formula>
    </cfRule>
    <cfRule type="expression" dxfId="1831" priority="27" stopIfTrue="1">
      <formula>AND($C104="ERROR",G104&gt;0)</formula>
    </cfRule>
    <cfRule type="expression" dxfId="1830" priority="28" stopIfTrue="1">
      <formula>G$152=0</formula>
    </cfRule>
  </conditionalFormatting>
  <conditionalFormatting sqref="J101">
    <cfRule type="expression" dxfId="1829" priority="29" stopIfTrue="1">
      <formula>AND(I$152=0,J$101&lt;&gt;0)</formula>
    </cfRule>
    <cfRule type="expression" dxfId="1828" priority="30" stopIfTrue="1">
      <formula>AND($C101="ERROR",J101&gt;0)</formula>
    </cfRule>
    <cfRule type="expression" dxfId="1827" priority="31" stopIfTrue="1">
      <formula>I$152=0</formula>
    </cfRule>
  </conditionalFormatting>
  <conditionalFormatting sqref="J102">
    <cfRule type="expression" dxfId="1826" priority="32" stopIfTrue="1">
      <formula>AND(I$152=0,J$102&lt;&gt;0)</formula>
    </cfRule>
    <cfRule type="expression" dxfId="1825" priority="33" stopIfTrue="1">
      <formula>AND($C102="ERROR",J102&gt;0)</formula>
    </cfRule>
    <cfRule type="expression" dxfId="1824" priority="34" stopIfTrue="1">
      <formula>I$152=0</formula>
    </cfRule>
  </conditionalFormatting>
  <conditionalFormatting sqref="J103">
    <cfRule type="expression" dxfId="1823" priority="35" stopIfTrue="1">
      <formula>AND(I$152=0,J$103&lt;&gt;0)</formula>
    </cfRule>
    <cfRule type="expression" dxfId="1822" priority="36" stopIfTrue="1">
      <formula>AND($C103="ERROR",J103&gt;0)</formula>
    </cfRule>
    <cfRule type="expression" dxfId="1821" priority="37" stopIfTrue="1">
      <formula>I$152=0</formula>
    </cfRule>
  </conditionalFormatting>
  <conditionalFormatting sqref="J104">
    <cfRule type="expression" dxfId="1820" priority="38" stopIfTrue="1">
      <formula>AND(I$152=0,J$104&lt;&gt;0)</formula>
    </cfRule>
    <cfRule type="expression" dxfId="1819" priority="39" stopIfTrue="1">
      <formula>AND($C104="ERROR",J104&gt;0)</formula>
    </cfRule>
    <cfRule type="expression" dxfId="1818" priority="40" stopIfTrue="1">
      <formula>I$152=0</formula>
    </cfRule>
  </conditionalFormatting>
  <conditionalFormatting sqref="O101:P104">
    <cfRule type="expression" dxfId="1817" priority="41" stopIfTrue="1">
      <formula>SUM($G$152:$J$152)=0</formula>
    </cfRule>
    <cfRule type="expression" dxfId="1816" priority="42" stopIfTrue="1">
      <formula>$B101=""</formula>
    </cfRule>
  </conditionalFormatting>
  <conditionalFormatting sqref="E8:F38">
    <cfRule type="expression" dxfId="1815" priority="43" stopIfTrue="1">
      <formula>$AA8=$Y$6</formula>
    </cfRule>
    <cfRule type="expression" dxfId="1814" priority="44" stopIfTrue="1">
      <formula>AND($AA8=0,$E8=0)</formula>
    </cfRule>
    <cfRule type="expression" dxfId="1813" priority="45" stopIfTrue="1">
      <formula>$AA8=0</formula>
    </cfRule>
  </conditionalFormatting>
  <conditionalFormatting sqref="I6 L6 O6">
    <cfRule type="expression" dxfId="1812" priority="46" stopIfTrue="1">
      <formula>I6=""</formula>
    </cfRule>
    <cfRule type="expression" dxfId="1811" priority="47" stopIfTrue="1">
      <formula>OR(I4=0,I4=$K$130)</formula>
    </cfRule>
    <cfRule type="expression" dxfId="1810" priority="48" stopIfTrue="1">
      <formula>I4&lt;&gt;$K$130</formula>
    </cfRule>
  </conditionalFormatting>
  <conditionalFormatting sqref="J6 M6 P6">
    <cfRule type="expression" dxfId="1809" priority="49" stopIfTrue="1">
      <formula>J6=""</formula>
    </cfRule>
    <cfRule type="expression" dxfId="1808" priority="50" stopIfTrue="1">
      <formula>OR(I4=0,I4=$K$130)</formula>
    </cfRule>
    <cfRule type="expression" dxfId="1807" priority="51" stopIfTrue="1">
      <formula>I4&lt;&gt;$K$130</formula>
    </cfRule>
  </conditionalFormatting>
  <conditionalFormatting sqref="I53">
    <cfRule type="expression" dxfId="1806" priority="52" stopIfTrue="1">
      <formula>ISERROR($G$155)</formula>
    </cfRule>
    <cfRule type="expression" dxfId="1805" priority="53" stopIfTrue="1">
      <formula>ISERROR($I53)</formula>
    </cfRule>
  </conditionalFormatting>
  <conditionalFormatting sqref="G39:H39">
    <cfRule type="expression" dxfId="1804" priority="54" stopIfTrue="1">
      <formula>ISERROR($G$155)</formula>
    </cfRule>
    <cfRule type="expression" dxfId="1803" priority="55" stopIfTrue="1">
      <formula>OR($I$163=0,G$4="")</formula>
    </cfRule>
    <cfRule type="expression" dxfId="1802" priority="56" stopIfTrue="1">
      <formula>OR(G$4="",ISERROR(G$155))</formula>
    </cfRule>
  </conditionalFormatting>
  <conditionalFormatting sqref="G97:H97">
    <cfRule type="expression" dxfId="1801" priority="57" stopIfTrue="1">
      <formula>AND(G$152=0,G$97&lt;&gt;0)</formula>
    </cfRule>
    <cfRule type="expression" dxfId="1800" priority="58" stopIfTrue="1">
      <formula>G$152=0</formula>
    </cfRule>
    <cfRule type="expression" dxfId="1799" priority="59" stopIfTrue="1">
      <formula>AND(G$96&lt;&gt;0,G$97="")</formula>
    </cfRule>
  </conditionalFormatting>
  <conditionalFormatting sqref="C101:F104">
    <cfRule type="cellIs" dxfId="1798" priority="60" stopIfTrue="1" operator="equal">
      <formula>"ERROR"</formula>
    </cfRule>
    <cfRule type="expression" dxfId="1797" priority="61" stopIfTrue="1">
      <formula>ISBLANK($B101)</formula>
    </cfRule>
    <cfRule type="expression" dxfId="1796" priority="62" stopIfTrue="1">
      <formula>SUM($G$152:$J$152)=0</formula>
    </cfRule>
  </conditionalFormatting>
  <conditionalFormatting sqref="K73">
    <cfRule type="expression" dxfId="1795" priority="63" stopIfTrue="1">
      <formula>ISERROR(K73)</formula>
    </cfRule>
    <cfRule type="expression" dxfId="1794" priority="64" stopIfTrue="1">
      <formula>I73=0</formula>
    </cfRule>
    <cfRule type="expression" dxfId="1793" priority="65" stopIfTrue="1">
      <formula>$C$61=0</formula>
    </cfRule>
  </conditionalFormatting>
  <conditionalFormatting sqref="G70:G71">
    <cfRule type="expression" dxfId="1792" priority="66" stopIfTrue="1">
      <formula>$C$61=0</formula>
    </cfRule>
    <cfRule type="expression" dxfId="1791" priority="67" stopIfTrue="1">
      <formula>SUM($G$69:$G$72)=0</formula>
    </cfRule>
    <cfRule type="expression" dxfId="1790" priority="68" stopIfTrue="1">
      <formula>AND(G70&lt;&gt;0,ISERROR(H70))</formula>
    </cfRule>
  </conditionalFormatting>
  <conditionalFormatting sqref="G72">
    <cfRule type="expression" dxfId="1789" priority="69" stopIfTrue="1">
      <formula>$C$61=0</formula>
    </cfRule>
    <cfRule type="expression" dxfId="1788" priority="70" stopIfTrue="1">
      <formula>SUM($G$69:$G$72)=0</formula>
    </cfRule>
    <cfRule type="expression" dxfId="1787" priority="71" stopIfTrue="1">
      <formula>AND(G72&lt;&gt;0,ISERROR(H72))</formula>
    </cfRule>
  </conditionalFormatting>
  <conditionalFormatting sqref="G69">
    <cfRule type="expression" dxfId="1786" priority="72" stopIfTrue="1">
      <formula>$C$61=0</formula>
    </cfRule>
    <cfRule type="expression" dxfId="1785" priority="73" stopIfTrue="1">
      <formula>SUM($G$69:$G$72)=0</formula>
    </cfRule>
    <cfRule type="expression" dxfId="1784" priority="74" stopIfTrue="1">
      <formula>AND(G69&lt;&gt;0,ISERROR(H69))</formula>
    </cfRule>
  </conditionalFormatting>
  <conditionalFormatting sqref="I74">
    <cfRule type="expression" dxfId="1783" priority="75" stopIfTrue="1">
      <formula>$C$61=0</formula>
    </cfRule>
    <cfRule type="expression" dxfId="1782" priority="76" stopIfTrue="1">
      <formula>I73=0</formula>
    </cfRule>
  </conditionalFormatting>
  <conditionalFormatting sqref="G89:K89">
    <cfRule type="cellIs" dxfId="1781" priority="77" stopIfTrue="1" operator="equal">
      <formula>0</formula>
    </cfRule>
    <cfRule type="expression" dxfId="1780" priority="78" stopIfTrue="1">
      <formula>G$88=0</formula>
    </cfRule>
  </conditionalFormatting>
  <conditionalFormatting sqref="I77:J78">
    <cfRule type="expression" dxfId="1779" priority="79" stopIfTrue="1">
      <formula>$C$61=0</formula>
    </cfRule>
    <cfRule type="expression" dxfId="1778" priority="80" stopIfTrue="1">
      <formula>ISERROR($I77)</formula>
    </cfRule>
    <cfRule type="cellIs" dxfId="1777" priority="81" stopIfTrue="1" operator="equal">
      <formula>0</formula>
    </cfRule>
  </conditionalFormatting>
  <conditionalFormatting sqref="I79:J79">
    <cfRule type="expression" dxfId="1776" priority="82" stopIfTrue="1">
      <formula>ISERROR($I79)</formula>
    </cfRule>
    <cfRule type="expression" dxfId="1775" priority="83" stopIfTrue="1">
      <formula>$C$61=0</formula>
    </cfRule>
    <cfRule type="cellIs" dxfId="1774" priority="84" stopIfTrue="1" operator="equal">
      <formula>0</formula>
    </cfRule>
  </conditionalFormatting>
  <conditionalFormatting sqref="L77:M78">
    <cfRule type="expression" dxfId="1773" priority="85" stopIfTrue="1">
      <formula>ISERROR($L77)</formula>
    </cfRule>
    <cfRule type="expression" dxfId="1772" priority="86" stopIfTrue="1">
      <formula>$C$61=0</formula>
    </cfRule>
  </conditionalFormatting>
  <conditionalFormatting sqref="G93:H93">
    <cfRule type="expression" dxfId="1771" priority="87" stopIfTrue="1">
      <formula>AND(G$155="X",G$93&lt;&gt;"")</formula>
    </cfRule>
  </conditionalFormatting>
  <conditionalFormatting sqref="G81:K81">
    <cfRule type="expression" dxfId="1770" priority="88" stopIfTrue="1">
      <formula>$C$61=0</formula>
    </cfRule>
    <cfRule type="expression" dxfId="1769" priority="89" stopIfTrue="1">
      <formula>G$89&lt;&gt;0</formula>
    </cfRule>
  </conditionalFormatting>
  <conditionalFormatting sqref="I88:J88">
    <cfRule type="expression" dxfId="1768" priority="90" stopIfTrue="1">
      <formula>ISERROR($I88)</formula>
    </cfRule>
    <cfRule type="cellIs" dxfId="1767" priority="91" stopIfTrue="1" operator="equal">
      <formula>0</formula>
    </cfRule>
    <cfRule type="expression" dxfId="1766" priority="92" stopIfTrue="1">
      <formula>$C$61=0</formula>
    </cfRule>
  </conditionalFormatting>
  <conditionalFormatting sqref="I247:J247">
    <cfRule type="expression" dxfId="1765" priority="93" stopIfTrue="1">
      <formula>$N$283&lt;&gt;12</formula>
    </cfRule>
    <cfRule type="expression" dxfId="1764" priority="94" stopIfTrue="1">
      <formula>H247=0</formula>
    </cfRule>
    <cfRule type="expression" dxfId="1763" priority="95" stopIfTrue="1">
      <formula>ISERROR(I247)</formula>
    </cfRule>
  </conditionalFormatting>
  <conditionalFormatting sqref="I269:J269 I263:J263">
    <cfRule type="expression" dxfId="1762" priority="96" stopIfTrue="1">
      <formula>ISERROR($I263)</formula>
    </cfRule>
    <cfRule type="expression" dxfId="1761" priority="97" stopIfTrue="1">
      <formula>$N$283&lt;&gt;12</formula>
    </cfRule>
  </conditionalFormatting>
  <conditionalFormatting sqref="I270:J281">
    <cfRule type="expression" dxfId="1760" priority="98" stopIfTrue="1">
      <formula>$N$283&lt;&gt;12</formula>
    </cfRule>
    <cfRule type="expression" dxfId="1759" priority="99" stopIfTrue="1">
      <formula>$I270=0</formula>
    </cfRule>
  </conditionalFormatting>
  <conditionalFormatting sqref="I283:J283">
    <cfRule type="expression" dxfId="1758" priority="100" stopIfTrue="1">
      <formula>$N$283&lt;&gt;12</formula>
    </cfRule>
    <cfRule type="expression" dxfId="1757" priority="101" stopIfTrue="1">
      <formula>$I283=0</formula>
    </cfRule>
  </conditionalFormatting>
  <conditionalFormatting sqref="L270:M281 L283:M283">
    <cfRule type="expression" dxfId="1756" priority="102" stopIfTrue="1">
      <formula>$N$283&lt;&gt;12</formula>
    </cfRule>
    <cfRule type="expression" dxfId="1755" priority="103" stopIfTrue="1">
      <formula>$L270=0</formula>
    </cfRule>
  </conditionalFormatting>
  <conditionalFormatting sqref="G285:H285 K285">
    <cfRule type="expression" dxfId="1754" priority="104" stopIfTrue="1">
      <formula>$N$283&lt;&gt;12</formula>
    </cfRule>
    <cfRule type="expression" dxfId="1753" priority="105" stopIfTrue="1">
      <formula>G283=0</formula>
    </cfRule>
  </conditionalFormatting>
  <conditionalFormatting sqref="I285:J285">
    <cfRule type="expression" dxfId="1752" priority="106" stopIfTrue="1">
      <formula>$N$283&lt;&gt;12</formula>
    </cfRule>
    <cfRule type="expression" dxfId="1751" priority="107" stopIfTrue="1">
      <formula>$I283=0</formula>
    </cfRule>
  </conditionalFormatting>
  <conditionalFormatting sqref="H69:H72">
    <cfRule type="expression" dxfId="1750" priority="108" stopIfTrue="1">
      <formula>ISERROR(H69)</formula>
    </cfRule>
    <cfRule type="expression" dxfId="1749" priority="109" stopIfTrue="1">
      <formula>$C$61=0</formula>
    </cfRule>
    <cfRule type="expression" dxfId="1748" priority="110" stopIfTrue="1">
      <formula>$H69=$E$163</formula>
    </cfRule>
  </conditionalFormatting>
  <conditionalFormatting sqref="G76:H76 K76">
    <cfRule type="expression" dxfId="1747" priority="111" stopIfTrue="1">
      <formula>ISERROR(G76)</formula>
    </cfRule>
    <cfRule type="expression" dxfId="1746" priority="112" stopIfTrue="1">
      <formula>$C$61=0</formula>
    </cfRule>
    <cfRule type="expression" dxfId="1745" priority="113" stopIfTrue="1">
      <formula>G$76=$E$163</formula>
    </cfRule>
  </conditionalFormatting>
  <conditionalFormatting sqref="I76:J76">
    <cfRule type="expression" dxfId="1744" priority="114" stopIfTrue="1">
      <formula>ISERROR($I76)</formula>
    </cfRule>
    <cfRule type="expression" dxfId="1743" priority="115" stopIfTrue="1">
      <formula>$C$61=0</formula>
    </cfRule>
    <cfRule type="expression" dxfId="1742" priority="116" stopIfTrue="1">
      <formula>$I76=$E$163</formula>
    </cfRule>
  </conditionalFormatting>
  <conditionalFormatting sqref="K69:K72">
    <cfRule type="expression" dxfId="1741" priority="117" stopIfTrue="1">
      <formula>OR(ISERROR(H69),ISERROR(K69))</formula>
    </cfRule>
    <cfRule type="expression" dxfId="1740" priority="118" stopIfTrue="1">
      <formula>AND($I69=0,$C$61&lt;&gt;0,$G69=0)</formula>
    </cfRule>
    <cfRule type="expression" dxfId="1739" priority="119" stopIfTrue="1">
      <formula>$C$61=0</formula>
    </cfRule>
  </conditionalFormatting>
  <conditionalFormatting sqref="L93">
    <cfRule type="expression" dxfId="1738" priority="120" stopIfTrue="1">
      <formula>AND(J$155="X",L$93&lt;&gt;"")</formula>
    </cfRule>
  </conditionalFormatting>
  <conditionalFormatting sqref="L97">
    <cfRule type="expression" dxfId="1737" priority="121" stopIfTrue="1">
      <formula>AND(J$152=0,L$97&lt;&gt;0)</formula>
    </cfRule>
    <cfRule type="expression" dxfId="1736" priority="122" stopIfTrue="1">
      <formula>J$152=0</formula>
    </cfRule>
  </conditionalFormatting>
  <conditionalFormatting sqref="K98:L98">
    <cfRule type="expression" dxfId="1735" priority="123" stopIfTrue="1">
      <formula>AND(I$152=0,K$98&lt;&gt;0)</formula>
    </cfRule>
    <cfRule type="expression" dxfId="1734" priority="124" stopIfTrue="1">
      <formula>I$152=0</formula>
    </cfRule>
  </conditionalFormatting>
  <conditionalFormatting sqref="N98">
    <cfRule type="expression" dxfId="1733" priority="125" stopIfTrue="1">
      <formula>AND(J$152=0,N$98&lt;&gt;0)</formula>
    </cfRule>
    <cfRule type="expression" dxfId="1732" priority="126" stopIfTrue="1">
      <formula>J$152=0</formula>
    </cfRule>
  </conditionalFormatting>
  <conditionalFormatting sqref="M93">
    <cfRule type="expression" dxfId="1731" priority="127" stopIfTrue="1">
      <formula>AND(J$155="X",M$93&lt;&gt;"")</formula>
    </cfRule>
  </conditionalFormatting>
  <conditionalFormatting sqref="M97">
    <cfRule type="expression" dxfId="1730" priority="128" stopIfTrue="1">
      <formula>AND(J$152=0,M$97&lt;&gt;0)</formula>
    </cfRule>
    <cfRule type="expression" dxfId="1729" priority="129" stopIfTrue="1">
      <formula>J$152=0</formula>
    </cfRule>
  </conditionalFormatting>
  <conditionalFormatting sqref="M98">
    <cfRule type="expression" dxfId="1728" priority="130" stopIfTrue="1">
      <formula>AND(J$152=0,M$98&lt;&gt;0)</formula>
    </cfRule>
    <cfRule type="expression" dxfId="1727" priority="131" stopIfTrue="1">
      <formula>J$152=0</formula>
    </cfRule>
  </conditionalFormatting>
  <conditionalFormatting sqref="K101:L101">
    <cfRule type="expression" dxfId="1726" priority="132" stopIfTrue="1">
      <formula>AND(I$152=0,K$101&lt;&gt;0)</formula>
    </cfRule>
    <cfRule type="expression" dxfId="1725" priority="133" stopIfTrue="1">
      <formula>AND($C101="ERROR",K101&gt;0)</formula>
    </cfRule>
    <cfRule type="expression" dxfId="1724" priority="134" stopIfTrue="1">
      <formula>I$152=0</formula>
    </cfRule>
  </conditionalFormatting>
  <conditionalFormatting sqref="K102:L102">
    <cfRule type="expression" dxfId="1723" priority="135" stopIfTrue="1">
      <formula>AND(I$152=0,K$102&lt;&gt;0)</formula>
    </cfRule>
    <cfRule type="expression" dxfId="1722" priority="136" stopIfTrue="1">
      <formula>AND($C102="ERROR",K102&gt;0)</formula>
    </cfRule>
    <cfRule type="expression" dxfId="1721" priority="137" stopIfTrue="1">
      <formula>I$152=0</formula>
    </cfRule>
  </conditionalFormatting>
  <conditionalFormatting sqref="K103:L103">
    <cfRule type="expression" dxfId="1720" priority="138" stopIfTrue="1">
      <formula>AND(I$152=0,K$103&lt;&gt;0)</formula>
    </cfRule>
    <cfRule type="expression" dxfId="1719" priority="139" stopIfTrue="1">
      <formula>AND($C103="ERROR",K103&gt;0)</formula>
    </cfRule>
    <cfRule type="expression" dxfId="1718" priority="140" stopIfTrue="1">
      <formula>I$152=0</formula>
    </cfRule>
  </conditionalFormatting>
  <conditionalFormatting sqref="K104:L104">
    <cfRule type="expression" dxfId="1717" priority="141" stopIfTrue="1">
      <formula>AND(I$152=0,K$104&lt;&gt;0)</formula>
    </cfRule>
    <cfRule type="expression" dxfId="1716" priority="142" stopIfTrue="1">
      <formula>AND($C104="ERROR",K104&gt;0)</formula>
    </cfRule>
    <cfRule type="expression" dxfId="1715" priority="143" stopIfTrue="1">
      <formula>I$152=0</formula>
    </cfRule>
  </conditionalFormatting>
  <conditionalFormatting sqref="N101">
    <cfRule type="expression" dxfId="1714" priority="144" stopIfTrue="1">
      <formula>AND(J$152=0,N$101&lt;&gt;0)</formula>
    </cfRule>
    <cfRule type="expression" dxfId="1713" priority="145" stopIfTrue="1">
      <formula>AND($C101="ERROR",N101&gt;0)</formula>
    </cfRule>
    <cfRule type="expression" dxfId="1712" priority="146" stopIfTrue="1">
      <formula>J$152=0</formula>
    </cfRule>
  </conditionalFormatting>
  <conditionalFormatting sqref="N102">
    <cfRule type="expression" dxfId="1711" priority="147" stopIfTrue="1">
      <formula>AND(J$152=0,N$102&lt;&gt;0)</formula>
    </cfRule>
    <cfRule type="expression" dxfId="1710" priority="148" stopIfTrue="1">
      <formula>AND($C102="ERROR",N102&gt;0)</formula>
    </cfRule>
    <cfRule type="expression" dxfId="1709" priority="149" stopIfTrue="1">
      <formula>J$152=0</formula>
    </cfRule>
  </conditionalFormatting>
  <conditionalFormatting sqref="N103">
    <cfRule type="expression" dxfId="1708" priority="150" stopIfTrue="1">
      <formula>AND(J$152=0,N$103&lt;&gt;0)</formula>
    </cfRule>
    <cfRule type="expression" dxfId="1707" priority="151" stopIfTrue="1">
      <formula>AND($C103="ERROR",N103&gt;0)</formula>
    </cfRule>
    <cfRule type="expression" dxfId="1706" priority="152" stopIfTrue="1">
      <formula>J$152=0</formula>
    </cfRule>
  </conditionalFormatting>
  <conditionalFormatting sqref="N104">
    <cfRule type="expression" dxfId="1705" priority="153" stopIfTrue="1">
      <formula>AND(J$152=0,N$104&lt;&gt;0)</formula>
    </cfRule>
    <cfRule type="expression" dxfId="1704" priority="154" stopIfTrue="1">
      <formula>AND($C104="ERROR",N104&gt;0)</formula>
    </cfRule>
    <cfRule type="expression" dxfId="1703" priority="155" stopIfTrue="1">
      <formula>J$152=0</formula>
    </cfRule>
  </conditionalFormatting>
  <conditionalFormatting sqref="M101">
    <cfRule type="expression" dxfId="1702" priority="156" stopIfTrue="1">
      <formula>AND(J$152=0,M$101&lt;&gt;0)</formula>
    </cfRule>
    <cfRule type="expression" dxfId="1701" priority="157" stopIfTrue="1">
      <formula>AND($C101="ERROR",M101&gt;0)</formula>
    </cfRule>
    <cfRule type="expression" dxfId="1700" priority="158" stopIfTrue="1">
      <formula>J$152=0</formula>
    </cfRule>
  </conditionalFormatting>
  <conditionalFormatting sqref="M102">
    <cfRule type="expression" dxfId="1699" priority="159" stopIfTrue="1">
      <formula>AND(J$152=0,M$102&lt;&gt;0)</formula>
    </cfRule>
    <cfRule type="expression" dxfId="1698" priority="160" stopIfTrue="1">
      <formula>AND($C102="ERROR",M102&gt;0)</formula>
    </cfRule>
    <cfRule type="expression" dxfId="1697" priority="161" stopIfTrue="1">
      <formula>J$152=0</formula>
    </cfRule>
  </conditionalFormatting>
  <conditionalFormatting sqref="M103">
    <cfRule type="expression" dxfId="1696" priority="162" stopIfTrue="1">
      <formula>AND(J$152=0,M$103&lt;&gt;0)</formula>
    </cfRule>
    <cfRule type="expression" dxfId="1695" priority="163" stopIfTrue="1">
      <formula>AND($C103="ERROR",M103&gt;0)</formula>
    </cfRule>
    <cfRule type="expression" dxfId="1694" priority="164" stopIfTrue="1">
      <formula>J$152=0</formula>
    </cfRule>
  </conditionalFormatting>
  <conditionalFormatting sqref="M104">
    <cfRule type="expression" dxfId="1693" priority="165" stopIfTrue="1">
      <formula>AND(J$152=0,M$104&lt;&gt;0)</formula>
    </cfRule>
    <cfRule type="expression" dxfId="1692" priority="166" stopIfTrue="1">
      <formula>AND($C104="ERROR",M104&gt;0)</formula>
    </cfRule>
    <cfRule type="expression" dxfId="1691" priority="167" stopIfTrue="1">
      <formula>J$152=0</formula>
    </cfRule>
  </conditionalFormatting>
  <conditionalFormatting sqref="K97">
    <cfRule type="expression" dxfId="1690" priority="168" stopIfTrue="1">
      <formula>AND(I$152=0,K$97&lt;&gt;0)</formula>
    </cfRule>
    <cfRule type="expression" dxfId="1689" priority="169" stopIfTrue="1">
      <formula>I$152=0</formula>
    </cfRule>
    <cfRule type="expression" dxfId="1688" priority="170" stopIfTrue="1">
      <formula>AND(K$96&lt;&gt;0,K$97="")</formula>
    </cfRule>
  </conditionalFormatting>
  <conditionalFormatting sqref="N97">
    <cfRule type="expression" dxfId="1687" priority="171" stopIfTrue="1">
      <formula>AND(J$152=0,N$97&lt;&gt;0)</formula>
    </cfRule>
    <cfRule type="expression" dxfId="1686" priority="172" stopIfTrue="1">
      <formula>J$152=0</formula>
    </cfRule>
    <cfRule type="expression" dxfId="1685" priority="173" stopIfTrue="1">
      <formula>AND(N$96&lt;&gt;0,N$97="")</formula>
    </cfRule>
  </conditionalFormatting>
  <conditionalFormatting sqref="G83:I83 K83">
    <cfRule type="expression" dxfId="1684" priority="174" stopIfTrue="1">
      <formula>$C$61=0</formula>
    </cfRule>
    <cfRule type="expression" dxfId="1683" priority="175" stopIfTrue="1">
      <formula>G85=$M$135</formula>
    </cfRule>
    <cfRule type="cellIs" dxfId="1682" priority="176" stopIfTrue="1" operator="equal">
      <formula>0</formula>
    </cfRule>
  </conditionalFormatting>
  <conditionalFormatting sqref="G84:I84 K84">
    <cfRule type="expression" dxfId="1681" priority="177" stopIfTrue="1">
      <formula>$C$61=0</formula>
    </cfRule>
    <cfRule type="expression" dxfId="1680" priority="178" stopIfTrue="1">
      <formula>G85=$M$135</formula>
    </cfRule>
    <cfRule type="cellIs" dxfId="1679" priority="179" stopIfTrue="1" operator="equal">
      <formula>0</formula>
    </cfRule>
  </conditionalFormatting>
  <conditionalFormatting sqref="K86 G86:H86">
    <cfRule type="expression" dxfId="1678" priority="180" stopIfTrue="1">
      <formula>$C$61=0</formula>
    </cfRule>
    <cfRule type="expression" dxfId="1677" priority="181" stopIfTrue="1">
      <formula>G85=$M$135</formula>
    </cfRule>
  </conditionalFormatting>
  <conditionalFormatting sqref="G82:K82">
    <cfRule type="expression" dxfId="1676" priority="182" stopIfTrue="1">
      <formula>$C$61=0</formula>
    </cfRule>
    <cfRule type="expression" dxfId="1675" priority="183" stopIfTrue="1">
      <formula>G85=$M$135</formula>
    </cfRule>
    <cfRule type="cellIs" dxfId="1674" priority="184" stopIfTrue="1" operator="equal">
      <formula>0</formula>
    </cfRule>
  </conditionalFormatting>
  <conditionalFormatting sqref="I86:J86">
    <cfRule type="expression" dxfId="1673" priority="185" stopIfTrue="1">
      <formula>$C$61=0</formula>
    </cfRule>
    <cfRule type="expression" dxfId="1672" priority="186" stopIfTrue="1">
      <formula>$I85=$M$135</formula>
    </cfRule>
  </conditionalFormatting>
  <conditionalFormatting sqref="G87:H87 K87">
    <cfRule type="expression" dxfId="1671" priority="187" stopIfTrue="1">
      <formula>G85=$M$135</formula>
    </cfRule>
    <cfRule type="expression" dxfId="1670" priority="188" stopIfTrue="1">
      <formula>$C$61=0</formula>
    </cfRule>
  </conditionalFormatting>
  <conditionalFormatting sqref="I87:J87">
    <cfRule type="expression" dxfId="1669" priority="189" stopIfTrue="1">
      <formula>$I85=$M$135</formula>
    </cfRule>
    <cfRule type="expression" dxfId="1668" priority="190" stopIfTrue="1">
      <formula>$C$61=0</formula>
    </cfRule>
  </conditionalFormatting>
  <conditionalFormatting sqref="K93">
    <cfRule type="expression" dxfId="1667" priority="191" stopIfTrue="1">
      <formula>AND(I$155="X",K$93&lt;&gt;"")</formula>
    </cfRule>
  </conditionalFormatting>
  <conditionalFormatting sqref="N93">
    <cfRule type="expression" dxfId="1666" priority="192" stopIfTrue="1">
      <formula>AND(J$155="X",N$93&lt;&gt;"")</formula>
    </cfRule>
  </conditionalFormatting>
  <conditionalFormatting sqref="L69:M72">
    <cfRule type="expression" dxfId="1665" priority="193" stopIfTrue="1">
      <formula>OR(ISERROR($L69),$H69="")</formula>
    </cfRule>
    <cfRule type="expression" dxfId="1664" priority="194" stopIfTrue="1">
      <formula>$C$61=0</formula>
    </cfRule>
    <cfRule type="expression" dxfId="1663" priority="195" stopIfTrue="1">
      <formula>$H69=$E$163</formula>
    </cfRule>
  </conditionalFormatting>
  <conditionalFormatting sqref="I85:J85">
    <cfRule type="expression" dxfId="1662" priority="196" stopIfTrue="1">
      <formula>$C$61=0</formula>
    </cfRule>
    <cfRule type="expression" dxfId="1661" priority="197" stopIfTrue="1">
      <formula>$I85=$M$135</formula>
    </cfRule>
  </conditionalFormatting>
  <conditionalFormatting sqref="I51:J52 L51:M52">
    <cfRule type="expression" dxfId="1660" priority="198" stopIfTrue="1">
      <formula>ISERROR(I55)</formula>
    </cfRule>
  </conditionalFormatting>
  <conditionalFormatting sqref="K51:K52">
    <cfRule type="expression" dxfId="1659" priority="199" stopIfTrue="1">
      <formula>ISERROR(G51)</formula>
    </cfRule>
  </conditionalFormatting>
  <conditionalFormatting sqref="I7:I39">
    <cfRule type="expression" dxfId="1658" priority="200" stopIfTrue="1">
      <formula>OR($I$4=0,$I$4&lt;&gt;$K$130)</formula>
    </cfRule>
    <cfRule type="expression" dxfId="1657" priority="201" stopIfTrue="1">
      <formula>$AA7&lt;&gt;0</formula>
    </cfRule>
  </conditionalFormatting>
  <conditionalFormatting sqref="J7:J39">
    <cfRule type="expression" dxfId="1656" priority="202" stopIfTrue="1">
      <formula>OR($I$4=0,$I$4&lt;&gt;$K$130)</formula>
    </cfRule>
    <cfRule type="expression" dxfId="1655" priority="203" stopIfTrue="1">
      <formula>$AA7&lt;&gt;0</formula>
    </cfRule>
  </conditionalFormatting>
  <conditionalFormatting sqref="L7:L39">
    <cfRule type="expression" dxfId="1654" priority="204" stopIfTrue="1">
      <formula>OR($L$4=0,$L$4&lt;&gt;$K$130)</formula>
    </cfRule>
    <cfRule type="expression" dxfId="1653" priority="205" stopIfTrue="1">
      <formula>$AA7&lt;&gt;0</formula>
    </cfRule>
  </conditionalFormatting>
  <conditionalFormatting sqref="M7:M39">
    <cfRule type="expression" dxfId="1652" priority="206" stopIfTrue="1">
      <formula>OR($L$4=0,$L$4&lt;&gt;$K$130)</formula>
    </cfRule>
    <cfRule type="expression" dxfId="1651" priority="207" stopIfTrue="1">
      <formula>$AA7&lt;&gt;0</formula>
    </cfRule>
  </conditionalFormatting>
  <conditionalFormatting sqref="O7:O39">
    <cfRule type="expression" dxfId="1650" priority="208" stopIfTrue="1">
      <formula>OR($O$4=0,$O$4&lt;&gt;$K$130)</formula>
    </cfRule>
    <cfRule type="expression" dxfId="1649" priority="209" stopIfTrue="1">
      <formula>$AA7&lt;&gt;0</formula>
    </cfRule>
  </conditionalFormatting>
  <conditionalFormatting sqref="P7:P39">
    <cfRule type="expression" dxfId="1648" priority="210" stopIfTrue="1">
      <formula>OR($O$4=0,$O$4&lt;&gt;$K$130)</formula>
    </cfRule>
    <cfRule type="expression" dxfId="1647" priority="211" stopIfTrue="1">
      <formula>$AA7&lt;&gt;0</formula>
    </cfRule>
  </conditionalFormatting>
  <conditionalFormatting sqref="K39">
    <cfRule type="expression" dxfId="1646" priority="212" stopIfTrue="1">
      <formula>ISERROR($G$155)</formula>
    </cfRule>
    <cfRule type="expression" dxfId="1645" priority="213" stopIfTrue="1">
      <formula>OR($I$163=0,K$4="")</formula>
    </cfRule>
    <cfRule type="expression" dxfId="1644" priority="214" stopIfTrue="1">
      <formula>OR(K$4="",ISERROR(I$155))</formula>
    </cfRule>
  </conditionalFormatting>
  <conditionalFormatting sqref="N39">
    <cfRule type="expression" dxfId="1643" priority="215" stopIfTrue="1">
      <formula>ISERROR($G$155)</formula>
    </cfRule>
    <cfRule type="expression" dxfId="1642" priority="216" stopIfTrue="1">
      <formula>OR($I$163=0,N$4="")</formula>
    </cfRule>
    <cfRule type="expression" dxfId="1641" priority="217" stopIfTrue="1">
      <formula>OR(N$4="",ISERROR(J$155))</formula>
    </cfRule>
  </conditionalFormatting>
  <conditionalFormatting sqref="G8:H38 K8:K38 N8:N38">
    <cfRule type="expression" dxfId="1640" priority="218" stopIfTrue="1">
      <formula>$AA8=$Y$6</formula>
    </cfRule>
    <cfRule type="expression" dxfId="1639" priority="219" stopIfTrue="1">
      <formula>OR($AA8=0,$E8=$E$162)</formula>
    </cfRule>
  </conditionalFormatting>
  <conditionalFormatting sqref="C8:D38">
    <cfRule type="expression" dxfId="1638" priority="220" stopIfTrue="1">
      <formula>$AA8=$Y$6</formula>
    </cfRule>
    <cfRule type="expression" dxfId="1637" priority="221" stopIfTrue="1">
      <formula>AND($L$163=0,OR($V8&lt;$B$162,$V8&gt;$B$163))</formula>
    </cfRule>
    <cfRule type="expression" dxfId="1636" priority="222" stopIfTrue="1">
      <formula>AND($AA8=0,$E8=0)</formula>
    </cfRule>
  </conditionalFormatting>
  <conditionalFormatting sqref="G46:H46 K46 N46">
    <cfRule type="expression" dxfId="1635" priority="223" stopIfTrue="1">
      <formula>G$42=$K$134</formula>
    </cfRule>
    <cfRule type="expression" dxfId="1634" priority="224" stopIfTrue="1">
      <formula>OR($I$163=0,G$4="")</formula>
    </cfRule>
    <cfRule type="expression" dxfId="1633" priority="225" stopIfTrue="1">
      <formula>G44=""</formula>
    </cfRule>
  </conditionalFormatting>
  <conditionalFormatting sqref="G47:H47 K47 N47">
    <cfRule type="expression" dxfId="1632" priority="226" stopIfTrue="1">
      <formula>OR(ISERROR(G47),G$4="")</formula>
    </cfRule>
    <cfRule type="expression" dxfId="1631" priority="227" stopIfTrue="1">
      <formula>G$42=$K$134</formula>
    </cfRule>
    <cfRule type="expression" dxfId="1630" priority="228" stopIfTrue="1">
      <formula>AND(G$46&gt;0,OR(G$99=$E$152,G$99=$K$152))</formula>
    </cfRule>
  </conditionalFormatting>
  <conditionalFormatting sqref="G48:H48 K48 N48">
    <cfRule type="expression" dxfId="1629" priority="229" stopIfTrue="1">
      <formula>OR(ISERROR(G48),G$4="")</formula>
    </cfRule>
    <cfRule type="expression" dxfId="1628" priority="230" stopIfTrue="1">
      <formula>G$42=$K$134</formula>
    </cfRule>
    <cfRule type="expression" dxfId="1627" priority="231" stopIfTrue="1">
      <formula>AND(G$46&gt;0,OR(G$99=$E$152,G$99=$K$152,COUNTIF($C$101:$F$104,"ERROR")&gt;0,G$105=$E$152,G$105=$K$152))</formula>
    </cfRule>
  </conditionalFormatting>
  <conditionalFormatting sqref="I69:J72">
    <cfRule type="expression" dxfId="1626" priority="232" stopIfTrue="1">
      <formula>$C$61=0</formula>
    </cfRule>
    <cfRule type="expression" dxfId="1625" priority="233" stopIfTrue="1">
      <formula>$Z69=0</formula>
    </cfRule>
    <cfRule type="expression" dxfId="1624" priority="234" stopIfTrue="1">
      <formula>$I69=0</formula>
    </cfRule>
  </conditionalFormatting>
  <conditionalFormatting sqref="M261">
    <cfRule type="expression" dxfId="1623" priority="235" stopIfTrue="1">
      <formula>$C$61=0</formula>
    </cfRule>
    <cfRule type="expression" dxfId="1622" priority="236" stopIfTrue="1">
      <formula>J247=0</formula>
    </cfRule>
  </conditionalFormatting>
  <conditionalFormatting sqref="K261">
    <cfRule type="expression" dxfId="1621" priority="237" stopIfTrue="1">
      <formula>$C$61=0</formula>
    </cfRule>
    <cfRule type="expression" dxfId="1620" priority="238" stopIfTrue="1">
      <formula>I247=0</formula>
    </cfRule>
  </conditionalFormatting>
  <conditionalFormatting sqref="H239 D249 K247 O265 G242:K242 N241:N242 L241:L242 M286 H261:J261 F263:F266 F268:F283 L269:M269 F285 G260 G247 F235 F237 H248:H249 D243:D244 H241 D240:D241">
    <cfRule type="expression" dxfId="1619" priority="239" stopIfTrue="1">
      <formula>$N$283&lt;&gt;12</formula>
    </cfRule>
  </conditionalFormatting>
  <conditionalFormatting sqref="N264:N265">
    <cfRule type="expression" dxfId="1618" priority="240" stopIfTrue="1">
      <formula>ISERROR($N264)</formula>
    </cfRule>
    <cfRule type="expression" dxfId="1617" priority="241" stopIfTrue="1">
      <formula>$N$283&lt;&gt;12</formula>
    </cfRule>
  </conditionalFormatting>
  <conditionalFormatting sqref="I264:J265">
    <cfRule type="expression" dxfId="1616" priority="242" stopIfTrue="1">
      <formula>$N$283&lt;&gt;12</formula>
    </cfRule>
    <cfRule type="expression" dxfId="1615" priority="243" stopIfTrue="1">
      <formula>ISERROR($I264)</formula>
    </cfRule>
    <cfRule type="expression" dxfId="1614" priority="244" stopIfTrue="1">
      <formula>$I264=0</formula>
    </cfRule>
  </conditionalFormatting>
  <conditionalFormatting sqref="I266:J266">
    <cfRule type="expression" dxfId="1613" priority="245" stopIfTrue="1">
      <formula>ISERROR($I266)</formula>
    </cfRule>
    <cfRule type="expression" dxfId="1612" priority="246" stopIfTrue="1">
      <formula>$N$283&lt;&gt;12</formula>
    </cfRule>
    <cfRule type="expression" dxfId="1611" priority="247" stopIfTrue="1">
      <formula>$I266=0</formula>
    </cfRule>
  </conditionalFormatting>
  <conditionalFormatting sqref="M254:N254 N248:N252 H260 H237 O264 M263:N263 N238">
    <cfRule type="expression" dxfId="1610" priority="248" stopIfTrue="1">
      <formula>$N$283&lt;&gt;12</formula>
    </cfRule>
  </conditionalFormatting>
  <conditionalFormatting sqref="N259">
    <cfRule type="expression" dxfId="1609" priority="249" stopIfTrue="1">
      <formula>$N$283&lt;&gt;12</formula>
    </cfRule>
    <cfRule type="expression" dxfId="1608" priority="250" stopIfTrue="1">
      <formula>ISERROR($N259)</formula>
    </cfRule>
  </conditionalFormatting>
  <conditionalFormatting sqref="M255:M258">
    <cfRule type="expression" dxfId="1607" priority="251" stopIfTrue="1">
      <formula>OR($N$283&lt;&gt;12,$N255=0)</formula>
    </cfRule>
    <cfRule type="expression" dxfId="1606" priority="252" stopIfTrue="1">
      <formula>ISERROR($N255)</formula>
    </cfRule>
    <cfRule type="expression" dxfId="1605" priority="253" stopIfTrue="1">
      <formula>ISERROR(M255)</formula>
    </cfRule>
  </conditionalFormatting>
  <conditionalFormatting sqref="N255:N258">
    <cfRule type="expression" dxfId="1604" priority="254" stopIfTrue="1">
      <formula>$N$283&lt;&gt;12</formula>
    </cfRule>
    <cfRule type="cellIs" dxfId="1603" priority="255" stopIfTrue="1" operator="equal">
      <formula>0</formula>
    </cfRule>
    <cfRule type="expression" dxfId="1602" priority="256" stopIfTrue="1">
      <formula>ISERROR($N255)</formula>
    </cfRule>
  </conditionalFormatting>
  <conditionalFormatting sqref="G235:H235 G270:H281 K270:K281 H243:H246 N235 K235">
    <cfRule type="expression" dxfId="1601" priority="257" stopIfTrue="1">
      <formula>$N$283&lt;&gt;12</formula>
    </cfRule>
    <cfRule type="cellIs" dxfId="1600" priority="258" stopIfTrue="1" operator="equal">
      <formula>0</formula>
    </cfRule>
  </conditionalFormatting>
  <conditionalFormatting sqref="H247">
    <cfRule type="expression" dxfId="1599" priority="259" stopIfTrue="1">
      <formula>ISERROR(H247)</formula>
    </cfRule>
    <cfRule type="expression" dxfId="1598" priority="260" stopIfTrue="1">
      <formula>H247=0</formula>
    </cfRule>
    <cfRule type="expression" dxfId="1597" priority="261" stopIfTrue="1">
      <formula>$N$283&lt;&gt;12</formula>
    </cfRule>
  </conditionalFormatting>
  <conditionalFormatting sqref="K263 G243:G246 G263:H263 G269:H269 K269 K243:K246">
    <cfRule type="expression" dxfId="1596" priority="262" stopIfTrue="1">
      <formula>ISERROR(G243)</formula>
    </cfRule>
    <cfRule type="expression" dxfId="1595" priority="263" stopIfTrue="1">
      <formula>$N$283&lt;&gt;12</formula>
    </cfRule>
  </conditionalFormatting>
  <conditionalFormatting sqref="K264:K265 G264:H265">
    <cfRule type="expression" dxfId="1594" priority="264" stopIfTrue="1">
      <formula>$N$283&lt;&gt;12</formula>
    </cfRule>
    <cfRule type="expression" dxfId="1593" priority="265" stopIfTrue="1">
      <formula>ISERROR(G264)</formula>
    </cfRule>
    <cfRule type="cellIs" dxfId="1592" priority="266" stopIfTrue="1" operator="equal">
      <formula>0</formula>
    </cfRule>
  </conditionalFormatting>
  <conditionalFormatting sqref="K266 G266:H266">
    <cfRule type="expression" dxfId="1591" priority="267" stopIfTrue="1">
      <formula>ISERROR(G266)</formula>
    </cfRule>
    <cfRule type="expression" dxfId="1590" priority="268" stopIfTrue="1">
      <formula>$N$283&lt;&gt;12</formula>
    </cfRule>
    <cfRule type="cellIs" dxfId="1589" priority="269" stopIfTrue="1" operator="equal">
      <formula>0</formula>
    </cfRule>
  </conditionalFormatting>
  <conditionalFormatting sqref="O259 O266 N285">
    <cfRule type="expression" dxfId="1588" priority="270" stopIfTrue="1">
      <formula>N259=$E$163</formula>
    </cfRule>
    <cfRule type="expression" dxfId="1587" priority="271" stopIfTrue="1">
      <formula>$N$283&lt;&gt;12</formula>
    </cfRule>
    <cfRule type="expression" dxfId="1586" priority="272" stopIfTrue="1">
      <formula>ISERROR(N259)</formula>
    </cfRule>
  </conditionalFormatting>
  <conditionalFormatting sqref="O261:O263 O238:O252 N268 N66:N67 N74:N77 L68:N68">
    <cfRule type="expression" dxfId="1585" priority="273" stopIfTrue="1">
      <formula>$C$61=0</formula>
    </cfRule>
  </conditionalFormatting>
  <conditionalFormatting sqref="N260:N262 N253 I238:M238">
    <cfRule type="expression" dxfId="1584" priority="274" stopIfTrue="1">
      <formula>$N$283&lt;&gt;12</formula>
    </cfRule>
  </conditionalFormatting>
  <conditionalFormatting sqref="M268 H238">
    <cfRule type="expression" dxfId="1583" priority="275" stopIfTrue="1">
      <formula>$C$61=0</formula>
    </cfRule>
  </conditionalFormatting>
  <conditionalFormatting sqref="G283:H283 K283 G237">
    <cfRule type="expression" dxfId="1582" priority="276" stopIfTrue="1">
      <formula>$N$283&lt;&gt;12</formula>
    </cfRule>
    <cfRule type="cellIs" dxfId="1581" priority="277" stopIfTrue="1" operator="equal">
      <formula>0</formula>
    </cfRule>
  </conditionalFormatting>
  <conditionalFormatting sqref="L285:M285">
    <cfRule type="expression" dxfId="1580" priority="278" stopIfTrue="1">
      <formula>$N$283&lt;&gt;12</formula>
    </cfRule>
  </conditionalFormatting>
  <conditionalFormatting sqref="I243:J246">
    <cfRule type="expression" dxfId="1579" priority="279" stopIfTrue="1">
      <formula>$N$283&lt;&gt;12</formula>
    </cfRule>
    <cfRule type="expression" dxfId="1578" priority="280" stopIfTrue="1">
      <formula>ISERROR($I243)</formula>
    </cfRule>
    <cfRule type="expression" dxfId="1577" priority="281" stopIfTrue="1">
      <formula>$H243=0</formula>
    </cfRule>
  </conditionalFormatting>
  <conditionalFormatting sqref="P60:P61">
    <cfRule type="expression" dxfId="1576" priority="282" stopIfTrue="1">
      <formula>$C$61=1</formula>
    </cfRule>
  </conditionalFormatting>
  <conditionalFormatting sqref="G63:H63 K63 N63">
    <cfRule type="expression" dxfId="1575" priority="283" stopIfTrue="1">
      <formula>$C$61=0</formula>
    </cfRule>
    <cfRule type="cellIs" dxfId="1574" priority="284" stopIfTrue="1" operator="equal">
      <formula>0</formula>
    </cfRule>
  </conditionalFormatting>
  <conditionalFormatting sqref="F63 F65 F73 F76:F79 F86:F89 N78:N79 N88 L86:N87 K68 C68:C69 I67:J68">
    <cfRule type="expression" dxfId="1573" priority="285" stopIfTrue="1">
      <formula>$C$61=0</formula>
    </cfRule>
  </conditionalFormatting>
  <conditionalFormatting sqref="N73">
    <cfRule type="expression" dxfId="1572" priority="286" stopIfTrue="1">
      <formula>$C$61=0</formula>
    </cfRule>
    <cfRule type="expression" dxfId="1571" priority="287" stopIfTrue="1">
      <formula>ISERROR(N73)</formula>
    </cfRule>
  </conditionalFormatting>
  <conditionalFormatting sqref="N69:N72">
    <cfRule type="expression" dxfId="1570" priority="288" stopIfTrue="1">
      <formula>$C$61=0</formula>
    </cfRule>
    <cfRule type="cellIs" dxfId="1569" priority="289" stopIfTrue="1" operator="equal">
      <formula>0</formula>
    </cfRule>
    <cfRule type="expression" dxfId="1568" priority="290" stopIfTrue="1">
      <formula>ISERROR(N69)</formula>
    </cfRule>
  </conditionalFormatting>
  <conditionalFormatting sqref="F107 N108:N109 F108:I109 K108:K109">
    <cfRule type="expression" dxfId="1567" priority="291" stopIfTrue="1">
      <formula>$L$108=0</formula>
    </cfRule>
  </conditionalFormatting>
  <conditionalFormatting sqref="G116:J118 K121:K122 L108:M109">
    <cfRule type="cellIs" dxfId="1566" priority="292" stopIfTrue="1" operator="equal">
      <formula>0</formula>
    </cfRule>
  </conditionalFormatting>
  <conditionalFormatting sqref="L113:M121">
    <cfRule type="expression" dxfId="1565" priority="293" stopIfTrue="1">
      <formula>$L$109=0</formula>
    </cfRule>
  </conditionalFormatting>
  <conditionalFormatting sqref="L122:M122">
    <cfRule type="expression" dxfId="1564" priority="294" stopIfTrue="1">
      <formula>$K$122=0</formula>
    </cfRule>
  </conditionalFormatting>
  <conditionalFormatting sqref="K53:K54 H53:H54">
    <cfRule type="expression" dxfId="1563" priority="295" stopIfTrue="1">
      <formula>ISERROR($G$155)</formula>
    </cfRule>
  </conditionalFormatting>
  <conditionalFormatting sqref="L180 P46 L193 L206 L215:L217">
    <cfRule type="expression" dxfId="1562" priority="296" stopIfTrue="1">
      <formula>$O$44=""</formula>
    </cfRule>
    <cfRule type="expression" dxfId="1561" priority="297" stopIfTrue="1">
      <formula>$O$44=0</formula>
    </cfRule>
  </conditionalFormatting>
  <conditionalFormatting sqref="G180:I180 K180 G215:J217 G193:I193 K206 K193 G206:I206">
    <cfRule type="expression" dxfId="1560" priority="298" stopIfTrue="1">
      <formula>ISERROR(G180)</formula>
    </cfRule>
    <cfRule type="cellIs" dxfId="1559" priority="299" stopIfTrue="1" operator="equal">
      <formula>0</formula>
    </cfRule>
  </conditionalFormatting>
  <conditionalFormatting sqref="G183:K183 G170:K170 G196:K196 G121:J122">
    <cfRule type="cellIs" dxfId="1558" priority="300" stopIfTrue="1" operator="equal">
      <formula>0</formula>
    </cfRule>
  </conditionalFormatting>
  <conditionalFormatting sqref="C126:P126">
    <cfRule type="expression" dxfId="1557" priority="301" stopIfTrue="1">
      <formula>ISERROR($H$163)</formula>
    </cfRule>
  </conditionalFormatting>
  <conditionalFormatting sqref="G53:G54">
    <cfRule type="expression" dxfId="1556" priority="302" stopIfTrue="1">
      <formula>ISERROR($G$155)</formula>
    </cfRule>
    <cfRule type="expression" dxfId="1555" priority="303" stopIfTrue="1">
      <formula>ISERROR(G53)</formula>
    </cfRule>
  </conditionalFormatting>
  <conditionalFormatting sqref="O95:P95">
    <cfRule type="expression" dxfId="1554" priority="304" stopIfTrue="1">
      <formula>$O$44=""</formula>
    </cfRule>
  </conditionalFormatting>
  <conditionalFormatting sqref="O94:P94">
    <cfRule type="expression" dxfId="1553" priority="305" stopIfTrue="1">
      <formula>$O$44=""</formula>
    </cfRule>
  </conditionalFormatting>
  <conditionalFormatting sqref="AA8:AA38 O44:P44 G58 C58 I44:J44 L44:M44 G152:J152 L168 E6:F6 K42 N42 G42:H42">
    <cfRule type="cellIs" dxfId="1552" priority="306" stopIfTrue="1" operator="equal">
      <formula>0</formula>
    </cfRule>
  </conditionalFormatting>
  <conditionalFormatting sqref="W8:Z38 R8:U38 AB8:AE38 AG8:AK38 AM8:AQ38 AS8:AW38 AY8:AY38">
    <cfRule type="cellIs" dxfId="1551" priority="307" stopIfTrue="1" operator="equal">
      <formula>0</formula>
    </cfRule>
  </conditionalFormatting>
  <conditionalFormatting sqref="O45:P45 L169">
    <cfRule type="expression" dxfId="1550" priority="308" stopIfTrue="1">
      <formula>$O$4=$K$130</formula>
    </cfRule>
    <cfRule type="expression" dxfId="1549" priority="309" stopIfTrue="1">
      <formula>$O$44=0</formula>
    </cfRule>
  </conditionalFormatting>
  <conditionalFormatting sqref="E47:F48">
    <cfRule type="expression" dxfId="1548" priority="310" stopIfTrue="1">
      <formula>ISERROR(E47)</formula>
    </cfRule>
  </conditionalFormatting>
  <conditionalFormatting sqref="G168:I169 K168:K169 E197:E198 E206:F206 E171:E172 E180:F180 E184:E185 E193:F193 G94:N95 N44:N45 G44:H45 K44:K45 E221 G51:H52">
    <cfRule type="expression" dxfId="1547" priority="311" stopIfTrue="1">
      <formula>ISERROR(E44)</formula>
    </cfRule>
  </conditionalFormatting>
  <conditionalFormatting sqref="G167:I167 K167 N43 G43:H43 K43">
    <cfRule type="cellIs" dxfId="1546" priority="312" stopIfTrue="1" operator="equal">
      <formula>0</formula>
    </cfRule>
  </conditionalFormatting>
  <conditionalFormatting sqref="G99:N99 G105:N105 H139:H141 H145:H148">
    <cfRule type="cellIs" dxfId="1545" priority="313" stopIfTrue="1" operator="equal">
      <formula>"OK"</formula>
    </cfRule>
  </conditionalFormatting>
  <conditionalFormatting sqref="I139:I141 I145:I148">
    <cfRule type="cellIs" dxfId="1544" priority="314" stopIfTrue="1" operator="greaterThan">
      <formula>0</formula>
    </cfRule>
  </conditionalFormatting>
  <conditionalFormatting sqref="F110:I112 K110:M112">
    <cfRule type="expression" dxfId="1543" priority="315" stopIfTrue="1">
      <formula>$L$108=0</formula>
    </cfRule>
  </conditionalFormatting>
  <conditionalFormatting sqref="C195:H195">
    <cfRule type="expression" dxfId="1542" priority="316" stopIfTrue="1">
      <formula>ISERROR($C$195)</formula>
    </cfRule>
  </conditionalFormatting>
  <conditionalFormatting sqref="C2:J2">
    <cfRule type="expression" dxfId="1541" priority="317" stopIfTrue="1">
      <formula>$I$163=0</formula>
    </cfRule>
  </conditionalFormatting>
  <conditionalFormatting sqref="L96:M96 I96:J96">
    <cfRule type="expression" dxfId="1540" priority="318" stopIfTrue="1">
      <formula>ISERROR($G$155)</formula>
    </cfRule>
    <cfRule type="expression" dxfId="1539" priority="319" stopIfTrue="1">
      <formula>I96=0</formula>
    </cfRule>
  </conditionalFormatting>
  <conditionalFormatting sqref="N7 G7:H7 K7">
    <cfRule type="expression" dxfId="1538" priority="320" stopIfTrue="1">
      <formula>$I$163=0</formula>
    </cfRule>
  </conditionalFormatting>
  <conditionalFormatting sqref="I48:J48">
    <cfRule type="expression" dxfId="1537" priority="321" stopIfTrue="1">
      <formula>$I$4=$K$130</formula>
    </cfRule>
  </conditionalFormatting>
  <conditionalFormatting sqref="L48:M48">
    <cfRule type="expression" dxfId="1536" priority="322" stopIfTrue="1">
      <formula>$L$4=$K$130</formula>
    </cfRule>
  </conditionalFormatting>
  <conditionalFormatting sqref="I45:J45">
    <cfRule type="expression" dxfId="1535" priority="323" stopIfTrue="1">
      <formula>$I$4=$K$130</formula>
    </cfRule>
    <cfRule type="expression" dxfId="1534" priority="324" stopIfTrue="1">
      <formula>$I$44=0</formula>
    </cfRule>
  </conditionalFormatting>
  <conditionalFormatting sqref="L45:M45">
    <cfRule type="expression" dxfId="1533" priority="325" stopIfTrue="1">
      <formula>$L$4=$K$130</formula>
    </cfRule>
    <cfRule type="expression" dxfId="1532" priority="326" stopIfTrue="1">
      <formula>$L$44=0</formula>
    </cfRule>
  </conditionalFormatting>
  <conditionalFormatting sqref="L53">
    <cfRule type="expression" dxfId="1531" priority="327" stopIfTrue="1">
      <formula>ISERROR($G$155)</formula>
    </cfRule>
    <cfRule type="expression" dxfId="1530" priority="328" stopIfTrue="1">
      <formula>ISERROR($L$53)</formula>
    </cfRule>
  </conditionalFormatting>
  <conditionalFormatting sqref="O96:P98 C97:F98">
    <cfRule type="expression" dxfId="1529" priority="329" stopIfTrue="1">
      <formula>SUM($G$152:$J$152)=0</formula>
    </cfRule>
  </conditionalFormatting>
  <conditionalFormatting sqref="G155:J155">
    <cfRule type="cellIs" dxfId="1528" priority="330" stopIfTrue="1" operator="equal">
      <formula>0</formula>
    </cfRule>
  </conditionalFormatting>
  <conditionalFormatting sqref="G157:J159">
    <cfRule type="cellIs" dxfId="1527" priority="331" stopIfTrue="1" operator="equal">
      <formula>$E$157</formula>
    </cfRule>
  </conditionalFormatting>
  <conditionalFormatting sqref="Q91:S91">
    <cfRule type="expression" dxfId="1526" priority="332" stopIfTrue="1">
      <formula>SUM($G$152:$J$152)=0</formula>
    </cfRule>
  </conditionalFormatting>
  <conditionalFormatting sqref="I4:J5">
    <cfRule type="expression" dxfId="1525" priority="333" stopIfTrue="1">
      <formula>$I$6=""</formula>
    </cfRule>
    <cfRule type="cellIs" dxfId="1524" priority="334" stopIfTrue="1" operator="equal">
      <formula>0</formula>
    </cfRule>
    <cfRule type="expression" dxfId="1523" priority="335" stopIfTrue="1">
      <formula>$I$4=$K$130</formula>
    </cfRule>
  </conditionalFormatting>
  <conditionalFormatting sqref="L4:M5">
    <cfRule type="expression" dxfId="1522" priority="336" stopIfTrue="1">
      <formula>$L$6=""</formula>
    </cfRule>
    <cfRule type="cellIs" dxfId="1521" priority="337" stopIfTrue="1" operator="equal">
      <formula>0</formula>
    </cfRule>
    <cfRule type="expression" dxfId="1520" priority="338" stopIfTrue="1">
      <formula>$L$4=$K$130</formula>
    </cfRule>
  </conditionalFormatting>
  <conditionalFormatting sqref="O4:P5">
    <cfRule type="expression" dxfId="1519" priority="339" stopIfTrue="1">
      <formula>$O$6=""</formula>
    </cfRule>
    <cfRule type="cellIs" dxfId="1518" priority="340" stopIfTrue="1" operator="equal">
      <formula>0</formula>
    </cfRule>
    <cfRule type="expression" dxfId="1517" priority="341" stopIfTrue="1">
      <formula>$O$4=$K$130</formula>
    </cfRule>
  </conditionalFormatting>
  <conditionalFormatting sqref="E46:F46">
    <cfRule type="expression" dxfId="1516" priority="342" stopIfTrue="1">
      <formula>ISERROR($E$46)</formula>
    </cfRule>
  </conditionalFormatting>
  <conditionalFormatting sqref="I46">
    <cfRule type="expression" dxfId="1515" priority="343" stopIfTrue="1">
      <formula>$I$44=""</formula>
    </cfRule>
    <cfRule type="expression" dxfId="1514" priority="344" stopIfTrue="1">
      <formula>$I$44=0</formula>
    </cfRule>
  </conditionalFormatting>
  <conditionalFormatting sqref="L46">
    <cfRule type="expression" dxfId="1513" priority="345" stopIfTrue="1">
      <formula>$L$44=""</formula>
    </cfRule>
    <cfRule type="expression" dxfId="1512" priority="346" stopIfTrue="1">
      <formula>$L$44=0</formula>
    </cfRule>
  </conditionalFormatting>
  <conditionalFormatting sqref="O46">
    <cfRule type="expression" dxfId="1511" priority="347" stopIfTrue="1">
      <formula>$O$44=""</formula>
    </cfRule>
    <cfRule type="expression" dxfId="1510" priority="348" stopIfTrue="1">
      <formula>$O$44=0</formula>
    </cfRule>
  </conditionalFormatting>
  <conditionalFormatting sqref="J46">
    <cfRule type="expression" dxfId="1509" priority="349" stopIfTrue="1">
      <formula>$I$44=""</formula>
    </cfRule>
    <cfRule type="expression" dxfId="1508" priority="350" stopIfTrue="1">
      <formula>$I$44=0</formula>
    </cfRule>
  </conditionalFormatting>
  <conditionalFormatting sqref="M46">
    <cfRule type="expression" dxfId="1507" priority="351" stopIfTrue="1">
      <formula>$L$44=""</formula>
    </cfRule>
    <cfRule type="expression" dxfId="1506" priority="352" stopIfTrue="1">
      <formula>$L$44=0</formula>
    </cfRule>
  </conditionalFormatting>
  <conditionalFormatting sqref="G96:H96 K96 N96">
    <cfRule type="expression" dxfId="1505" priority="353" stopIfTrue="1">
      <formula>ISERROR($G$155)</formula>
    </cfRule>
    <cfRule type="expression" dxfId="1504" priority="354" stopIfTrue="1">
      <formula>G96=0</formula>
    </cfRule>
    <cfRule type="expression" dxfId="1503" priority="355" stopIfTrue="1">
      <formula>G96&lt;&gt;0</formula>
    </cfRule>
  </conditionalFormatting>
  <conditionalFormatting sqref="M168:N168">
    <cfRule type="expression" dxfId="1502" priority="356" stopIfTrue="1">
      <formula>$M$168=""</formula>
    </cfRule>
  </conditionalFormatting>
  <conditionalFormatting sqref="G65">
    <cfRule type="expression" dxfId="1501" priority="357" stopIfTrue="1">
      <formula>$C$61=0</formula>
    </cfRule>
    <cfRule type="cellIs" dxfId="1500" priority="358" stopIfTrue="1" operator="equal">
      <formula>0</formula>
    </cfRule>
  </conditionalFormatting>
  <conditionalFormatting sqref="G68:H68">
    <cfRule type="expression" dxfId="1499" priority="359" stopIfTrue="1">
      <formula>ISERROR(G68)</formula>
    </cfRule>
    <cfRule type="expression" dxfId="1498" priority="360" stopIfTrue="1">
      <formula>$C$61=0</formula>
    </cfRule>
  </conditionalFormatting>
  <conditionalFormatting sqref="O73 O79 O88">
    <cfRule type="expression" dxfId="1497" priority="361" stopIfTrue="1">
      <formula>O73=$E$163</formula>
    </cfRule>
    <cfRule type="expression" dxfId="1496" priority="362" stopIfTrue="1">
      <formula>$C$61=0</formula>
    </cfRule>
    <cfRule type="expression" dxfId="1495" priority="363" stopIfTrue="1">
      <formula>ISERROR(O73)</formula>
    </cfRule>
  </conditionalFormatting>
  <conditionalFormatting sqref="C67">
    <cfRule type="expression" dxfId="1494" priority="364" stopIfTrue="1">
      <formula>$C$61=0</formula>
    </cfRule>
  </conditionalFormatting>
  <conditionalFormatting sqref="G73 I73">
    <cfRule type="expression" dxfId="1493" priority="365" stopIfTrue="1">
      <formula>ISERROR(G73)</formula>
    </cfRule>
    <cfRule type="expression" dxfId="1492" priority="366" stopIfTrue="1">
      <formula>G73=0</formula>
    </cfRule>
    <cfRule type="expression" dxfId="1491" priority="367" stopIfTrue="1">
      <formula>$C$61=0</formula>
    </cfRule>
  </conditionalFormatting>
  <conditionalFormatting sqref="G77:H78 K77:K78">
    <cfRule type="expression" dxfId="1490" priority="368" stopIfTrue="1">
      <formula>$C$61=0</formula>
    </cfRule>
    <cfRule type="expression" dxfId="1489" priority="369" stopIfTrue="1">
      <formula>ISERROR(G77)</formula>
    </cfRule>
    <cfRule type="cellIs" dxfId="1488" priority="370" stopIfTrue="1" operator="equal">
      <formula>0</formula>
    </cfRule>
  </conditionalFormatting>
  <conditionalFormatting sqref="G79:H79 K79">
    <cfRule type="expression" dxfId="1487" priority="371" stopIfTrue="1">
      <formula>ISERROR(G79)</formula>
    </cfRule>
    <cfRule type="expression" dxfId="1486" priority="372" stopIfTrue="1">
      <formula>$C$61=0</formula>
    </cfRule>
    <cfRule type="cellIs" dxfId="1485" priority="373" stopIfTrue="1" operator="equal">
      <formula>0</formula>
    </cfRule>
  </conditionalFormatting>
  <conditionalFormatting sqref="C70:C71">
    <cfRule type="expression" dxfId="1484" priority="374" stopIfTrue="1">
      <formula>$C$61=0</formula>
    </cfRule>
    <cfRule type="expression" dxfId="1483" priority="375" stopIfTrue="1">
      <formula>$G$73&lt;&gt;0</formula>
    </cfRule>
  </conditionalFormatting>
  <conditionalFormatting sqref="H66:M66">
    <cfRule type="expression" dxfId="1482" priority="376" stopIfTrue="1">
      <formula>$C$61=0</formula>
    </cfRule>
  </conditionalFormatting>
  <conditionalFormatting sqref="H65">
    <cfRule type="expression" dxfId="1481" priority="377" stopIfTrue="1">
      <formula>AND($C$61=0,$D$61&gt;0)</formula>
    </cfRule>
    <cfRule type="expression" dxfId="1480" priority="378" stopIfTrue="1">
      <formula>$C$61=0</formula>
    </cfRule>
  </conditionalFormatting>
  <conditionalFormatting sqref="G67">
    <cfRule type="expression" dxfId="1479" priority="379" stopIfTrue="1">
      <formula>$C$61=0</formula>
    </cfRule>
    <cfRule type="expression" dxfId="1478" priority="380" stopIfTrue="1">
      <formula>ISERROR(G67)</formula>
    </cfRule>
  </conditionalFormatting>
  <conditionalFormatting sqref="G88:H88 K88">
    <cfRule type="expression" dxfId="1477" priority="381" stopIfTrue="1">
      <formula>ISERROR(G88)</formula>
    </cfRule>
    <cfRule type="cellIs" dxfId="1476" priority="382" stopIfTrue="1" operator="equal">
      <formula>0</formula>
    </cfRule>
    <cfRule type="expression" dxfId="1475" priority="383" stopIfTrue="1">
      <formula>$C$61=0</formula>
    </cfRule>
  </conditionalFormatting>
  <conditionalFormatting sqref="C91:P91">
    <cfRule type="expression" dxfId="1474" priority="384" stopIfTrue="1">
      <formula>SUM($G$150:$J$150)=0</formula>
    </cfRule>
  </conditionalFormatting>
  <conditionalFormatting sqref="P232:P233">
    <cfRule type="expression" dxfId="1473" priority="385" stopIfTrue="1">
      <formula>$N$283=12</formula>
    </cfRule>
  </conditionalFormatting>
  <conditionalFormatting sqref="C232:C233">
    <cfRule type="expression" dxfId="1472" priority="386" stopIfTrue="1">
      <formula>$N$283=12</formula>
    </cfRule>
  </conditionalFormatting>
  <conditionalFormatting sqref="G85:H85 K85">
    <cfRule type="expression" dxfId="1471" priority="387" stopIfTrue="1">
      <formula>$C$61=0</formula>
    </cfRule>
    <cfRule type="expression" dxfId="1470" priority="388" stopIfTrue="1">
      <formula>G85=$M$135</formula>
    </cfRule>
  </conditionalFormatting>
  <conditionalFormatting sqref="I55:J56 L55:M56">
    <cfRule type="cellIs" dxfId="1469" priority="389" stopIfTrue="1" operator="equal">
      <formula>0</formula>
    </cfRule>
    <cfRule type="expression" dxfId="1468" priority="390" stopIfTrue="1">
      <formula>ISERROR(I55)</formula>
    </cfRule>
  </conditionalFormatting>
  <conditionalFormatting sqref="H250:H259">
    <cfRule type="expression" dxfId="1467" priority="391" stopIfTrue="1">
      <formula>$N$283&lt;&gt;12</formula>
    </cfRule>
    <cfRule type="expression" dxfId="1466" priority="392" stopIfTrue="1">
      <formula>AND($E250&lt;&gt;"",$H250=0)</formula>
    </cfRule>
  </conditionalFormatting>
  <conditionalFormatting sqref="I250:J259">
    <cfRule type="expression" dxfId="1465" priority="393" stopIfTrue="1">
      <formula>$N$283&lt;&gt;12</formula>
    </cfRule>
    <cfRule type="expression" dxfId="1464" priority="394" stopIfTrue="1">
      <formula>AND($H250&lt;&gt;0,$I250="")</formula>
    </cfRule>
  </conditionalFormatting>
  <conditionalFormatting sqref="D250:D259">
    <cfRule type="expression" dxfId="1463" priority="395" stopIfTrue="1">
      <formula>$N$283&lt;&gt;12</formula>
    </cfRule>
    <cfRule type="expression" dxfId="1462" priority="396" stopIfTrue="1">
      <formula>$E250=""</formula>
    </cfRule>
  </conditionalFormatting>
  <conditionalFormatting sqref="L248">
    <cfRule type="expression" dxfId="1461" priority="397" stopIfTrue="1">
      <formula>$N$283&lt;&gt;12</formula>
    </cfRule>
  </conditionalFormatting>
  <conditionalFormatting sqref="L243:M246">
    <cfRule type="expression" dxfId="1460" priority="398" stopIfTrue="1">
      <formula>$N$283&lt;&gt;12</formula>
    </cfRule>
    <cfRule type="cellIs" dxfId="1459" priority="399" stopIfTrue="1" operator="equal">
      <formula>0</formula>
    </cfRule>
  </conditionalFormatting>
  <conditionalFormatting sqref="L247:M247">
    <cfRule type="expression" dxfId="1458" priority="400" stopIfTrue="1">
      <formula>ISERROR($L247)</formula>
    </cfRule>
    <cfRule type="expression" dxfId="1457" priority="401" stopIfTrue="1">
      <formula>$L247=0</formula>
    </cfRule>
    <cfRule type="expression" dxfId="1456" priority="402" stopIfTrue="1">
      <formula>$N$283&lt;&gt;12</formula>
    </cfRule>
  </conditionalFormatting>
  <conditionalFormatting sqref="K239:N240">
    <cfRule type="expression" dxfId="1455" priority="403" stopIfTrue="1">
      <formula>$N$283&lt;&gt;12</formula>
    </cfRule>
  </conditionalFormatting>
  <conditionalFormatting sqref="N243:N246">
    <cfRule type="expression" dxfId="1454" priority="404" stopIfTrue="1">
      <formula>$N$283&lt;&gt;12</formula>
    </cfRule>
    <cfRule type="expression" dxfId="1453" priority="405" stopIfTrue="1">
      <formula>ISERROR(N243)</formula>
    </cfRule>
    <cfRule type="expression" dxfId="1452" priority="406" stopIfTrue="1">
      <formula>L243=0</formula>
    </cfRule>
  </conditionalFormatting>
  <conditionalFormatting sqref="N247">
    <cfRule type="expression" dxfId="1451" priority="407" stopIfTrue="1">
      <formula>ISERROR(N247)</formula>
    </cfRule>
    <cfRule type="expression" dxfId="1450" priority="408" stopIfTrue="1">
      <formula>L247=0</formula>
    </cfRule>
    <cfRule type="expression" dxfId="1449" priority="409" stopIfTrue="1">
      <formula>$N$283&lt;&gt;12</formula>
    </cfRule>
  </conditionalFormatting>
  <conditionalFormatting sqref="N266">
    <cfRule type="expression" dxfId="1448" priority="410" stopIfTrue="1">
      <formula>$N$283&lt;&gt;12</formula>
    </cfRule>
  </conditionalFormatting>
  <conditionalFormatting sqref="L266:M266">
    <cfRule type="expression" dxfId="1447" priority="411" stopIfTrue="1">
      <formula>$N$283&lt;&gt;12</formula>
    </cfRule>
  </conditionalFormatting>
  <conditionalFormatting sqref="G61:H62 K61:K62 N61:N62">
    <cfRule type="expression" dxfId="1446" priority="412" stopIfTrue="1">
      <formula>$C$61=0</formula>
    </cfRule>
    <cfRule type="expression" dxfId="1445" priority="413" stopIfTrue="1">
      <formula>G$62=$L$135</formula>
    </cfRule>
  </conditionalFormatting>
  <conditionalFormatting sqref="G233:H234 K233:K234 N233:N234">
    <cfRule type="expression" dxfId="1444" priority="414" stopIfTrue="1">
      <formula>$N$283&lt;&gt;12</formula>
    </cfRule>
    <cfRule type="expression" dxfId="1443" priority="415" stopIfTrue="1">
      <formula>G$234=$L$135</formula>
    </cfRule>
  </conditionalFormatting>
  <conditionalFormatting sqref="M166:N166">
    <cfRule type="expression" dxfId="1442" priority="416" stopIfTrue="1">
      <formula>ISBLANK($M166)</formula>
    </cfRule>
  </conditionalFormatting>
  <dataValidations count="8">
    <dataValidation type="whole" operator="lessThanOrEqual" allowBlank="1" showInputMessage="1" showErrorMessage="1" sqref="F52">
      <formula1>E162</formula1>
    </dataValidation>
    <dataValidation type="list" allowBlank="1" showInputMessage="1" showErrorMessage="1" sqref="I207">
      <formula1>$I$219:$I$229</formula1>
    </dataValidation>
    <dataValidation type="decimal" operator="greaterThan" allowBlank="1" showInputMessage="1" showErrorMessage="1" errorTitle="ATTENZIONE !!!" error="E' ammesso solo un valore POSITIVO" sqref="G53:G54">
      <formula1>0</formula1>
    </dataValidation>
    <dataValidation type="decimal" operator="lessThan" allowBlank="1" showInputMessage="1" showErrorMessage="1" errorTitle="ATTENZIONE !!!" error="E' ammesso solo un valore NEGATIVO" sqref="H53:H54">
      <formula1>0</formula1>
    </dataValidation>
    <dataValidation type="list" allowBlank="1" showInputMessage="1" showErrorMessage="1" sqref="M168:N168">
      <formula1>$E$218:$E$220</formula1>
    </dataValidation>
    <dataValidation type="list" allowBlank="1" showInputMessage="1" showErrorMessage="1" sqref="M166">
      <formula1>$E$223:$E$226</formula1>
    </dataValidation>
    <dataValidation type="list" allowBlank="1" showInputMessage="1" showErrorMessage="1" sqref="M3:P3">
      <formula1>$K$144:$K$149</formula1>
    </dataValidation>
    <dataValidation type="list" allowBlank="1" showInputMessage="1" showErrorMessage="1" sqref="I250:I259">
      <formula1>$G$243:$G$246</formula1>
    </dataValidation>
  </dataValidations>
  <hyperlinks>
    <hyperlink ref="G231" location="Presentazione!I106" display="QUI"/>
    <hyperlink ref="L231" location="Presentazione!K83" display="QUI"/>
  </hyperlinks>
  <printOptions horizontalCentered="1"/>
  <pageMargins left="0.39370078740157483" right="0" top="0.39370078740157483" bottom="0" header="0" footer="0"/>
  <pageSetup paperSize="9" scale="72" orientation="portrait" r:id="rId1"/>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8">
    <pageSetUpPr autoPageBreaks="0"/>
  </sheetPr>
  <dimension ref="A1:EG506"/>
  <sheetViews>
    <sheetView showGridLines="0" showRowColHeaders="0" workbookViewId="0">
      <selection activeCell="T5" sqref="T5:W5"/>
    </sheetView>
  </sheetViews>
  <sheetFormatPr defaultRowHeight="12.75" x14ac:dyDescent="0.2"/>
  <cols>
    <col min="1" max="1" width="9.28515625" style="4" customWidth="1"/>
    <col min="2" max="2" width="8.7109375" style="4" customWidth="1"/>
    <col min="3" max="32" width="3.5703125" style="4" customWidth="1"/>
    <col min="33" max="34" width="12.85546875" style="4" customWidth="1"/>
    <col min="35" max="98" width="12.85546875" style="4" hidden="1" customWidth="1"/>
    <col min="99" max="137" width="0" style="4" hidden="1" customWidth="1"/>
    <col min="138" max="16384" width="9.140625" style="4"/>
  </cols>
  <sheetData>
    <row r="1" spans="1:36" ht="7.5" customHeight="1" x14ac:dyDescent="0.2">
      <c r="A1" s="540"/>
      <c r="B1" s="2"/>
      <c r="C1" s="2308"/>
      <c r="D1" s="2308"/>
      <c r="E1" s="2308"/>
      <c r="F1" s="2308"/>
      <c r="G1" s="2308"/>
      <c r="H1" s="2308"/>
      <c r="I1" s="2308"/>
      <c r="J1" s="2308"/>
      <c r="K1" s="2308"/>
      <c r="L1" s="2308"/>
      <c r="M1" s="2308"/>
      <c r="N1" s="2308"/>
      <c r="O1" s="2308"/>
      <c r="P1" s="2308"/>
      <c r="Q1" s="2308"/>
      <c r="R1" s="2308"/>
      <c r="S1" s="2308"/>
      <c r="T1" s="2308"/>
      <c r="U1" s="2308"/>
      <c r="V1" s="2308"/>
      <c r="W1" s="2308"/>
      <c r="X1" s="2308"/>
      <c r="Y1" s="2308"/>
      <c r="Z1" s="2308"/>
      <c r="AA1" s="2308"/>
      <c r="AB1" s="2308"/>
      <c r="AC1" s="2308"/>
      <c r="AD1" s="2308"/>
      <c r="AE1" s="2308"/>
      <c r="AF1" s="2"/>
      <c r="AG1" s="2"/>
      <c r="AH1" s="2"/>
    </row>
    <row r="2" spans="1:36" ht="15" customHeight="1" x14ac:dyDescent="0.2">
      <c r="A2" s="2"/>
      <c r="B2" s="2"/>
      <c r="C2" s="20"/>
      <c r="D2" s="2307" t="str">
        <f>IMPOSTAZIONI!C73</f>
        <v>Inserisci la tua Ragione Sociale</v>
      </c>
      <c r="E2" s="2307"/>
      <c r="F2" s="2307"/>
      <c r="G2" s="2307"/>
      <c r="H2" s="2307"/>
      <c r="I2" s="2307"/>
      <c r="J2" s="2307"/>
      <c r="K2" s="2307"/>
      <c r="L2" s="2307"/>
      <c r="M2" s="2307"/>
      <c r="N2" s="2307"/>
      <c r="O2" s="2307"/>
      <c r="P2" s="2307"/>
      <c r="Q2" s="2307"/>
      <c r="R2" s="2307"/>
      <c r="S2" s="2307"/>
      <c r="T2" s="2307"/>
      <c r="U2" s="2307"/>
      <c r="V2" s="2307"/>
      <c r="W2" s="2307"/>
      <c r="X2" s="2301" t="str">
        <f ca="1">IMPOSTAZIONI!Z69</f>
        <v/>
      </c>
      <c r="Y2" s="2301"/>
      <c r="Z2" s="2301"/>
      <c r="AA2" s="2301"/>
      <c r="AB2" s="2301"/>
      <c r="AC2" s="2301"/>
      <c r="AD2" s="2301"/>
      <c r="AE2" s="2301"/>
      <c r="AF2" s="2301"/>
      <c r="AG2" s="2"/>
      <c r="AH2" s="2"/>
    </row>
    <row r="3" spans="1:36" ht="28.5" customHeight="1" x14ac:dyDescent="0.2">
      <c r="A3" s="2"/>
      <c r="B3" s="2372" t="str">
        <f ca="1">Presentazione!D70</f>
        <v>Questo file risulta al momento completamente funzionante ed il sistema rileva tutti i suoi fogli.</v>
      </c>
      <c r="C3" s="20"/>
      <c r="D3" s="2386" t="s">
        <v>210</v>
      </c>
      <c r="E3" s="2386"/>
      <c r="F3" s="2386"/>
      <c r="G3" s="2386"/>
      <c r="H3" s="2386"/>
      <c r="I3" s="2386"/>
      <c r="J3" s="2386"/>
      <c r="K3" s="2386"/>
      <c r="L3" s="2386"/>
      <c r="M3" s="2386"/>
      <c r="N3" s="2386"/>
      <c r="O3" s="2386"/>
      <c r="P3" s="2386"/>
      <c r="Q3" s="2386"/>
      <c r="R3" s="2386"/>
      <c r="S3" s="2386"/>
      <c r="T3" s="2386"/>
      <c r="U3" s="2386"/>
      <c r="V3" s="2386"/>
      <c r="W3" s="2386"/>
      <c r="X3" s="1278"/>
      <c r="Y3" s="1278"/>
      <c r="Z3" s="1278"/>
      <c r="AA3" s="1278"/>
      <c r="AB3" s="1278"/>
      <c r="AC3" s="1278"/>
      <c r="AD3" s="1278"/>
      <c r="AE3" s="1278"/>
      <c r="AF3" s="1278"/>
      <c r="AG3" s="2"/>
      <c r="AH3" s="2"/>
    </row>
    <row r="4" spans="1:36" ht="15.75" customHeight="1" x14ac:dyDescent="0.2">
      <c r="A4" s="2"/>
      <c r="B4" s="2372"/>
      <c r="C4" s="2308"/>
      <c r="D4" s="2308"/>
      <c r="E4" s="2308"/>
      <c r="F4" s="2308"/>
      <c r="G4" s="2308"/>
      <c r="H4" s="2308"/>
      <c r="I4" s="2308"/>
      <c r="J4" s="2308"/>
      <c r="K4" s="2308"/>
      <c r="L4" s="2308"/>
      <c r="M4" s="2308"/>
      <c r="N4" s="2308"/>
      <c r="O4" s="2308"/>
      <c r="P4" s="2308"/>
      <c r="Q4" s="2308"/>
      <c r="R4" s="2308"/>
      <c r="S4" s="2308"/>
      <c r="T4" s="2303" t="s">
        <v>211</v>
      </c>
      <c r="U4" s="2303"/>
      <c r="V4" s="2303"/>
      <c r="W4" s="2303"/>
      <c r="X4" s="113"/>
      <c r="Y4" s="113"/>
      <c r="Z4" s="113"/>
      <c r="AA4" s="113"/>
      <c r="AB4" s="113"/>
      <c r="AC4" s="113"/>
      <c r="AD4" s="113"/>
      <c r="AE4" s="1277"/>
      <c r="AF4" s="2"/>
      <c r="AG4" s="2"/>
      <c r="AH4" s="2"/>
    </row>
    <row r="5" spans="1:36" ht="22.5" customHeight="1" x14ac:dyDescent="0.2">
      <c r="A5" s="2"/>
      <c r="B5" s="2372"/>
      <c r="C5" s="20"/>
      <c r="D5" s="2458" t="s">
        <v>361</v>
      </c>
      <c r="E5" s="2459"/>
      <c r="F5" s="2459"/>
      <c r="G5" s="2459"/>
      <c r="H5" s="2459"/>
      <c r="I5" s="2459"/>
      <c r="J5" s="2459"/>
      <c r="K5" s="2460" t="s">
        <v>555</v>
      </c>
      <c r="L5" s="2460"/>
      <c r="M5" s="2460"/>
      <c r="N5" s="2460"/>
      <c r="O5" s="2460"/>
      <c r="P5" s="2460"/>
      <c r="Q5" s="2460"/>
      <c r="R5" s="2460"/>
      <c r="S5" s="2461"/>
      <c r="T5" s="2455">
        <v>45292</v>
      </c>
      <c r="U5" s="2456"/>
      <c r="V5" s="2456"/>
      <c r="W5" s="2457"/>
      <c r="X5" s="115"/>
      <c r="Y5" s="116"/>
      <c r="Z5" s="116"/>
      <c r="AA5" s="116"/>
      <c r="AB5" s="116"/>
      <c r="AC5" s="116"/>
      <c r="AD5" s="116"/>
      <c r="AE5" s="1277"/>
      <c r="AF5" s="2"/>
      <c r="AG5" s="2"/>
      <c r="AH5" s="2"/>
    </row>
    <row r="6" spans="1:36" ht="6.75" customHeight="1" x14ac:dyDescent="0.2">
      <c r="A6" s="2"/>
      <c r="B6" s="2372"/>
      <c r="C6" s="2308"/>
      <c r="D6" s="2308"/>
      <c r="E6" s="2308"/>
      <c r="F6" s="2308"/>
      <c r="G6" s="2308"/>
      <c r="H6" s="2308"/>
      <c r="I6" s="2308"/>
      <c r="J6" s="2308"/>
      <c r="K6" s="2308"/>
      <c r="L6" s="2308"/>
      <c r="M6" s="2308"/>
      <c r="N6" s="2308"/>
      <c r="O6" s="2308"/>
      <c r="P6" s="2308"/>
      <c r="Q6" s="2308"/>
      <c r="R6" s="2308"/>
      <c r="S6" s="2308"/>
      <c r="T6" s="2308"/>
      <c r="U6" s="2308"/>
      <c r="V6" s="2308"/>
      <c r="W6" s="2308"/>
      <c r="X6" s="2308"/>
      <c r="Y6" s="2308"/>
      <c r="Z6" s="2308"/>
      <c r="AA6" s="2308"/>
      <c r="AB6" s="2308"/>
      <c r="AC6" s="2308"/>
      <c r="AD6" s="2308"/>
      <c r="AE6" s="1277"/>
      <c r="AF6" s="2"/>
      <c r="AG6" s="2"/>
      <c r="AH6" s="2"/>
    </row>
    <row r="7" spans="1:36" ht="20.25" customHeight="1" x14ac:dyDescent="0.2">
      <c r="A7" s="2"/>
      <c r="B7" s="2372"/>
      <c r="C7" s="20"/>
      <c r="D7" s="2501" t="s">
        <v>290</v>
      </c>
      <c r="E7" s="2501"/>
      <c r="F7" s="2501"/>
      <c r="G7" s="2501"/>
      <c r="H7" s="2501"/>
      <c r="I7" s="2501"/>
      <c r="J7" s="2501"/>
      <c r="K7" s="2501"/>
      <c r="L7" s="2501"/>
      <c r="M7" s="2501"/>
      <c r="N7" s="2501"/>
      <c r="O7" s="2502" t="s">
        <v>212</v>
      </c>
      <c r="P7" s="2502"/>
      <c r="Q7" s="2502"/>
      <c r="R7" s="2502"/>
      <c r="S7" s="2502"/>
      <c r="T7" s="2308"/>
      <c r="U7" s="2308"/>
      <c r="V7" s="2308"/>
      <c r="W7" s="2308"/>
      <c r="X7" s="2309" t="s">
        <v>213</v>
      </c>
      <c r="Y7" s="2309"/>
      <c r="Z7" s="20"/>
      <c r="AA7" s="20"/>
      <c r="AB7" s="20"/>
      <c r="AC7" s="20"/>
      <c r="AD7" s="20"/>
      <c r="AE7" s="121"/>
      <c r="AF7" s="2"/>
      <c r="AG7" s="2"/>
      <c r="AH7" s="2"/>
    </row>
    <row r="8" spans="1:36" ht="20.25" customHeight="1" x14ac:dyDescent="0.35">
      <c r="A8" s="2"/>
      <c r="B8" s="2372"/>
      <c r="C8" s="20"/>
      <c r="D8" s="2311" t="s">
        <v>214</v>
      </c>
      <c r="E8" s="2311"/>
      <c r="F8" s="2311"/>
      <c r="G8" s="2311"/>
      <c r="H8" s="2311"/>
      <c r="I8" s="2311"/>
      <c r="J8" s="2311"/>
      <c r="K8" s="2311"/>
      <c r="L8" s="2311"/>
      <c r="M8" s="2311"/>
      <c r="N8" s="2311"/>
      <c r="O8" s="2311"/>
      <c r="P8" s="2311"/>
      <c r="Q8" s="2311"/>
      <c r="R8" s="2311"/>
      <c r="S8" s="2311"/>
      <c r="T8" s="2308"/>
      <c r="U8" s="2308"/>
      <c r="V8" s="2308"/>
      <c r="W8" s="2308"/>
      <c r="X8" s="2310" t="s">
        <v>213</v>
      </c>
      <c r="Y8" s="2310"/>
      <c r="Z8" s="2302" t="s">
        <v>778</v>
      </c>
      <c r="AA8" s="2302"/>
      <c r="AB8" s="2302"/>
      <c r="AC8" s="2302"/>
      <c r="AD8" s="20"/>
      <c r="AE8" s="20"/>
      <c r="AF8" s="2"/>
      <c r="AG8" s="2"/>
      <c r="AH8" s="2"/>
    </row>
    <row r="9" spans="1:36" ht="6.75" customHeight="1" x14ac:dyDescent="0.2">
      <c r="A9" s="2"/>
      <c r="B9" s="2372"/>
      <c r="C9" s="113"/>
      <c r="D9" s="113"/>
      <c r="E9" s="113"/>
      <c r="F9" s="113"/>
      <c r="G9" s="113"/>
      <c r="H9" s="113"/>
      <c r="I9" s="113"/>
      <c r="J9" s="113"/>
      <c r="K9" s="113"/>
      <c r="L9" s="113"/>
      <c r="M9" s="113"/>
      <c r="N9" s="113"/>
      <c r="O9" s="113"/>
      <c r="P9" s="113"/>
      <c r="Q9" s="113"/>
      <c r="R9" s="113"/>
      <c r="S9" s="113"/>
      <c r="T9" s="113"/>
      <c r="U9" s="113"/>
      <c r="V9" s="113"/>
      <c r="W9" s="113"/>
      <c r="X9" s="113"/>
      <c r="Y9" s="113"/>
      <c r="Z9" s="2303"/>
      <c r="AA9" s="2303"/>
      <c r="AB9" s="2303"/>
      <c r="AC9" s="2303"/>
      <c r="AD9" s="113"/>
      <c r="AE9" s="113"/>
      <c r="AF9" s="2"/>
      <c r="AG9" s="2"/>
      <c r="AH9" s="2"/>
      <c r="AI9" s="2"/>
      <c r="AJ9" s="2"/>
    </row>
    <row r="10" spans="1:36" ht="22.5" customHeight="1" x14ac:dyDescent="0.2">
      <c r="A10" s="2"/>
      <c r="B10" s="2372"/>
      <c r="C10" s="20"/>
      <c r="D10" s="2412" t="str">
        <f>IF(Z10&lt;&gt;0,U111,U110)</f>
        <v>TOTALE del giorno registrato nel sistema EURO</v>
      </c>
      <c r="E10" s="2413"/>
      <c r="F10" s="2413"/>
      <c r="G10" s="2413"/>
      <c r="H10" s="2413"/>
      <c r="I10" s="2413"/>
      <c r="J10" s="2413"/>
      <c r="K10" s="2413"/>
      <c r="L10" s="2413"/>
      <c r="M10" s="2413"/>
      <c r="N10" s="2413"/>
      <c r="O10" s="2413"/>
      <c r="P10" s="2413"/>
      <c r="Q10" s="2413"/>
      <c r="R10" s="2413"/>
      <c r="S10" s="2414"/>
      <c r="T10" s="2400">
        <f>IF(O503=0,IF(T5&gt;K503,G481,IF(Z10&lt;&gt;0,Z10,VLOOKUP(T5,E114:I479,3,FALSE))),IF(Z10&lt;&gt;0,Z10,VLOOKUP(T5,E114:I479,3,FALSE)))</f>
        <v>1000</v>
      </c>
      <c r="U10" s="2401"/>
      <c r="V10" s="2401"/>
      <c r="W10" s="2402"/>
      <c r="X10" s="1078"/>
      <c r="Y10" s="1079"/>
      <c r="Z10" s="2304"/>
      <c r="AA10" s="2305"/>
      <c r="AB10" s="2305"/>
      <c r="AC10" s="2306"/>
      <c r="AD10" s="1080"/>
      <c r="AE10" s="1080"/>
      <c r="AF10" s="2"/>
      <c r="AG10" s="2"/>
      <c r="AH10" s="2"/>
      <c r="AI10" s="925" t="s">
        <v>715</v>
      </c>
      <c r="AJ10" s="2"/>
    </row>
    <row r="11" spans="1:36" ht="14.25" customHeight="1" x14ac:dyDescent="0.2">
      <c r="A11" s="2"/>
      <c r="B11" s="2372"/>
      <c r="C11" s="113"/>
      <c r="D11" s="113"/>
      <c r="E11" s="113"/>
      <c r="F11" s="113"/>
      <c r="G11" s="113"/>
      <c r="H11" s="113"/>
      <c r="I11" s="113"/>
      <c r="J11" s="113"/>
      <c r="K11" s="113"/>
      <c r="L11" s="113"/>
      <c r="M11" s="113"/>
      <c r="N11" s="113"/>
      <c r="O11" s="113"/>
      <c r="P11" s="113"/>
      <c r="Q11" s="113"/>
      <c r="R11" s="113"/>
      <c r="S11" s="113"/>
      <c r="T11" s="113"/>
      <c r="U11" s="113"/>
      <c r="V11" s="113"/>
      <c r="W11" s="113"/>
      <c r="X11" s="113"/>
      <c r="Y11" s="113"/>
      <c r="Z11" s="2510" t="s">
        <v>818</v>
      </c>
      <c r="AA11" s="2510"/>
      <c r="AB11" s="2510"/>
      <c r="AC11" s="2510"/>
      <c r="AD11" s="113"/>
      <c r="AE11" s="113"/>
      <c r="AF11" s="2"/>
      <c r="AG11" s="2"/>
      <c r="AH11" s="2"/>
      <c r="AI11" s="2"/>
      <c r="AJ11" s="2"/>
    </row>
    <row r="12" spans="1:36" ht="20.25" customHeight="1" x14ac:dyDescent="0.2">
      <c r="A12" s="2"/>
      <c r="B12" s="2372"/>
      <c r="C12" s="20"/>
      <c r="D12" s="2511" t="s">
        <v>146</v>
      </c>
      <c r="E12" s="2511"/>
      <c r="F12" s="2511"/>
      <c r="G12" s="2511"/>
      <c r="H12" s="2511"/>
      <c r="I12" s="2511"/>
      <c r="J12" s="2511"/>
      <c r="K12" s="2511"/>
      <c r="L12" s="2511"/>
      <c r="M12" s="2511"/>
      <c r="N12" s="2511"/>
      <c r="O12" s="2511"/>
      <c r="P12" s="2511"/>
      <c r="Q12" s="2511"/>
      <c r="R12" s="2511"/>
      <c r="S12" s="2511"/>
      <c r="T12" s="2511"/>
      <c r="U12" s="2511"/>
      <c r="V12" s="2511"/>
      <c r="W12" s="2511"/>
      <c r="X12" s="1221"/>
      <c r="Y12" s="1221"/>
      <c r="Z12" s="2512">
        <f>VLOOKUP(T5,E114:I479,3,FALSE)</f>
        <v>1000</v>
      </c>
      <c r="AA12" s="2512"/>
      <c r="AB12" s="2512"/>
      <c r="AC12" s="2512"/>
      <c r="AD12" s="1221"/>
      <c r="AE12" s="20"/>
      <c r="AF12" s="2"/>
      <c r="AG12" s="2"/>
      <c r="AH12" s="2"/>
    </row>
    <row r="13" spans="1:36" ht="20.25" customHeight="1" x14ac:dyDescent="0.2">
      <c r="A13" s="2"/>
      <c r="B13" s="2372"/>
      <c r="C13" s="20"/>
      <c r="D13" s="2415" t="s">
        <v>215</v>
      </c>
      <c r="E13" s="2415"/>
      <c r="F13" s="2415"/>
      <c r="G13" s="2415"/>
      <c r="H13" s="2415"/>
      <c r="I13" s="2415"/>
      <c r="J13" s="2415"/>
      <c r="K13" s="2415"/>
      <c r="L13" s="2415"/>
      <c r="M13" s="2415"/>
      <c r="N13" s="2415"/>
      <c r="O13" s="2415"/>
      <c r="P13" s="2415"/>
      <c r="Q13" s="2415"/>
      <c r="R13" s="2415"/>
      <c r="S13" s="2416"/>
      <c r="T13" s="2403"/>
      <c r="U13" s="2404"/>
      <c r="V13" s="2404"/>
      <c r="W13" s="2405"/>
      <c r="X13" s="2409"/>
      <c r="Y13" s="2410"/>
      <c r="Z13" s="2411"/>
      <c r="AA13" s="2411"/>
      <c r="AB13" s="2411"/>
      <c r="AC13" s="2411"/>
      <c r="AD13" s="2411"/>
      <c r="AE13" s="2411"/>
      <c r="AF13" s="2"/>
      <c r="AG13" s="2"/>
      <c r="AH13" s="2"/>
    </row>
    <row r="14" spans="1:36" ht="3" customHeight="1" x14ac:dyDescent="0.2">
      <c r="A14" s="2"/>
      <c r="B14" s="2372"/>
      <c r="C14" s="2308"/>
      <c r="D14" s="2308"/>
      <c r="E14" s="2308"/>
      <c r="F14" s="2308"/>
      <c r="G14" s="2308"/>
      <c r="H14" s="2308"/>
      <c r="I14" s="2308"/>
      <c r="J14" s="2308"/>
      <c r="K14" s="2308"/>
      <c r="L14" s="2308"/>
      <c r="M14" s="2308"/>
      <c r="N14" s="2308"/>
      <c r="O14" s="2308"/>
      <c r="P14" s="2308"/>
      <c r="Q14" s="2308"/>
      <c r="R14" s="2308"/>
      <c r="S14" s="2308"/>
      <c r="T14" s="2308"/>
      <c r="U14" s="2308"/>
      <c r="V14" s="2308"/>
      <c r="W14" s="2308"/>
      <c r="X14" s="2308"/>
      <c r="Y14" s="2308"/>
      <c r="Z14" s="2308"/>
      <c r="AA14" s="2308"/>
      <c r="AB14" s="2308"/>
      <c r="AC14" s="2308"/>
      <c r="AD14" s="2308"/>
      <c r="AE14" s="2308"/>
      <c r="AF14" s="2"/>
      <c r="AG14" s="2"/>
      <c r="AH14" s="2"/>
    </row>
    <row r="15" spans="1:36" ht="20.25" customHeight="1" x14ac:dyDescent="0.2">
      <c r="A15" s="2"/>
      <c r="B15" s="2372"/>
      <c r="C15" s="2308"/>
      <c r="D15" s="2470"/>
      <c r="E15" s="2474"/>
      <c r="F15" s="2475"/>
      <c r="G15" s="2476"/>
      <c r="H15" s="2466" t="s">
        <v>393</v>
      </c>
      <c r="I15" s="2467"/>
      <c r="J15" s="2467"/>
      <c r="K15" s="2467"/>
      <c r="L15" s="2467"/>
      <c r="M15" s="2467"/>
      <c r="N15" s="2467"/>
      <c r="O15" s="2467"/>
      <c r="P15" s="2467"/>
      <c r="Q15" s="2467"/>
      <c r="R15" s="2467"/>
      <c r="S15" s="2468"/>
      <c r="T15" s="2406"/>
      <c r="U15" s="2407"/>
      <c r="V15" s="2407"/>
      <c r="W15" s="2408"/>
      <c r="X15" s="2409"/>
      <c r="Y15" s="2410"/>
      <c r="Z15" s="2411"/>
      <c r="AA15" s="2411"/>
      <c r="AB15" s="2411"/>
      <c r="AC15" s="2411"/>
      <c r="AD15" s="2411"/>
      <c r="AE15" s="2411"/>
      <c r="AF15" s="2"/>
      <c r="AG15" s="2"/>
      <c r="AH15" s="2"/>
    </row>
    <row r="16" spans="1:36" ht="20.25" customHeight="1" x14ac:dyDescent="0.2">
      <c r="A16" s="2"/>
      <c r="B16" s="2372"/>
      <c r="C16" s="1082"/>
      <c r="D16" s="1083"/>
      <c r="E16" s="2428" t="s">
        <v>291</v>
      </c>
      <c r="F16" s="2429"/>
      <c r="G16" s="2430"/>
      <c r="H16" s="2431" t="s">
        <v>293</v>
      </c>
      <c r="I16" s="2432"/>
      <c r="J16" s="2432"/>
      <c r="K16" s="2432"/>
      <c r="L16" s="2432"/>
      <c r="M16" s="2432"/>
      <c r="N16" s="2432"/>
      <c r="O16" s="2432"/>
      <c r="P16" s="2432"/>
      <c r="Q16" s="2432"/>
      <c r="R16" s="2432"/>
      <c r="S16" s="2433"/>
      <c r="T16" s="2425"/>
      <c r="U16" s="2426"/>
      <c r="V16" s="2426"/>
      <c r="W16" s="2427"/>
      <c r="X16" s="1084"/>
      <c r="Y16" s="1085"/>
      <c r="Z16" s="21"/>
      <c r="AA16" s="21"/>
      <c r="AB16" s="21"/>
      <c r="AC16" s="21"/>
      <c r="AD16" s="21"/>
      <c r="AE16" s="21"/>
      <c r="AF16" s="2"/>
      <c r="AG16" s="2"/>
      <c r="AH16" s="2"/>
    </row>
    <row r="17" spans="1:34" ht="20.25" customHeight="1" x14ac:dyDescent="0.2">
      <c r="A17" s="2"/>
      <c r="B17" s="2372"/>
      <c r="C17" s="1082"/>
      <c r="D17" s="1083"/>
      <c r="E17" s="2428" t="s">
        <v>292</v>
      </c>
      <c r="F17" s="2429"/>
      <c r="G17" s="2430"/>
      <c r="H17" s="2431" t="s">
        <v>294</v>
      </c>
      <c r="I17" s="2432"/>
      <c r="J17" s="2432"/>
      <c r="K17" s="2432"/>
      <c r="L17" s="2432"/>
      <c r="M17" s="2432"/>
      <c r="N17" s="2432"/>
      <c r="O17" s="2432"/>
      <c r="P17" s="2432"/>
      <c r="Q17" s="2432"/>
      <c r="R17" s="2432"/>
      <c r="S17" s="2433"/>
      <c r="T17" s="2425"/>
      <c r="U17" s="2426"/>
      <c r="V17" s="2426"/>
      <c r="W17" s="2427"/>
      <c r="X17" s="1084"/>
      <c r="Y17" s="1085"/>
      <c r="Z17" s="21"/>
      <c r="AA17" s="21"/>
      <c r="AB17" s="21"/>
      <c r="AC17" s="21"/>
      <c r="AD17" s="21"/>
      <c r="AE17" s="21"/>
      <c r="AF17" s="2"/>
      <c r="AG17" s="2"/>
      <c r="AH17" s="2"/>
    </row>
    <row r="18" spans="1:34" ht="20.25" customHeight="1" x14ac:dyDescent="0.2">
      <c r="A18" s="2"/>
      <c r="B18" s="2372"/>
      <c r="C18" s="2308"/>
      <c r="D18" s="2470"/>
      <c r="E18" s="2428" t="s">
        <v>364</v>
      </c>
      <c r="F18" s="2429"/>
      <c r="G18" s="2430"/>
      <c r="H18" s="2431" t="s">
        <v>779</v>
      </c>
      <c r="I18" s="2432"/>
      <c r="J18" s="2432"/>
      <c r="K18" s="2432"/>
      <c r="L18" s="2432"/>
      <c r="M18" s="2432"/>
      <c r="N18" s="2432"/>
      <c r="O18" s="2432"/>
      <c r="P18" s="2432"/>
      <c r="Q18" s="2432"/>
      <c r="R18" s="2432"/>
      <c r="S18" s="2433"/>
      <c r="T18" s="2425"/>
      <c r="U18" s="2426"/>
      <c r="V18" s="2426"/>
      <c r="W18" s="2427"/>
      <c r="X18" s="2409"/>
      <c r="Y18" s="2410"/>
      <c r="Z18" s="2411"/>
      <c r="AA18" s="2411"/>
      <c r="AB18" s="2411"/>
      <c r="AC18" s="2411"/>
      <c r="AD18" s="2411"/>
      <c r="AE18" s="2411"/>
      <c r="AF18" s="2"/>
      <c r="AG18" s="2"/>
      <c r="AH18" s="2"/>
    </row>
    <row r="19" spans="1:34" ht="20.25" customHeight="1" x14ac:dyDescent="0.2">
      <c r="A19" s="2"/>
      <c r="B19" s="2372"/>
      <c r="C19" s="2308"/>
      <c r="D19" s="2470"/>
      <c r="E19" s="2471"/>
      <c r="F19" s="2472"/>
      <c r="G19" s="2473"/>
      <c r="H19" s="2452" t="s">
        <v>780</v>
      </c>
      <c r="I19" s="2453"/>
      <c r="J19" s="2453"/>
      <c r="K19" s="2453"/>
      <c r="L19" s="2453"/>
      <c r="M19" s="2453"/>
      <c r="N19" s="2453"/>
      <c r="O19" s="2453"/>
      <c r="P19" s="2453"/>
      <c r="Q19" s="2453"/>
      <c r="R19" s="2453"/>
      <c r="S19" s="2454"/>
      <c r="T19" s="2397"/>
      <c r="U19" s="2398"/>
      <c r="V19" s="2398"/>
      <c r="W19" s="2399"/>
      <c r="X19" s="2409"/>
      <c r="Y19" s="2410"/>
      <c r="Z19" s="2411"/>
      <c r="AA19" s="2411"/>
      <c r="AB19" s="2411"/>
      <c r="AC19" s="2411"/>
      <c r="AD19" s="2411"/>
      <c r="AE19" s="2411"/>
      <c r="AF19" s="2"/>
      <c r="AG19" s="2"/>
      <c r="AH19" s="2"/>
    </row>
    <row r="20" spans="1:34" ht="3" customHeight="1" x14ac:dyDescent="0.2">
      <c r="A20" s="2"/>
      <c r="B20" s="2372"/>
      <c r="C20" s="2308"/>
      <c r="D20" s="2308"/>
      <c r="E20" s="2308"/>
      <c r="F20" s="2308"/>
      <c r="G20" s="2308"/>
      <c r="H20" s="2308"/>
      <c r="I20" s="2308"/>
      <c r="J20" s="2308"/>
      <c r="K20" s="2308"/>
      <c r="L20" s="2308"/>
      <c r="M20" s="2308"/>
      <c r="N20" s="2308"/>
      <c r="O20" s="2308"/>
      <c r="P20" s="2308"/>
      <c r="Q20" s="2308"/>
      <c r="R20" s="2308"/>
      <c r="S20" s="2308"/>
      <c r="T20" s="2308"/>
      <c r="U20" s="2308"/>
      <c r="V20" s="2308"/>
      <c r="W20" s="2308"/>
      <c r="X20" s="2308"/>
      <c r="Y20" s="2308"/>
      <c r="Z20" s="2308"/>
      <c r="AA20" s="2308"/>
      <c r="AB20" s="2308"/>
      <c r="AC20" s="2308"/>
      <c r="AD20" s="2308"/>
      <c r="AE20" s="2308"/>
      <c r="AF20" s="2"/>
      <c r="AG20" s="2"/>
      <c r="AH20" s="2"/>
    </row>
    <row r="21" spans="1:34" ht="20.25" customHeight="1" x14ac:dyDescent="0.2">
      <c r="A21" s="2"/>
      <c r="B21" s="2372"/>
      <c r="C21" s="742" t="str">
        <f>AI84</f>
        <v>A/Banc.</v>
      </c>
      <c r="D21" s="2"/>
      <c r="E21" s="5"/>
      <c r="F21" s="5"/>
      <c r="G21" s="5"/>
      <c r="H21" s="2415" t="s">
        <v>216</v>
      </c>
      <c r="I21" s="2415"/>
      <c r="J21" s="2415"/>
      <c r="K21" s="2415"/>
      <c r="L21" s="2415"/>
      <c r="M21" s="2415"/>
      <c r="N21" s="2415"/>
      <c r="O21" s="2415"/>
      <c r="P21" s="2415"/>
      <c r="Q21" s="2415"/>
      <c r="R21" s="2415"/>
      <c r="S21" s="2416"/>
      <c r="T21" s="2394"/>
      <c r="U21" s="2395"/>
      <c r="V21" s="2395"/>
      <c r="W21" s="2396"/>
      <c r="X21" s="2477"/>
      <c r="Y21" s="2478"/>
      <c r="Z21" s="739" t="s">
        <v>219</v>
      </c>
      <c r="AA21" s="2499" t="s">
        <v>612</v>
      </c>
      <c r="AB21" s="2500"/>
      <c r="AC21" s="737"/>
      <c r="AD21" s="737"/>
      <c r="AE21" s="738"/>
      <c r="AF21" s="2"/>
      <c r="AG21" s="2"/>
      <c r="AH21" s="2"/>
    </row>
    <row r="22" spans="1:34" ht="20.25" customHeight="1" x14ac:dyDescent="0.2">
      <c r="A22" s="2"/>
      <c r="B22" s="2372"/>
      <c r="C22" s="742" t="str">
        <f>AI85</f>
        <v>A/Circ.</v>
      </c>
      <c r="D22" s="2"/>
      <c r="E22" s="5"/>
      <c r="F22" s="5"/>
      <c r="G22" s="5"/>
      <c r="H22" s="2415" t="s">
        <v>217</v>
      </c>
      <c r="I22" s="2415"/>
      <c r="J22" s="2415"/>
      <c r="K22" s="2415"/>
      <c r="L22" s="2415"/>
      <c r="M22" s="2415"/>
      <c r="N22" s="2415"/>
      <c r="O22" s="2415"/>
      <c r="P22" s="2415"/>
      <c r="Q22" s="2415"/>
      <c r="R22" s="2415"/>
      <c r="S22" s="2416"/>
      <c r="T22" s="2397"/>
      <c r="U22" s="2398"/>
      <c r="V22" s="2398"/>
      <c r="W22" s="2399"/>
      <c r="X22" s="2484"/>
      <c r="Y22" s="2485"/>
      <c r="Z22" s="739" t="s">
        <v>219</v>
      </c>
      <c r="AA22" s="2499"/>
      <c r="AB22" s="2500"/>
      <c r="AC22" s="737"/>
      <c r="AD22" s="737"/>
      <c r="AE22" s="738"/>
      <c r="AF22" s="2"/>
      <c r="AG22" s="2"/>
      <c r="AH22" s="2"/>
    </row>
    <row r="23" spans="1:34" ht="3" customHeight="1" x14ac:dyDescent="0.2">
      <c r="A23" s="2"/>
      <c r="B23" s="2372"/>
      <c r="C23" s="743"/>
      <c r="D23" s="113"/>
      <c r="E23" s="113"/>
      <c r="F23" s="113"/>
      <c r="G23" s="113"/>
      <c r="H23" s="113"/>
      <c r="I23" s="113"/>
      <c r="J23" s="113"/>
      <c r="K23" s="113"/>
      <c r="L23" s="2"/>
      <c r="M23" s="113"/>
      <c r="N23" s="113"/>
      <c r="O23" s="113"/>
      <c r="P23" s="113"/>
      <c r="Q23" s="113"/>
      <c r="R23" s="113"/>
      <c r="S23" s="2"/>
      <c r="T23" s="113"/>
      <c r="U23" s="113"/>
      <c r="V23" s="113"/>
      <c r="W23" s="113"/>
      <c r="X23" s="113"/>
      <c r="Y23" s="113"/>
      <c r="Z23" s="740"/>
      <c r="AA23" s="2499"/>
      <c r="AB23" s="2500"/>
      <c r="AC23" s="113"/>
      <c r="AD23" s="113"/>
      <c r="AE23" s="113"/>
      <c r="AF23" s="2"/>
      <c r="AG23" s="2"/>
      <c r="AH23" s="2"/>
    </row>
    <row r="24" spans="1:34" ht="20.25" customHeight="1" x14ac:dyDescent="0.2">
      <c r="A24" s="2"/>
      <c r="B24" s="2372"/>
      <c r="C24" s="742" t="str">
        <f>AI86</f>
        <v>ALTRO</v>
      </c>
      <c r="D24" s="2"/>
      <c r="E24" s="5"/>
      <c r="F24" s="5"/>
      <c r="G24" s="5"/>
      <c r="H24" s="2504" t="s">
        <v>392</v>
      </c>
      <c r="I24" s="2504"/>
      <c r="J24" s="2504"/>
      <c r="K24" s="2504"/>
      <c r="L24" s="2504"/>
      <c r="M24" s="2504"/>
      <c r="N24" s="2504"/>
      <c r="O24" s="2504"/>
      <c r="P24" s="2504"/>
      <c r="Q24" s="2504"/>
      <c r="R24" s="2504"/>
      <c r="S24" s="2505"/>
      <c r="T24" s="2403"/>
      <c r="U24" s="2404"/>
      <c r="V24" s="2404"/>
      <c r="W24" s="2405"/>
      <c r="X24" s="2497"/>
      <c r="Y24" s="2498"/>
      <c r="Z24" s="739" t="s">
        <v>219</v>
      </c>
      <c r="AA24" s="2499"/>
      <c r="AB24" s="2500"/>
      <c r="AC24" s="737"/>
      <c r="AD24" s="737"/>
      <c r="AE24" s="738"/>
      <c r="AF24" s="2"/>
      <c r="AG24" s="2"/>
      <c r="AH24" s="2"/>
    </row>
    <row r="25" spans="1:34" ht="7.5" customHeight="1" x14ac:dyDescent="0.2">
      <c r="A25" s="2"/>
      <c r="B25" s="2"/>
      <c r="C25" s="2308"/>
      <c r="D25" s="2308"/>
      <c r="E25" s="2308"/>
      <c r="F25" s="2308"/>
      <c r="G25" s="2308"/>
      <c r="H25" s="2308"/>
      <c r="I25" s="2308"/>
      <c r="J25" s="2308"/>
      <c r="K25" s="2308"/>
      <c r="L25" s="2308"/>
      <c r="M25" s="2308"/>
      <c r="N25" s="2308"/>
      <c r="O25" s="2308"/>
      <c r="P25" s="2308"/>
      <c r="Q25" s="2308"/>
      <c r="R25" s="2308"/>
      <c r="S25" s="2308"/>
      <c r="T25" s="2308"/>
      <c r="U25" s="2308"/>
      <c r="V25" s="2308"/>
      <c r="W25" s="2308"/>
      <c r="X25" s="2308"/>
      <c r="Y25" s="2308"/>
      <c r="Z25" s="2308"/>
      <c r="AA25" s="2308"/>
      <c r="AB25" s="2308"/>
      <c r="AC25" s="2308"/>
      <c r="AD25" s="2308"/>
      <c r="AE25" s="2308"/>
      <c r="AF25" s="2"/>
      <c r="AG25" s="2"/>
      <c r="AH25" s="2"/>
    </row>
    <row r="26" spans="1:34" ht="22.5" customHeight="1" x14ac:dyDescent="0.2">
      <c r="A26" s="2"/>
      <c r="B26" s="2374" t="str">
        <f>RIEPILOGO!F60</f>
        <v>Registro dei Corrispettivi 5.2.4 3txt - per EXCEL .xlsm   -   www.marcopiccoli.it</v>
      </c>
      <c r="C26" s="20"/>
      <c r="D26" s="2480" t="s">
        <v>365</v>
      </c>
      <c r="E26" s="2481"/>
      <c r="F26" s="2481"/>
      <c r="G26" s="2481"/>
      <c r="H26" s="2481"/>
      <c r="I26" s="2481"/>
      <c r="J26" s="2481"/>
      <c r="K26" s="2481"/>
      <c r="L26" s="2481"/>
      <c r="M26" s="2481"/>
      <c r="N26" s="2481"/>
      <c r="O26" s="2481"/>
      <c r="P26" s="2481"/>
      <c r="Q26" s="2481"/>
      <c r="R26" s="2481"/>
      <c r="S26" s="2482"/>
      <c r="T26" s="2400">
        <f>IF(T10=AI10,"",IF(O503=0,IF(T5&gt;K503,G481,T13+T15+T16+T17+T18+T19+T21+T22+T24),T13+T15+T16+T17+T18+T19+T21+T22+T24))</f>
        <v>0</v>
      </c>
      <c r="U26" s="2401"/>
      <c r="V26" s="2401"/>
      <c r="W26" s="2402"/>
      <c r="X26" s="24"/>
      <c r="Y26" s="107"/>
      <c r="Z26" s="2389" t="s">
        <v>545</v>
      </c>
      <c r="AA26" s="2389"/>
      <c r="AB26" s="2389"/>
      <c r="AC26" s="2389"/>
      <c r="AD26" s="108"/>
      <c r="AE26" s="20"/>
      <c r="AF26" s="2"/>
      <c r="AG26" s="2"/>
      <c r="AH26" s="2"/>
    </row>
    <row r="27" spans="1:34" ht="21" customHeight="1" x14ac:dyDescent="0.2">
      <c r="A27" s="2"/>
      <c r="B27" s="2374"/>
      <c r="C27" s="20"/>
      <c r="D27" s="2507" t="s">
        <v>218</v>
      </c>
      <c r="E27" s="2507"/>
      <c r="F27" s="2507"/>
      <c r="G27" s="2507"/>
      <c r="H27" s="2507"/>
      <c r="I27" s="2507"/>
      <c r="J27" s="2507"/>
      <c r="K27" s="2507"/>
      <c r="L27" s="2503" t="str">
        <f>C49</f>
        <v/>
      </c>
      <c r="M27" s="2503"/>
      <c r="N27" s="2503"/>
      <c r="O27" s="2503"/>
      <c r="P27" s="2503"/>
      <c r="Q27" s="2503"/>
      <c r="R27" s="2503"/>
      <c r="S27" s="2503"/>
      <c r="T27" s="2503"/>
      <c r="U27" s="2503"/>
      <c r="V27" s="2503"/>
      <c r="W27" s="2503"/>
      <c r="X27" s="2503"/>
      <c r="Y27" s="102"/>
      <c r="Z27" s="2157">
        <f>T10-T26</f>
        <v>1000</v>
      </c>
      <c r="AA27" s="2506"/>
      <c r="AB27" s="2506"/>
      <c r="AC27" s="2158"/>
      <c r="AD27" s="109"/>
      <c r="AE27" s="20"/>
      <c r="AF27" s="2"/>
      <c r="AG27" s="2"/>
      <c r="AH27" s="2"/>
    </row>
    <row r="28" spans="1:34" ht="9.75" customHeight="1" x14ac:dyDescent="0.2">
      <c r="A28" s="2"/>
      <c r="B28" s="2374"/>
      <c r="C28" s="20"/>
      <c r="D28" s="2508"/>
      <c r="E28" s="2508"/>
      <c r="F28" s="2508"/>
      <c r="G28" s="2508"/>
      <c r="H28" s="2508"/>
      <c r="I28" s="2508"/>
      <c r="J28" s="2508"/>
      <c r="K28" s="2508"/>
      <c r="L28" s="2308"/>
      <c r="M28" s="2308"/>
      <c r="N28" s="2308"/>
      <c r="O28" s="2308"/>
      <c r="P28" s="2308"/>
      <c r="Q28" s="2308"/>
      <c r="R28" s="2308"/>
      <c r="S28" s="2308"/>
      <c r="T28" s="2308"/>
      <c r="U28" s="2308"/>
      <c r="V28" s="2308"/>
      <c r="W28" s="2308"/>
      <c r="X28" s="2308"/>
      <c r="Y28" s="2308"/>
      <c r="Z28" s="2308"/>
      <c r="AA28" s="2308"/>
      <c r="AB28" s="2308"/>
      <c r="AC28" s="2308"/>
      <c r="AD28" s="2308"/>
      <c r="AE28" s="2308"/>
      <c r="AF28" s="2"/>
      <c r="AG28" s="2"/>
      <c r="AH28" s="2"/>
    </row>
    <row r="29" spans="1:34" ht="22.5" customHeight="1" x14ac:dyDescent="0.2">
      <c r="A29" s="2"/>
      <c r="B29" s="2374"/>
      <c r="C29" s="20"/>
      <c r="D29" s="2566">
        <v>500</v>
      </c>
      <c r="E29" s="2487"/>
      <c r="F29" s="2486">
        <v>200</v>
      </c>
      <c r="G29" s="2487"/>
      <c r="H29" s="2486">
        <v>100</v>
      </c>
      <c r="I29" s="2487"/>
      <c r="J29" s="2486">
        <v>50</v>
      </c>
      <c r="K29" s="2487"/>
      <c r="L29" s="2486">
        <v>20</v>
      </c>
      <c r="M29" s="2487"/>
      <c r="N29" s="2486">
        <v>10</v>
      </c>
      <c r="O29" s="2487"/>
      <c r="P29" s="2486">
        <v>5</v>
      </c>
      <c r="Q29" s="2509"/>
      <c r="R29" s="115"/>
      <c r="S29" s="116"/>
      <c r="T29" s="2479" t="s">
        <v>367</v>
      </c>
      <c r="U29" s="2479"/>
      <c r="V29" s="2479"/>
      <c r="W29" s="2479"/>
      <c r="X29" s="113"/>
      <c r="Y29" s="113"/>
      <c r="Z29" s="113"/>
      <c r="AA29" s="113"/>
      <c r="AB29" s="113"/>
      <c r="AC29" s="113"/>
      <c r="AD29" s="113"/>
      <c r="AE29" s="113"/>
      <c r="AF29" s="2"/>
      <c r="AG29" s="2"/>
      <c r="AH29" s="2"/>
    </row>
    <row r="30" spans="1:34" ht="22.5" customHeight="1" x14ac:dyDescent="0.2">
      <c r="A30" s="2"/>
      <c r="B30" s="2374"/>
      <c r="C30" s="741" t="s">
        <v>219</v>
      </c>
      <c r="D30" s="2469"/>
      <c r="E30" s="2465"/>
      <c r="F30" s="2464"/>
      <c r="G30" s="2465"/>
      <c r="H30" s="2464"/>
      <c r="I30" s="2465"/>
      <c r="J30" s="2464"/>
      <c r="K30" s="2465"/>
      <c r="L30" s="2464"/>
      <c r="M30" s="2465"/>
      <c r="N30" s="2464"/>
      <c r="O30" s="2465"/>
      <c r="P30" s="2464"/>
      <c r="Q30" s="2513"/>
      <c r="R30" s="2522"/>
      <c r="S30" s="2523"/>
      <c r="T30" s="2400">
        <f>IF(T10=AI10,0,IF(O503=0,IF(T5&gt;K503,G481,(D30*D29)+(F30*F29)+(H30*H29)+(J30*J29)+(L30*L29)+(N30*N29)+(P30*P29)),(D30*D29)+(F30*F29)+(H30*H29)+(J30*J29)+(L30*L29)+(N30*N29)+(P30*P29)))</f>
        <v>0</v>
      </c>
      <c r="U30" s="2401"/>
      <c r="V30" s="2401"/>
      <c r="W30" s="2483"/>
      <c r="X30" s="2409"/>
      <c r="Y30" s="2410"/>
      <c r="Z30" s="2411"/>
      <c r="AA30" s="2411"/>
      <c r="AB30" s="2411"/>
      <c r="AC30" s="2411"/>
      <c r="AD30" s="2411"/>
      <c r="AE30" s="2411"/>
      <c r="AF30" s="2"/>
      <c r="AG30" s="2"/>
      <c r="AH30" s="2"/>
    </row>
    <row r="31" spans="1:34" ht="16.5" customHeight="1" x14ac:dyDescent="0.2">
      <c r="A31" s="2"/>
      <c r="B31" s="2374"/>
      <c r="C31" s="20"/>
      <c r="D31" s="2565" t="s">
        <v>220</v>
      </c>
      <c r="E31" s="2565"/>
      <c r="F31" s="2565"/>
      <c r="G31" s="2565"/>
      <c r="H31" s="2565"/>
      <c r="I31" s="2565"/>
      <c r="J31" s="2565"/>
      <c r="K31" s="2565"/>
      <c r="L31" s="2565"/>
      <c r="M31" s="2565"/>
      <c r="N31" s="2565"/>
      <c r="O31" s="2565"/>
      <c r="P31" s="2565"/>
      <c r="Q31" s="2565"/>
      <c r="R31" s="2565"/>
      <c r="S31" s="2565"/>
      <c r="T31" s="2565"/>
      <c r="U31" s="2565"/>
      <c r="V31" s="2565"/>
      <c r="W31" s="2565"/>
      <c r="X31" s="2565"/>
      <c r="Y31" s="2565"/>
      <c r="Z31" s="2565"/>
      <c r="AA31" s="2565"/>
      <c r="AB31" s="2565"/>
      <c r="AC31" s="2565"/>
      <c r="AD31" s="2565"/>
      <c r="AE31" s="2565"/>
      <c r="AF31" s="2"/>
      <c r="AG31" s="2"/>
      <c r="AH31" s="2"/>
    </row>
    <row r="32" spans="1:34" ht="22.5" customHeight="1" x14ac:dyDescent="0.2">
      <c r="A32" s="2"/>
      <c r="B32" s="2374"/>
      <c r="C32" s="20"/>
      <c r="D32" s="2564">
        <v>2</v>
      </c>
      <c r="E32" s="2443"/>
      <c r="F32" s="2442">
        <v>1</v>
      </c>
      <c r="G32" s="2443"/>
      <c r="H32" s="2442">
        <v>0.5</v>
      </c>
      <c r="I32" s="2443"/>
      <c r="J32" s="2442">
        <v>0.2</v>
      </c>
      <c r="K32" s="2443"/>
      <c r="L32" s="2442">
        <v>0.1</v>
      </c>
      <c r="M32" s="2443"/>
      <c r="N32" s="2442">
        <v>0.05</v>
      </c>
      <c r="O32" s="2443"/>
      <c r="P32" s="2442">
        <v>0.02</v>
      </c>
      <c r="Q32" s="2443"/>
      <c r="R32" s="2442">
        <v>0.01</v>
      </c>
      <c r="S32" s="2538"/>
      <c r="T32" s="2462" t="s">
        <v>366</v>
      </c>
      <c r="U32" s="2463"/>
      <c r="V32" s="2463"/>
      <c r="W32" s="2463"/>
      <c r="X32" s="21"/>
      <c r="Y32" s="21"/>
      <c r="Z32" s="2303" t="s">
        <v>714</v>
      </c>
      <c r="AA32" s="2303"/>
      <c r="AB32" s="2303"/>
      <c r="AC32" s="2303"/>
      <c r="AD32" s="108"/>
      <c r="AE32" s="20"/>
      <c r="AF32" s="2"/>
      <c r="AG32" s="2"/>
      <c r="AH32" s="2"/>
    </row>
    <row r="33" spans="1:34" ht="22.5" customHeight="1" x14ac:dyDescent="0.2">
      <c r="A33" s="2"/>
      <c r="B33" s="2374"/>
      <c r="C33" s="741" t="s">
        <v>219</v>
      </c>
      <c r="D33" s="2469"/>
      <c r="E33" s="2465"/>
      <c r="F33" s="2464"/>
      <c r="G33" s="2465"/>
      <c r="H33" s="2464"/>
      <c r="I33" s="2465"/>
      <c r="J33" s="2464"/>
      <c r="K33" s="2465"/>
      <c r="L33" s="2464"/>
      <c r="M33" s="2465"/>
      <c r="N33" s="2464"/>
      <c r="O33" s="2465"/>
      <c r="P33" s="2464"/>
      <c r="Q33" s="2465"/>
      <c r="R33" s="2464"/>
      <c r="S33" s="2513"/>
      <c r="T33" s="2514">
        <f>IF(T10=AI10,0,IF(O503=0,IF(T5&gt;K503,"",(D33*D32)+(F33*F32)+(H33*H32)+(J33*J32)+(L33*L32)+(N33*N32)+(P33*P32)+(R33*R32)),(D33*D32)+(F33*F32)+(H33*H32)+(J33*J32)+(L33*L32)+(N33*N32)+(P33*P32)+(R33*R32)))</f>
        <v>0</v>
      </c>
      <c r="U33" s="2515"/>
      <c r="V33" s="2515"/>
      <c r="W33" s="2515"/>
      <c r="X33" s="22"/>
      <c r="Y33" s="114"/>
      <c r="Z33" s="2535">
        <f>(Z27*-1)+T30+T33</f>
        <v>-1000</v>
      </c>
      <c r="AA33" s="2536"/>
      <c r="AB33" s="2536"/>
      <c r="AC33" s="2537"/>
      <c r="AD33" s="110"/>
      <c r="AE33" s="20"/>
      <c r="AF33" s="2"/>
      <c r="AG33" s="2"/>
      <c r="AH33" s="2"/>
    </row>
    <row r="34" spans="1:34" ht="22.5" customHeight="1" x14ac:dyDescent="0.2">
      <c r="A34" s="2"/>
      <c r="B34" s="2374"/>
      <c r="C34" s="113"/>
      <c r="D34" s="113"/>
      <c r="E34" s="113"/>
      <c r="F34" s="113"/>
      <c r="G34" s="113"/>
      <c r="H34" s="113"/>
      <c r="I34" s="113"/>
      <c r="J34" s="113"/>
      <c r="K34" s="113"/>
      <c r="L34" s="113"/>
      <c r="M34" s="113"/>
      <c r="N34" s="113"/>
      <c r="O34" s="113"/>
      <c r="P34" s="113"/>
      <c r="Q34" s="113"/>
      <c r="R34" s="113"/>
      <c r="S34" s="924" t="s">
        <v>819</v>
      </c>
      <c r="T34" s="2562">
        <f>T30+T33</f>
        <v>0</v>
      </c>
      <c r="U34" s="2563"/>
      <c r="V34" s="2563"/>
      <c r="W34" s="2563"/>
      <c r="X34" s="113"/>
      <c r="Y34" s="113"/>
      <c r="Z34" s="113"/>
      <c r="AA34" s="113"/>
      <c r="AB34" s="113"/>
      <c r="AC34" s="113"/>
      <c r="AD34" s="113"/>
      <c r="AE34" s="113"/>
      <c r="AF34" s="2"/>
      <c r="AG34" s="2"/>
      <c r="AH34" s="2"/>
    </row>
    <row r="35" spans="1:34" ht="22.5" customHeight="1" x14ac:dyDescent="0.2">
      <c r="A35" s="2"/>
      <c r="B35" s="2374"/>
      <c r="C35" s="20"/>
      <c r="D35" s="2527" t="s">
        <v>221</v>
      </c>
      <c r="E35" s="2528"/>
      <c r="F35" s="2528"/>
      <c r="G35" s="2528"/>
      <c r="H35" s="2528"/>
      <c r="I35" s="2529"/>
      <c r="J35" s="2524"/>
      <c r="K35" s="2525"/>
      <c r="L35" s="2525"/>
      <c r="M35" s="2526"/>
      <c r="N35" s="22"/>
      <c r="O35" s="22"/>
      <c r="P35" s="22"/>
      <c r="Q35" s="22"/>
      <c r="R35" s="23"/>
      <c r="S35" s="23"/>
      <c r="T35" s="23"/>
      <c r="U35" s="23"/>
      <c r="V35" s="23"/>
      <c r="W35" s="23"/>
      <c r="X35" s="23"/>
      <c r="Y35" s="485" t="str">
        <f>IF(ROUND(Z35,2)=0,N500,IF(Z35&gt;0,N499,N498))</f>
        <v>Rilevato DISAVANZO di €</v>
      </c>
      <c r="Z35" s="2532">
        <f>Z33-J35</f>
        <v>-1000</v>
      </c>
      <c r="AA35" s="2533"/>
      <c r="AB35" s="2533"/>
      <c r="AC35" s="2534"/>
      <c r="AD35" s="109"/>
      <c r="AE35" s="20"/>
      <c r="AF35" s="2"/>
      <c r="AG35" s="2"/>
      <c r="AH35" s="2"/>
    </row>
    <row r="36" spans="1:34" ht="24.75" customHeight="1" x14ac:dyDescent="0.2">
      <c r="A36" s="2"/>
      <c r="B36" s="2374"/>
      <c r="C36" s="20"/>
      <c r="D36" s="2530" t="s">
        <v>222</v>
      </c>
      <c r="E36" s="2530"/>
      <c r="F36" s="2530"/>
      <c r="G36" s="2530"/>
      <c r="H36" s="2530"/>
      <c r="I36" s="2530"/>
      <c r="J36" s="2530"/>
      <c r="K36" s="2530"/>
      <c r="L36" s="2530"/>
      <c r="M36" s="2530"/>
      <c r="N36" s="2530"/>
      <c r="O36" s="2530"/>
      <c r="P36" s="2530"/>
      <c r="Q36" s="2530"/>
      <c r="R36" s="2530"/>
      <c r="S36" s="2530"/>
      <c r="T36" s="2530"/>
      <c r="U36" s="2530"/>
      <c r="V36" s="2530"/>
      <c r="W36" s="2530"/>
      <c r="X36" s="2530"/>
      <c r="Y36" s="2530"/>
      <c r="Z36" s="2531"/>
      <c r="AA36" s="111"/>
      <c r="AB36" s="111"/>
      <c r="AC36" s="111"/>
      <c r="AD36" s="111"/>
      <c r="AE36" s="20"/>
      <c r="AF36" s="2"/>
      <c r="AG36" s="2"/>
      <c r="AH36" s="2"/>
    </row>
    <row r="37" spans="1:34" ht="19.5" customHeight="1" x14ac:dyDescent="0.2">
      <c r="A37" s="2"/>
      <c r="B37" s="2374"/>
      <c r="C37" s="2"/>
      <c r="D37" s="2520"/>
      <c r="E37" s="2520"/>
      <c r="F37" s="2520"/>
      <c r="G37" s="2520"/>
      <c r="H37" s="2520"/>
      <c r="I37" s="2520"/>
      <c r="J37" s="2520"/>
      <c r="K37" s="2520"/>
      <c r="L37" s="2520"/>
      <c r="M37" s="2520"/>
      <c r="N37" s="2520"/>
      <c r="O37" s="2520"/>
      <c r="P37" s="2520"/>
      <c r="Q37" s="2520"/>
      <c r="R37" s="2520"/>
      <c r="S37" s="2520"/>
      <c r="T37" s="2520"/>
      <c r="U37" s="2520"/>
      <c r="V37" s="2520"/>
      <c r="W37" s="2520"/>
      <c r="X37" s="2520"/>
      <c r="Y37" s="2520"/>
      <c r="Z37" s="2520"/>
      <c r="AA37" s="2520"/>
      <c r="AB37" s="2520"/>
      <c r="AC37" s="2520"/>
      <c r="AD37" s="156"/>
      <c r="AE37" s="2"/>
      <c r="AF37" s="2"/>
      <c r="AG37" s="2"/>
      <c r="AH37" s="2"/>
    </row>
    <row r="38" spans="1:34" ht="19.5" customHeight="1" x14ac:dyDescent="0.2">
      <c r="A38" s="2"/>
      <c r="B38" s="2374"/>
      <c r="C38" s="2"/>
      <c r="D38" s="2520" t="s">
        <v>147</v>
      </c>
      <c r="E38" s="2520"/>
      <c r="F38" s="2520"/>
      <c r="G38" s="2520"/>
      <c r="H38" s="2520"/>
      <c r="I38" s="2520"/>
      <c r="J38" s="2520"/>
      <c r="K38" s="2520"/>
      <c r="L38" s="2520"/>
      <c r="M38" s="2520"/>
      <c r="N38" s="2520"/>
      <c r="O38" s="2520"/>
      <c r="P38" s="2520"/>
      <c r="Q38" s="2520"/>
      <c r="R38" s="2520"/>
      <c r="S38" s="2520"/>
      <c r="T38" s="2520"/>
      <c r="U38" s="2520"/>
      <c r="V38" s="2520"/>
      <c r="W38" s="2520"/>
      <c r="X38" s="2520"/>
      <c r="Y38" s="2520"/>
      <c r="Z38" s="2520"/>
      <c r="AA38" s="2520"/>
      <c r="AB38" s="2520"/>
      <c r="AC38" s="2520"/>
      <c r="AD38" s="156"/>
      <c r="AE38" s="2"/>
      <c r="AF38" s="2"/>
      <c r="AG38" s="2"/>
      <c r="AH38" s="2"/>
    </row>
    <row r="39" spans="1:34" ht="19.5" customHeight="1" x14ac:dyDescent="0.2">
      <c r="A39" s="2"/>
      <c r="B39" s="2374"/>
      <c r="C39" s="2"/>
      <c r="D39" s="2520" t="s">
        <v>148</v>
      </c>
      <c r="E39" s="2520"/>
      <c r="F39" s="2520"/>
      <c r="G39" s="2520"/>
      <c r="H39" s="2520"/>
      <c r="I39" s="2520"/>
      <c r="J39" s="2520"/>
      <c r="K39" s="2520"/>
      <c r="L39" s="2520"/>
      <c r="M39" s="2520"/>
      <c r="N39" s="2520"/>
      <c r="O39" s="2520"/>
      <c r="P39" s="2520"/>
      <c r="Q39" s="2520"/>
      <c r="R39" s="2520"/>
      <c r="S39" s="2520"/>
      <c r="T39" s="2520"/>
      <c r="U39" s="2520"/>
      <c r="V39" s="2520"/>
      <c r="W39" s="2520"/>
      <c r="X39" s="2520"/>
      <c r="Y39" s="2520"/>
      <c r="Z39" s="2520"/>
      <c r="AA39" s="2520"/>
      <c r="AB39" s="2520"/>
      <c r="AC39" s="2520"/>
      <c r="AD39" s="156"/>
      <c r="AE39" s="2"/>
      <c r="AF39" s="2"/>
      <c r="AG39" s="2"/>
      <c r="AH39" s="2"/>
    </row>
    <row r="40" spans="1:34" x14ac:dyDescent="0.2">
      <c r="A40" s="2"/>
      <c r="B40" s="2374"/>
      <c r="C40" s="2"/>
      <c r="D40" s="2516"/>
      <c r="E40" s="2516"/>
      <c r="F40" s="2516"/>
      <c r="G40" s="2516"/>
      <c r="H40" s="2516"/>
      <c r="I40" s="2516"/>
      <c r="J40" s="2516"/>
      <c r="K40" s="2516"/>
      <c r="L40" s="2516"/>
      <c r="M40" s="2516"/>
      <c r="N40" s="2516"/>
      <c r="O40" s="2516"/>
      <c r="P40" s="2516"/>
      <c r="Q40" s="2516"/>
      <c r="R40" s="2516"/>
      <c r="S40" s="2516"/>
      <c r="T40" s="2516"/>
      <c r="U40" s="2516"/>
      <c r="V40" s="2516"/>
      <c r="W40" s="2516"/>
      <c r="X40" s="2516"/>
      <c r="Y40" s="2516"/>
      <c r="Z40" s="2516"/>
      <c r="AA40" s="2516"/>
      <c r="AB40" s="2516"/>
      <c r="AC40" s="2516"/>
      <c r="AD40" s="113"/>
      <c r="AE40" s="2"/>
      <c r="AF40" s="2"/>
      <c r="AG40" s="2"/>
      <c r="AH40" s="2"/>
    </row>
    <row r="41" spans="1:34" ht="22.5" customHeight="1" x14ac:dyDescent="0.2">
      <c r="A41" s="2"/>
      <c r="B41" s="2374"/>
      <c r="C41" s="2"/>
      <c r="D41" s="2389" t="s">
        <v>223</v>
      </c>
      <c r="E41" s="2389"/>
      <c r="F41" s="2389"/>
      <c r="G41" s="2389"/>
      <c r="H41" s="2488"/>
      <c r="I41" s="2488"/>
      <c r="J41" s="2488"/>
      <c r="K41" s="2488"/>
      <c r="L41" s="2488"/>
      <c r="M41" s="2488"/>
      <c r="N41" s="2488"/>
      <c r="O41" s="2488"/>
      <c r="P41" s="2488"/>
      <c r="Q41" s="2488"/>
      <c r="R41" s="2488"/>
      <c r="S41" s="2488"/>
      <c r="T41" s="2389" t="s">
        <v>224</v>
      </c>
      <c r="U41" s="2389"/>
      <c r="V41" s="2389"/>
      <c r="W41" s="2389"/>
      <c r="X41" s="2389"/>
      <c r="Y41" s="2460"/>
      <c r="Z41" s="2460"/>
      <c r="AA41" s="2460"/>
      <c r="AB41" s="2460"/>
      <c r="AC41" s="2460"/>
      <c r="AD41" s="157"/>
      <c r="AE41" s="2"/>
      <c r="AF41" s="2"/>
      <c r="AG41" s="2"/>
      <c r="AH41" s="2"/>
    </row>
    <row r="42" spans="1:34" ht="11.25" customHeight="1" x14ac:dyDescent="0.2">
      <c r="A42" s="2"/>
      <c r="B42" s="25"/>
      <c r="C42" s="25"/>
      <c r="D42" s="26"/>
      <c r="E42" s="26"/>
      <c r="F42" s="25"/>
      <c r="G42" s="25"/>
      <c r="H42" s="25"/>
      <c r="I42" s="25"/>
      <c r="J42" s="25"/>
      <c r="K42" s="25"/>
      <c r="L42" s="25"/>
      <c r="M42" s="25"/>
      <c r="N42" s="25"/>
      <c r="O42" s="25"/>
      <c r="P42" s="25"/>
      <c r="Q42" s="25"/>
      <c r="R42" s="25"/>
      <c r="S42" s="25"/>
      <c r="T42" s="27"/>
      <c r="U42" s="27"/>
      <c r="V42" s="27"/>
      <c r="W42" s="27"/>
      <c r="X42" s="27"/>
      <c r="Y42" s="27"/>
      <c r="Z42" s="27"/>
      <c r="AA42" s="25"/>
      <c r="AB42" s="25"/>
      <c r="AC42" s="25"/>
      <c r="AD42" s="25"/>
      <c r="AE42" s="25"/>
      <c r="AF42" s="2"/>
      <c r="AG42" s="2"/>
      <c r="AH42" s="2"/>
    </row>
    <row r="43" spans="1:34" ht="21" customHeight="1" x14ac:dyDescent="0.2">
      <c r="A43" s="2"/>
      <c r="B43" s="2"/>
      <c r="C43" s="2387"/>
      <c r="D43" s="2387"/>
      <c r="E43" s="2387"/>
      <c r="F43" s="2387"/>
      <c r="G43" s="2387"/>
      <c r="H43" s="2387"/>
      <c r="I43" s="2387"/>
      <c r="J43" s="2387"/>
      <c r="K43" s="2387"/>
      <c r="L43" s="2387"/>
      <c r="M43" s="2387"/>
      <c r="N43" s="2387"/>
      <c r="O43" s="2387"/>
      <c r="P43" s="2387"/>
      <c r="Q43" s="2387"/>
      <c r="R43" s="2387"/>
      <c r="S43" s="2387"/>
      <c r="T43" s="2387"/>
      <c r="U43" s="2387"/>
      <c r="V43" s="2387"/>
      <c r="W43" s="2387"/>
      <c r="X43" s="2387"/>
      <c r="Y43" s="2387"/>
      <c r="Z43" s="2387"/>
      <c r="AA43" s="2387"/>
      <c r="AB43" s="2387"/>
      <c r="AC43" s="2387"/>
      <c r="AD43" s="2387"/>
      <c r="AE43" s="2387"/>
      <c r="AF43" s="2"/>
      <c r="AG43" s="2"/>
      <c r="AH43" s="2"/>
    </row>
    <row r="44" spans="1:34" ht="22.5" customHeight="1" x14ac:dyDescent="0.2">
      <c r="A44" s="2"/>
      <c r="B44" s="2"/>
      <c r="C44" s="2201"/>
      <c r="D44" s="2202"/>
      <c r="E44" s="2490" t="s">
        <v>225</v>
      </c>
      <c r="F44" s="2490"/>
      <c r="G44" s="2490"/>
      <c r="H44" s="2490"/>
      <c r="I44" s="2490"/>
      <c r="J44" s="2490"/>
      <c r="K44" s="2490"/>
      <c r="L44" s="2490"/>
      <c r="M44" s="2490"/>
      <c r="N44" s="2491" t="s">
        <v>226</v>
      </c>
      <c r="O44" s="2491"/>
      <c r="P44" s="2491"/>
      <c r="Q44" s="2491"/>
      <c r="R44" s="2491"/>
      <c r="S44" s="2491"/>
      <c r="T44" s="2491"/>
      <c r="U44" s="2491"/>
      <c r="V44" s="2388">
        <f>T5</f>
        <v>45292</v>
      </c>
      <c r="W44" s="2388"/>
      <c r="X44" s="2388"/>
      <c r="Y44" s="2388"/>
      <c r="Z44" s="2489"/>
      <c r="AA44" s="2489"/>
      <c r="AB44" s="2489"/>
      <c r="AC44" s="2489"/>
      <c r="AD44" s="2489"/>
      <c r="AE44" s="2308"/>
      <c r="AF44" s="2"/>
      <c r="AG44" s="2"/>
      <c r="AH44" s="2"/>
    </row>
    <row r="45" spans="1:34" ht="6.75" customHeight="1" x14ac:dyDescent="0.2">
      <c r="A45" s="2"/>
      <c r="B45" s="2"/>
      <c r="C45" s="2201"/>
      <c r="D45" s="2201"/>
      <c r="E45" s="2201"/>
      <c r="F45" s="2201"/>
      <c r="G45" s="2201"/>
      <c r="H45" s="2201"/>
      <c r="I45" s="2201"/>
      <c r="J45" s="2201"/>
      <c r="K45" s="2201"/>
      <c r="L45" s="2201"/>
      <c r="M45" s="2201"/>
      <c r="N45" s="2201"/>
      <c r="O45" s="2201"/>
      <c r="P45" s="2201"/>
      <c r="Q45" s="2201"/>
      <c r="R45" s="2201"/>
      <c r="S45" s="2201"/>
      <c r="T45" s="2201"/>
      <c r="U45" s="2201"/>
      <c r="V45" s="2201"/>
      <c r="W45" s="2201"/>
      <c r="X45" s="2201"/>
      <c r="Y45" s="2201"/>
      <c r="Z45" s="2201"/>
      <c r="AA45" s="2201"/>
      <c r="AB45" s="2201"/>
      <c r="AC45" s="2201"/>
      <c r="AD45" s="2201"/>
      <c r="AE45" s="2201"/>
      <c r="AF45" s="2"/>
      <c r="AG45" s="2"/>
      <c r="AH45" s="2"/>
    </row>
    <row r="46" spans="1:34" ht="33.75" customHeight="1" x14ac:dyDescent="0.3">
      <c r="A46" s="2"/>
      <c r="B46" s="2"/>
      <c r="C46" s="2201"/>
      <c r="D46" s="2201"/>
      <c r="E46" s="101"/>
      <c r="F46" s="2444" t="s">
        <v>618</v>
      </c>
      <c r="G46" s="2444"/>
      <c r="H46" s="2444">
        <v>0</v>
      </c>
      <c r="I46" s="2444"/>
      <c r="J46" s="2444">
        <v>0</v>
      </c>
      <c r="K46" s="2444"/>
      <c r="L46" s="2444">
        <v>0</v>
      </c>
      <c r="M46" s="2444"/>
      <c r="N46" s="2444">
        <v>0</v>
      </c>
      <c r="O46" s="2444"/>
      <c r="P46" s="2444">
        <v>0</v>
      </c>
      <c r="Q46" s="2444"/>
      <c r="R46" s="2444">
        <v>0</v>
      </c>
      <c r="S46" s="2444"/>
      <c r="T46" s="2444">
        <v>0</v>
      </c>
      <c r="U46" s="2444"/>
      <c r="V46" s="2444"/>
      <c r="W46" s="2444">
        <v>0</v>
      </c>
      <c r="X46" s="2521" t="s">
        <v>213</v>
      </c>
      <c r="Y46" s="2521"/>
      <c r="Z46" s="2411"/>
      <c r="AA46" s="2411"/>
      <c r="AB46" s="2411"/>
      <c r="AC46" s="2411"/>
      <c r="AD46" s="2411"/>
      <c r="AE46" s="2411"/>
      <c r="AF46" s="2"/>
      <c r="AG46" s="2"/>
      <c r="AH46" s="2"/>
    </row>
    <row r="47" spans="1:34" ht="33.75" customHeight="1" x14ac:dyDescent="0.3">
      <c r="A47" s="2"/>
      <c r="B47" s="2"/>
      <c r="C47" s="2201"/>
      <c r="D47" s="2201"/>
      <c r="E47" s="101"/>
      <c r="F47" s="2444" t="s">
        <v>619</v>
      </c>
      <c r="G47" s="2444"/>
      <c r="H47" s="2444">
        <v>0</v>
      </c>
      <c r="I47" s="2444"/>
      <c r="J47" s="2444">
        <v>0</v>
      </c>
      <c r="K47" s="2444"/>
      <c r="L47" s="2444">
        <v>0</v>
      </c>
      <c r="M47" s="2444"/>
      <c r="N47" s="2444">
        <v>0</v>
      </c>
      <c r="O47" s="2444"/>
      <c r="P47" s="2444">
        <v>0</v>
      </c>
      <c r="Q47" s="2444"/>
      <c r="R47" s="2444">
        <v>0</v>
      </c>
      <c r="S47" s="2444"/>
      <c r="T47" s="2444">
        <v>0</v>
      </c>
      <c r="U47" s="2444"/>
      <c r="V47" s="2444"/>
      <c r="W47" s="2444">
        <v>0</v>
      </c>
      <c r="X47" s="2521" t="s">
        <v>213</v>
      </c>
      <c r="Y47" s="2521"/>
      <c r="Z47" s="2411"/>
      <c r="AA47" s="2411"/>
      <c r="AB47" s="2411"/>
      <c r="AC47" s="2411"/>
      <c r="AD47" s="2411"/>
      <c r="AE47" s="2411"/>
      <c r="AF47" s="2"/>
      <c r="AG47" s="2"/>
      <c r="AH47" s="2"/>
    </row>
    <row r="48" spans="1:34" ht="30" customHeight="1" x14ac:dyDescent="0.2">
      <c r="A48" s="2"/>
      <c r="B48" s="2"/>
      <c r="C48" s="2201"/>
      <c r="D48" s="2201"/>
      <c r="E48" s="101"/>
      <c r="F48" s="2444" t="s">
        <v>817</v>
      </c>
      <c r="G48" s="2444"/>
      <c r="H48" s="2444"/>
      <c r="I48" s="2444"/>
      <c r="J48" s="2444"/>
      <c r="K48" s="2444"/>
      <c r="L48" s="2444"/>
      <c r="M48" s="2444"/>
      <c r="N48" s="2444"/>
      <c r="O48" s="2444"/>
      <c r="P48" s="2444"/>
      <c r="Q48" s="2444"/>
      <c r="R48" s="2444"/>
      <c r="S48" s="2444"/>
      <c r="T48" s="2444"/>
      <c r="U48" s="2444"/>
      <c r="V48" s="2444"/>
      <c r="W48" s="2444"/>
      <c r="X48" s="2444"/>
      <c r="Y48" s="2444"/>
      <c r="Z48" s="2411"/>
      <c r="AA48" s="2411"/>
      <c r="AB48" s="2411"/>
      <c r="AC48" s="2411"/>
      <c r="AD48" s="2411"/>
      <c r="AE48" s="2411"/>
      <c r="AF48" s="2"/>
      <c r="AG48" s="2"/>
      <c r="AH48" s="2"/>
    </row>
    <row r="49" spans="1:137" ht="12.75" customHeight="1" x14ac:dyDescent="0.2">
      <c r="A49" s="2"/>
      <c r="B49" s="2"/>
      <c r="C49" s="2492" t="str">
        <f>IMPOSTAZIONI!W1</f>
        <v/>
      </c>
      <c r="D49" s="2492"/>
      <c r="E49" s="2492"/>
      <c r="F49" s="2492"/>
      <c r="G49" s="2492"/>
      <c r="H49" s="2492"/>
      <c r="I49" s="2492"/>
      <c r="J49" s="2492"/>
      <c r="K49" s="2492"/>
      <c r="L49" s="2492"/>
      <c r="M49" s="2492"/>
      <c r="N49" s="2492"/>
      <c r="O49" s="2492"/>
      <c r="P49" s="2492"/>
      <c r="Q49" s="2492"/>
      <c r="R49" s="2492"/>
      <c r="S49" s="2492"/>
      <c r="T49" s="2492"/>
      <c r="U49" s="2492"/>
      <c r="V49" s="2492"/>
      <c r="W49" s="2492"/>
      <c r="X49" s="2492"/>
      <c r="Y49" s="2492"/>
      <c r="Z49" s="2492"/>
      <c r="AA49" s="2492"/>
      <c r="AB49" s="2492"/>
      <c r="AC49" s="2492"/>
      <c r="AD49" s="2492"/>
      <c r="AE49" s="2492"/>
      <c r="AF49" s="2"/>
      <c r="AG49" s="2"/>
      <c r="AH49" s="2"/>
    </row>
    <row r="50" spans="1:137" ht="12.75" customHeight="1" x14ac:dyDescent="0.2">
      <c r="A50" s="2"/>
      <c r="B50" s="2"/>
      <c r="C50" s="2492"/>
      <c r="D50" s="2492"/>
      <c r="E50" s="2492"/>
      <c r="F50" s="2492"/>
      <c r="G50" s="2492"/>
      <c r="H50" s="2492"/>
      <c r="I50" s="2492"/>
      <c r="J50" s="2492"/>
      <c r="K50" s="2492"/>
      <c r="L50" s="2492"/>
      <c r="M50" s="2492"/>
      <c r="N50" s="2492"/>
      <c r="O50" s="2492"/>
      <c r="P50" s="2492"/>
      <c r="Q50" s="2492"/>
      <c r="R50" s="2492"/>
      <c r="S50" s="2492"/>
      <c r="T50" s="2492"/>
      <c r="U50" s="2492"/>
      <c r="V50" s="2492"/>
      <c r="W50" s="2492"/>
      <c r="X50" s="2492"/>
      <c r="Y50" s="2492"/>
      <c r="Z50" s="2492"/>
      <c r="AA50" s="2492"/>
      <c r="AB50" s="2492"/>
      <c r="AC50" s="2492"/>
      <c r="AD50" s="2492"/>
      <c r="AE50" s="2492"/>
      <c r="AF50" s="2"/>
      <c r="AG50" s="2"/>
      <c r="AH50" s="2"/>
    </row>
    <row r="51" spans="1:137" ht="12.75" customHeight="1" x14ac:dyDescent="0.2">
      <c r="A51" s="2"/>
      <c r="B51" s="2"/>
      <c r="C51" s="2492"/>
      <c r="D51" s="2492"/>
      <c r="E51" s="2492"/>
      <c r="F51" s="2492"/>
      <c r="G51" s="2492"/>
      <c r="H51" s="2492"/>
      <c r="I51" s="2492"/>
      <c r="J51" s="2492"/>
      <c r="K51" s="2492"/>
      <c r="L51" s="2492"/>
      <c r="M51" s="2492"/>
      <c r="N51" s="2492"/>
      <c r="O51" s="2492"/>
      <c r="P51" s="2492"/>
      <c r="Q51" s="2492"/>
      <c r="R51" s="2492"/>
      <c r="S51" s="2492"/>
      <c r="T51" s="2492"/>
      <c r="U51" s="2492"/>
      <c r="V51" s="2492"/>
      <c r="W51" s="2492"/>
      <c r="X51" s="2492"/>
      <c r="Y51" s="2492"/>
      <c r="Z51" s="2492"/>
      <c r="AA51" s="2492"/>
      <c r="AB51" s="2492"/>
      <c r="AC51" s="2492"/>
      <c r="AD51" s="2492"/>
      <c r="AE51" s="2492"/>
      <c r="AF51" s="2"/>
      <c r="AG51" s="2"/>
      <c r="AH51" s="2"/>
    </row>
    <row r="52" spans="1:137" ht="15" x14ac:dyDescent="0.25">
      <c r="A52" s="2"/>
      <c r="B52" s="2"/>
      <c r="C52" s="104"/>
      <c r="D52" s="104"/>
      <c r="E52" s="104"/>
      <c r="F52" s="104"/>
      <c r="G52" s="104"/>
      <c r="H52" s="104"/>
      <c r="I52" s="101"/>
      <c r="J52" s="104"/>
      <c r="K52" s="104"/>
      <c r="L52" s="104"/>
      <c r="M52" s="1220" t="s">
        <v>295</v>
      </c>
      <c r="N52" s="1220"/>
      <c r="O52" s="1220"/>
      <c r="P52" s="1220"/>
      <c r="Q52" s="1220"/>
      <c r="R52" s="1220"/>
      <c r="S52" s="1220"/>
      <c r="T52" s="1220"/>
      <c r="U52" s="1220"/>
      <c r="V52" s="1220"/>
      <c r="W52" s="1220"/>
      <c r="X52" s="1220"/>
      <c r="Y52" s="1220"/>
      <c r="Z52" s="1220"/>
      <c r="AA52" s="1220"/>
      <c r="AB52" s="1220"/>
      <c r="AC52" s="1220"/>
      <c r="AD52" s="112"/>
      <c r="AE52" s="2"/>
      <c r="AF52" s="2"/>
      <c r="AG52" s="2"/>
      <c r="AH52" s="2"/>
    </row>
    <row r="53" spans="1:137" x14ac:dyDescent="0.2">
      <c r="A53" s="2"/>
      <c r="B53" s="2"/>
      <c r="C53" s="2201"/>
      <c r="D53" s="2201"/>
      <c r="E53" s="2201"/>
      <c r="F53" s="2201"/>
      <c r="G53" s="2201"/>
      <c r="H53" s="2201"/>
      <c r="I53" s="2201"/>
      <c r="J53" s="2201"/>
      <c r="K53" s="2201"/>
      <c r="L53" s="2201"/>
      <c r="M53" s="2201"/>
      <c r="N53" s="2201"/>
      <c r="O53" s="2201"/>
      <c r="P53" s="2201"/>
      <c r="Q53" s="2201"/>
      <c r="R53" s="2201"/>
      <c r="S53" s="2201"/>
      <c r="T53" s="2201"/>
      <c r="U53" s="2201"/>
      <c r="V53" s="2201"/>
      <c r="W53" s="2201"/>
      <c r="X53" s="2201"/>
      <c r="Y53" s="2201"/>
      <c r="Z53" s="2201"/>
      <c r="AA53" s="2201"/>
      <c r="AB53" s="2201"/>
      <c r="AC53" s="2201"/>
      <c r="AD53" s="2201"/>
      <c r="AE53" s="2201"/>
      <c r="AF53" s="2"/>
      <c r="AG53" s="2"/>
      <c r="AH53" s="2"/>
    </row>
    <row r="54" spans="1:137" x14ac:dyDescent="0.2">
      <c r="A54" s="2"/>
      <c r="B54" s="14"/>
      <c r="C54" s="484"/>
      <c r="D54" s="484"/>
      <c r="E54" s="484"/>
      <c r="F54" s="484"/>
      <c r="G54" s="484"/>
      <c r="H54" s="484"/>
      <c r="I54" s="484"/>
      <c r="J54" s="484"/>
      <c r="K54" s="484"/>
      <c r="L54" s="484"/>
      <c r="M54" s="484"/>
      <c r="N54" s="484"/>
      <c r="O54" s="484"/>
      <c r="P54" s="484"/>
      <c r="Q54" s="484"/>
      <c r="R54" s="484"/>
      <c r="S54" s="484"/>
      <c r="T54" s="484"/>
      <c r="U54" s="484"/>
      <c r="V54" s="484"/>
      <c r="W54" s="484"/>
      <c r="X54" s="484"/>
      <c r="Y54" s="484"/>
      <c r="Z54" s="484"/>
      <c r="AA54" s="484"/>
      <c r="AB54" s="484"/>
      <c r="AC54" s="484"/>
      <c r="AD54" s="484"/>
      <c r="AE54" s="484"/>
      <c r="AF54" s="484"/>
      <c r="AG54" s="484"/>
      <c r="AH54" s="484"/>
    </row>
    <row r="55" spans="1:137" ht="15.75" customHeight="1" x14ac:dyDescent="0.25">
      <c r="A55" s="2"/>
      <c r="B55" s="744" t="s">
        <v>613</v>
      </c>
      <c r="C55" s="2"/>
      <c r="D55" s="2"/>
      <c r="E55" s="2"/>
      <c r="F55" s="2"/>
      <c r="G55" s="2"/>
      <c r="H55" s="2"/>
      <c r="I55" s="2"/>
      <c r="J55" s="2"/>
      <c r="K55" s="2"/>
      <c r="L55" s="2"/>
      <c r="M55" s="2"/>
      <c r="N55" s="2"/>
      <c r="O55" s="2"/>
      <c r="P55" s="916" t="s">
        <v>704</v>
      </c>
      <c r="Q55" s="2"/>
      <c r="R55" s="2"/>
      <c r="S55" s="2"/>
      <c r="T55" s="2"/>
      <c r="U55" s="2"/>
      <c r="V55" s="2"/>
      <c r="W55" s="2"/>
      <c r="X55" s="2"/>
      <c r="Y55" s="2"/>
      <c r="Z55" s="14"/>
      <c r="AA55" s="14"/>
      <c r="AB55" s="14"/>
      <c r="AC55" s="14"/>
      <c r="AD55" s="14"/>
      <c r="AE55" s="14"/>
      <c r="AF55" s="14"/>
      <c r="AG55" s="2312" t="s">
        <v>708</v>
      </c>
      <c r="AH55" s="2312"/>
      <c r="AI55" s="922" t="s">
        <v>709</v>
      </c>
      <c r="AJ55" s="14"/>
      <c r="AK55" s="14"/>
      <c r="AL55" s="14"/>
      <c r="AM55" s="14"/>
      <c r="AN55" s="14"/>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row>
    <row r="56" spans="1:137" ht="22.5" customHeight="1" x14ac:dyDescent="0.2">
      <c r="A56" s="2"/>
      <c r="B56" s="908" t="s">
        <v>729</v>
      </c>
      <c r="C56" s="909"/>
      <c r="D56" s="909"/>
      <c r="E56" s="909"/>
      <c r="F56" s="909"/>
      <c r="G56" s="2"/>
      <c r="H56" s="2"/>
      <c r="I56" s="2"/>
      <c r="J56" s="2"/>
      <c r="K56" s="2"/>
      <c r="L56" s="2"/>
      <c r="M56" s="2"/>
      <c r="N56" s="2"/>
      <c r="O56" s="2"/>
      <c r="P56" s="917" t="s">
        <v>705</v>
      </c>
      <c r="Q56" s="2493">
        <f>IF(AG56=AI55,J35,0)</f>
        <v>0</v>
      </c>
      <c r="R56" s="2493"/>
      <c r="S56" s="2493"/>
      <c r="T56" s="2493"/>
      <c r="U56" s="2493"/>
      <c r="V56" s="2493"/>
      <c r="W56" s="2"/>
      <c r="X56" s="2"/>
      <c r="Y56" s="2"/>
      <c r="Z56" s="14"/>
      <c r="AA56" s="14"/>
      <c r="AB56" s="14"/>
      <c r="AC56" s="14"/>
      <c r="AD56" s="14"/>
      <c r="AE56" s="14"/>
      <c r="AF56" s="14"/>
      <c r="AG56" s="2313" t="s">
        <v>710</v>
      </c>
      <c r="AH56" s="2314"/>
      <c r="AI56" s="480" t="s">
        <v>710</v>
      </c>
      <c r="AJ56" s="14"/>
      <c r="AK56" s="14"/>
      <c r="AL56" s="14"/>
      <c r="AM56" s="14"/>
      <c r="AN56" s="14"/>
      <c r="AO56" s="14"/>
      <c r="AP56" s="14"/>
      <c r="AQ56" s="14"/>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row>
    <row r="57" spans="1:137" ht="30" customHeight="1" x14ac:dyDescent="0.25">
      <c r="A57" s="2"/>
      <c r="B57" s="2375" t="s">
        <v>703</v>
      </c>
      <c r="C57" s="2375"/>
      <c r="D57" s="2375"/>
      <c r="E57" s="2375"/>
      <c r="F57" s="2375"/>
      <c r="G57" s="2517"/>
      <c r="H57" s="2517"/>
      <c r="I57" s="2517"/>
      <c r="J57" s="671"/>
      <c r="L57" s="113"/>
      <c r="M57" s="2"/>
      <c r="N57" s="2"/>
      <c r="O57" s="2"/>
      <c r="P57" s="2"/>
      <c r="Q57" s="2"/>
      <c r="R57" s="2"/>
      <c r="S57" s="2496" t="s">
        <v>594</v>
      </c>
      <c r="T57" s="2496"/>
      <c r="U57" s="2496"/>
      <c r="V57" s="2496"/>
      <c r="W57" s="2"/>
      <c r="X57" s="2"/>
      <c r="Y57" s="2"/>
      <c r="Z57" s="2"/>
      <c r="AA57" s="672"/>
      <c r="AB57" s="672"/>
      <c r="AC57" s="918" t="s">
        <v>595</v>
      </c>
      <c r="AD57" s="14"/>
      <c r="AE57" s="14"/>
      <c r="AF57" s="14"/>
      <c r="AG57" s="14"/>
      <c r="AH57" s="14"/>
      <c r="AI57" s="480" t="s">
        <v>728</v>
      </c>
      <c r="AJ57" s="14"/>
      <c r="AK57" s="673" t="str">
        <f>IF(AK70=$Q56,"X","")</f>
        <v>X</v>
      </c>
      <c r="AL57" s="10"/>
      <c r="AM57" s="674" t="str">
        <f>IF(AM70=$Q56,"X","")</f>
        <v/>
      </c>
      <c r="AN57" s="10"/>
      <c r="AO57" s="674" t="str">
        <f>IF(AO70=$Q56,"X","")</f>
        <v/>
      </c>
      <c r="AP57" s="10"/>
      <c r="AQ57" s="674" t="str">
        <f>IF(AQ70=$Q56,"X","")</f>
        <v/>
      </c>
      <c r="AR57" s="10"/>
      <c r="AS57" s="674" t="str">
        <f>IF(AS70=$Q56,"X","")</f>
        <v/>
      </c>
      <c r="AT57" s="10"/>
      <c r="AU57" s="674" t="str">
        <f>IF(AU70=$Q56,"X","")</f>
        <v/>
      </c>
      <c r="AV57" s="10"/>
      <c r="AW57" s="674" t="str">
        <f>IF(AW70=$Q56,"X","")</f>
        <v/>
      </c>
      <c r="AX57" s="10"/>
      <c r="AY57" s="674" t="str">
        <f>IF(AY70=$Q56,"X","")</f>
        <v/>
      </c>
      <c r="AZ57" s="10"/>
      <c r="BA57" s="674" t="str">
        <f>IF(BA70=$Q56,"X","")</f>
        <v/>
      </c>
      <c r="BB57" s="10"/>
      <c r="BC57" s="674" t="str">
        <f>IF(BC70=$Q56,"X","")</f>
        <v/>
      </c>
      <c r="BD57" s="10"/>
      <c r="BE57" s="674" t="str">
        <f>IF(BE70=$Q56,"X","")</f>
        <v/>
      </c>
      <c r="BF57" s="10"/>
      <c r="BG57" s="674" t="str">
        <f>IF(BG70=$Q56,"X","")</f>
        <v/>
      </c>
      <c r="BH57" s="10"/>
      <c r="BI57" s="674" t="str">
        <f>IF(BI70=$Q56,"X","")</f>
        <v/>
      </c>
      <c r="BJ57" s="10"/>
      <c r="BK57" s="674" t="str">
        <f>IF(BK70=$Q56,"X","")</f>
        <v/>
      </c>
      <c r="BL57" s="10"/>
      <c r="BM57" s="674" t="str">
        <f>IF(BM70=$Q56,"X","")</f>
        <v/>
      </c>
      <c r="BN57" s="10"/>
      <c r="BO57" s="674" t="str">
        <f>IF(BO70=$Q56,"X","")</f>
        <v/>
      </c>
      <c r="BP57" s="10"/>
      <c r="BQ57" s="674" t="str">
        <f>IF(BQ70=$Q56,"X","")</f>
        <v/>
      </c>
      <c r="BR57" s="10"/>
      <c r="BS57" s="674" t="str">
        <f>IF(BS70=$Q56,"X","")</f>
        <v/>
      </c>
      <c r="BT57" s="10"/>
      <c r="BU57" s="674" t="str">
        <f>IF(BU70=$Q56,"X","")</f>
        <v/>
      </c>
      <c r="BV57" s="10"/>
      <c r="BW57" s="674" t="str">
        <f>IF(BW70=$Q56,"X","")</f>
        <v/>
      </c>
      <c r="BX57" s="10"/>
      <c r="BY57" s="674" t="str">
        <f>IF(BY70=$Q56,"X","")</f>
        <v/>
      </c>
      <c r="BZ57" s="10"/>
      <c r="CA57" s="674" t="str">
        <f>IF(CA70=$Q56,"X","")</f>
        <v/>
      </c>
      <c r="CB57" s="10"/>
      <c r="CC57" s="674" t="str">
        <f>IF(CC70=$Q56,"X","")</f>
        <v/>
      </c>
      <c r="CD57" s="10"/>
      <c r="CE57" s="674" t="str">
        <f>IF(CE70=$Q56,"X","")</f>
        <v/>
      </c>
      <c r="CF57" s="10"/>
      <c r="CG57" s="674" t="str">
        <f>IF(CG70=$Q56,"X","")</f>
        <v/>
      </c>
      <c r="CH57" s="10"/>
      <c r="CI57" s="674" t="str">
        <f>IF(CI70=$Q56,"X","")</f>
        <v/>
      </c>
      <c r="CJ57" s="10"/>
      <c r="CK57" s="674" t="str">
        <f>IF(CK70=$Q56,"X","")</f>
        <v/>
      </c>
      <c r="CL57" s="10"/>
      <c r="CM57" s="674" t="str">
        <f>IF(CM70=$Q56,"X","")</f>
        <v/>
      </c>
      <c r="CN57" s="10"/>
      <c r="CO57" s="674" t="str">
        <f>IF(CO70=$Q56,"X","")</f>
        <v/>
      </c>
      <c r="CP57" s="10"/>
      <c r="CQ57" s="674" t="str">
        <f>IF(CQ70=$Q56,"X","")</f>
        <v/>
      </c>
      <c r="CR57" s="10"/>
      <c r="CS57" s="674" t="str">
        <f>IF(CS70=$Q56,"X","")</f>
        <v/>
      </c>
      <c r="CT57" s="10"/>
      <c r="CU57" s="674" t="str">
        <f>IF(CU70=$Q56,"X","")</f>
        <v/>
      </c>
      <c r="CV57" s="10"/>
      <c r="CW57" s="674" t="str">
        <f>IF(CW70=$Q56,"X","")</f>
        <v/>
      </c>
      <c r="CX57" s="10"/>
      <c r="CY57" s="674" t="str">
        <f>IF(CY70=$Q56,"X","")</f>
        <v/>
      </c>
      <c r="CZ57" s="10"/>
      <c r="DA57" s="674" t="str">
        <f>IF(DA70=$Q56,"X","")</f>
        <v/>
      </c>
      <c r="DB57" s="10"/>
      <c r="DC57" s="674" t="str">
        <f>IF(DC70=$Q56,"X","")</f>
        <v/>
      </c>
      <c r="DD57" s="10"/>
      <c r="DE57" s="674" t="str">
        <f>IF(DE70=$Q56,"X","")</f>
        <v/>
      </c>
      <c r="DF57" s="10"/>
      <c r="DG57" s="674" t="str">
        <f>IF(DG70=$Q56,"X","")</f>
        <v/>
      </c>
      <c r="DH57" s="10"/>
      <c r="DI57" s="674" t="str">
        <f>IF(DI70=$Q56,"X","")</f>
        <v/>
      </c>
      <c r="DJ57" s="10"/>
      <c r="DK57" s="674" t="str">
        <f>IF(DK70=$Q56,"X","")</f>
        <v/>
      </c>
      <c r="DL57" s="10"/>
      <c r="DM57" s="674" t="str">
        <f>IF(DM70=$Q56,"X","")</f>
        <v/>
      </c>
      <c r="DN57" s="10"/>
      <c r="DO57" s="674" t="str">
        <f>IF(DO70=$Q56,"X","")</f>
        <v/>
      </c>
      <c r="DP57" s="10"/>
      <c r="DQ57" s="674" t="str">
        <f>IF(DQ70=$Q56,"X","")</f>
        <v/>
      </c>
      <c r="DR57" s="10"/>
      <c r="DS57" s="674" t="str">
        <f>IF(DS70=$Q56,"X","")</f>
        <v/>
      </c>
      <c r="DT57" s="10"/>
      <c r="DU57" s="674" t="str">
        <f>IF(DU70=$Q56,"X","")</f>
        <v/>
      </c>
      <c r="DV57" s="10"/>
      <c r="DW57" s="674" t="str">
        <f>IF(DW70=$Q56,"X","")</f>
        <v/>
      </c>
      <c r="DX57" s="10"/>
      <c r="DY57" s="674" t="str">
        <f>IF(DY70=$Q56,"X","")</f>
        <v/>
      </c>
      <c r="DZ57" s="10"/>
      <c r="EA57" s="674" t="str">
        <f>IF(EA70=$Q56,"X","")</f>
        <v/>
      </c>
      <c r="EB57" s="10"/>
      <c r="EC57" s="674" t="str">
        <f>IF(EC70=$Q56,"X","")</f>
        <v/>
      </c>
      <c r="ED57" s="10"/>
      <c r="EE57" s="674" t="str">
        <f>IF(EE70=$Q56,"X","")</f>
        <v/>
      </c>
      <c r="EF57" s="10"/>
      <c r="EG57" s="2"/>
    </row>
    <row r="58" spans="1:137" ht="18" customHeight="1" x14ac:dyDescent="0.25">
      <c r="A58" s="2"/>
      <c r="B58" s="287"/>
      <c r="C58" s="675"/>
      <c r="D58" s="2417" t="s">
        <v>596</v>
      </c>
      <c r="E58" s="2417"/>
      <c r="F58" s="2417"/>
      <c r="G58" s="2417"/>
      <c r="H58" s="2418">
        <f>IF(AG56=AI55,T5,0)</f>
        <v>0</v>
      </c>
      <c r="I58" s="2418"/>
      <c r="J58" s="2418"/>
      <c r="K58" s="2419" t="str">
        <f>IF(AG56=AI55,T33,"")</f>
        <v/>
      </c>
      <c r="L58" s="2419"/>
      <c r="M58" s="2419"/>
      <c r="N58" s="676"/>
      <c r="O58" s="676"/>
      <c r="P58" s="677"/>
      <c r="Q58" s="676"/>
      <c r="R58" s="676"/>
      <c r="S58" s="2420" t="e">
        <f>K58-AA58</f>
        <v>#VALUE!</v>
      </c>
      <c r="T58" s="2420"/>
      <c r="U58" s="2420"/>
      <c r="V58" s="2420"/>
      <c r="W58" s="919" t="s">
        <v>603</v>
      </c>
      <c r="X58" s="287"/>
      <c r="Y58" s="287"/>
      <c r="Z58" s="287"/>
      <c r="AA58" s="2540" t="e">
        <f>HLOOKUP("X",$AK$57:$EF$80,24,FALSE)</f>
        <v>#VALUE!</v>
      </c>
      <c r="AB58" s="2540"/>
      <c r="AC58" s="2540"/>
      <c r="AD58" s="287"/>
      <c r="AE58" s="2"/>
      <c r="AF58" s="14"/>
      <c r="AG58" s="14"/>
      <c r="AH58" s="14"/>
      <c r="AI58" s="14"/>
      <c r="AJ58" s="14"/>
      <c r="AK58" s="678" t="s">
        <v>597</v>
      </c>
      <c r="AL58" s="679"/>
      <c r="AM58" s="678" t="s">
        <v>597</v>
      </c>
      <c r="AN58" s="679"/>
      <c r="AO58" s="678" t="s">
        <v>597</v>
      </c>
      <c r="AP58" s="679"/>
      <c r="AQ58" s="678" t="s">
        <v>597</v>
      </c>
      <c r="AR58" s="679"/>
      <c r="AS58" s="678" t="s">
        <v>597</v>
      </c>
      <c r="AT58" s="679"/>
      <c r="AU58" s="678" t="s">
        <v>597</v>
      </c>
      <c r="AV58" s="679"/>
      <c r="AW58" s="678" t="s">
        <v>597</v>
      </c>
      <c r="AX58" s="679"/>
      <c r="AY58" s="678" t="s">
        <v>597</v>
      </c>
      <c r="AZ58" s="679"/>
      <c r="BA58" s="678" t="s">
        <v>597</v>
      </c>
      <c r="BB58" s="679"/>
      <c r="BC58" s="678" t="s">
        <v>597</v>
      </c>
      <c r="BD58" s="679"/>
      <c r="BE58" s="678" t="s">
        <v>597</v>
      </c>
      <c r="BF58" s="679"/>
      <c r="BG58" s="678" t="s">
        <v>597</v>
      </c>
      <c r="BH58" s="679"/>
      <c r="BI58" s="678" t="s">
        <v>597</v>
      </c>
      <c r="BJ58" s="679"/>
      <c r="BK58" s="678" t="s">
        <v>597</v>
      </c>
      <c r="BL58" s="679"/>
      <c r="BM58" s="678" t="s">
        <v>597</v>
      </c>
      <c r="BN58" s="679"/>
      <c r="BO58" s="678" t="s">
        <v>597</v>
      </c>
      <c r="BP58" s="679"/>
      <c r="BQ58" s="678" t="s">
        <v>597</v>
      </c>
      <c r="BR58" s="679"/>
      <c r="BS58" s="678" t="s">
        <v>597</v>
      </c>
      <c r="BT58" s="679"/>
      <c r="BU58" s="678" t="s">
        <v>597</v>
      </c>
      <c r="BV58" s="679"/>
      <c r="BW58" s="678" t="s">
        <v>597</v>
      </c>
      <c r="BX58" s="679"/>
      <c r="BY58" s="678" t="s">
        <v>597</v>
      </c>
      <c r="BZ58" s="679"/>
      <c r="CA58" s="678" t="s">
        <v>597</v>
      </c>
      <c r="CB58" s="679"/>
      <c r="CC58" s="678" t="s">
        <v>597</v>
      </c>
      <c r="CD58" s="679"/>
      <c r="CE58" s="678" t="s">
        <v>597</v>
      </c>
      <c r="CF58" s="679"/>
      <c r="CG58" s="678" t="s">
        <v>597</v>
      </c>
      <c r="CH58" s="679"/>
      <c r="CI58" s="678" t="s">
        <v>597</v>
      </c>
      <c r="CJ58" s="679"/>
      <c r="CK58" s="678" t="s">
        <v>597</v>
      </c>
      <c r="CL58" s="679"/>
      <c r="CM58" s="678" t="s">
        <v>597</v>
      </c>
      <c r="CN58" s="679"/>
      <c r="CO58" s="678" t="s">
        <v>597</v>
      </c>
      <c r="CP58" s="679"/>
      <c r="CQ58" s="678" t="s">
        <v>597</v>
      </c>
      <c r="CR58" s="679"/>
      <c r="CS58" s="678" t="s">
        <v>597</v>
      </c>
      <c r="CT58" s="679"/>
      <c r="CU58" s="678" t="s">
        <v>597</v>
      </c>
      <c r="CV58" s="679"/>
      <c r="CW58" s="678" t="s">
        <v>597</v>
      </c>
      <c r="CX58" s="679"/>
      <c r="CY58" s="678" t="s">
        <v>597</v>
      </c>
      <c r="CZ58" s="679"/>
      <c r="DA58" s="678" t="s">
        <v>597</v>
      </c>
      <c r="DB58" s="679"/>
      <c r="DC58" s="678" t="s">
        <v>597</v>
      </c>
      <c r="DD58" s="679"/>
      <c r="DE58" s="678" t="s">
        <v>597</v>
      </c>
      <c r="DF58" s="679"/>
      <c r="DG58" s="678" t="s">
        <v>597</v>
      </c>
      <c r="DH58" s="679"/>
      <c r="DI58" s="678" t="s">
        <v>597</v>
      </c>
      <c r="DJ58" s="679"/>
      <c r="DK58" s="678" t="s">
        <v>597</v>
      </c>
      <c r="DL58" s="679"/>
      <c r="DM58" s="678" t="s">
        <v>597</v>
      </c>
      <c r="DN58" s="679"/>
      <c r="DO58" s="678" t="s">
        <v>597</v>
      </c>
      <c r="DP58" s="679"/>
      <c r="DQ58" s="678" t="s">
        <v>597</v>
      </c>
      <c r="DR58" s="679"/>
      <c r="DS58" s="678" t="s">
        <v>597</v>
      </c>
      <c r="DT58" s="679"/>
      <c r="DU58" s="678" t="s">
        <v>597</v>
      </c>
      <c r="DV58" s="679"/>
      <c r="DW58" s="678" t="s">
        <v>597</v>
      </c>
      <c r="DX58" s="679"/>
      <c r="DY58" s="678" t="s">
        <v>597</v>
      </c>
      <c r="DZ58" s="679"/>
      <c r="EA58" s="678" t="s">
        <v>597</v>
      </c>
      <c r="EB58" s="679"/>
      <c r="EC58" s="678" t="s">
        <v>597</v>
      </c>
      <c r="ED58" s="679"/>
      <c r="EE58" s="678" t="s">
        <v>597</v>
      </c>
      <c r="EF58" s="679"/>
      <c r="EG58" s="2"/>
    </row>
    <row r="59" spans="1:137" ht="22.5" customHeight="1" x14ac:dyDescent="0.25">
      <c r="A59" s="2"/>
      <c r="B59" s="2"/>
      <c r="C59" s="680"/>
      <c r="D59" s="2"/>
      <c r="E59" s="2"/>
      <c r="F59" s="2"/>
      <c r="G59" s="923"/>
      <c r="H59" s="681" t="s">
        <v>598</v>
      </c>
      <c r="I59" s="2"/>
      <c r="J59" s="2"/>
      <c r="K59" s="2"/>
      <c r="L59" s="2"/>
      <c r="M59" s="2"/>
      <c r="N59" s="2"/>
      <c r="O59" s="2"/>
      <c r="P59" s="2"/>
      <c r="Q59" s="2"/>
      <c r="R59" s="2"/>
      <c r="S59" s="2"/>
      <c r="T59" s="2"/>
      <c r="U59" s="2"/>
      <c r="V59" s="2"/>
      <c r="W59" s="2"/>
      <c r="X59" s="2"/>
      <c r="Y59" s="2"/>
      <c r="Z59" s="14"/>
      <c r="AA59" s="14"/>
      <c r="AB59" s="14"/>
      <c r="AC59" s="14"/>
      <c r="AD59" s="14"/>
      <c r="AE59" s="14"/>
      <c r="AF59" s="14"/>
      <c r="AG59" s="14"/>
      <c r="AH59" s="14"/>
      <c r="AI59" s="14"/>
      <c r="AJ59" s="14"/>
      <c r="AK59" s="682">
        <f>IF(Q56&gt;K58,FLOOR($K58,1),FLOOR(Q56,1))</f>
        <v>0</v>
      </c>
      <c r="AL59" s="139"/>
      <c r="AM59" s="682">
        <f>AK59-1</f>
        <v>-1</v>
      </c>
      <c r="AN59" s="139"/>
      <c r="AO59" s="682">
        <f>AM59-1</f>
        <v>-2</v>
      </c>
      <c r="AP59" s="139"/>
      <c r="AQ59" s="682">
        <f>AO59-1</f>
        <v>-3</v>
      </c>
      <c r="AR59" s="139"/>
      <c r="AS59" s="682">
        <f>AQ59-1</f>
        <v>-4</v>
      </c>
      <c r="AT59" s="139"/>
      <c r="AU59" s="682">
        <f>AS59-1</f>
        <v>-5</v>
      </c>
      <c r="AV59" s="139"/>
      <c r="AW59" s="682">
        <f>AU59-1</f>
        <v>-6</v>
      </c>
      <c r="AX59" s="139"/>
      <c r="AY59" s="682">
        <f>AW59-1</f>
        <v>-7</v>
      </c>
      <c r="AZ59" s="139"/>
      <c r="BA59" s="682">
        <f>AY59-1</f>
        <v>-8</v>
      </c>
      <c r="BB59" s="139"/>
      <c r="BC59" s="682">
        <f>BA59-1</f>
        <v>-9</v>
      </c>
      <c r="BD59" s="139"/>
      <c r="BE59" s="682">
        <f>BC59-1</f>
        <v>-10</v>
      </c>
      <c r="BF59" s="139"/>
      <c r="BG59" s="682">
        <f>BE59-1</f>
        <v>-11</v>
      </c>
      <c r="BH59" s="139"/>
      <c r="BI59" s="682">
        <f>BG59-1</f>
        <v>-12</v>
      </c>
      <c r="BJ59" s="139"/>
      <c r="BK59" s="682">
        <f>BI59-1</f>
        <v>-13</v>
      </c>
      <c r="BL59" s="139"/>
      <c r="BM59" s="682">
        <f>BK59-1</f>
        <v>-14</v>
      </c>
      <c r="BN59" s="139"/>
      <c r="BO59" s="682">
        <f>BM59-1</f>
        <v>-15</v>
      </c>
      <c r="BP59" s="139"/>
      <c r="BQ59" s="682">
        <f>BO59-1</f>
        <v>-16</v>
      </c>
      <c r="BR59" s="139"/>
      <c r="BS59" s="682">
        <f>BQ59-1</f>
        <v>-17</v>
      </c>
      <c r="BT59" s="139"/>
      <c r="BU59" s="682">
        <f>BS59-1</f>
        <v>-18</v>
      </c>
      <c r="BV59" s="139"/>
      <c r="BW59" s="682">
        <f>BU59-1</f>
        <v>-19</v>
      </c>
      <c r="BX59" s="139"/>
      <c r="BY59" s="682">
        <f>BW59-1</f>
        <v>-20</v>
      </c>
      <c r="BZ59" s="139"/>
      <c r="CA59" s="682">
        <f>BY59-1</f>
        <v>-21</v>
      </c>
      <c r="CB59" s="139"/>
      <c r="CC59" s="682">
        <f>CA59-1</f>
        <v>-22</v>
      </c>
      <c r="CD59" s="139"/>
      <c r="CE59" s="682">
        <f>CC59-1</f>
        <v>-23</v>
      </c>
      <c r="CF59" s="139"/>
      <c r="CG59" s="682">
        <f>CE59-1</f>
        <v>-24</v>
      </c>
      <c r="CH59" s="139"/>
      <c r="CI59" s="682">
        <f>CG59-1</f>
        <v>-25</v>
      </c>
      <c r="CJ59" s="139"/>
      <c r="CK59" s="682">
        <f>CI59-1</f>
        <v>-26</v>
      </c>
      <c r="CL59" s="139"/>
      <c r="CM59" s="682">
        <f>CK59-1</f>
        <v>-27</v>
      </c>
      <c r="CN59" s="139"/>
      <c r="CO59" s="682">
        <f>CM59-1</f>
        <v>-28</v>
      </c>
      <c r="CP59" s="139"/>
      <c r="CQ59" s="682">
        <f>CO59-1</f>
        <v>-29</v>
      </c>
      <c r="CR59" s="139"/>
      <c r="CS59" s="682">
        <f>CQ59-1</f>
        <v>-30</v>
      </c>
      <c r="CT59" s="139"/>
      <c r="CU59" s="682">
        <f>CS59-1</f>
        <v>-31</v>
      </c>
      <c r="CV59" s="139"/>
      <c r="CW59" s="682">
        <f>CU59-1</f>
        <v>-32</v>
      </c>
      <c r="CX59" s="139"/>
      <c r="CY59" s="682">
        <f>CW59-1</f>
        <v>-33</v>
      </c>
      <c r="CZ59" s="139"/>
      <c r="DA59" s="682">
        <f>CY59-1</f>
        <v>-34</v>
      </c>
      <c r="DB59" s="139"/>
      <c r="DC59" s="682">
        <f>DA59-1</f>
        <v>-35</v>
      </c>
      <c r="DD59" s="139"/>
      <c r="DE59" s="682">
        <f>DC59-1</f>
        <v>-36</v>
      </c>
      <c r="DF59" s="139"/>
      <c r="DG59" s="682">
        <f>DE59-1</f>
        <v>-37</v>
      </c>
      <c r="DH59" s="139"/>
      <c r="DI59" s="682">
        <f>DG59-1</f>
        <v>-38</v>
      </c>
      <c r="DJ59" s="139"/>
      <c r="DK59" s="682">
        <f>DI59-1</f>
        <v>-39</v>
      </c>
      <c r="DL59" s="139"/>
      <c r="DM59" s="682">
        <f>DK59-1</f>
        <v>-40</v>
      </c>
      <c r="DN59" s="139"/>
      <c r="DO59" s="682">
        <f>DM59-1</f>
        <v>-41</v>
      </c>
      <c r="DP59" s="139"/>
      <c r="DQ59" s="682">
        <f>DO59-1</f>
        <v>-42</v>
      </c>
      <c r="DR59" s="139"/>
      <c r="DS59" s="682">
        <f>DQ59-1</f>
        <v>-43</v>
      </c>
      <c r="DT59" s="139"/>
      <c r="DU59" s="682">
        <f>DS59-1</f>
        <v>-44</v>
      </c>
      <c r="DV59" s="139"/>
      <c r="DW59" s="682">
        <f>DU59-1</f>
        <v>-45</v>
      </c>
      <c r="DX59" s="139"/>
      <c r="DY59" s="682">
        <f>DW59-1</f>
        <v>-46</v>
      </c>
      <c r="DZ59" s="139"/>
      <c r="EA59" s="682">
        <f>DY59-1</f>
        <v>-47</v>
      </c>
      <c r="EB59" s="139"/>
      <c r="EC59" s="682">
        <f>EA59-1</f>
        <v>-48</v>
      </c>
      <c r="ED59" s="139"/>
      <c r="EE59" s="682">
        <f>EC59-1</f>
        <v>-49</v>
      </c>
      <c r="EF59" s="139"/>
      <c r="EG59" s="2"/>
    </row>
    <row r="60" spans="1:137" ht="18.75" customHeight="1" x14ac:dyDescent="0.2">
      <c r="A60" s="2"/>
      <c r="B60" s="683"/>
      <c r="C60" s="684"/>
      <c r="D60" s="2"/>
      <c r="E60" s="2"/>
      <c r="F60" s="685"/>
      <c r="G60" s="685"/>
      <c r="H60" s="920" t="s">
        <v>693</v>
      </c>
      <c r="I60" s="2"/>
      <c r="J60" s="686"/>
      <c r="K60" s="687"/>
      <c r="L60" s="2"/>
      <c r="M60" s="2"/>
      <c r="N60" s="2"/>
      <c r="O60" s="2"/>
      <c r="P60" s="2"/>
      <c r="Q60" s="2494" t="s">
        <v>599</v>
      </c>
      <c r="R60" s="2494"/>
      <c r="S60" s="2494"/>
      <c r="T60" s="2494"/>
      <c r="U60" s="2494"/>
      <c r="V60" s="2494"/>
      <c r="W60" s="2"/>
      <c r="X60" s="2495" t="s">
        <v>600</v>
      </c>
      <c r="Y60" s="2495"/>
      <c r="Z60" s="2495"/>
      <c r="AA60" s="2495"/>
      <c r="AB60" s="2495"/>
      <c r="AC60" s="2495"/>
      <c r="AD60" s="2"/>
      <c r="AE60" s="2"/>
      <c r="AF60" s="688"/>
      <c r="AG60" s="688"/>
      <c r="AH60" s="688"/>
      <c r="AI60" s="688"/>
      <c r="AJ60" s="14"/>
      <c r="AK60" s="689" t="s">
        <v>601</v>
      </c>
      <c r="AL60" s="690">
        <f>$Q56-AK59</f>
        <v>0</v>
      </c>
      <c r="AM60" s="689" t="s">
        <v>601</v>
      </c>
      <c r="AN60" s="690">
        <f>$Q56-AM59</f>
        <v>1</v>
      </c>
      <c r="AO60" s="689" t="s">
        <v>601</v>
      </c>
      <c r="AP60" s="690">
        <f>$Q56-AO59</f>
        <v>2</v>
      </c>
      <c r="AQ60" s="689" t="s">
        <v>601</v>
      </c>
      <c r="AR60" s="690">
        <f>$Q56-AQ59</f>
        <v>3</v>
      </c>
      <c r="AS60" s="689" t="s">
        <v>601</v>
      </c>
      <c r="AT60" s="690">
        <f>$Q56-AS59</f>
        <v>4</v>
      </c>
      <c r="AU60" s="689" t="s">
        <v>601</v>
      </c>
      <c r="AV60" s="690">
        <f>$Q56-AU59</f>
        <v>5</v>
      </c>
      <c r="AW60" s="689" t="s">
        <v>601</v>
      </c>
      <c r="AX60" s="690">
        <f>$Q56-AW59</f>
        <v>6</v>
      </c>
      <c r="AY60" s="689" t="s">
        <v>601</v>
      </c>
      <c r="AZ60" s="690">
        <f>$Q56-AY59</f>
        <v>7</v>
      </c>
      <c r="BA60" s="689" t="s">
        <v>601</v>
      </c>
      <c r="BB60" s="690">
        <f>$Q56-BA59</f>
        <v>8</v>
      </c>
      <c r="BC60" s="689" t="s">
        <v>601</v>
      </c>
      <c r="BD60" s="690">
        <f>$Q56-BC59</f>
        <v>9</v>
      </c>
      <c r="BE60" s="689" t="s">
        <v>601</v>
      </c>
      <c r="BF60" s="690">
        <f>$Q56-BE59</f>
        <v>10</v>
      </c>
      <c r="BG60" s="689" t="s">
        <v>601</v>
      </c>
      <c r="BH60" s="690">
        <f>$Q56-BG59</f>
        <v>11</v>
      </c>
      <c r="BI60" s="689" t="s">
        <v>601</v>
      </c>
      <c r="BJ60" s="690">
        <f>$Q56-BI59</f>
        <v>12</v>
      </c>
      <c r="BK60" s="689" t="s">
        <v>601</v>
      </c>
      <c r="BL60" s="690">
        <f>$Q56-BK59</f>
        <v>13</v>
      </c>
      <c r="BM60" s="689" t="s">
        <v>601</v>
      </c>
      <c r="BN60" s="690">
        <f>$Q56-BM59</f>
        <v>14</v>
      </c>
      <c r="BO60" s="689" t="s">
        <v>601</v>
      </c>
      <c r="BP60" s="690">
        <f>$Q56-BO59</f>
        <v>15</v>
      </c>
      <c r="BQ60" s="689" t="s">
        <v>601</v>
      </c>
      <c r="BR60" s="690">
        <f>$Q56-BQ59</f>
        <v>16</v>
      </c>
      <c r="BS60" s="689" t="s">
        <v>601</v>
      </c>
      <c r="BT60" s="690">
        <f>$Q56-BS59</f>
        <v>17</v>
      </c>
      <c r="BU60" s="689" t="s">
        <v>601</v>
      </c>
      <c r="BV60" s="690">
        <f>$Q56-BU59</f>
        <v>18</v>
      </c>
      <c r="BW60" s="689" t="s">
        <v>601</v>
      </c>
      <c r="BX60" s="690">
        <f>$Q56-BW59</f>
        <v>19</v>
      </c>
      <c r="BY60" s="689" t="s">
        <v>601</v>
      </c>
      <c r="BZ60" s="690">
        <f>$Q56-BY59</f>
        <v>20</v>
      </c>
      <c r="CA60" s="689" t="s">
        <v>601</v>
      </c>
      <c r="CB60" s="690">
        <f>$Q56-CA59</f>
        <v>21</v>
      </c>
      <c r="CC60" s="689" t="s">
        <v>601</v>
      </c>
      <c r="CD60" s="690">
        <f>$Q56-CC59</f>
        <v>22</v>
      </c>
      <c r="CE60" s="689" t="s">
        <v>601</v>
      </c>
      <c r="CF60" s="690">
        <f>$Q56-CE59</f>
        <v>23</v>
      </c>
      <c r="CG60" s="689" t="s">
        <v>601</v>
      </c>
      <c r="CH60" s="690">
        <f>$Q56-CG59</f>
        <v>24</v>
      </c>
      <c r="CI60" s="689" t="s">
        <v>601</v>
      </c>
      <c r="CJ60" s="690">
        <f>$Q56-CI59</f>
        <v>25</v>
      </c>
      <c r="CK60" s="689" t="s">
        <v>601</v>
      </c>
      <c r="CL60" s="690">
        <f>$Q56-CK59</f>
        <v>26</v>
      </c>
      <c r="CM60" s="689" t="s">
        <v>601</v>
      </c>
      <c r="CN60" s="690">
        <f>$Q56-CM59</f>
        <v>27</v>
      </c>
      <c r="CO60" s="689" t="s">
        <v>601</v>
      </c>
      <c r="CP60" s="690">
        <f>$Q56-CO59</f>
        <v>28</v>
      </c>
      <c r="CQ60" s="689" t="s">
        <v>601</v>
      </c>
      <c r="CR60" s="690">
        <f>$Q56-CQ59</f>
        <v>29</v>
      </c>
      <c r="CS60" s="689" t="s">
        <v>601</v>
      </c>
      <c r="CT60" s="690">
        <f>$Q56-CS59</f>
        <v>30</v>
      </c>
      <c r="CU60" s="689" t="s">
        <v>601</v>
      </c>
      <c r="CV60" s="690">
        <f>$Q56-CU59</f>
        <v>31</v>
      </c>
      <c r="CW60" s="689" t="s">
        <v>601</v>
      </c>
      <c r="CX60" s="690">
        <f>$Q56-CW59</f>
        <v>32</v>
      </c>
      <c r="CY60" s="689" t="s">
        <v>601</v>
      </c>
      <c r="CZ60" s="690">
        <f>$Q56-CY59</f>
        <v>33</v>
      </c>
      <c r="DA60" s="689" t="s">
        <v>601</v>
      </c>
      <c r="DB60" s="690">
        <f>$Q56-DA59</f>
        <v>34</v>
      </c>
      <c r="DC60" s="689" t="s">
        <v>601</v>
      </c>
      <c r="DD60" s="690">
        <f>$Q56-DC59</f>
        <v>35</v>
      </c>
      <c r="DE60" s="689" t="s">
        <v>601</v>
      </c>
      <c r="DF60" s="690">
        <f>$Q56-DE59</f>
        <v>36</v>
      </c>
      <c r="DG60" s="689" t="s">
        <v>601</v>
      </c>
      <c r="DH60" s="690">
        <f>$Q56-DG59</f>
        <v>37</v>
      </c>
      <c r="DI60" s="689" t="s">
        <v>601</v>
      </c>
      <c r="DJ60" s="690">
        <f>$Q56-DI59</f>
        <v>38</v>
      </c>
      <c r="DK60" s="689" t="s">
        <v>601</v>
      </c>
      <c r="DL60" s="690">
        <f>$Q56-DK59</f>
        <v>39</v>
      </c>
      <c r="DM60" s="689" t="s">
        <v>601</v>
      </c>
      <c r="DN60" s="690">
        <f>$Q56-DM59</f>
        <v>40</v>
      </c>
      <c r="DO60" s="689" t="s">
        <v>601</v>
      </c>
      <c r="DP60" s="690">
        <f>$Q56-DO59</f>
        <v>41</v>
      </c>
      <c r="DQ60" s="689" t="s">
        <v>601</v>
      </c>
      <c r="DR60" s="690">
        <f>$Q56-DQ59</f>
        <v>42</v>
      </c>
      <c r="DS60" s="689" t="s">
        <v>601</v>
      </c>
      <c r="DT60" s="690">
        <f>$Q56-DS59</f>
        <v>43</v>
      </c>
      <c r="DU60" s="689" t="s">
        <v>601</v>
      </c>
      <c r="DV60" s="690">
        <f>$Q56-DU59</f>
        <v>44</v>
      </c>
      <c r="DW60" s="689" t="s">
        <v>601</v>
      </c>
      <c r="DX60" s="690">
        <f>$Q56-DW59</f>
        <v>45</v>
      </c>
      <c r="DY60" s="689" t="s">
        <v>601</v>
      </c>
      <c r="DZ60" s="690">
        <f>$Q56-DY59</f>
        <v>46</v>
      </c>
      <c r="EA60" s="689" t="s">
        <v>601</v>
      </c>
      <c r="EB60" s="690">
        <f>$Q56-EA59</f>
        <v>47</v>
      </c>
      <c r="EC60" s="689" t="s">
        <v>601</v>
      </c>
      <c r="ED60" s="690">
        <f>$Q56-EC59</f>
        <v>48</v>
      </c>
      <c r="EE60" s="689" t="s">
        <v>601</v>
      </c>
      <c r="EF60" s="690">
        <f>$Q56-EE59</f>
        <v>49</v>
      </c>
      <c r="EG60" s="2"/>
    </row>
    <row r="61" spans="1:137" ht="22.5" customHeight="1" x14ac:dyDescent="0.2">
      <c r="A61" s="2"/>
      <c r="B61" s="2"/>
      <c r="C61" s="2"/>
      <c r="D61" s="2"/>
      <c r="E61" s="2"/>
      <c r="F61" s="2421">
        <f>P29</f>
        <v>5</v>
      </c>
      <c r="G61" s="2422"/>
      <c r="H61" s="2423">
        <f>IF(T10=AI10,0,IF(AG56=AI55,P30,0))</f>
        <v>0</v>
      </c>
      <c r="I61" s="2424"/>
      <c r="J61" s="2"/>
      <c r="K61" s="691" t="str">
        <f t="shared" ref="K61:K67" si="0">IF(H61=0,"",IF(AND(O61&gt;0,O61=H61),"VERSA",IF(O61&gt;0,"Versa PEZZI","CASSA")))</f>
        <v/>
      </c>
      <c r="L61" s="2"/>
      <c r="M61" s="2"/>
      <c r="N61" s="2"/>
      <c r="O61" s="2364">
        <f t="shared" ref="O61:O67" si="1">H61-Q61</f>
        <v>0</v>
      </c>
      <c r="P61" s="2364"/>
      <c r="Q61" s="2353">
        <f t="shared" ref="Q61:Q67" si="2">S61/F61</f>
        <v>0</v>
      </c>
      <c r="R61" s="2354"/>
      <c r="S61" s="2355">
        <f>HLOOKUP("X",$AK$57:$EF$92,28,FALSE)</f>
        <v>0</v>
      </c>
      <c r="T61" s="2356"/>
      <c r="U61" s="2356"/>
      <c r="V61" s="2357"/>
      <c r="W61" s="2"/>
      <c r="X61" s="2569">
        <f t="shared" ref="X61:X67" si="3">H61-Q61</f>
        <v>0</v>
      </c>
      <c r="Y61" s="2570"/>
      <c r="Z61" s="2571">
        <f t="shared" ref="Z61:Z67" si="4">X61*F61</f>
        <v>0</v>
      </c>
      <c r="AA61" s="2572"/>
      <c r="AB61" s="2572"/>
      <c r="AC61" s="2573"/>
      <c r="AD61" s="2"/>
      <c r="AE61" s="2"/>
      <c r="AF61" s="688"/>
      <c r="AG61" s="688"/>
      <c r="AH61" s="688"/>
      <c r="AI61" s="692">
        <f t="shared" ref="AI61:AI67" si="5">F61*H61</f>
        <v>0</v>
      </c>
      <c r="AJ61" s="14"/>
      <c r="AK61" s="693">
        <f t="shared" ref="AK61:AK67" si="6">($H61-IF(AL60=0,$H61,IF(($H61*$F61)&lt;AL60,0,$H61-ROUND(AL60/$F61,0))))*$F61</f>
        <v>0</v>
      </c>
      <c r="AL61" s="694">
        <f t="shared" ref="AL61:AL67" si="7">IF((AL60-$AI61)&lt;0,0,AL60-$AI61)</f>
        <v>0</v>
      </c>
      <c r="AM61" s="693">
        <f t="shared" ref="AM61:AM67" si="8">($H61-IF(AN60=0,$H61,IF(($H61*$F61)&lt;AN60,0,$H61-ROUND(AN60/$F61,0))))*$F61</f>
        <v>0</v>
      </c>
      <c r="AN61" s="694">
        <f t="shared" ref="AN61:AN67" si="9">IF((AN60-$AI61)&lt;0,0,AN60-$AI61)</f>
        <v>1</v>
      </c>
      <c r="AO61" s="693">
        <f t="shared" ref="AO61:AO67" si="10">($H61-IF(AP60=0,$H61,IF(($H61*$F61)&lt;AP60,0,$H61-ROUND(AP60/$F61,0))))*$F61</f>
        <v>0</v>
      </c>
      <c r="AP61" s="694">
        <f t="shared" ref="AP61:AP67" si="11">IF((AP60-$AI61)&lt;0,0,AP60-$AI61)</f>
        <v>2</v>
      </c>
      <c r="AQ61" s="693">
        <f t="shared" ref="AQ61:AQ67" si="12">($H61-IF(AR60=0,$H61,IF(($H61*$F61)&lt;AR60,0,$H61-ROUND(AR60/$F61,0))))*$F61</f>
        <v>0</v>
      </c>
      <c r="AR61" s="694">
        <f t="shared" ref="AR61:AR67" si="13">IF((AR60-$AI61)&lt;0,0,AR60-$AI61)</f>
        <v>3</v>
      </c>
      <c r="AS61" s="693">
        <f t="shared" ref="AS61:AS67" si="14">($H61-IF(AT60=0,$H61,IF(($H61*$F61)&lt;AT60,0,$H61-ROUND(AT60/$F61,0))))*$F61</f>
        <v>0</v>
      </c>
      <c r="AT61" s="694">
        <f t="shared" ref="AT61:AT67" si="15">IF((AT60-$AI61)&lt;0,0,AT60-$AI61)</f>
        <v>4</v>
      </c>
      <c r="AU61" s="693">
        <f t="shared" ref="AU61:AU67" si="16">($H61-IF(AV60=0,$H61,IF(($H61*$F61)&lt;AV60,0,$H61-ROUND(AV60/$F61,0))))*$F61</f>
        <v>0</v>
      </c>
      <c r="AV61" s="694">
        <f t="shared" ref="AV61:AV67" si="17">IF((AV60-$AI61)&lt;0,0,AV60-$AI61)</f>
        <v>5</v>
      </c>
      <c r="AW61" s="693">
        <f t="shared" ref="AW61:AW67" si="18">($H61-IF(AX60=0,$H61,IF(($H61*$F61)&lt;AX60,0,$H61-ROUND(AX60/$F61,0))))*$F61</f>
        <v>0</v>
      </c>
      <c r="AX61" s="694">
        <f t="shared" ref="AX61:AX67" si="19">IF((AX60-$AI61)&lt;0,0,AX60-$AI61)</f>
        <v>6</v>
      </c>
      <c r="AY61" s="693">
        <f t="shared" ref="AY61:AY67" si="20">($H61-IF(AZ60=0,$H61,IF(($H61*$F61)&lt;AZ60,0,$H61-ROUND(AZ60/$F61,0))))*$F61</f>
        <v>0</v>
      </c>
      <c r="AZ61" s="694">
        <f t="shared" ref="AZ61:AZ67" si="21">IF((AZ60-$AI61)&lt;0,0,AZ60-$AI61)</f>
        <v>7</v>
      </c>
      <c r="BA61" s="693">
        <f t="shared" ref="BA61:BA67" si="22">($H61-IF(BB60=0,$H61,IF(($H61*$F61)&lt;BB60,0,$H61-ROUND(BB60/$F61,0))))*$F61</f>
        <v>0</v>
      </c>
      <c r="BB61" s="694">
        <f t="shared" ref="BB61:BB67" si="23">IF((BB60-$AI61)&lt;0,0,BB60-$AI61)</f>
        <v>8</v>
      </c>
      <c r="BC61" s="693">
        <f t="shared" ref="BC61:BC67" si="24">($H61-IF(BD60=0,$H61,IF(($H61*$F61)&lt;BD60,0,$H61-ROUND(BD60/$F61,0))))*$F61</f>
        <v>0</v>
      </c>
      <c r="BD61" s="694">
        <f t="shared" ref="BD61:BD67" si="25">IF((BD60-$AI61)&lt;0,0,BD60-$AI61)</f>
        <v>9</v>
      </c>
      <c r="BE61" s="693">
        <f t="shared" ref="BE61:BE67" si="26">($H61-IF(BF60=0,$H61,IF(($H61*$F61)&lt;BF60,0,$H61-ROUND(BF60/$F61,0))))*$F61</f>
        <v>0</v>
      </c>
      <c r="BF61" s="694">
        <f t="shared" ref="BF61:BF67" si="27">IF((BF60-$AI61)&lt;0,0,BF60-$AI61)</f>
        <v>10</v>
      </c>
      <c r="BG61" s="693">
        <f t="shared" ref="BG61:BG67" si="28">($H61-IF(BH60=0,$H61,IF(($H61*$F61)&lt;BH60,0,$H61-ROUND(BH60/$F61,0))))*$F61</f>
        <v>0</v>
      </c>
      <c r="BH61" s="694">
        <f t="shared" ref="BH61:BH67" si="29">IF((BH60-$AI61)&lt;0,0,BH60-$AI61)</f>
        <v>11</v>
      </c>
      <c r="BI61" s="693">
        <f t="shared" ref="BI61:BI67" si="30">($H61-IF(BJ60=0,$H61,IF(($H61*$F61)&lt;BJ60,0,$H61-ROUND(BJ60/$F61,0))))*$F61</f>
        <v>0</v>
      </c>
      <c r="BJ61" s="694">
        <f t="shared" ref="BJ61:BJ67" si="31">IF((BJ60-$AI61)&lt;0,0,BJ60-$AI61)</f>
        <v>12</v>
      </c>
      <c r="BK61" s="693">
        <f t="shared" ref="BK61:BK67" si="32">($H61-IF(BL60=0,$H61,IF(($H61*$F61)&lt;BL60,0,$H61-ROUND(BL60/$F61,0))))*$F61</f>
        <v>0</v>
      </c>
      <c r="BL61" s="694">
        <f t="shared" ref="BL61:BL67" si="33">IF((BL60-$AI61)&lt;0,0,BL60-$AI61)</f>
        <v>13</v>
      </c>
      <c r="BM61" s="693">
        <f t="shared" ref="BM61:BM67" si="34">($H61-IF(BN60=0,$H61,IF(($H61*$F61)&lt;BN60,0,$H61-ROUND(BN60/$F61,0))))*$F61</f>
        <v>0</v>
      </c>
      <c r="BN61" s="694">
        <f t="shared" ref="BN61:BN67" si="35">IF((BN60-$AI61)&lt;0,0,BN60-$AI61)</f>
        <v>14</v>
      </c>
      <c r="BO61" s="693">
        <f t="shared" ref="BO61:BO67" si="36">($H61-IF(BP60=0,$H61,IF(($H61*$F61)&lt;BP60,0,$H61-ROUND(BP60/$F61,0))))*$F61</f>
        <v>0</v>
      </c>
      <c r="BP61" s="694">
        <f t="shared" ref="BP61:BP67" si="37">IF((BP60-$AI61)&lt;0,0,BP60-$AI61)</f>
        <v>15</v>
      </c>
      <c r="BQ61" s="693">
        <f t="shared" ref="BQ61:BQ67" si="38">($H61-IF(BR60=0,$H61,IF(($H61*$F61)&lt;BR60,0,$H61-ROUND(BR60/$F61,0))))*$F61</f>
        <v>0</v>
      </c>
      <c r="BR61" s="694">
        <f t="shared" ref="BR61:BR67" si="39">IF((BR60-$AI61)&lt;0,0,BR60-$AI61)</f>
        <v>16</v>
      </c>
      <c r="BS61" s="693">
        <f t="shared" ref="BS61:BS67" si="40">($H61-IF(BT60=0,$H61,IF(($H61*$F61)&lt;BT60,0,$H61-ROUND(BT60/$F61,0))))*$F61</f>
        <v>0</v>
      </c>
      <c r="BT61" s="694">
        <f t="shared" ref="BT61:BT67" si="41">IF((BT60-$AI61)&lt;0,0,BT60-$AI61)</f>
        <v>17</v>
      </c>
      <c r="BU61" s="693">
        <f t="shared" ref="BU61:BU67" si="42">($H61-IF(BV60=0,$H61,IF(($H61*$F61)&lt;BV60,0,$H61-ROUND(BV60/$F61,0))))*$F61</f>
        <v>0</v>
      </c>
      <c r="BV61" s="694">
        <f t="shared" ref="BV61:BV67" si="43">IF((BV60-$AI61)&lt;0,0,BV60-$AI61)</f>
        <v>18</v>
      </c>
      <c r="BW61" s="693">
        <f t="shared" ref="BW61:BW67" si="44">($H61-IF(BX60=0,$H61,IF(($H61*$F61)&lt;BX60,0,$H61-ROUND(BX60/$F61,0))))*$F61</f>
        <v>0</v>
      </c>
      <c r="BX61" s="694">
        <f t="shared" ref="BX61:BX67" si="45">IF((BX60-$AI61)&lt;0,0,BX60-$AI61)</f>
        <v>19</v>
      </c>
      <c r="BY61" s="693">
        <f t="shared" ref="BY61:BY67" si="46">($H61-IF(BZ60=0,$H61,IF(($H61*$F61)&lt;BZ60,0,$H61-ROUND(BZ60/$F61,0))))*$F61</f>
        <v>0</v>
      </c>
      <c r="BZ61" s="694">
        <f t="shared" ref="BZ61:BZ67" si="47">IF((BZ60-$AI61)&lt;0,0,BZ60-$AI61)</f>
        <v>20</v>
      </c>
      <c r="CA61" s="693">
        <f t="shared" ref="CA61:CA67" si="48">($H61-IF(CB60=0,$H61,IF(($H61*$F61)&lt;CB60,0,$H61-ROUND(CB60/$F61,0))))*$F61</f>
        <v>0</v>
      </c>
      <c r="CB61" s="694">
        <f t="shared" ref="CB61:CB67" si="49">IF((CB60-$AI61)&lt;0,0,CB60-$AI61)</f>
        <v>21</v>
      </c>
      <c r="CC61" s="693">
        <f t="shared" ref="CC61:CC67" si="50">($H61-IF(CD60=0,$H61,IF(($H61*$F61)&lt;CD60,0,$H61-ROUND(CD60/$F61,0))))*$F61</f>
        <v>0</v>
      </c>
      <c r="CD61" s="694">
        <f t="shared" ref="CD61:CD67" si="51">IF((CD60-$AI61)&lt;0,0,CD60-$AI61)</f>
        <v>22</v>
      </c>
      <c r="CE61" s="693">
        <f t="shared" ref="CE61:CE67" si="52">($H61-IF(CF60=0,$H61,IF(($H61*$F61)&lt;CF60,0,$H61-ROUND(CF60/$F61,0))))*$F61</f>
        <v>0</v>
      </c>
      <c r="CF61" s="694">
        <f t="shared" ref="CF61:CF67" si="53">IF((CF60-$AI61)&lt;0,0,CF60-$AI61)</f>
        <v>23</v>
      </c>
      <c r="CG61" s="693">
        <f t="shared" ref="CG61:CG67" si="54">($H61-IF(CH60=0,$H61,IF(($H61*$F61)&lt;CH60,0,$H61-ROUND(CH60/$F61,0))))*$F61</f>
        <v>0</v>
      </c>
      <c r="CH61" s="694">
        <f t="shared" ref="CH61:CH67" si="55">IF((CH60-$AI61)&lt;0,0,CH60-$AI61)</f>
        <v>24</v>
      </c>
      <c r="CI61" s="693">
        <f t="shared" ref="CI61:CI67" si="56">($H61-IF(CJ60=0,$H61,IF(($H61*$F61)&lt;CJ60,0,$H61-ROUND(CJ60/$F61,0))))*$F61</f>
        <v>0</v>
      </c>
      <c r="CJ61" s="694">
        <f t="shared" ref="CJ61:CJ67" si="57">IF((CJ60-$AI61)&lt;0,0,CJ60-$AI61)</f>
        <v>25</v>
      </c>
      <c r="CK61" s="693">
        <f t="shared" ref="CK61:CK67" si="58">($H61-IF(CL60=0,$H61,IF(($H61*$F61)&lt;CL60,0,$H61-ROUND(CL60/$F61,0))))*$F61</f>
        <v>0</v>
      </c>
      <c r="CL61" s="694">
        <f t="shared" ref="CL61:CL67" si="59">IF((CL60-$AI61)&lt;0,0,CL60-$AI61)</f>
        <v>26</v>
      </c>
      <c r="CM61" s="693">
        <f t="shared" ref="CM61:CM67" si="60">($H61-IF(CN60=0,$H61,IF(($H61*$F61)&lt;CN60,0,$H61-ROUND(CN60/$F61,0))))*$F61</f>
        <v>0</v>
      </c>
      <c r="CN61" s="694">
        <f t="shared" ref="CN61:CN67" si="61">IF((CN60-$AI61)&lt;0,0,CN60-$AI61)</f>
        <v>27</v>
      </c>
      <c r="CO61" s="693">
        <f t="shared" ref="CO61:CO67" si="62">($H61-IF(CP60=0,$H61,IF(($H61*$F61)&lt;CP60,0,$H61-ROUND(CP60/$F61,0))))*$F61</f>
        <v>0</v>
      </c>
      <c r="CP61" s="694">
        <f t="shared" ref="CP61:CP67" si="63">IF((CP60-$AI61)&lt;0,0,CP60-$AI61)</f>
        <v>28</v>
      </c>
      <c r="CQ61" s="693">
        <f t="shared" ref="CQ61:CQ67" si="64">($H61-IF(CR60=0,$H61,IF(($H61*$F61)&lt;CR60,0,$H61-ROUND(CR60/$F61,0))))*$F61</f>
        <v>0</v>
      </c>
      <c r="CR61" s="694">
        <f t="shared" ref="CR61:CR67" si="65">IF((CR60-$AI61)&lt;0,0,CR60-$AI61)</f>
        <v>29</v>
      </c>
      <c r="CS61" s="693">
        <f t="shared" ref="CS61:CS67" si="66">($H61-IF(CT60=0,$H61,IF(($H61*$F61)&lt;CT60,0,$H61-ROUND(CT60/$F61,0))))*$F61</f>
        <v>0</v>
      </c>
      <c r="CT61" s="694">
        <f t="shared" ref="CT61:CT67" si="67">IF((CT60-$AI61)&lt;0,0,CT60-$AI61)</f>
        <v>30</v>
      </c>
      <c r="CU61" s="693">
        <f t="shared" ref="CU61:CU67" si="68">($H61-IF(CV60=0,$H61,IF(($H61*$F61)&lt;CV60,0,$H61-ROUND(CV60/$F61,0))))*$F61</f>
        <v>0</v>
      </c>
      <c r="CV61" s="694">
        <f t="shared" ref="CV61:CV67" si="69">IF((CV60-$AI61)&lt;0,0,CV60-$AI61)</f>
        <v>31</v>
      </c>
      <c r="CW61" s="693">
        <f t="shared" ref="CW61:CW67" si="70">($H61-IF(CX60=0,$H61,IF(($H61*$F61)&lt;CX60,0,$H61-ROUND(CX60/$F61,0))))*$F61</f>
        <v>0</v>
      </c>
      <c r="CX61" s="694">
        <f t="shared" ref="CX61:CX67" si="71">IF((CX60-$AI61)&lt;0,0,CX60-$AI61)</f>
        <v>32</v>
      </c>
      <c r="CY61" s="693">
        <f t="shared" ref="CY61:CY67" si="72">($H61-IF(CZ60=0,$H61,IF(($H61*$F61)&lt;CZ60,0,$H61-ROUND(CZ60/$F61,0))))*$F61</f>
        <v>0</v>
      </c>
      <c r="CZ61" s="694">
        <f t="shared" ref="CZ61:CZ67" si="73">IF((CZ60-$AI61)&lt;0,0,CZ60-$AI61)</f>
        <v>33</v>
      </c>
      <c r="DA61" s="693">
        <f t="shared" ref="DA61:DA67" si="74">($H61-IF(DB60=0,$H61,IF(($H61*$F61)&lt;DB60,0,$H61-ROUND(DB60/$F61,0))))*$F61</f>
        <v>0</v>
      </c>
      <c r="DB61" s="694">
        <f t="shared" ref="DB61:DB67" si="75">IF((DB60-$AI61)&lt;0,0,DB60-$AI61)</f>
        <v>34</v>
      </c>
      <c r="DC61" s="693">
        <f t="shared" ref="DC61:DC67" si="76">($H61-IF(DD60=0,$H61,IF(($H61*$F61)&lt;DD60,0,$H61-ROUND(DD60/$F61,0))))*$F61</f>
        <v>0</v>
      </c>
      <c r="DD61" s="694">
        <f t="shared" ref="DD61:DD67" si="77">IF((DD60-$AI61)&lt;0,0,DD60-$AI61)</f>
        <v>35</v>
      </c>
      <c r="DE61" s="693">
        <f t="shared" ref="DE61:DE67" si="78">($H61-IF(DF60=0,$H61,IF(($H61*$F61)&lt;DF60,0,$H61-ROUND(DF60/$F61,0))))*$F61</f>
        <v>0</v>
      </c>
      <c r="DF61" s="694">
        <f t="shared" ref="DF61:DF67" si="79">IF((DF60-$AI61)&lt;0,0,DF60-$AI61)</f>
        <v>36</v>
      </c>
      <c r="DG61" s="693">
        <f t="shared" ref="DG61:DG67" si="80">($H61-IF(DH60=0,$H61,IF(($H61*$F61)&lt;DH60,0,$H61-ROUND(DH60/$F61,0))))*$F61</f>
        <v>0</v>
      </c>
      <c r="DH61" s="694">
        <f t="shared" ref="DH61:DH67" si="81">IF((DH60-$AI61)&lt;0,0,DH60-$AI61)</f>
        <v>37</v>
      </c>
      <c r="DI61" s="693">
        <f t="shared" ref="DI61:DI67" si="82">($H61-IF(DJ60=0,$H61,IF(($H61*$F61)&lt;DJ60,0,$H61-ROUND(DJ60/$F61,0))))*$F61</f>
        <v>0</v>
      </c>
      <c r="DJ61" s="694">
        <f t="shared" ref="DJ61:DJ67" si="83">IF((DJ60-$AI61)&lt;0,0,DJ60-$AI61)</f>
        <v>38</v>
      </c>
      <c r="DK61" s="693">
        <f t="shared" ref="DK61:DK67" si="84">($H61-IF(DL60=0,$H61,IF(($H61*$F61)&lt;DL60,0,$H61-ROUND(DL60/$F61,0))))*$F61</f>
        <v>0</v>
      </c>
      <c r="DL61" s="694">
        <f t="shared" ref="DL61:DL67" si="85">IF((DL60-$AI61)&lt;0,0,DL60-$AI61)</f>
        <v>39</v>
      </c>
      <c r="DM61" s="693">
        <f t="shared" ref="DM61:DM67" si="86">($H61-IF(DN60=0,$H61,IF(($H61*$F61)&lt;DN60,0,$H61-ROUND(DN60/$F61,0))))*$F61</f>
        <v>0</v>
      </c>
      <c r="DN61" s="694">
        <f t="shared" ref="DN61:DN67" si="87">IF((DN60-$AI61)&lt;0,0,DN60-$AI61)</f>
        <v>40</v>
      </c>
      <c r="DO61" s="693">
        <f t="shared" ref="DO61:DO67" si="88">($H61-IF(DP60=0,$H61,IF(($H61*$F61)&lt;DP60,0,$H61-ROUND(DP60/$F61,0))))*$F61</f>
        <v>0</v>
      </c>
      <c r="DP61" s="694">
        <f t="shared" ref="DP61:DP67" si="89">IF((DP60-$AI61)&lt;0,0,DP60-$AI61)</f>
        <v>41</v>
      </c>
      <c r="DQ61" s="693">
        <f t="shared" ref="DQ61:DQ67" si="90">($H61-IF(DR60=0,$H61,IF(($H61*$F61)&lt;DR60,0,$H61-ROUND(DR60/$F61,0))))*$F61</f>
        <v>0</v>
      </c>
      <c r="DR61" s="694">
        <f t="shared" ref="DR61:DR67" si="91">IF((DR60-$AI61)&lt;0,0,DR60-$AI61)</f>
        <v>42</v>
      </c>
      <c r="DS61" s="693">
        <f t="shared" ref="DS61:DS67" si="92">($H61-IF(DT60=0,$H61,IF(($H61*$F61)&lt;DT60,0,$H61-ROUND(DT60/$F61,0))))*$F61</f>
        <v>0</v>
      </c>
      <c r="DT61" s="694">
        <f t="shared" ref="DT61:DT67" si="93">IF((DT60-$AI61)&lt;0,0,DT60-$AI61)</f>
        <v>43</v>
      </c>
      <c r="DU61" s="693">
        <f t="shared" ref="DU61:DU67" si="94">($H61-IF(DV60=0,$H61,IF(($H61*$F61)&lt;DV60,0,$H61-ROUND(DV60/$F61,0))))*$F61</f>
        <v>0</v>
      </c>
      <c r="DV61" s="694">
        <f t="shared" ref="DV61:DV67" si="95">IF((DV60-$AI61)&lt;0,0,DV60-$AI61)</f>
        <v>44</v>
      </c>
      <c r="DW61" s="693">
        <f t="shared" ref="DW61:DW67" si="96">($H61-IF(DX60=0,$H61,IF(($H61*$F61)&lt;DX60,0,$H61-ROUND(DX60/$F61,0))))*$F61</f>
        <v>0</v>
      </c>
      <c r="DX61" s="694">
        <f t="shared" ref="DX61:DX67" si="97">IF((DX60-$AI61)&lt;0,0,DX60-$AI61)</f>
        <v>45</v>
      </c>
      <c r="DY61" s="693">
        <f t="shared" ref="DY61:DY67" si="98">($H61-IF(DZ60=0,$H61,IF(($H61*$F61)&lt;DZ60,0,$H61-ROUND(DZ60/$F61,0))))*$F61</f>
        <v>0</v>
      </c>
      <c r="DZ61" s="694">
        <f t="shared" ref="DZ61:DZ67" si="99">IF((DZ60-$AI61)&lt;0,0,DZ60-$AI61)</f>
        <v>46</v>
      </c>
      <c r="EA61" s="693">
        <f t="shared" ref="EA61:EA67" si="100">($H61-IF(EB60=0,$H61,IF(($H61*$F61)&lt;EB60,0,$H61-ROUND(EB60/$F61,0))))*$F61</f>
        <v>0</v>
      </c>
      <c r="EB61" s="694">
        <f t="shared" ref="EB61:EB67" si="101">IF((EB60-$AI61)&lt;0,0,EB60-$AI61)</f>
        <v>47</v>
      </c>
      <c r="EC61" s="693">
        <f t="shared" ref="EC61:EC67" si="102">($H61-IF(ED60=0,$H61,IF(($H61*$F61)&lt;ED60,0,$H61-ROUND(ED60/$F61,0))))*$F61</f>
        <v>0</v>
      </c>
      <c r="ED61" s="694">
        <f t="shared" ref="ED61:ED67" si="103">IF((ED60-$AI61)&lt;0,0,ED60-$AI61)</f>
        <v>48</v>
      </c>
      <c r="EE61" s="693">
        <f t="shared" ref="EE61:EE67" si="104">($H61-IF(EF60=0,$H61,IF(($H61*$F61)&lt;EF60,0,$H61-ROUND(EF60/$F61,0))))*$F61</f>
        <v>0</v>
      </c>
      <c r="EF61" s="694">
        <f t="shared" ref="EF61:EF67" si="105">IF((EF60-$AI61)&lt;0,0,EF60-$AI61)</f>
        <v>49</v>
      </c>
      <c r="EG61" s="2"/>
    </row>
    <row r="62" spans="1:137" ht="22.5" customHeight="1" x14ac:dyDescent="0.2">
      <c r="A62" s="695"/>
      <c r="B62" s="2"/>
      <c r="C62" s="2"/>
      <c r="D62" s="2"/>
      <c r="E62" s="2"/>
      <c r="F62" s="2360">
        <f>N29</f>
        <v>10</v>
      </c>
      <c r="G62" s="2361"/>
      <c r="H62" s="2362">
        <f>IF(T10=AI10,0,IF(AG56=AI55,N30,0))</f>
        <v>0</v>
      </c>
      <c r="I62" s="2363"/>
      <c r="J62" s="2"/>
      <c r="K62" s="691" t="str">
        <f t="shared" si="0"/>
        <v/>
      </c>
      <c r="L62" s="2"/>
      <c r="M62" s="2"/>
      <c r="N62" s="2"/>
      <c r="O62" s="2364">
        <f t="shared" si="1"/>
        <v>0</v>
      </c>
      <c r="P62" s="2364"/>
      <c r="Q62" s="2365">
        <f t="shared" si="2"/>
        <v>0</v>
      </c>
      <c r="R62" s="2366"/>
      <c r="S62" s="2367">
        <f>HLOOKUP("X",$AK$57:$EF$92,29,FALSE)</f>
        <v>0</v>
      </c>
      <c r="T62" s="2368"/>
      <c r="U62" s="2368"/>
      <c r="V62" s="2369"/>
      <c r="W62" s="2"/>
      <c r="X62" s="2548">
        <f t="shared" si="3"/>
        <v>0</v>
      </c>
      <c r="Y62" s="2549"/>
      <c r="Z62" s="2545">
        <f t="shared" si="4"/>
        <v>0</v>
      </c>
      <c r="AA62" s="2546"/>
      <c r="AB62" s="2546"/>
      <c r="AC62" s="2547"/>
      <c r="AD62" s="2"/>
      <c r="AE62" s="2"/>
      <c r="AF62" s="688"/>
      <c r="AG62" s="688"/>
      <c r="AH62" s="688"/>
      <c r="AI62" s="696">
        <f t="shared" si="5"/>
        <v>0</v>
      </c>
      <c r="AJ62" s="14"/>
      <c r="AK62" s="697">
        <f t="shared" si="6"/>
        <v>0</v>
      </c>
      <c r="AL62" s="694">
        <f t="shared" si="7"/>
        <v>0</v>
      </c>
      <c r="AM62" s="697">
        <f t="shared" si="8"/>
        <v>0</v>
      </c>
      <c r="AN62" s="694">
        <f t="shared" si="9"/>
        <v>1</v>
      </c>
      <c r="AO62" s="697">
        <f t="shared" si="10"/>
        <v>0</v>
      </c>
      <c r="AP62" s="694">
        <f t="shared" si="11"/>
        <v>2</v>
      </c>
      <c r="AQ62" s="697">
        <f t="shared" si="12"/>
        <v>0</v>
      </c>
      <c r="AR62" s="694">
        <f t="shared" si="13"/>
        <v>3</v>
      </c>
      <c r="AS62" s="697">
        <f t="shared" si="14"/>
        <v>0</v>
      </c>
      <c r="AT62" s="694">
        <f t="shared" si="15"/>
        <v>4</v>
      </c>
      <c r="AU62" s="697">
        <f t="shared" si="16"/>
        <v>0</v>
      </c>
      <c r="AV62" s="694">
        <f t="shared" si="17"/>
        <v>5</v>
      </c>
      <c r="AW62" s="697">
        <f t="shared" si="18"/>
        <v>0</v>
      </c>
      <c r="AX62" s="694">
        <f t="shared" si="19"/>
        <v>6</v>
      </c>
      <c r="AY62" s="697">
        <f t="shared" si="20"/>
        <v>0</v>
      </c>
      <c r="AZ62" s="694">
        <f t="shared" si="21"/>
        <v>7</v>
      </c>
      <c r="BA62" s="697">
        <f t="shared" si="22"/>
        <v>0</v>
      </c>
      <c r="BB62" s="694">
        <f t="shared" si="23"/>
        <v>8</v>
      </c>
      <c r="BC62" s="697">
        <f t="shared" si="24"/>
        <v>0</v>
      </c>
      <c r="BD62" s="694">
        <f t="shared" si="25"/>
        <v>9</v>
      </c>
      <c r="BE62" s="697">
        <f t="shared" si="26"/>
        <v>0</v>
      </c>
      <c r="BF62" s="694">
        <f t="shared" si="27"/>
        <v>10</v>
      </c>
      <c r="BG62" s="697">
        <f t="shared" si="28"/>
        <v>0</v>
      </c>
      <c r="BH62" s="694">
        <f t="shared" si="29"/>
        <v>11</v>
      </c>
      <c r="BI62" s="697">
        <f t="shared" si="30"/>
        <v>0</v>
      </c>
      <c r="BJ62" s="694">
        <f t="shared" si="31"/>
        <v>12</v>
      </c>
      <c r="BK62" s="697">
        <f t="shared" si="32"/>
        <v>0</v>
      </c>
      <c r="BL62" s="694">
        <f t="shared" si="33"/>
        <v>13</v>
      </c>
      <c r="BM62" s="697">
        <f t="shared" si="34"/>
        <v>0</v>
      </c>
      <c r="BN62" s="694">
        <f t="shared" si="35"/>
        <v>14</v>
      </c>
      <c r="BO62" s="697">
        <f t="shared" si="36"/>
        <v>0</v>
      </c>
      <c r="BP62" s="694">
        <f t="shared" si="37"/>
        <v>15</v>
      </c>
      <c r="BQ62" s="697">
        <f t="shared" si="38"/>
        <v>0</v>
      </c>
      <c r="BR62" s="694">
        <f t="shared" si="39"/>
        <v>16</v>
      </c>
      <c r="BS62" s="697">
        <f t="shared" si="40"/>
        <v>0</v>
      </c>
      <c r="BT62" s="694">
        <f t="shared" si="41"/>
        <v>17</v>
      </c>
      <c r="BU62" s="697">
        <f t="shared" si="42"/>
        <v>0</v>
      </c>
      <c r="BV62" s="694">
        <f t="shared" si="43"/>
        <v>18</v>
      </c>
      <c r="BW62" s="697">
        <f t="shared" si="44"/>
        <v>0</v>
      </c>
      <c r="BX62" s="694">
        <f t="shared" si="45"/>
        <v>19</v>
      </c>
      <c r="BY62" s="697">
        <f t="shared" si="46"/>
        <v>0</v>
      </c>
      <c r="BZ62" s="694">
        <f t="shared" si="47"/>
        <v>20</v>
      </c>
      <c r="CA62" s="697">
        <f t="shared" si="48"/>
        <v>0</v>
      </c>
      <c r="CB62" s="694">
        <f t="shared" si="49"/>
        <v>21</v>
      </c>
      <c r="CC62" s="697">
        <f t="shared" si="50"/>
        <v>0</v>
      </c>
      <c r="CD62" s="694">
        <f t="shared" si="51"/>
        <v>22</v>
      </c>
      <c r="CE62" s="697">
        <f t="shared" si="52"/>
        <v>0</v>
      </c>
      <c r="CF62" s="694">
        <f t="shared" si="53"/>
        <v>23</v>
      </c>
      <c r="CG62" s="697">
        <f t="shared" si="54"/>
        <v>0</v>
      </c>
      <c r="CH62" s="694">
        <f t="shared" si="55"/>
        <v>24</v>
      </c>
      <c r="CI62" s="697">
        <f t="shared" si="56"/>
        <v>0</v>
      </c>
      <c r="CJ62" s="694">
        <f t="shared" si="57"/>
        <v>25</v>
      </c>
      <c r="CK62" s="697">
        <f t="shared" si="58"/>
        <v>0</v>
      </c>
      <c r="CL62" s="694">
        <f t="shared" si="59"/>
        <v>26</v>
      </c>
      <c r="CM62" s="697">
        <f t="shared" si="60"/>
        <v>0</v>
      </c>
      <c r="CN62" s="694">
        <f t="shared" si="61"/>
        <v>27</v>
      </c>
      <c r="CO62" s="697">
        <f t="shared" si="62"/>
        <v>0</v>
      </c>
      <c r="CP62" s="694">
        <f t="shared" si="63"/>
        <v>28</v>
      </c>
      <c r="CQ62" s="697">
        <f t="shared" si="64"/>
        <v>0</v>
      </c>
      <c r="CR62" s="694">
        <f t="shared" si="65"/>
        <v>29</v>
      </c>
      <c r="CS62" s="697">
        <f t="shared" si="66"/>
        <v>0</v>
      </c>
      <c r="CT62" s="694">
        <f t="shared" si="67"/>
        <v>30</v>
      </c>
      <c r="CU62" s="697">
        <f t="shared" si="68"/>
        <v>0</v>
      </c>
      <c r="CV62" s="694">
        <f t="shared" si="69"/>
        <v>31</v>
      </c>
      <c r="CW62" s="697">
        <f t="shared" si="70"/>
        <v>0</v>
      </c>
      <c r="CX62" s="694">
        <f t="shared" si="71"/>
        <v>32</v>
      </c>
      <c r="CY62" s="697">
        <f t="shared" si="72"/>
        <v>0</v>
      </c>
      <c r="CZ62" s="694">
        <f t="shared" si="73"/>
        <v>33</v>
      </c>
      <c r="DA62" s="697">
        <f t="shared" si="74"/>
        <v>0</v>
      </c>
      <c r="DB62" s="694">
        <f t="shared" si="75"/>
        <v>34</v>
      </c>
      <c r="DC62" s="697">
        <f t="shared" si="76"/>
        <v>0</v>
      </c>
      <c r="DD62" s="694">
        <f t="shared" si="77"/>
        <v>35</v>
      </c>
      <c r="DE62" s="697">
        <f t="shared" si="78"/>
        <v>0</v>
      </c>
      <c r="DF62" s="694">
        <f t="shared" si="79"/>
        <v>36</v>
      </c>
      <c r="DG62" s="697">
        <f t="shared" si="80"/>
        <v>0</v>
      </c>
      <c r="DH62" s="694">
        <f t="shared" si="81"/>
        <v>37</v>
      </c>
      <c r="DI62" s="697">
        <f t="shared" si="82"/>
        <v>0</v>
      </c>
      <c r="DJ62" s="694">
        <f t="shared" si="83"/>
        <v>38</v>
      </c>
      <c r="DK62" s="697">
        <f t="shared" si="84"/>
        <v>0</v>
      </c>
      <c r="DL62" s="694">
        <f t="shared" si="85"/>
        <v>39</v>
      </c>
      <c r="DM62" s="697">
        <f t="shared" si="86"/>
        <v>0</v>
      </c>
      <c r="DN62" s="694">
        <f t="shared" si="87"/>
        <v>40</v>
      </c>
      <c r="DO62" s="697">
        <f t="shared" si="88"/>
        <v>0</v>
      </c>
      <c r="DP62" s="694">
        <f t="shared" si="89"/>
        <v>41</v>
      </c>
      <c r="DQ62" s="697">
        <f t="shared" si="90"/>
        <v>0</v>
      </c>
      <c r="DR62" s="694">
        <f t="shared" si="91"/>
        <v>42</v>
      </c>
      <c r="DS62" s="697">
        <f t="shared" si="92"/>
        <v>0</v>
      </c>
      <c r="DT62" s="694">
        <f t="shared" si="93"/>
        <v>43</v>
      </c>
      <c r="DU62" s="697">
        <f t="shared" si="94"/>
        <v>0</v>
      </c>
      <c r="DV62" s="694">
        <f t="shared" si="95"/>
        <v>44</v>
      </c>
      <c r="DW62" s="697">
        <f t="shared" si="96"/>
        <v>0</v>
      </c>
      <c r="DX62" s="694">
        <f t="shared" si="97"/>
        <v>45</v>
      </c>
      <c r="DY62" s="697">
        <f t="shared" si="98"/>
        <v>0</v>
      </c>
      <c r="DZ62" s="694">
        <f t="shared" si="99"/>
        <v>46</v>
      </c>
      <c r="EA62" s="697">
        <f t="shared" si="100"/>
        <v>0</v>
      </c>
      <c r="EB62" s="694">
        <f t="shared" si="101"/>
        <v>47</v>
      </c>
      <c r="EC62" s="697">
        <f t="shared" si="102"/>
        <v>0</v>
      </c>
      <c r="ED62" s="694">
        <f t="shared" si="103"/>
        <v>48</v>
      </c>
      <c r="EE62" s="697">
        <f t="shared" si="104"/>
        <v>0</v>
      </c>
      <c r="EF62" s="694">
        <f t="shared" si="105"/>
        <v>49</v>
      </c>
      <c r="EG62" s="2"/>
    </row>
    <row r="63" spans="1:137" ht="22.5" customHeight="1" x14ac:dyDescent="0.2">
      <c r="A63" s="695"/>
      <c r="B63" s="2"/>
      <c r="C63" s="2"/>
      <c r="D63" s="2"/>
      <c r="E63" s="2"/>
      <c r="F63" s="2360">
        <f>L29</f>
        <v>20</v>
      </c>
      <c r="G63" s="2361"/>
      <c r="H63" s="2362">
        <f>IF(T10=AI10,0,IF(AG56=AI55,L30,0))</f>
        <v>0</v>
      </c>
      <c r="I63" s="2363"/>
      <c r="J63" s="2"/>
      <c r="K63" s="691" t="str">
        <f t="shared" si="0"/>
        <v/>
      </c>
      <c r="L63" s="2"/>
      <c r="M63" s="2"/>
      <c r="N63" s="2"/>
      <c r="O63" s="2364">
        <f t="shared" si="1"/>
        <v>0</v>
      </c>
      <c r="P63" s="2364"/>
      <c r="Q63" s="2365">
        <f t="shared" si="2"/>
        <v>0</v>
      </c>
      <c r="R63" s="2366"/>
      <c r="S63" s="2367">
        <f>HLOOKUP("X",$AK$57:$EF$92,30,FALSE)</f>
        <v>0</v>
      </c>
      <c r="T63" s="2368"/>
      <c r="U63" s="2368"/>
      <c r="V63" s="2369"/>
      <c r="W63" s="2"/>
      <c r="X63" s="2548">
        <f t="shared" si="3"/>
        <v>0</v>
      </c>
      <c r="Y63" s="2549"/>
      <c r="Z63" s="2545">
        <f t="shared" si="4"/>
        <v>0</v>
      </c>
      <c r="AA63" s="2546"/>
      <c r="AB63" s="2546"/>
      <c r="AC63" s="2547"/>
      <c r="AD63" s="2"/>
      <c r="AE63" s="2"/>
      <c r="AF63" s="688"/>
      <c r="AG63" s="688"/>
      <c r="AH63" s="688"/>
      <c r="AI63" s="696">
        <f t="shared" si="5"/>
        <v>0</v>
      </c>
      <c r="AJ63" s="14"/>
      <c r="AK63" s="697">
        <f t="shared" si="6"/>
        <v>0</v>
      </c>
      <c r="AL63" s="694">
        <f t="shared" si="7"/>
        <v>0</v>
      </c>
      <c r="AM63" s="697">
        <f t="shared" si="8"/>
        <v>0</v>
      </c>
      <c r="AN63" s="694">
        <f t="shared" si="9"/>
        <v>1</v>
      </c>
      <c r="AO63" s="697">
        <f t="shared" si="10"/>
        <v>0</v>
      </c>
      <c r="AP63" s="694">
        <f t="shared" si="11"/>
        <v>2</v>
      </c>
      <c r="AQ63" s="697">
        <f t="shared" si="12"/>
        <v>0</v>
      </c>
      <c r="AR63" s="694">
        <f t="shared" si="13"/>
        <v>3</v>
      </c>
      <c r="AS63" s="697">
        <f t="shared" si="14"/>
        <v>0</v>
      </c>
      <c r="AT63" s="694">
        <f t="shared" si="15"/>
        <v>4</v>
      </c>
      <c r="AU63" s="697">
        <f t="shared" si="16"/>
        <v>0</v>
      </c>
      <c r="AV63" s="694">
        <f t="shared" si="17"/>
        <v>5</v>
      </c>
      <c r="AW63" s="697">
        <f t="shared" si="18"/>
        <v>0</v>
      </c>
      <c r="AX63" s="694">
        <f t="shared" si="19"/>
        <v>6</v>
      </c>
      <c r="AY63" s="697">
        <f t="shared" si="20"/>
        <v>0</v>
      </c>
      <c r="AZ63" s="694">
        <f t="shared" si="21"/>
        <v>7</v>
      </c>
      <c r="BA63" s="697">
        <f t="shared" si="22"/>
        <v>0</v>
      </c>
      <c r="BB63" s="694">
        <f t="shared" si="23"/>
        <v>8</v>
      </c>
      <c r="BC63" s="697">
        <f t="shared" si="24"/>
        <v>0</v>
      </c>
      <c r="BD63" s="694">
        <f t="shared" si="25"/>
        <v>9</v>
      </c>
      <c r="BE63" s="697">
        <f t="shared" si="26"/>
        <v>0</v>
      </c>
      <c r="BF63" s="694">
        <f t="shared" si="27"/>
        <v>10</v>
      </c>
      <c r="BG63" s="697">
        <f t="shared" si="28"/>
        <v>0</v>
      </c>
      <c r="BH63" s="694">
        <f t="shared" si="29"/>
        <v>11</v>
      </c>
      <c r="BI63" s="697">
        <f t="shared" si="30"/>
        <v>0</v>
      </c>
      <c r="BJ63" s="694">
        <f t="shared" si="31"/>
        <v>12</v>
      </c>
      <c r="BK63" s="697">
        <f t="shared" si="32"/>
        <v>0</v>
      </c>
      <c r="BL63" s="694">
        <f t="shared" si="33"/>
        <v>13</v>
      </c>
      <c r="BM63" s="697">
        <f t="shared" si="34"/>
        <v>0</v>
      </c>
      <c r="BN63" s="694">
        <f t="shared" si="35"/>
        <v>14</v>
      </c>
      <c r="BO63" s="697">
        <f t="shared" si="36"/>
        <v>0</v>
      </c>
      <c r="BP63" s="694">
        <f t="shared" si="37"/>
        <v>15</v>
      </c>
      <c r="BQ63" s="697">
        <f t="shared" si="38"/>
        <v>0</v>
      </c>
      <c r="BR63" s="694">
        <f t="shared" si="39"/>
        <v>16</v>
      </c>
      <c r="BS63" s="697">
        <f t="shared" si="40"/>
        <v>0</v>
      </c>
      <c r="BT63" s="694">
        <f t="shared" si="41"/>
        <v>17</v>
      </c>
      <c r="BU63" s="697">
        <f t="shared" si="42"/>
        <v>0</v>
      </c>
      <c r="BV63" s="694">
        <f t="shared" si="43"/>
        <v>18</v>
      </c>
      <c r="BW63" s="697">
        <f t="shared" si="44"/>
        <v>0</v>
      </c>
      <c r="BX63" s="694">
        <f t="shared" si="45"/>
        <v>19</v>
      </c>
      <c r="BY63" s="697">
        <f t="shared" si="46"/>
        <v>0</v>
      </c>
      <c r="BZ63" s="694">
        <f t="shared" si="47"/>
        <v>20</v>
      </c>
      <c r="CA63" s="697">
        <f t="shared" si="48"/>
        <v>0</v>
      </c>
      <c r="CB63" s="694">
        <f t="shared" si="49"/>
        <v>21</v>
      </c>
      <c r="CC63" s="697">
        <f t="shared" si="50"/>
        <v>0</v>
      </c>
      <c r="CD63" s="694">
        <f t="shared" si="51"/>
        <v>22</v>
      </c>
      <c r="CE63" s="697">
        <f t="shared" si="52"/>
        <v>0</v>
      </c>
      <c r="CF63" s="694">
        <f t="shared" si="53"/>
        <v>23</v>
      </c>
      <c r="CG63" s="697">
        <f t="shared" si="54"/>
        <v>0</v>
      </c>
      <c r="CH63" s="694">
        <f t="shared" si="55"/>
        <v>24</v>
      </c>
      <c r="CI63" s="697">
        <f t="shared" si="56"/>
        <v>0</v>
      </c>
      <c r="CJ63" s="694">
        <f t="shared" si="57"/>
        <v>25</v>
      </c>
      <c r="CK63" s="697">
        <f t="shared" si="58"/>
        <v>0</v>
      </c>
      <c r="CL63" s="694">
        <f t="shared" si="59"/>
        <v>26</v>
      </c>
      <c r="CM63" s="697">
        <f t="shared" si="60"/>
        <v>0</v>
      </c>
      <c r="CN63" s="694">
        <f t="shared" si="61"/>
        <v>27</v>
      </c>
      <c r="CO63" s="697">
        <f t="shared" si="62"/>
        <v>0</v>
      </c>
      <c r="CP63" s="694">
        <f t="shared" si="63"/>
        <v>28</v>
      </c>
      <c r="CQ63" s="697">
        <f t="shared" si="64"/>
        <v>0</v>
      </c>
      <c r="CR63" s="694">
        <f t="shared" si="65"/>
        <v>29</v>
      </c>
      <c r="CS63" s="697">
        <f t="shared" si="66"/>
        <v>0</v>
      </c>
      <c r="CT63" s="694">
        <f t="shared" si="67"/>
        <v>30</v>
      </c>
      <c r="CU63" s="697">
        <f t="shared" si="68"/>
        <v>0</v>
      </c>
      <c r="CV63" s="694">
        <f t="shared" si="69"/>
        <v>31</v>
      </c>
      <c r="CW63" s="697">
        <f t="shared" si="70"/>
        <v>0</v>
      </c>
      <c r="CX63" s="694">
        <f t="shared" si="71"/>
        <v>32</v>
      </c>
      <c r="CY63" s="697">
        <f t="shared" si="72"/>
        <v>0</v>
      </c>
      <c r="CZ63" s="694">
        <f t="shared" si="73"/>
        <v>33</v>
      </c>
      <c r="DA63" s="697">
        <f t="shared" si="74"/>
        <v>0</v>
      </c>
      <c r="DB63" s="694">
        <f t="shared" si="75"/>
        <v>34</v>
      </c>
      <c r="DC63" s="697">
        <f t="shared" si="76"/>
        <v>0</v>
      </c>
      <c r="DD63" s="694">
        <f t="shared" si="77"/>
        <v>35</v>
      </c>
      <c r="DE63" s="697">
        <f t="shared" si="78"/>
        <v>0</v>
      </c>
      <c r="DF63" s="694">
        <f t="shared" si="79"/>
        <v>36</v>
      </c>
      <c r="DG63" s="697">
        <f t="shared" si="80"/>
        <v>0</v>
      </c>
      <c r="DH63" s="694">
        <f t="shared" si="81"/>
        <v>37</v>
      </c>
      <c r="DI63" s="697">
        <f t="shared" si="82"/>
        <v>0</v>
      </c>
      <c r="DJ63" s="694">
        <f t="shared" si="83"/>
        <v>38</v>
      </c>
      <c r="DK63" s="697">
        <f t="shared" si="84"/>
        <v>0</v>
      </c>
      <c r="DL63" s="694">
        <f t="shared" si="85"/>
        <v>39</v>
      </c>
      <c r="DM63" s="697">
        <f t="shared" si="86"/>
        <v>0</v>
      </c>
      <c r="DN63" s="694">
        <f t="shared" si="87"/>
        <v>40</v>
      </c>
      <c r="DO63" s="697">
        <f t="shared" si="88"/>
        <v>0</v>
      </c>
      <c r="DP63" s="694">
        <f t="shared" si="89"/>
        <v>41</v>
      </c>
      <c r="DQ63" s="697">
        <f t="shared" si="90"/>
        <v>0</v>
      </c>
      <c r="DR63" s="694">
        <f t="shared" si="91"/>
        <v>42</v>
      </c>
      <c r="DS63" s="697">
        <f t="shared" si="92"/>
        <v>0</v>
      </c>
      <c r="DT63" s="694">
        <f t="shared" si="93"/>
        <v>43</v>
      </c>
      <c r="DU63" s="697">
        <f t="shared" si="94"/>
        <v>0</v>
      </c>
      <c r="DV63" s="694">
        <f t="shared" si="95"/>
        <v>44</v>
      </c>
      <c r="DW63" s="697">
        <f t="shared" si="96"/>
        <v>0</v>
      </c>
      <c r="DX63" s="694">
        <f t="shared" si="97"/>
        <v>45</v>
      </c>
      <c r="DY63" s="697">
        <f t="shared" si="98"/>
        <v>0</v>
      </c>
      <c r="DZ63" s="694">
        <f t="shared" si="99"/>
        <v>46</v>
      </c>
      <c r="EA63" s="697">
        <f t="shared" si="100"/>
        <v>0</v>
      </c>
      <c r="EB63" s="694">
        <f t="shared" si="101"/>
        <v>47</v>
      </c>
      <c r="EC63" s="697">
        <f t="shared" si="102"/>
        <v>0</v>
      </c>
      <c r="ED63" s="694">
        <f t="shared" si="103"/>
        <v>48</v>
      </c>
      <c r="EE63" s="697">
        <f t="shared" si="104"/>
        <v>0</v>
      </c>
      <c r="EF63" s="694">
        <f t="shared" si="105"/>
        <v>49</v>
      </c>
      <c r="EG63" s="2"/>
    </row>
    <row r="64" spans="1:137" ht="22.5" customHeight="1" x14ac:dyDescent="0.2">
      <c r="A64" s="695"/>
      <c r="B64" s="2"/>
      <c r="C64" s="2"/>
      <c r="D64" s="2"/>
      <c r="E64" s="2"/>
      <c r="F64" s="2360">
        <f>J29</f>
        <v>50</v>
      </c>
      <c r="G64" s="2361"/>
      <c r="H64" s="2362">
        <f>IF(T10=AI10,0,IF(AG56=AI55,J30,0))</f>
        <v>0</v>
      </c>
      <c r="I64" s="2363"/>
      <c r="J64" s="2"/>
      <c r="K64" s="691" t="str">
        <f t="shared" si="0"/>
        <v/>
      </c>
      <c r="L64" s="2"/>
      <c r="M64" s="2"/>
      <c r="N64" s="2"/>
      <c r="O64" s="2364">
        <f t="shared" si="1"/>
        <v>0</v>
      </c>
      <c r="P64" s="2364"/>
      <c r="Q64" s="2365">
        <f t="shared" si="2"/>
        <v>0</v>
      </c>
      <c r="R64" s="2366"/>
      <c r="S64" s="2367">
        <f>HLOOKUP("X",$AK$57:$EF$92,31,FALSE)</f>
        <v>0</v>
      </c>
      <c r="T64" s="2368"/>
      <c r="U64" s="2368"/>
      <c r="V64" s="2369"/>
      <c r="W64" s="2"/>
      <c r="X64" s="2548">
        <f t="shared" si="3"/>
        <v>0</v>
      </c>
      <c r="Y64" s="2549"/>
      <c r="Z64" s="2545">
        <f t="shared" si="4"/>
        <v>0</v>
      </c>
      <c r="AA64" s="2546"/>
      <c r="AB64" s="2546"/>
      <c r="AC64" s="2547"/>
      <c r="AD64" s="2"/>
      <c r="AE64" s="2"/>
      <c r="AF64" s="688"/>
      <c r="AG64" s="688"/>
      <c r="AH64" s="688"/>
      <c r="AI64" s="696">
        <f t="shared" si="5"/>
        <v>0</v>
      </c>
      <c r="AJ64" s="14"/>
      <c r="AK64" s="697">
        <f t="shared" si="6"/>
        <v>0</v>
      </c>
      <c r="AL64" s="694">
        <f t="shared" si="7"/>
        <v>0</v>
      </c>
      <c r="AM64" s="697">
        <f t="shared" si="8"/>
        <v>0</v>
      </c>
      <c r="AN64" s="694">
        <f t="shared" si="9"/>
        <v>1</v>
      </c>
      <c r="AO64" s="697">
        <f t="shared" si="10"/>
        <v>0</v>
      </c>
      <c r="AP64" s="694">
        <f t="shared" si="11"/>
        <v>2</v>
      </c>
      <c r="AQ64" s="697">
        <f t="shared" si="12"/>
        <v>0</v>
      </c>
      <c r="AR64" s="694">
        <f t="shared" si="13"/>
        <v>3</v>
      </c>
      <c r="AS64" s="697">
        <f t="shared" si="14"/>
        <v>0</v>
      </c>
      <c r="AT64" s="694">
        <f t="shared" si="15"/>
        <v>4</v>
      </c>
      <c r="AU64" s="697">
        <f t="shared" si="16"/>
        <v>0</v>
      </c>
      <c r="AV64" s="694">
        <f t="shared" si="17"/>
        <v>5</v>
      </c>
      <c r="AW64" s="697">
        <f t="shared" si="18"/>
        <v>0</v>
      </c>
      <c r="AX64" s="694">
        <f t="shared" si="19"/>
        <v>6</v>
      </c>
      <c r="AY64" s="697">
        <f t="shared" si="20"/>
        <v>0</v>
      </c>
      <c r="AZ64" s="694">
        <f t="shared" si="21"/>
        <v>7</v>
      </c>
      <c r="BA64" s="697">
        <f t="shared" si="22"/>
        <v>0</v>
      </c>
      <c r="BB64" s="694">
        <f t="shared" si="23"/>
        <v>8</v>
      </c>
      <c r="BC64" s="697">
        <f t="shared" si="24"/>
        <v>0</v>
      </c>
      <c r="BD64" s="694">
        <f t="shared" si="25"/>
        <v>9</v>
      </c>
      <c r="BE64" s="697">
        <f t="shared" si="26"/>
        <v>0</v>
      </c>
      <c r="BF64" s="694">
        <f t="shared" si="27"/>
        <v>10</v>
      </c>
      <c r="BG64" s="697">
        <f t="shared" si="28"/>
        <v>0</v>
      </c>
      <c r="BH64" s="694">
        <f t="shared" si="29"/>
        <v>11</v>
      </c>
      <c r="BI64" s="697">
        <f t="shared" si="30"/>
        <v>0</v>
      </c>
      <c r="BJ64" s="694">
        <f t="shared" si="31"/>
        <v>12</v>
      </c>
      <c r="BK64" s="697">
        <f t="shared" si="32"/>
        <v>0</v>
      </c>
      <c r="BL64" s="694">
        <f t="shared" si="33"/>
        <v>13</v>
      </c>
      <c r="BM64" s="697">
        <f t="shared" si="34"/>
        <v>0</v>
      </c>
      <c r="BN64" s="694">
        <f t="shared" si="35"/>
        <v>14</v>
      </c>
      <c r="BO64" s="697">
        <f t="shared" si="36"/>
        <v>0</v>
      </c>
      <c r="BP64" s="694">
        <f t="shared" si="37"/>
        <v>15</v>
      </c>
      <c r="BQ64" s="697">
        <f t="shared" si="38"/>
        <v>0</v>
      </c>
      <c r="BR64" s="694">
        <f t="shared" si="39"/>
        <v>16</v>
      </c>
      <c r="BS64" s="697">
        <f t="shared" si="40"/>
        <v>0</v>
      </c>
      <c r="BT64" s="694">
        <f t="shared" si="41"/>
        <v>17</v>
      </c>
      <c r="BU64" s="697">
        <f t="shared" si="42"/>
        <v>0</v>
      </c>
      <c r="BV64" s="694">
        <f t="shared" si="43"/>
        <v>18</v>
      </c>
      <c r="BW64" s="697">
        <f t="shared" si="44"/>
        <v>0</v>
      </c>
      <c r="BX64" s="694">
        <f t="shared" si="45"/>
        <v>19</v>
      </c>
      <c r="BY64" s="697">
        <f t="shared" si="46"/>
        <v>0</v>
      </c>
      <c r="BZ64" s="694">
        <f t="shared" si="47"/>
        <v>20</v>
      </c>
      <c r="CA64" s="697">
        <f t="shared" si="48"/>
        <v>0</v>
      </c>
      <c r="CB64" s="694">
        <f t="shared" si="49"/>
        <v>21</v>
      </c>
      <c r="CC64" s="697">
        <f t="shared" si="50"/>
        <v>0</v>
      </c>
      <c r="CD64" s="694">
        <f t="shared" si="51"/>
        <v>22</v>
      </c>
      <c r="CE64" s="697">
        <f t="shared" si="52"/>
        <v>0</v>
      </c>
      <c r="CF64" s="694">
        <f t="shared" si="53"/>
        <v>23</v>
      </c>
      <c r="CG64" s="697">
        <f t="shared" si="54"/>
        <v>0</v>
      </c>
      <c r="CH64" s="694">
        <f t="shared" si="55"/>
        <v>24</v>
      </c>
      <c r="CI64" s="697">
        <f t="shared" si="56"/>
        <v>0</v>
      </c>
      <c r="CJ64" s="694">
        <f t="shared" si="57"/>
        <v>25</v>
      </c>
      <c r="CK64" s="697">
        <f t="shared" si="58"/>
        <v>0</v>
      </c>
      <c r="CL64" s="694">
        <f t="shared" si="59"/>
        <v>26</v>
      </c>
      <c r="CM64" s="697">
        <f t="shared" si="60"/>
        <v>0</v>
      </c>
      <c r="CN64" s="694">
        <f t="shared" si="61"/>
        <v>27</v>
      </c>
      <c r="CO64" s="697">
        <f t="shared" si="62"/>
        <v>0</v>
      </c>
      <c r="CP64" s="694">
        <f t="shared" si="63"/>
        <v>28</v>
      </c>
      <c r="CQ64" s="697">
        <f t="shared" si="64"/>
        <v>0</v>
      </c>
      <c r="CR64" s="694">
        <f t="shared" si="65"/>
        <v>29</v>
      </c>
      <c r="CS64" s="697">
        <f t="shared" si="66"/>
        <v>0</v>
      </c>
      <c r="CT64" s="694">
        <f t="shared" si="67"/>
        <v>30</v>
      </c>
      <c r="CU64" s="697">
        <f t="shared" si="68"/>
        <v>0</v>
      </c>
      <c r="CV64" s="694">
        <f t="shared" si="69"/>
        <v>31</v>
      </c>
      <c r="CW64" s="697">
        <f t="shared" si="70"/>
        <v>0</v>
      </c>
      <c r="CX64" s="694">
        <f t="shared" si="71"/>
        <v>32</v>
      </c>
      <c r="CY64" s="697">
        <f t="shared" si="72"/>
        <v>0</v>
      </c>
      <c r="CZ64" s="694">
        <f t="shared" si="73"/>
        <v>33</v>
      </c>
      <c r="DA64" s="697">
        <f t="shared" si="74"/>
        <v>0</v>
      </c>
      <c r="DB64" s="694">
        <f t="shared" si="75"/>
        <v>34</v>
      </c>
      <c r="DC64" s="697">
        <f t="shared" si="76"/>
        <v>0</v>
      </c>
      <c r="DD64" s="694">
        <f t="shared" si="77"/>
        <v>35</v>
      </c>
      <c r="DE64" s="697">
        <f t="shared" si="78"/>
        <v>0</v>
      </c>
      <c r="DF64" s="694">
        <f t="shared" si="79"/>
        <v>36</v>
      </c>
      <c r="DG64" s="697">
        <f t="shared" si="80"/>
        <v>0</v>
      </c>
      <c r="DH64" s="694">
        <f t="shared" si="81"/>
        <v>37</v>
      </c>
      <c r="DI64" s="697">
        <f t="shared" si="82"/>
        <v>0</v>
      </c>
      <c r="DJ64" s="694">
        <f t="shared" si="83"/>
        <v>38</v>
      </c>
      <c r="DK64" s="697">
        <f t="shared" si="84"/>
        <v>0</v>
      </c>
      <c r="DL64" s="694">
        <f t="shared" si="85"/>
        <v>39</v>
      </c>
      <c r="DM64" s="697">
        <f t="shared" si="86"/>
        <v>0</v>
      </c>
      <c r="DN64" s="694">
        <f t="shared" si="87"/>
        <v>40</v>
      </c>
      <c r="DO64" s="697">
        <f t="shared" si="88"/>
        <v>0</v>
      </c>
      <c r="DP64" s="694">
        <f t="shared" si="89"/>
        <v>41</v>
      </c>
      <c r="DQ64" s="697">
        <f t="shared" si="90"/>
        <v>0</v>
      </c>
      <c r="DR64" s="694">
        <f t="shared" si="91"/>
        <v>42</v>
      </c>
      <c r="DS64" s="697">
        <f t="shared" si="92"/>
        <v>0</v>
      </c>
      <c r="DT64" s="694">
        <f t="shared" si="93"/>
        <v>43</v>
      </c>
      <c r="DU64" s="697">
        <f t="shared" si="94"/>
        <v>0</v>
      </c>
      <c r="DV64" s="694">
        <f t="shared" si="95"/>
        <v>44</v>
      </c>
      <c r="DW64" s="697">
        <f t="shared" si="96"/>
        <v>0</v>
      </c>
      <c r="DX64" s="694">
        <f t="shared" si="97"/>
        <v>45</v>
      </c>
      <c r="DY64" s="697">
        <f t="shared" si="98"/>
        <v>0</v>
      </c>
      <c r="DZ64" s="694">
        <f t="shared" si="99"/>
        <v>46</v>
      </c>
      <c r="EA64" s="697">
        <f t="shared" si="100"/>
        <v>0</v>
      </c>
      <c r="EB64" s="694">
        <f t="shared" si="101"/>
        <v>47</v>
      </c>
      <c r="EC64" s="697">
        <f t="shared" si="102"/>
        <v>0</v>
      </c>
      <c r="ED64" s="694">
        <f t="shared" si="103"/>
        <v>48</v>
      </c>
      <c r="EE64" s="697">
        <f t="shared" si="104"/>
        <v>0</v>
      </c>
      <c r="EF64" s="694">
        <f t="shared" si="105"/>
        <v>49</v>
      </c>
      <c r="EG64" s="2"/>
    </row>
    <row r="65" spans="1:137" ht="22.5" customHeight="1" x14ac:dyDescent="0.2">
      <c r="A65" s="695"/>
      <c r="B65" s="2"/>
      <c r="C65" s="2"/>
      <c r="D65" s="2"/>
      <c r="E65" s="2"/>
      <c r="F65" s="2360">
        <f>H29</f>
        <v>100</v>
      </c>
      <c r="G65" s="2361"/>
      <c r="H65" s="2362">
        <f>IF(T10=AI10,0,IF(AG56=AI55,H30,0))</f>
        <v>0</v>
      </c>
      <c r="I65" s="2363"/>
      <c r="J65" s="2"/>
      <c r="K65" s="691" t="str">
        <f t="shared" si="0"/>
        <v/>
      </c>
      <c r="L65" s="2"/>
      <c r="M65" s="2"/>
      <c r="N65" s="2"/>
      <c r="O65" s="2364">
        <f t="shared" si="1"/>
        <v>0</v>
      </c>
      <c r="P65" s="2364"/>
      <c r="Q65" s="2365">
        <f t="shared" si="2"/>
        <v>0</v>
      </c>
      <c r="R65" s="2366"/>
      <c r="S65" s="2367">
        <f>HLOOKUP("X",$AK$57:$EF$92,32,FALSE)</f>
        <v>0</v>
      </c>
      <c r="T65" s="2368"/>
      <c r="U65" s="2368"/>
      <c r="V65" s="2369"/>
      <c r="W65" s="2"/>
      <c r="X65" s="2548">
        <f t="shared" si="3"/>
        <v>0</v>
      </c>
      <c r="Y65" s="2549"/>
      <c r="Z65" s="2545">
        <f t="shared" si="4"/>
        <v>0</v>
      </c>
      <c r="AA65" s="2546"/>
      <c r="AB65" s="2546"/>
      <c r="AC65" s="2547"/>
      <c r="AD65" s="2"/>
      <c r="AE65" s="2"/>
      <c r="AF65" s="688"/>
      <c r="AG65" s="688"/>
      <c r="AH65" s="688"/>
      <c r="AI65" s="696">
        <f t="shared" si="5"/>
        <v>0</v>
      </c>
      <c r="AJ65" s="14"/>
      <c r="AK65" s="697">
        <f t="shared" si="6"/>
        <v>0</v>
      </c>
      <c r="AL65" s="694">
        <f t="shared" si="7"/>
        <v>0</v>
      </c>
      <c r="AM65" s="697">
        <f t="shared" si="8"/>
        <v>0</v>
      </c>
      <c r="AN65" s="694">
        <f t="shared" si="9"/>
        <v>1</v>
      </c>
      <c r="AO65" s="697">
        <f t="shared" si="10"/>
        <v>0</v>
      </c>
      <c r="AP65" s="694">
        <f t="shared" si="11"/>
        <v>2</v>
      </c>
      <c r="AQ65" s="697">
        <f t="shared" si="12"/>
        <v>0</v>
      </c>
      <c r="AR65" s="694">
        <f t="shared" si="13"/>
        <v>3</v>
      </c>
      <c r="AS65" s="697">
        <f t="shared" si="14"/>
        <v>0</v>
      </c>
      <c r="AT65" s="694">
        <f t="shared" si="15"/>
        <v>4</v>
      </c>
      <c r="AU65" s="697">
        <f t="shared" si="16"/>
        <v>0</v>
      </c>
      <c r="AV65" s="694">
        <f t="shared" si="17"/>
        <v>5</v>
      </c>
      <c r="AW65" s="697">
        <f t="shared" si="18"/>
        <v>0</v>
      </c>
      <c r="AX65" s="694">
        <f t="shared" si="19"/>
        <v>6</v>
      </c>
      <c r="AY65" s="697">
        <f t="shared" si="20"/>
        <v>0</v>
      </c>
      <c r="AZ65" s="694">
        <f t="shared" si="21"/>
        <v>7</v>
      </c>
      <c r="BA65" s="697">
        <f t="shared" si="22"/>
        <v>0</v>
      </c>
      <c r="BB65" s="694">
        <f t="shared" si="23"/>
        <v>8</v>
      </c>
      <c r="BC65" s="697">
        <f t="shared" si="24"/>
        <v>0</v>
      </c>
      <c r="BD65" s="694">
        <f t="shared" si="25"/>
        <v>9</v>
      </c>
      <c r="BE65" s="697">
        <f t="shared" si="26"/>
        <v>0</v>
      </c>
      <c r="BF65" s="694">
        <f t="shared" si="27"/>
        <v>10</v>
      </c>
      <c r="BG65" s="697">
        <f t="shared" si="28"/>
        <v>0</v>
      </c>
      <c r="BH65" s="694">
        <f t="shared" si="29"/>
        <v>11</v>
      </c>
      <c r="BI65" s="697">
        <f t="shared" si="30"/>
        <v>0</v>
      </c>
      <c r="BJ65" s="694">
        <f t="shared" si="31"/>
        <v>12</v>
      </c>
      <c r="BK65" s="697">
        <f t="shared" si="32"/>
        <v>0</v>
      </c>
      <c r="BL65" s="694">
        <f t="shared" si="33"/>
        <v>13</v>
      </c>
      <c r="BM65" s="697">
        <f t="shared" si="34"/>
        <v>0</v>
      </c>
      <c r="BN65" s="694">
        <f t="shared" si="35"/>
        <v>14</v>
      </c>
      <c r="BO65" s="697">
        <f t="shared" si="36"/>
        <v>0</v>
      </c>
      <c r="BP65" s="694">
        <f t="shared" si="37"/>
        <v>15</v>
      </c>
      <c r="BQ65" s="697">
        <f t="shared" si="38"/>
        <v>0</v>
      </c>
      <c r="BR65" s="694">
        <f t="shared" si="39"/>
        <v>16</v>
      </c>
      <c r="BS65" s="697">
        <f t="shared" si="40"/>
        <v>0</v>
      </c>
      <c r="BT65" s="694">
        <f t="shared" si="41"/>
        <v>17</v>
      </c>
      <c r="BU65" s="697">
        <f t="shared" si="42"/>
        <v>0</v>
      </c>
      <c r="BV65" s="694">
        <f t="shared" si="43"/>
        <v>18</v>
      </c>
      <c r="BW65" s="697">
        <f t="shared" si="44"/>
        <v>0</v>
      </c>
      <c r="BX65" s="694">
        <f t="shared" si="45"/>
        <v>19</v>
      </c>
      <c r="BY65" s="697">
        <f t="shared" si="46"/>
        <v>0</v>
      </c>
      <c r="BZ65" s="694">
        <f t="shared" si="47"/>
        <v>20</v>
      </c>
      <c r="CA65" s="697">
        <f t="shared" si="48"/>
        <v>0</v>
      </c>
      <c r="CB65" s="694">
        <f t="shared" si="49"/>
        <v>21</v>
      </c>
      <c r="CC65" s="697">
        <f t="shared" si="50"/>
        <v>0</v>
      </c>
      <c r="CD65" s="694">
        <f t="shared" si="51"/>
        <v>22</v>
      </c>
      <c r="CE65" s="697">
        <f t="shared" si="52"/>
        <v>0</v>
      </c>
      <c r="CF65" s="694">
        <f t="shared" si="53"/>
        <v>23</v>
      </c>
      <c r="CG65" s="697">
        <f t="shared" si="54"/>
        <v>0</v>
      </c>
      <c r="CH65" s="694">
        <f t="shared" si="55"/>
        <v>24</v>
      </c>
      <c r="CI65" s="697">
        <f t="shared" si="56"/>
        <v>0</v>
      </c>
      <c r="CJ65" s="694">
        <f t="shared" si="57"/>
        <v>25</v>
      </c>
      <c r="CK65" s="697">
        <f t="shared" si="58"/>
        <v>0</v>
      </c>
      <c r="CL65" s="694">
        <f t="shared" si="59"/>
        <v>26</v>
      </c>
      <c r="CM65" s="697">
        <f t="shared" si="60"/>
        <v>0</v>
      </c>
      <c r="CN65" s="694">
        <f t="shared" si="61"/>
        <v>27</v>
      </c>
      <c r="CO65" s="697">
        <f t="shared" si="62"/>
        <v>0</v>
      </c>
      <c r="CP65" s="694">
        <f t="shared" si="63"/>
        <v>28</v>
      </c>
      <c r="CQ65" s="697">
        <f t="shared" si="64"/>
        <v>0</v>
      </c>
      <c r="CR65" s="694">
        <f t="shared" si="65"/>
        <v>29</v>
      </c>
      <c r="CS65" s="697">
        <f t="shared" si="66"/>
        <v>0</v>
      </c>
      <c r="CT65" s="694">
        <f t="shared" si="67"/>
        <v>30</v>
      </c>
      <c r="CU65" s="697">
        <f t="shared" si="68"/>
        <v>0</v>
      </c>
      <c r="CV65" s="694">
        <f t="shared" si="69"/>
        <v>31</v>
      </c>
      <c r="CW65" s="697">
        <f t="shared" si="70"/>
        <v>0</v>
      </c>
      <c r="CX65" s="694">
        <f t="shared" si="71"/>
        <v>32</v>
      </c>
      <c r="CY65" s="697">
        <f t="shared" si="72"/>
        <v>0</v>
      </c>
      <c r="CZ65" s="694">
        <f t="shared" si="73"/>
        <v>33</v>
      </c>
      <c r="DA65" s="697">
        <f t="shared" si="74"/>
        <v>0</v>
      </c>
      <c r="DB65" s="694">
        <f t="shared" si="75"/>
        <v>34</v>
      </c>
      <c r="DC65" s="697">
        <f t="shared" si="76"/>
        <v>0</v>
      </c>
      <c r="DD65" s="694">
        <f t="shared" si="77"/>
        <v>35</v>
      </c>
      <c r="DE65" s="697">
        <f t="shared" si="78"/>
        <v>0</v>
      </c>
      <c r="DF65" s="694">
        <f t="shared" si="79"/>
        <v>36</v>
      </c>
      <c r="DG65" s="697">
        <f t="shared" si="80"/>
        <v>0</v>
      </c>
      <c r="DH65" s="694">
        <f t="shared" si="81"/>
        <v>37</v>
      </c>
      <c r="DI65" s="697">
        <f t="shared" si="82"/>
        <v>0</v>
      </c>
      <c r="DJ65" s="694">
        <f t="shared" si="83"/>
        <v>38</v>
      </c>
      <c r="DK65" s="697">
        <f t="shared" si="84"/>
        <v>0</v>
      </c>
      <c r="DL65" s="694">
        <f t="shared" si="85"/>
        <v>39</v>
      </c>
      <c r="DM65" s="697">
        <f t="shared" si="86"/>
        <v>0</v>
      </c>
      <c r="DN65" s="694">
        <f t="shared" si="87"/>
        <v>40</v>
      </c>
      <c r="DO65" s="697">
        <f t="shared" si="88"/>
        <v>0</v>
      </c>
      <c r="DP65" s="694">
        <f t="shared" si="89"/>
        <v>41</v>
      </c>
      <c r="DQ65" s="697">
        <f t="shared" si="90"/>
        <v>0</v>
      </c>
      <c r="DR65" s="694">
        <f t="shared" si="91"/>
        <v>42</v>
      </c>
      <c r="DS65" s="697">
        <f t="shared" si="92"/>
        <v>0</v>
      </c>
      <c r="DT65" s="694">
        <f t="shared" si="93"/>
        <v>43</v>
      </c>
      <c r="DU65" s="697">
        <f t="shared" si="94"/>
        <v>0</v>
      </c>
      <c r="DV65" s="694">
        <f t="shared" si="95"/>
        <v>44</v>
      </c>
      <c r="DW65" s="697">
        <f t="shared" si="96"/>
        <v>0</v>
      </c>
      <c r="DX65" s="694">
        <f t="shared" si="97"/>
        <v>45</v>
      </c>
      <c r="DY65" s="697">
        <f t="shared" si="98"/>
        <v>0</v>
      </c>
      <c r="DZ65" s="694">
        <f t="shared" si="99"/>
        <v>46</v>
      </c>
      <c r="EA65" s="697">
        <f t="shared" si="100"/>
        <v>0</v>
      </c>
      <c r="EB65" s="694">
        <f t="shared" si="101"/>
        <v>47</v>
      </c>
      <c r="EC65" s="697">
        <f t="shared" si="102"/>
        <v>0</v>
      </c>
      <c r="ED65" s="694">
        <f t="shared" si="103"/>
        <v>48</v>
      </c>
      <c r="EE65" s="697">
        <f t="shared" si="104"/>
        <v>0</v>
      </c>
      <c r="EF65" s="694">
        <f t="shared" si="105"/>
        <v>49</v>
      </c>
      <c r="EG65" s="2"/>
    </row>
    <row r="66" spans="1:137" ht="22.5" customHeight="1" x14ac:dyDescent="0.2">
      <c r="A66" s="695"/>
      <c r="B66" s="2"/>
      <c r="C66" s="2"/>
      <c r="D66" s="2"/>
      <c r="E66" s="2"/>
      <c r="F66" s="2360">
        <f>F29</f>
        <v>200</v>
      </c>
      <c r="G66" s="2361"/>
      <c r="H66" s="2362">
        <f>IF(T10=AI10,0,IF(AG56=AI55,F30,0))</f>
        <v>0</v>
      </c>
      <c r="I66" s="2363"/>
      <c r="J66" s="2"/>
      <c r="K66" s="691" t="str">
        <f t="shared" si="0"/>
        <v/>
      </c>
      <c r="L66" s="2"/>
      <c r="M66" s="2"/>
      <c r="N66" s="2"/>
      <c r="O66" s="2364">
        <f t="shared" si="1"/>
        <v>0</v>
      </c>
      <c r="P66" s="2364"/>
      <c r="Q66" s="2365">
        <f t="shared" si="2"/>
        <v>0</v>
      </c>
      <c r="R66" s="2366"/>
      <c r="S66" s="2367">
        <f>HLOOKUP("X",$AK$57:$EF$92,33,FALSE)</f>
        <v>0</v>
      </c>
      <c r="T66" s="2368"/>
      <c r="U66" s="2368"/>
      <c r="V66" s="2369"/>
      <c r="W66" s="2"/>
      <c r="X66" s="2548">
        <f t="shared" si="3"/>
        <v>0</v>
      </c>
      <c r="Y66" s="2549"/>
      <c r="Z66" s="2545">
        <f t="shared" si="4"/>
        <v>0</v>
      </c>
      <c r="AA66" s="2546"/>
      <c r="AB66" s="2546"/>
      <c r="AC66" s="2547"/>
      <c r="AD66" s="2"/>
      <c r="AE66" s="2"/>
      <c r="AF66" s="688"/>
      <c r="AG66" s="688"/>
      <c r="AH66" s="688"/>
      <c r="AI66" s="696">
        <f t="shared" si="5"/>
        <v>0</v>
      </c>
      <c r="AJ66" s="14"/>
      <c r="AK66" s="697">
        <f t="shared" si="6"/>
        <v>0</v>
      </c>
      <c r="AL66" s="694">
        <f t="shared" si="7"/>
        <v>0</v>
      </c>
      <c r="AM66" s="697">
        <f t="shared" si="8"/>
        <v>0</v>
      </c>
      <c r="AN66" s="694">
        <f t="shared" si="9"/>
        <v>1</v>
      </c>
      <c r="AO66" s="697">
        <f t="shared" si="10"/>
        <v>0</v>
      </c>
      <c r="AP66" s="694">
        <f t="shared" si="11"/>
        <v>2</v>
      </c>
      <c r="AQ66" s="697">
        <f t="shared" si="12"/>
        <v>0</v>
      </c>
      <c r="AR66" s="694">
        <f t="shared" si="13"/>
        <v>3</v>
      </c>
      <c r="AS66" s="697">
        <f t="shared" si="14"/>
        <v>0</v>
      </c>
      <c r="AT66" s="694">
        <f t="shared" si="15"/>
        <v>4</v>
      </c>
      <c r="AU66" s="697">
        <f t="shared" si="16"/>
        <v>0</v>
      </c>
      <c r="AV66" s="694">
        <f t="shared" si="17"/>
        <v>5</v>
      </c>
      <c r="AW66" s="697">
        <f t="shared" si="18"/>
        <v>0</v>
      </c>
      <c r="AX66" s="694">
        <f t="shared" si="19"/>
        <v>6</v>
      </c>
      <c r="AY66" s="697">
        <f t="shared" si="20"/>
        <v>0</v>
      </c>
      <c r="AZ66" s="694">
        <f t="shared" si="21"/>
        <v>7</v>
      </c>
      <c r="BA66" s="697">
        <f t="shared" si="22"/>
        <v>0</v>
      </c>
      <c r="BB66" s="694">
        <f t="shared" si="23"/>
        <v>8</v>
      </c>
      <c r="BC66" s="697">
        <f t="shared" si="24"/>
        <v>0</v>
      </c>
      <c r="BD66" s="694">
        <f t="shared" si="25"/>
        <v>9</v>
      </c>
      <c r="BE66" s="697">
        <f t="shared" si="26"/>
        <v>0</v>
      </c>
      <c r="BF66" s="694">
        <f t="shared" si="27"/>
        <v>10</v>
      </c>
      <c r="BG66" s="697">
        <f t="shared" si="28"/>
        <v>0</v>
      </c>
      <c r="BH66" s="694">
        <f t="shared" si="29"/>
        <v>11</v>
      </c>
      <c r="BI66" s="697">
        <f t="shared" si="30"/>
        <v>0</v>
      </c>
      <c r="BJ66" s="694">
        <f t="shared" si="31"/>
        <v>12</v>
      </c>
      <c r="BK66" s="697">
        <f t="shared" si="32"/>
        <v>0</v>
      </c>
      <c r="BL66" s="694">
        <f t="shared" si="33"/>
        <v>13</v>
      </c>
      <c r="BM66" s="697">
        <f t="shared" si="34"/>
        <v>0</v>
      </c>
      <c r="BN66" s="694">
        <f t="shared" si="35"/>
        <v>14</v>
      </c>
      <c r="BO66" s="697">
        <f t="shared" si="36"/>
        <v>0</v>
      </c>
      <c r="BP66" s="694">
        <f t="shared" si="37"/>
        <v>15</v>
      </c>
      <c r="BQ66" s="697">
        <f t="shared" si="38"/>
        <v>0</v>
      </c>
      <c r="BR66" s="694">
        <f t="shared" si="39"/>
        <v>16</v>
      </c>
      <c r="BS66" s="697">
        <f t="shared" si="40"/>
        <v>0</v>
      </c>
      <c r="BT66" s="694">
        <f t="shared" si="41"/>
        <v>17</v>
      </c>
      <c r="BU66" s="697">
        <f t="shared" si="42"/>
        <v>0</v>
      </c>
      <c r="BV66" s="694">
        <f t="shared" si="43"/>
        <v>18</v>
      </c>
      <c r="BW66" s="697">
        <f t="shared" si="44"/>
        <v>0</v>
      </c>
      <c r="BX66" s="694">
        <f t="shared" si="45"/>
        <v>19</v>
      </c>
      <c r="BY66" s="697">
        <f t="shared" si="46"/>
        <v>0</v>
      </c>
      <c r="BZ66" s="694">
        <f t="shared" si="47"/>
        <v>20</v>
      </c>
      <c r="CA66" s="697">
        <f t="shared" si="48"/>
        <v>0</v>
      </c>
      <c r="CB66" s="694">
        <f t="shared" si="49"/>
        <v>21</v>
      </c>
      <c r="CC66" s="697">
        <f t="shared" si="50"/>
        <v>0</v>
      </c>
      <c r="CD66" s="694">
        <f t="shared" si="51"/>
        <v>22</v>
      </c>
      <c r="CE66" s="697">
        <f t="shared" si="52"/>
        <v>0</v>
      </c>
      <c r="CF66" s="694">
        <f t="shared" si="53"/>
        <v>23</v>
      </c>
      <c r="CG66" s="697">
        <f t="shared" si="54"/>
        <v>0</v>
      </c>
      <c r="CH66" s="694">
        <f t="shared" si="55"/>
        <v>24</v>
      </c>
      <c r="CI66" s="697">
        <f t="shared" si="56"/>
        <v>0</v>
      </c>
      <c r="CJ66" s="694">
        <f t="shared" si="57"/>
        <v>25</v>
      </c>
      <c r="CK66" s="697">
        <f t="shared" si="58"/>
        <v>0</v>
      </c>
      <c r="CL66" s="694">
        <f t="shared" si="59"/>
        <v>26</v>
      </c>
      <c r="CM66" s="697">
        <f t="shared" si="60"/>
        <v>0</v>
      </c>
      <c r="CN66" s="694">
        <f t="shared" si="61"/>
        <v>27</v>
      </c>
      <c r="CO66" s="697">
        <f t="shared" si="62"/>
        <v>0</v>
      </c>
      <c r="CP66" s="694">
        <f t="shared" si="63"/>
        <v>28</v>
      </c>
      <c r="CQ66" s="697">
        <f t="shared" si="64"/>
        <v>0</v>
      </c>
      <c r="CR66" s="694">
        <f t="shared" si="65"/>
        <v>29</v>
      </c>
      <c r="CS66" s="697">
        <f t="shared" si="66"/>
        <v>0</v>
      </c>
      <c r="CT66" s="694">
        <f t="shared" si="67"/>
        <v>30</v>
      </c>
      <c r="CU66" s="697">
        <f t="shared" si="68"/>
        <v>0</v>
      </c>
      <c r="CV66" s="694">
        <f t="shared" si="69"/>
        <v>31</v>
      </c>
      <c r="CW66" s="697">
        <f t="shared" si="70"/>
        <v>0</v>
      </c>
      <c r="CX66" s="694">
        <f t="shared" si="71"/>
        <v>32</v>
      </c>
      <c r="CY66" s="697">
        <f t="shared" si="72"/>
        <v>0</v>
      </c>
      <c r="CZ66" s="694">
        <f t="shared" si="73"/>
        <v>33</v>
      </c>
      <c r="DA66" s="697">
        <f t="shared" si="74"/>
        <v>0</v>
      </c>
      <c r="DB66" s="694">
        <f t="shared" si="75"/>
        <v>34</v>
      </c>
      <c r="DC66" s="697">
        <f t="shared" si="76"/>
        <v>0</v>
      </c>
      <c r="DD66" s="694">
        <f t="shared" si="77"/>
        <v>35</v>
      </c>
      <c r="DE66" s="697">
        <f t="shared" si="78"/>
        <v>0</v>
      </c>
      <c r="DF66" s="694">
        <f t="shared" si="79"/>
        <v>36</v>
      </c>
      <c r="DG66" s="697">
        <f t="shared" si="80"/>
        <v>0</v>
      </c>
      <c r="DH66" s="694">
        <f t="shared" si="81"/>
        <v>37</v>
      </c>
      <c r="DI66" s="697">
        <f t="shared" si="82"/>
        <v>0</v>
      </c>
      <c r="DJ66" s="694">
        <f t="shared" si="83"/>
        <v>38</v>
      </c>
      <c r="DK66" s="697">
        <f t="shared" si="84"/>
        <v>0</v>
      </c>
      <c r="DL66" s="694">
        <f t="shared" si="85"/>
        <v>39</v>
      </c>
      <c r="DM66" s="697">
        <f t="shared" si="86"/>
        <v>0</v>
      </c>
      <c r="DN66" s="694">
        <f t="shared" si="87"/>
        <v>40</v>
      </c>
      <c r="DO66" s="697">
        <f t="shared" si="88"/>
        <v>0</v>
      </c>
      <c r="DP66" s="694">
        <f t="shared" si="89"/>
        <v>41</v>
      </c>
      <c r="DQ66" s="697">
        <f t="shared" si="90"/>
        <v>0</v>
      </c>
      <c r="DR66" s="694">
        <f t="shared" si="91"/>
        <v>42</v>
      </c>
      <c r="DS66" s="697">
        <f t="shared" si="92"/>
        <v>0</v>
      </c>
      <c r="DT66" s="694">
        <f t="shared" si="93"/>
        <v>43</v>
      </c>
      <c r="DU66" s="697">
        <f t="shared" si="94"/>
        <v>0</v>
      </c>
      <c r="DV66" s="694">
        <f t="shared" si="95"/>
        <v>44</v>
      </c>
      <c r="DW66" s="697">
        <f t="shared" si="96"/>
        <v>0</v>
      </c>
      <c r="DX66" s="694">
        <f t="shared" si="97"/>
        <v>45</v>
      </c>
      <c r="DY66" s="697">
        <f t="shared" si="98"/>
        <v>0</v>
      </c>
      <c r="DZ66" s="694">
        <f t="shared" si="99"/>
        <v>46</v>
      </c>
      <c r="EA66" s="697">
        <f t="shared" si="100"/>
        <v>0</v>
      </c>
      <c r="EB66" s="694">
        <f t="shared" si="101"/>
        <v>47</v>
      </c>
      <c r="EC66" s="697">
        <f t="shared" si="102"/>
        <v>0</v>
      </c>
      <c r="ED66" s="694">
        <f t="shared" si="103"/>
        <v>48</v>
      </c>
      <c r="EE66" s="697">
        <f t="shared" si="104"/>
        <v>0</v>
      </c>
      <c r="EF66" s="694">
        <f t="shared" si="105"/>
        <v>49</v>
      </c>
      <c r="EG66" s="2"/>
    </row>
    <row r="67" spans="1:137" ht="22.5" customHeight="1" x14ac:dyDescent="0.2">
      <c r="A67" s="2"/>
      <c r="B67" s="2"/>
      <c r="C67" s="2"/>
      <c r="D67" s="2"/>
      <c r="E67" s="2"/>
      <c r="F67" s="2382">
        <f>D29</f>
        <v>500</v>
      </c>
      <c r="G67" s="2383"/>
      <c r="H67" s="2384">
        <f>IF(T10=AI10,0,IF(AG56=AI55,D30,0))</f>
        <v>0</v>
      </c>
      <c r="I67" s="2385"/>
      <c r="J67" s="2"/>
      <c r="K67" s="691" t="str">
        <f t="shared" si="0"/>
        <v/>
      </c>
      <c r="L67" s="2"/>
      <c r="M67" s="2"/>
      <c r="N67" s="2"/>
      <c r="O67" s="2364">
        <f t="shared" si="1"/>
        <v>0</v>
      </c>
      <c r="P67" s="2364"/>
      <c r="Q67" s="2434">
        <f t="shared" si="2"/>
        <v>0</v>
      </c>
      <c r="R67" s="2435"/>
      <c r="S67" s="2436">
        <f>HLOOKUP("X",$AK$57:$EF$92,34,FALSE)</f>
        <v>0</v>
      </c>
      <c r="T67" s="2437"/>
      <c r="U67" s="2437"/>
      <c r="V67" s="2438"/>
      <c r="W67" s="2"/>
      <c r="X67" s="2550">
        <f t="shared" si="3"/>
        <v>0</v>
      </c>
      <c r="Y67" s="2551"/>
      <c r="Z67" s="2552">
        <f t="shared" si="4"/>
        <v>0</v>
      </c>
      <c r="AA67" s="2553"/>
      <c r="AB67" s="2553"/>
      <c r="AC67" s="2554"/>
      <c r="AD67" s="2"/>
      <c r="AE67" s="2"/>
      <c r="AF67" s="688"/>
      <c r="AG67" s="688"/>
      <c r="AH67" s="688"/>
      <c r="AI67" s="698">
        <f t="shared" si="5"/>
        <v>0</v>
      </c>
      <c r="AJ67" s="14"/>
      <c r="AK67" s="699">
        <f t="shared" si="6"/>
        <v>0</v>
      </c>
      <c r="AL67" s="694">
        <f t="shared" si="7"/>
        <v>0</v>
      </c>
      <c r="AM67" s="699">
        <f t="shared" si="8"/>
        <v>0</v>
      </c>
      <c r="AN67" s="694">
        <f t="shared" si="9"/>
        <v>1</v>
      </c>
      <c r="AO67" s="699">
        <f t="shared" si="10"/>
        <v>0</v>
      </c>
      <c r="AP67" s="694">
        <f t="shared" si="11"/>
        <v>2</v>
      </c>
      <c r="AQ67" s="699">
        <f t="shared" si="12"/>
        <v>0</v>
      </c>
      <c r="AR67" s="694">
        <f t="shared" si="13"/>
        <v>3</v>
      </c>
      <c r="AS67" s="699">
        <f t="shared" si="14"/>
        <v>0</v>
      </c>
      <c r="AT67" s="694">
        <f t="shared" si="15"/>
        <v>4</v>
      </c>
      <c r="AU67" s="699">
        <f t="shared" si="16"/>
        <v>0</v>
      </c>
      <c r="AV67" s="694">
        <f t="shared" si="17"/>
        <v>5</v>
      </c>
      <c r="AW67" s="699">
        <f t="shared" si="18"/>
        <v>0</v>
      </c>
      <c r="AX67" s="694">
        <f t="shared" si="19"/>
        <v>6</v>
      </c>
      <c r="AY67" s="699">
        <f t="shared" si="20"/>
        <v>0</v>
      </c>
      <c r="AZ67" s="694">
        <f t="shared" si="21"/>
        <v>7</v>
      </c>
      <c r="BA67" s="699">
        <f t="shared" si="22"/>
        <v>0</v>
      </c>
      <c r="BB67" s="694">
        <f t="shared" si="23"/>
        <v>8</v>
      </c>
      <c r="BC67" s="699">
        <f t="shared" si="24"/>
        <v>0</v>
      </c>
      <c r="BD67" s="694">
        <f t="shared" si="25"/>
        <v>9</v>
      </c>
      <c r="BE67" s="699">
        <f t="shared" si="26"/>
        <v>0</v>
      </c>
      <c r="BF67" s="694">
        <f t="shared" si="27"/>
        <v>10</v>
      </c>
      <c r="BG67" s="699">
        <f t="shared" si="28"/>
        <v>0</v>
      </c>
      <c r="BH67" s="694">
        <f t="shared" si="29"/>
        <v>11</v>
      </c>
      <c r="BI67" s="699">
        <f t="shared" si="30"/>
        <v>0</v>
      </c>
      <c r="BJ67" s="694">
        <f t="shared" si="31"/>
        <v>12</v>
      </c>
      <c r="BK67" s="699">
        <f t="shared" si="32"/>
        <v>0</v>
      </c>
      <c r="BL67" s="694">
        <f t="shared" si="33"/>
        <v>13</v>
      </c>
      <c r="BM67" s="699">
        <f t="shared" si="34"/>
        <v>0</v>
      </c>
      <c r="BN67" s="694">
        <f t="shared" si="35"/>
        <v>14</v>
      </c>
      <c r="BO67" s="699">
        <f t="shared" si="36"/>
        <v>0</v>
      </c>
      <c r="BP67" s="694">
        <f t="shared" si="37"/>
        <v>15</v>
      </c>
      <c r="BQ67" s="699">
        <f t="shared" si="38"/>
        <v>0</v>
      </c>
      <c r="BR67" s="694">
        <f t="shared" si="39"/>
        <v>16</v>
      </c>
      <c r="BS67" s="699">
        <f t="shared" si="40"/>
        <v>0</v>
      </c>
      <c r="BT67" s="694">
        <f t="shared" si="41"/>
        <v>17</v>
      </c>
      <c r="BU67" s="699">
        <f t="shared" si="42"/>
        <v>0</v>
      </c>
      <c r="BV67" s="694">
        <f t="shared" si="43"/>
        <v>18</v>
      </c>
      <c r="BW67" s="699">
        <f t="shared" si="44"/>
        <v>0</v>
      </c>
      <c r="BX67" s="694">
        <f t="shared" si="45"/>
        <v>19</v>
      </c>
      <c r="BY67" s="699">
        <f t="shared" si="46"/>
        <v>0</v>
      </c>
      <c r="BZ67" s="694">
        <f t="shared" si="47"/>
        <v>20</v>
      </c>
      <c r="CA67" s="699">
        <f t="shared" si="48"/>
        <v>0</v>
      </c>
      <c r="CB67" s="694">
        <f t="shared" si="49"/>
        <v>21</v>
      </c>
      <c r="CC67" s="699">
        <f t="shared" si="50"/>
        <v>0</v>
      </c>
      <c r="CD67" s="694">
        <f t="shared" si="51"/>
        <v>22</v>
      </c>
      <c r="CE67" s="699">
        <f t="shared" si="52"/>
        <v>0</v>
      </c>
      <c r="CF67" s="694">
        <f t="shared" si="53"/>
        <v>23</v>
      </c>
      <c r="CG67" s="699">
        <f t="shared" si="54"/>
        <v>0</v>
      </c>
      <c r="CH67" s="694">
        <f t="shared" si="55"/>
        <v>24</v>
      </c>
      <c r="CI67" s="699">
        <f t="shared" si="56"/>
        <v>0</v>
      </c>
      <c r="CJ67" s="694">
        <f t="shared" si="57"/>
        <v>25</v>
      </c>
      <c r="CK67" s="699">
        <f t="shared" si="58"/>
        <v>0</v>
      </c>
      <c r="CL67" s="694">
        <f t="shared" si="59"/>
        <v>26</v>
      </c>
      <c r="CM67" s="699">
        <f t="shared" si="60"/>
        <v>0</v>
      </c>
      <c r="CN67" s="694">
        <f t="shared" si="61"/>
        <v>27</v>
      </c>
      <c r="CO67" s="699">
        <f t="shared" si="62"/>
        <v>0</v>
      </c>
      <c r="CP67" s="694">
        <f t="shared" si="63"/>
        <v>28</v>
      </c>
      <c r="CQ67" s="699">
        <f t="shared" si="64"/>
        <v>0</v>
      </c>
      <c r="CR67" s="694">
        <f t="shared" si="65"/>
        <v>29</v>
      </c>
      <c r="CS67" s="699">
        <f t="shared" si="66"/>
        <v>0</v>
      </c>
      <c r="CT67" s="694">
        <f t="shared" si="67"/>
        <v>30</v>
      </c>
      <c r="CU67" s="699">
        <f t="shared" si="68"/>
        <v>0</v>
      </c>
      <c r="CV67" s="694">
        <f t="shared" si="69"/>
        <v>31</v>
      </c>
      <c r="CW67" s="699">
        <f t="shared" si="70"/>
        <v>0</v>
      </c>
      <c r="CX67" s="694">
        <f t="shared" si="71"/>
        <v>32</v>
      </c>
      <c r="CY67" s="699">
        <f t="shared" si="72"/>
        <v>0</v>
      </c>
      <c r="CZ67" s="694">
        <f t="shared" si="73"/>
        <v>33</v>
      </c>
      <c r="DA67" s="699">
        <f t="shared" si="74"/>
        <v>0</v>
      </c>
      <c r="DB67" s="694">
        <f t="shared" si="75"/>
        <v>34</v>
      </c>
      <c r="DC67" s="699">
        <f t="shared" si="76"/>
        <v>0</v>
      </c>
      <c r="DD67" s="694">
        <f t="shared" si="77"/>
        <v>35</v>
      </c>
      <c r="DE67" s="699">
        <f t="shared" si="78"/>
        <v>0</v>
      </c>
      <c r="DF67" s="694">
        <f t="shared" si="79"/>
        <v>36</v>
      </c>
      <c r="DG67" s="699">
        <f t="shared" si="80"/>
        <v>0</v>
      </c>
      <c r="DH67" s="694">
        <f t="shared" si="81"/>
        <v>37</v>
      </c>
      <c r="DI67" s="699">
        <f t="shared" si="82"/>
        <v>0</v>
      </c>
      <c r="DJ67" s="694">
        <f t="shared" si="83"/>
        <v>38</v>
      </c>
      <c r="DK67" s="699">
        <f t="shared" si="84"/>
        <v>0</v>
      </c>
      <c r="DL67" s="694">
        <f t="shared" si="85"/>
        <v>39</v>
      </c>
      <c r="DM67" s="699">
        <f t="shared" si="86"/>
        <v>0</v>
      </c>
      <c r="DN67" s="694">
        <f t="shared" si="87"/>
        <v>40</v>
      </c>
      <c r="DO67" s="699">
        <f t="shared" si="88"/>
        <v>0</v>
      </c>
      <c r="DP67" s="694">
        <f t="shared" si="89"/>
        <v>41</v>
      </c>
      <c r="DQ67" s="699">
        <f t="shared" si="90"/>
        <v>0</v>
      </c>
      <c r="DR67" s="694">
        <f t="shared" si="91"/>
        <v>42</v>
      </c>
      <c r="DS67" s="699">
        <f t="shared" si="92"/>
        <v>0</v>
      </c>
      <c r="DT67" s="694">
        <f t="shared" si="93"/>
        <v>43</v>
      </c>
      <c r="DU67" s="699">
        <f t="shared" si="94"/>
        <v>0</v>
      </c>
      <c r="DV67" s="694">
        <f t="shared" si="95"/>
        <v>44</v>
      </c>
      <c r="DW67" s="699">
        <f t="shared" si="96"/>
        <v>0</v>
      </c>
      <c r="DX67" s="694">
        <f t="shared" si="97"/>
        <v>45</v>
      </c>
      <c r="DY67" s="699">
        <f t="shared" si="98"/>
        <v>0</v>
      </c>
      <c r="DZ67" s="694">
        <f t="shared" si="99"/>
        <v>46</v>
      </c>
      <c r="EA67" s="699">
        <f t="shared" si="100"/>
        <v>0</v>
      </c>
      <c r="EB67" s="694">
        <f t="shared" si="101"/>
        <v>47</v>
      </c>
      <c r="EC67" s="699">
        <f t="shared" si="102"/>
        <v>0</v>
      </c>
      <c r="ED67" s="694">
        <f t="shared" si="103"/>
        <v>48</v>
      </c>
      <c r="EE67" s="699">
        <f t="shared" si="104"/>
        <v>0</v>
      </c>
      <c r="EF67" s="694">
        <f t="shared" si="105"/>
        <v>49</v>
      </c>
      <c r="EG67" s="2"/>
    </row>
    <row r="68" spans="1:137" ht="15.75" customHeight="1" x14ac:dyDescent="0.25">
      <c r="A68" s="2"/>
      <c r="B68" s="2"/>
      <c r="C68" s="2"/>
      <c r="D68" s="2"/>
      <c r="E68" s="2"/>
      <c r="F68" s="2"/>
      <c r="G68" s="2"/>
      <c r="H68" s="2"/>
      <c r="I68" s="2"/>
      <c r="J68" s="2"/>
      <c r="K68" s="2"/>
      <c r="L68" s="2"/>
      <c r="M68" s="2"/>
      <c r="N68" s="2"/>
      <c r="O68" s="2"/>
      <c r="P68" s="2"/>
      <c r="Q68" s="2"/>
      <c r="R68" s="2"/>
      <c r="S68" s="2"/>
      <c r="T68" s="2"/>
      <c r="U68" s="2"/>
      <c r="V68" s="918" t="s">
        <v>707</v>
      </c>
      <c r="W68" s="2"/>
      <c r="X68" s="700"/>
      <c r="Y68" s="2"/>
      <c r="Z68" s="2"/>
      <c r="AA68" s="2"/>
      <c r="AB68" s="2"/>
      <c r="AC68" s="918" t="s">
        <v>707</v>
      </c>
      <c r="AD68" s="2"/>
      <c r="AE68" s="2"/>
      <c r="AF68" s="14"/>
      <c r="AG68" s="14"/>
      <c r="AH68" s="14"/>
      <c r="AI68" s="14"/>
      <c r="AJ68" s="14"/>
      <c r="AK68" s="701"/>
      <c r="AL68" s="139"/>
      <c r="AM68" s="701"/>
      <c r="AN68" s="139"/>
      <c r="AO68" s="701"/>
      <c r="AP68" s="139"/>
      <c r="AQ68" s="701"/>
      <c r="AR68" s="139"/>
      <c r="AS68" s="701"/>
      <c r="AT68" s="139"/>
      <c r="AU68" s="701"/>
      <c r="AV68" s="139"/>
      <c r="AW68" s="701"/>
      <c r="AX68" s="139"/>
      <c r="AY68" s="701"/>
      <c r="AZ68" s="139"/>
      <c r="BA68" s="701"/>
      <c r="BB68" s="139"/>
      <c r="BC68" s="701"/>
      <c r="BD68" s="139"/>
      <c r="BE68" s="701"/>
      <c r="BF68" s="139"/>
      <c r="BG68" s="701"/>
      <c r="BH68" s="139"/>
      <c r="BI68" s="701"/>
      <c r="BJ68" s="139"/>
      <c r="BK68" s="701"/>
      <c r="BL68" s="139"/>
      <c r="BM68" s="701"/>
      <c r="BN68" s="139"/>
      <c r="BO68" s="701"/>
      <c r="BP68" s="139"/>
      <c r="BQ68" s="701"/>
      <c r="BR68" s="139"/>
      <c r="BS68" s="701"/>
      <c r="BT68" s="139"/>
      <c r="BU68" s="701"/>
      <c r="BV68" s="139"/>
      <c r="BW68" s="701"/>
      <c r="BX68" s="139"/>
      <c r="BY68" s="701"/>
      <c r="BZ68" s="139"/>
      <c r="CA68" s="701"/>
      <c r="CB68" s="139"/>
      <c r="CC68" s="701"/>
      <c r="CD68" s="139"/>
      <c r="CE68" s="701"/>
      <c r="CF68" s="139"/>
      <c r="CG68" s="701"/>
      <c r="CH68" s="139"/>
      <c r="CI68" s="701"/>
      <c r="CJ68" s="139"/>
      <c r="CK68" s="701"/>
      <c r="CL68" s="139"/>
      <c r="CM68" s="701"/>
      <c r="CN68" s="139"/>
      <c r="CO68" s="701"/>
      <c r="CP68" s="139"/>
      <c r="CQ68" s="701"/>
      <c r="CR68" s="139"/>
      <c r="CS68" s="701"/>
      <c r="CT68" s="139"/>
      <c r="CU68" s="701"/>
      <c r="CV68" s="139"/>
      <c r="CW68" s="701"/>
      <c r="CX68" s="139"/>
      <c r="CY68" s="701"/>
      <c r="CZ68" s="139"/>
      <c r="DA68" s="701"/>
      <c r="DB68" s="139"/>
      <c r="DC68" s="701"/>
      <c r="DD68" s="139"/>
      <c r="DE68" s="701"/>
      <c r="DF68" s="139"/>
      <c r="DG68" s="701"/>
      <c r="DH68" s="139"/>
      <c r="DI68" s="701"/>
      <c r="DJ68" s="139"/>
      <c r="DK68" s="701"/>
      <c r="DL68" s="139"/>
      <c r="DM68" s="701"/>
      <c r="DN68" s="139"/>
      <c r="DO68" s="701"/>
      <c r="DP68" s="139"/>
      <c r="DQ68" s="701"/>
      <c r="DR68" s="139"/>
      <c r="DS68" s="701"/>
      <c r="DT68" s="139"/>
      <c r="DU68" s="701"/>
      <c r="DV68" s="139"/>
      <c r="DW68" s="701"/>
      <c r="DX68" s="139"/>
      <c r="DY68" s="701"/>
      <c r="DZ68" s="139"/>
      <c r="EA68" s="701"/>
      <c r="EB68" s="139"/>
      <c r="EC68" s="701"/>
      <c r="ED68" s="139"/>
      <c r="EE68" s="701"/>
      <c r="EF68" s="139"/>
      <c r="EG68" s="2"/>
    </row>
    <row r="69" spans="1:137" ht="22.5" customHeight="1" x14ac:dyDescent="0.25">
      <c r="A69" s="2"/>
      <c r="B69" s="722" t="str">
        <f>IF(COUNTIF(Q61:R67,"&lt;0")&gt;0,"Anomalia:   Valore negativo in cassa banconote !!!","")</f>
        <v/>
      </c>
      <c r="C69" s="2"/>
      <c r="D69" s="2"/>
      <c r="E69" s="2"/>
      <c r="F69" s="2"/>
      <c r="G69" s="2"/>
      <c r="H69" s="2"/>
      <c r="I69" s="2"/>
      <c r="J69" s="2"/>
      <c r="K69" s="2"/>
      <c r="L69" s="2"/>
      <c r="M69" s="2"/>
      <c r="N69" s="2"/>
      <c r="O69" s="2"/>
      <c r="P69" s="2"/>
      <c r="Q69" s="2"/>
      <c r="R69" s="2"/>
      <c r="S69" s="2439">
        <f>SUM(S61:S67)</f>
        <v>0</v>
      </c>
      <c r="T69" s="2439"/>
      <c r="U69" s="2439"/>
      <c r="V69" s="2439"/>
      <c r="W69" s="921" t="s">
        <v>603</v>
      </c>
      <c r="X69" s="702"/>
      <c r="Y69" s="703"/>
      <c r="Z69" s="2439">
        <f>SUM(Z61:Z67)</f>
        <v>0</v>
      </c>
      <c r="AA69" s="2439"/>
      <c r="AB69" s="2439"/>
      <c r="AC69" s="2439"/>
      <c r="AD69" s="2"/>
      <c r="AE69" s="2"/>
      <c r="AF69" s="704"/>
      <c r="AG69" s="704"/>
      <c r="AH69" s="704"/>
      <c r="AI69" s="14"/>
      <c r="AJ69" s="14"/>
      <c r="AK69" s="705">
        <f>SUM(AK61:AK67)</f>
        <v>0</v>
      </c>
      <c r="AL69" s="139"/>
      <c r="AM69" s="705">
        <f>SUM(AM61:AM67)</f>
        <v>0</v>
      </c>
      <c r="AN69" s="139"/>
      <c r="AO69" s="705">
        <f>SUM(AO61:AO67)</f>
        <v>0</v>
      </c>
      <c r="AP69" s="139"/>
      <c r="AQ69" s="705">
        <f>SUM(AQ61:AQ67)</f>
        <v>0</v>
      </c>
      <c r="AR69" s="139"/>
      <c r="AS69" s="705">
        <f>SUM(AS61:AS67)</f>
        <v>0</v>
      </c>
      <c r="AT69" s="139"/>
      <c r="AU69" s="705">
        <f>SUM(AU61:AU67)</f>
        <v>0</v>
      </c>
      <c r="AV69" s="139"/>
      <c r="AW69" s="705">
        <f>SUM(AW61:AW67)</f>
        <v>0</v>
      </c>
      <c r="AX69" s="139"/>
      <c r="AY69" s="705">
        <f>SUM(AY61:AY67)</f>
        <v>0</v>
      </c>
      <c r="AZ69" s="139"/>
      <c r="BA69" s="705">
        <f>SUM(BA61:BA67)</f>
        <v>0</v>
      </c>
      <c r="BB69" s="139"/>
      <c r="BC69" s="705">
        <f>SUM(BC61:BC67)</f>
        <v>0</v>
      </c>
      <c r="BD69" s="139"/>
      <c r="BE69" s="705">
        <f>SUM(BE61:BE67)</f>
        <v>0</v>
      </c>
      <c r="BF69" s="139"/>
      <c r="BG69" s="705">
        <f>SUM(BG61:BG67)</f>
        <v>0</v>
      </c>
      <c r="BH69" s="139"/>
      <c r="BI69" s="705">
        <f>SUM(BI61:BI67)</f>
        <v>0</v>
      </c>
      <c r="BJ69" s="139"/>
      <c r="BK69" s="705">
        <f>SUM(BK61:BK67)</f>
        <v>0</v>
      </c>
      <c r="BL69" s="139"/>
      <c r="BM69" s="705">
        <f>SUM(BM61:BM67)</f>
        <v>0</v>
      </c>
      <c r="BN69" s="139"/>
      <c r="BO69" s="705">
        <f>SUM(BO61:BO67)</f>
        <v>0</v>
      </c>
      <c r="BP69" s="139"/>
      <c r="BQ69" s="705">
        <f>SUM(BQ61:BQ67)</f>
        <v>0</v>
      </c>
      <c r="BR69" s="139"/>
      <c r="BS69" s="705">
        <f>SUM(BS61:BS67)</f>
        <v>0</v>
      </c>
      <c r="BT69" s="139"/>
      <c r="BU69" s="705">
        <f>SUM(BU61:BU67)</f>
        <v>0</v>
      </c>
      <c r="BV69" s="139"/>
      <c r="BW69" s="705">
        <f>SUM(BW61:BW67)</f>
        <v>0</v>
      </c>
      <c r="BX69" s="139"/>
      <c r="BY69" s="705">
        <f>SUM(BY61:BY67)</f>
        <v>0</v>
      </c>
      <c r="BZ69" s="139"/>
      <c r="CA69" s="705">
        <f>SUM(CA61:CA67)</f>
        <v>0</v>
      </c>
      <c r="CB69" s="139"/>
      <c r="CC69" s="705">
        <f>SUM(CC61:CC67)</f>
        <v>0</v>
      </c>
      <c r="CD69" s="139"/>
      <c r="CE69" s="705">
        <f>SUM(CE61:CE67)</f>
        <v>0</v>
      </c>
      <c r="CF69" s="139"/>
      <c r="CG69" s="705">
        <f>SUM(CG61:CG67)</f>
        <v>0</v>
      </c>
      <c r="CH69" s="139"/>
      <c r="CI69" s="705">
        <f>SUM(CI61:CI67)</f>
        <v>0</v>
      </c>
      <c r="CJ69" s="139"/>
      <c r="CK69" s="705">
        <f>SUM(CK61:CK67)</f>
        <v>0</v>
      </c>
      <c r="CL69" s="139"/>
      <c r="CM69" s="705">
        <f>SUM(CM61:CM67)</f>
        <v>0</v>
      </c>
      <c r="CN69" s="139"/>
      <c r="CO69" s="705">
        <f>SUM(CO61:CO67)</f>
        <v>0</v>
      </c>
      <c r="CP69" s="139"/>
      <c r="CQ69" s="705">
        <f>SUM(CQ61:CQ67)</f>
        <v>0</v>
      </c>
      <c r="CR69" s="139"/>
      <c r="CS69" s="705">
        <f>SUM(CS61:CS67)</f>
        <v>0</v>
      </c>
      <c r="CT69" s="139"/>
      <c r="CU69" s="705">
        <f>SUM(CU61:CU67)</f>
        <v>0</v>
      </c>
      <c r="CV69" s="139"/>
      <c r="CW69" s="705">
        <f>SUM(CW61:CW67)</f>
        <v>0</v>
      </c>
      <c r="CX69" s="139"/>
      <c r="CY69" s="705">
        <f>SUM(CY61:CY67)</f>
        <v>0</v>
      </c>
      <c r="CZ69" s="139"/>
      <c r="DA69" s="705">
        <f>SUM(DA61:DA67)</f>
        <v>0</v>
      </c>
      <c r="DB69" s="139"/>
      <c r="DC69" s="705">
        <f>SUM(DC61:DC67)</f>
        <v>0</v>
      </c>
      <c r="DD69" s="139"/>
      <c r="DE69" s="705">
        <f>SUM(DE61:DE67)</f>
        <v>0</v>
      </c>
      <c r="DF69" s="139"/>
      <c r="DG69" s="706">
        <f>SUM(DG61:DG67)</f>
        <v>0</v>
      </c>
      <c r="DH69" s="139"/>
      <c r="DI69" s="705">
        <f>SUM(DI61:DI67)</f>
        <v>0</v>
      </c>
      <c r="DJ69" s="139"/>
      <c r="DK69" s="705">
        <f>SUM(DK61:DK67)</f>
        <v>0</v>
      </c>
      <c r="DL69" s="139"/>
      <c r="DM69" s="705">
        <f>SUM(DM61:DM67)</f>
        <v>0</v>
      </c>
      <c r="DN69" s="139"/>
      <c r="DO69" s="705">
        <f>SUM(DO61:DO67)</f>
        <v>0</v>
      </c>
      <c r="DP69" s="139"/>
      <c r="DQ69" s="705">
        <f>SUM(DQ61:DQ67)</f>
        <v>0</v>
      </c>
      <c r="DR69" s="139"/>
      <c r="DS69" s="705">
        <f>SUM(DS61:DS67)</f>
        <v>0</v>
      </c>
      <c r="DT69" s="139"/>
      <c r="DU69" s="705">
        <f>SUM(DU61:DU67)</f>
        <v>0</v>
      </c>
      <c r="DV69" s="139"/>
      <c r="DW69" s="705">
        <f>SUM(DW61:DW67)</f>
        <v>0</v>
      </c>
      <c r="DX69" s="139"/>
      <c r="DY69" s="705">
        <f>SUM(DY61:DY67)</f>
        <v>0</v>
      </c>
      <c r="DZ69" s="139"/>
      <c r="EA69" s="705">
        <f>SUM(EA61:EA67)</f>
        <v>0</v>
      </c>
      <c r="EB69" s="139"/>
      <c r="EC69" s="705">
        <f>SUM(EC61:EC67)</f>
        <v>0</v>
      </c>
      <c r="ED69" s="139"/>
      <c r="EE69" s="705">
        <f>SUM(EE61:EE67)</f>
        <v>0</v>
      </c>
      <c r="EF69" s="139"/>
      <c r="EG69" s="2"/>
    </row>
    <row r="70" spans="1:137" ht="22.5" customHeight="1" x14ac:dyDescent="0.25">
      <c r="A70" s="2"/>
      <c r="B70" s="723" t="s">
        <v>712</v>
      </c>
      <c r="C70" s="2"/>
      <c r="D70" s="2"/>
      <c r="E70" s="2"/>
      <c r="F70" s="2"/>
      <c r="G70" s="2"/>
      <c r="H70" s="2"/>
      <c r="I70" s="2"/>
      <c r="J70" s="2"/>
      <c r="K70" s="2"/>
      <c r="L70" s="2"/>
      <c r="M70" s="2"/>
      <c r="N70" s="2"/>
      <c r="O70" s="2"/>
      <c r="P70" s="2"/>
      <c r="Q70" s="2440" t="s">
        <v>602</v>
      </c>
      <c r="R70" s="2440"/>
      <c r="S70" s="2441" t="e">
        <f>S58+S69</f>
        <v>#VALUE!</v>
      </c>
      <c r="T70" s="2441"/>
      <c r="U70" s="2441"/>
      <c r="V70" s="2441"/>
      <c r="W70" s="707" t="s">
        <v>603</v>
      </c>
      <c r="X70" s="2556" t="s">
        <v>602</v>
      </c>
      <c r="Y70" s="2556"/>
      <c r="Z70" s="2557" t="e">
        <f>AA58+Z69</f>
        <v>#VALUE!</v>
      </c>
      <c r="AA70" s="2557"/>
      <c r="AB70" s="2557"/>
      <c r="AC70" s="2557"/>
      <c r="AD70" s="2"/>
      <c r="AE70" s="2"/>
      <c r="AF70" s="704"/>
      <c r="AG70" s="704"/>
      <c r="AH70" s="704"/>
      <c r="AI70" s="14"/>
      <c r="AJ70" s="14"/>
      <c r="AK70" s="708">
        <f>AK69+AK59</f>
        <v>0</v>
      </c>
      <c r="AL70" s="709"/>
      <c r="AM70" s="708">
        <f>AM69+AM59</f>
        <v>-1</v>
      </c>
      <c r="AN70" s="709"/>
      <c r="AO70" s="708">
        <f>AO69+AO59</f>
        <v>-2</v>
      </c>
      <c r="AP70" s="709"/>
      <c r="AQ70" s="708">
        <f>AQ69+AQ59</f>
        <v>-3</v>
      </c>
      <c r="AR70" s="709"/>
      <c r="AS70" s="708">
        <f>AS69+AS59</f>
        <v>-4</v>
      </c>
      <c r="AT70" s="709"/>
      <c r="AU70" s="708">
        <f>AU69+AU59</f>
        <v>-5</v>
      </c>
      <c r="AV70" s="709"/>
      <c r="AW70" s="708">
        <f>AW69+AW59</f>
        <v>-6</v>
      </c>
      <c r="AX70" s="709"/>
      <c r="AY70" s="708">
        <f>AY69+AY59</f>
        <v>-7</v>
      </c>
      <c r="AZ70" s="709"/>
      <c r="BA70" s="708">
        <f>BA69+BA59</f>
        <v>-8</v>
      </c>
      <c r="BB70" s="709"/>
      <c r="BC70" s="708">
        <f>BC69+BC59</f>
        <v>-9</v>
      </c>
      <c r="BD70" s="709"/>
      <c r="BE70" s="708">
        <f>BE69+BE59</f>
        <v>-10</v>
      </c>
      <c r="BF70" s="709"/>
      <c r="BG70" s="708">
        <f>BG69+BG59</f>
        <v>-11</v>
      </c>
      <c r="BH70" s="709"/>
      <c r="BI70" s="708">
        <f>BI69+BI59</f>
        <v>-12</v>
      </c>
      <c r="BJ70" s="709"/>
      <c r="BK70" s="708">
        <f>BK69+BK59</f>
        <v>-13</v>
      </c>
      <c r="BL70" s="709"/>
      <c r="BM70" s="708">
        <f>BM69+BM59</f>
        <v>-14</v>
      </c>
      <c r="BN70" s="709"/>
      <c r="BO70" s="708">
        <f>BO69+BO59</f>
        <v>-15</v>
      </c>
      <c r="BP70" s="709"/>
      <c r="BQ70" s="708">
        <f>BQ69+BQ59</f>
        <v>-16</v>
      </c>
      <c r="BR70" s="709"/>
      <c r="BS70" s="708">
        <f>BS69+BS59</f>
        <v>-17</v>
      </c>
      <c r="BT70" s="709"/>
      <c r="BU70" s="708">
        <f>BU69+BU59</f>
        <v>-18</v>
      </c>
      <c r="BV70" s="709"/>
      <c r="BW70" s="708">
        <f>BW69+BW59</f>
        <v>-19</v>
      </c>
      <c r="BX70" s="709"/>
      <c r="BY70" s="708">
        <f>BY69+BY59</f>
        <v>-20</v>
      </c>
      <c r="BZ70" s="709"/>
      <c r="CA70" s="708">
        <f>CA69+CA59</f>
        <v>-21</v>
      </c>
      <c r="CB70" s="709"/>
      <c r="CC70" s="708">
        <f>CC69+CC59</f>
        <v>-22</v>
      </c>
      <c r="CD70" s="709"/>
      <c r="CE70" s="708">
        <f>CE69+CE59</f>
        <v>-23</v>
      </c>
      <c r="CF70" s="709"/>
      <c r="CG70" s="708">
        <f>CG69+CG59</f>
        <v>-24</v>
      </c>
      <c r="CH70" s="709"/>
      <c r="CI70" s="708">
        <f>CI69+CI59</f>
        <v>-25</v>
      </c>
      <c r="CJ70" s="709"/>
      <c r="CK70" s="708">
        <f>CK69+CK59</f>
        <v>-26</v>
      </c>
      <c r="CL70" s="709"/>
      <c r="CM70" s="708">
        <f>CM69+CM59</f>
        <v>-27</v>
      </c>
      <c r="CN70" s="709"/>
      <c r="CO70" s="708">
        <f>CO69+CO59</f>
        <v>-28</v>
      </c>
      <c r="CP70" s="709"/>
      <c r="CQ70" s="708">
        <f>CQ69+CQ59</f>
        <v>-29</v>
      </c>
      <c r="CR70" s="709"/>
      <c r="CS70" s="708">
        <f>CS69+CS59</f>
        <v>-30</v>
      </c>
      <c r="CT70" s="709"/>
      <c r="CU70" s="708">
        <f>CU69+CU59</f>
        <v>-31</v>
      </c>
      <c r="CV70" s="709"/>
      <c r="CW70" s="708">
        <f>CW69+CW59</f>
        <v>-32</v>
      </c>
      <c r="CX70" s="709"/>
      <c r="CY70" s="708">
        <f>CY69+CY59</f>
        <v>-33</v>
      </c>
      <c r="CZ70" s="709"/>
      <c r="DA70" s="708">
        <f>DA69+DA59</f>
        <v>-34</v>
      </c>
      <c r="DB70" s="709"/>
      <c r="DC70" s="708">
        <f>DC69+DC59</f>
        <v>-35</v>
      </c>
      <c r="DD70" s="709"/>
      <c r="DE70" s="708">
        <f>DE69+DE59</f>
        <v>-36</v>
      </c>
      <c r="DF70" s="709"/>
      <c r="DG70" s="708">
        <f>DG69+DG59</f>
        <v>-37</v>
      </c>
      <c r="DH70" s="709"/>
      <c r="DI70" s="708">
        <f>DI69+DI59</f>
        <v>-38</v>
      </c>
      <c r="DJ70" s="709"/>
      <c r="DK70" s="708">
        <f>DK69+DK59</f>
        <v>-39</v>
      </c>
      <c r="DL70" s="709"/>
      <c r="DM70" s="708">
        <f>DM69+DM59</f>
        <v>-40</v>
      </c>
      <c r="DN70" s="709"/>
      <c r="DO70" s="708">
        <f>DO69+DO59</f>
        <v>-41</v>
      </c>
      <c r="DP70" s="709"/>
      <c r="DQ70" s="708">
        <f>DQ69+DQ59</f>
        <v>-42</v>
      </c>
      <c r="DR70" s="709"/>
      <c r="DS70" s="708">
        <f>DS69+DS59</f>
        <v>-43</v>
      </c>
      <c r="DT70" s="709"/>
      <c r="DU70" s="708">
        <f>DU69+DU59</f>
        <v>-44</v>
      </c>
      <c r="DV70" s="709"/>
      <c r="DW70" s="708">
        <f>DW69+DW59</f>
        <v>-45</v>
      </c>
      <c r="DX70" s="709"/>
      <c r="DY70" s="708">
        <f>DY69+DY59</f>
        <v>-46</v>
      </c>
      <c r="DZ70" s="709"/>
      <c r="EA70" s="708">
        <f>EA69+EA59</f>
        <v>-47</v>
      </c>
      <c r="EB70" s="709"/>
      <c r="EC70" s="708">
        <f>EC69+EC59</f>
        <v>-48</v>
      </c>
      <c r="ED70" s="709"/>
      <c r="EE70" s="708">
        <f>EE69+EE59</f>
        <v>-49</v>
      </c>
      <c r="EF70" s="710"/>
      <c r="EG70" s="2"/>
    </row>
    <row r="71" spans="1:137" ht="18" customHeight="1" x14ac:dyDescent="0.25">
      <c r="A71" s="2"/>
      <c r="B71" s="724" t="s">
        <v>713</v>
      </c>
      <c r="C71" s="2"/>
      <c r="D71" s="2"/>
      <c r="E71" s="2"/>
      <c r="F71" s="2"/>
      <c r="G71" s="2"/>
      <c r="H71" s="2"/>
      <c r="I71" s="2"/>
      <c r="J71" s="2"/>
      <c r="K71" s="2"/>
      <c r="L71" s="2"/>
      <c r="M71" s="2"/>
      <c r="N71" s="2"/>
      <c r="O71" s="2"/>
      <c r="P71" s="2"/>
      <c r="Q71" s="2358" t="s">
        <v>692</v>
      </c>
      <c r="R71" s="2358"/>
      <c r="S71" s="2358"/>
      <c r="T71" s="2358"/>
      <c r="U71" s="2358"/>
      <c r="V71" s="2358"/>
      <c r="W71" s="2"/>
      <c r="X71" s="2555" t="s">
        <v>711</v>
      </c>
      <c r="Y71" s="2555"/>
      <c r="Z71" s="2555"/>
      <c r="AA71" s="2555"/>
      <c r="AB71" s="2555"/>
      <c r="AC71" s="2555"/>
      <c r="AD71" s="2"/>
      <c r="AE71" s="2"/>
      <c r="AF71" s="2"/>
      <c r="AG71" s="2"/>
      <c r="AH71" s="2"/>
      <c r="AI71" s="2"/>
      <c r="AJ71" s="2"/>
      <c r="AK71" s="711">
        <v>1</v>
      </c>
      <c r="AL71" s="712"/>
      <c r="AM71" s="713">
        <f>AK71+1</f>
        <v>2</v>
      </c>
      <c r="AN71" s="712"/>
      <c r="AO71" s="713">
        <f>AM71+1</f>
        <v>3</v>
      </c>
      <c r="AP71" s="712"/>
      <c r="AQ71" s="713">
        <f>AO71+1</f>
        <v>4</v>
      </c>
      <c r="AR71" s="712"/>
      <c r="AS71" s="713">
        <f>AQ71+1</f>
        <v>5</v>
      </c>
      <c r="AT71" s="712"/>
      <c r="AU71" s="713">
        <f>AS71+1</f>
        <v>6</v>
      </c>
      <c r="AV71" s="712"/>
      <c r="AW71" s="713">
        <f>AU71+1</f>
        <v>7</v>
      </c>
      <c r="AX71" s="712"/>
      <c r="AY71" s="713">
        <f>AW71+1</f>
        <v>8</v>
      </c>
      <c r="AZ71" s="712"/>
      <c r="BA71" s="713">
        <f>AY71+1</f>
        <v>9</v>
      </c>
      <c r="BB71" s="712"/>
      <c r="BC71" s="713">
        <f>BA71+1</f>
        <v>10</v>
      </c>
      <c r="BD71" s="712"/>
      <c r="BE71" s="713">
        <f>BC71+1</f>
        <v>11</v>
      </c>
      <c r="BF71" s="712"/>
      <c r="BG71" s="713">
        <f>BE71+1</f>
        <v>12</v>
      </c>
      <c r="BH71" s="712"/>
      <c r="BI71" s="713">
        <f>BG71+1</f>
        <v>13</v>
      </c>
      <c r="BJ71" s="712"/>
      <c r="BK71" s="713">
        <f>BI71+1</f>
        <v>14</v>
      </c>
      <c r="BL71" s="712"/>
      <c r="BM71" s="713">
        <f>BK71+1</f>
        <v>15</v>
      </c>
      <c r="BN71" s="712"/>
      <c r="BO71" s="713">
        <f>BM71+1</f>
        <v>16</v>
      </c>
      <c r="BP71" s="712"/>
      <c r="BQ71" s="713">
        <f>BO71+1</f>
        <v>17</v>
      </c>
      <c r="BR71" s="712"/>
      <c r="BS71" s="713">
        <f>BQ71+1</f>
        <v>18</v>
      </c>
      <c r="BT71" s="712"/>
      <c r="BU71" s="713">
        <f>BS71+1</f>
        <v>19</v>
      </c>
      <c r="BV71" s="712"/>
      <c r="BW71" s="713">
        <f>BU71+1</f>
        <v>20</v>
      </c>
      <c r="BX71" s="712"/>
      <c r="BY71" s="713">
        <f>BW71+1</f>
        <v>21</v>
      </c>
      <c r="BZ71" s="712"/>
      <c r="CA71" s="713">
        <f>BY71+1</f>
        <v>22</v>
      </c>
      <c r="CB71" s="712"/>
      <c r="CC71" s="713">
        <f>CA71+1</f>
        <v>23</v>
      </c>
      <c r="CD71" s="712"/>
      <c r="CE71" s="713">
        <f>CC71+1</f>
        <v>24</v>
      </c>
      <c r="CF71" s="712"/>
      <c r="CG71" s="713">
        <f>CE71+1</f>
        <v>25</v>
      </c>
      <c r="CH71" s="712"/>
      <c r="CI71" s="713">
        <f>CG71+1</f>
        <v>26</v>
      </c>
      <c r="CJ71" s="712"/>
      <c r="CK71" s="713">
        <f>CI71+1</f>
        <v>27</v>
      </c>
      <c r="CL71" s="712"/>
      <c r="CM71" s="713">
        <f>CK71+1</f>
        <v>28</v>
      </c>
      <c r="CN71" s="712"/>
      <c r="CO71" s="713">
        <f>CM71+1</f>
        <v>29</v>
      </c>
      <c r="CP71" s="712"/>
      <c r="CQ71" s="713">
        <f>CO71+1</f>
        <v>30</v>
      </c>
      <c r="CR71" s="712"/>
      <c r="CS71" s="713">
        <f>CQ71+1</f>
        <v>31</v>
      </c>
      <c r="CT71" s="712"/>
      <c r="CU71" s="713">
        <f>CS71+1</f>
        <v>32</v>
      </c>
      <c r="CV71" s="712"/>
      <c r="CW71" s="713">
        <f>CU71+1</f>
        <v>33</v>
      </c>
      <c r="CX71" s="712"/>
      <c r="CY71" s="713">
        <f>CW71+1</f>
        <v>34</v>
      </c>
      <c r="CZ71" s="712"/>
      <c r="DA71" s="713">
        <f>CY71+1</f>
        <v>35</v>
      </c>
      <c r="DB71" s="712"/>
      <c r="DC71" s="713">
        <f>DA71+1</f>
        <v>36</v>
      </c>
      <c r="DD71" s="712"/>
      <c r="DE71" s="713">
        <f>DC71+1</f>
        <v>37</v>
      </c>
      <c r="DF71" s="712"/>
      <c r="DG71" s="713">
        <f>DE71+1</f>
        <v>38</v>
      </c>
      <c r="DH71" s="712"/>
      <c r="DI71" s="713">
        <f>DG71+1</f>
        <v>39</v>
      </c>
      <c r="DJ71" s="712"/>
      <c r="DK71" s="713">
        <f>DI71+1</f>
        <v>40</v>
      </c>
      <c r="DL71" s="712"/>
      <c r="DM71" s="713">
        <f>DK71+1</f>
        <v>41</v>
      </c>
      <c r="DN71" s="712"/>
      <c r="DO71" s="713">
        <f>DM71+1</f>
        <v>42</v>
      </c>
      <c r="DP71" s="712"/>
      <c r="DQ71" s="713">
        <f>DO71+1</f>
        <v>43</v>
      </c>
      <c r="DR71" s="712"/>
      <c r="DS71" s="713">
        <f>DQ71+1</f>
        <v>44</v>
      </c>
      <c r="DT71" s="712"/>
      <c r="DU71" s="713">
        <f>DS71+1</f>
        <v>45</v>
      </c>
      <c r="DV71" s="712"/>
      <c r="DW71" s="713">
        <f>DU71+1</f>
        <v>46</v>
      </c>
      <c r="DX71" s="712"/>
      <c r="DY71" s="713">
        <f>DW71+1</f>
        <v>47</v>
      </c>
      <c r="DZ71" s="712"/>
      <c r="EA71" s="713">
        <f>DY71+1</f>
        <v>48</v>
      </c>
      <c r="EB71" s="712"/>
      <c r="EC71" s="713">
        <f>EA71+1</f>
        <v>49</v>
      </c>
      <c r="ED71" s="712"/>
      <c r="EE71" s="713">
        <f>EC71+1</f>
        <v>50</v>
      </c>
      <c r="EF71" s="714"/>
      <c r="EG71" s="2"/>
    </row>
    <row r="72" spans="1:137" ht="15.75" customHeight="1" x14ac:dyDescent="0.2">
      <c r="A72" s="2"/>
      <c r="B72" s="725"/>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715" t="e">
        <f>$K58-AK59</f>
        <v>#VALUE!</v>
      </c>
      <c r="AL72" s="2"/>
      <c r="AM72" s="715" t="e">
        <f>$K58-AM59</f>
        <v>#VALUE!</v>
      </c>
      <c r="AN72" s="2"/>
      <c r="AO72" s="715" t="e">
        <f>$K58-AO59</f>
        <v>#VALUE!</v>
      </c>
      <c r="AP72" s="2"/>
      <c r="AQ72" s="715" t="e">
        <f>$K58-AQ59</f>
        <v>#VALUE!</v>
      </c>
      <c r="AR72" s="2"/>
      <c r="AS72" s="715" t="e">
        <f>$K58-AS59</f>
        <v>#VALUE!</v>
      </c>
      <c r="AT72" s="2"/>
      <c r="AU72" s="715" t="e">
        <f>$K58-AU59</f>
        <v>#VALUE!</v>
      </c>
      <c r="AV72" s="2"/>
      <c r="AW72" s="715" t="e">
        <f>$K58-AW59</f>
        <v>#VALUE!</v>
      </c>
      <c r="AX72" s="2"/>
      <c r="AY72" s="715" t="e">
        <f>$K58-AY59</f>
        <v>#VALUE!</v>
      </c>
      <c r="AZ72" s="2"/>
      <c r="BA72" s="715" t="e">
        <f>$K58-BA59</f>
        <v>#VALUE!</v>
      </c>
      <c r="BB72" s="2"/>
      <c r="BC72" s="715" t="e">
        <f>$K58-BC59</f>
        <v>#VALUE!</v>
      </c>
      <c r="BD72" s="2"/>
      <c r="BE72" s="715" t="e">
        <f>$K58-BE59</f>
        <v>#VALUE!</v>
      </c>
      <c r="BF72" s="2"/>
      <c r="BG72" s="715" t="e">
        <f>$K58-BG59</f>
        <v>#VALUE!</v>
      </c>
      <c r="BH72" s="2"/>
      <c r="BI72" s="715" t="e">
        <f>$K58-BI59</f>
        <v>#VALUE!</v>
      </c>
      <c r="BJ72" s="2"/>
      <c r="BK72" s="715" t="e">
        <f>$K58-BK59</f>
        <v>#VALUE!</v>
      </c>
      <c r="BL72" s="2"/>
      <c r="BM72" s="715" t="e">
        <f>$K58-BM59</f>
        <v>#VALUE!</v>
      </c>
      <c r="BN72" s="2"/>
      <c r="BO72" s="715" t="e">
        <f>$K58-BO59</f>
        <v>#VALUE!</v>
      </c>
      <c r="BP72" s="2"/>
      <c r="BQ72" s="715" t="e">
        <f>$K58-BQ59</f>
        <v>#VALUE!</v>
      </c>
      <c r="BR72" s="2"/>
      <c r="BS72" s="715" t="e">
        <f>$K58-BS59</f>
        <v>#VALUE!</v>
      </c>
      <c r="BT72" s="2"/>
      <c r="BU72" s="715" t="e">
        <f>$K58-BU59</f>
        <v>#VALUE!</v>
      </c>
      <c r="BV72" s="2"/>
      <c r="BW72" s="715" t="e">
        <f>$K58-BW59</f>
        <v>#VALUE!</v>
      </c>
      <c r="BX72" s="2"/>
      <c r="BY72" s="715" t="e">
        <f>$K58-BY59</f>
        <v>#VALUE!</v>
      </c>
      <c r="BZ72" s="2"/>
      <c r="CA72" s="715" t="e">
        <f>$K58-CA59</f>
        <v>#VALUE!</v>
      </c>
      <c r="CB72" s="2"/>
      <c r="CC72" s="715" t="e">
        <f>$K58-CC59</f>
        <v>#VALUE!</v>
      </c>
      <c r="CD72" s="2"/>
      <c r="CE72" s="715" t="e">
        <f>$K58-CE59</f>
        <v>#VALUE!</v>
      </c>
      <c r="CF72" s="2"/>
      <c r="CG72" s="715" t="e">
        <f>$K58-CG59</f>
        <v>#VALUE!</v>
      </c>
      <c r="CH72" s="2"/>
      <c r="CI72" s="715" t="e">
        <f>$K58-CI59</f>
        <v>#VALUE!</v>
      </c>
      <c r="CJ72" s="2"/>
      <c r="CK72" s="715" t="e">
        <f>$K58-CK59</f>
        <v>#VALUE!</v>
      </c>
      <c r="CL72" s="2"/>
      <c r="CM72" s="715" t="e">
        <f>$K58-CM59</f>
        <v>#VALUE!</v>
      </c>
      <c r="CN72" s="2"/>
      <c r="CO72" s="715" t="e">
        <f>$K58-CO59</f>
        <v>#VALUE!</v>
      </c>
      <c r="CP72" s="2"/>
      <c r="CQ72" s="715" t="e">
        <f>$K58-CQ59</f>
        <v>#VALUE!</v>
      </c>
      <c r="CR72" s="2"/>
      <c r="CS72" s="715" t="e">
        <f>$K58-CS59</f>
        <v>#VALUE!</v>
      </c>
      <c r="CT72" s="2"/>
      <c r="CU72" s="715" t="e">
        <f>$K58-CU59</f>
        <v>#VALUE!</v>
      </c>
      <c r="CV72" s="2"/>
      <c r="CW72" s="715" t="e">
        <f>$K58-CW59</f>
        <v>#VALUE!</v>
      </c>
      <c r="CX72" s="2"/>
      <c r="CY72" s="715" t="e">
        <f>$K58-CY59</f>
        <v>#VALUE!</v>
      </c>
      <c r="CZ72" s="2"/>
      <c r="DA72" s="715" t="e">
        <f>$K58-DA59</f>
        <v>#VALUE!</v>
      </c>
      <c r="DB72" s="2"/>
      <c r="DC72" s="715" t="e">
        <f>$K58-DC59</f>
        <v>#VALUE!</v>
      </c>
      <c r="DD72" s="2"/>
      <c r="DE72" s="715" t="e">
        <f>$K58-DE59</f>
        <v>#VALUE!</v>
      </c>
      <c r="DF72" s="2"/>
      <c r="DG72" s="715" t="e">
        <f>$K58-DG59</f>
        <v>#VALUE!</v>
      </c>
      <c r="DH72" s="2"/>
      <c r="DI72" s="715" t="e">
        <f>$K58-DI59</f>
        <v>#VALUE!</v>
      </c>
      <c r="DJ72" s="2"/>
      <c r="DK72" s="715" t="e">
        <f>$K58-DK59</f>
        <v>#VALUE!</v>
      </c>
      <c r="DL72" s="2"/>
      <c r="DM72" s="715" t="e">
        <f>$K58-DM59</f>
        <v>#VALUE!</v>
      </c>
      <c r="DN72" s="2"/>
      <c r="DO72" s="715" t="e">
        <f>$K58-DO59</f>
        <v>#VALUE!</v>
      </c>
      <c r="DP72" s="2"/>
      <c r="DQ72" s="715" t="e">
        <f>$K58-DQ59</f>
        <v>#VALUE!</v>
      </c>
      <c r="DR72" s="2"/>
      <c r="DS72" s="715" t="e">
        <f>$K58-DS59</f>
        <v>#VALUE!</v>
      </c>
      <c r="DT72" s="2"/>
      <c r="DU72" s="715" t="e">
        <f>$K58-DU59</f>
        <v>#VALUE!</v>
      </c>
      <c r="DV72" s="2"/>
      <c r="DW72" s="715" t="e">
        <f>$K58-DW59</f>
        <v>#VALUE!</v>
      </c>
      <c r="DX72" s="2"/>
      <c r="DY72" s="715" t="e">
        <f>$K58-DY59</f>
        <v>#VALUE!</v>
      </c>
      <c r="DZ72" s="2"/>
      <c r="EA72" s="715" t="e">
        <f>$K58-EA59</f>
        <v>#VALUE!</v>
      </c>
      <c r="EB72" s="2"/>
      <c r="EC72" s="715" t="e">
        <f>$K58-EC59</f>
        <v>#VALUE!</v>
      </c>
      <c r="ED72" s="2"/>
      <c r="EE72" s="715" t="e">
        <f>$K58-EE59</f>
        <v>#VALUE!</v>
      </c>
      <c r="EF72" s="2"/>
      <c r="EG72" s="2"/>
    </row>
    <row r="73" spans="1:137" ht="15.75" customHeight="1" x14ac:dyDescent="0.2">
      <c r="A73" s="2"/>
      <c r="B73" s="2"/>
      <c r="C73" s="726" t="s">
        <v>219</v>
      </c>
      <c r="D73" s="2376" t="s">
        <v>528</v>
      </c>
      <c r="E73" s="2376"/>
      <c r="F73" s="2376"/>
      <c r="G73" s="2345" t="s">
        <v>604</v>
      </c>
      <c r="H73" s="2345"/>
      <c r="I73" s="2345"/>
      <c r="J73" s="2345"/>
      <c r="K73" s="2345"/>
      <c r="L73" s="2345"/>
      <c r="M73" s="2345"/>
      <c r="N73" s="2345" t="s">
        <v>605</v>
      </c>
      <c r="O73" s="2345"/>
      <c r="P73" s="2345"/>
      <c r="Q73" s="2345"/>
      <c r="R73" s="2345"/>
      <c r="S73" s="2345"/>
      <c r="T73" s="2346" t="s">
        <v>606</v>
      </c>
      <c r="U73" s="2346"/>
      <c r="V73" s="2346"/>
      <c r="W73" s="727"/>
      <c r="X73" s="2541" t="s">
        <v>607</v>
      </c>
      <c r="Y73" s="2541"/>
      <c r="Z73" s="2541"/>
      <c r="AA73" s="2541"/>
      <c r="AB73" s="2541"/>
      <c r="AC73" s="2541"/>
      <c r="AD73" s="2"/>
      <c r="AE73" s="2"/>
      <c r="AF73" s="2"/>
      <c r="AG73" s="2"/>
      <c r="AH73" s="2"/>
      <c r="AI73" s="692">
        <f>F67</f>
        <v>500</v>
      </c>
      <c r="AJ73" s="2"/>
      <c r="AK73" s="692" t="e">
        <f>AK$72/$AI73</f>
        <v>#VALUE!</v>
      </c>
      <c r="AL73" s="716">
        <f t="shared" ref="AL73:AL79" si="106">IF($Q$56=0,0,FLOOR(AK73,1))</f>
        <v>0</v>
      </c>
      <c r="AM73" s="692" t="e">
        <f>AM$72/$AI73</f>
        <v>#VALUE!</v>
      </c>
      <c r="AN73" s="716">
        <f t="shared" ref="AN73:AN79" si="107">IF($Q$56=0,0,FLOOR(AM73,1))</f>
        <v>0</v>
      </c>
      <c r="AO73" s="692" t="e">
        <f>AO$72/$AI73</f>
        <v>#VALUE!</v>
      </c>
      <c r="AP73" s="716">
        <f t="shared" ref="AP73:AP79" si="108">IF($Q$56=0,0,FLOOR(AO73,1))</f>
        <v>0</v>
      </c>
      <c r="AQ73" s="692" t="e">
        <f>AQ$72/$AI73</f>
        <v>#VALUE!</v>
      </c>
      <c r="AR73" s="716">
        <f t="shared" ref="AR73:AR79" si="109">IF($Q$56=0,0,FLOOR(AQ73,1))</f>
        <v>0</v>
      </c>
      <c r="AS73" s="692" t="e">
        <f>AS$72/$AI73</f>
        <v>#VALUE!</v>
      </c>
      <c r="AT73" s="716">
        <f t="shared" ref="AT73:AT79" si="110">IF($Q$56=0,0,FLOOR(AS73,1))</f>
        <v>0</v>
      </c>
      <c r="AU73" s="692" t="e">
        <f>AU$72/$AI73</f>
        <v>#VALUE!</v>
      </c>
      <c r="AV73" s="716">
        <f t="shared" ref="AV73:AV79" si="111">IF($Q$56=0,0,FLOOR(AU73,1))</f>
        <v>0</v>
      </c>
      <c r="AW73" s="692" t="e">
        <f>AW$72/$AI73</f>
        <v>#VALUE!</v>
      </c>
      <c r="AX73" s="716">
        <f t="shared" ref="AX73:AX79" si="112">IF($Q$56=0,0,FLOOR(AW73,1))</f>
        <v>0</v>
      </c>
      <c r="AY73" s="692" t="e">
        <f>AY$72/$AI73</f>
        <v>#VALUE!</v>
      </c>
      <c r="AZ73" s="716">
        <f t="shared" ref="AZ73:AZ79" si="113">IF($Q$56=0,0,FLOOR(AY73,1))</f>
        <v>0</v>
      </c>
      <c r="BA73" s="692" t="e">
        <f>BA$72/$AI73</f>
        <v>#VALUE!</v>
      </c>
      <c r="BB73" s="716">
        <f t="shared" ref="BB73:BB79" si="114">IF($Q$56=0,0,FLOOR(BA73,1))</f>
        <v>0</v>
      </c>
      <c r="BC73" s="692" t="e">
        <f>BC$72/$AI73</f>
        <v>#VALUE!</v>
      </c>
      <c r="BD73" s="716">
        <f t="shared" ref="BD73:BD79" si="115">IF($Q$56=0,0,FLOOR(BC73,1))</f>
        <v>0</v>
      </c>
      <c r="BE73" s="692" t="e">
        <f>BE$72/$AI73</f>
        <v>#VALUE!</v>
      </c>
      <c r="BF73" s="716">
        <f t="shared" ref="BF73:BF79" si="116">IF($Q$56=0,0,FLOOR(BE73,1))</f>
        <v>0</v>
      </c>
      <c r="BG73" s="692" t="e">
        <f>BG$72/$AI73</f>
        <v>#VALUE!</v>
      </c>
      <c r="BH73" s="716">
        <f t="shared" ref="BH73:BH79" si="117">IF($Q$56=0,0,FLOOR(BG73,1))</f>
        <v>0</v>
      </c>
      <c r="BI73" s="692" t="e">
        <f>BI$72/$AI73</f>
        <v>#VALUE!</v>
      </c>
      <c r="BJ73" s="716">
        <f t="shared" ref="BJ73:BJ79" si="118">IF($Q$56=0,0,FLOOR(BI73,1))</f>
        <v>0</v>
      </c>
      <c r="BK73" s="692" t="e">
        <f>BK$72/$AI73</f>
        <v>#VALUE!</v>
      </c>
      <c r="BL73" s="716">
        <f t="shared" ref="BL73:BL79" si="119">IF($Q$56=0,0,FLOOR(BK73,1))</f>
        <v>0</v>
      </c>
      <c r="BM73" s="692" t="e">
        <f>BM$72/$AI73</f>
        <v>#VALUE!</v>
      </c>
      <c r="BN73" s="716">
        <f t="shared" ref="BN73:BN79" si="120">IF($Q$56=0,0,FLOOR(BM73,1))</f>
        <v>0</v>
      </c>
      <c r="BO73" s="692" t="e">
        <f>BO$72/$AI73</f>
        <v>#VALUE!</v>
      </c>
      <c r="BP73" s="716">
        <f t="shared" ref="BP73:BP79" si="121">IF($Q$56=0,0,FLOOR(BO73,1))</f>
        <v>0</v>
      </c>
      <c r="BQ73" s="692" t="e">
        <f>BQ$72/$AI73</f>
        <v>#VALUE!</v>
      </c>
      <c r="BR73" s="716">
        <f t="shared" ref="BR73:BR79" si="122">IF($Q$56=0,0,FLOOR(BQ73,1))</f>
        <v>0</v>
      </c>
      <c r="BS73" s="692" t="e">
        <f>BS$72/$AI73</f>
        <v>#VALUE!</v>
      </c>
      <c r="BT73" s="716">
        <f t="shared" ref="BT73:BT79" si="123">IF($Q$56=0,0,FLOOR(BS73,1))</f>
        <v>0</v>
      </c>
      <c r="BU73" s="692" t="e">
        <f>BU$72/$AI73</f>
        <v>#VALUE!</v>
      </c>
      <c r="BV73" s="716">
        <f t="shared" ref="BV73:BV79" si="124">IF($Q$56=0,0,FLOOR(BU73,1))</f>
        <v>0</v>
      </c>
      <c r="BW73" s="692" t="e">
        <f>BW$72/$AI73</f>
        <v>#VALUE!</v>
      </c>
      <c r="BX73" s="716">
        <f t="shared" ref="BX73:BX79" si="125">IF($Q$56=0,0,FLOOR(BW73,1))</f>
        <v>0</v>
      </c>
      <c r="BY73" s="692" t="e">
        <f>BY$72/$AI73</f>
        <v>#VALUE!</v>
      </c>
      <c r="BZ73" s="716">
        <f t="shared" ref="BZ73:BZ79" si="126">IF($Q$56=0,0,FLOOR(BY73,1))</f>
        <v>0</v>
      </c>
      <c r="CA73" s="692" t="e">
        <f>CA$72/$AI73</f>
        <v>#VALUE!</v>
      </c>
      <c r="CB73" s="716">
        <f t="shared" ref="CB73:CB79" si="127">IF($Q$56=0,0,FLOOR(CA73,1))</f>
        <v>0</v>
      </c>
      <c r="CC73" s="692" t="e">
        <f>CC$72/$AI73</f>
        <v>#VALUE!</v>
      </c>
      <c r="CD73" s="716">
        <f t="shared" ref="CD73:CD79" si="128">IF($Q$56=0,0,FLOOR(CC73,1))</f>
        <v>0</v>
      </c>
      <c r="CE73" s="692" t="e">
        <f>CE$72/$AI73</f>
        <v>#VALUE!</v>
      </c>
      <c r="CF73" s="716">
        <f t="shared" ref="CF73:CF79" si="129">IF($Q$56=0,0,FLOOR(CE73,1))</f>
        <v>0</v>
      </c>
      <c r="CG73" s="692" t="e">
        <f>CG$72/$AI73</f>
        <v>#VALUE!</v>
      </c>
      <c r="CH73" s="716">
        <f t="shared" ref="CH73:CH79" si="130">IF($Q$56=0,0,FLOOR(CG73,1))</f>
        <v>0</v>
      </c>
      <c r="CI73" s="692" t="e">
        <f>CI$72/$AI73</f>
        <v>#VALUE!</v>
      </c>
      <c r="CJ73" s="716">
        <f t="shared" ref="CJ73:CJ79" si="131">IF($Q$56=0,0,FLOOR(CI73,1))</f>
        <v>0</v>
      </c>
      <c r="CK73" s="692" t="e">
        <f>CK$72/$AI73</f>
        <v>#VALUE!</v>
      </c>
      <c r="CL73" s="716">
        <f t="shared" ref="CL73:CL79" si="132">IF($Q$56=0,0,FLOOR(CK73,1))</f>
        <v>0</v>
      </c>
      <c r="CM73" s="692" t="e">
        <f>CM$72/$AI73</f>
        <v>#VALUE!</v>
      </c>
      <c r="CN73" s="716">
        <f t="shared" ref="CN73:CN79" si="133">IF($Q$56=0,0,FLOOR(CM73,1))</f>
        <v>0</v>
      </c>
      <c r="CO73" s="692" t="e">
        <f>CO$72/$AI73</f>
        <v>#VALUE!</v>
      </c>
      <c r="CP73" s="716">
        <f t="shared" ref="CP73:CP79" si="134">IF($Q$56=0,0,FLOOR(CO73,1))</f>
        <v>0</v>
      </c>
      <c r="CQ73" s="692" t="e">
        <f>CQ$72/$AI73</f>
        <v>#VALUE!</v>
      </c>
      <c r="CR73" s="716">
        <f t="shared" ref="CR73:CR79" si="135">IF($Q$56=0,0,FLOOR(CQ73,1))</f>
        <v>0</v>
      </c>
      <c r="CS73" s="692" t="e">
        <f>CS$72/$AI73</f>
        <v>#VALUE!</v>
      </c>
      <c r="CT73" s="716">
        <f t="shared" ref="CT73:CT79" si="136">IF($Q$56=0,0,FLOOR(CS73,1))</f>
        <v>0</v>
      </c>
      <c r="CU73" s="692" t="e">
        <f>CU$72/$AI73</f>
        <v>#VALUE!</v>
      </c>
      <c r="CV73" s="716">
        <f t="shared" ref="CV73:CV79" si="137">IF($Q$56=0,0,FLOOR(CU73,1))</f>
        <v>0</v>
      </c>
      <c r="CW73" s="692" t="e">
        <f>CW$72/$AI73</f>
        <v>#VALUE!</v>
      </c>
      <c r="CX73" s="716">
        <f t="shared" ref="CX73:CX79" si="138">IF($Q$56=0,0,FLOOR(CW73,1))</f>
        <v>0</v>
      </c>
      <c r="CY73" s="692" t="e">
        <f>CY$72/$AI73</f>
        <v>#VALUE!</v>
      </c>
      <c r="CZ73" s="716">
        <f t="shared" ref="CZ73:CZ79" si="139">IF($Q$56=0,0,FLOOR(CY73,1))</f>
        <v>0</v>
      </c>
      <c r="DA73" s="692" t="e">
        <f>DA$72/$AI73</f>
        <v>#VALUE!</v>
      </c>
      <c r="DB73" s="716">
        <f t="shared" ref="DB73:DB79" si="140">IF($Q$56=0,0,FLOOR(DA73,1))</f>
        <v>0</v>
      </c>
      <c r="DC73" s="692" t="e">
        <f>DC$72/$AI73</f>
        <v>#VALUE!</v>
      </c>
      <c r="DD73" s="716">
        <f t="shared" ref="DD73:DD79" si="141">IF($Q$56=0,0,FLOOR(DC73,1))</f>
        <v>0</v>
      </c>
      <c r="DE73" s="692" t="e">
        <f>DE$72/$AI73</f>
        <v>#VALUE!</v>
      </c>
      <c r="DF73" s="716">
        <f t="shared" ref="DF73:DF79" si="142">IF($Q$56=0,0,FLOOR(DE73,1))</f>
        <v>0</v>
      </c>
      <c r="DG73" s="692" t="e">
        <f>DG$72/$AI73</f>
        <v>#VALUE!</v>
      </c>
      <c r="DH73" s="716">
        <f t="shared" ref="DH73:DH79" si="143">IF($Q$56=0,0,FLOOR(DG73,1))</f>
        <v>0</v>
      </c>
      <c r="DI73" s="692" t="e">
        <f>DI$72/$AI73</f>
        <v>#VALUE!</v>
      </c>
      <c r="DJ73" s="716">
        <f t="shared" ref="DJ73:DJ79" si="144">IF($Q$56=0,0,FLOOR(DI73,1))</f>
        <v>0</v>
      </c>
      <c r="DK73" s="692" t="e">
        <f>DK$72/$AI73</f>
        <v>#VALUE!</v>
      </c>
      <c r="DL73" s="716">
        <f t="shared" ref="DL73:DL79" si="145">IF($Q$56=0,0,FLOOR(DK73,1))</f>
        <v>0</v>
      </c>
      <c r="DM73" s="692" t="e">
        <f>DM$72/$AI73</f>
        <v>#VALUE!</v>
      </c>
      <c r="DN73" s="716">
        <f t="shared" ref="DN73:DN79" si="146">IF($Q$56=0,0,FLOOR(DM73,1))</f>
        <v>0</v>
      </c>
      <c r="DO73" s="692" t="e">
        <f>DO$72/$AI73</f>
        <v>#VALUE!</v>
      </c>
      <c r="DP73" s="716">
        <f t="shared" ref="DP73:DP79" si="147">IF($Q$56=0,0,FLOOR(DO73,1))</f>
        <v>0</v>
      </c>
      <c r="DQ73" s="692" t="e">
        <f>DQ$72/$AI73</f>
        <v>#VALUE!</v>
      </c>
      <c r="DR73" s="716">
        <f t="shared" ref="DR73:DR79" si="148">IF($Q$56=0,0,FLOOR(DQ73,1))</f>
        <v>0</v>
      </c>
      <c r="DS73" s="692" t="e">
        <f>DS$72/$AI73</f>
        <v>#VALUE!</v>
      </c>
      <c r="DT73" s="716">
        <f t="shared" ref="DT73:DT79" si="149">IF($Q$56=0,0,FLOOR(DS73,1))</f>
        <v>0</v>
      </c>
      <c r="DU73" s="692" t="e">
        <f>DU$72/$AI73</f>
        <v>#VALUE!</v>
      </c>
      <c r="DV73" s="716">
        <f t="shared" ref="DV73:DV79" si="150">IF($Q$56=0,0,FLOOR(DU73,1))</f>
        <v>0</v>
      </c>
      <c r="DW73" s="692" t="e">
        <f>DW$72/$AI73</f>
        <v>#VALUE!</v>
      </c>
      <c r="DX73" s="716">
        <f t="shared" ref="DX73:DX79" si="151">IF($Q$56=0,0,FLOOR(DW73,1))</f>
        <v>0</v>
      </c>
      <c r="DY73" s="692" t="e">
        <f>DY$72/$AI73</f>
        <v>#VALUE!</v>
      </c>
      <c r="DZ73" s="716">
        <f t="shared" ref="DZ73:DZ79" si="152">IF($Q$56=0,0,FLOOR(DY73,1))</f>
        <v>0</v>
      </c>
      <c r="EA73" s="692" t="e">
        <f>EA$72/$AI73</f>
        <v>#VALUE!</v>
      </c>
      <c r="EB73" s="716">
        <f t="shared" ref="EB73:EB79" si="153">IF($Q$56=0,0,FLOOR(EA73,1))</f>
        <v>0</v>
      </c>
      <c r="EC73" s="692" t="e">
        <f>EC$72/$AI73</f>
        <v>#VALUE!</v>
      </c>
      <c r="ED73" s="716">
        <f t="shared" ref="ED73:ED79" si="154">IF($Q$56=0,0,FLOOR(EC73,1))</f>
        <v>0</v>
      </c>
      <c r="EE73" s="692" t="e">
        <f>EE$72/$AI73</f>
        <v>#VALUE!</v>
      </c>
      <c r="EF73" s="716">
        <f t="shared" ref="EF73:EF79" si="155">IF($Q$56=0,0,FLOOR(EE73,1))</f>
        <v>0</v>
      </c>
      <c r="EG73" s="2"/>
    </row>
    <row r="74" spans="1:137" ht="15.75" customHeight="1" x14ac:dyDescent="0.2">
      <c r="A74" s="2"/>
      <c r="B74" s="2"/>
      <c r="C74" s="897">
        <v>1</v>
      </c>
      <c r="D74" s="2347" t="str">
        <f>IF(AJ$84&gt;0,AI$84,IF(AJ$85&gt;0,AI$85,IF(AJ$86&gt;0,AI$86,"")))</f>
        <v/>
      </c>
      <c r="E74" s="2347"/>
      <c r="F74" s="2347"/>
      <c r="G74" s="2348"/>
      <c r="H74" s="2348"/>
      <c r="I74" s="2348"/>
      <c r="J74" s="2348"/>
      <c r="K74" s="2348"/>
      <c r="L74" s="2348"/>
      <c r="M74" s="2348"/>
      <c r="N74" s="2348"/>
      <c r="O74" s="2348"/>
      <c r="P74" s="2348"/>
      <c r="Q74" s="2348"/>
      <c r="R74" s="2348"/>
      <c r="S74" s="2348"/>
      <c r="T74" s="2349"/>
      <c r="U74" s="2349"/>
      <c r="V74" s="2349"/>
      <c r="W74" s="728"/>
      <c r="X74" s="728"/>
      <c r="Y74" s="728"/>
      <c r="Z74" s="2542">
        <f>IF(D74&lt;&gt;D75,T74,0)</f>
        <v>0</v>
      </c>
      <c r="AA74" s="2542"/>
      <c r="AB74" s="2542"/>
      <c r="AC74" s="2542"/>
      <c r="AD74" s="2344" t="str">
        <f>IF(Z74=0,"",IF(VLOOKUP(D74,C$21:T$24,18,FALSE)=Z74,"OK","ERROR"))</f>
        <v/>
      </c>
      <c r="AE74" s="2344"/>
      <c r="AF74" s="2"/>
      <c r="AG74" s="2"/>
      <c r="AH74" s="2"/>
      <c r="AI74" s="696">
        <f>F66</f>
        <v>200</v>
      </c>
      <c r="AJ74" s="2"/>
      <c r="AK74" s="696" t="e">
        <f t="shared" ref="AK74:AK79" si="156">IF(AL73=0,AK$72/$AI74,(AK$72-(AL73*$AI73))/$AI74)</f>
        <v>#VALUE!</v>
      </c>
      <c r="AL74" s="717">
        <f t="shared" si="106"/>
        <v>0</v>
      </c>
      <c r="AM74" s="696" t="e">
        <f t="shared" ref="AM74:AM79" si="157">IF(AN73=0,AM$72/$AI74,(AM$72-(AN73*$AI73))/$AI74)</f>
        <v>#VALUE!</v>
      </c>
      <c r="AN74" s="717">
        <f t="shared" si="107"/>
        <v>0</v>
      </c>
      <c r="AO74" s="696" t="e">
        <f t="shared" ref="AO74:AO79" si="158">IF(AP73=0,AO$72/$AI74,(AO$72-(AP73*$AI73))/$AI74)</f>
        <v>#VALUE!</v>
      </c>
      <c r="AP74" s="717">
        <f t="shared" si="108"/>
        <v>0</v>
      </c>
      <c r="AQ74" s="696" t="e">
        <f t="shared" ref="AQ74:AQ79" si="159">IF(AR73=0,AQ$72/$AI74,(AQ$72-(AR73*$AI73))/$AI74)</f>
        <v>#VALUE!</v>
      </c>
      <c r="AR74" s="717">
        <f t="shared" si="109"/>
        <v>0</v>
      </c>
      <c r="AS74" s="696" t="e">
        <f t="shared" ref="AS74:AS79" si="160">IF(AT73=0,AS$72/$AI74,(AS$72-(AT73*$AI73))/$AI74)</f>
        <v>#VALUE!</v>
      </c>
      <c r="AT74" s="717">
        <f t="shared" si="110"/>
        <v>0</v>
      </c>
      <c r="AU74" s="696" t="e">
        <f t="shared" ref="AU74:AU79" si="161">IF(AV73=0,AU$72/$AI74,(AU$72-(AV73*$AI73))/$AI74)</f>
        <v>#VALUE!</v>
      </c>
      <c r="AV74" s="717">
        <f t="shared" si="111"/>
        <v>0</v>
      </c>
      <c r="AW74" s="696" t="e">
        <f t="shared" ref="AW74:AW79" si="162">IF(AX73=0,AW$72/$AI74,(AW$72-(AX73*$AI73))/$AI74)</f>
        <v>#VALUE!</v>
      </c>
      <c r="AX74" s="717">
        <f t="shared" si="112"/>
        <v>0</v>
      </c>
      <c r="AY74" s="696" t="e">
        <f t="shared" ref="AY74:AY79" si="163">IF(AZ73=0,AY$72/$AI74,(AY$72-(AZ73*$AI73))/$AI74)</f>
        <v>#VALUE!</v>
      </c>
      <c r="AZ74" s="717">
        <f t="shared" si="113"/>
        <v>0</v>
      </c>
      <c r="BA74" s="696" t="e">
        <f t="shared" ref="BA74:BA79" si="164">IF(BB73=0,BA$72/$AI74,(BA$72-(BB73*$AI73))/$AI74)</f>
        <v>#VALUE!</v>
      </c>
      <c r="BB74" s="717">
        <f t="shared" si="114"/>
        <v>0</v>
      </c>
      <c r="BC74" s="696" t="e">
        <f t="shared" ref="BC74:BC79" si="165">IF(BD73=0,BC$72/$AI74,(BC$72-(BD73*$AI73))/$AI74)</f>
        <v>#VALUE!</v>
      </c>
      <c r="BD74" s="717">
        <f t="shared" si="115"/>
        <v>0</v>
      </c>
      <c r="BE74" s="696" t="e">
        <f t="shared" ref="BE74:BE79" si="166">IF(BF73=0,BE$72/$AI74,(BE$72-(BF73*$AI73))/$AI74)</f>
        <v>#VALUE!</v>
      </c>
      <c r="BF74" s="717">
        <f t="shared" si="116"/>
        <v>0</v>
      </c>
      <c r="BG74" s="696" t="e">
        <f t="shared" ref="BG74:BG79" si="167">IF(BH73=0,BG$72/$AI74,(BG$72-(BH73*$AI73))/$AI74)</f>
        <v>#VALUE!</v>
      </c>
      <c r="BH74" s="717">
        <f t="shared" si="117"/>
        <v>0</v>
      </c>
      <c r="BI74" s="696" t="e">
        <f t="shared" ref="BI74:BI79" si="168">IF(BJ73=0,BI$72/$AI74,(BI$72-(BJ73*$AI73))/$AI74)</f>
        <v>#VALUE!</v>
      </c>
      <c r="BJ74" s="717">
        <f t="shared" si="118"/>
        <v>0</v>
      </c>
      <c r="BK74" s="696" t="e">
        <f t="shared" ref="BK74:BK79" si="169">IF(BL73=0,BK$72/$AI74,(BK$72-(BL73*$AI73))/$AI74)</f>
        <v>#VALUE!</v>
      </c>
      <c r="BL74" s="717">
        <f t="shared" si="119"/>
        <v>0</v>
      </c>
      <c r="BM74" s="696" t="e">
        <f t="shared" ref="BM74:BM79" si="170">IF(BN73=0,BM$72/$AI74,(BM$72-(BN73*$AI73))/$AI74)</f>
        <v>#VALUE!</v>
      </c>
      <c r="BN74" s="717">
        <f t="shared" si="120"/>
        <v>0</v>
      </c>
      <c r="BO74" s="696" t="e">
        <f t="shared" ref="BO74:BO79" si="171">IF(BP73=0,BO$72/$AI74,(BO$72-(BP73*$AI73))/$AI74)</f>
        <v>#VALUE!</v>
      </c>
      <c r="BP74" s="717">
        <f t="shared" si="121"/>
        <v>0</v>
      </c>
      <c r="BQ74" s="696" t="e">
        <f t="shared" ref="BQ74:BQ79" si="172">IF(BR73=0,BQ$72/$AI74,(BQ$72-(BR73*$AI73))/$AI74)</f>
        <v>#VALUE!</v>
      </c>
      <c r="BR74" s="717">
        <f t="shared" si="122"/>
        <v>0</v>
      </c>
      <c r="BS74" s="696" t="e">
        <f t="shared" ref="BS74:BS79" si="173">IF(BT73=0,BS$72/$AI74,(BS$72-(BT73*$AI73))/$AI74)</f>
        <v>#VALUE!</v>
      </c>
      <c r="BT74" s="717">
        <f t="shared" si="123"/>
        <v>0</v>
      </c>
      <c r="BU74" s="696" t="e">
        <f t="shared" ref="BU74:BU79" si="174">IF(BV73=0,BU$72/$AI74,(BU$72-(BV73*$AI73))/$AI74)</f>
        <v>#VALUE!</v>
      </c>
      <c r="BV74" s="717">
        <f t="shared" si="124"/>
        <v>0</v>
      </c>
      <c r="BW74" s="696" t="e">
        <f t="shared" ref="BW74:BW79" si="175">IF(BX73=0,BW$72/$AI74,(BW$72-(BX73*$AI73))/$AI74)</f>
        <v>#VALUE!</v>
      </c>
      <c r="BX74" s="717">
        <f t="shared" si="125"/>
        <v>0</v>
      </c>
      <c r="BY74" s="696" t="e">
        <f t="shared" ref="BY74:BY79" si="176">IF(BZ73=0,BY$72/$AI74,(BY$72-(BZ73*$AI73))/$AI74)</f>
        <v>#VALUE!</v>
      </c>
      <c r="BZ74" s="717">
        <f t="shared" si="126"/>
        <v>0</v>
      </c>
      <c r="CA74" s="696" t="e">
        <f t="shared" ref="CA74:CA79" si="177">IF(CB73=0,CA$72/$AI74,(CA$72-(CB73*$AI73))/$AI74)</f>
        <v>#VALUE!</v>
      </c>
      <c r="CB74" s="717">
        <f t="shared" si="127"/>
        <v>0</v>
      </c>
      <c r="CC74" s="696" t="e">
        <f t="shared" ref="CC74:CC79" si="178">IF(CD73=0,CC$72/$AI74,(CC$72-(CD73*$AI73))/$AI74)</f>
        <v>#VALUE!</v>
      </c>
      <c r="CD74" s="717">
        <f t="shared" si="128"/>
        <v>0</v>
      </c>
      <c r="CE74" s="696" t="e">
        <f t="shared" ref="CE74:CE79" si="179">IF(CF73=0,CE$72/$AI74,(CE$72-(CF73*$AI73))/$AI74)</f>
        <v>#VALUE!</v>
      </c>
      <c r="CF74" s="717">
        <f t="shared" si="129"/>
        <v>0</v>
      </c>
      <c r="CG74" s="696" t="e">
        <f t="shared" ref="CG74:CG79" si="180">IF(CH73=0,CG$72/$AI74,(CG$72-(CH73*$AI73))/$AI74)</f>
        <v>#VALUE!</v>
      </c>
      <c r="CH74" s="717">
        <f t="shared" si="130"/>
        <v>0</v>
      </c>
      <c r="CI74" s="696" t="e">
        <f t="shared" ref="CI74:CI79" si="181">IF(CJ73=0,CI$72/$AI74,(CI$72-(CJ73*$AI73))/$AI74)</f>
        <v>#VALUE!</v>
      </c>
      <c r="CJ74" s="717">
        <f t="shared" si="131"/>
        <v>0</v>
      </c>
      <c r="CK74" s="696" t="e">
        <f t="shared" ref="CK74:CK79" si="182">IF(CL73=0,CK$72/$AI74,(CK$72-(CL73*$AI73))/$AI74)</f>
        <v>#VALUE!</v>
      </c>
      <c r="CL74" s="717">
        <f t="shared" si="132"/>
        <v>0</v>
      </c>
      <c r="CM74" s="696" t="e">
        <f t="shared" ref="CM74:CM79" si="183">IF(CN73=0,CM$72/$AI74,(CM$72-(CN73*$AI73))/$AI74)</f>
        <v>#VALUE!</v>
      </c>
      <c r="CN74" s="717">
        <f t="shared" si="133"/>
        <v>0</v>
      </c>
      <c r="CO74" s="696" t="e">
        <f t="shared" ref="CO74:CO79" si="184">IF(CP73=0,CO$72/$AI74,(CO$72-(CP73*$AI73))/$AI74)</f>
        <v>#VALUE!</v>
      </c>
      <c r="CP74" s="717">
        <f t="shared" si="134"/>
        <v>0</v>
      </c>
      <c r="CQ74" s="696" t="e">
        <f t="shared" ref="CQ74:CQ79" si="185">IF(CR73=0,CQ$72/$AI74,(CQ$72-(CR73*$AI73))/$AI74)</f>
        <v>#VALUE!</v>
      </c>
      <c r="CR74" s="717">
        <f t="shared" si="135"/>
        <v>0</v>
      </c>
      <c r="CS74" s="696" t="e">
        <f t="shared" ref="CS74:CS79" si="186">IF(CT73=0,CS$72/$AI74,(CS$72-(CT73*$AI73))/$AI74)</f>
        <v>#VALUE!</v>
      </c>
      <c r="CT74" s="717">
        <f t="shared" si="136"/>
        <v>0</v>
      </c>
      <c r="CU74" s="696" t="e">
        <f t="shared" ref="CU74:CU79" si="187">IF(CV73=0,CU$72/$AI74,(CU$72-(CV73*$AI73))/$AI74)</f>
        <v>#VALUE!</v>
      </c>
      <c r="CV74" s="717">
        <f t="shared" si="137"/>
        <v>0</v>
      </c>
      <c r="CW74" s="696" t="e">
        <f t="shared" ref="CW74:CW79" si="188">IF(CX73=0,CW$72/$AI74,(CW$72-(CX73*$AI73))/$AI74)</f>
        <v>#VALUE!</v>
      </c>
      <c r="CX74" s="717">
        <f t="shared" si="138"/>
        <v>0</v>
      </c>
      <c r="CY74" s="696" t="e">
        <f t="shared" ref="CY74:CY79" si="189">IF(CZ73=0,CY$72/$AI74,(CY$72-(CZ73*$AI73))/$AI74)</f>
        <v>#VALUE!</v>
      </c>
      <c r="CZ74" s="717">
        <f t="shared" si="139"/>
        <v>0</v>
      </c>
      <c r="DA74" s="696" t="e">
        <f t="shared" ref="DA74:DA79" si="190">IF(DB73=0,DA$72/$AI74,(DA$72-(DB73*$AI73))/$AI74)</f>
        <v>#VALUE!</v>
      </c>
      <c r="DB74" s="717">
        <f t="shared" si="140"/>
        <v>0</v>
      </c>
      <c r="DC74" s="696" t="e">
        <f t="shared" ref="DC74:DC79" si="191">IF(DD73=0,DC$72/$AI74,(DC$72-(DD73*$AI73))/$AI74)</f>
        <v>#VALUE!</v>
      </c>
      <c r="DD74" s="717">
        <f t="shared" si="141"/>
        <v>0</v>
      </c>
      <c r="DE74" s="696" t="e">
        <f t="shared" ref="DE74:DE79" si="192">IF(DF73=0,DE$72/$AI74,(DE$72-(DF73*$AI73))/$AI74)</f>
        <v>#VALUE!</v>
      </c>
      <c r="DF74" s="717">
        <f t="shared" si="142"/>
        <v>0</v>
      </c>
      <c r="DG74" s="696" t="e">
        <f t="shared" ref="DG74:DG79" si="193">IF(DH73=0,DG$72/$AI74,(DG$72-(DH73*$AI73))/$AI74)</f>
        <v>#VALUE!</v>
      </c>
      <c r="DH74" s="717">
        <f t="shared" si="143"/>
        <v>0</v>
      </c>
      <c r="DI74" s="696" t="e">
        <f t="shared" ref="DI74:DI79" si="194">IF(DJ73=0,DI$72/$AI74,(DI$72-(DJ73*$AI73))/$AI74)</f>
        <v>#VALUE!</v>
      </c>
      <c r="DJ74" s="717">
        <f t="shared" si="144"/>
        <v>0</v>
      </c>
      <c r="DK74" s="696" t="e">
        <f t="shared" ref="DK74:DK79" si="195">IF(DL73=0,DK$72/$AI74,(DK$72-(DL73*$AI73))/$AI74)</f>
        <v>#VALUE!</v>
      </c>
      <c r="DL74" s="717">
        <f t="shared" si="145"/>
        <v>0</v>
      </c>
      <c r="DM74" s="696" t="e">
        <f t="shared" ref="DM74:DM79" si="196">IF(DN73=0,DM$72/$AI74,(DM$72-(DN73*$AI73))/$AI74)</f>
        <v>#VALUE!</v>
      </c>
      <c r="DN74" s="717">
        <f t="shared" si="146"/>
        <v>0</v>
      </c>
      <c r="DO74" s="696" t="e">
        <f t="shared" ref="DO74:DO79" si="197">IF(DP73=0,DO$72/$AI74,(DO$72-(DP73*$AI73))/$AI74)</f>
        <v>#VALUE!</v>
      </c>
      <c r="DP74" s="717">
        <f t="shared" si="147"/>
        <v>0</v>
      </c>
      <c r="DQ74" s="696" t="e">
        <f t="shared" ref="DQ74:DQ79" si="198">IF(DR73=0,DQ$72/$AI74,(DQ$72-(DR73*$AI73))/$AI74)</f>
        <v>#VALUE!</v>
      </c>
      <c r="DR74" s="717">
        <f t="shared" si="148"/>
        <v>0</v>
      </c>
      <c r="DS74" s="696" t="e">
        <f t="shared" ref="DS74:DS79" si="199">IF(DT73=0,DS$72/$AI74,(DS$72-(DT73*$AI73))/$AI74)</f>
        <v>#VALUE!</v>
      </c>
      <c r="DT74" s="717">
        <f t="shared" si="149"/>
        <v>0</v>
      </c>
      <c r="DU74" s="696" t="e">
        <f t="shared" ref="DU74:DU79" si="200">IF(DV73=0,DU$72/$AI74,(DU$72-(DV73*$AI73))/$AI74)</f>
        <v>#VALUE!</v>
      </c>
      <c r="DV74" s="717">
        <f t="shared" si="150"/>
        <v>0</v>
      </c>
      <c r="DW74" s="696" t="e">
        <f t="shared" ref="DW74:DW79" si="201">IF(DX73=0,DW$72/$AI74,(DW$72-(DX73*$AI73))/$AI74)</f>
        <v>#VALUE!</v>
      </c>
      <c r="DX74" s="717">
        <f t="shared" si="151"/>
        <v>0</v>
      </c>
      <c r="DY74" s="696" t="e">
        <f t="shared" ref="DY74:DY79" si="202">IF(DZ73=0,DY$72/$AI74,(DY$72-(DZ73*$AI73))/$AI74)</f>
        <v>#VALUE!</v>
      </c>
      <c r="DZ74" s="717">
        <f t="shared" si="152"/>
        <v>0</v>
      </c>
      <c r="EA74" s="696" t="e">
        <f t="shared" ref="EA74:EA79" si="203">IF(EB73=0,EA$72/$AI74,(EA$72-(EB73*$AI73))/$AI74)</f>
        <v>#VALUE!</v>
      </c>
      <c r="EB74" s="717">
        <f t="shared" si="153"/>
        <v>0</v>
      </c>
      <c r="EC74" s="696" t="e">
        <f t="shared" ref="EC74:EC79" si="204">IF(ED73=0,EC$72/$AI74,(EC$72-(ED73*$AI73))/$AI74)</f>
        <v>#VALUE!</v>
      </c>
      <c r="ED74" s="717">
        <f t="shared" si="154"/>
        <v>0</v>
      </c>
      <c r="EE74" s="696" t="e">
        <f t="shared" ref="EE74:EE79" si="205">IF(EF73=0,EE$72/$AI74,(EE$72-(EF73*$AI73))/$AI74)</f>
        <v>#VALUE!</v>
      </c>
      <c r="EF74" s="717">
        <f t="shared" si="155"/>
        <v>0</v>
      </c>
      <c r="EG74" s="2"/>
    </row>
    <row r="75" spans="1:137" ht="15.75" customHeight="1" x14ac:dyDescent="0.2">
      <c r="A75" s="2"/>
      <c r="B75" s="2"/>
      <c r="C75" s="729">
        <v>2</v>
      </c>
      <c r="D75" s="2341" t="str">
        <f t="shared" ref="D75:D103" si="206">IF(C75&gt;AJ$87,"",IF((AJ$87-AJ$86)&lt;C75,AI$86,IF((AJ$87-AJ$86-AJ$85)&lt;C75,AI$85,IF((AJ$87-AJ$86)&lt;C75,AI$85,AI$84))))</f>
        <v/>
      </c>
      <c r="E75" s="2341"/>
      <c r="F75" s="2341"/>
      <c r="G75" s="2342"/>
      <c r="H75" s="2342"/>
      <c r="I75" s="2342"/>
      <c r="J75" s="2342"/>
      <c r="K75" s="2342"/>
      <c r="L75" s="2342"/>
      <c r="M75" s="2342"/>
      <c r="N75" s="2342"/>
      <c r="O75" s="2342"/>
      <c r="P75" s="2342"/>
      <c r="Q75" s="2342"/>
      <c r="R75" s="2342"/>
      <c r="S75" s="2342"/>
      <c r="T75" s="2343"/>
      <c r="U75" s="2343"/>
      <c r="V75" s="2343"/>
      <c r="W75" s="116"/>
      <c r="X75" s="116"/>
      <c r="Y75" s="116"/>
      <c r="Z75" s="2340">
        <f>IF(D75&lt;&gt;D76,SUMIF(D$74:F75,D75,T$74:V75),0)</f>
        <v>0</v>
      </c>
      <c r="AA75" s="2340"/>
      <c r="AB75" s="2340"/>
      <c r="AC75" s="2340"/>
      <c r="AD75" s="2344" t="str">
        <f t="shared" ref="AD75:AD103" si="207">IF(Z75=0,"",IF(VLOOKUP(D75,C$21:T$24,18,FALSE)=Z75,"OK","ERROR"))</f>
        <v/>
      </c>
      <c r="AE75" s="2344"/>
      <c r="AF75" s="2"/>
      <c r="AG75" s="2"/>
      <c r="AH75" s="2"/>
      <c r="AI75" s="696">
        <f>F65</f>
        <v>100</v>
      </c>
      <c r="AJ75" s="2"/>
      <c r="AK75" s="696" t="e">
        <f t="shared" si="156"/>
        <v>#VALUE!</v>
      </c>
      <c r="AL75" s="717">
        <f t="shared" si="106"/>
        <v>0</v>
      </c>
      <c r="AM75" s="696" t="e">
        <f t="shared" si="157"/>
        <v>#VALUE!</v>
      </c>
      <c r="AN75" s="717">
        <f t="shared" si="107"/>
        <v>0</v>
      </c>
      <c r="AO75" s="696" t="e">
        <f t="shared" si="158"/>
        <v>#VALUE!</v>
      </c>
      <c r="AP75" s="717">
        <f t="shared" si="108"/>
        <v>0</v>
      </c>
      <c r="AQ75" s="696" t="e">
        <f t="shared" si="159"/>
        <v>#VALUE!</v>
      </c>
      <c r="AR75" s="717">
        <f t="shared" si="109"/>
        <v>0</v>
      </c>
      <c r="AS75" s="696" t="e">
        <f t="shared" si="160"/>
        <v>#VALUE!</v>
      </c>
      <c r="AT75" s="717">
        <f t="shared" si="110"/>
        <v>0</v>
      </c>
      <c r="AU75" s="696" t="e">
        <f t="shared" si="161"/>
        <v>#VALUE!</v>
      </c>
      <c r="AV75" s="717">
        <f t="shared" si="111"/>
        <v>0</v>
      </c>
      <c r="AW75" s="696" t="e">
        <f t="shared" si="162"/>
        <v>#VALUE!</v>
      </c>
      <c r="AX75" s="717">
        <f t="shared" si="112"/>
        <v>0</v>
      </c>
      <c r="AY75" s="696" t="e">
        <f t="shared" si="163"/>
        <v>#VALUE!</v>
      </c>
      <c r="AZ75" s="717">
        <f t="shared" si="113"/>
        <v>0</v>
      </c>
      <c r="BA75" s="696" t="e">
        <f t="shared" si="164"/>
        <v>#VALUE!</v>
      </c>
      <c r="BB75" s="717">
        <f t="shared" si="114"/>
        <v>0</v>
      </c>
      <c r="BC75" s="696" t="e">
        <f t="shared" si="165"/>
        <v>#VALUE!</v>
      </c>
      <c r="BD75" s="717">
        <f t="shared" si="115"/>
        <v>0</v>
      </c>
      <c r="BE75" s="696" t="e">
        <f t="shared" si="166"/>
        <v>#VALUE!</v>
      </c>
      <c r="BF75" s="717">
        <f t="shared" si="116"/>
        <v>0</v>
      </c>
      <c r="BG75" s="696" t="e">
        <f t="shared" si="167"/>
        <v>#VALUE!</v>
      </c>
      <c r="BH75" s="717">
        <f t="shared" si="117"/>
        <v>0</v>
      </c>
      <c r="BI75" s="696" t="e">
        <f t="shared" si="168"/>
        <v>#VALUE!</v>
      </c>
      <c r="BJ75" s="717">
        <f t="shared" si="118"/>
        <v>0</v>
      </c>
      <c r="BK75" s="696" t="e">
        <f t="shared" si="169"/>
        <v>#VALUE!</v>
      </c>
      <c r="BL75" s="717">
        <f t="shared" si="119"/>
        <v>0</v>
      </c>
      <c r="BM75" s="696" t="e">
        <f t="shared" si="170"/>
        <v>#VALUE!</v>
      </c>
      <c r="BN75" s="717">
        <f t="shared" si="120"/>
        <v>0</v>
      </c>
      <c r="BO75" s="696" t="e">
        <f t="shared" si="171"/>
        <v>#VALUE!</v>
      </c>
      <c r="BP75" s="717">
        <f t="shared" si="121"/>
        <v>0</v>
      </c>
      <c r="BQ75" s="696" t="e">
        <f t="shared" si="172"/>
        <v>#VALUE!</v>
      </c>
      <c r="BR75" s="717">
        <f t="shared" si="122"/>
        <v>0</v>
      </c>
      <c r="BS75" s="696" t="e">
        <f t="shared" si="173"/>
        <v>#VALUE!</v>
      </c>
      <c r="BT75" s="717">
        <f t="shared" si="123"/>
        <v>0</v>
      </c>
      <c r="BU75" s="696" t="e">
        <f t="shared" si="174"/>
        <v>#VALUE!</v>
      </c>
      <c r="BV75" s="717">
        <f t="shared" si="124"/>
        <v>0</v>
      </c>
      <c r="BW75" s="696" t="e">
        <f t="shared" si="175"/>
        <v>#VALUE!</v>
      </c>
      <c r="BX75" s="717">
        <f t="shared" si="125"/>
        <v>0</v>
      </c>
      <c r="BY75" s="696" t="e">
        <f t="shared" si="176"/>
        <v>#VALUE!</v>
      </c>
      <c r="BZ75" s="717">
        <f t="shared" si="126"/>
        <v>0</v>
      </c>
      <c r="CA75" s="696" t="e">
        <f t="shared" si="177"/>
        <v>#VALUE!</v>
      </c>
      <c r="CB75" s="717">
        <f t="shared" si="127"/>
        <v>0</v>
      </c>
      <c r="CC75" s="696" t="e">
        <f t="shared" si="178"/>
        <v>#VALUE!</v>
      </c>
      <c r="CD75" s="717">
        <f t="shared" si="128"/>
        <v>0</v>
      </c>
      <c r="CE75" s="696" t="e">
        <f t="shared" si="179"/>
        <v>#VALUE!</v>
      </c>
      <c r="CF75" s="717">
        <f t="shared" si="129"/>
        <v>0</v>
      </c>
      <c r="CG75" s="696" t="e">
        <f t="shared" si="180"/>
        <v>#VALUE!</v>
      </c>
      <c r="CH75" s="717">
        <f t="shared" si="130"/>
        <v>0</v>
      </c>
      <c r="CI75" s="696" t="e">
        <f t="shared" si="181"/>
        <v>#VALUE!</v>
      </c>
      <c r="CJ75" s="717">
        <f t="shared" si="131"/>
        <v>0</v>
      </c>
      <c r="CK75" s="696" t="e">
        <f t="shared" si="182"/>
        <v>#VALUE!</v>
      </c>
      <c r="CL75" s="717">
        <f t="shared" si="132"/>
        <v>0</v>
      </c>
      <c r="CM75" s="696" t="e">
        <f t="shared" si="183"/>
        <v>#VALUE!</v>
      </c>
      <c r="CN75" s="717">
        <f t="shared" si="133"/>
        <v>0</v>
      </c>
      <c r="CO75" s="696" t="e">
        <f t="shared" si="184"/>
        <v>#VALUE!</v>
      </c>
      <c r="CP75" s="717">
        <f t="shared" si="134"/>
        <v>0</v>
      </c>
      <c r="CQ75" s="696" t="e">
        <f t="shared" si="185"/>
        <v>#VALUE!</v>
      </c>
      <c r="CR75" s="717">
        <f t="shared" si="135"/>
        <v>0</v>
      </c>
      <c r="CS75" s="696" t="e">
        <f t="shared" si="186"/>
        <v>#VALUE!</v>
      </c>
      <c r="CT75" s="717">
        <f t="shared" si="136"/>
        <v>0</v>
      </c>
      <c r="CU75" s="696" t="e">
        <f t="shared" si="187"/>
        <v>#VALUE!</v>
      </c>
      <c r="CV75" s="717">
        <f t="shared" si="137"/>
        <v>0</v>
      </c>
      <c r="CW75" s="696" t="e">
        <f t="shared" si="188"/>
        <v>#VALUE!</v>
      </c>
      <c r="CX75" s="717">
        <f t="shared" si="138"/>
        <v>0</v>
      </c>
      <c r="CY75" s="696" t="e">
        <f t="shared" si="189"/>
        <v>#VALUE!</v>
      </c>
      <c r="CZ75" s="717">
        <f t="shared" si="139"/>
        <v>0</v>
      </c>
      <c r="DA75" s="696" t="e">
        <f t="shared" si="190"/>
        <v>#VALUE!</v>
      </c>
      <c r="DB75" s="717">
        <f t="shared" si="140"/>
        <v>0</v>
      </c>
      <c r="DC75" s="696" t="e">
        <f t="shared" si="191"/>
        <v>#VALUE!</v>
      </c>
      <c r="DD75" s="717">
        <f t="shared" si="141"/>
        <v>0</v>
      </c>
      <c r="DE75" s="696" t="e">
        <f t="shared" si="192"/>
        <v>#VALUE!</v>
      </c>
      <c r="DF75" s="717">
        <f t="shared" si="142"/>
        <v>0</v>
      </c>
      <c r="DG75" s="696" t="e">
        <f t="shared" si="193"/>
        <v>#VALUE!</v>
      </c>
      <c r="DH75" s="717">
        <f t="shared" si="143"/>
        <v>0</v>
      </c>
      <c r="DI75" s="696" t="e">
        <f t="shared" si="194"/>
        <v>#VALUE!</v>
      </c>
      <c r="DJ75" s="717">
        <f t="shared" si="144"/>
        <v>0</v>
      </c>
      <c r="DK75" s="696" t="e">
        <f t="shared" si="195"/>
        <v>#VALUE!</v>
      </c>
      <c r="DL75" s="717">
        <f t="shared" si="145"/>
        <v>0</v>
      </c>
      <c r="DM75" s="696" t="e">
        <f t="shared" si="196"/>
        <v>#VALUE!</v>
      </c>
      <c r="DN75" s="717">
        <f t="shared" si="146"/>
        <v>0</v>
      </c>
      <c r="DO75" s="696" t="e">
        <f t="shared" si="197"/>
        <v>#VALUE!</v>
      </c>
      <c r="DP75" s="717">
        <f t="shared" si="147"/>
        <v>0</v>
      </c>
      <c r="DQ75" s="696" t="e">
        <f t="shared" si="198"/>
        <v>#VALUE!</v>
      </c>
      <c r="DR75" s="717">
        <f t="shared" si="148"/>
        <v>0</v>
      </c>
      <c r="DS75" s="696" t="e">
        <f t="shared" si="199"/>
        <v>#VALUE!</v>
      </c>
      <c r="DT75" s="717">
        <f t="shared" si="149"/>
        <v>0</v>
      </c>
      <c r="DU75" s="696" t="e">
        <f t="shared" si="200"/>
        <v>#VALUE!</v>
      </c>
      <c r="DV75" s="717">
        <f t="shared" si="150"/>
        <v>0</v>
      </c>
      <c r="DW75" s="696" t="e">
        <f t="shared" si="201"/>
        <v>#VALUE!</v>
      </c>
      <c r="DX75" s="717">
        <f t="shared" si="151"/>
        <v>0</v>
      </c>
      <c r="DY75" s="696" t="e">
        <f t="shared" si="202"/>
        <v>#VALUE!</v>
      </c>
      <c r="DZ75" s="717">
        <f t="shared" si="152"/>
        <v>0</v>
      </c>
      <c r="EA75" s="696" t="e">
        <f t="shared" si="203"/>
        <v>#VALUE!</v>
      </c>
      <c r="EB75" s="717">
        <f t="shared" si="153"/>
        <v>0</v>
      </c>
      <c r="EC75" s="696" t="e">
        <f t="shared" si="204"/>
        <v>#VALUE!</v>
      </c>
      <c r="ED75" s="717">
        <f t="shared" si="154"/>
        <v>0</v>
      </c>
      <c r="EE75" s="696" t="e">
        <f t="shared" si="205"/>
        <v>#VALUE!</v>
      </c>
      <c r="EF75" s="717">
        <f t="shared" si="155"/>
        <v>0</v>
      </c>
      <c r="EG75" s="2"/>
    </row>
    <row r="76" spans="1:137" ht="15.75" customHeight="1" x14ac:dyDescent="0.2">
      <c r="A76" s="2"/>
      <c r="B76" s="2"/>
      <c r="C76" s="729">
        <v>3</v>
      </c>
      <c r="D76" s="2341" t="str">
        <f t="shared" si="206"/>
        <v/>
      </c>
      <c r="E76" s="2341"/>
      <c r="F76" s="2341"/>
      <c r="G76" s="2342"/>
      <c r="H76" s="2342"/>
      <c r="I76" s="2342"/>
      <c r="J76" s="2342"/>
      <c r="K76" s="2342"/>
      <c r="L76" s="2342"/>
      <c r="M76" s="2342"/>
      <c r="N76" s="2342"/>
      <c r="O76" s="2342"/>
      <c r="P76" s="2342"/>
      <c r="Q76" s="2342"/>
      <c r="R76" s="2342"/>
      <c r="S76" s="2342"/>
      <c r="T76" s="2343"/>
      <c r="U76" s="2343"/>
      <c r="V76" s="2343"/>
      <c r="W76" s="116"/>
      <c r="X76" s="116"/>
      <c r="Y76" s="116"/>
      <c r="Z76" s="2340">
        <f>IF(D76&lt;&gt;D77,SUMIF(D$74:F76,D76,T$74:V76),0)</f>
        <v>0</v>
      </c>
      <c r="AA76" s="2340"/>
      <c r="AB76" s="2340"/>
      <c r="AC76" s="2340"/>
      <c r="AD76" s="2344" t="str">
        <f t="shared" si="207"/>
        <v/>
      </c>
      <c r="AE76" s="2344"/>
      <c r="AF76" s="2"/>
      <c r="AG76" s="2"/>
      <c r="AH76" s="2"/>
      <c r="AI76" s="696">
        <f>F64</f>
        <v>50</v>
      </c>
      <c r="AJ76" s="2"/>
      <c r="AK76" s="696" t="e">
        <f t="shared" si="156"/>
        <v>#VALUE!</v>
      </c>
      <c r="AL76" s="717">
        <f t="shared" si="106"/>
        <v>0</v>
      </c>
      <c r="AM76" s="696" t="e">
        <f t="shared" si="157"/>
        <v>#VALUE!</v>
      </c>
      <c r="AN76" s="717">
        <f t="shared" si="107"/>
        <v>0</v>
      </c>
      <c r="AO76" s="696" t="e">
        <f t="shared" si="158"/>
        <v>#VALUE!</v>
      </c>
      <c r="AP76" s="717">
        <f t="shared" si="108"/>
        <v>0</v>
      </c>
      <c r="AQ76" s="696" t="e">
        <f t="shared" si="159"/>
        <v>#VALUE!</v>
      </c>
      <c r="AR76" s="717">
        <f t="shared" si="109"/>
        <v>0</v>
      </c>
      <c r="AS76" s="696" t="e">
        <f t="shared" si="160"/>
        <v>#VALUE!</v>
      </c>
      <c r="AT76" s="717">
        <f t="shared" si="110"/>
        <v>0</v>
      </c>
      <c r="AU76" s="696" t="e">
        <f t="shared" si="161"/>
        <v>#VALUE!</v>
      </c>
      <c r="AV76" s="717">
        <f t="shared" si="111"/>
        <v>0</v>
      </c>
      <c r="AW76" s="696" t="e">
        <f t="shared" si="162"/>
        <v>#VALUE!</v>
      </c>
      <c r="AX76" s="717">
        <f t="shared" si="112"/>
        <v>0</v>
      </c>
      <c r="AY76" s="696" t="e">
        <f t="shared" si="163"/>
        <v>#VALUE!</v>
      </c>
      <c r="AZ76" s="717">
        <f t="shared" si="113"/>
        <v>0</v>
      </c>
      <c r="BA76" s="696" t="e">
        <f t="shared" si="164"/>
        <v>#VALUE!</v>
      </c>
      <c r="BB76" s="717">
        <f t="shared" si="114"/>
        <v>0</v>
      </c>
      <c r="BC76" s="696" t="e">
        <f t="shared" si="165"/>
        <v>#VALUE!</v>
      </c>
      <c r="BD76" s="717">
        <f t="shared" si="115"/>
        <v>0</v>
      </c>
      <c r="BE76" s="696" t="e">
        <f t="shared" si="166"/>
        <v>#VALUE!</v>
      </c>
      <c r="BF76" s="717">
        <f t="shared" si="116"/>
        <v>0</v>
      </c>
      <c r="BG76" s="696" t="e">
        <f t="shared" si="167"/>
        <v>#VALUE!</v>
      </c>
      <c r="BH76" s="717">
        <f t="shared" si="117"/>
        <v>0</v>
      </c>
      <c r="BI76" s="696" t="e">
        <f t="shared" si="168"/>
        <v>#VALUE!</v>
      </c>
      <c r="BJ76" s="717">
        <f t="shared" si="118"/>
        <v>0</v>
      </c>
      <c r="BK76" s="696" t="e">
        <f t="shared" si="169"/>
        <v>#VALUE!</v>
      </c>
      <c r="BL76" s="717">
        <f t="shared" si="119"/>
        <v>0</v>
      </c>
      <c r="BM76" s="696" t="e">
        <f t="shared" si="170"/>
        <v>#VALUE!</v>
      </c>
      <c r="BN76" s="717">
        <f t="shared" si="120"/>
        <v>0</v>
      </c>
      <c r="BO76" s="696" t="e">
        <f t="shared" si="171"/>
        <v>#VALUE!</v>
      </c>
      <c r="BP76" s="717">
        <f t="shared" si="121"/>
        <v>0</v>
      </c>
      <c r="BQ76" s="696" t="e">
        <f t="shared" si="172"/>
        <v>#VALUE!</v>
      </c>
      <c r="BR76" s="717">
        <f t="shared" si="122"/>
        <v>0</v>
      </c>
      <c r="BS76" s="696" t="e">
        <f t="shared" si="173"/>
        <v>#VALUE!</v>
      </c>
      <c r="BT76" s="717">
        <f t="shared" si="123"/>
        <v>0</v>
      </c>
      <c r="BU76" s="696" t="e">
        <f t="shared" si="174"/>
        <v>#VALUE!</v>
      </c>
      <c r="BV76" s="717">
        <f t="shared" si="124"/>
        <v>0</v>
      </c>
      <c r="BW76" s="696" t="e">
        <f t="shared" si="175"/>
        <v>#VALUE!</v>
      </c>
      <c r="BX76" s="717">
        <f t="shared" si="125"/>
        <v>0</v>
      </c>
      <c r="BY76" s="696" t="e">
        <f t="shared" si="176"/>
        <v>#VALUE!</v>
      </c>
      <c r="BZ76" s="717">
        <f t="shared" si="126"/>
        <v>0</v>
      </c>
      <c r="CA76" s="696" t="e">
        <f t="shared" si="177"/>
        <v>#VALUE!</v>
      </c>
      <c r="CB76" s="717">
        <f t="shared" si="127"/>
        <v>0</v>
      </c>
      <c r="CC76" s="696" t="e">
        <f t="shared" si="178"/>
        <v>#VALUE!</v>
      </c>
      <c r="CD76" s="717">
        <f t="shared" si="128"/>
        <v>0</v>
      </c>
      <c r="CE76" s="696" t="e">
        <f t="shared" si="179"/>
        <v>#VALUE!</v>
      </c>
      <c r="CF76" s="717">
        <f t="shared" si="129"/>
        <v>0</v>
      </c>
      <c r="CG76" s="696" t="e">
        <f t="shared" si="180"/>
        <v>#VALUE!</v>
      </c>
      <c r="CH76" s="717">
        <f t="shared" si="130"/>
        <v>0</v>
      </c>
      <c r="CI76" s="696" t="e">
        <f t="shared" si="181"/>
        <v>#VALUE!</v>
      </c>
      <c r="CJ76" s="717">
        <f t="shared" si="131"/>
        <v>0</v>
      </c>
      <c r="CK76" s="696" t="e">
        <f t="shared" si="182"/>
        <v>#VALUE!</v>
      </c>
      <c r="CL76" s="717">
        <f t="shared" si="132"/>
        <v>0</v>
      </c>
      <c r="CM76" s="696" t="e">
        <f t="shared" si="183"/>
        <v>#VALUE!</v>
      </c>
      <c r="CN76" s="717">
        <f t="shared" si="133"/>
        <v>0</v>
      </c>
      <c r="CO76" s="696" t="e">
        <f t="shared" si="184"/>
        <v>#VALUE!</v>
      </c>
      <c r="CP76" s="717">
        <f t="shared" si="134"/>
        <v>0</v>
      </c>
      <c r="CQ76" s="696" t="e">
        <f t="shared" si="185"/>
        <v>#VALUE!</v>
      </c>
      <c r="CR76" s="717">
        <f t="shared" si="135"/>
        <v>0</v>
      </c>
      <c r="CS76" s="696" t="e">
        <f t="shared" si="186"/>
        <v>#VALUE!</v>
      </c>
      <c r="CT76" s="717">
        <f t="shared" si="136"/>
        <v>0</v>
      </c>
      <c r="CU76" s="696" t="e">
        <f t="shared" si="187"/>
        <v>#VALUE!</v>
      </c>
      <c r="CV76" s="717">
        <f t="shared" si="137"/>
        <v>0</v>
      </c>
      <c r="CW76" s="696" t="e">
        <f t="shared" si="188"/>
        <v>#VALUE!</v>
      </c>
      <c r="CX76" s="717">
        <f t="shared" si="138"/>
        <v>0</v>
      </c>
      <c r="CY76" s="696" t="e">
        <f t="shared" si="189"/>
        <v>#VALUE!</v>
      </c>
      <c r="CZ76" s="717">
        <f t="shared" si="139"/>
        <v>0</v>
      </c>
      <c r="DA76" s="696" t="e">
        <f t="shared" si="190"/>
        <v>#VALUE!</v>
      </c>
      <c r="DB76" s="717">
        <f t="shared" si="140"/>
        <v>0</v>
      </c>
      <c r="DC76" s="696" t="e">
        <f t="shared" si="191"/>
        <v>#VALUE!</v>
      </c>
      <c r="DD76" s="717">
        <f t="shared" si="141"/>
        <v>0</v>
      </c>
      <c r="DE76" s="696" t="e">
        <f t="shared" si="192"/>
        <v>#VALUE!</v>
      </c>
      <c r="DF76" s="717">
        <f t="shared" si="142"/>
        <v>0</v>
      </c>
      <c r="DG76" s="696" t="e">
        <f t="shared" si="193"/>
        <v>#VALUE!</v>
      </c>
      <c r="DH76" s="717">
        <f t="shared" si="143"/>
        <v>0</v>
      </c>
      <c r="DI76" s="696" t="e">
        <f t="shared" si="194"/>
        <v>#VALUE!</v>
      </c>
      <c r="DJ76" s="717">
        <f t="shared" si="144"/>
        <v>0</v>
      </c>
      <c r="DK76" s="696" t="e">
        <f t="shared" si="195"/>
        <v>#VALUE!</v>
      </c>
      <c r="DL76" s="717">
        <f t="shared" si="145"/>
        <v>0</v>
      </c>
      <c r="DM76" s="696" t="e">
        <f t="shared" si="196"/>
        <v>#VALUE!</v>
      </c>
      <c r="DN76" s="717">
        <f t="shared" si="146"/>
        <v>0</v>
      </c>
      <c r="DO76" s="696" t="e">
        <f t="shared" si="197"/>
        <v>#VALUE!</v>
      </c>
      <c r="DP76" s="717">
        <f t="shared" si="147"/>
        <v>0</v>
      </c>
      <c r="DQ76" s="696" t="e">
        <f t="shared" si="198"/>
        <v>#VALUE!</v>
      </c>
      <c r="DR76" s="717">
        <f t="shared" si="148"/>
        <v>0</v>
      </c>
      <c r="DS76" s="696" t="e">
        <f t="shared" si="199"/>
        <v>#VALUE!</v>
      </c>
      <c r="DT76" s="717">
        <f t="shared" si="149"/>
        <v>0</v>
      </c>
      <c r="DU76" s="696" t="e">
        <f t="shared" si="200"/>
        <v>#VALUE!</v>
      </c>
      <c r="DV76" s="717">
        <f t="shared" si="150"/>
        <v>0</v>
      </c>
      <c r="DW76" s="696" t="e">
        <f t="shared" si="201"/>
        <v>#VALUE!</v>
      </c>
      <c r="DX76" s="717">
        <f t="shared" si="151"/>
        <v>0</v>
      </c>
      <c r="DY76" s="696" t="e">
        <f t="shared" si="202"/>
        <v>#VALUE!</v>
      </c>
      <c r="DZ76" s="717">
        <f t="shared" si="152"/>
        <v>0</v>
      </c>
      <c r="EA76" s="696" t="e">
        <f t="shared" si="203"/>
        <v>#VALUE!</v>
      </c>
      <c r="EB76" s="717">
        <f t="shared" si="153"/>
        <v>0</v>
      </c>
      <c r="EC76" s="696" t="e">
        <f t="shared" si="204"/>
        <v>#VALUE!</v>
      </c>
      <c r="ED76" s="717">
        <f t="shared" si="154"/>
        <v>0</v>
      </c>
      <c r="EE76" s="696" t="e">
        <f t="shared" si="205"/>
        <v>#VALUE!</v>
      </c>
      <c r="EF76" s="717">
        <f t="shared" si="155"/>
        <v>0</v>
      </c>
      <c r="EG76" s="2"/>
    </row>
    <row r="77" spans="1:137" ht="15.75" customHeight="1" x14ac:dyDescent="0.2">
      <c r="A77" s="2"/>
      <c r="B77" s="2"/>
      <c r="C77" s="729">
        <v>4</v>
      </c>
      <c r="D77" s="2341" t="str">
        <f t="shared" si="206"/>
        <v/>
      </c>
      <c r="E77" s="2341"/>
      <c r="F77" s="2341"/>
      <c r="G77" s="2342"/>
      <c r="H77" s="2342"/>
      <c r="I77" s="2342"/>
      <c r="J77" s="2342"/>
      <c r="K77" s="2342"/>
      <c r="L77" s="2342"/>
      <c r="M77" s="2342"/>
      <c r="N77" s="2342"/>
      <c r="O77" s="2342"/>
      <c r="P77" s="2342"/>
      <c r="Q77" s="2342"/>
      <c r="R77" s="2342"/>
      <c r="S77" s="2342"/>
      <c r="T77" s="2343"/>
      <c r="U77" s="2343"/>
      <c r="V77" s="2343"/>
      <c r="W77" s="116"/>
      <c r="X77" s="116"/>
      <c r="Y77" s="116"/>
      <c r="Z77" s="2340">
        <f>IF(D77&lt;&gt;D78,SUMIF(D$74:F77,D77,T$74:V77),0)</f>
        <v>0</v>
      </c>
      <c r="AA77" s="2340"/>
      <c r="AB77" s="2340"/>
      <c r="AC77" s="2340"/>
      <c r="AD77" s="2344" t="str">
        <f t="shared" si="207"/>
        <v/>
      </c>
      <c r="AE77" s="2344"/>
      <c r="AF77" s="2"/>
      <c r="AG77" s="2"/>
      <c r="AH77" s="2"/>
      <c r="AI77" s="696">
        <f>F63</f>
        <v>20</v>
      </c>
      <c r="AJ77" s="2"/>
      <c r="AK77" s="696" t="e">
        <f t="shared" si="156"/>
        <v>#VALUE!</v>
      </c>
      <c r="AL77" s="717">
        <f t="shared" si="106"/>
        <v>0</v>
      </c>
      <c r="AM77" s="696" t="e">
        <f t="shared" si="157"/>
        <v>#VALUE!</v>
      </c>
      <c r="AN77" s="717">
        <f t="shared" si="107"/>
        <v>0</v>
      </c>
      <c r="AO77" s="696" t="e">
        <f t="shared" si="158"/>
        <v>#VALUE!</v>
      </c>
      <c r="AP77" s="717">
        <f t="shared" si="108"/>
        <v>0</v>
      </c>
      <c r="AQ77" s="696" t="e">
        <f t="shared" si="159"/>
        <v>#VALUE!</v>
      </c>
      <c r="AR77" s="717">
        <f t="shared" si="109"/>
        <v>0</v>
      </c>
      <c r="AS77" s="696" t="e">
        <f t="shared" si="160"/>
        <v>#VALUE!</v>
      </c>
      <c r="AT77" s="717">
        <f t="shared" si="110"/>
        <v>0</v>
      </c>
      <c r="AU77" s="696" t="e">
        <f t="shared" si="161"/>
        <v>#VALUE!</v>
      </c>
      <c r="AV77" s="717">
        <f t="shared" si="111"/>
        <v>0</v>
      </c>
      <c r="AW77" s="696" t="e">
        <f t="shared" si="162"/>
        <v>#VALUE!</v>
      </c>
      <c r="AX77" s="717">
        <f t="shared" si="112"/>
        <v>0</v>
      </c>
      <c r="AY77" s="696" t="e">
        <f t="shared" si="163"/>
        <v>#VALUE!</v>
      </c>
      <c r="AZ77" s="717">
        <f t="shared" si="113"/>
        <v>0</v>
      </c>
      <c r="BA77" s="696" t="e">
        <f t="shared" si="164"/>
        <v>#VALUE!</v>
      </c>
      <c r="BB77" s="717">
        <f t="shared" si="114"/>
        <v>0</v>
      </c>
      <c r="BC77" s="696" t="e">
        <f t="shared" si="165"/>
        <v>#VALUE!</v>
      </c>
      <c r="BD77" s="717">
        <f t="shared" si="115"/>
        <v>0</v>
      </c>
      <c r="BE77" s="696" t="e">
        <f t="shared" si="166"/>
        <v>#VALUE!</v>
      </c>
      <c r="BF77" s="717">
        <f t="shared" si="116"/>
        <v>0</v>
      </c>
      <c r="BG77" s="696" t="e">
        <f t="shared" si="167"/>
        <v>#VALUE!</v>
      </c>
      <c r="BH77" s="717">
        <f t="shared" si="117"/>
        <v>0</v>
      </c>
      <c r="BI77" s="696" t="e">
        <f t="shared" si="168"/>
        <v>#VALUE!</v>
      </c>
      <c r="BJ77" s="717">
        <f t="shared" si="118"/>
        <v>0</v>
      </c>
      <c r="BK77" s="696" t="e">
        <f t="shared" si="169"/>
        <v>#VALUE!</v>
      </c>
      <c r="BL77" s="717">
        <f t="shared" si="119"/>
        <v>0</v>
      </c>
      <c r="BM77" s="696" t="e">
        <f t="shared" si="170"/>
        <v>#VALUE!</v>
      </c>
      <c r="BN77" s="717">
        <f t="shared" si="120"/>
        <v>0</v>
      </c>
      <c r="BO77" s="696" t="e">
        <f t="shared" si="171"/>
        <v>#VALUE!</v>
      </c>
      <c r="BP77" s="717">
        <f t="shared" si="121"/>
        <v>0</v>
      </c>
      <c r="BQ77" s="696" t="e">
        <f t="shared" si="172"/>
        <v>#VALUE!</v>
      </c>
      <c r="BR77" s="717">
        <f t="shared" si="122"/>
        <v>0</v>
      </c>
      <c r="BS77" s="696" t="e">
        <f t="shared" si="173"/>
        <v>#VALUE!</v>
      </c>
      <c r="BT77" s="717">
        <f t="shared" si="123"/>
        <v>0</v>
      </c>
      <c r="BU77" s="696" t="e">
        <f t="shared" si="174"/>
        <v>#VALUE!</v>
      </c>
      <c r="BV77" s="717">
        <f t="shared" si="124"/>
        <v>0</v>
      </c>
      <c r="BW77" s="696" t="e">
        <f t="shared" si="175"/>
        <v>#VALUE!</v>
      </c>
      <c r="BX77" s="717">
        <f t="shared" si="125"/>
        <v>0</v>
      </c>
      <c r="BY77" s="696" t="e">
        <f t="shared" si="176"/>
        <v>#VALUE!</v>
      </c>
      <c r="BZ77" s="717">
        <f t="shared" si="126"/>
        <v>0</v>
      </c>
      <c r="CA77" s="696" t="e">
        <f t="shared" si="177"/>
        <v>#VALUE!</v>
      </c>
      <c r="CB77" s="717">
        <f t="shared" si="127"/>
        <v>0</v>
      </c>
      <c r="CC77" s="696" t="e">
        <f t="shared" si="178"/>
        <v>#VALUE!</v>
      </c>
      <c r="CD77" s="717">
        <f t="shared" si="128"/>
        <v>0</v>
      </c>
      <c r="CE77" s="696" t="e">
        <f t="shared" si="179"/>
        <v>#VALUE!</v>
      </c>
      <c r="CF77" s="717">
        <f t="shared" si="129"/>
        <v>0</v>
      </c>
      <c r="CG77" s="696" t="e">
        <f t="shared" si="180"/>
        <v>#VALUE!</v>
      </c>
      <c r="CH77" s="717">
        <f t="shared" si="130"/>
        <v>0</v>
      </c>
      <c r="CI77" s="696" t="e">
        <f t="shared" si="181"/>
        <v>#VALUE!</v>
      </c>
      <c r="CJ77" s="717">
        <f t="shared" si="131"/>
        <v>0</v>
      </c>
      <c r="CK77" s="696" t="e">
        <f t="shared" si="182"/>
        <v>#VALUE!</v>
      </c>
      <c r="CL77" s="717">
        <f t="shared" si="132"/>
        <v>0</v>
      </c>
      <c r="CM77" s="696" t="e">
        <f t="shared" si="183"/>
        <v>#VALUE!</v>
      </c>
      <c r="CN77" s="717">
        <f t="shared" si="133"/>
        <v>0</v>
      </c>
      <c r="CO77" s="696" t="e">
        <f t="shared" si="184"/>
        <v>#VALUE!</v>
      </c>
      <c r="CP77" s="717">
        <f t="shared" si="134"/>
        <v>0</v>
      </c>
      <c r="CQ77" s="696" t="e">
        <f t="shared" si="185"/>
        <v>#VALUE!</v>
      </c>
      <c r="CR77" s="717">
        <f t="shared" si="135"/>
        <v>0</v>
      </c>
      <c r="CS77" s="696" t="e">
        <f t="shared" si="186"/>
        <v>#VALUE!</v>
      </c>
      <c r="CT77" s="717">
        <f t="shared" si="136"/>
        <v>0</v>
      </c>
      <c r="CU77" s="696" t="e">
        <f t="shared" si="187"/>
        <v>#VALUE!</v>
      </c>
      <c r="CV77" s="717">
        <f t="shared" si="137"/>
        <v>0</v>
      </c>
      <c r="CW77" s="696" t="e">
        <f t="shared" si="188"/>
        <v>#VALUE!</v>
      </c>
      <c r="CX77" s="717">
        <f t="shared" si="138"/>
        <v>0</v>
      </c>
      <c r="CY77" s="696" t="e">
        <f t="shared" si="189"/>
        <v>#VALUE!</v>
      </c>
      <c r="CZ77" s="717">
        <f t="shared" si="139"/>
        <v>0</v>
      </c>
      <c r="DA77" s="696" t="e">
        <f t="shared" si="190"/>
        <v>#VALUE!</v>
      </c>
      <c r="DB77" s="717">
        <f t="shared" si="140"/>
        <v>0</v>
      </c>
      <c r="DC77" s="696" t="e">
        <f t="shared" si="191"/>
        <v>#VALUE!</v>
      </c>
      <c r="DD77" s="717">
        <f t="shared" si="141"/>
        <v>0</v>
      </c>
      <c r="DE77" s="696" t="e">
        <f t="shared" si="192"/>
        <v>#VALUE!</v>
      </c>
      <c r="DF77" s="717">
        <f t="shared" si="142"/>
        <v>0</v>
      </c>
      <c r="DG77" s="696" t="e">
        <f t="shared" si="193"/>
        <v>#VALUE!</v>
      </c>
      <c r="DH77" s="717">
        <f t="shared" si="143"/>
        <v>0</v>
      </c>
      <c r="DI77" s="696" t="e">
        <f t="shared" si="194"/>
        <v>#VALUE!</v>
      </c>
      <c r="DJ77" s="717">
        <f t="shared" si="144"/>
        <v>0</v>
      </c>
      <c r="DK77" s="696" t="e">
        <f t="shared" si="195"/>
        <v>#VALUE!</v>
      </c>
      <c r="DL77" s="717">
        <f t="shared" si="145"/>
        <v>0</v>
      </c>
      <c r="DM77" s="696" t="e">
        <f t="shared" si="196"/>
        <v>#VALUE!</v>
      </c>
      <c r="DN77" s="717">
        <f t="shared" si="146"/>
        <v>0</v>
      </c>
      <c r="DO77" s="696" t="e">
        <f t="shared" si="197"/>
        <v>#VALUE!</v>
      </c>
      <c r="DP77" s="717">
        <f t="shared" si="147"/>
        <v>0</v>
      </c>
      <c r="DQ77" s="696" t="e">
        <f t="shared" si="198"/>
        <v>#VALUE!</v>
      </c>
      <c r="DR77" s="717">
        <f t="shared" si="148"/>
        <v>0</v>
      </c>
      <c r="DS77" s="696" t="e">
        <f t="shared" si="199"/>
        <v>#VALUE!</v>
      </c>
      <c r="DT77" s="717">
        <f t="shared" si="149"/>
        <v>0</v>
      </c>
      <c r="DU77" s="696" t="e">
        <f t="shared" si="200"/>
        <v>#VALUE!</v>
      </c>
      <c r="DV77" s="717">
        <f t="shared" si="150"/>
        <v>0</v>
      </c>
      <c r="DW77" s="696" t="e">
        <f t="shared" si="201"/>
        <v>#VALUE!</v>
      </c>
      <c r="DX77" s="717">
        <f t="shared" si="151"/>
        <v>0</v>
      </c>
      <c r="DY77" s="696" t="e">
        <f t="shared" si="202"/>
        <v>#VALUE!</v>
      </c>
      <c r="DZ77" s="717">
        <f t="shared" si="152"/>
        <v>0</v>
      </c>
      <c r="EA77" s="696" t="e">
        <f t="shared" si="203"/>
        <v>#VALUE!</v>
      </c>
      <c r="EB77" s="717">
        <f t="shared" si="153"/>
        <v>0</v>
      </c>
      <c r="EC77" s="696" t="e">
        <f t="shared" si="204"/>
        <v>#VALUE!</v>
      </c>
      <c r="ED77" s="717">
        <f t="shared" si="154"/>
        <v>0</v>
      </c>
      <c r="EE77" s="696" t="e">
        <f t="shared" si="205"/>
        <v>#VALUE!</v>
      </c>
      <c r="EF77" s="717">
        <f t="shared" si="155"/>
        <v>0</v>
      </c>
      <c r="EG77" s="2"/>
    </row>
    <row r="78" spans="1:137" ht="15.75" customHeight="1" x14ac:dyDescent="0.2">
      <c r="A78" s="2"/>
      <c r="B78" s="2"/>
      <c r="C78" s="729">
        <v>5</v>
      </c>
      <c r="D78" s="2341" t="str">
        <f t="shared" si="206"/>
        <v/>
      </c>
      <c r="E78" s="2341"/>
      <c r="F78" s="2341"/>
      <c r="G78" s="2342"/>
      <c r="H78" s="2342"/>
      <c r="I78" s="2342"/>
      <c r="J78" s="2342"/>
      <c r="K78" s="2342"/>
      <c r="L78" s="2342"/>
      <c r="M78" s="2342"/>
      <c r="N78" s="2342"/>
      <c r="O78" s="2342"/>
      <c r="P78" s="2342"/>
      <c r="Q78" s="2342"/>
      <c r="R78" s="2342"/>
      <c r="S78" s="2342"/>
      <c r="T78" s="2343"/>
      <c r="U78" s="2343"/>
      <c r="V78" s="2343"/>
      <c r="W78" s="116"/>
      <c r="X78" s="116"/>
      <c r="Y78" s="116"/>
      <c r="Z78" s="2340">
        <f>IF(D78&lt;&gt;D79,SUMIF(D$74:F78,D78,T$74:V78),0)</f>
        <v>0</v>
      </c>
      <c r="AA78" s="2340"/>
      <c r="AB78" s="2340"/>
      <c r="AC78" s="2340"/>
      <c r="AD78" s="2344" t="str">
        <f t="shared" si="207"/>
        <v/>
      </c>
      <c r="AE78" s="2344"/>
      <c r="AF78" s="2"/>
      <c r="AG78" s="2"/>
      <c r="AH78" s="2"/>
      <c r="AI78" s="696">
        <f>F62</f>
        <v>10</v>
      </c>
      <c r="AJ78" s="2"/>
      <c r="AK78" s="696" t="e">
        <f t="shared" si="156"/>
        <v>#VALUE!</v>
      </c>
      <c r="AL78" s="717">
        <f t="shared" si="106"/>
        <v>0</v>
      </c>
      <c r="AM78" s="696" t="e">
        <f t="shared" si="157"/>
        <v>#VALUE!</v>
      </c>
      <c r="AN78" s="717">
        <f t="shared" si="107"/>
        <v>0</v>
      </c>
      <c r="AO78" s="696" t="e">
        <f t="shared" si="158"/>
        <v>#VALUE!</v>
      </c>
      <c r="AP78" s="717">
        <f t="shared" si="108"/>
        <v>0</v>
      </c>
      <c r="AQ78" s="696" t="e">
        <f t="shared" si="159"/>
        <v>#VALUE!</v>
      </c>
      <c r="AR78" s="717">
        <f t="shared" si="109"/>
        <v>0</v>
      </c>
      <c r="AS78" s="696" t="e">
        <f t="shared" si="160"/>
        <v>#VALUE!</v>
      </c>
      <c r="AT78" s="717">
        <f t="shared" si="110"/>
        <v>0</v>
      </c>
      <c r="AU78" s="696" t="e">
        <f t="shared" si="161"/>
        <v>#VALUE!</v>
      </c>
      <c r="AV78" s="717">
        <f t="shared" si="111"/>
        <v>0</v>
      </c>
      <c r="AW78" s="696" t="e">
        <f t="shared" si="162"/>
        <v>#VALUE!</v>
      </c>
      <c r="AX78" s="717">
        <f t="shared" si="112"/>
        <v>0</v>
      </c>
      <c r="AY78" s="696" t="e">
        <f t="shared" si="163"/>
        <v>#VALUE!</v>
      </c>
      <c r="AZ78" s="717">
        <f t="shared" si="113"/>
        <v>0</v>
      </c>
      <c r="BA78" s="696" t="e">
        <f t="shared" si="164"/>
        <v>#VALUE!</v>
      </c>
      <c r="BB78" s="717">
        <f t="shared" si="114"/>
        <v>0</v>
      </c>
      <c r="BC78" s="696" t="e">
        <f t="shared" si="165"/>
        <v>#VALUE!</v>
      </c>
      <c r="BD78" s="717">
        <f t="shared" si="115"/>
        <v>0</v>
      </c>
      <c r="BE78" s="696" t="e">
        <f t="shared" si="166"/>
        <v>#VALUE!</v>
      </c>
      <c r="BF78" s="717">
        <f t="shared" si="116"/>
        <v>0</v>
      </c>
      <c r="BG78" s="696" t="e">
        <f t="shared" si="167"/>
        <v>#VALUE!</v>
      </c>
      <c r="BH78" s="717">
        <f t="shared" si="117"/>
        <v>0</v>
      </c>
      <c r="BI78" s="696" t="e">
        <f t="shared" si="168"/>
        <v>#VALUE!</v>
      </c>
      <c r="BJ78" s="717">
        <f t="shared" si="118"/>
        <v>0</v>
      </c>
      <c r="BK78" s="696" t="e">
        <f t="shared" si="169"/>
        <v>#VALUE!</v>
      </c>
      <c r="BL78" s="717">
        <f t="shared" si="119"/>
        <v>0</v>
      </c>
      <c r="BM78" s="696" t="e">
        <f t="shared" si="170"/>
        <v>#VALUE!</v>
      </c>
      <c r="BN78" s="717">
        <f t="shared" si="120"/>
        <v>0</v>
      </c>
      <c r="BO78" s="696" t="e">
        <f t="shared" si="171"/>
        <v>#VALUE!</v>
      </c>
      <c r="BP78" s="717">
        <f t="shared" si="121"/>
        <v>0</v>
      </c>
      <c r="BQ78" s="696" t="e">
        <f t="shared" si="172"/>
        <v>#VALUE!</v>
      </c>
      <c r="BR78" s="717">
        <f t="shared" si="122"/>
        <v>0</v>
      </c>
      <c r="BS78" s="696" t="e">
        <f t="shared" si="173"/>
        <v>#VALUE!</v>
      </c>
      <c r="BT78" s="717">
        <f t="shared" si="123"/>
        <v>0</v>
      </c>
      <c r="BU78" s="696" t="e">
        <f t="shared" si="174"/>
        <v>#VALUE!</v>
      </c>
      <c r="BV78" s="717">
        <f t="shared" si="124"/>
        <v>0</v>
      </c>
      <c r="BW78" s="696" t="e">
        <f t="shared" si="175"/>
        <v>#VALUE!</v>
      </c>
      <c r="BX78" s="717">
        <f t="shared" si="125"/>
        <v>0</v>
      </c>
      <c r="BY78" s="696" t="e">
        <f t="shared" si="176"/>
        <v>#VALUE!</v>
      </c>
      <c r="BZ78" s="717">
        <f t="shared" si="126"/>
        <v>0</v>
      </c>
      <c r="CA78" s="696" t="e">
        <f t="shared" si="177"/>
        <v>#VALUE!</v>
      </c>
      <c r="CB78" s="717">
        <f t="shared" si="127"/>
        <v>0</v>
      </c>
      <c r="CC78" s="696" t="e">
        <f t="shared" si="178"/>
        <v>#VALUE!</v>
      </c>
      <c r="CD78" s="717">
        <f t="shared" si="128"/>
        <v>0</v>
      </c>
      <c r="CE78" s="696" t="e">
        <f t="shared" si="179"/>
        <v>#VALUE!</v>
      </c>
      <c r="CF78" s="717">
        <f t="shared" si="129"/>
        <v>0</v>
      </c>
      <c r="CG78" s="696" t="e">
        <f t="shared" si="180"/>
        <v>#VALUE!</v>
      </c>
      <c r="CH78" s="717">
        <f t="shared" si="130"/>
        <v>0</v>
      </c>
      <c r="CI78" s="696" t="e">
        <f t="shared" si="181"/>
        <v>#VALUE!</v>
      </c>
      <c r="CJ78" s="717">
        <f t="shared" si="131"/>
        <v>0</v>
      </c>
      <c r="CK78" s="696" t="e">
        <f t="shared" si="182"/>
        <v>#VALUE!</v>
      </c>
      <c r="CL78" s="717">
        <f t="shared" si="132"/>
        <v>0</v>
      </c>
      <c r="CM78" s="696" t="e">
        <f t="shared" si="183"/>
        <v>#VALUE!</v>
      </c>
      <c r="CN78" s="717">
        <f t="shared" si="133"/>
        <v>0</v>
      </c>
      <c r="CO78" s="696" t="e">
        <f t="shared" si="184"/>
        <v>#VALUE!</v>
      </c>
      <c r="CP78" s="717">
        <f t="shared" si="134"/>
        <v>0</v>
      </c>
      <c r="CQ78" s="696" t="e">
        <f t="shared" si="185"/>
        <v>#VALUE!</v>
      </c>
      <c r="CR78" s="717">
        <f t="shared" si="135"/>
        <v>0</v>
      </c>
      <c r="CS78" s="696" t="e">
        <f t="shared" si="186"/>
        <v>#VALUE!</v>
      </c>
      <c r="CT78" s="717">
        <f t="shared" si="136"/>
        <v>0</v>
      </c>
      <c r="CU78" s="696" t="e">
        <f t="shared" si="187"/>
        <v>#VALUE!</v>
      </c>
      <c r="CV78" s="717">
        <f t="shared" si="137"/>
        <v>0</v>
      </c>
      <c r="CW78" s="696" t="e">
        <f t="shared" si="188"/>
        <v>#VALUE!</v>
      </c>
      <c r="CX78" s="717">
        <f t="shared" si="138"/>
        <v>0</v>
      </c>
      <c r="CY78" s="696" t="e">
        <f t="shared" si="189"/>
        <v>#VALUE!</v>
      </c>
      <c r="CZ78" s="717">
        <f t="shared" si="139"/>
        <v>0</v>
      </c>
      <c r="DA78" s="696" t="e">
        <f t="shared" si="190"/>
        <v>#VALUE!</v>
      </c>
      <c r="DB78" s="717">
        <f t="shared" si="140"/>
        <v>0</v>
      </c>
      <c r="DC78" s="696" t="e">
        <f t="shared" si="191"/>
        <v>#VALUE!</v>
      </c>
      <c r="DD78" s="717">
        <f t="shared" si="141"/>
        <v>0</v>
      </c>
      <c r="DE78" s="696" t="e">
        <f t="shared" si="192"/>
        <v>#VALUE!</v>
      </c>
      <c r="DF78" s="717">
        <f t="shared" si="142"/>
        <v>0</v>
      </c>
      <c r="DG78" s="696" t="e">
        <f t="shared" si="193"/>
        <v>#VALUE!</v>
      </c>
      <c r="DH78" s="717">
        <f t="shared" si="143"/>
        <v>0</v>
      </c>
      <c r="DI78" s="696" t="e">
        <f t="shared" si="194"/>
        <v>#VALUE!</v>
      </c>
      <c r="DJ78" s="717">
        <f t="shared" si="144"/>
        <v>0</v>
      </c>
      <c r="DK78" s="696" t="e">
        <f t="shared" si="195"/>
        <v>#VALUE!</v>
      </c>
      <c r="DL78" s="717">
        <f t="shared" si="145"/>
        <v>0</v>
      </c>
      <c r="DM78" s="696" t="e">
        <f t="shared" si="196"/>
        <v>#VALUE!</v>
      </c>
      <c r="DN78" s="717">
        <f t="shared" si="146"/>
        <v>0</v>
      </c>
      <c r="DO78" s="696" t="e">
        <f t="shared" si="197"/>
        <v>#VALUE!</v>
      </c>
      <c r="DP78" s="717">
        <f t="shared" si="147"/>
        <v>0</v>
      </c>
      <c r="DQ78" s="696" t="e">
        <f t="shared" si="198"/>
        <v>#VALUE!</v>
      </c>
      <c r="DR78" s="717">
        <f t="shared" si="148"/>
        <v>0</v>
      </c>
      <c r="DS78" s="696" t="e">
        <f t="shared" si="199"/>
        <v>#VALUE!</v>
      </c>
      <c r="DT78" s="717">
        <f t="shared" si="149"/>
        <v>0</v>
      </c>
      <c r="DU78" s="696" t="e">
        <f t="shared" si="200"/>
        <v>#VALUE!</v>
      </c>
      <c r="DV78" s="717">
        <f t="shared" si="150"/>
        <v>0</v>
      </c>
      <c r="DW78" s="696" t="e">
        <f t="shared" si="201"/>
        <v>#VALUE!</v>
      </c>
      <c r="DX78" s="717">
        <f t="shared" si="151"/>
        <v>0</v>
      </c>
      <c r="DY78" s="696" t="e">
        <f t="shared" si="202"/>
        <v>#VALUE!</v>
      </c>
      <c r="DZ78" s="717">
        <f t="shared" si="152"/>
        <v>0</v>
      </c>
      <c r="EA78" s="696" t="e">
        <f t="shared" si="203"/>
        <v>#VALUE!</v>
      </c>
      <c r="EB78" s="717">
        <f t="shared" si="153"/>
        <v>0</v>
      </c>
      <c r="EC78" s="696" t="e">
        <f t="shared" si="204"/>
        <v>#VALUE!</v>
      </c>
      <c r="ED78" s="717">
        <f t="shared" si="154"/>
        <v>0</v>
      </c>
      <c r="EE78" s="696" t="e">
        <f t="shared" si="205"/>
        <v>#VALUE!</v>
      </c>
      <c r="EF78" s="717">
        <f t="shared" si="155"/>
        <v>0</v>
      </c>
      <c r="EG78" s="2"/>
    </row>
    <row r="79" spans="1:137" ht="15.75" customHeight="1" x14ac:dyDescent="0.2">
      <c r="A79" s="2"/>
      <c r="B79" s="2"/>
      <c r="C79" s="729">
        <v>6</v>
      </c>
      <c r="D79" s="2341" t="str">
        <f t="shared" si="206"/>
        <v/>
      </c>
      <c r="E79" s="2341"/>
      <c r="F79" s="2341"/>
      <c r="G79" s="2342"/>
      <c r="H79" s="2342"/>
      <c r="I79" s="2342"/>
      <c r="J79" s="2342"/>
      <c r="K79" s="2342"/>
      <c r="L79" s="2342"/>
      <c r="M79" s="2342"/>
      <c r="N79" s="2342"/>
      <c r="O79" s="2342"/>
      <c r="P79" s="2342"/>
      <c r="Q79" s="2342"/>
      <c r="R79" s="2342"/>
      <c r="S79" s="2342"/>
      <c r="T79" s="2343"/>
      <c r="U79" s="2343"/>
      <c r="V79" s="2343"/>
      <c r="W79" s="116"/>
      <c r="X79" s="116"/>
      <c r="Y79" s="116"/>
      <c r="Z79" s="2340">
        <f>IF(D79&lt;&gt;D80,SUMIF(D$74:F79,D79,T$74:V79),0)</f>
        <v>0</v>
      </c>
      <c r="AA79" s="2340"/>
      <c r="AB79" s="2340"/>
      <c r="AC79" s="2340"/>
      <c r="AD79" s="2344" t="str">
        <f t="shared" si="207"/>
        <v/>
      </c>
      <c r="AE79" s="2344"/>
      <c r="AF79" s="2"/>
      <c r="AG79" s="2"/>
      <c r="AH79" s="2"/>
      <c r="AI79" s="698">
        <f>F61</f>
        <v>5</v>
      </c>
      <c r="AJ79" s="2"/>
      <c r="AK79" s="698" t="e">
        <f t="shared" si="156"/>
        <v>#VALUE!</v>
      </c>
      <c r="AL79" s="718">
        <f t="shared" si="106"/>
        <v>0</v>
      </c>
      <c r="AM79" s="698" t="e">
        <f t="shared" si="157"/>
        <v>#VALUE!</v>
      </c>
      <c r="AN79" s="718">
        <f t="shared" si="107"/>
        <v>0</v>
      </c>
      <c r="AO79" s="698" t="e">
        <f t="shared" si="158"/>
        <v>#VALUE!</v>
      </c>
      <c r="AP79" s="718">
        <f t="shared" si="108"/>
        <v>0</v>
      </c>
      <c r="AQ79" s="698" t="e">
        <f t="shared" si="159"/>
        <v>#VALUE!</v>
      </c>
      <c r="AR79" s="718">
        <f t="shared" si="109"/>
        <v>0</v>
      </c>
      <c r="AS79" s="698" t="e">
        <f t="shared" si="160"/>
        <v>#VALUE!</v>
      </c>
      <c r="AT79" s="718">
        <f t="shared" si="110"/>
        <v>0</v>
      </c>
      <c r="AU79" s="698" t="e">
        <f t="shared" si="161"/>
        <v>#VALUE!</v>
      </c>
      <c r="AV79" s="718">
        <f t="shared" si="111"/>
        <v>0</v>
      </c>
      <c r="AW79" s="698" t="e">
        <f t="shared" si="162"/>
        <v>#VALUE!</v>
      </c>
      <c r="AX79" s="718">
        <f t="shared" si="112"/>
        <v>0</v>
      </c>
      <c r="AY79" s="698" t="e">
        <f t="shared" si="163"/>
        <v>#VALUE!</v>
      </c>
      <c r="AZ79" s="718">
        <f t="shared" si="113"/>
        <v>0</v>
      </c>
      <c r="BA79" s="698" t="e">
        <f t="shared" si="164"/>
        <v>#VALUE!</v>
      </c>
      <c r="BB79" s="718">
        <f t="shared" si="114"/>
        <v>0</v>
      </c>
      <c r="BC79" s="698" t="e">
        <f t="shared" si="165"/>
        <v>#VALUE!</v>
      </c>
      <c r="BD79" s="718">
        <f t="shared" si="115"/>
        <v>0</v>
      </c>
      <c r="BE79" s="698" t="e">
        <f t="shared" si="166"/>
        <v>#VALUE!</v>
      </c>
      <c r="BF79" s="718">
        <f t="shared" si="116"/>
        <v>0</v>
      </c>
      <c r="BG79" s="698" t="e">
        <f t="shared" si="167"/>
        <v>#VALUE!</v>
      </c>
      <c r="BH79" s="718">
        <f t="shared" si="117"/>
        <v>0</v>
      </c>
      <c r="BI79" s="698" t="e">
        <f t="shared" si="168"/>
        <v>#VALUE!</v>
      </c>
      <c r="BJ79" s="718">
        <f t="shared" si="118"/>
        <v>0</v>
      </c>
      <c r="BK79" s="698" t="e">
        <f t="shared" si="169"/>
        <v>#VALUE!</v>
      </c>
      <c r="BL79" s="718">
        <f t="shared" si="119"/>
        <v>0</v>
      </c>
      <c r="BM79" s="698" t="e">
        <f t="shared" si="170"/>
        <v>#VALUE!</v>
      </c>
      <c r="BN79" s="718">
        <f t="shared" si="120"/>
        <v>0</v>
      </c>
      <c r="BO79" s="698" t="e">
        <f t="shared" si="171"/>
        <v>#VALUE!</v>
      </c>
      <c r="BP79" s="718">
        <f t="shared" si="121"/>
        <v>0</v>
      </c>
      <c r="BQ79" s="698" t="e">
        <f t="shared" si="172"/>
        <v>#VALUE!</v>
      </c>
      <c r="BR79" s="718">
        <f t="shared" si="122"/>
        <v>0</v>
      </c>
      <c r="BS79" s="698" t="e">
        <f t="shared" si="173"/>
        <v>#VALUE!</v>
      </c>
      <c r="BT79" s="718">
        <f t="shared" si="123"/>
        <v>0</v>
      </c>
      <c r="BU79" s="698" t="e">
        <f t="shared" si="174"/>
        <v>#VALUE!</v>
      </c>
      <c r="BV79" s="718">
        <f t="shared" si="124"/>
        <v>0</v>
      </c>
      <c r="BW79" s="698" t="e">
        <f t="shared" si="175"/>
        <v>#VALUE!</v>
      </c>
      <c r="BX79" s="718">
        <f t="shared" si="125"/>
        <v>0</v>
      </c>
      <c r="BY79" s="698" t="e">
        <f t="shared" si="176"/>
        <v>#VALUE!</v>
      </c>
      <c r="BZ79" s="718">
        <f t="shared" si="126"/>
        <v>0</v>
      </c>
      <c r="CA79" s="698" t="e">
        <f t="shared" si="177"/>
        <v>#VALUE!</v>
      </c>
      <c r="CB79" s="718">
        <f t="shared" si="127"/>
        <v>0</v>
      </c>
      <c r="CC79" s="698" t="e">
        <f t="shared" si="178"/>
        <v>#VALUE!</v>
      </c>
      <c r="CD79" s="718">
        <f t="shared" si="128"/>
        <v>0</v>
      </c>
      <c r="CE79" s="698" t="e">
        <f t="shared" si="179"/>
        <v>#VALUE!</v>
      </c>
      <c r="CF79" s="718">
        <f t="shared" si="129"/>
        <v>0</v>
      </c>
      <c r="CG79" s="698" t="e">
        <f t="shared" si="180"/>
        <v>#VALUE!</v>
      </c>
      <c r="CH79" s="718">
        <f t="shared" si="130"/>
        <v>0</v>
      </c>
      <c r="CI79" s="698" t="e">
        <f t="shared" si="181"/>
        <v>#VALUE!</v>
      </c>
      <c r="CJ79" s="718">
        <f t="shared" si="131"/>
        <v>0</v>
      </c>
      <c r="CK79" s="698" t="e">
        <f t="shared" si="182"/>
        <v>#VALUE!</v>
      </c>
      <c r="CL79" s="718">
        <f t="shared" si="132"/>
        <v>0</v>
      </c>
      <c r="CM79" s="698" t="e">
        <f t="shared" si="183"/>
        <v>#VALUE!</v>
      </c>
      <c r="CN79" s="718">
        <f t="shared" si="133"/>
        <v>0</v>
      </c>
      <c r="CO79" s="698" t="e">
        <f t="shared" si="184"/>
        <v>#VALUE!</v>
      </c>
      <c r="CP79" s="718">
        <f t="shared" si="134"/>
        <v>0</v>
      </c>
      <c r="CQ79" s="698" t="e">
        <f t="shared" si="185"/>
        <v>#VALUE!</v>
      </c>
      <c r="CR79" s="718">
        <f t="shared" si="135"/>
        <v>0</v>
      </c>
      <c r="CS79" s="698" t="e">
        <f t="shared" si="186"/>
        <v>#VALUE!</v>
      </c>
      <c r="CT79" s="718">
        <f t="shared" si="136"/>
        <v>0</v>
      </c>
      <c r="CU79" s="698" t="e">
        <f t="shared" si="187"/>
        <v>#VALUE!</v>
      </c>
      <c r="CV79" s="718">
        <f t="shared" si="137"/>
        <v>0</v>
      </c>
      <c r="CW79" s="698" t="e">
        <f t="shared" si="188"/>
        <v>#VALUE!</v>
      </c>
      <c r="CX79" s="718">
        <f t="shared" si="138"/>
        <v>0</v>
      </c>
      <c r="CY79" s="698" t="e">
        <f t="shared" si="189"/>
        <v>#VALUE!</v>
      </c>
      <c r="CZ79" s="718">
        <f t="shared" si="139"/>
        <v>0</v>
      </c>
      <c r="DA79" s="698" t="e">
        <f t="shared" si="190"/>
        <v>#VALUE!</v>
      </c>
      <c r="DB79" s="718">
        <f t="shared" si="140"/>
        <v>0</v>
      </c>
      <c r="DC79" s="698" t="e">
        <f t="shared" si="191"/>
        <v>#VALUE!</v>
      </c>
      <c r="DD79" s="718">
        <f t="shared" si="141"/>
        <v>0</v>
      </c>
      <c r="DE79" s="698" t="e">
        <f t="shared" si="192"/>
        <v>#VALUE!</v>
      </c>
      <c r="DF79" s="718">
        <f t="shared" si="142"/>
        <v>0</v>
      </c>
      <c r="DG79" s="698" t="e">
        <f t="shared" si="193"/>
        <v>#VALUE!</v>
      </c>
      <c r="DH79" s="718">
        <f t="shared" si="143"/>
        <v>0</v>
      </c>
      <c r="DI79" s="698" t="e">
        <f t="shared" si="194"/>
        <v>#VALUE!</v>
      </c>
      <c r="DJ79" s="718">
        <f t="shared" si="144"/>
        <v>0</v>
      </c>
      <c r="DK79" s="698" t="e">
        <f t="shared" si="195"/>
        <v>#VALUE!</v>
      </c>
      <c r="DL79" s="718">
        <f t="shared" si="145"/>
        <v>0</v>
      </c>
      <c r="DM79" s="698" t="e">
        <f t="shared" si="196"/>
        <v>#VALUE!</v>
      </c>
      <c r="DN79" s="718">
        <f t="shared" si="146"/>
        <v>0</v>
      </c>
      <c r="DO79" s="698" t="e">
        <f t="shared" si="197"/>
        <v>#VALUE!</v>
      </c>
      <c r="DP79" s="718">
        <f t="shared" si="147"/>
        <v>0</v>
      </c>
      <c r="DQ79" s="698" t="e">
        <f t="shared" si="198"/>
        <v>#VALUE!</v>
      </c>
      <c r="DR79" s="718">
        <f t="shared" si="148"/>
        <v>0</v>
      </c>
      <c r="DS79" s="698" t="e">
        <f t="shared" si="199"/>
        <v>#VALUE!</v>
      </c>
      <c r="DT79" s="718">
        <f t="shared" si="149"/>
        <v>0</v>
      </c>
      <c r="DU79" s="698" t="e">
        <f t="shared" si="200"/>
        <v>#VALUE!</v>
      </c>
      <c r="DV79" s="718">
        <f t="shared" si="150"/>
        <v>0</v>
      </c>
      <c r="DW79" s="698" t="e">
        <f t="shared" si="201"/>
        <v>#VALUE!</v>
      </c>
      <c r="DX79" s="718">
        <f t="shared" si="151"/>
        <v>0</v>
      </c>
      <c r="DY79" s="698" t="e">
        <f t="shared" si="202"/>
        <v>#VALUE!</v>
      </c>
      <c r="DZ79" s="718">
        <f t="shared" si="152"/>
        <v>0</v>
      </c>
      <c r="EA79" s="698" t="e">
        <f t="shared" si="203"/>
        <v>#VALUE!</v>
      </c>
      <c r="EB79" s="718">
        <f t="shared" si="153"/>
        <v>0</v>
      </c>
      <c r="EC79" s="698" t="e">
        <f t="shared" si="204"/>
        <v>#VALUE!</v>
      </c>
      <c r="ED79" s="718">
        <f t="shared" si="154"/>
        <v>0</v>
      </c>
      <c r="EE79" s="698" t="e">
        <f t="shared" si="205"/>
        <v>#VALUE!</v>
      </c>
      <c r="EF79" s="718">
        <f t="shared" si="155"/>
        <v>0</v>
      </c>
      <c r="EG79" s="2"/>
    </row>
    <row r="80" spans="1:137" ht="15.75" customHeight="1" x14ac:dyDescent="0.2">
      <c r="A80" s="2"/>
      <c r="B80" s="2"/>
      <c r="C80" s="729">
        <v>7</v>
      </c>
      <c r="D80" s="2341" t="str">
        <f t="shared" si="206"/>
        <v/>
      </c>
      <c r="E80" s="2341"/>
      <c r="F80" s="2341"/>
      <c r="G80" s="2342"/>
      <c r="H80" s="2342"/>
      <c r="I80" s="2342"/>
      <c r="J80" s="2342"/>
      <c r="K80" s="2342"/>
      <c r="L80" s="2342"/>
      <c r="M80" s="2342"/>
      <c r="N80" s="2342"/>
      <c r="O80" s="2342"/>
      <c r="P80" s="2342"/>
      <c r="Q80" s="2342"/>
      <c r="R80" s="2342"/>
      <c r="S80" s="2342"/>
      <c r="T80" s="2343"/>
      <c r="U80" s="2343"/>
      <c r="V80" s="2343"/>
      <c r="W80" s="116"/>
      <c r="X80" s="116"/>
      <c r="Y80" s="116"/>
      <c r="Z80" s="2340">
        <f>IF(D80&lt;&gt;D81,SUMIF(D$74:F80,D80,T$74:V80),0)</f>
        <v>0</v>
      </c>
      <c r="AA80" s="2340"/>
      <c r="AB80" s="2340"/>
      <c r="AC80" s="2340"/>
      <c r="AD80" s="2344" t="str">
        <f t="shared" si="207"/>
        <v/>
      </c>
      <c r="AE80" s="2344"/>
      <c r="AF80" s="2"/>
      <c r="AG80" s="2"/>
      <c r="AH80" s="2"/>
      <c r="AJ80" s="2"/>
      <c r="AK80" s="719" t="e">
        <f>(AK79-AL79)*$AI79</f>
        <v>#VALUE!</v>
      </c>
      <c r="AL80" s="2"/>
      <c r="AM80" s="719" t="e">
        <f>(AM79-AN79)*$AI79</f>
        <v>#VALUE!</v>
      </c>
      <c r="AN80" s="2"/>
      <c r="AO80" s="719" t="e">
        <f>(AO79-AP79)*$AI79</f>
        <v>#VALUE!</v>
      </c>
      <c r="AP80" s="2"/>
      <c r="AQ80" s="719" t="e">
        <f>(AQ79-AR79)*$AI79</f>
        <v>#VALUE!</v>
      </c>
      <c r="AR80" s="2"/>
      <c r="AS80" s="719" t="e">
        <f>(AS79-AT79)*$AI79</f>
        <v>#VALUE!</v>
      </c>
      <c r="AT80" s="2"/>
      <c r="AU80" s="719" t="e">
        <f>(AU79-AV79)*$AI79</f>
        <v>#VALUE!</v>
      </c>
      <c r="AV80" s="2"/>
      <c r="AW80" s="719" t="e">
        <f>(AW79-AX79)*$AI79</f>
        <v>#VALUE!</v>
      </c>
      <c r="AX80" s="2"/>
      <c r="AY80" s="719" t="e">
        <f>(AY79-AZ79)*$AI79</f>
        <v>#VALUE!</v>
      </c>
      <c r="AZ80" s="2"/>
      <c r="BA80" s="719" t="e">
        <f>(BA79-BB79)*$AI79</f>
        <v>#VALUE!</v>
      </c>
      <c r="BB80" s="2"/>
      <c r="BC80" s="719" t="e">
        <f>(BC79-BD79)*$AI79</f>
        <v>#VALUE!</v>
      </c>
      <c r="BD80" s="2"/>
      <c r="BE80" s="719" t="e">
        <f>(BE79-BF79)*$AI79</f>
        <v>#VALUE!</v>
      </c>
      <c r="BF80" s="2"/>
      <c r="BG80" s="719" t="e">
        <f>(BG79-BH79)*$AI79</f>
        <v>#VALUE!</v>
      </c>
      <c r="BH80" s="2"/>
      <c r="BI80" s="719" t="e">
        <f>(BI79-BJ79)*$AI79</f>
        <v>#VALUE!</v>
      </c>
      <c r="BJ80" s="2"/>
      <c r="BK80" s="719" t="e">
        <f>(BK79-BL79)*$AI79</f>
        <v>#VALUE!</v>
      </c>
      <c r="BL80" s="2"/>
      <c r="BM80" s="719" t="e">
        <f>(BM79-BN79)*$AI79</f>
        <v>#VALUE!</v>
      </c>
      <c r="BN80" s="2"/>
      <c r="BO80" s="719" t="e">
        <f>(BO79-BP79)*$AI79</f>
        <v>#VALUE!</v>
      </c>
      <c r="BP80" s="2"/>
      <c r="BQ80" s="719" t="e">
        <f>(BQ79-BR79)*$AI79</f>
        <v>#VALUE!</v>
      </c>
      <c r="BR80" s="2"/>
      <c r="BS80" s="719" t="e">
        <f>(BS79-BT79)*$AI79</f>
        <v>#VALUE!</v>
      </c>
      <c r="BT80" s="2"/>
      <c r="BU80" s="719" t="e">
        <f>(BU79-BV79)*$AI79</f>
        <v>#VALUE!</v>
      </c>
      <c r="BV80" s="2"/>
      <c r="BW80" s="719" t="e">
        <f>(BW79-BX79)*$AI79</f>
        <v>#VALUE!</v>
      </c>
      <c r="BX80" s="2"/>
      <c r="BY80" s="719" t="e">
        <f>(BY79-BZ79)*$AI79</f>
        <v>#VALUE!</v>
      </c>
      <c r="BZ80" s="2"/>
      <c r="CA80" s="719" t="e">
        <f>(CA79-CB79)*$AI79</f>
        <v>#VALUE!</v>
      </c>
      <c r="CB80" s="2"/>
      <c r="CC80" s="719" t="e">
        <f>(CC79-CD79)*$AI79</f>
        <v>#VALUE!</v>
      </c>
      <c r="CD80" s="2"/>
      <c r="CE80" s="719" t="e">
        <f>(CE79-CF79)*$AI79</f>
        <v>#VALUE!</v>
      </c>
      <c r="CF80" s="2"/>
      <c r="CG80" s="719" t="e">
        <f>(CG79-CH79)*$AI79</f>
        <v>#VALUE!</v>
      </c>
      <c r="CH80" s="2"/>
      <c r="CI80" s="719" t="e">
        <f>(CI79-CJ79)*$AI79</f>
        <v>#VALUE!</v>
      </c>
      <c r="CJ80" s="2"/>
      <c r="CK80" s="719" t="e">
        <f>(CK79-CL79)*$AI79</f>
        <v>#VALUE!</v>
      </c>
      <c r="CL80" s="2"/>
      <c r="CM80" s="719" t="e">
        <f>(CM79-CN79)*$AI79</f>
        <v>#VALUE!</v>
      </c>
      <c r="CN80" s="2"/>
      <c r="CO80" s="719" t="e">
        <f>(CO79-CP79)*$AI79</f>
        <v>#VALUE!</v>
      </c>
      <c r="CP80" s="2"/>
      <c r="CQ80" s="719" t="e">
        <f>(CQ79-CR79)*$AI79</f>
        <v>#VALUE!</v>
      </c>
      <c r="CR80" s="2"/>
      <c r="CS80" s="719" t="e">
        <f>(CS79-CT79)*$AI79</f>
        <v>#VALUE!</v>
      </c>
      <c r="CT80" s="2"/>
      <c r="CU80" s="719" t="e">
        <f>(CU79-CV79)*$AI79</f>
        <v>#VALUE!</v>
      </c>
      <c r="CV80" s="2"/>
      <c r="CW80" s="719" t="e">
        <f>(CW79-CX79)*$AI79</f>
        <v>#VALUE!</v>
      </c>
      <c r="CX80" s="2"/>
      <c r="CY80" s="719" t="e">
        <f>(CY79-CZ79)*$AI79</f>
        <v>#VALUE!</v>
      </c>
      <c r="CZ80" s="2"/>
      <c r="DA80" s="719" t="e">
        <f>(DA79-DB79)*$AI79</f>
        <v>#VALUE!</v>
      </c>
      <c r="DB80" s="2"/>
      <c r="DC80" s="719" t="e">
        <f>(DC79-DD79)*$AI79</f>
        <v>#VALUE!</v>
      </c>
      <c r="DD80" s="2"/>
      <c r="DE80" s="719" t="e">
        <f>(DE79-DF79)*$AI79</f>
        <v>#VALUE!</v>
      </c>
      <c r="DF80" s="2"/>
      <c r="DG80" s="719" t="e">
        <f>(DG79-DH79)*$AI79</f>
        <v>#VALUE!</v>
      </c>
      <c r="DH80" s="2"/>
      <c r="DI80" s="719" t="e">
        <f>(DI79-DJ79)*$AI79</f>
        <v>#VALUE!</v>
      </c>
      <c r="DJ80" s="2"/>
      <c r="DK80" s="719" t="e">
        <f>(DK79-DL79)*$AI79</f>
        <v>#VALUE!</v>
      </c>
      <c r="DL80" s="2"/>
      <c r="DM80" s="719" t="e">
        <f>(DM79-DN79)*$AI79</f>
        <v>#VALUE!</v>
      </c>
      <c r="DN80" s="2"/>
      <c r="DO80" s="719" t="e">
        <f>(DO79-DP79)*$AI79</f>
        <v>#VALUE!</v>
      </c>
      <c r="DP80" s="2"/>
      <c r="DQ80" s="719" t="e">
        <f>(DQ79-DR79)*$AI79</f>
        <v>#VALUE!</v>
      </c>
      <c r="DR80" s="2"/>
      <c r="DS80" s="719" t="e">
        <f>(DS79-DT79)*$AI79</f>
        <v>#VALUE!</v>
      </c>
      <c r="DT80" s="2"/>
      <c r="DU80" s="719" t="e">
        <f>(DU79-DV79)*$AI79</f>
        <v>#VALUE!</v>
      </c>
      <c r="DV80" s="2"/>
      <c r="DW80" s="719" t="e">
        <f>(DW79-DX79)*$AI79</f>
        <v>#VALUE!</v>
      </c>
      <c r="DX80" s="2"/>
      <c r="DY80" s="719" t="e">
        <f>(DY79-DZ79)*$AI79</f>
        <v>#VALUE!</v>
      </c>
      <c r="DZ80" s="2"/>
      <c r="EA80" s="719" t="e">
        <f>(EA79-EB79)*$AI79</f>
        <v>#VALUE!</v>
      </c>
      <c r="EB80" s="2"/>
      <c r="EC80" s="719" t="e">
        <f>(EC79-ED79)*$AI79</f>
        <v>#VALUE!</v>
      </c>
      <c r="ED80" s="2"/>
      <c r="EE80" s="719" t="e">
        <f>(EE79-EF79)*$AI79</f>
        <v>#VALUE!</v>
      </c>
      <c r="EF80" s="2"/>
      <c r="EG80" s="2"/>
    </row>
    <row r="81" spans="1:137" ht="15.75" customHeight="1" x14ac:dyDescent="0.2">
      <c r="A81" s="2"/>
      <c r="B81" s="2"/>
      <c r="C81" s="729">
        <v>8</v>
      </c>
      <c r="D81" s="2341" t="str">
        <f t="shared" si="206"/>
        <v/>
      </c>
      <c r="E81" s="2341"/>
      <c r="F81" s="2341"/>
      <c r="G81" s="2342"/>
      <c r="H81" s="2342"/>
      <c r="I81" s="2342"/>
      <c r="J81" s="2342"/>
      <c r="K81" s="2342"/>
      <c r="L81" s="2342"/>
      <c r="M81" s="2342"/>
      <c r="N81" s="2342"/>
      <c r="O81" s="2342"/>
      <c r="P81" s="2342"/>
      <c r="Q81" s="2342"/>
      <c r="R81" s="2342"/>
      <c r="S81" s="2342"/>
      <c r="T81" s="2343"/>
      <c r="U81" s="2343"/>
      <c r="V81" s="2343"/>
      <c r="W81" s="116"/>
      <c r="X81" s="116"/>
      <c r="Y81" s="116"/>
      <c r="Z81" s="2340">
        <f>IF(D81&lt;&gt;D82,SUMIF(D$74:F81,D81,T$74:V81),0)</f>
        <v>0</v>
      </c>
      <c r="AA81" s="2340"/>
      <c r="AB81" s="2340"/>
      <c r="AC81" s="2340"/>
      <c r="AD81" s="2344" t="str">
        <f t="shared" si="207"/>
        <v/>
      </c>
      <c r="AE81" s="2344"/>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row>
    <row r="82" spans="1:137" ht="15.75" customHeight="1" x14ac:dyDescent="0.2">
      <c r="A82" s="2"/>
      <c r="B82" s="2"/>
      <c r="C82" s="729">
        <v>9</v>
      </c>
      <c r="D82" s="2341" t="str">
        <f t="shared" si="206"/>
        <v/>
      </c>
      <c r="E82" s="2341"/>
      <c r="F82" s="2341"/>
      <c r="G82" s="2342"/>
      <c r="H82" s="2342"/>
      <c r="I82" s="2342"/>
      <c r="J82" s="2342"/>
      <c r="K82" s="2342"/>
      <c r="L82" s="2342"/>
      <c r="M82" s="2342"/>
      <c r="N82" s="2342"/>
      <c r="O82" s="2342"/>
      <c r="P82" s="2342"/>
      <c r="Q82" s="2342"/>
      <c r="R82" s="2342"/>
      <c r="S82" s="2342"/>
      <c r="T82" s="2343"/>
      <c r="U82" s="2343"/>
      <c r="V82" s="2343"/>
      <c r="W82" s="116"/>
      <c r="X82" s="116"/>
      <c r="Y82" s="116"/>
      <c r="Z82" s="2340">
        <f>IF(D82&lt;&gt;D83,SUMIF(D$74:F82,D82,T$74:V82),0)</f>
        <v>0</v>
      </c>
      <c r="AA82" s="2340"/>
      <c r="AB82" s="2340"/>
      <c r="AC82" s="2340"/>
      <c r="AD82" s="2344" t="str">
        <f t="shared" si="207"/>
        <v/>
      </c>
      <c r="AE82" s="2344"/>
      <c r="AF82" s="2"/>
      <c r="AG82" s="2"/>
      <c r="AH82" s="2"/>
      <c r="AI82" s="2"/>
      <c r="AJ82" s="2"/>
      <c r="AK82" s="720">
        <f>$Q56-AK70</f>
        <v>0</v>
      </c>
      <c r="AL82" s="2"/>
      <c r="AM82" s="720">
        <f>$Q56-AM70</f>
        <v>1</v>
      </c>
      <c r="AN82" s="2"/>
      <c r="AO82" s="720">
        <f>$Q56-AO70</f>
        <v>2</v>
      </c>
      <c r="AP82" s="2"/>
      <c r="AQ82" s="720">
        <f>$Q56-AQ70</f>
        <v>3</v>
      </c>
      <c r="AR82" s="2"/>
      <c r="AS82" s="720">
        <f>$Q56-AS70</f>
        <v>4</v>
      </c>
      <c r="AT82" s="2"/>
      <c r="AU82" s="720">
        <f>$Q56-AU70</f>
        <v>5</v>
      </c>
      <c r="AV82" s="2"/>
      <c r="AW82" s="720">
        <f>$Q56-AW70</f>
        <v>6</v>
      </c>
      <c r="AX82" s="2"/>
      <c r="AY82" s="720">
        <f>$Q56-AY70</f>
        <v>7</v>
      </c>
      <c r="AZ82" s="2"/>
      <c r="BA82" s="720">
        <f>$Q56-BA70</f>
        <v>8</v>
      </c>
      <c r="BB82" s="2"/>
      <c r="BC82" s="720">
        <f>$Q56-BC70</f>
        <v>9</v>
      </c>
      <c r="BD82" s="2"/>
      <c r="BE82" s="720">
        <f>$Q56-BE70</f>
        <v>10</v>
      </c>
      <c r="BF82" s="2"/>
      <c r="BG82" s="720">
        <f>$Q56-BG70</f>
        <v>11</v>
      </c>
      <c r="BH82" s="2"/>
      <c r="BI82" s="720">
        <f>$Q56-BI70</f>
        <v>12</v>
      </c>
      <c r="BJ82" s="2"/>
      <c r="BK82" s="720">
        <f>$Q56-BK70</f>
        <v>13</v>
      </c>
      <c r="BL82" s="2"/>
      <c r="BM82" s="720">
        <f>$Q56-BM70</f>
        <v>14</v>
      </c>
      <c r="BN82" s="2"/>
      <c r="BO82" s="720">
        <f>$Q56-BO70</f>
        <v>15</v>
      </c>
      <c r="BP82" s="2"/>
      <c r="BQ82" s="720">
        <f>$Q56-BQ70</f>
        <v>16</v>
      </c>
      <c r="BR82" s="2"/>
      <c r="BS82" s="720">
        <f>$Q56-BS70</f>
        <v>17</v>
      </c>
      <c r="BT82" s="2"/>
      <c r="BU82" s="720">
        <f>$Q56-BU70</f>
        <v>18</v>
      </c>
      <c r="BV82" s="2"/>
      <c r="BW82" s="720">
        <f>$Q56-BW70</f>
        <v>19</v>
      </c>
      <c r="BX82" s="2"/>
      <c r="BY82" s="720">
        <f>$Q56-BY70</f>
        <v>20</v>
      </c>
      <c r="BZ82" s="2"/>
      <c r="CA82" s="720">
        <f>$Q56-CA70</f>
        <v>21</v>
      </c>
      <c r="CB82" s="2"/>
      <c r="CC82" s="720">
        <f>$Q56-CC70</f>
        <v>22</v>
      </c>
      <c r="CD82" s="2"/>
      <c r="CE82" s="720">
        <f>$Q56-CE70</f>
        <v>23</v>
      </c>
      <c r="CF82" s="2"/>
      <c r="CG82" s="720">
        <f>$Q56-CG70</f>
        <v>24</v>
      </c>
      <c r="CH82" s="2"/>
      <c r="CI82" s="720">
        <f>$Q56-CI70</f>
        <v>25</v>
      </c>
      <c r="CJ82" s="2"/>
      <c r="CK82" s="720">
        <f>$Q56-CK70</f>
        <v>26</v>
      </c>
      <c r="CL82" s="2"/>
      <c r="CM82" s="720">
        <f>$Q56-CM70</f>
        <v>27</v>
      </c>
      <c r="CN82" s="2"/>
      <c r="CO82" s="720">
        <f>$Q56-CO70</f>
        <v>28</v>
      </c>
      <c r="CP82" s="2"/>
      <c r="CQ82" s="720">
        <f>$Q56-CQ70</f>
        <v>29</v>
      </c>
      <c r="CR82" s="2"/>
      <c r="CS82" s="720">
        <f>$Q56-CS70</f>
        <v>30</v>
      </c>
      <c r="CT82" s="2"/>
      <c r="CU82" s="720">
        <f>$Q56-CU70</f>
        <v>31</v>
      </c>
      <c r="CV82" s="2"/>
      <c r="CW82" s="720">
        <f>$Q56-CW70</f>
        <v>32</v>
      </c>
      <c r="CX82" s="2"/>
      <c r="CY82" s="720">
        <f>$Q56-CY70</f>
        <v>33</v>
      </c>
      <c r="CZ82" s="2"/>
      <c r="DA82" s="720">
        <f>$Q56-DA70</f>
        <v>34</v>
      </c>
      <c r="DB82" s="2"/>
      <c r="DC82" s="720">
        <f>$Q56-DC70</f>
        <v>35</v>
      </c>
      <c r="DD82" s="2"/>
      <c r="DE82" s="720">
        <f>$Q56-DE70</f>
        <v>36</v>
      </c>
      <c r="DF82" s="2"/>
      <c r="DG82" s="720">
        <f>$Q56-DG70</f>
        <v>37</v>
      </c>
      <c r="DH82" s="2"/>
      <c r="DI82" s="720">
        <f>$Q56-DI70</f>
        <v>38</v>
      </c>
      <c r="DJ82" s="2"/>
      <c r="DK82" s="720">
        <f>$Q56-DK70</f>
        <v>39</v>
      </c>
      <c r="DL82" s="2"/>
      <c r="DM82" s="720">
        <f>$Q56-DM70</f>
        <v>40</v>
      </c>
      <c r="DN82" s="2"/>
      <c r="DO82" s="720">
        <f>$Q56-DO70</f>
        <v>41</v>
      </c>
      <c r="DP82" s="2"/>
      <c r="DQ82" s="720">
        <f>$Q56-DQ70</f>
        <v>42</v>
      </c>
      <c r="DR82" s="2"/>
      <c r="DS82" s="720">
        <f>$Q56-DS70</f>
        <v>43</v>
      </c>
      <c r="DT82" s="2"/>
      <c r="DU82" s="720">
        <f>$Q56-DU70</f>
        <v>44</v>
      </c>
      <c r="DV82" s="2"/>
      <c r="DW82" s="720">
        <f>$Q56-DW70</f>
        <v>45</v>
      </c>
      <c r="DX82" s="2"/>
      <c r="DY82" s="720">
        <f>$Q56-DY70</f>
        <v>46</v>
      </c>
      <c r="DZ82" s="2"/>
      <c r="EA82" s="720">
        <f>$Q56-EA70</f>
        <v>47</v>
      </c>
      <c r="EB82" s="2"/>
      <c r="EC82" s="720">
        <f>$Q56-EC70</f>
        <v>48</v>
      </c>
      <c r="ED82" s="2"/>
      <c r="EE82" s="720">
        <f>$Q56-EE70</f>
        <v>49</v>
      </c>
      <c r="EF82" s="2"/>
      <c r="EG82" s="2"/>
    </row>
    <row r="83" spans="1:137" ht="15.75" customHeight="1" x14ac:dyDescent="0.2">
      <c r="A83" s="2"/>
      <c r="B83" s="2"/>
      <c r="C83" s="729">
        <v>10</v>
      </c>
      <c r="D83" s="2341" t="str">
        <f t="shared" si="206"/>
        <v/>
      </c>
      <c r="E83" s="2341"/>
      <c r="F83" s="2341"/>
      <c r="G83" s="2342"/>
      <c r="H83" s="2342"/>
      <c r="I83" s="2342"/>
      <c r="J83" s="2342"/>
      <c r="K83" s="2342"/>
      <c r="L83" s="2342"/>
      <c r="M83" s="2342"/>
      <c r="N83" s="2342"/>
      <c r="O83" s="2342"/>
      <c r="P83" s="2342"/>
      <c r="Q83" s="2342"/>
      <c r="R83" s="2342"/>
      <c r="S83" s="2342"/>
      <c r="T83" s="2343"/>
      <c r="U83" s="2343"/>
      <c r="V83" s="2343"/>
      <c r="W83" s="116"/>
      <c r="X83" s="116"/>
      <c r="Y83" s="116"/>
      <c r="Z83" s="2340">
        <f>IF(D83&lt;&gt;D84,SUMIF(D$74:F83,D83,T$74:V83),0)</f>
        <v>0</v>
      </c>
      <c r="AA83" s="2340"/>
      <c r="AB83" s="2340"/>
      <c r="AC83" s="2340"/>
      <c r="AD83" s="2344" t="str">
        <f t="shared" si="207"/>
        <v/>
      </c>
      <c r="AE83" s="2344"/>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row>
    <row r="84" spans="1:137" ht="15.75" customHeight="1" x14ac:dyDescent="0.2">
      <c r="A84" s="2"/>
      <c r="B84" s="2"/>
      <c r="C84" s="729">
        <v>11</v>
      </c>
      <c r="D84" s="2341" t="str">
        <f t="shared" si="206"/>
        <v/>
      </c>
      <c r="E84" s="2341"/>
      <c r="F84" s="2341"/>
      <c r="G84" s="2342"/>
      <c r="H84" s="2342"/>
      <c r="I84" s="2342"/>
      <c r="J84" s="2342"/>
      <c r="K84" s="2342"/>
      <c r="L84" s="2342"/>
      <c r="M84" s="2342"/>
      <c r="N84" s="2342"/>
      <c r="O84" s="2342"/>
      <c r="P84" s="2342"/>
      <c r="Q84" s="2342"/>
      <c r="R84" s="2342"/>
      <c r="S84" s="2342"/>
      <c r="T84" s="2343"/>
      <c r="U84" s="2343"/>
      <c r="V84" s="2343"/>
      <c r="W84" s="116"/>
      <c r="X84" s="116"/>
      <c r="Y84" s="116"/>
      <c r="Z84" s="2340">
        <f>IF(D84&lt;&gt;D85,SUMIF(D$74:F84,D84,T$74:V84),0)</f>
        <v>0</v>
      </c>
      <c r="AA84" s="2340"/>
      <c r="AB84" s="2340"/>
      <c r="AC84" s="2340"/>
      <c r="AD84" s="2344" t="str">
        <f t="shared" si="207"/>
        <v/>
      </c>
      <c r="AE84" s="2344"/>
      <c r="AF84" s="2"/>
      <c r="AG84" s="2"/>
      <c r="AH84" s="2"/>
      <c r="AI84" s="732" t="s">
        <v>609</v>
      </c>
      <c r="AJ84" s="733">
        <f>IF(AG56="",0,IF(AG56=AI56,0,X21))</f>
        <v>0</v>
      </c>
      <c r="AK84" s="693">
        <f>AK61-(AL79*$AI79)</f>
        <v>0</v>
      </c>
      <c r="AL84" s="2"/>
      <c r="AM84" s="693">
        <f>AM61-(AN79*$AI79)</f>
        <v>0</v>
      </c>
      <c r="AN84" s="2"/>
      <c r="AO84" s="693">
        <f>AO61-(AP79*$AI79)</f>
        <v>0</v>
      </c>
      <c r="AP84" s="2"/>
      <c r="AQ84" s="693">
        <f>AQ61-(AR79*$AI79)</f>
        <v>0</v>
      </c>
      <c r="AR84" s="2"/>
      <c r="AS84" s="693">
        <f>AS61-(AT79*$AI79)</f>
        <v>0</v>
      </c>
      <c r="AT84" s="2"/>
      <c r="AU84" s="693">
        <f>AU61-(AV79*$AI79)</f>
        <v>0</v>
      </c>
      <c r="AV84" s="2"/>
      <c r="AW84" s="693">
        <f>AW61-(AX79*$AI79)</f>
        <v>0</v>
      </c>
      <c r="AX84" s="2"/>
      <c r="AY84" s="693">
        <f>AY61-(AZ79*$AI79)</f>
        <v>0</v>
      </c>
      <c r="AZ84" s="2"/>
      <c r="BA84" s="693">
        <f>BA61-(BB79*$AI79)</f>
        <v>0</v>
      </c>
      <c r="BB84" s="2"/>
      <c r="BC84" s="693">
        <f>BC61-(BD79*$AI79)</f>
        <v>0</v>
      </c>
      <c r="BD84" s="2"/>
      <c r="BE84" s="693">
        <f>BE61-(BF79*$AI79)</f>
        <v>0</v>
      </c>
      <c r="BF84" s="2"/>
      <c r="BG84" s="693">
        <f>BG61-(BH79*$AI79)</f>
        <v>0</v>
      </c>
      <c r="BH84" s="2"/>
      <c r="BI84" s="693">
        <f>BI61-(BJ79*$AI79)</f>
        <v>0</v>
      </c>
      <c r="BJ84" s="2"/>
      <c r="BK84" s="693">
        <f>BK61-(BL79*$AI79)</f>
        <v>0</v>
      </c>
      <c r="BL84" s="2"/>
      <c r="BM84" s="693">
        <f>BM61-(BN79*$AI79)</f>
        <v>0</v>
      </c>
      <c r="BN84" s="2"/>
      <c r="BO84" s="693">
        <f>BO61-(BP79*$AI79)</f>
        <v>0</v>
      </c>
      <c r="BP84" s="2"/>
      <c r="BQ84" s="693">
        <f>BQ61-(BR79*$AI79)</f>
        <v>0</v>
      </c>
      <c r="BR84" s="2"/>
      <c r="BS84" s="693">
        <f>BS61-(BT79*$AI79)</f>
        <v>0</v>
      </c>
      <c r="BT84" s="2"/>
      <c r="BU84" s="693">
        <f>BU61-(BV79*$AI79)</f>
        <v>0</v>
      </c>
      <c r="BV84" s="2"/>
      <c r="BW84" s="693">
        <f>BW61-(BX79*$AI79)</f>
        <v>0</v>
      </c>
      <c r="BX84" s="2"/>
      <c r="BY84" s="693">
        <f>BY61-(BZ79*$AI79)</f>
        <v>0</v>
      </c>
      <c r="BZ84" s="2"/>
      <c r="CA84" s="693">
        <f>CA61-(CB79*$AI79)</f>
        <v>0</v>
      </c>
      <c r="CB84" s="2"/>
      <c r="CC84" s="693">
        <f>CC61-(CD79*$AI79)</f>
        <v>0</v>
      </c>
      <c r="CD84" s="2"/>
      <c r="CE84" s="693">
        <f>CE61-(CF79*$AI79)</f>
        <v>0</v>
      </c>
      <c r="CF84" s="2"/>
      <c r="CG84" s="693">
        <f>CG61-(CH79*$AI79)</f>
        <v>0</v>
      </c>
      <c r="CH84" s="2"/>
      <c r="CI84" s="693">
        <f>CI61-(CJ79*$AI79)</f>
        <v>0</v>
      </c>
      <c r="CJ84" s="2"/>
      <c r="CK84" s="693">
        <f>CK61-(CL79*$AI79)</f>
        <v>0</v>
      </c>
      <c r="CL84" s="2"/>
      <c r="CM84" s="693">
        <f>CM61-(CN79*$AI79)</f>
        <v>0</v>
      </c>
      <c r="CN84" s="2"/>
      <c r="CO84" s="693">
        <f>CO61-(CP79*$AI79)</f>
        <v>0</v>
      </c>
      <c r="CP84" s="2"/>
      <c r="CQ84" s="693">
        <f>CQ61-(CR79*$AI79)</f>
        <v>0</v>
      </c>
      <c r="CR84" s="2"/>
      <c r="CS84" s="693">
        <f>CS61-(CT79*$AI79)</f>
        <v>0</v>
      </c>
      <c r="CT84" s="2"/>
      <c r="CU84" s="693">
        <f>CU61-(CV79*$AI79)</f>
        <v>0</v>
      </c>
      <c r="CV84" s="2"/>
      <c r="CW84" s="693">
        <f>CW61-(CX79*$AI79)</f>
        <v>0</v>
      </c>
      <c r="CX84" s="2"/>
      <c r="CY84" s="693">
        <f>CY61-(CZ79*$AI79)</f>
        <v>0</v>
      </c>
      <c r="CZ84" s="2"/>
      <c r="DA84" s="693">
        <f>DA61-(DB79*$AI79)</f>
        <v>0</v>
      </c>
      <c r="DB84" s="2"/>
      <c r="DC84" s="693">
        <f>DC61-(DD79*$AI79)</f>
        <v>0</v>
      </c>
      <c r="DD84" s="2"/>
      <c r="DE84" s="693">
        <f>DE61-(DF79*$AI79)</f>
        <v>0</v>
      </c>
      <c r="DF84" s="2"/>
      <c r="DG84" s="693">
        <f>DG61-(DH79*$AI79)</f>
        <v>0</v>
      </c>
      <c r="DH84" s="2"/>
      <c r="DI84" s="693">
        <f>DI61-(DJ79*$AI79)</f>
        <v>0</v>
      </c>
      <c r="DJ84" s="2"/>
      <c r="DK84" s="693">
        <f>DK61-(DL79*$AI79)</f>
        <v>0</v>
      </c>
      <c r="DL84" s="2"/>
      <c r="DM84" s="693">
        <f>DM61-(DN79*$AI79)</f>
        <v>0</v>
      </c>
      <c r="DN84" s="2"/>
      <c r="DO84" s="693">
        <f>DO61-(DP79*$AI79)</f>
        <v>0</v>
      </c>
      <c r="DP84" s="2"/>
      <c r="DQ84" s="693">
        <f>DQ61-(DR79*$AI79)</f>
        <v>0</v>
      </c>
      <c r="DR84" s="2"/>
      <c r="DS84" s="693">
        <f>DS61-(DT79*$AI79)</f>
        <v>0</v>
      </c>
      <c r="DT84" s="2"/>
      <c r="DU84" s="693">
        <f>DU61-(DV79*$AI79)</f>
        <v>0</v>
      </c>
      <c r="DV84" s="2"/>
      <c r="DW84" s="693">
        <f>DW61-(DX79*$AI79)</f>
        <v>0</v>
      </c>
      <c r="DX84" s="2"/>
      <c r="DY84" s="693">
        <f>DY61-(DZ79*$AI79)</f>
        <v>0</v>
      </c>
      <c r="DZ84" s="2"/>
      <c r="EA84" s="693">
        <f>EA61-(EB79*$AI79)</f>
        <v>0</v>
      </c>
      <c r="EB84" s="2"/>
      <c r="EC84" s="693">
        <f>EC61-(ED79*$AI79)</f>
        <v>0</v>
      </c>
      <c r="ED84" s="2"/>
      <c r="EE84" s="693">
        <f>EE61-(EF79*$AI79)</f>
        <v>0</v>
      </c>
      <c r="EF84" s="2"/>
      <c r="EG84" s="2"/>
    </row>
    <row r="85" spans="1:137" ht="15.75" customHeight="1" x14ac:dyDescent="0.2">
      <c r="A85" s="2"/>
      <c r="B85" s="2"/>
      <c r="C85" s="729">
        <v>12</v>
      </c>
      <c r="D85" s="2341" t="str">
        <f t="shared" si="206"/>
        <v/>
      </c>
      <c r="E85" s="2341"/>
      <c r="F85" s="2341"/>
      <c r="G85" s="2342"/>
      <c r="H85" s="2342"/>
      <c r="I85" s="2342"/>
      <c r="J85" s="2342"/>
      <c r="K85" s="2342"/>
      <c r="L85" s="2342"/>
      <c r="M85" s="2342"/>
      <c r="N85" s="2342"/>
      <c r="O85" s="2342"/>
      <c r="P85" s="2342"/>
      <c r="Q85" s="2342"/>
      <c r="R85" s="2342"/>
      <c r="S85" s="2342"/>
      <c r="T85" s="2343"/>
      <c r="U85" s="2343"/>
      <c r="V85" s="2343"/>
      <c r="W85" s="116"/>
      <c r="X85" s="116"/>
      <c r="Y85" s="116"/>
      <c r="Z85" s="2340">
        <f>IF(D85&lt;&gt;D86,SUMIF(D$74:F85,D85,T$74:V85),0)</f>
        <v>0</v>
      </c>
      <c r="AA85" s="2340"/>
      <c r="AB85" s="2340"/>
      <c r="AC85" s="2340"/>
      <c r="AD85" s="2344" t="str">
        <f t="shared" si="207"/>
        <v/>
      </c>
      <c r="AE85" s="2344"/>
      <c r="AF85" s="2"/>
      <c r="AG85" s="2"/>
      <c r="AH85" s="2"/>
      <c r="AI85" s="734" t="s">
        <v>610</v>
      </c>
      <c r="AJ85" s="733">
        <f>IF(AG56="",0,IF(AG56=AI56,0,X22))</f>
        <v>0</v>
      </c>
      <c r="AK85" s="697">
        <f>AK62-(AL78*$AI78)</f>
        <v>0</v>
      </c>
      <c r="AL85" s="2"/>
      <c r="AM85" s="697">
        <f>AM62-(AN78*$AI78)</f>
        <v>0</v>
      </c>
      <c r="AN85" s="2"/>
      <c r="AO85" s="697">
        <f>AO62-(AP78*$AI78)</f>
        <v>0</v>
      </c>
      <c r="AP85" s="2"/>
      <c r="AQ85" s="697">
        <f>AQ62-(AR78*$AI78)</f>
        <v>0</v>
      </c>
      <c r="AR85" s="2"/>
      <c r="AS85" s="697">
        <f>AS62-(AT78*$AI78)</f>
        <v>0</v>
      </c>
      <c r="AT85" s="2"/>
      <c r="AU85" s="697">
        <f>AU62-(AV78*$AI78)</f>
        <v>0</v>
      </c>
      <c r="AV85" s="2"/>
      <c r="AW85" s="697">
        <f>AW62-(AX78*$AI78)</f>
        <v>0</v>
      </c>
      <c r="AX85" s="2"/>
      <c r="AY85" s="697">
        <f>AY62-(AZ78*$AI78)</f>
        <v>0</v>
      </c>
      <c r="AZ85" s="2"/>
      <c r="BA85" s="697">
        <f>BA62-(BB78*$AI78)</f>
        <v>0</v>
      </c>
      <c r="BB85" s="2"/>
      <c r="BC85" s="697">
        <f>BC62-(BD78*$AI78)</f>
        <v>0</v>
      </c>
      <c r="BD85" s="2"/>
      <c r="BE85" s="697">
        <f>BE62-(BF78*$AI78)</f>
        <v>0</v>
      </c>
      <c r="BF85" s="2"/>
      <c r="BG85" s="697">
        <f>BG62-(BH78*$AI78)</f>
        <v>0</v>
      </c>
      <c r="BH85" s="2"/>
      <c r="BI85" s="697">
        <f>BI62-(BJ78*$AI78)</f>
        <v>0</v>
      </c>
      <c r="BJ85" s="2"/>
      <c r="BK85" s="697">
        <f>BK62-(BL78*$AI78)</f>
        <v>0</v>
      </c>
      <c r="BL85" s="2"/>
      <c r="BM85" s="697">
        <f>BM62-(BN78*$AI78)</f>
        <v>0</v>
      </c>
      <c r="BN85" s="2"/>
      <c r="BO85" s="697">
        <f>BO62-(BP78*$AI78)</f>
        <v>0</v>
      </c>
      <c r="BP85" s="2"/>
      <c r="BQ85" s="697">
        <f>BQ62-(BR78*$AI78)</f>
        <v>0</v>
      </c>
      <c r="BR85" s="2"/>
      <c r="BS85" s="697">
        <f>BS62-(BT78*$AI78)</f>
        <v>0</v>
      </c>
      <c r="BT85" s="2"/>
      <c r="BU85" s="697">
        <f>BU62-(BV78*$AI78)</f>
        <v>0</v>
      </c>
      <c r="BV85" s="2"/>
      <c r="BW85" s="697">
        <f>BW62-(BX78*$AI78)</f>
        <v>0</v>
      </c>
      <c r="BX85" s="2"/>
      <c r="BY85" s="697">
        <f>BY62-(BZ78*$AI78)</f>
        <v>0</v>
      </c>
      <c r="BZ85" s="2"/>
      <c r="CA85" s="697">
        <f>CA62-(CB78*$AI78)</f>
        <v>0</v>
      </c>
      <c r="CB85" s="2"/>
      <c r="CC85" s="697">
        <f>CC62-(CD78*$AI78)</f>
        <v>0</v>
      </c>
      <c r="CD85" s="2"/>
      <c r="CE85" s="697">
        <f>CE62-(CF78*$AI78)</f>
        <v>0</v>
      </c>
      <c r="CF85" s="2"/>
      <c r="CG85" s="697">
        <f>CG62-(CH78*$AI78)</f>
        <v>0</v>
      </c>
      <c r="CH85" s="2"/>
      <c r="CI85" s="697">
        <f>CI62-(CJ78*$AI78)</f>
        <v>0</v>
      </c>
      <c r="CJ85" s="2"/>
      <c r="CK85" s="697">
        <f>CK62-(CL78*$AI78)</f>
        <v>0</v>
      </c>
      <c r="CL85" s="2"/>
      <c r="CM85" s="697">
        <f>CM62-(CN78*$AI78)</f>
        <v>0</v>
      </c>
      <c r="CN85" s="2"/>
      <c r="CO85" s="697">
        <f>CO62-(CP78*$AI78)</f>
        <v>0</v>
      </c>
      <c r="CP85" s="2"/>
      <c r="CQ85" s="697">
        <f>CQ62-(CR78*$AI78)</f>
        <v>0</v>
      </c>
      <c r="CR85" s="2"/>
      <c r="CS85" s="697">
        <f>CS62-(CT78*$AI78)</f>
        <v>0</v>
      </c>
      <c r="CT85" s="2"/>
      <c r="CU85" s="697">
        <f>CU62-(CV78*$AI78)</f>
        <v>0</v>
      </c>
      <c r="CV85" s="2"/>
      <c r="CW85" s="697">
        <f>CW62-(CX78*$AI78)</f>
        <v>0</v>
      </c>
      <c r="CX85" s="2"/>
      <c r="CY85" s="697">
        <f>CY62-(CZ78*$AI78)</f>
        <v>0</v>
      </c>
      <c r="CZ85" s="2"/>
      <c r="DA85" s="697">
        <f>DA62-(DB78*$AI78)</f>
        <v>0</v>
      </c>
      <c r="DB85" s="2"/>
      <c r="DC85" s="697">
        <f>DC62-(DD78*$AI78)</f>
        <v>0</v>
      </c>
      <c r="DD85" s="2"/>
      <c r="DE85" s="697">
        <f>DE62-(DF78*$AI78)</f>
        <v>0</v>
      </c>
      <c r="DF85" s="2"/>
      <c r="DG85" s="697">
        <f>DG62-(DH78*$AI78)</f>
        <v>0</v>
      </c>
      <c r="DH85" s="2"/>
      <c r="DI85" s="697">
        <f>DI62-(DJ78*$AI78)</f>
        <v>0</v>
      </c>
      <c r="DJ85" s="2"/>
      <c r="DK85" s="697">
        <f>DK62-(DL78*$AI78)</f>
        <v>0</v>
      </c>
      <c r="DL85" s="2"/>
      <c r="DM85" s="697">
        <f>DM62-(DN78*$AI78)</f>
        <v>0</v>
      </c>
      <c r="DN85" s="2"/>
      <c r="DO85" s="697">
        <f>DO62-(DP78*$AI78)</f>
        <v>0</v>
      </c>
      <c r="DP85" s="2"/>
      <c r="DQ85" s="697">
        <f>DQ62-(DR78*$AI78)</f>
        <v>0</v>
      </c>
      <c r="DR85" s="2"/>
      <c r="DS85" s="697">
        <f>DS62-(DT78*$AI78)</f>
        <v>0</v>
      </c>
      <c r="DT85" s="2"/>
      <c r="DU85" s="697">
        <f>DU62-(DV78*$AI78)</f>
        <v>0</v>
      </c>
      <c r="DV85" s="2"/>
      <c r="DW85" s="697">
        <f>DW62-(DX78*$AI78)</f>
        <v>0</v>
      </c>
      <c r="DX85" s="2"/>
      <c r="DY85" s="697">
        <f>DY62-(DZ78*$AI78)</f>
        <v>0</v>
      </c>
      <c r="DZ85" s="2"/>
      <c r="EA85" s="697">
        <f>EA62-(EB78*$AI78)</f>
        <v>0</v>
      </c>
      <c r="EB85" s="2"/>
      <c r="EC85" s="697">
        <f>EC62-(ED78*$AI78)</f>
        <v>0</v>
      </c>
      <c r="ED85" s="2"/>
      <c r="EE85" s="697">
        <f>EE62-(EF78*$AI78)</f>
        <v>0</v>
      </c>
      <c r="EF85" s="2"/>
      <c r="EG85" s="2"/>
    </row>
    <row r="86" spans="1:137" ht="15.75" customHeight="1" x14ac:dyDescent="0.2">
      <c r="A86" s="2"/>
      <c r="B86" s="2"/>
      <c r="C86" s="729">
        <v>13</v>
      </c>
      <c r="D86" s="2341" t="str">
        <f t="shared" si="206"/>
        <v/>
      </c>
      <c r="E86" s="2341"/>
      <c r="F86" s="2341"/>
      <c r="G86" s="2342"/>
      <c r="H86" s="2342"/>
      <c r="I86" s="2342"/>
      <c r="J86" s="2342"/>
      <c r="K86" s="2342"/>
      <c r="L86" s="2342"/>
      <c r="M86" s="2342"/>
      <c r="N86" s="2342"/>
      <c r="O86" s="2342"/>
      <c r="P86" s="2342"/>
      <c r="Q86" s="2342"/>
      <c r="R86" s="2342"/>
      <c r="S86" s="2342"/>
      <c r="T86" s="2343"/>
      <c r="U86" s="2343"/>
      <c r="V86" s="2343"/>
      <c r="W86" s="116"/>
      <c r="X86" s="116"/>
      <c r="Y86" s="116"/>
      <c r="Z86" s="2340">
        <f>IF(D86&lt;&gt;D87,SUMIF(D$74:F86,D86,T$74:V86),0)</f>
        <v>0</v>
      </c>
      <c r="AA86" s="2340"/>
      <c r="AB86" s="2340"/>
      <c r="AC86" s="2340"/>
      <c r="AD86" s="2344" t="str">
        <f t="shared" si="207"/>
        <v/>
      </c>
      <c r="AE86" s="2344"/>
      <c r="AF86" s="2"/>
      <c r="AG86" s="2"/>
      <c r="AH86" s="2"/>
      <c r="AI86" s="735" t="s">
        <v>611</v>
      </c>
      <c r="AJ86" s="733">
        <f>IF(AG56="",0,IF(AG56=AI56,0,X24))</f>
        <v>0</v>
      </c>
      <c r="AK86" s="697">
        <f>AK63-(AL77*$AI77)</f>
        <v>0</v>
      </c>
      <c r="AL86" s="2"/>
      <c r="AM86" s="697">
        <f>AM63-(AN77*$AI77)</f>
        <v>0</v>
      </c>
      <c r="AN86" s="2"/>
      <c r="AO86" s="697">
        <f>AO63-(AP77*$AI77)</f>
        <v>0</v>
      </c>
      <c r="AP86" s="2"/>
      <c r="AQ86" s="697">
        <f>AQ63-(AR77*$AI77)</f>
        <v>0</v>
      </c>
      <c r="AR86" s="2"/>
      <c r="AS86" s="697">
        <f>AS63-(AT77*$AI77)</f>
        <v>0</v>
      </c>
      <c r="AT86" s="2"/>
      <c r="AU86" s="697">
        <f>AU63-(AV77*$AI77)</f>
        <v>0</v>
      </c>
      <c r="AV86" s="2"/>
      <c r="AW86" s="697">
        <f>AW63-(AX77*$AI77)</f>
        <v>0</v>
      </c>
      <c r="AX86" s="2"/>
      <c r="AY86" s="697">
        <f>AY63-(AZ77*$AI77)</f>
        <v>0</v>
      </c>
      <c r="AZ86" s="2"/>
      <c r="BA86" s="697">
        <f>BA63-(BB77*$AI77)</f>
        <v>0</v>
      </c>
      <c r="BB86" s="2"/>
      <c r="BC86" s="697">
        <f>BC63-(BD77*$AI77)</f>
        <v>0</v>
      </c>
      <c r="BD86" s="2"/>
      <c r="BE86" s="697">
        <f>BE63-(BF77*$AI77)</f>
        <v>0</v>
      </c>
      <c r="BF86" s="2"/>
      <c r="BG86" s="697">
        <f>BG63-(BH77*$AI77)</f>
        <v>0</v>
      </c>
      <c r="BH86" s="2"/>
      <c r="BI86" s="697">
        <f>BI63-(BJ77*$AI77)</f>
        <v>0</v>
      </c>
      <c r="BJ86" s="2"/>
      <c r="BK86" s="697">
        <f>BK63-(BL77*$AI77)</f>
        <v>0</v>
      </c>
      <c r="BL86" s="2"/>
      <c r="BM86" s="697">
        <f>BM63-(BN77*$AI77)</f>
        <v>0</v>
      </c>
      <c r="BN86" s="2"/>
      <c r="BO86" s="697">
        <f>BO63-(BP77*$AI77)</f>
        <v>0</v>
      </c>
      <c r="BP86" s="2"/>
      <c r="BQ86" s="697">
        <f>BQ63-(BR77*$AI77)</f>
        <v>0</v>
      </c>
      <c r="BR86" s="2"/>
      <c r="BS86" s="697">
        <f>BS63-(BT77*$AI77)</f>
        <v>0</v>
      </c>
      <c r="BT86" s="2"/>
      <c r="BU86" s="697">
        <f>BU63-(BV77*$AI77)</f>
        <v>0</v>
      </c>
      <c r="BV86" s="2"/>
      <c r="BW86" s="697">
        <f>BW63-(BX77*$AI77)</f>
        <v>0</v>
      </c>
      <c r="BX86" s="2"/>
      <c r="BY86" s="697">
        <f>BY63-(BZ77*$AI77)</f>
        <v>0</v>
      </c>
      <c r="BZ86" s="2"/>
      <c r="CA86" s="697">
        <f>CA63-(CB77*$AI77)</f>
        <v>0</v>
      </c>
      <c r="CB86" s="2"/>
      <c r="CC86" s="697">
        <f>CC63-(CD77*$AI77)</f>
        <v>0</v>
      </c>
      <c r="CD86" s="2"/>
      <c r="CE86" s="697">
        <f>CE63-(CF77*$AI77)</f>
        <v>0</v>
      </c>
      <c r="CF86" s="2"/>
      <c r="CG86" s="697">
        <f>CG63-(CH77*$AI77)</f>
        <v>0</v>
      </c>
      <c r="CH86" s="2"/>
      <c r="CI86" s="697">
        <f>CI63-(CJ77*$AI77)</f>
        <v>0</v>
      </c>
      <c r="CJ86" s="2"/>
      <c r="CK86" s="697">
        <f>CK63-(CL77*$AI77)</f>
        <v>0</v>
      </c>
      <c r="CL86" s="2"/>
      <c r="CM86" s="697">
        <f>CM63-(CN77*$AI77)</f>
        <v>0</v>
      </c>
      <c r="CN86" s="2"/>
      <c r="CO86" s="697">
        <f>CO63-(CP77*$AI77)</f>
        <v>0</v>
      </c>
      <c r="CP86" s="2"/>
      <c r="CQ86" s="697">
        <f>CQ63-(CR77*$AI77)</f>
        <v>0</v>
      </c>
      <c r="CR86" s="2"/>
      <c r="CS86" s="697">
        <f>CS63-(CT77*$AI77)</f>
        <v>0</v>
      </c>
      <c r="CT86" s="2"/>
      <c r="CU86" s="697">
        <f>CU63-(CV77*$AI77)</f>
        <v>0</v>
      </c>
      <c r="CV86" s="2"/>
      <c r="CW86" s="697">
        <f>CW63-(CX77*$AI77)</f>
        <v>0</v>
      </c>
      <c r="CX86" s="2"/>
      <c r="CY86" s="697">
        <f>CY63-(CZ77*$AI77)</f>
        <v>0</v>
      </c>
      <c r="CZ86" s="2"/>
      <c r="DA86" s="697">
        <f>DA63-(DB77*$AI77)</f>
        <v>0</v>
      </c>
      <c r="DB86" s="2"/>
      <c r="DC86" s="697">
        <f>DC63-(DD77*$AI77)</f>
        <v>0</v>
      </c>
      <c r="DD86" s="2"/>
      <c r="DE86" s="697">
        <f>DE63-(DF77*$AI77)</f>
        <v>0</v>
      </c>
      <c r="DF86" s="2"/>
      <c r="DG86" s="697">
        <f>DG63-(DH77*$AI77)</f>
        <v>0</v>
      </c>
      <c r="DH86" s="2"/>
      <c r="DI86" s="697">
        <f>DI63-(DJ77*$AI77)</f>
        <v>0</v>
      </c>
      <c r="DJ86" s="2"/>
      <c r="DK86" s="697">
        <f>DK63-(DL77*$AI77)</f>
        <v>0</v>
      </c>
      <c r="DL86" s="2"/>
      <c r="DM86" s="697">
        <f>DM63-(DN77*$AI77)</f>
        <v>0</v>
      </c>
      <c r="DN86" s="2"/>
      <c r="DO86" s="697">
        <f>DO63-(DP77*$AI77)</f>
        <v>0</v>
      </c>
      <c r="DP86" s="2"/>
      <c r="DQ86" s="697">
        <f>DQ63-(DR77*$AI77)</f>
        <v>0</v>
      </c>
      <c r="DR86" s="2"/>
      <c r="DS86" s="697">
        <f>DS63-(DT77*$AI77)</f>
        <v>0</v>
      </c>
      <c r="DT86" s="2"/>
      <c r="DU86" s="697">
        <f>DU63-(DV77*$AI77)</f>
        <v>0</v>
      </c>
      <c r="DV86" s="2"/>
      <c r="DW86" s="697">
        <f>DW63-(DX77*$AI77)</f>
        <v>0</v>
      </c>
      <c r="DX86" s="2"/>
      <c r="DY86" s="697">
        <f>DY63-(DZ77*$AI77)</f>
        <v>0</v>
      </c>
      <c r="DZ86" s="2"/>
      <c r="EA86" s="697">
        <f>EA63-(EB77*$AI77)</f>
        <v>0</v>
      </c>
      <c r="EB86" s="2"/>
      <c r="EC86" s="697">
        <f>EC63-(ED77*$AI77)</f>
        <v>0</v>
      </c>
      <c r="ED86" s="2"/>
      <c r="EE86" s="697">
        <f>EE63-(EF77*$AI77)</f>
        <v>0</v>
      </c>
      <c r="EF86" s="2"/>
      <c r="EG86" s="2"/>
    </row>
    <row r="87" spans="1:137" ht="15.75" customHeight="1" x14ac:dyDescent="0.2">
      <c r="A87" s="2"/>
      <c r="B87" s="2"/>
      <c r="C87" s="729">
        <v>14</v>
      </c>
      <c r="D87" s="2341" t="str">
        <f t="shared" si="206"/>
        <v/>
      </c>
      <c r="E87" s="2341"/>
      <c r="F87" s="2341"/>
      <c r="G87" s="2342"/>
      <c r="H87" s="2342"/>
      <c r="I87" s="2342"/>
      <c r="J87" s="2342"/>
      <c r="K87" s="2342"/>
      <c r="L87" s="2342"/>
      <c r="M87" s="2342"/>
      <c r="N87" s="2342"/>
      <c r="O87" s="2342"/>
      <c r="P87" s="2342"/>
      <c r="Q87" s="2342"/>
      <c r="R87" s="2342"/>
      <c r="S87" s="2342"/>
      <c r="T87" s="2343"/>
      <c r="U87" s="2343"/>
      <c r="V87" s="2343"/>
      <c r="W87" s="116"/>
      <c r="X87" s="116"/>
      <c r="Y87" s="116"/>
      <c r="Z87" s="2340">
        <f>IF(D87&lt;&gt;D88,SUMIF(D$74:F87,D87,T$74:V87),0)</f>
        <v>0</v>
      </c>
      <c r="AA87" s="2340"/>
      <c r="AB87" s="2340"/>
      <c r="AC87" s="2340"/>
      <c r="AD87" s="2344" t="str">
        <f t="shared" si="207"/>
        <v/>
      </c>
      <c r="AE87" s="2344"/>
      <c r="AF87" s="2"/>
      <c r="AG87" s="2"/>
      <c r="AH87" s="2"/>
      <c r="AI87" s="2"/>
      <c r="AJ87" s="733">
        <f>SUM(AJ84:AJ86)</f>
        <v>0</v>
      </c>
      <c r="AK87" s="697">
        <f>AK64-(AL76*$AI76)</f>
        <v>0</v>
      </c>
      <c r="AL87" s="2"/>
      <c r="AM87" s="697">
        <f>AM64-(AN76*$AI76)</f>
        <v>0</v>
      </c>
      <c r="AN87" s="2"/>
      <c r="AO87" s="697">
        <f>AO64-(AP76*$AI76)</f>
        <v>0</v>
      </c>
      <c r="AP87" s="2"/>
      <c r="AQ87" s="697">
        <f>AQ64-(AR76*$AI76)</f>
        <v>0</v>
      </c>
      <c r="AR87" s="2"/>
      <c r="AS87" s="697">
        <f>AS64-(AT76*$AI76)</f>
        <v>0</v>
      </c>
      <c r="AT87" s="2"/>
      <c r="AU87" s="697">
        <f>AU64-(AV76*$AI76)</f>
        <v>0</v>
      </c>
      <c r="AV87" s="2"/>
      <c r="AW87" s="697">
        <f>AW64-(AX76*$AI76)</f>
        <v>0</v>
      </c>
      <c r="AX87" s="2"/>
      <c r="AY87" s="697">
        <f>AY64-(AZ76*$AI76)</f>
        <v>0</v>
      </c>
      <c r="AZ87" s="2"/>
      <c r="BA87" s="697">
        <f>BA64-(BB76*$AI76)</f>
        <v>0</v>
      </c>
      <c r="BB87" s="2"/>
      <c r="BC87" s="697">
        <f>BC64-(BD76*$AI76)</f>
        <v>0</v>
      </c>
      <c r="BD87" s="2"/>
      <c r="BE87" s="697">
        <f>BE64-(BF76*$AI76)</f>
        <v>0</v>
      </c>
      <c r="BF87" s="2"/>
      <c r="BG87" s="697">
        <f>BG64-(BH76*$AI76)</f>
        <v>0</v>
      </c>
      <c r="BH87" s="2"/>
      <c r="BI87" s="697">
        <f>BI64-(BJ76*$AI76)</f>
        <v>0</v>
      </c>
      <c r="BJ87" s="2"/>
      <c r="BK87" s="697">
        <f>BK64-(BL76*$AI76)</f>
        <v>0</v>
      </c>
      <c r="BL87" s="2"/>
      <c r="BM87" s="697">
        <f>BM64-(BN76*$AI76)</f>
        <v>0</v>
      </c>
      <c r="BN87" s="2"/>
      <c r="BO87" s="697">
        <f>BO64-(BP76*$AI76)</f>
        <v>0</v>
      </c>
      <c r="BP87" s="2"/>
      <c r="BQ87" s="697">
        <f>BQ64-(BR76*$AI76)</f>
        <v>0</v>
      </c>
      <c r="BR87" s="2"/>
      <c r="BS87" s="697">
        <f>BS64-(BT76*$AI76)</f>
        <v>0</v>
      </c>
      <c r="BT87" s="2"/>
      <c r="BU87" s="697">
        <f>BU64-(BV76*$AI76)</f>
        <v>0</v>
      </c>
      <c r="BV87" s="2"/>
      <c r="BW87" s="697">
        <f>BW64-(BX76*$AI76)</f>
        <v>0</v>
      </c>
      <c r="BX87" s="2"/>
      <c r="BY87" s="697">
        <f>BY64-(BZ76*$AI76)</f>
        <v>0</v>
      </c>
      <c r="BZ87" s="2"/>
      <c r="CA87" s="697">
        <f>CA64-(CB76*$AI76)</f>
        <v>0</v>
      </c>
      <c r="CB87" s="2"/>
      <c r="CC87" s="697">
        <f>CC64-(CD76*$AI76)</f>
        <v>0</v>
      </c>
      <c r="CD87" s="2"/>
      <c r="CE87" s="697">
        <f>CE64-(CF76*$AI76)</f>
        <v>0</v>
      </c>
      <c r="CF87" s="2"/>
      <c r="CG87" s="697">
        <f>CG64-(CH76*$AI76)</f>
        <v>0</v>
      </c>
      <c r="CH87" s="2"/>
      <c r="CI87" s="697">
        <f>CI64-(CJ76*$AI76)</f>
        <v>0</v>
      </c>
      <c r="CJ87" s="2"/>
      <c r="CK87" s="697">
        <f>CK64-(CL76*$AI76)</f>
        <v>0</v>
      </c>
      <c r="CL87" s="2"/>
      <c r="CM87" s="697">
        <f>CM64-(CN76*$AI76)</f>
        <v>0</v>
      </c>
      <c r="CN87" s="2"/>
      <c r="CO87" s="697">
        <f>CO64-(CP76*$AI76)</f>
        <v>0</v>
      </c>
      <c r="CP87" s="2"/>
      <c r="CQ87" s="697">
        <f>CQ64-(CR76*$AI76)</f>
        <v>0</v>
      </c>
      <c r="CR87" s="2"/>
      <c r="CS87" s="697">
        <f>CS64-(CT76*$AI76)</f>
        <v>0</v>
      </c>
      <c r="CT87" s="2"/>
      <c r="CU87" s="697">
        <f>CU64-(CV76*$AI76)</f>
        <v>0</v>
      </c>
      <c r="CV87" s="2"/>
      <c r="CW87" s="697">
        <f>CW64-(CX76*$AI76)</f>
        <v>0</v>
      </c>
      <c r="CX87" s="2"/>
      <c r="CY87" s="697">
        <f>CY64-(CZ76*$AI76)</f>
        <v>0</v>
      </c>
      <c r="CZ87" s="2"/>
      <c r="DA87" s="697">
        <f>DA64-(DB76*$AI76)</f>
        <v>0</v>
      </c>
      <c r="DB87" s="2"/>
      <c r="DC87" s="697">
        <f>DC64-(DD76*$AI76)</f>
        <v>0</v>
      </c>
      <c r="DD87" s="2"/>
      <c r="DE87" s="697">
        <f>DE64-(DF76*$AI76)</f>
        <v>0</v>
      </c>
      <c r="DF87" s="2"/>
      <c r="DG87" s="697">
        <f>DG64-(DH76*$AI76)</f>
        <v>0</v>
      </c>
      <c r="DH87" s="2"/>
      <c r="DI87" s="697">
        <f>DI64-(DJ76*$AI76)</f>
        <v>0</v>
      </c>
      <c r="DJ87" s="2"/>
      <c r="DK87" s="697">
        <f>DK64-(DL76*$AI76)</f>
        <v>0</v>
      </c>
      <c r="DL87" s="2"/>
      <c r="DM87" s="697">
        <f>DM64-(DN76*$AI76)</f>
        <v>0</v>
      </c>
      <c r="DN87" s="2"/>
      <c r="DO87" s="697">
        <f>DO64-(DP76*$AI76)</f>
        <v>0</v>
      </c>
      <c r="DP87" s="2"/>
      <c r="DQ87" s="697">
        <f>DQ64-(DR76*$AI76)</f>
        <v>0</v>
      </c>
      <c r="DR87" s="2"/>
      <c r="DS87" s="697">
        <f>DS64-(DT76*$AI76)</f>
        <v>0</v>
      </c>
      <c r="DT87" s="2"/>
      <c r="DU87" s="697">
        <f>DU64-(DV76*$AI76)</f>
        <v>0</v>
      </c>
      <c r="DV87" s="2"/>
      <c r="DW87" s="697">
        <f>DW64-(DX76*$AI76)</f>
        <v>0</v>
      </c>
      <c r="DX87" s="2"/>
      <c r="DY87" s="697">
        <f>DY64-(DZ76*$AI76)</f>
        <v>0</v>
      </c>
      <c r="DZ87" s="2"/>
      <c r="EA87" s="697">
        <f>EA64-(EB76*$AI76)</f>
        <v>0</v>
      </c>
      <c r="EB87" s="2"/>
      <c r="EC87" s="697">
        <f>EC64-(ED76*$AI76)</f>
        <v>0</v>
      </c>
      <c r="ED87" s="2"/>
      <c r="EE87" s="697">
        <f>EE64-(EF76*$AI76)</f>
        <v>0</v>
      </c>
      <c r="EF87" s="2"/>
      <c r="EG87" s="2"/>
    </row>
    <row r="88" spans="1:137" ht="15.75" customHeight="1" x14ac:dyDescent="0.2">
      <c r="A88" s="2"/>
      <c r="B88" s="2"/>
      <c r="C88" s="729">
        <v>15</v>
      </c>
      <c r="D88" s="2341" t="str">
        <f t="shared" si="206"/>
        <v/>
      </c>
      <c r="E88" s="2341"/>
      <c r="F88" s="2341"/>
      <c r="G88" s="2342"/>
      <c r="H88" s="2342"/>
      <c r="I88" s="2342"/>
      <c r="J88" s="2342"/>
      <c r="K88" s="2342"/>
      <c r="L88" s="2342"/>
      <c r="M88" s="2342"/>
      <c r="N88" s="2342"/>
      <c r="O88" s="2342"/>
      <c r="P88" s="2342"/>
      <c r="Q88" s="2342"/>
      <c r="R88" s="2342"/>
      <c r="S88" s="2342"/>
      <c r="T88" s="2343"/>
      <c r="U88" s="2343"/>
      <c r="V88" s="2343"/>
      <c r="W88" s="116"/>
      <c r="X88" s="116"/>
      <c r="Y88" s="116"/>
      <c r="Z88" s="2340">
        <f>IF(D88&lt;&gt;D89,SUMIF(D$74:F88,D88,T$74:V88),0)</f>
        <v>0</v>
      </c>
      <c r="AA88" s="2340"/>
      <c r="AB88" s="2340"/>
      <c r="AC88" s="2340"/>
      <c r="AD88" s="2344" t="str">
        <f t="shared" si="207"/>
        <v/>
      </c>
      <c r="AE88" s="2344"/>
      <c r="AF88" s="2"/>
      <c r="AG88" s="2"/>
      <c r="AH88" s="2"/>
      <c r="AI88" s="2"/>
      <c r="AJ88" s="2"/>
      <c r="AK88" s="697">
        <f>AK65-(AL75*$AI75)</f>
        <v>0</v>
      </c>
      <c r="AL88" s="2"/>
      <c r="AM88" s="697">
        <f>AM65-(AN75*$AI75)</f>
        <v>0</v>
      </c>
      <c r="AN88" s="2"/>
      <c r="AO88" s="697">
        <f>AO65-(AP75*$AI75)</f>
        <v>0</v>
      </c>
      <c r="AP88" s="2"/>
      <c r="AQ88" s="697">
        <f>AQ65-(AR75*$AI75)</f>
        <v>0</v>
      </c>
      <c r="AR88" s="2"/>
      <c r="AS88" s="697">
        <f>AS65-(AT75*$AI75)</f>
        <v>0</v>
      </c>
      <c r="AT88" s="2"/>
      <c r="AU88" s="697">
        <f>AU65-(AV75*$AI75)</f>
        <v>0</v>
      </c>
      <c r="AV88" s="2"/>
      <c r="AW88" s="697">
        <f>AW65-(AX75*$AI75)</f>
        <v>0</v>
      </c>
      <c r="AX88" s="2"/>
      <c r="AY88" s="697">
        <f>AY65-(AZ75*$AI75)</f>
        <v>0</v>
      </c>
      <c r="AZ88" s="2"/>
      <c r="BA88" s="697">
        <f>BA65-(BB75*$AI75)</f>
        <v>0</v>
      </c>
      <c r="BB88" s="2"/>
      <c r="BC88" s="697">
        <f>BC65-(BD75*$AI75)</f>
        <v>0</v>
      </c>
      <c r="BD88" s="2"/>
      <c r="BE88" s="697">
        <f>BE65-(BF75*$AI75)</f>
        <v>0</v>
      </c>
      <c r="BF88" s="2"/>
      <c r="BG88" s="697">
        <f>BG65-(BH75*$AI75)</f>
        <v>0</v>
      </c>
      <c r="BH88" s="2"/>
      <c r="BI88" s="697">
        <f>BI65-(BJ75*$AI75)</f>
        <v>0</v>
      </c>
      <c r="BJ88" s="2"/>
      <c r="BK88" s="697">
        <f>BK65-(BL75*$AI75)</f>
        <v>0</v>
      </c>
      <c r="BL88" s="2"/>
      <c r="BM88" s="697">
        <f>BM65-(BN75*$AI75)</f>
        <v>0</v>
      </c>
      <c r="BN88" s="2"/>
      <c r="BO88" s="697">
        <f>BO65-(BP75*$AI75)</f>
        <v>0</v>
      </c>
      <c r="BP88" s="2"/>
      <c r="BQ88" s="697">
        <f>BQ65-(BR75*$AI75)</f>
        <v>0</v>
      </c>
      <c r="BR88" s="2"/>
      <c r="BS88" s="697">
        <f>BS65-(BT75*$AI75)</f>
        <v>0</v>
      </c>
      <c r="BT88" s="2"/>
      <c r="BU88" s="697">
        <f>BU65-(BV75*$AI75)</f>
        <v>0</v>
      </c>
      <c r="BV88" s="2"/>
      <c r="BW88" s="697">
        <f>BW65-(BX75*$AI75)</f>
        <v>0</v>
      </c>
      <c r="BX88" s="2"/>
      <c r="BY88" s="697">
        <f>BY65-(BZ75*$AI75)</f>
        <v>0</v>
      </c>
      <c r="BZ88" s="2"/>
      <c r="CA88" s="697">
        <f>CA65-(CB75*$AI75)</f>
        <v>0</v>
      </c>
      <c r="CB88" s="2"/>
      <c r="CC88" s="697">
        <f>CC65-(CD75*$AI75)</f>
        <v>0</v>
      </c>
      <c r="CD88" s="2"/>
      <c r="CE88" s="697">
        <f>CE65-(CF75*$AI75)</f>
        <v>0</v>
      </c>
      <c r="CF88" s="2"/>
      <c r="CG88" s="697">
        <f>CG65-(CH75*$AI75)</f>
        <v>0</v>
      </c>
      <c r="CH88" s="2"/>
      <c r="CI88" s="697">
        <f>CI65-(CJ75*$AI75)</f>
        <v>0</v>
      </c>
      <c r="CJ88" s="2"/>
      <c r="CK88" s="697">
        <f>CK65-(CL75*$AI75)</f>
        <v>0</v>
      </c>
      <c r="CL88" s="2"/>
      <c r="CM88" s="697">
        <f>CM65-(CN75*$AI75)</f>
        <v>0</v>
      </c>
      <c r="CN88" s="2"/>
      <c r="CO88" s="697">
        <f>CO65-(CP75*$AI75)</f>
        <v>0</v>
      </c>
      <c r="CP88" s="2"/>
      <c r="CQ88" s="697">
        <f>CQ65-(CR75*$AI75)</f>
        <v>0</v>
      </c>
      <c r="CR88" s="2"/>
      <c r="CS88" s="697">
        <f>CS65-(CT75*$AI75)</f>
        <v>0</v>
      </c>
      <c r="CT88" s="2"/>
      <c r="CU88" s="697">
        <f>CU65-(CV75*$AI75)</f>
        <v>0</v>
      </c>
      <c r="CV88" s="2"/>
      <c r="CW88" s="697">
        <f>CW65-(CX75*$AI75)</f>
        <v>0</v>
      </c>
      <c r="CX88" s="2"/>
      <c r="CY88" s="697">
        <f>CY65-(CZ75*$AI75)</f>
        <v>0</v>
      </c>
      <c r="CZ88" s="2"/>
      <c r="DA88" s="697">
        <f>DA65-(DB75*$AI75)</f>
        <v>0</v>
      </c>
      <c r="DB88" s="2"/>
      <c r="DC88" s="697">
        <f>DC65-(DD75*$AI75)</f>
        <v>0</v>
      </c>
      <c r="DD88" s="2"/>
      <c r="DE88" s="697">
        <f>DE65-(DF75*$AI75)</f>
        <v>0</v>
      </c>
      <c r="DF88" s="2"/>
      <c r="DG88" s="697">
        <f>DG65-(DH75*$AI75)</f>
        <v>0</v>
      </c>
      <c r="DH88" s="2"/>
      <c r="DI88" s="697">
        <f>DI65-(DJ75*$AI75)</f>
        <v>0</v>
      </c>
      <c r="DJ88" s="2"/>
      <c r="DK88" s="697">
        <f>DK65-(DL75*$AI75)</f>
        <v>0</v>
      </c>
      <c r="DL88" s="2"/>
      <c r="DM88" s="697">
        <f>DM65-(DN75*$AI75)</f>
        <v>0</v>
      </c>
      <c r="DN88" s="2"/>
      <c r="DO88" s="697">
        <f>DO65-(DP75*$AI75)</f>
        <v>0</v>
      </c>
      <c r="DP88" s="2"/>
      <c r="DQ88" s="697">
        <f>DQ65-(DR75*$AI75)</f>
        <v>0</v>
      </c>
      <c r="DR88" s="2"/>
      <c r="DS88" s="697">
        <f>DS65-(DT75*$AI75)</f>
        <v>0</v>
      </c>
      <c r="DT88" s="2"/>
      <c r="DU88" s="697">
        <f>DU65-(DV75*$AI75)</f>
        <v>0</v>
      </c>
      <c r="DV88" s="2"/>
      <c r="DW88" s="697">
        <f>DW65-(DX75*$AI75)</f>
        <v>0</v>
      </c>
      <c r="DX88" s="2"/>
      <c r="DY88" s="697">
        <f>DY65-(DZ75*$AI75)</f>
        <v>0</v>
      </c>
      <c r="DZ88" s="2"/>
      <c r="EA88" s="697">
        <f>EA65-(EB75*$AI75)</f>
        <v>0</v>
      </c>
      <c r="EB88" s="2"/>
      <c r="EC88" s="697">
        <f>EC65-(ED75*$AI75)</f>
        <v>0</v>
      </c>
      <c r="ED88" s="2"/>
      <c r="EE88" s="697">
        <f>EE65-(EF75*$AI75)</f>
        <v>0</v>
      </c>
      <c r="EF88" s="2"/>
      <c r="EG88" s="2"/>
    </row>
    <row r="89" spans="1:137" ht="15.75" customHeight="1" x14ac:dyDescent="0.2">
      <c r="A89" s="2"/>
      <c r="B89" s="2"/>
      <c r="C89" s="729">
        <v>16</v>
      </c>
      <c r="D89" s="2341" t="str">
        <f t="shared" si="206"/>
        <v/>
      </c>
      <c r="E89" s="2341"/>
      <c r="F89" s="2341"/>
      <c r="G89" s="2342"/>
      <c r="H89" s="2342"/>
      <c r="I89" s="2342"/>
      <c r="J89" s="2342"/>
      <c r="K89" s="2342"/>
      <c r="L89" s="2342"/>
      <c r="M89" s="2342"/>
      <c r="N89" s="2342"/>
      <c r="O89" s="2342"/>
      <c r="P89" s="2342"/>
      <c r="Q89" s="2342"/>
      <c r="R89" s="2342"/>
      <c r="S89" s="2342"/>
      <c r="T89" s="2343"/>
      <c r="U89" s="2343"/>
      <c r="V89" s="2343"/>
      <c r="W89" s="116"/>
      <c r="X89" s="116"/>
      <c r="Y89" s="116"/>
      <c r="Z89" s="2340">
        <f>IF(D89&lt;&gt;D90,SUMIF(D$74:F89,D89,T$74:V89),0)</f>
        <v>0</v>
      </c>
      <c r="AA89" s="2340"/>
      <c r="AB89" s="2340"/>
      <c r="AC89" s="2340"/>
      <c r="AD89" s="2344" t="str">
        <f t="shared" si="207"/>
        <v/>
      </c>
      <c r="AE89" s="2344"/>
      <c r="AF89" s="2"/>
      <c r="AG89" s="2"/>
      <c r="AH89" s="2"/>
      <c r="AI89" s="2"/>
      <c r="AJ89" s="2"/>
      <c r="AK89" s="697">
        <f>AK66-(AL74*$AI74)</f>
        <v>0</v>
      </c>
      <c r="AL89" s="2"/>
      <c r="AM89" s="697">
        <f>AM66-(AN74*$AI74)</f>
        <v>0</v>
      </c>
      <c r="AN89" s="2"/>
      <c r="AO89" s="697">
        <f>AO66-(AP74*$AI74)</f>
        <v>0</v>
      </c>
      <c r="AP89" s="2"/>
      <c r="AQ89" s="697">
        <f>AQ66-(AR74*$AI74)</f>
        <v>0</v>
      </c>
      <c r="AR89" s="2"/>
      <c r="AS89" s="697">
        <f>AS66-(AT74*$AI74)</f>
        <v>0</v>
      </c>
      <c r="AT89" s="2"/>
      <c r="AU89" s="697">
        <f>AU66-(AV74*$AI74)</f>
        <v>0</v>
      </c>
      <c r="AV89" s="2"/>
      <c r="AW89" s="697">
        <f>AW66-(AX74*$AI74)</f>
        <v>0</v>
      </c>
      <c r="AX89" s="2"/>
      <c r="AY89" s="697">
        <f>AY66-(AZ74*$AI74)</f>
        <v>0</v>
      </c>
      <c r="AZ89" s="2"/>
      <c r="BA89" s="697">
        <f>BA66-(BB74*$AI74)</f>
        <v>0</v>
      </c>
      <c r="BB89" s="2"/>
      <c r="BC89" s="697">
        <f>BC66-(BD74*$AI74)</f>
        <v>0</v>
      </c>
      <c r="BD89" s="2"/>
      <c r="BE89" s="697">
        <f>BE66-(BF74*$AI74)</f>
        <v>0</v>
      </c>
      <c r="BF89" s="2"/>
      <c r="BG89" s="697">
        <f>BG66-(BH74*$AI74)</f>
        <v>0</v>
      </c>
      <c r="BH89" s="2"/>
      <c r="BI89" s="697">
        <f>BI66-(BJ74*$AI74)</f>
        <v>0</v>
      </c>
      <c r="BJ89" s="2"/>
      <c r="BK89" s="697">
        <f>BK66-(BL74*$AI74)</f>
        <v>0</v>
      </c>
      <c r="BL89" s="2"/>
      <c r="BM89" s="697">
        <f>BM66-(BN74*$AI74)</f>
        <v>0</v>
      </c>
      <c r="BN89" s="2"/>
      <c r="BO89" s="697">
        <f>BO66-(BP74*$AI74)</f>
        <v>0</v>
      </c>
      <c r="BP89" s="2"/>
      <c r="BQ89" s="697">
        <f>BQ66-(BR74*$AI74)</f>
        <v>0</v>
      </c>
      <c r="BR89" s="2"/>
      <c r="BS89" s="697">
        <f>BS66-(BT74*$AI74)</f>
        <v>0</v>
      </c>
      <c r="BT89" s="2"/>
      <c r="BU89" s="697">
        <f>BU66-(BV74*$AI74)</f>
        <v>0</v>
      </c>
      <c r="BV89" s="2"/>
      <c r="BW89" s="697">
        <f>BW66-(BX74*$AI74)</f>
        <v>0</v>
      </c>
      <c r="BX89" s="2"/>
      <c r="BY89" s="697">
        <f>BY66-(BZ74*$AI74)</f>
        <v>0</v>
      </c>
      <c r="BZ89" s="2"/>
      <c r="CA89" s="697">
        <f>CA66-(CB74*$AI74)</f>
        <v>0</v>
      </c>
      <c r="CB89" s="2"/>
      <c r="CC89" s="697">
        <f>CC66-(CD74*$AI74)</f>
        <v>0</v>
      </c>
      <c r="CD89" s="2"/>
      <c r="CE89" s="697">
        <f>CE66-(CF74*$AI74)</f>
        <v>0</v>
      </c>
      <c r="CF89" s="2"/>
      <c r="CG89" s="697">
        <f>CG66-(CH74*$AI74)</f>
        <v>0</v>
      </c>
      <c r="CH89" s="2"/>
      <c r="CI89" s="697">
        <f>CI66-(CJ74*$AI74)</f>
        <v>0</v>
      </c>
      <c r="CJ89" s="2"/>
      <c r="CK89" s="697">
        <f>CK66-(CL74*$AI74)</f>
        <v>0</v>
      </c>
      <c r="CL89" s="2"/>
      <c r="CM89" s="697">
        <f>CM66-(CN74*$AI74)</f>
        <v>0</v>
      </c>
      <c r="CN89" s="2"/>
      <c r="CO89" s="697">
        <f>CO66-(CP74*$AI74)</f>
        <v>0</v>
      </c>
      <c r="CP89" s="2"/>
      <c r="CQ89" s="697">
        <f>CQ66-(CR74*$AI74)</f>
        <v>0</v>
      </c>
      <c r="CR89" s="2"/>
      <c r="CS89" s="697">
        <f>CS66-(CT74*$AI74)</f>
        <v>0</v>
      </c>
      <c r="CT89" s="2"/>
      <c r="CU89" s="697">
        <f>CU66-(CV74*$AI74)</f>
        <v>0</v>
      </c>
      <c r="CV89" s="2"/>
      <c r="CW89" s="697">
        <f>CW66-(CX74*$AI74)</f>
        <v>0</v>
      </c>
      <c r="CX89" s="2"/>
      <c r="CY89" s="697">
        <f>CY66-(CZ74*$AI74)</f>
        <v>0</v>
      </c>
      <c r="CZ89" s="2"/>
      <c r="DA89" s="697">
        <f>DA66-(DB74*$AI74)</f>
        <v>0</v>
      </c>
      <c r="DB89" s="2"/>
      <c r="DC89" s="697">
        <f>DC66-(DD74*$AI74)</f>
        <v>0</v>
      </c>
      <c r="DD89" s="2"/>
      <c r="DE89" s="697">
        <f>DE66-(DF74*$AI74)</f>
        <v>0</v>
      </c>
      <c r="DF89" s="2"/>
      <c r="DG89" s="697">
        <f>DG66-(DH74*$AI74)</f>
        <v>0</v>
      </c>
      <c r="DH89" s="2"/>
      <c r="DI89" s="697">
        <f>DI66-(DJ74*$AI74)</f>
        <v>0</v>
      </c>
      <c r="DJ89" s="2"/>
      <c r="DK89" s="697">
        <f>DK66-(DL74*$AI74)</f>
        <v>0</v>
      </c>
      <c r="DL89" s="2"/>
      <c r="DM89" s="697">
        <f>DM66-(DN74*$AI74)</f>
        <v>0</v>
      </c>
      <c r="DN89" s="2"/>
      <c r="DO89" s="697">
        <f>DO66-(DP74*$AI74)</f>
        <v>0</v>
      </c>
      <c r="DP89" s="2"/>
      <c r="DQ89" s="697">
        <f>DQ66-(DR74*$AI74)</f>
        <v>0</v>
      </c>
      <c r="DR89" s="2"/>
      <c r="DS89" s="697">
        <f>DS66-(DT74*$AI74)</f>
        <v>0</v>
      </c>
      <c r="DT89" s="2"/>
      <c r="DU89" s="697">
        <f>DU66-(DV74*$AI74)</f>
        <v>0</v>
      </c>
      <c r="DV89" s="2"/>
      <c r="DW89" s="697">
        <f>DW66-(DX74*$AI74)</f>
        <v>0</v>
      </c>
      <c r="DX89" s="2"/>
      <c r="DY89" s="697">
        <f>DY66-(DZ74*$AI74)</f>
        <v>0</v>
      </c>
      <c r="DZ89" s="2"/>
      <c r="EA89" s="697">
        <f>EA66-(EB74*$AI74)</f>
        <v>0</v>
      </c>
      <c r="EB89" s="2"/>
      <c r="EC89" s="697">
        <f>EC66-(ED74*$AI74)</f>
        <v>0</v>
      </c>
      <c r="ED89" s="2"/>
      <c r="EE89" s="697">
        <f>EE66-(EF74*$AI74)</f>
        <v>0</v>
      </c>
      <c r="EF89" s="2"/>
      <c r="EG89" s="2"/>
    </row>
    <row r="90" spans="1:137" ht="15.75" customHeight="1" x14ac:dyDescent="0.2">
      <c r="A90" s="2"/>
      <c r="B90" s="2"/>
      <c r="C90" s="729">
        <v>17</v>
      </c>
      <c r="D90" s="2341" t="str">
        <f t="shared" si="206"/>
        <v/>
      </c>
      <c r="E90" s="2341"/>
      <c r="F90" s="2341"/>
      <c r="G90" s="2342"/>
      <c r="H90" s="2342"/>
      <c r="I90" s="2342"/>
      <c r="J90" s="2342"/>
      <c r="K90" s="2342"/>
      <c r="L90" s="2342"/>
      <c r="M90" s="2342"/>
      <c r="N90" s="2342"/>
      <c r="O90" s="2342"/>
      <c r="P90" s="2342"/>
      <c r="Q90" s="2342"/>
      <c r="R90" s="2342"/>
      <c r="S90" s="2342"/>
      <c r="T90" s="2343"/>
      <c r="U90" s="2343"/>
      <c r="V90" s="2343"/>
      <c r="W90" s="116"/>
      <c r="X90" s="116"/>
      <c r="Y90" s="116"/>
      <c r="Z90" s="2340">
        <f>IF(D90&lt;&gt;D91,SUMIF(D$74:F90,D90,T$74:V90),0)</f>
        <v>0</v>
      </c>
      <c r="AA90" s="2340"/>
      <c r="AB90" s="2340"/>
      <c r="AC90" s="2340"/>
      <c r="AD90" s="2344" t="str">
        <f t="shared" si="207"/>
        <v/>
      </c>
      <c r="AE90" s="2344"/>
      <c r="AF90" s="2"/>
      <c r="AG90" s="2"/>
      <c r="AH90" s="2"/>
      <c r="AI90" s="2"/>
      <c r="AJ90" s="2"/>
      <c r="AK90" s="699">
        <f>AK67-(AL73*$AI73)</f>
        <v>0</v>
      </c>
      <c r="AL90" s="2"/>
      <c r="AM90" s="699">
        <f>AM67-(AN73*$AI73)</f>
        <v>0</v>
      </c>
      <c r="AN90" s="2"/>
      <c r="AO90" s="699">
        <f>AO67-(AP73*$AI73)</f>
        <v>0</v>
      </c>
      <c r="AP90" s="2"/>
      <c r="AQ90" s="699">
        <f>AQ67-(AR73*$AI73)</f>
        <v>0</v>
      </c>
      <c r="AR90" s="2"/>
      <c r="AS90" s="699">
        <f>AS67-(AT73*$AI73)</f>
        <v>0</v>
      </c>
      <c r="AT90" s="2"/>
      <c r="AU90" s="699">
        <f>AU67-(AV73*$AI73)</f>
        <v>0</v>
      </c>
      <c r="AV90" s="2"/>
      <c r="AW90" s="699">
        <f>AW67-(AX73*$AI73)</f>
        <v>0</v>
      </c>
      <c r="AX90" s="2"/>
      <c r="AY90" s="699">
        <f>AY67-(AZ73*$AI73)</f>
        <v>0</v>
      </c>
      <c r="AZ90" s="2"/>
      <c r="BA90" s="699">
        <f>BA67-(BB73*$AI73)</f>
        <v>0</v>
      </c>
      <c r="BB90" s="2"/>
      <c r="BC90" s="699">
        <f>BC67-(BD73*$AI73)</f>
        <v>0</v>
      </c>
      <c r="BD90" s="2"/>
      <c r="BE90" s="699">
        <f>BE67-(BF73*$AI73)</f>
        <v>0</v>
      </c>
      <c r="BF90" s="2"/>
      <c r="BG90" s="699">
        <f>BG67-(BH73*$AI73)</f>
        <v>0</v>
      </c>
      <c r="BH90" s="2"/>
      <c r="BI90" s="699">
        <f>BI67-(BJ73*$AI73)</f>
        <v>0</v>
      </c>
      <c r="BJ90" s="2"/>
      <c r="BK90" s="699">
        <f>BK67-(BL73*$AI73)</f>
        <v>0</v>
      </c>
      <c r="BL90" s="2"/>
      <c r="BM90" s="699">
        <f>BM67-(BN73*$AI73)</f>
        <v>0</v>
      </c>
      <c r="BN90" s="2"/>
      <c r="BO90" s="699">
        <f>BO67-(BP73*$AI73)</f>
        <v>0</v>
      </c>
      <c r="BP90" s="2"/>
      <c r="BQ90" s="699">
        <f>BQ67-(BR73*$AI73)</f>
        <v>0</v>
      </c>
      <c r="BR90" s="2"/>
      <c r="BS90" s="699">
        <f>BS67-(BT73*$AI73)</f>
        <v>0</v>
      </c>
      <c r="BT90" s="2"/>
      <c r="BU90" s="699">
        <f>BU67-(BV73*$AI73)</f>
        <v>0</v>
      </c>
      <c r="BV90" s="2"/>
      <c r="BW90" s="699">
        <f>BW67-(BX73*$AI73)</f>
        <v>0</v>
      </c>
      <c r="BX90" s="2"/>
      <c r="BY90" s="699">
        <f>BY67-(BZ73*$AI73)</f>
        <v>0</v>
      </c>
      <c r="BZ90" s="2"/>
      <c r="CA90" s="699">
        <f>CA67-(CB73*$AI73)</f>
        <v>0</v>
      </c>
      <c r="CB90" s="2"/>
      <c r="CC90" s="699">
        <f>CC67-(CD73*$AI73)</f>
        <v>0</v>
      </c>
      <c r="CD90" s="2"/>
      <c r="CE90" s="699">
        <f>CE67-(CF73*$AI73)</f>
        <v>0</v>
      </c>
      <c r="CF90" s="2"/>
      <c r="CG90" s="699">
        <f>CG67-(CH73*$AI73)</f>
        <v>0</v>
      </c>
      <c r="CH90" s="2"/>
      <c r="CI90" s="699">
        <f>CI67-(CJ73*$AI73)</f>
        <v>0</v>
      </c>
      <c r="CJ90" s="2"/>
      <c r="CK90" s="699">
        <f>CK67-(CL73*$AI73)</f>
        <v>0</v>
      </c>
      <c r="CL90" s="2"/>
      <c r="CM90" s="699">
        <f>CM67-(CN73*$AI73)</f>
        <v>0</v>
      </c>
      <c r="CN90" s="2"/>
      <c r="CO90" s="699">
        <f>CO67-(CP73*$AI73)</f>
        <v>0</v>
      </c>
      <c r="CP90" s="2"/>
      <c r="CQ90" s="699">
        <f>CQ67-(CR73*$AI73)</f>
        <v>0</v>
      </c>
      <c r="CR90" s="2"/>
      <c r="CS90" s="699">
        <f>CS67-(CT73*$AI73)</f>
        <v>0</v>
      </c>
      <c r="CT90" s="2"/>
      <c r="CU90" s="699">
        <f>CU67-(CV73*$AI73)</f>
        <v>0</v>
      </c>
      <c r="CV90" s="2"/>
      <c r="CW90" s="699">
        <f>CW67-(CX73*$AI73)</f>
        <v>0</v>
      </c>
      <c r="CX90" s="2"/>
      <c r="CY90" s="699">
        <f>CY67-(CZ73*$AI73)</f>
        <v>0</v>
      </c>
      <c r="CZ90" s="2"/>
      <c r="DA90" s="699">
        <f>DA67-(DB73*$AI73)</f>
        <v>0</v>
      </c>
      <c r="DB90" s="2"/>
      <c r="DC90" s="699">
        <f>DC67-(DD73*$AI73)</f>
        <v>0</v>
      </c>
      <c r="DD90" s="2"/>
      <c r="DE90" s="699">
        <f>DE67-(DF73*$AI73)</f>
        <v>0</v>
      </c>
      <c r="DF90" s="2"/>
      <c r="DG90" s="699">
        <f>DG67-(DH73*$AI73)</f>
        <v>0</v>
      </c>
      <c r="DH90" s="2"/>
      <c r="DI90" s="699">
        <f>DI67-(DJ73*$AI73)</f>
        <v>0</v>
      </c>
      <c r="DJ90" s="2"/>
      <c r="DK90" s="699">
        <f>DK67-(DL73*$AI73)</f>
        <v>0</v>
      </c>
      <c r="DL90" s="2"/>
      <c r="DM90" s="699">
        <f>DM67-(DN73*$AI73)</f>
        <v>0</v>
      </c>
      <c r="DN90" s="2"/>
      <c r="DO90" s="699">
        <f>DO67-(DP73*$AI73)</f>
        <v>0</v>
      </c>
      <c r="DP90" s="2"/>
      <c r="DQ90" s="699">
        <f>DQ67-(DR73*$AI73)</f>
        <v>0</v>
      </c>
      <c r="DR90" s="2"/>
      <c r="DS90" s="699">
        <f>DS67-(DT73*$AI73)</f>
        <v>0</v>
      </c>
      <c r="DT90" s="2"/>
      <c r="DU90" s="699">
        <f>DU67-(DV73*$AI73)</f>
        <v>0</v>
      </c>
      <c r="DV90" s="2"/>
      <c r="DW90" s="699">
        <f>DW67-(DX73*$AI73)</f>
        <v>0</v>
      </c>
      <c r="DX90" s="2"/>
      <c r="DY90" s="699">
        <f>DY67-(DZ73*$AI73)</f>
        <v>0</v>
      </c>
      <c r="DZ90" s="2"/>
      <c r="EA90" s="699">
        <f>EA67-(EB73*$AI73)</f>
        <v>0</v>
      </c>
      <c r="EB90" s="2"/>
      <c r="EC90" s="699">
        <f>EC67-(ED73*$AI73)</f>
        <v>0</v>
      </c>
      <c r="ED90" s="2"/>
      <c r="EE90" s="699">
        <f>EE67-(EF73*$AI73)</f>
        <v>0</v>
      </c>
      <c r="EF90" s="2"/>
      <c r="EG90" s="2"/>
    </row>
    <row r="91" spans="1:137" ht="15.75" customHeight="1" x14ac:dyDescent="0.2">
      <c r="A91" s="2"/>
      <c r="B91" s="2"/>
      <c r="C91" s="729">
        <v>18</v>
      </c>
      <c r="D91" s="2341" t="str">
        <f t="shared" si="206"/>
        <v/>
      </c>
      <c r="E91" s="2341"/>
      <c r="F91" s="2341"/>
      <c r="G91" s="2342"/>
      <c r="H91" s="2342"/>
      <c r="I91" s="2342"/>
      <c r="J91" s="2342"/>
      <c r="K91" s="2342"/>
      <c r="L91" s="2342"/>
      <c r="M91" s="2342"/>
      <c r="N91" s="2342"/>
      <c r="O91" s="2342"/>
      <c r="P91" s="2342"/>
      <c r="Q91" s="2342"/>
      <c r="R91" s="2342"/>
      <c r="S91" s="2342"/>
      <c r="T91" s="2343"/>
      <c r="U91" s="2343"/>
      <c r="V91" s="2343"/>
      <c r="W91" s="116"/>
      <c r="X91" s="116"/>
      <c r="Y91" s="116"/>
      <c r="Z91" s="2340">
        <f>IF(D91&lt;&gt;D92,SUMIF(D$74:F91,D91,T$74:V91),0)</f>
        <v>0</v>
      </c>
      <c r="AA91" s="2340"/>
      <c r="AB91" s="2340"/>
      <c r="AC91" s="2340"/>
      <c r="AD91" s="2344" t="str">
        <f t="shared" si="207"/>
        <v/>
      </c>
      <c r="AE91" s="2344"/>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row>
    <row r="92" spans="1:137" ht="15.75" customHeight="1" x14ac:dyDescent="0.2">
      <c r="A92" s="2"/>
      <c r="B92" s="2"/>
      <c r="C92" s="729">
        <v>19</v>
      </c>
      <c r="D92" s="2341" t="str">
        <f t="shared" si="206"/>
        <v/>
      </c>
      <c r="E92" s="2341"/>
      <c r="F92" s="2341"/>
      <c r="G92" s="2342"/>
      <c r="H92" s="2342"/>
      <c r="I92" s="2342"/>
      <c r="J92" s="2342"/>
      <c r="K92" s="2342"/>
      <c r="L92" s="2342"/>
      <c r="M92" s="2342"/>
      <c r="N92" s="2342"/>
      <c r="O92" s="2342"/>
      <c r="P92" s="2342"/>
      <c r="Q92" s="2342"/>
      <c r="R92" s="2342"/>
      <c r="S92" s="2342"/>
      <c r="T92" s="2343"/>
      <c r="U92" s="2343"/>
      <c r="V92" s="2343"/>
      <c r="W92" s="116"/>
      <c r="X92" s="116"/>
      <c r="Y92" s="116"/>
      <c r="Z92" s="2340">
        <f>IF(D92&lt;&gt;D93,SUMIF(D$74:F92,D92,T$74:V92),0)</f>
        <v>0</v>
      </c>
      <c r="AA92" s="2340"/>
      <c r="AB92" s="2340"/>
      <c r="AC92" s="2340"/>
      <c r="AD92" s="2344" t="str">
        <f t="shared" si="207"/>
        <v/>
      </c>
      <c r="AE92" s="2344"/>
      <c r="AF92" s="2"/>
      <c r="AG92" s="2"/>
      <c r="AH92" s="2"/>
      <c r="AI92" s="2"/>
      <c r="AJ92" s="2"/>
      <c r="AK92" s="721" t="e">
        <f t="shared" ref="AK92:CU92" si="208">SUM(AK84:AK90)+AK59+AK72-AK80</f>
        <v>#VALUE!</v>
      </c>
      <c r="AL92" s="709"/>
      <c r="AM92" s="721" t="e">
        <f t="shared" si="208"/>
        <v>#VALUE!</v>
      </c>
      <c r="AN92" s="709"/>
      <c r="AO92" s="721" t="e">
        <f t="shared" si="208"/>
        <v>#VALUE!</v>
      </c>
      <c r="AP92" s="709"/>
      <c r="AQ92" s="721" t="e">
        <f t="shared" si="208"/>
        <v>#VALUE!</v>
      </c>
      <c r="AR92" s="709"/>
      <c r="AS92" s="721" t="e">
        <f t="shared" si="208"/>
        <v>#VALUE!</v>
      </c>
      <c r="AT92" s="709"/>
      <c r="AU92" s="721" t="e">
        <f t="shared" si="208"/>
        <v>#VALUE!</v>
      </c>
      <c r="AV92" s="709"/>
      <c r="AW92" s="721" t="e">
        <f t="shared" si="208"/>
        <v>#VALUE!</v>
      </c>
      <c r="AX92" s="709"/>
      <c r="AY92" s="721" t="e">
        <f t="shared" si="208"/>
        <v>#VALUE!</v>
      </c>
      <c r="AZ92" s="709"/>
      <c r="BA92" s="721" t="e">
        <f t="shared" si="208"/>
        <v>#VALUE!</v>
      </c>
      <c r="BB92" s="709"/>
      <c r="BC92" s="721" t="e">
        <f t="shared" si="208"/>
        <v>#VALUE!</v>
      </c>
      <c r="BD92" s="709"/>
      <c r="BE92" s="721" t="e">
        <f t="shared" si="208"/>
        <v>#VALUE!</v>
      </c>
      <c r="BF92" s="709"/>
      <c r="BG92" s="721" t="e">
        <f t="shared" si="208"/>
        <v>#VALUE!</v>
      </c>
      <c r="BH92" s="709"/>
      <c r="BI92" s="721" t="e">
        <f t="shared" si="208"/>
        <v>#VALUE!</v>
      </c>
      <c r="BJ92" s="709"/>
      <c r="BK92" s="721" t="e">
        <f t="shared" si="208"/>
        <v>#VALUE!</v>
      </c>
      <c r="BL92" s="709"/>
      <c r="BM92" s="721" t="e">
        <f t="shared" si="208"/>
        <v>#VALUE!</v>
      </c>
      <c r="BN92" s="709"/>
      <c r="BO92" s="721" t="e">
        <f t="shared" si="208"/>
        <v>#VALUE!</v>
      </c>
      <c r="BP92" s="709"/>
      <c r="BQ92" s="721" t="e">
        <f t="shared" si="208"/>
        <v>#VALUE!</v>
      </c>
      <c r="BR92" s="709"/>
      <c r="BS92" s="721" t="e">
        <f t="shared" si="208"/>
        <v>#VALUE!</v>
      </c>
      <c r="BT92" s="709"/>
      <c r="BU92" s="721" t="e">
        <f t="shared" si="208"/>
        <v>#VALUE!</v>
      </c>
      <c r="BV92" s="709"/>
      <c r="BW92" s="721" t="e">
        <f t="shared" si="208"/>
        <v>#VALUE!</v>
      </c>
      <c r="BX92" s="709"/>
      <c r="BY92" s="721" t="e">
        <f t="shared" si="208"/>
        <v>#VALUE!</v>
      </c>
      <c r="BZ92" s="709"/>
      <c r="CA92" s="721" t="e">
        <f t="shared" si="208"/>
        <v>#VALUE!</v>
      </c>
      <c r="CB92" s="709"/>
      <c r="CC92" s="721" t="e">
        <f t="shared" si="208"/>
        <v>#VALUE!</v>
      </c>
      <c r="CD92" s="709"/>
      <c r="CE92" s="721" t="e">
        <f t="shared" si="208"/>
        <v>#VALUE!</v>
      </c>
      <c r="CF92" s="709"/>
      <c r="CG92" s="721" t="e">
        <f t="shared" si="208"/>
        <v>#VALUE!</v>
      </c>
      <c r="CH92" s="709"/>
      <c r="CI92" s="721" t="e">
        <f t="shared" si="208"/>
        <v>#VALUE!</v>
      </c>
      <c r="CJ92" s="709"/>
      <c r="CK92" s="721" t="e">
        <f t="shared" si="208"/>
        <v>#VALUE!</v>
      </c>
      <c r="CL92" s="709"/>
      <c r="CM92" s="721" t="e">
        <f t="shared" si="208"/>
        <v>#VALUE!</v>
      </c>
      <c r="CN92" s="709"/>
      <c r="CO92" s="721" t="e">
        <f t="shared" si="208"/>
        <v>#VALUE!</v>
      </c>
      <c r="CP92" s="709"/>
      <c r="CQ92" s="721" t="e">
        <f t="shared" si="208"/>
        <v>#VALUE!</v>
      </c>
      <c r="CR92" s="709"/>
      <c r="CS92" s="721" t="e">
        <f t="shared" si="208"/>
        <v>#VALUE!</v>
      </c>
      <c r="CT92" s="709"/>
      <c r="CU92" s="721" t="e">
        <f t="shared" si="208"/>
        <v>#VALUE!</v>
      </c>
      <c r="CV92" s="709"/>
      <c r="CW92" s="721" t="e">
        <f t="shared" ref="CW92:EE92" si="209">SUM(CW84:CW90)+CW59+CW72-CW80</f>
        <v>#VALUE!</v>
      </c>
      <c r="CX92" s="709"/>
      <c r="CY92" s="721" t="e">
        <f t="shared" si="209"/>
        <v>#VALUE!</v>
      </c>
      <c r="CZ92" s="709"/>
      <c r="DA92" s="721" t="e">
        <f t="shared" si="209"/>
        <v>#VALUE!</v>
      </c>
      <c r="DB92" s="709"/>
      <c r="DC92" s="721" t="e">
        <f t="shared" si="209"/>
        <v>#VALUE!</v>
      </c>
      <c r="DD92" s="709"/>
      <c r="DE92" s="721" t="e">
        <f t="shared" si="209"/>
        <v>#VALUE!</v>
      </c>
      <c r="DF92" s="709"/>
      <c r="DG92" s="721" t="e">
        <f t="shared" si="209"/>
        <v>#VALUE!</v>
      </c>
      <c r="DH92" s="709"/>
      <c r="DI92" s="721" t="e">
        <f t="shared" si="209"/>
        <v>#VALUE!</v>
      </c>
      <c r="DJ92" s="709"/>
      <c r="DK92" s="721" t="e">
        <f t="shared" si="209"/>
        <v>#VALUE!</v>
      </c>
      <c r="DL92" s="709"/>
      <c r="DM92" s="721" t="e">
        <f t="shared" si="209"/>
        <v>#VALUE!</v>
      </c>
      <c r="DN92" s="709"/>
      <c r="DO92" s="721" t="e">
        <f t="shared" si="209"/>
        <v>#VALUE!</v>
      </c>
      <c r="DP92" s="709"/>
      <c r="DQ92" s="721" t="e">
        <f t="shared" si="209"/>
        <v>#VALUE!</v>
      </c>
      <c r="DR92" s="709"/>
      <c r="DS92" s="721" t="e">
        <f t="shared" si="209"/>
        <v>#VALUE!</v>
      </c>
      <c r="DT92" s="709"/>
      <c r="DU92" s="721" t="e">
        <f t="shared" si="209"/>
        <v>#VALUE!</v>
      </c>
      <c r="DV92" s="709"/>
      <c r="DW92" s="721" t="e">
        <f t="shared" si="209"/>
        <v>#VALUE!</v>
      </c>
      <c r="DX92" s="709"/>
      <c r="DY92" s="721" t="e">
        <f t="shared" si="209"/>
        <v>#VALUE!</v>
      </c>
      <c r="DZ92" s="709"/>
      <c r="EA92" s="721" t="e">
        <f t="shared" si="209"/>
        <v>#VALUE!</v>
      </c>
      <c r="EB92" s="709"/>
      <c r="EC92" s="721" t="e">
        <f t="shared" si="209"/>
        <v>#VALUE!</v>
      </c>
      <c r="ED92" s="709"/>
      <c r="EE92" s="721" t="e">
        <f t="shared" si="209"/>
        <v>#VALUE!</v>
      </c>
      <c r="EF92" s="709"/>
      <c r="EG92" s="2"/>
    </row>
    <row r="93" spans="1:137" ht="15.75" customHeight="1" x14ac:dyDescent="0.2">
      <c r="A93" s="2"/>
      <c r="B93" s="2"/>
      <c r="C93" s="729">
        <v>20</v>
      </c>
      <c r="D93" s="2341" t="str">
        <f t="shared" si="206"/>
        <v/>
      </c>
      <c r="E93" s="2341"/>
      <c r="F93" s="2341"/>
      <c r="G93" s="2342"/>
      <c r="H93" s="2342"/>
      <c r="I93" s="2342"/>
      <c r="J93" s="2342"/>
      <c r="K93" s="2342"/>
      <c r="L93" s="2342"/>
      <c r="M93" s="2342"/>
      <c r="N93" s="2342"/>
      <c r="O93" s="2342"/>
      <c r="P93" s="2342"/>
      <c r="Q93" s="2342"/>
      <c r="R93" s="2342"/>
      <c r="S93" s="2342"/>
      <c r="T93" s="2343"/>
      <c r="U93" s="2343"/>
      <c r="V93" s="2343"/>
      <c r="W93" s="116"/>
      <c r="X93" s="116"/>
      <c r="Y93" s="116"/>
      <c r="Z93" s="2340">
        <f>IF(D93&lt;&gt;D94,SUMIF(D$74:F93,D93,T$74:V93),0)</f>
        <v>0</v>
      </c>
      <c r="AA93" s="2340"/>
      <c r="AB93" s="2340"/>
      <c r="AC93" s="2340"/>
      <c r="AD93" s="2344" t="str">
        <f t="shared" si="207"/>
        <v/>
      </c>
      <c r="AE93" s="2344"/>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row>
    <row r="94" spans="1:137" ht="15.75" customHeight="1" x14ac:dyDescent="0.2">
      <c r="A94" s="2"/>
      <c r="B94" s="2"/>
      <c r="C94" s="729">
        <v>21</v>
      </c>
      <c r="D94" s="2341" t="str">
        <f t="shared" si="206"/>
        <v/>
      </c>
      <c r="E94" s="2341"/>
      <c r="F94" s="2341"/>
      <c r="G94" s="2342"/>
      <c r="H94" s="2342"/>
      <c r="I94" s="2342"/>
      <c r="J94" s="2342"/>
      <c r="K94" s="2342"/>
      <c r="L94" s="2342"/>
      <c r="M94" s="2342"/>
      <c r="N94" s="2342"/>
      <c r="O94" s="2342"/>
      <c r="P94" s="2342"/>
      <c r="Q94" s="2342"/>
      <c r="R94" s="2342"/>
      <c r="S94" s="2342"/>
      <c r="T94" s="2343"/>
      <c r="U94" s="2343"/>
      <c r="V94" s="2343"/>
      <c r="W94" s="116"/>
      <c r="X94" s="116"/>
      <c r="Y94" s="116"/>
      <c r="Z94" s="2340">
        <f>IF(D94&lt;&gt;D95,SUMIF(D$74:F94,D94,T$74:V94),0)</f>
        <v>0</v>
      </c>
      <c r="AA94" s="2340"/>
      <c r="AB94" s="2340"/>
      <c r="AC94" s="2340"/>
      <c r="AD94" s="2344" t="str">
        <f t="shared" si="207"/>
        <v/>
      </c>
      <c r="AE94" s="2344"/>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row>
    <row r="95" spans="1:137" ht="15.75" customHeight="1" x14ac:dyDescent="0.2">
      <c r="A95" s="2"/>
      <c r="B95" s="2"/>
      <c r="C95" s="729">
        <v>22</v>
      </c>
      <c r="D95" s="2341" t="str">
        <f t="shared" si="206"/>
        <v/>
      </c>
      <c r="E95" s="2341"/>
      <c r="F95" s="2341"/>
      <c r="G95" s="2342"/>
      <c r="H95" s="2342"/>
      <c r="I95" s="2342"/>
      <c r="J95" s="2342"/>
      <c r="K95" s="2342"/>
      <c r="L95" s="2342"/>
      <c r="M95" s="2342"/>
      <c r="N95" s="2342"/>
      <c r="O95" s="2342"/>
      <c r="P95" s="2342"/>
      <c r="Q95" s="2342"/>
      <c r="R95" s="2342"/>
      <c r="S95" s="2342"/>
      <c r="T95" s="2343"/>
      <c r="U95" s="2343"/>
      <c r="V95" s="2343"/>
      <c r="W95" s="116"/>
      <c r="X95" s="116"/>
      <c r="Y95" s="116"/>
      <c r="Z95" s="2340">
        <f>IF(D95&lt;&gt;D96,SUMIF(D$74:F95,D95,T$74:V95),0)</f>
        <v>0</v>
      </c>
      <c r="AA95" s="2340"/>
      <c r="AB95" s="2340"/>
      <c r="AC95" s="2340"/>
      <c r="AD95" s="2344" t="str">
        <f t="shared" si="207"/>
        <v/>
      </c>
      <c r="AE95" s="2344"/>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row>
    <row r="96" spans="1:137" ht="15.75" customHeight="1" x14ac:dyDescent="0.2">
      <c r="A96" s="2"/>
      <c r="B96" s="2"/>
      <c r="C96" s="729">
        <v>23</v>
      </c>
      <c r="D96" s="2341" t="str">
        <f t="shared" si="206"/>
        <v/>
      </c>
      <c r="E96" s="2341"/>
      <c r="F96" s="2341"/>
      <c r="G96" s="2342"/>
      <c r="H96" s="2342"/>
      <c r="I96" s="2342"/>
      <c r="J96" s="2342"/>
      <c r="K96" s="2342"/>
      <c r="L96" s="2342"/>
      <c r="M96" s="2342"/>
      <c r="N96" s="2342"/>
      <c r="O96" s="2342"/>
      <c r="P96" s="2342"/>
      <c r="Q96" s="2342"/>
      <c r="R96" s="2342"/>
      <c r="S96" s="2342"/>
      <c r="T96" s="2343"/>
      <c r="U96" s="2343"/>
      <c r="V96" s="2343"/>
      <c r="W96" s="116"/>
      <c r="X96" s="116"/>
      <c r="Y96" s="116"/>
      <c r="Z96" s="2340">
        <f>IF(D96&lt;&gt;D97,SUMIF(D$74:F96,D96,T$74:V96),0)</f>
        <v>0</v>
      </c>
      <c r="AA96" s="2340"/>
      <c r="AB96" s="2340"/>
      <c r="AC96" s="2340"/>
      <c r="AD96" s="2344" t="str">
        <f t="shared" si="207"/>
        <v/>
      </c>
      <c r="AE96" s="2344"/>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row>
    <row r="97" spans="1:99" ht="15.75" customHeight="1" x14ac:dyDescent="0.2">
      <c r="A97" s="2"/>
      <c r="B97" s="2"/>
      <c r="C97" s="729">
        <v>24</v>
      </c>
      <c r="D97" s="2341" t="str">
        <f t="shared" si="206"/>
        <v/>
      </c>
      <c r="E97" s="2341"/>
      <c r="F97" s="2341"/>
      <c r="G97" s="2342"/>
      <c r="H97" s="2342"/>
      <c r="I97" s="2342"/>
      <c r="J97" s="2342"/>
      <c r="K97" s="2342"/>
      <c r="L97" s="2342"/>
      <c r="M97" s="2342"/>
      <c r="N97" s="2342"/>
      <c r="O97" s="2342"/>
      <c r="P97" s="2342"/>
      <c r="Q97" s="2342"/>
      <c r="R97" s="2342"/>
      <c r="S97" s="2342"/>
      <c r="T97" s="2343"/>
      <c r="U97" s="2343"/>
      <c r="V97" s="2343"/>
      <c r="W97" s="116"/>
      <c r="X97" s="116"/>
      <c r="Y97" s="116"/>
      <c r="Z97" s="2340">
        <f>IF(D97&lt;&gt;D98,SUMIF(D$74:F97,D97,T$74:V97),0)</f>
        <v>0</v>
      </c>
      <c r="AA97" s="2340"/>
      <c r="AB97" s="2340"/>
      <c r="AC97" s="2340"/>
      <c r="AD97" s="2344" t="str">
        <f t="shared" si="207"/>
        <v/>
      </c>
      <c r="AE97" s="2344"/>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row>
    <row r="98" spans="1:99" ht="15.75" customHeight="1" x14ac:dyDescent="0.2">
      <c r="A98" s="2"/>
      <c r="B98" s="2"/>
      <c r="C98" s="729">
        <v>25</v>
      </c>
      <c r="D98" s="2341" t="str">
        <f t="shared" si="206"/>
        <v/>
      </c>
      <c r="E98" s="2341"/>
      <c r="F98" s="2341"/>
      <c r="G98" s="2342"/>
      <c r="H98" s="2342"/>
      <c r="I98" s="2342"/>
      <c r="J98" s="2342"/>
      <c r="K98" s="2342"/>
      <c r="L98" s="2342"/>
      <c r="M98" s="2342"/>
      <c r="N98" s="2342"/>
      <c r="O98" s="2342"/>
      <c r="P98" s="2342"/>
      <c r="Q98" s="2342"/>
      <c r="R98" s="2342"/>
      <c r="S98" s="2342"/>
      <c r="T98" s="2343"/>
      <c r="U98" s="2343"/>
      <c r="V98" s="2343"/>
      <c r="W98" s="116"/>
      <c r="X98" s="116"/>
      <c r="Y98" s="116"/>
      <c r="Z98" s="2340">
        <f>IF(D98&lt;&gt;D99,SUMIF(D$74:F98,D98,T$74:V98),0)</f>
        <v>0</v>
      </c>
      <c r="AA98" s="2340"/>
      <c r="AB98" s="2340"/>
      <c r="AC98" s="2340"/>
      <c r="AD98" s="2344" t="str">
        <f t="shared" si="207"/>
        <v/>
      </c>
      <c r="AE98" s="2344"/>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row>
    <row r="99" spans="1:99" ht="15.75" customHeight="1" x14ac:dyDescent="0.2">
      <c r="A99" s="2"/>
      <c r="B99" s="2"/>
      <c r="C99" s="729">
        <v>26</v>
      </c>
      <c r="D99" s="2341" t="str">
        <f t="shared" si="206"/>
        <v/>
      </c>
      <c r="E99" s="2341"/>
      <c r="F99" s="2341"/>
      <c r="G99" s="2342"/>
      <c r="H99" s="2342"/>
      <c r="I99" s="2342"/>
      <c r="J99" s="2342"/>
      <c r="K99" s="2342"/>
      <c r="L99" s="2342"/>
      <c r="M99" s="2342"/>
      <c r="N99" s="2342"/>
      <c r="O99" s="2342"/>
      <c r="P99" s="2342"/>
      <c r="Q99" s="2342"/>
      <c r="R99" s="2342"/>
      <c r="S99" s="2342"/>
      <c r="T99" s="2343"/>
      <c r="U99" s="2343"/>
      <c r="V99" s="2343"/>
      <c r="W99" s="116"/>
      <c r="X99" s="116"/>
      <c r="Y99" s="116"/>
      <c r="Z99" s="2340">
        <f>IF(D99&lt;&gt;D100,SUMIF(D$74:F99,D99,T$74:V99),0)</f>
        <v>0</v>
      </c>
      <c r="AA99" s="2340"/>
      <c r="AB99" s="2340"/>
      <c r="AC99" s="2340"/>
      <c r="AD99" s="2344" t="str">
        <f t="shared" si="207"/>
        <v/>
      </c>
      <c r="AE99" s="2344"/>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row>
    <row r="100" spans="1:99" ht="15.75" customHeight="1" x14ac:dyDescent="0.2">
      <c r="A100" s="2"/>
      <c r="B100" s="2"/>
      <c r="C100" s="729">
        <v>27</v>
      </c>
      <c r="D100" s="2341" t="str">
        <f t="shared" si="206"/>
        <v/>
      </c>
      <c r="E100" s="2341"/>
      <c r="F100" s="2341"/>
      <c r="G100" s="2342"/>
      <c r="H100" s="2342"/>
      <c r="I100" s="2342"/>
      <c r="J100" s="2342"/>
      <c r="K100" s="2342"/>
      <c r="L100" s="2342"/>
      <c r="M100" s="2342"/>
      <c r="N100" s="2342"/>
      <c r="O100" s="2342"/>
      <c r="P100" s="2342"/>
      <c r="Q100" s="2342"/>
      <c r="R100" s="2342"/>
      <c r="S100" s="2342"/>
      <c r="T100" s="2343"/>
      <c r="U100" s="2343"/>
      <c r="V100" s="2343"/>
      <c r="W100" s="116"/>
      <c r="X100" s="116"/>
      <c r="Y100" s="116"/>
      <c r="Z100" s="2340">
        <f>IF(D100&lt;&gt;D101,SUMIF(D$74:F100,D100,T$74:V100),0)</f>
        <v>0</v>
      </c>
      <c r="AA100" s="2340"/>
      <c r="AB100" s="2340"/>
      <c r="AC100" s="2340"/>
      <c r="AD100" s="2344" t="str">
        <f t="shared" si="207"/>
        <v/>
      </c>
      <c r="AE100" s="2344"/>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row>
    <row r="101" spans="1:99" ht="15.75" customHeight="1" x14ac:dyDescent="0.2">
      <c r="A101" s="2"/>
      <c r="B101" s="2"/>
      <c r="C101" s="729">
        <v>28</v>
      </c>
      <c r="D101" s="2341" t="str">
        <f t="shared" si="206"/>
        <v/>
      </c>
      <c r="E101" s="2341"/>
      <c r="F101" s="2341"/>
      <c r="G101" s="2342"/>
      <c r="H101" s="2342"/>
      <c r="I101" s="2342"/>
      <c r="J101" s="2342"/>
      <c r="K101" s="2342"/>
      <c r="L101" s="2342"/>
      <c r="M101" s="2342"/>
      <c r="N101" s="2342"/>
      <c r="O101" s="2342"/>
      <c r="P101" s="2342"/>
      <c r="Q101" s="2342"/>
      <c r="R101" s="2342"/>
      <c r="S101" s="2342"/>
      <c r="T101" s="2343"/>
      <c r="U101" s="2343"/>
      <c r="V101" s="2343"/>
      <c r="W101" s="116"/>
      <c r="X101" s="116"/>
      <c r="Y101" s="116"/>
      <c r="Z101" s="2340">
        <f>IF(D101&lt;&gt;D102,SUMIF(D$74:F101,D101,T$74:V101),0)</f>
        <v>0</v>
      </c>
      <c r="AA101" s="2340"/>
      <c r="AB101" s="2340"/>
      <c r="AC101" s="2340"/>
      <c r="AD101" s="2344" t="str">
        <f t="shared" si="207"/>
        <v/>
      </c>
      <c r="AE101" s="2344"/>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row>
    <row r="102" spans="1:99" ht="15.75" customHeight="1" x14ac:dyDescent="0.2">
      <c r="A102" s="2"/>
      <c r="B102" s="2"/>
      <c r="C102" s="729">
        <v>29</v>
      </c>
      <c r="D102" s="2341" t="str">
        <f t="shared" si="206"/>
        <v/>
      </c>
      <c r="E102" s="2341"/>
      <c r="F102" s="2341"/>
      <c r="G102" s="2342"/>
      <c r="H102" s="2342"/>
      <c r="I102" s="2342"/>
      <c r="J102" s="2342"/>
      <c r="K102" s="2342"/>
      <c r="L102" s="2342"/>
      <c r="M102" s="2342"/>
      <c r="N102" s="2342"/>
      <c r="O102" s="2342"/>
      <c r="P102" s="2342"/>
      <c r="Q102" s="2342"/>
      <c r="R102" s="2342"/>
      <c r="S102" s="2342"/>
      <c r="T102" s="2343"/>
      <c r="U102" s="2343"/>
      <c r="V102" s="2343"/>
      <c r="W102" s="116"/>
      <c r="X102" s="116"/>
      <c r="Y102" s="116"/>
      <c r="Z102" s="2340">
        <f>IF(D102&lt;&gt;D103,SUMIF(D$74:F102,D102,T$74:V102),0)</f>
        <v>0</v>
      </c>
      <c r="AA102" s="2340"/>
      <c r="AB102" s="2340"/>
      <c r="AC102" s="2340"/>
      <c r="AD102" s="2344" t="str">
        <f t="shared" si="207"/>
        <v/>
      </c>
      <c r="AE102" s="2344"/>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row>
    <row r="103" spans="1:99" ht="15.75" customHeight="1" x14ac:dyDescent="0.2">
      <c r="A103" s="2"/>
      <c r="B103" s="2"/>
      <c r="C103" s="729">
        <v>30</v>
      </c>
      <c r="D103" s="2341" t="str">
        <f t="shared" si="206"/>
        <v/>
      </c>
      <c r="E103" s="2341"/>
      <c r="F103" s="2341"/>
      <c r="G103" s="2342"/>
      <c r="H103" s="2342"/>
      <c r="I103" s="2342"/>
      <c r="J103" s="2342"/>
      <c r="K103" s="2342"/>
      <c r="L103" s="2342"/>
      <c r="M103" s="2342"/>
      <c r="N103" s="2342"/>
      <c r="O103" s="2342"/>
      <c r="P103" s="2342"/>
      <c r="Q103" s="2342"/>
      <c r="R103" s="2342"/>
      <c r="S103" s="2342"/>
      <c r="T103" s="2343"/>
      <c r="U103" s="2343"/>
      <c r="V103" s="2343"/>
      <c r="W103" s="116"/>
      <c r="X103" s="116"/>
      <c r="Y103" s="116"/>
      <c r="Z103" s="2340">
        <f>IF(D103&lt;&gt;D104,SUMIF(D$74:F103,D103,T$74:V103),0)</f>
        <v>0</v>
      </c>
      <c r="AA103" s="2340"/>
      <c r="AB103" s="2340"/>
      <c r="AC103" s="2340"/>
      <c r="AD103" s="2344" t="str">
        <f t="shared" si="207"/>
        <v/>
      </c>
      <c r="AE103" s="2344"/>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row>
    <row r="104" spans="1:99" ht="9" customHeight="1" x14ac:dyDescent="0.2">
      <c r="A104" s="2"/>
      <c r="B104" s="2"/>
      <c r="C104" s="484"/>
      <c r="D104" s="484"/>
      <c r="E104" s="484"/>
      <c r="F104" s="484"/>
      <c r="G104" s="484"/>
      <c r="H104" s="484"/>
      <c r="I104" s="484"/>
      <c r="J104" s="484"/>
      <c r="K104" s="484"/>
      <c r="L104" s="484"/>
      <c r="M104" s="484"/>
      <c r="N104" s="484"/>
      <c r="O104" s="484"/>
      <c r="P104" s="484"/>
      <c r="Q104" s="484"/>
      <c r="R104" s="484"/>
      <c r="S104" s="484"/>
      <c r="T104" s="484"/>
      <c r="U104" s="484"/>
      <c r="V104" s="484"/>
      <c r="W104" s="484"/>
      <c r="X104" s="484"/>
      <c r="Y104" s="484"/>
      <c r="Z104" s="484"/>
      <c r="AA104" s="484"/>
      <c r="AB104" s="484"/>
      <c r="AC104" s="484"/>
      <c r="AD104" s="484"/>
      <c r="AE104" s="633"/>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row>
    <row r="105" spans="1:99" ht="15.75" customHeight="1" x14ac:dyDescent="0.2">
      <c r="A105" s="2"/>
      <c r="B105" s="2"/>
      <c r="C105" s="730"/>
      <c r="D105" s="730"/>
      <c r="E105" s="730"/>
      <c r="F105" s="730"/>
      <c r="G105" s="730"/>
      <c r="H105" s="730"/>
      <c r="I105" s="730"/>
      <c r="J105" s="730"/>
      <c r="K105" s="730"/>
      <c r="L105" s="730"/>
      <c r="M105" s="730"/>
      <c r="N105" s="2359" t="s">
        <v>608</v>
      </c>
      <c r="O105" s="2359"/>
      <c r="P105" s="2359"/>
      <c r="Q105" s="2359"/>
      <c r="R105" s="2359"/>
      <c r="S105" s="2359"/>
      <c r="T105" s="2359"/>
      <c r="U105" s="2359"/>
      <c r="V105" s="2359"/>
      <c r="W105" s="731" t="s">
        <v>603</v>
      </c>
      <c r="X105" s="2558" t="s">
        <v>602</v>
      </c>
      <c r="Y105" s="2558"/>
      <c r="Z105" s="2337">
        <f>IF(AG56=AI56,0,SUMIF(D74:F103,AI84,T74:V103)+SUMIF(D74:F103,AI85,T74:V103)+SUMIF(D74:F103,AI86,T74:V103)+SUMIF(D74:F103,"",T74:V103))</f>
        <v>0</v>
      </c>
      <c r="AA105" s="2337"/>
      <c r="AB105" s="2337"/>
      <c r="AC105" s="2337"/>
      <c r="AD105" s="484"/>
      <c r="AE105" s="633"/>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row>
    <row r="106" spans="1:99" ht="9" customHeight="1" x14ac:dyDescent="0.2">
      <c r="A106" s="2"/>
      <c r="B106" s="2"/>
      <c r="C106" s="484"/>
      <c r="D106" s="484"/>
      <c r="E106" s="484"/>
      <c r="F106" s="484"/>
      <c r="G106" s="484"/>
      <c r="H106" s="484"/>
      <c r="I106" s="484"/>
      <c r="J106" s="484"/>
      <c r="K106" s="484"/>
      <c r="L106" s="484"/>
      <c r="M106" s="484"/>
      <c r="N106" s="484"/>
      <c r="O106" s="484"/>
      <c r="P106" s="484"/>
      <c r="Q106" s="484"/>
      <c r="R106" s="484"/>
      <c r="S106" s="484"/>
      <c r="T106" s="484"/>
      <c r="U106" s="484"/>
      <c r="V106" s="484"/>
      <c r="W106" s="484"/>
      <c r="X106" s="484"/>
      <c r="Y106" s="484"/>
      <c r="Z106" s="484"/>
      <c r="AA106" s="484"/>
      <c r="AB106" s="484"/>
      <c r="AC106" s="484"/>
      <c r="AD106" s="484"/>
      <c r="AE106" s="633"/>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row>
    <row r="107" spans="1:99" ht="22.5" customHeight="1" x14ac:dyDescent="0.2">
      <c r="A107" s="2"/>
      <c r="B107" s="2"/>
      <c r="C107" s="484"/>
      <c r="D107" s="484"/>
      <c r="E107" s="484"/>
      <c r="F107" s="484"/>
      <c r="G107" s="484"/>
      <c r="H107" s="484"/>
      <c r="I107" s="484"/>
      <c r="J107" s="484"/>
      <c r="K107" s="484"/>
      <c r="L107" s="484"/>
      <c r="M107" s="484"/>
      <c r="N107" s="2338" t="s">
        <v>706</v>
      </c>
      <c r="O107" s="2338"/>
      <c r="P107" s="2338"/>
      <c r="Q107" s="2338"/>
      <c r="R107" s="2338"/>
      <c r="S107" s="2338"/>
      <c r="T107" s="2338"/>
      <c r="U107" s="2338"/>
      <c r="V107" s="2338"/>
      <c r="W107" s="1086" t="s">
        <v>603</v>
      </c>
      <c r="X107" s="2267" t="s">
        <v>602</v>
      </c>
      <c r="Y107" s="2267"/>
      <c r="Z107" s="2339" t="e">
        <f>Z70+Z105</f>
        <v>#VALUE!</v>
      </c>
      <c r="AA107" s="2339"/>
      <c r="AB107" s="2339"/>
      <c r="AC107" s="2339"/>
      <c r="AD107" s="484"/>
      <c r="AE107" s="633"/>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row>
    <row r="108" spans="1:99" ht="22.5" customHeight="1" x14ac:dyDescent="0.2">
      <c r="A108" s="2"/>
      <c r="B108" s="547" t="str">
        <f>VERIFICA!B80</f>
        <v>www.marcopiccoli.it   -   Registro dei Corrispettivi 5.2.4 3txt - per EXCEL .xlsm</v>
      </c>
      <c r="C108" s="2"/>
      <c r="D108" s="2"/>
      <c r="E108" s="2"/>
      <c r="F108" s="478"/>
      <c r="G108" s="478"/>
      <c r="H108" s="478"/>
      <c r="I108" s="478"/>
      <c r="J108" s="478"/>
      <c r="K108" s="478"/>
      <c r="L108" s="478"/>
      <c r="M108" s="478"/>
      <c r="N108" s="478"/>
      <c r="O108" s="478"/>
      <c r="P108" s="478"/>
      <c r="Q108" s="478"/>
      <c r="R108" s="478"/>
      <c r="S108" s="478"/>
      <c r="T108" s="478"/>
      <c r="U108" s="478"/>
      <c r="V108" s="478"/>
      <c r="W108" s="478"/>
      <c r="X108" s="478"/>
      <c r="Y108" s="478"/>
      <c r="Z108" s="478"/>
      <c r="AA108" s="478"/>
      <c r="AB108" s="478"/>
      <c r="AC108" s="478"/>
      <c r="AD108" s="478"/>
      <c r="AE108" s="736" t="str">
        <f ca="1">IF(Presentazione!$J$165=Presentazione!$K$83,CONCATENATE(Presentazione!$F$77,"   -   ","P.I./C.F ",Presentazione!$K$79),Presentazione!$I$157)</f>
        <v>Sistema parzialmente attivato. Inserisci il tuo CODICE di PROPRIETA' nel foglio Presentazione.</v>
      </c>
      <c r="AF108" s="2"/>
      <c r="AG108" s="2"/>
      <c r="AH108" s="2"/>
      <c r="AI108" s="2"/>
      <c r="AJ108" s="2"/>
      <c r="AK108" s="2"/>
      <c r="AL108" s="2"/>
      <c r="AM108" s="2543" t="str">
        <f>VERIFICA!F119</f>
        <v>Seleziona per settimana</v>
      </c>
      <c r="AN108" s="2543"/>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row>
    <row r="109" spans="1:99" x14ac:dyDescent="0.2">
      <c r="A109" s="2"/>
      <c r="B109" s="2"/>
      <c r="C109" s="484"/>
      <c r="D109" s="484"/>
      <c r="E109" s="484"/>
      <c r="F109" s="484"/>
      <c r="G109" s="484"/>
      <c r="H109" s="484"/>
      <c r="I109" s="484"/>
      <c r="J109" s="484"/>
      <c r="K109" s="484"/>
      <c r="L109" s="484"/>
      <c r="M109" s="484"/>
      <c r="N109" s="484"/>
      <c r="O109" s="484"/>
      <c r="P109" s="484"/>
      <c r="Q109" s="484"/>
      <c r="R109" s="484"/>
      <c r="S109" s="484"/>
      <c r="T109" s="484"/>
      <c r="U109" s="484"/>
      <c r="V109" s="484"/>
      <c r="W109" s="484"/>
      <c r="X109" s="484"/>
      <c r="Y109" s="484"/>
      <c r="Z109" s="484"/>
      <c r="AA109" s="484"/>
      <c r="AB109" s="484"/>
      <c r="AC109" s="484"/>
      <c r="AD109" s="484"/>
      <c r="AE109" s="633"/>
      <c r="AF109" s="2"/>
      <c r="AG109" s="2"/>
      <c r="AH109" s="2"/>
      <c r="AI109" s="2"/>
      <c r="AJ109" s="2"/>
      <c r="AK109" s="2"/>
      <c r="AL109" s="2"/>
      <c r="AM109" s="2544" t="str">
        <f>VERIFICA!B5</f>
        <v>Seleziona per data</v>
      </c>
      <c r="AN109" s="2544"/>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row>
    <row r="110" spans="1:99" ht="15" hidden="1" customHeight="1" x14ac:dyDescent="0.2">
      <c r="A110" s="2"/>
      <c r="B110" s="2"/>
      <c r="C110" s="2"/>
      <c r="D110" s="2"/>
      <c r="E110" s="2"/>
      <c r="F110" s="2"/>
      <c r="G110" s="2"/>
      <c r="H110" s="2"/>
      <c r="I110" s="2"/>
      <c r="J110" s="2"/>
      <c r="K110" s="2"/>
      <c r="L110" s="2"/>
      <c r="M110" s="2"/>
      <c r="N110" s="2"/>
      <c r="O110" s="2"/>
      <c r="P110" s="2"/>
      <c r="Q110" s="2"/>
      <c r="R110" s="2"/>
      <c r="S110" s="2"/>
      <c r="T110" s="2"/>
      <c r="U110" s="1081" t="s">
        <v>776</v>
      </c>
      <c r="V110" s="2"/>
      <c r="W110" s="2"/>
      <c r="X110" s="2"/>
      <c r="Y110" s="2"/>
      <c r="Z110" s="2"/>
      <c r="AA110" s="2"/>
      <c r="AB110" s="2"/>
      <c r="AC110" s="2"/>
      <c r="AD110" s="2"/>
      <c r="AE110" s="2"/>
      <c r="AF110" s="478"/>
      <c r="AG110" s="799">
        <f>IF(VERIFICA!G15="",-1,VERIFICA!G15)</f>
        <v>-1</v>
      </c>
      <c r="AH110" s="103"/>
      <c r="AI110" s="128" t="s">
        <v>639</v>
      </c>
      <c r="AJ110" s="2"/>
      <c r="AK110" s="2"/>
      <c r="AL110" s="148">
        <f>IF(ISBLANK(VERIFICA!E13),0,VLOOKUP(VERIFICA!E13,VERIFICA!J113:K125,2,FALSE))</f>
        <v>0</v>
      </c>
      <c r="AM110" s="2"/>
      <c r="AN110" s="128" t="s">
        <v>386</v>
      </c>
      <c r="AO110" s="2"/>
      <c r="AP110" s="2539"/>
      <c r="AQ110" s="2539"/>
      <c r="AR110" s="2539"/>
      <c r="AS110" s="2539"/>
      <c r="AT110" s="2"/>
      <c r="AU110" s="2539"/>
      <c r="AV110" s="2539"/>
      <c r="AW110" s="2539"/>
      <c r="AX110" s="2539"/>
      <c r="AY110" s="2"/>
      <c r="AZ110" s="2"/>
      <c r="BA110" s="2"/>
      <c r="BB110" s="2"/>
      <c r="BC110" s="2"/>
      <c r="BD110" s="2"/>
      <c r="BE110" s="2"/>
      <c r="BF110" s="2"/>
      <c r="BG110" s="2"/>
      <c r="BH110" s="2"/>
      <c r="BI110" s="2"/>
      <c r="BJ110" s="2"/>
      <c r="BK110" s="131" t="str">
        <f>IMPOSTAZIONI!B321</f>
        <v>SC</v>
      </c>
      <c r="BL110" s="2102" t="str">
        <f>IMPOSTAZIONI!D321</f>
        <v>SENZA Categoria</v>
      </c>
      <c r="BM110" s="2103"/>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row>
    <row r="111" spans="1:99" hidden="1" x14ac:dyDescent="0.2">
      <c r="A111" s="2"/>
      <c r="B111" s="2"/>
      <c r="C111" s="2"/>
      <c r="D111" s="2"/>
      <c r="E111" s="101"/>
      <c r="F111" s="101"/>
      <c r="G111" s="101"/>
      <c r="H111" s="101"/>
      <c r="I111" s="101"/>
      <c r="J111" s="101"/>
      <c r="K111" s="478"/>
      <c r="L111" s="478"/>
      <c r="M111" s="478"/>
      <c r="N111" s="478"/>
      <c r="O111" s="478"/>
      <c r="P111" s="478"/>
      <c r="Q111" s="478"/>
      <c r="R111" s="478"/>
      <c r="S111" s="478"/>
      <c r="T111" s="478"/>
      <c r="U111" s="478" t="s">
        <v>777</v>
      </c>
      <c r="V111" s="478"/>
      <c r="W111" s="478"/>
      <c r="X111" s="478"/>
      <c r="Y111" s="478"/>
      <c r="Z111" s="478"/>
      <c r="AA111" s="478"/>
      <c r="AB111" s="478"/>
      <c r="AC111" s="478"/>
      <c r="AD111" s="478"/>
      <c r="AE111" s="478"/>
      <c r="AF111" s="478"/>
      <c r="AG111" s="800">
        <f>IF(VERIFICA!I15="",-1,VERIFICA!I15)</f>
        <v>-1</v>
      </c>
      <c r="AH111" s="807">
        <f>AL111</f>
        <v>0</v>
      </c>
      <c r="AI111" s="797">
        <f>IF(VERIFICA!D7="",-1,VERIFICA!D7)</f>
        <v>-1</v>
      </c>
      <c r="AJ111" s="251" t="s">
        <v>540</v>
      </c>
      <c r="AK111" s="2"/>
      <c r="AL111" s="148">
        <f>IF(COUNTIF(VERIFICA!J127:J131,TRUE)=0,0,VLOOKUP(TRUE,VERIFICA!J127:L131,3,FALSE))</f>
        <v>0</v>
      </c>
      <c r="AM111" s="913" t="s">
        <v>268</v>
      </c>
      <c r="AN111" s="145">
        <f>VERIFICA!D5</f>
        <v>0</v>
      </c>
      <c r="AO111" s="145">
        <f>VERIFICA!G13</f>
        <v>0</v>
      </c>
      <c r="AP111" s="2518" t="s">
        <v>536</v>
      </c>
      <c r="AQ111" s="2096"/>
      <c r="AR111" s="2096"/>
      <c r="AS111" s="2519"/>
      <c r="AT111" s="148"/>
      <c r="AU111" s="2518" t="str">
        <f>AP111</f>
        <v>IVA USATA</v>
      </c>
      <c r="AV111" s="2096"/>
      <c r="AW111" s="2096"/>
      <c r="AX111" s="2519"/>
      <c r="AY111" s="108"/>
      <c r="AZ111" s="1061" t="s">
        <v>195</v>
      </c>
      <c r="BA111" s="140" t="e">
        <f>VLOOKUP(BA112,IMPOSTAZIONI!$K$8:$O$14,5,FALSE)</f>
        <v>#N/A</v>
      </c>
      <c r="BB111" s="140" t="e">
        <f>VLOOKUP(BB112,IMPOSTAZIONI!$K$8:$O$14,5,FALSE)</f>
        <v>#N/A</v>
      </c>
      <c r="BC111" s="140" t="e">
        <f>VLOOKUP(BC112,IMPOSTAZIONI!$K$8:$O$14,5,FALSE)</f>
        <v>#N/A</v>
      </c>
      <c r="BD111" s="140" t="e">
        <f>VLOOKUP(BD112,IMPOSTAZIONI!$K$8:$O$14,5,FALSE)</f>
        <v>#N/A</v>
      </c>
      <c r="BE111" s="140" t="e">
        <f>VLOOKUP(BE112,IMPOSTAZIONI!$K$8:$O$14,5,FALSE)</f>
        <v>#N/A</v>
      </c>
      <c r="BF111" s="140" t="e">
        <f>VLOOKUP(BF112,IMPOSTAZIONI!$K$8:$O$14,5,FALSE)</f>
        <v>#N/A</v>
      </c>
      <c r="BG111" s="140" t="e">
        <f>VLOOKUP(BG112,IMPOSTAZIONI!$K$8:$O$14,5,FALSE)</f>
        <v>#N/A</v>
      </c>
      <c r="BH111" s="140"/>
      <c r="BI111" s="140"/>
      <c r="BJ111" s="108"/>
      <c r="BK111" s="140" t="str">
        <f>IF(BK112=$BL$110,$BK$110,VLOOKUP(BK112,IMPOSTAZIONI!$AH$8:$AL$14,5,FALSE))</f>
        <v>21</v>
      </c>
      <c r="BL111" s="140" t="str">
        <f>IF(BL112=$BL$110,$BK$110,VLOOKUP(BL112,IMPOSTAZIONI!$AH$8:$AL$14,5,FALSE))</f>
        <v>21</v>
      </c>
      <c r="BM111" s="140" t="str">
        <f>IF(BM112=$BL$110,$BK$110,VLOOKUP(BM112,IMPOSTAZIONI!$AH$8:$AL$14,5,FALSE))</f>
        <v>21</v>
      </c>
      <c r="BN111" s="140" t="str">
        <f>IF(BN112=$BL$110,$BK$110,VLOOKUP(BN112,IMPOSTAZIONI!$AH$8:$AL$14,5,FALSE))</f>
        <v>21</v>
      </c>
      <c r="BO111" s="140" t="str">
        <f>IF(BO112=$BL$110,$BK$110,VLOOKUP(BO112,IMPOSTAZIONI!$AH$8:$AL$14,5,FALSE))</f>
        <v>21</v>
      </c>
      <c r="BP111" s="140" t="str">
        <f>IF(BP112=$BL$110,$BK$110,VLOOKUP(BP112,IMPOSTAZIONI!$AH$8:$AL$14,5,FALSE))</f>
        <v>21</v>
      </c>
      <c r="BQ111" s="140" t="str">
        <f>IF(BQ112=$BL$110,$BK$110,VLOOKUP(BQ112,IMPOSTAZIONI!$AH$8:$AL$14,5,FALSE))</f>
        <v>21</v>
      </c>
      <c r="BR111" s="140"/>
      <c r="BS111" s="140"/>
      <c r="BT111" s="140"/>
      <c r="BU111" s="108"/>
      <c r="BV111" s="140" t="e">
        <f>IF(ISERROR(VLOOKUP(BV112,IMPOSTAZIONI!$Y$131:$AC$145,5,FALSE)),VLOOKUP(BV112,IMPOSTAZIONI!$Q$137:$AC$143,13,FALSE),VLOOKUP(BV112,IMPOSTAZIONI!$Y$131:$AC$145,5,FALSE))</f>
        <v>#N/A</v>
      </c>
      <c r="BW111" s="140" t="e">
        <f>IF(ISERROR(VLOOKUP(BW112,IMPOSTAZIONI!$Y$131:$AC$145,5,FALSE)),VLOOKUP(BW112,IMPOSTAZIONI!$Q$137:$AC$143,13,FALSE),VLOOKUP(BW112,IMPOSTAZIONI!$Y$131:$AC$145,5,FALSE))</f>
        <v>#N/A</v>
      </c>
      <c r="BX111" s="140" t="e">
        <f>IF(ISERROR(VLOOKUP(BX112,IMPOSTAZIONI!$Y$131:$AC$145,5,FALSE)),VLOOKUP(BX112,IMPOSTAZIONI!$Q$137:$AC$143,13,FALSE),VLOOKUP(BX112,IMPOSTAZIONI!$Y$131:$AC$145,5,FALSE))</f>
        <v>#N/A</v>
      </c>
      <c r="BY111" s="140" t="e">
        <f>IF(ISERROR(VLOOKUP(BY112,IMPOSTAZIONI!$Y$131:$AC$145,5,FALSE)),VLOOKUP(BY112,IMPOSTAZIONI!$Q$137:$AC$143,13,FALSE),VLOOKUP(BY112,IMPOSTAZIONI!$Y$131:$AC$145,5,FALSE))</f>
        <v>#N/A</v>
      </c>
      <c r="BZ111" s="140" t="e">
        <f>IF(ISERROR(VLOOKUP(BZ112,IMPOSTAZIONI!$Y$131:$AC$145,5,FALSE)),VLOOKUP(BZ112,IMPOSTAZIONI!$Q$137:$AC$143,13,FALSE),VLOOKUP(BZ112,IMPOSTAZIONI!$Y$131:$AC$145,5,FALSE))</f>
        <v>#N/A</v>
      </c>
      <c r="CA111" s="140" t="e">
        <f>IF(ISERROR(VLOOKUP(CA112,IMPOSTAZIONI!$Y$131:$AC$145,5,FALSE)),VLOOKUP(CA112,IMPOSTAZIONI!$Q$137:$AC$143,13,FALSE),VLOOKUP(CA112,IMPOSTAZIONI!$Y$131:$AC$145,5,FALSE))</f>
        <v>#N/A</v>
      </c>
      <c r="CB111" s="140" t="e">
        <f>IF(ISERROR(VLOOKUP(CB112,IMPOSTAZIONI!$Y$131:$AC$145,5,FALSE)),VLOOKUP(CB112,IMPOSTAZIONI!$Q$137:$AC$143,13,FALSE),VLOOKUP(CB112,IMPOSTAZIONI!$Y$131:$AC$145,5,FALSE))</f>
        <v>#N/A</v>
      </c>
      <c r="CC111" s="140"/>
      <c r="CD111" s="140"/>
      <c r="CE111" s="2"/>
      <c r="CF111" s="2"/>
      <c r="CG111" s="2"/>
      <c r="CH111" s="2"/>
      <c r="CI111" s="913" t="s">
        <v>268</v>
      </c>
      <c r="CJ111" s="2"/>
      <c r="CK111" s="2"/>
      <c r="CL111" s="2"/>
      <c r="CM111" s="2"/>
      <c r="CN111" s="2"/>
      <c r="CP111" s="2"/>
      <c r="CQ111" s="2"/>
      <c r="CR111" s="2"/>
      <c r="CS111" s="2"/>
      <c r="CU111" s="2"/>
    </row>
    <row r="112" spans="1:99" ht="15" hidden="1" customHeight="1" x14ac:dyDescent="0.2">
      <c r="A112" s="2"/>
      <c r="B112" s="2373" t="s">
        <v>371</v>
      </c>
      <c r="C112" s="2373"/>
      <c r="D112" s="2"/>
      <c r="E112" s="2137">
        <f>IMPOSTAZIONI!AH52</f>
        <v>2024</v>
      </c>
      <c r="F112" s="2137"/>
      <c r="G112" s="2377" t="s">
        <v>348</v>
      </c>
      <c r="H112" s="2377"/>
      <c r="I112" s="2377"/>
      <c r="J112" s="119"/>
      <c r="K112" s="478"/>
      <c r="L112" s="478"/>
      <c r="M112" s="478"/>
      <c r="N112" s="478"/>
      <c r="O112" s="478"/>
      <c r="P112" s="478"/>
      <c r="Q112" s="478"/>
      <c r="R112" s="478"/>
      <c r="S112" s="478"/>
      <c r="T112" s="478"/>
      <c r="U112" s="478"/>
      <c r="V112" s="478"/>
      <c r="W112" s="478"/>
      <c r="X112" s="478"/>
      <c r="Y112" s="478"/>
      <c r="Z112" s="478"/>
      <c r="AA112" s="478"/>
      <c r="AB112" s="478"/>
      <c r="AC112" s="478"/>
      <c r="AD112" s="478"/>
      <c r="AE112" s="478"/>
      <c r="AF112" s="478"/>
      <c r="AG112" s="140"/>
      <c r="AH112" s="808" t="s">
        <v>280</v>
      </c>
      <c r="AI112" s="798">
        <f>IF(OR(AI111&lt;0,VERIFICA!E7=""),-1,VERIFICA!E7)</f>
        <v>-1</v>
      </c>
      <c r="AJ112" s="465" t="s">
        <v>539</v>
      </c>
      <c r="AK112" s="140">
        <v>0</v>
      </c>
      <c r="AL112" s="140" t="s">
        <v>280</v>
      </c>
      <c r="AM112" s="140" t="s">
        <v>279</v>
      </c>
      <c r="AN112" s="146">
        <f>VERIFICA!E5</f>
        <v>0</v>
      </c>
      <c r="AO112" s="146">
        <f>VERIFICA!I13</f>
        <v>0</v>
      </c>
      <c r="AP112" s="137">
        <f>RIEPILOGO!A8</f>
        <v>22</v>
      </c>
      <c r="AQ112" s="129">
        <f>RIEPILOGO!A9</f>
        <v>10</v>
      </c>
      <c r="AR112" s="129">
        <f>RIEPILOGO!A10</f>
        <v>4</v>
      </c>
      <c r="AS112" s="138" t="str">
        <f>RIEPILOGO!A11</f>
        <v/>
      </c>
      <c r="AT112" s="140" t="s">
        <v>358</v>
      </c>
      <c r="AU112" s="137">
        <f>AP112</f>
        <v>22</v>
      </c>
      <c r="AV112" s="129">
        <f>AQ112</f>
        <v>10</v>
      </c>
      <c r="AW112" s="129">
        <f>AR112</f>
        <v>4</v>
      </c>
      <c r="AX112" s="138" t="str">
        <f>AS112</f>
        <v/>
      </c>
      <c r="AY112" s="129"/>
      <c r="AZ112" s="858" t="s">
        <v>771</v>
      </c>
      <c r="BA112" s="117" t="str">
        <f>RIEPILOGO!B18</f>
        <v/>
      </c>
      <c r="BB112" s="117" t="str">
        <f>RIEPILOGO!B22</f>
        <v/>
      </c>
      <c r="BC112" s="117" t="str">
        <f>RIEPILOGO!B26</f>
        <v/>
      </c>
      <c r="BD112" s="117" t="str">
        <f>RIEPILOGO!B30</f>
        <v/>
      </c>
      <c r="BE112" s="117" t="str">
        <f>RIEPILOGO!B34</f>
        <v/>
      </c>
      <c r="BF112" s="117" t="str">
        <f>RIEPILOGO!B38</f>
        <v/>
      </c>
      <c r="BG112" s="117" t="str">
        <f>RIEPILOGO!B42</f>
        <v/>
      </c>
      <c r="BH112" s="117"/>
      <c r="BI112" s="117"/>
      <c r="BJ112" s="129"/>
      <c r="BK112" s="117" t="str">
        <f>RIEPILOGO!B64</f>
        <v>AGGIO Tabacchi</v>
      </c>
      <c r="BL112" s="117" t="str">
        <f>RIEPILOGO!B68</f>
        <v>AGGIO Tabacchi</v>
      </c>
      <c r="BM112" s="117" t="str">
        <f>RIEPILOGO!B72</f>
        <v>AGGIO Tabacchi</v>
      </c>
      <c r="BN112" s="117" t="str">
        <f>RIEPILOGO!B76</f>
        <v>AGGIO Tabacchi</v>
      </c>
      <c r="BO112" s="117" t="str">
        <f>RIEPILOGO!B80</f>
        <v>AGGIO Tabacchi</v>
      </c>
      <c r="BP112" s="117" t="str">
        <f>RIEPILOGO!B84</f>
        <v>AGGIO Tabacchi</v>
      </c>
      <c r="BQ112" s="117" t="str">
        <f>RIEPILOGO!B88</f>
        <v>AGGIO Tabacchi</v>
      </c>
      <c r="BR112" s="117"/>
      <c r="BS112" s="117"/>
      <c r="BT112" s="117"/>
      <c r="BU112" s="129"/>
      <c r="BV112" s="117" t="e">
        <f>RIEPILOGO!B98</f>
        <v>#N/A</v>
      </c>
      <c r="BW112" s="117" t="e">
        <f>RIEPILOGO!B99</f>
        <v>#N/A</v>
      </c>
      <c r="BX112" s="117" t="e">
        <f>RIEPILOGO!B100</f>
        <v>#N/A</v>
      </c>
      <c r="BY112" s="117" t="e">
        <f>RIEPILOGO!B101</f>
        <v>#N/A</v>
      </c>
      <c r="BZ112" s="117" t="e">
        <f>RIEPILOGO!B102</f>
        <v>#N/A</v>
      </c>
      <c r="CA112" s="117" t="e">
        <f>RIEPILOGO!B103</f>
        <v>#N/A</v>
      </c>
      <c r="CB112" s="117" t="e">
        <f>RIEPILOGO!B104</f>
        <v>#N/A</v>
      </c>
      <c r="CC112" s="117"/>
      <c r="CD112" s="117"/>
      <c r="CE112" s="140" t="s">
        <v>387</v>
      </c>
      <c r="CF112" s="140" t="s">
        <v>387</v>
      </c>
      <c r="CG112" s="140" t="s">
        <v>387</v>
      </c>
      <c r="CH112" s="140" t="s">
        <v>387</v>
      </c>
      <c r="CI112" s="140" t="s">
        <v>279</v>
      </c>
      <c r="CJ112" s="2"/>
      <c r="CK112" s="1107">
        <f>AP112</f>
        <v>22</v>
      </c>
      <c r="CL112" s="1108">
        <f>AQ112</f>
        <v>10</v>
      </c>
      <c r="CM112" s="1108">
        <f>AR112</f>
        <v>4</v>
      </c>
      <c r="CN112" s="1109" t="str">
        <f>AS112</f>
        <v/>
      </c>
      <c r="CO112" s="2"/>
      <c r="CP112" s="1107">
        <f>CK112</f>
        <v>22</v>
      </c>
      <c r="CQ112" s="1108">
        <f>CL112</f>
        <v>10</v>
      </c>
      <c r="CR112" s="1108">
        <f>CM112</f>
        <v>4</v>
      </c>
      <c r="CS112" s="1109" t="str">
        <f>CN112</f>
        <v/>
      </c>
      <c r="CT112" s="2"/>
      <c r="CU112" s="2"/>
    </row>
    <row r="113" spans="1:99" ht="9" hidden="1" customHeight="1" thickBot="1" x14ac:dyDescent="0.25">
      <c r="A113" s="2"/>
      <c r="B113" s="2"/>
      <c r="C113" s="2"/>
      <c r="D113" s="2"/>
      <c r="E113" s="2378"/>
      <c r="F113" s="2378"/>
      <c r="G113" s="2379"/>
      <c r="H113" s="2379"/>
      <c r="I113" s="2379"/>
      <c r="J113" s="118"/>
      <c r="K113" s="478"/>
      <c r="L113" s="478"/>
      <c r="M113" s="478"/>
      <c r="N113" s="478"/>
      <c r="O113" s="478"/>
      <c r="P113" s="478"/>
      <c r="Q113" s="478"/>
      <c r="R113" s="478"/>
      <c r="S113" s="478"/>
      <c r="T113" s="478"/>
      <c r="U113" s="478"/>
      <c r="V113" s="478"/>
      <c r="W113" s="478"/>
      <c r="X113" s="478"/>
      <c r="Y113" s="478"/>
      <c r="Z113" s="478"/>
      <c r="AA113" s="478"/>
      <c r="AB113" s="478"/>
      <c r="AC113" s="478"/>
      <c r="AD113" s="478"/>
      <c r="AE113" s="478"/>
      <c r="AF113" s="478"/>
      <c r="AG113" s="806" t="s">
        <v>386</v>
      </c>
      <c r="AH113" s="2"/>
      <c r="AI113" s="2"/>
      <c r="AJ113" s="2"/>
      <c r="AK113" s="2"/>
      <c r="AL113" s="2"/>
      <c r="AM113" s="2"/>
      <c r="AN113" s="2"/>
      <c r="AO113" s="128" t="s">
        <v>385</v>
      </c>
      <c r="AP113" s="59"/>
      <c r="AQ113" s="14"/>
      <c r="AR113" s="14"/>
      <c r="AS113" s="139"/>
      <c r="AT113" s="14"/>
      <c r="AU113" s="59"/>
      <c r="AV113" s="14"/>
      <c r="AW113" s="14"/>
      <c r="AX113" s="139"/>
      <c r="AY113" s="469" t="s">
        <v>541</v>
      </c>
      <c r="AZ113" s="14"/>
      <c r="BA113" s="287"/>
      <c r="BB113" s="287"/>
      <c r="BC113" s="287"/>
      <c r="BD113" s="287"/>
      <c r="BE113" s="287"/>
      <c r="BF113" s="287"/>
      <c r="BG113" s="287"/>
      <c r="BH113" s="287"/>
      <c r="BI113" s="287"/>
      <c r="BJ113" s="14"/>
      <c r="BK113" s="287"/>
      <c r="BL113" s="287"/>
      <c r="BM113" s="287"/>
      <c r="BN113" s="287"/>
      <c r="BO113" s="287"/>
      <c r="BP113" s="287"/>
      <c r="BQ113" s="287"/>
      <c r="BR113" s="287"/>
      <c r="BS113" s="287"/>
      <c r="BT113" s="287"/>
      <c r="BU113" s="14"/>
      <c r="BV113" s="287"/>
      <c r="BW113" s="287"/>
      <c r="BX113" s="287"/>
      <c r="BY113" s="287"/>
      <c r="BZ113" s="287"/>
      <c r="CA113" s="287"/>
      <c r="CB113" s="287"/>
      <c r="CC113" s="287"/>
      <c r="CD113" s="287"/>
      <c r="CE113" s="2"/>
      <c r="CF113" s="2"/>
      <c r="CG113" s="2"/>
      <c r="CH113" s="2"/>
      <c r="CI113" s="2"/>
      <c r="CJ113" s="1098" t="s">
        <v>296</v>
      </c>
      <c r="CK113" s="59"/>
      <c r="CL113" s="14"/>
      <c r="CM113" s="14"/>
      <c r="CN113" s="139"/>
      <c r="CO113" s="1098" t="s">
        <v>296</v>
      </c>
      <c r="CP113" s="59"/>
      <c r="CQ113" s="14"/>
      <c r="CR113" s="14"/>
      <c r="CS113" s="139"/>
      <c r="CT113" s="1098" t="s">
        <v>296</v>
      </c>
      <c r="CU113" s="2"/>
    </row>
    <row r="114" spans="1:99" ht="14.25" hidden="1" customHeight="1" thickTop="1" x14ac:dyDescent="0.2">
      <c r="A114" s="2"/>
      <c r="B114" s="151">
        <f>E114</f>
        <v>45292</v>
      </c>
      <c r="C114" s="223">
        <f>IF(AND(E114&gt;(E$491-1),E114&lt;(I$491+1)),W$485,IF(ISERROR(HLOOKUP(E114,$E$484:$L$484,1,FALSE)),HLOOKUP(WEEKDAY(E114,2),IMPOSTAZIONI!$C$51:$P$56,6,FALSE),$W$484))</f>
        <v>0</v>
      </c>
      <c r="D114" s="103" t="str">
        <f>IF(C114="L",MONTH(E114),"")</f>
        <v/>
      </c>
      <c r="E114" s="2447">
        <f>VALUE(CONCATENATE("01/01/",E112))</f>
        <v>45292</v>
      </c>
      <c r="F114" s="2448"/>
      <c r="G114" s="2449">
        <f>GEN!E8</f>
        <v>1000</v>
      </c>
      <c r="H114" s="2450"/>
      <c r="I114" s="2451"/>
      <c r="J114" s="479" t="str">
        <f t="shared" ref="J114:J177" si="210">IF(E114=T$5,"&gt;","")</f>
        <v>&gt;</v>
      </c>
      <c r="K114" s="480"/>
      <c r="L114" s="2330">
        <f>IF(WEEKDAY(E114,2)=1,1,0)</f>
        <v>1</v>
      </c>
      <c r="M114" s="2331"/>
      <c r="N114" s="478"/>
      <c r="O114" s="478"/>
      <c r="P114" s="478"/>
      <c r="Q114" s="2315">
        <f>E114</f>
        <v>45292</v>
      </c>
      <c r="R114" s="2315"/>
      <c r="S114" s="478"/>
      <c r="T114" s="140">
        <f>IF(OR(G114&lt;&gt;0,CJ114&lt;&gt;0),1,0)</f>
        <v>1</v>
      </c>
      <c r="U114" s="478"/>
      <c r="V114" s="478"/>
      <c r="W114" s="478"/>
      <c r="X114" s="478"/>
      <c r="Y114" s="478"/>
      <c r="Z114" s="478"/>
      <c r="AA114" s="478"/>
      <c r="AB114" s="478"/>
      <c r="AC114" s="478"/>
      <c r="AD114" s="478"/>
      <c r="AE114" s="478"/>
      <c r="AF114" s="478"/>
      <c r="AG114" s="140">
        <f>IF(AND(L114&gt;(AG$110-1),L114&lt;(AG$111+1)),1,0)</f>
        <v>0</v>
      </c>
      <c r="AH114" s="92" t="str">
        <f>IF(AK114=0,"",IF(AH$111=5,IF(AND(L114&gt;(AG$110-1),L114&lt;(AG$111+1)),"Y",""),""))</f>
        <v/>
      </c>
      <c r="AI114" s="131">
        <f>IF(AND($L114&gt;(AI$111-1),$L114&lt;(AI$112+1)),$C114,0)</f>
        <v>0</v>
      </c>
      <c r="AJ114" s="131">
        <f>IF(G114=G481,0,COUNTIF(T114:T144,"&gt;0"))</f>
        <v>1</v>
      </c>
      <c r="AK114" s="92">
        <f>IF(G114=G$481,0,IF(OR(G114&lt;&gt;0,CJ114&lt;&gt;0,C114="L"),AK112+1,0))</f>
        <v>1</v>
      </c>
      <c r="AL114" s="92" t="str">
        <f>IF(AL$111=5,AH114,IF(AK114=0,"",IF(AL$111=1,IF(AND(AK114&gt;($CF$483-1),AK114&lt;($CF$484+1)),"Y",""),IF(AL$111=2,IF(AL$110=MONTH(E114),"Y",""),IF(AL$111=3,"Y",IF(AL$111=4,IF(AND(E114&gt;(AO$111-1),E114&lt;(AO$112+1)),"Y",""),IF(AL$111=5,IF(AG114=1,"Y",""),"")))))))</f>
        <v/>
      </c>
      <c r="AM114" s="92" t="str">
        <f>IF(AM$109=AM$108,CI114,IF(AND(AN$111&gt;0,AN$112&gt;0),IF(AND(E114&gt;(AN$111-1),E114&lt;(AN$112+1),OR(AO114&lt;&gt;0,AN114=AM$111)),"X",""),""))</f>
        <v/>
      </c>
      <c r="AN114" s="131">
        <f t="shared" ref="AN114:AN177" si="211">IF(AND(E114&gt;(AN$111-1),E114&lt;(AN$112+1)),C114,0)</f>
        <v>0</v>
      </c>
      <c r="AO114" s="447">
        <f>SUM(GEN!W8:Z8)</f>
        <v>1000</v>
      </c>
      <c r="AP114" s="445">
        <f>SUMIF(GEN!$G$155:$J$155,AP$112,GEN!$R8:$U8)</f>
        <v>0</v>
      </c>
      <c r="AQ114" s="446">
        <f>SUMIF(GEN!$G$155:$J$155,AQ$112,GEN!$R8:$U8)</f>
        <v>0</v>
      </c>
      <c r="AR114" s="447">
        <f>SUMIF(GEN!$G$155:$J$155,AR$112,GEN!$R8:$U8)</f>
        <v>0</v>
      </c>
      <c r="AS114" s="448">
        <f>SUMIF(GEN!$G$155:$J$155,AS$112,GEN!$R8:$U8)</f>
        <v>0</v>
      </c>
      <c r="AT114" s="449">
        <f>GEN!AG8</f>
        <v>0</v>
      </c>
      <c r="AU114" s="445">
        <f>GEN!AH8</f>
        <v>0</v>
      </c>
      <c r="AV114" s="446">
        <f>GEN!AI8</f>
        <v>0</v>
      </c>
      <c r="AW114" s="447">
        <f>GEN!AJ8</f>
        <v>0</v>
      </c>
      <c r="AX114" s="448">
        <f>GEN!AK8</f>
        <v>0</v>
      </c>
      <c r="AY114" s="445">
        <f>SUMIF(GEN!$G$152:$J$152,"&gt;0",GEN!$W8:$Z8)</f>
        <v>0</v>
      </c>
      <c r="AZ114" s="1066">
        <f>SUM(GEN!AB8:AE8)</f>
        <v>0</v>
      </c>
      <c r="BA114" s="472">
        <f>SUMIF(GEN!$G$159:$J$159,BA$111,GEN!$R8:$U8)+SUMIF(GEN!$G$159:$J$159,BA$111,GEN!$W8:$Z8)</f>
        <v>0</v>
      </c>
      <c r="BB114" s="473">
        <f>SUMIF(GEN!$G$159:$J$159,BB$111,GEN!$R8:$U8)+SUMIF(GEN!$G$159:$J$159,BB$111,GEN!$W8:$Z8)</f>
        <v>0</v>
      </c>
      <c r="BC114" s="473">
        <f>SUMIF(GEN!$G$159:$J$159,BC$111,GEN!$R8:$U8)+SUMIF(GEN!$G$159:$J$159,BC$111,GEN!$W8:$Z8)</f>
        <v>0</v>
      </c>
      <c r="BD114" s="473">
        <f>SUMIF(GEN!$G$159:$J$159,BD$111,GEN!$R8:$U8)+SUMIF(GEN!$G$159:$J$159,BD$111,GEN!$W8:$Z8)</f>
        <v>0</v>
      </c>
      <c r="BE114" s="473">
        <f>SUMIF(GEN!$G$159:$J$159,BE$111,GEN!$R8:$U8)+SUMIF(GEN!$G$159:$J$159,BE$111,GEN!$W8:$Z8)</f>
        <v>0</v>
      </c>
      <c r="BF114" s="473">
        <f>SUMIF(GEN!$G$159:$J$159,BF$111,GEN!$R8:$U8)+SUMIF(GEN!$G$159:$J$159,BF$111,GEN!$W8:$Z8)</f>
        <v>0</v>
      </c>
      <c r="BG114" s="474">
        <f>SUMIF(GEN!$G$159:$J$159,BG$111,GEN!$R8:$U8)+SUMIF(GEN!$G$159:$J$159,BG$111,GEN!$W8:$Z8)</f>
        <v>0</v>
      </c>
      <c r="BH114" s="570"/>
      <c r="BI114" s="474"/>
      <c r="BJ114" s="470"/>
      <c r="BK114" s="472">
        <f>SUMIF(GEN!$G$157:$J$157,BK$111,GEN!$R8:$U8)+SUMIF(GEN!$G$157:$J$157,BK$111,GEN!$W8:$Z8)</f>
        <v>0</v>
      </c>
      <c r="BL114" s="473">
        <f>SUMIF(GEN!$G$157:$J$157,BL$111,GEN!$R8:$U8)+SUMIF(GEN!$G$157:$J$157,BL$111,GEN!$W8:$Z8)</f>
        <v>0</v>
      </c>
      <c r="BM114" s="473">
        <f>SUMIF(GEN!$G$157:$J$157,BM$111,GEN!$R8:$U8)+SUMIF(GEN!$G$157:$J$157,BM$111,GEN!$W8:$Z8)</f>
        <v>0</v>
      </c>
      <c r="BN114" s="473">
        <f>SUMIF(GEN!$G$157:$J$157,BN$111,GEN!$R8:$U8)+SUMIF(GEN!$G$157:$J$157,BN$111,GEN!$W8:$Z8)</f>
        <v>0</v>
      </c>
      <c r="BO114" s="473">
        <f>SUMIF(GEN!$G$157:$J$157,BO$111,GEN!$R8:$U8)+SUMIF(GEN!$G$157:$J$157,BO$111,GEN!$W8:$Z8)</f>
        <v>0</v>
      </c>
      <c r="BP114" s="473">
        <f>SUMIF(GEN!$G$157:$J$157,BP$111,GEN!$R8:$U8)+SUMIF(GEN!$G$157:$J$157,BP$111,GEN!$W8:$Z8)</f>
        <v>0</v>
      </c>
      <c r="BQ114" s="474">
        <f>SUMIF(GEN!$G$157:$J$157,BQ$111,GEN!$R8:$U8)+SUMIF(GEN!$G$157:$J$157,BQ$111,GEN!$W8:$Z8)</f>
        <v>0</v>
      </c>
      <c r="BR114" s="570"/>
      <c r="BS114" s="473"/>
      <c r="BT114" s="474"/>
      <c r="BU114" s="470"/>
      <c r="BV114" s="472">
        <f>SUMIF(GEN!$G$158:$J$158,BV$111,GEN!$R8:$U8)+SUMIF(GEN!$G$158:$J$158,BV$111,GEN!$W8:$Z8)</f>
        <v>0</v>
      </c>
      <c r="BW114" s="473">
        <f>SUMIF(GEN!$G$158:$J$158,BW$111,GEN!$R8:$U8)+SUMIF(GEN!$G$158:$J$158,BW$111,GEN!$W8:$Z8)</f>
        <v>0</v>
      </c>
      <c r="BX114" s="473">
        <f>SUMIF(GEN!$G$158:$J$158,BX$111,GEN!$R8:$U8)+SUMIF(GEN!$G$158:$J$158,BX$111,GEN!$W8:$Z8)</f>
        <v>0</v>
      </c>
      <c r="BY114" s="473">
        <f>SUMIF(GEN!$G$158:$J$158,BY$111,GEN!$R8:$U8)+SUMIF(GEN!$G$158:$J$158,BY$111,GEN!$W8:$Z8)</f>
        <v>0</v>
      </c>
      <c r="BZ114" s="473">
        <f>SUMIF(GEN!$G$158:$J$158,BZ$111,GEN!$R8:$U8)+SUMIF(GEN!$G$158:$J$158,BZ$111,GEN!$W8:$Z8)</f>
        <v>0</v>
      </c>
      <c r="CA114" s="473">
        <f>SUMIF(GEN!$G$158:$J$158,CA$111,GEN!$R8:$U8)+SUMIF(GEN!$G$158:$J$158,CA$111,GEN!$W8:$Z8)</f>
        <v>0</v>
      </c>
      <c r="CB114" s="474">
        <f>SUMIF(GEN!$G$158:$J$158,CB$111,GEN!$R8:$U8)+SUMIF(GEN!$G$158:$J$158,CB$111,GEN!$W8:$Z8)</f>
        <v>0</v>
      </c>
      <c r="CC114" s="570"/>
      <c r="CD114" s="474"/>
      <c r="CE114" s="92">
        <f>IF(AM114="X",AK114,0)</f>
        <v>0</v>
      </c>
      <c r="CF114" s="92">
        <f>IF(AL114="Y",AK114,0)</f>
        <v>0</v>
      </c>
      <c r="CG114" s="151" t="str">
        <f t="shared" ref="CG114:CG145" si="212">IF(AL114="Y",E114,"")</f>
        <v/>
      </c>
      <c r="CH114" s="92">
        <f t="shared" ref="CH114:CH177" si="213">IF(CI114="X",AK114,0)</f>
        <v>0</v>
      </c>
      <c r="CI114" s="92" t="str">
        <f>IF(AND(L114&gt;(AI$111-1),L114&lt;(AI$112+1),OR(AO114&lt;&gt;0,AI114=CI$111)),"X","")</f>
        <v/>
      </c>
      <c r="CJ114" s="1099">
        <f>GEN!AM8</f>
        <v>0</v>
      </c>
      <c r="CK114" s="445">
        <f>SUMIF(GEN!$G$155:$J$155,CK$112,GEN!$AN8:$AQ8)</f>
        <v>0</v>
      </c>
      <c r="CL114" s="446">
        <f>SUMIF(GEN!$G$155:$J$155,CL$112,GEN!$AN8:$AQ8)</f>
        <v>0</v>
      </c>
      <c r="CM114" s="447">
        <f>SUMIF(GEN!$G$155:$J$155,CM$112,GEN!$AN8:$AQ8)</f>
        <v>0</v>
      </c>
      <c r="CN114" s="448">
        <f>SUMIF(GEN!$G$155:$J$155,CN$112,GEN!$AN8:$AQ8)</f>
        <v>0</v>
      </c>
      <c r="CO114" s="1099">
        <f>GEN!AS8</f>
        <v>0</v>
      </c>
      <c r="CP114" s="445">
        <f>GEN!AT8</f>
        <v>0</v>
      </c>
      <c r="CQ114" s="446">
        <f>GEN!AU8</f>
        <v>0</v>
      </c>
      <c r="CR114" s="447">
        <f>GEN!AV8</f>
        <v>0</v>
      </c>
      <c r="CS114" s="448">
        <f>GEN!AW8</f>
        <v>0</v>
      </c>
      <c r="CT114" s="1099">
        <f>GEN!AY8</f>
        <v>0</v>
      </c>
      <c r="CU114" s="2"/>
    </row>
    <row r="115" spans="1:99" ht="14.25" hidden="1" customHeight="1" x14ac:dyDescent="0.2">
      <c r="A115" s="2"/>
      <c r="B115" s="151">
        <f t="shared" ref="B115:B178" si="214">E115</f>
        <v>45293</v>
      </c>
      <c r="C115" s="223">
        <f>IF(AND(E115&gt;(E$491-1),E115&lt;(I$491+1)),W$485,IF(ISERROR(HLOOKUP(E115,$E$484:$L$484,1,FALSE)),HLOOKUP(WEEKDAY(E115,2),IMPOSTAZIONI!$C$51:$P$56,6,FALSE),$W$484))</f>
        <v>0</v>
      </c>
      <c r="D115" s="103" t="str">
        <f t="shared" ref="D115:D178" si="215">IF(C115="L",MONTH(E115),"")</f>
        <v/>
      </c>
      <c r="E115" s="2380">
        <f>E114+1</f>
        <v>45293</v>
      </c>
      <c r="F115" s="2381"/>
      <c r="G115" s="2325">
        <f>GEN!E9</f>
        <v>0</v>
      </c>
      <c r="H115" s="2326"/>
      <c r="I115" s="2327"/>
      <c r="J115" s="479" t="str">
        <f t="shared" si="210"/>
        <v/>
      </c>
      <c r="K115" s="480"/>
      <c r="L115" s="2559">
        <f t="shared" ref="L115:L120" si="216">IF(OR(WEEKDAY(E115,2)=1,L114=1),1,0)</f>
        <v>1</v>
      </c>
      <c r="M115" s="2560"/>
      <c r="N115" s="478"/>
      <c r="O115" s="478"/>
      <c r="P115" s="478"/>
      <c r="Q115" s="2315">
        <f t="shared" ref="Q115:Q178" si="217">E115</f>
        <v>45293</v>
      </c>
      <c r="R115" s="2315"/>
      <c r="S115" s="478"/>
      <c r="T115" s="140">
        <f t="shared" ref="T115:T178" si="218">IF(OR(G115&lt;&gt;0,CJ115&lt;&gt;0),1,0)</f>
        <v>0</v>
      </c>
      <c r="U115" s="478"/>
      <c r="V115" s="478"/>
      <c r="W115" s="478"/>
      <c r="X115" s="478"/>
      <c r="Y115" s="478"/>
      <c r="Z115" s="478"/>
      <c r="AA115" s="478"/>
      <c r="AB115" s="478"/>
      <c r="AC115" s="478"/>
      <c r="AD115" s="478"/>
      <c r="AE115" s="478"/>
      <c r="AF115" s="478"/>
      <c r="AG115" s="140">
        <f t="shared" ref="AG115:AG178" si="219">IF(AND(L115&gt;(AG$110-1),L115&lt;(AG$111+1)),1,0)</f>
        <v>0</v>
      </c>
      <c r="AH115" s="92" t="str">
        <f t="shared" ref="AH115:AH178" si="220">IF(AK115=0,"",IF(AH$111=5,IF(AND(L115&gt;(AG$110-1),L115&lt;(AG$111+1)),"Y",""),""))</f>
        <v/>
      </c>
      <c r="AI115" s="131">
        <f t="shared" ref="AI115:AI178" si="221">IF(AND($L115&gt;(AI$111-1),$L115&lt;(AI$112+1)),$C115,0)</f>
        <v>0</v>
      </c>
      <c r="AJ115" s="2"/>
      <c r="AK115" s="92">
        <f>IF(G115=G$481,0,IF(OR(G115&lt;&gt;0,CJ115&lt;&gt;0,C115="L"),COUNTIF(AK$114:AK114,"&gt;0")+1,0))</f>
        <v>0</v>
      </c>
      <c r="AL115" s="92" t="str">
        <f t="shared" ref="AL115:AL178" si="222">IF(AL$111=5,AH115,IF(AK115=0,"",IF(AL$111=1,IF(AND(AK115&gt;($CF$483-1),AK115&lt;($CF$484+1)),"Y",""),IF(AL$111=2,IF(AL$110=MONTH(E115),"Y",""),IF(AL$111=3,"Y",IF(AL$111=4,IF(AND(E115&gt;(AO$111-1),E115&lt;(AO$112+1)),"Y",""),IF(AL$111=5,IF(AG115=1,"Y",""),"")))))))</f>
        <v/>
      </c>
      <c r="AM115" s="92" t="str">
        <f t="shared" ref="AM115:AM178" si="223">IF(AM$109=AM$108,CI115,IF(AND(AN$111&gt;0,AN$112&gt;0),IF(AND(E115&gt;(AN$111-1),E115&lt;(AN$112+1),OR(AO115&lt;&gt;0,AN115=AM$111)),"X",""),""))</f>
        <v/>
      </c>
      <c r="AN115" s="131">
        <f t="shared" si="211"/>
        <v>0</v>
      </c>
      <c r="AO115" s="447">
        <f>SUM(GEN!W9:Z9)</f>
        <v>0</v>
      </c>
      <c r="AP115" s="445">
        <f>SUMIF(GEN!$G$155:$J$155,AP$112,GEN!$R9:$U9)</f>
        <v>0</v>
      </c>
      <c r="AQ115" s="446">
        <f>SUMIF(GEN!$G$155:$J$155,AQ$112,GEN!$R9:$U9)</f>
        <v>0</v>
      </c>
      <c r="AR115" s="447">
        <f>SUMIF(GEN!$G$155:$J$155,AR$112,GEN!$R9:$U9)</f>
        <v>0</v>
      </c>
      <c r="AS115" s="448">
        <f>SUMIF(GEN!$G$155:$J$155,AS$112,GEN!$R9:$U9)</f>
        <v>0</v>
      </c>
      <c r="AT115" s="449">
        <f>GEN!AG9</f>
        <v>0</v>
      </c>
      <c r="AU115" s="445">
        <f>GEN!AH9</f>
        <v>0</v>
      </c>
      <c r="AV115" s="446">
        <f>GEN!AI9</f>
        <v>0</v>
      </c>
      <c r="AW115" s="447">
        <f>GEN!AJ9</f>
        <v>0</v>
      </c>
      <c r="AX115" s="448">
        <f>GEN!AK9</f>
        <v>0</v>
      </c>
      <c r="AY115" s="445">
        <f>SUMIF(GEN!$G$152:$J$152,"&gt;0",GEN!$W9:$Z9)</f>
        <v>0</v>
      </c>
      <c r="AZ115" s="1063">
        <f>SUM(GEN!AB9:AE9)</f>
        <v>0</v>
      </c>
      <c r="BA115" s="445">
        <f>SUMIF(GEN!$G$159:$J$159,BA$111,GEN!$R9:$U9)+SUMIF(GEN!$G$159:$J$159,BA$111,GEN!$W9:$Z9)</f>
        <v>0</v>
      </c>
      <c r="BB115" s="446">
        <f>SUMIF(GEN!$G$159:$J$159,BB$111,GEN!$R9:$U9)+SUMIF(GEN!$G$159:$J$159,BB$111,GEN!$W9:$Z9)</f>
        <v>0</v>
      </c>
      <c r="BC115" s="446">
        <f>SUMIF(GEN!$G$159:$J$159,BC$111,GEN!$R9:$U9)+SUMIF(GEN!$G$159:$J$159,BC$111,GEN!$W9:$Z9)</f>
        <v>0</v>
      </c>
      <c r="BD115" s="446">
        <f>SUMIF(GEN!$G$159:$J$159,BD$111,GEN!$R9:$U9)+SUMIF(GEN!$G$159:$J$159,BD$111,GEN!$W9:$Z9)</f>
        <v>0</v>
      </c>
      <c r="BE115" s="446">
        <f>SUMIF(GEN!$G$159:$J$159,BE$111,GEN!$R9:$U9)+SUMIF(GEN!$G$159:$J$159,BE$111,GEN!$W9:$Z9)</f>
        <v>0</v>
      </c>
      <c r="BF115" s="446">
        <f>SUMIF(GEN!$G$159:$J$159,BF$111,GEN!$R9:$U9)+SUMIF(GEN!$G$159:$J$159,BF$111,GEN!$W9:$Z9)</f>
        <v>0</v>
      </c>
      <c r="BG115" s="448">
        <f>SUMIF(GEN!$G$159:$J$159,BG$111,GEN!$R9:$U9)+SUMIF(GEN!$G$159:$J$159,BG$111,GEN!$W9:$Z9)</f>
        <v>0</v>
      </c>
      <c r="BH115" s="571"/>
      <c r="BI115" s="448"/>
      <c r="BJ115" s="470"/>
      <c r="BK115" s="445">
        <f>SUMIF(GEN!$G$157:$J$157,BK$111,GEN!$R9:$U9)+SUMIF(GEN!$G$157:$J$157,BK$111,GEN!$W9:$Z9)</f>
        <v>0</v>
      </c>
      <c r="BL115" s="446">
        <f>SUMIF(GEN!$G$157:$J$157,BL$111,GEN!$R9:$U9)+SUMIF(GEN!$G$157:$J$157,BL$111,GEN!$W9:$Z9)</f>
        <v>0</v>
      </c>
      <c r="BM115" s="446">
        <f>SUMIF(GEN!$G$157:$J$157,BM$111,GEN!$R9:$U9)+SUMIF(GEN!$G$157:$J$157,BM$111,GEN!$W9:$Z9)</f>
        <v>0</v>
      </c>
      <c r="BN115" s="446">
        <f>SUMIF(GEN!$G$157:$J$157,BN$111,GEN!$R9:$U9)+SUMIF(GEN!$G$157:$J$157,BN$111,GEN!$W9:$Z9)</f>
        <v>0</v>
      </c>
      <c r="BO115" s="446">
        <f>SUMIF(GEN!$G$157:$J$157,BO$111,GEN!$R9:$U9)+SUMIF(GEN!$G$157:$J$157,BO$111,GEN!$W9:$Z9)</f>
        <v>0</v>
      </c>
      <c r="BP115" s="446">
        <f>SUMIF(GEN!$G$157:$J$157,BP$111,GEN!$R9:$U9)+SUMIF(GEN!$G$157:$J$157,BP$111,GEN!$W9:$Z9)</f>
        <v>0</v>
      </c>
      <c r="BQ115" s="448">
        <f>SUMIF(GEN!$G$157:$J$157,BQ$111,GEN!$R9:$U9)+SUMIF(GEN!$G$157:$J$157,BQ$111,GEN!$W9:$Z9)</f>
        <v>0</v>
      </c>
      <c r="BR115" s="571"/>
      <c r="BS115" s="446"/>
      <c r="BT115" s="448"/>
      <c r="BU115" s="470"/>
      <c r="BV115" s="445">
        <f>SUMIF(GEN!$G$158:$J$158,BV$111,GEN!$R9:$U9)+SUMIF(GEN!$G$158:$J$158,BV$111,GEN!$W9:$Z9)</f>
        <v>0</v>
      </c>
      <c r="BW115" s="446">
        <f>SUMIF(GEN!$G$158:$J$158,BW$111,GEN!$R9:$U9)+SUMIF(GEN!$G$158:$J$158,BW$111,GEN!$W9:$Z9)</f>
        <v>0</v>
      </c>
      <c r="BX115" s="446">
        <f>SUMIF(GEN!$G$158:$J$158,BX$111,GEN!$R9:$U9)+SUMIF(GEN!$G$158:$J$158,BX$111,GEN!$W9:$Z9)</f>
        <v>0</v>
      </c>
      <c r="BY115" s="446">
        <f>SUMIF(GEN!$G$158:$J$158,BY$111,GEN!$R9:$U9)+SUMIF(GEN!$G$158:$J$158,BY$111,GEN!$W9:$Z9)</f>
        <v>0</v>
      </c>
      <c r="BZ115" s="446">
        <f>SUMIF(GEN!$G$158:$J$158,BZ$111,GEN!$R9:$U9)+SUMIF(GEN!$G$158:$J$158,BZ$111,GEN!$W9:$Z9)</f>
        <v>0</v>
      </c>
      <c r="CA115" s="446">
        <f>SUMIF(GEN!$G$158:$J$158,CA$111,GEN!$R9:$U9)+SUMIF(GEN!$G$158:$J$158,CA$111,GEN!$W9:$Z9)</f>
        <v>0</v>
      </c>
      <c r="CB115" s="448">
        <f>SUMIF(GEN!$G$158:$J$158,CB$111,GEN!$R9:$U9)+SUMIF(GEN!$G$158:$J$158,CB$111,GEN!$W9:$Z9)</f>
        <v>0</v>
      </c>
      <c r="CC115" s="571"/>
      <c r="CD115" s="448"/>
      <c r="CE115" s="92">
        <f t="shared" ref="CE115:CE178" si="224">IF(AM115="X",AK115,0)</f>
        <v>0</v>
      </c>
      <c r="CF115" s="92">
        <f t="shared" ref="CF115:CF178" si="225">IF(AL115="Y",AK115,0)</f>
        <v>0</v>
      </c>
      <c r="CG115" s="151" t="str">
        <f t="shared" si="212"/>
        <v/>
      </c>
      <c r="CH115" s="92">
        <f t="shared" si="213"/>
        <v>0</v>
      </c>
      <c r="CI115" s="92" t="str">
        <f t="shared" ref="CI115:CI178" si="226">IF(AND(L115&gt;(AI$111-1),L115&lt;(AI$112+1),OR(AO115&lt;&gt;0,AI115=CI$111)),"X","")</f>
        <v/>
      </c>
      <c r="CJ115" s="1100">
        <f>GEN!AM9</f>
        <v>0</v>
      </c>
      <c r="CK115" s="445">
        <f>SUMIF(GEN!$G$155:$J$155,CK$112,GEN!$AN9:$AQ9)</f>
        <v>0</v>
      </c>
      <c r="CL115" s="446">
        <f>SUMIF(GEN!$G$155:$J$155,CL$112,GEN!$AN9:$AQ9)</f>
        <v>0</v>
      </c>
      <c r="CM115" s="447">
        <f>SUMIF(GEN!$G$155:$J$155,CM$112,GEN!$AN9:$AQ9)</f>
        <v>0</v>
      </c>
      <c r="CN115" s="448">
        <f>SUMIF(GEN!$G$155:$J$155,CN$112,GEN!$AN9:$AQ9)</f>
        <v>0</v>
      </c>
      <c r="CO115" s="1100">
        <f>GEN!AS9</f>
        <v>0</v>
      </c>
      <c r="CP115" s="445">
        <f>GEN!AT9</f>
        <v>0</v>
      </c>
      <c r="CQ115" s="446">
        <f>GEN!AU9</f>
        <v>0</v>
      </c>
      <c r="CR115" s="447">
        <f>GEN!AV9</f>
        <v>0</v>
      </c>
      <c r="CS115" s="448">
        <f>GEN!AW9</f>
        <v>0</v>
      </c>
      <c r="CT115" s="1100">
        <f>GEN!AY9</f>
        <v>0</v>
      </c>
      <c r="CU115" s="2"/>
    </row>
    <row r="116" spans="1:99" ht="14.25" hidden="1" customHeight="1" x14ac:dyDescent="0.2">
      <c r="A116" s="2"/>
      <c r="B116" s="151">
        <f t="shared" si="214"/>
        <v>45294</v>
      </c>
      <c r="C116" s="223">
        <f>IF(AND(E116&gt;(E$491-1),E116&lt;(I$491+1)),W$485,IF(ISERROR(HLOOKUP(E116,$E$484:$L$484,1,FALSE)),HLOOKUP(WEEKDAY(E116,2),IMPOSTAZIONI!$C$51:$P$56,6,FALSE),$W$484))</f>
        <v>0</v>
      </c>
      <c r="D116" s="103" t="str">
        <f t="shared" si="215"/>
        <v/>
      </c>
      <c r="E116" s="2380">
        <f t="shared" ref="E116:E179" si="227">E115+1</f>
        <v>45294</v>
      </c>
      <c r="F116" s="2381"/>
      <c r="G116" s="2325">
        <f>GEN!E10</f>
        <v>0</v>
      </c>
      <c r="H116" s="2326"/>
      <c r="I116" s="2327"/>
      <c r="J116" s="479" t="str">
        <f t="shared" si="210"/>
        <v/>
      </c>
      <c r="K116" s="480"/>
      <c r="L116" s="2559">
        <f t="shared" si="216"/>
        <v>1</v>
      </c>
      <c r="M116" s="2560"/>
      <c r="N116" s="478"/>
      <c r="O116" s="478"/>
      <c r="P116" s="478"/>
      <c r="Q116" s="2315">
        <f t="shared" si="217"/>
        <v>45294</v>
      </c>
      <c r="R116" s="2315"/>
      <c r="S116" s="478"/>
      <c r="T116" s="140">
        <f t="shared" si="218"/>
        <v>0</v>
      </c>
      <c r="U116" s="478"/>
      <c r="V116" s="478"/>
      <c r="W116" s="478"/>
      <c r="X116" s="478"/>
      <c r="Y116" s="478"/>
      <c r="Z116" s="478"/>
      <c r="AA116" s="478"/>
      <c r="AB116" s="478"/>
      <c r="AC116" s="478"/>
      <c r="AD116" s="478"/>
      <c r="AE116" s="478"/>
      <c r="AF116" s="478"/>
      <c r="AG116" s="140">
        <f t="shared" si="219"/>
        <v>0</v>
      </c>
      <c r="AH116" s="92" t="str">
        <f t="shared" si="220"/>
        <v/>
      </c>
      <c r="AI116" s="131">
        <f t="shared" si="221"/>
        <v>0</v>
      </c>
      <c r="AJ116" s="2"/>
      <c r="AK116" s="92">
        <f>IF(G116=G$481,0,IF(OR(G116&lt;&gt;0,CJ116&lt;&gt;0,C116="L"),COUNTIF(AK$114:AK115,"&gt;0")+1,0))</f>
        <v>0</v>
      </c>
      <c r="AL116" s="92" t="str">
        <f t="shared" si="222"/>
        <v/>
      </c>
      <c r="AM116" s="92" t="str">
        <f t="shared" si="223"/>
        <v/>
      </c>
      <c r="AN116" s="131">
        <f t="shared" si="211"/>
        <v>0</v>
      </c>
      <c r="AO116" s="447">
        <f>SUM(GEN!W10:Z10)</f>
        <v>0</v>
      </c>
      <c r="AP116" s="445">
        <f>SUMIF(GEN!$G$155:$J$155,AP$112,GEN!$R10:$U10)</f>
        <v>0</v>
      </c>
      <c r="AQ116" s="446">
        <f>SUMIF(GEN!$G$155:$J$155,AQ$112,GEN!$R10:$U10)</f>
        <v>0</v>
      </c>
      <c r="AR116" s="447">
        <f>SUMIF(GEN!$G$155:$J$155,AR$112,GEN!$R10:$U10)</f>
        <v>0</v>
      </c>
      <c r="AS116" s="448">
        <f>SUMIF(GEN!$G$155:$J$155,AS$112,GEN!$R10:$U10)</f>
        <v>0</v>
      </c>
      <c r="AT116" s="449">
        <f>GEN!AG10</f>
        <v>0</v>
      </c>
      <c r="AU116" s="445">
        <f>GEN!AH10</f>
        <v>0</v>
      </c>
      <c r="AV116" s="446">
        <f>GEN!AI10</f>
        <v>0</v>
      </c>
      <c r="AW116" s="447">
        <f>GEN!AJ10</f>
        <v>0</v>
      </c>
      <c r="AX116" s="448">
        <f>GEN!AK10</f>
        <v>0</v>
      </c>
      <c r="AY116" s="445">
        <f>SUMIF(GEN!$G$152:$J$152,"&gt;0",GEN!$W10:$Z10)</f>
        <v>0</v>
      </c>
      <c r="AZ116" s="1063">
        <f>SUM(GEN!AB10:AE10)</f>
        <v>0</v>
      </c>
      <c r="BA116" s="445">
        <f>SUMIF(GEN!$G$159:$J$159,BA$111,GEN!$R10:$U10)+SUMIF(GEN!$G$159:$J$159,BA$111,GEN!$W10:$Z10)</f>
        <v>0</v>
      </c>
      <c r="BB116" s="446">
        <f>SUMIF(GEN!$G$159:$J$159,BB$111,GEN!$R10:$U10)+SUMIF(GEN!$G$159:$J$159,BB$111,GEN!$W10:$Z10)</f>
        <v>0</v>
      </c>
      <c r="BC116" s="446">
        <f>SUMIF(GEN!$G$159:$J$159,BC$111,GEN!$R10:$U10)+SUMIF(GEN!$G$159:$J$159,BC$111,GEN!$W10:$Z10)</f>
        <v>0</v>
      </c>
      <c r="BD116" s="446">
        <f>SUMIF(GEN!$G$159:$J$159,BD$111,GEN!$R10:$U10)+SUMIF(GEN!$G$159:$J$159,BD$111,GEN!$W10:$Z10)</f>
        <v>0</v>
      </c>
      <c r="BE116" s="446">
        <f>SUMIF(GEN!$G$159:$J$159,BE$111,GEN!$R10:$U10)+SUMIF(GEN!$G$159:$J$159,BE$111,GEN!$W10:$Z10)</f>
        <v>0</v>
      </c>
      <c r="BF116" s="446">
        <f>SUMIF(GEN!$G$159:$J$159,BF$111,GEN!$R10:$U10)+SUMIF(GEN!$G$159:$J$159,BF$111,GEN!$W10:$Z10)</f>
        <v>0</v>
      </c>
      <c r="BG116" s="448">
        <f>SUMIF(GEN!$G$159:$J$159,BG$111,GEN!$R10:$U10)+SUMIF(GEN!$G$159:$J$159,BG$111,GEN!$W10:$Z10)</f>
        <v>0</v>
      </c>
      <c r="BH116" s="571"/>
      <c r="BI116" s="448"/>
      <c r="BJ116" s="470"/>
      <c r="BK116" s="445">
        <f>SUMIF(GEN!$G$157:$J$157,BK$111,GEN!$R10:$U10)+SUMIF(GEN!$G$157:$J$157,BK$111,GEN!$W10:$Z10)</f>
        <v>0</v>
      </c>
      <c r="BL116" s="446">
        <f>SUMIF(GEN!$G$157:$J$157,BL$111,GEN!$R10:$U10)+SUMIF(GEN!$G$157:$J$157,BL$111,GEN!$W10:$Z10)</f>
        <v>0</v>
      </c>
      <c r="BM116" s="446">
        <f>SUMIF(GEN!$G$157:$J$157,BM$111,GEN!$R10:$U10)+SUMIF(GEN!$G$157:$J$157,BM$111,GEN!$W10:$Z10)</f>
        <v>0</v>
      </c>
      <c r="BN116" s="446">
        <f>SUMIF(GEN!$G$157:$J$157,BN$111,GEN!$R10:$U10)+SUMIF(GEN!$G$157:$J$157,BN$111,GEN!$W10:$Z10)</f>
        <v>0</v>
      </c>
      <c r="BO116" s="446">
        <f>SUMIF(GEN!$G$157:$J$157,BO$111,GEN!$R10:$U10)+SUMIF(GEN!$G$157:$J$157,BO$111,GEN!$W10:$Z10)</f>
        <v>0</v>
      </c>
      <c r="BP116" s="446">
        <f>SUMIF(GEN!$G$157:$J$157,BP$111,GEN!$R10:$U10)+SUMIF(GEN!$G$157:$J$157,BP$111,GEN!$W10:$Z10)</f>
        <v>0</v>
      </c>
      <c r="BQ116" s="448">
        <f>SUMIF(GEN!$G$157:$J$157,BQ$111,GEN!$R10:$U10)+SUMIF(GEN!$G$157:$J$157,BQ$111,GEN!$W10:$Z10)</f>
        <v>0</v>
      </c>
      <c r="BR116" s="571"/>
      <c r="BS116" s="446"/>
      <c r="BT116" s="448"/>
      <c r="BU116" s="470"/>
      <c r="BV116" s="445">
        <f>SUMIF(GEN!$G$158:$J$158,BV$111,GEN!$R10:$U10)+SUMIF(GEN!$G$158:$J$158,BV$111,GEN!$W10:$Z10)</f>
        <v>0</v>
      </c>
      <c r="BW116" s="446">
        <f>SUMIF(GEN!$G$158:$J$158,BW$111,GEN!$R10:$U10)+SUMIF(GEN!$G$158:$J$158,BW$111,GEN!$W10:$Z10)</f>
        <v>0</v>
      </c>
      <c r="BX116" s="446">
        <f>SUMIF(GEN!$G$158:$J$158,BX$111,GEN!$R10:$U10)+SUMIF(GEN!$G$158:$J$158,BX$111,GEN!$W10:$Z10)</f>
        <v>0</v>
      </c>
      <c r="BY116" s="446">
        <f>SUMIF(GEN!$G$158:$J$158,BY$111,GEN!$R10:$U10)+SUMIF(GEN!$G$158:$J$158,BY$111,GEN!$W10:$Z10)</f>
        <v>0</v>
      </c>
      <c r="BZ116" s="446">
        <f>SUMIF(GEN!$G$158:$J$158,BZ$111,GEN!$R10:$U10)+SUMIF(GEN!$G$158:$J$158,BZ$111,GEN!$W10:$Z10)</f>
        <v>0</v>
      </c>
      <c r="CA116" s="446">
        <f>SUMIF(GEN!$G$158:$J$158,CA$111,GEN!$R10:$U10)+SUMIF(GEN!$G$158:$J$158,CA$111,GEN!$W10:$Z10)</f>
        <v>0</v>
      </c>
      <c r="CB116" s="448">
        <f>SUMIF(GEN!$G$158:$J$158,CB$111,GEN!$R10:$U10)+SUMIF(GEN!$G$158:$J$158,CB$111,GEN!$W10:$Z10)</f>
        <v>0</v>
      </c>
      <c r="CC116" s="571"/>
      <c r="CD116" s="448"/>
      <c r="CE116" s="92">
        <f t="shared" si="224"/>
        <v>0</v>
      </c>
      <c r="CF116" s="92">
        <f t="shared" si="225"/>
        <v>0</v>
      </c>
      <c r="CG116" s="151" t="str">
        <f t="shared" si="212"/>
        <v/>
      </c>
      <c r="CH116" s="92">
        <f t="shared" si="213"/>
        <v>0</v>
      </c>
      <c r="CI116" s="92" t="str">
        <f t="shared" si="226"/>
        <v/>
      </c>
      <c r="CJ116" s="1100">
        <f>GEN!AM10</f>
        <v>0</v>
      </c>
      <c r="CK116" s="445">
        <f>SUMIF(GEN!$G$155:$J$155,CK$112,GEN!$AN10:$AQ10)</f>
        <v>0</v>
      </c>
      <c r="CL116" s="446">
        <f>SUMIF(GEN!$G$155:$J$155,CL$112,GEN!$AN10:$AQ10)</f>
        <v>0</v>
      </c>
      <c r="CM116" s="447">
        <f>SUMIF(GEN!$G$155:$J$155,CM$112,GEN!$AN10:$AQ10)</f>
        <v>0</v>
      </c>
      <c r="CN116" s="448">
        <f>SUMIF(GEN!$G$155:$J$155,CN$112,GEN!$AN10:$AQ10)</f>
        <v>0</v>
      </c>
      <c r="CO116" s="1100">
        <f>GEN!AS10</f>
        <v>0</v>
      </c>
      <c r="CP116" s="445">
        <f>GEN!AT10</f>
        <v>0</v>
      </c>
      <c r="CQ116" s="446">
        <f>GEN!AU10</f>
        <v>0</v>
      </c>
      <c r="CR116" s="447">
        <f>GEN!AV10</f>
        <v>0</v>
      </c>
      <c r="CS116" s="448">
        <f>GEN!AW10</f>
        <v>0</v>
      </c>
      <c r="CT116" s="1100">
        <f>GEN!AY10</f>
        <v>0</v>
      </c>
      <c r="CU116" s="2"/>
    </row>
    <row r="117" spans="1:99" ht="14.25" hidden="1" customHeight="1" x14ac:dyDescent="0.2">
      <c r="A117" s="2"/>
      <c r="B117" s="151">
        <f t="shared" si="214"/>
        <v>45295</v>
      </c>
      <c r="C117" s="223">
        <f>IF(AND(E117&gt;(E$491-1),E117&lt;(I$491+1)),W$485,IF(ISERROR(HLOOKUP(E117,$E$484:$L$484,1,FALSE)),HLOOKUP(WEEKDAY(E117,2),IMPOSTAZIONI!$C$51:$P$56,6,FALSE),$W$484))</f>
        <v>0</v>
      </c>
      <c r="D117" s="103" t="str">
        <f t="shared" si="215"/>
        <v/>
      </c>
      <c r="E117" s="2380">
        <f t="shared" si="227"/>
        <v>45295</v>
      </c>
      <c r="F117" s="2381"/>
      <c r="G117" s="2325">
        <f>GEN!E11</f>
        <v>0</v>
      </c>
      <c r="H117" s="2326"/>
      <c r="I117" s="2327"/>
      <c r="J117" s="479" t="str">
        <f t="shared" si="210"/>
        <v/>
      </c>
      <c r="K117" s="480"/>
      <c r="L117" s="2559">
        <f t="shared" si="216"/>
        <v>1</v>
      </c>
      <c r="M117" s="2560"/>
      <c r="N117" s="478"/>
      <c r="O117" s="478"/>
      <c r="P117" s="478"/>
      <c r="Q117" s="2315">
        <f t="shared" si="217"/>
        <v>45295</v>
      </c>
      <c r="R117" s="2315"/>
      <c r="S117" s="478"/>
      <c r="T117" s="140">
        <f t="shared" si="218"/>
        <v>0</v>
      </c>
      <c r="U117" s="478"/>
      <c r="V117" s="478"/>
      <c r="W117" s="478"/>
      <c r="X117" s="478"/>
      <c r="Y117" s="478"/>
      <c r="Z117" s="478"/>
      <c r="AA117" s="478"/>
      <c r="AB117" s="478"/>
      <c r="AC117" s="478"/>
      <c r="AD117" s="478"/>
      <c r="AE117" s="478"/>
      <c r="AF117" s="478"/>
      <c r="AG117" s="140">
        <f t="shared" si="219"/>
        <v>0</v>
      </c>
      <c r="AH117" s="92" t="str">
        <f t="shared" si="220"/>
        <v/>
      </c>
      <c r="AI117" s="131">
        <f t="shared" si="221"/>
        <v>0</v>
      </c>
      <c r="AJ117" s="2"/>
      <c r="AK117" s="92">
        <f>IF(G117=G$481,0,IF(OR(G117&lt;&gt;0,CJ117&lt;&gt;0,C117="L"),COUNTIF(AK$114:AK116,"&gt;0")+1,0))</f>
        <v>0</v>
      </c>
      <c r="AL117" s="92" t="str">
        <f t="shared" si="222"/>
        <v/>
      </c>
      <c r="AM117" s="92" t="str">
        <f t="shared" si="223"/>
        <v/>
      </c>
      <c r="AN117" s="131">
        <f t="shared" si="211"/>
        <v>0</v>
      </c>
      <c r="AO117" s="447">
        <f>SUM(GEN!W11:Z11)</f>
        <v>0</v>
      </c>
      <c r="AP117" s="445">
        <f>SUMIF(GEN!$G$155:$J$155,AP$112,GEN!$R11:$U11)</f>
        <v>0</v>
      </c>
      <c r="AQ117" s="446">
        <f>SUMIF(GEN!$G$155:$J$155,AQ$112,GEN!$R11:$U11)</f>
        <v>0</v>
      </c>
      <c r="AR117" s="447">
        <f>SUMIF(GEN!$G$155:$J$155,AR$112,GEN!$R11:$U11)</f>
        <v>0</v>
      </c>
      <c r="AS117" s="448">
        <f>SUMIF(GEN!$G$155:$J$155,AS$112,GEN!$R11:$U11)</f>
        <v>0</v>
      </c>
      <c r="AT117" s="449">
        <f>GEN!AG11</f>
        <v>0</v>
      </c>
      <c r="AU117" s="445">
        <f>GEN!AH11</f>
        <v>0</v>
      </c>
      <c r="AV117" s="446">
        <f>GEN!AI11</f>
        <v>0</v>
      </c>
      <c r="AW117" s="447">
        <f>GEN!AJ11</f>
        <v>0</v>
      </c>
      <c r="AX117" s="448">
        <f>GEN!AK11</f>
        <v>0</v>
      </c>
      <c r="AY117" s="445">
        <f>SUMIF(GEN!$G$152:$J$152,"&gt;0",GEN!$W11:$Z11)</f>
        <v>0</v>
      </c>
      <c r="AZ117" s="1063">
        <f>SUM(GEN!AB11:AE11)</f>
        <v>0</v>
      </c>
      <c r="BA117" s="445">
        <f>SUMIF(GEN!$G$159:$J$159,BA$111,GEN!$R11:$U11)+SUMIF(GEN!$G$159:$J$159,BA$111,GEN!$W11:$Z11)</f>
        <v>0</v>
      </c>
      <c r="BB117" s="446">
        <f>SUMIF(GEN!$G$159:$J$159,BB$111,GEN!$R11:$U11)+SUMIF(GEN!$G$159:$J$159,BB$111,GEN!$W11:$Z11)</f>
        <v>0</v>
      </c>
      <c r="BC117" s="446">
        <f>SUMIF(GEN!$G$159:$J$159,BC$111,GEN!$R11:$U11)+SUMIF(GEN!$G$159:$J$159,BC$111,GEN!$W11:$Z11)</f>
        <v>0</v>
      </c>
      <c r="BD117" s="446">
        <f>SUMIF(GEN!$G$159:$J$159,BD$111,GEN!$R11:$U11)+SUMIF(GEN!$G$159:$J$159,BD$111,GEN!$W11:$Z11)</f>
        <v>0</v>
      </c>
      <c r="BE117" s="446">
        <f>SUMIF(GEN!$G$159:$J$159,BE$111,GEN!$R11:$U11)+SUMIF(GEN!$G$159:$J$159,BE$111,GEN!$W11:$Z11)</f>
        <v>0</v>
      </c>
      <c r="BF117" s="446">
        <f>SUMIF(GEN!$G$159:$J$159,BF$111,GEN!$R11:$U11)+SUMIF(GEN!$G$159:$J$159,BF$111,GEN!$W11:$Z11)</f>
        <v>0</v>
      </c>
      <c r="BG117" s="448">
        <f>SUMIF(GEN!$G$159:$J$159,BG$111,GEN!$R11:$U11)+SUMIF(GEN!$G$159:$J$159,BG$111,GEN!$W11:$Z11)</f>
        <v>0</v>
      </c>
      <c r="BH117" s="571"/>
      <c r="BI117" s="448"/>
      <c r="BJ117" s="470"/>
      <c r="BK117" s="445">
        <f>SUMIF(GEN!$G$157:$J$157,BK$111,GEN!$R11:$U11)+SUMIF(GEN!$G$157:$J$157,BK$111,GEN!$W11:$Z11)</f>
        <v>0</v>
      </c>
      <c r="BL117" s="446">
        <f>SUMIF(GEN!$G$157:$J$157,BL$111,GEN!$R11:$U11)+SUMIF(GEN!$G$157:$J$157,BL$111,GEN!$W11:$Z11)</f>
        <v>0</v>
      </c>
      <c r="BM117" s="446">
        <f>SUMIF(GEN!$G$157:$J$157,BM$111,GEN!$R11:$U11)+SUMIF(GEN!$G$157:$J$157,BM$111,GEN!$W11:$Z11)</f>
        <v>0</v>
      </c>
      <c r="BN117" s="446">
        <f>SUMIF(GEN!$G$157:$J$157,BN$111,GEN!$R11:$U11)+SUMIF(GEN!$G$157:$J$157,BN$111,GEN!$W11:$Z11)</f>
        <v>0</v>
      </c>
      <c r="BO117" s="446">
        <f>SUMIF(GEN!$G$157:$J$157,BO$111,GEN!$R11:$U11)+SUMIF(GEN!$G$157:$J$157,BO$111,GEN!$W11:$Z11)</f>
        <v>0</v>
      </c>
      <c r="BP117" s="446">
        <f>SUMIF(GEN!$G$157:$J$157,BP$111,GEN!$R11:$U11)+SUMIF(GEN!$G$157:$J$157,BP$111,GEN!$W11:$Z11)</f>
        <v>0</v>
      </c>
      <c r="BQ117" s="448">
        <f>SUMIF(GEN!$G$157:$J$157,BQ$111,GEN!$R11:$U11)+SUMIF(GEN!$G$157:$J$157,BQ$111,GEN!$W11:$Z11)</f>
        <v>0</v>
      </c>
      <c r="BR117" s="571"/>
      <c r="BS117" s="446"/>
      <c r="BT117" s="448"/>
      <c r="BU117" s="470"/>
      <c r="BV117" s="445">
        <f>SUMIF(GEN!$G$158:$J$158,BV$111,GEN!$R11:$U11)+SUMIF(GEN!$G$158:$J$158,BV$111,GEN!$W11:$Z11)</f>
        <v>0</v>
      </c>
      <c r="BW117" s="446">
        <f>SUMIF(GEN!$G$158:$J$158,BW$111,GEN!$R11:$U11)+SUMIF(GEN!$G$158:$J$158,BW$111,GEN!$W11:$Z11)</f>
        <v>0</v>
      </c>
      <c r="BX117" s="446">
        <f>SUMIF(GEN!$G$158:$J$158,BX$111,GEN!$R11:$U11)+SUMIF(GEN!$G$158:$J$158,BX$111,GEN!$W11:$Z11)</f>
        <v>0</v>
      </c>
      <c r="BY117" s="446">
        <f>SUMIF(GEN!$G$158:$J$158,BY$111,GEN!$R11:$U11)+SUMIF(GEN!$G$158:$J$158,BY$111,GEN!$W11:$Z11)</f>
        <v>0</v>
      </c>
      <c r="BZ117" s="446">
        <f>SUMIF(GEN!$G$158:$J$158,BZ$111,GEN!$R11:$U11)+SUMIF(GEN!$G$158:$J$158,BZ$111,GEN!$W11:$Z11)</f>
        <v>0</v>
      </c>
      <c r="CA117" s="446">
        <f>SUMIF(GEN!$G$158:$J$158,CA$111,GEN!$R11:$U11)+SUMIF(GEN!$G$158:$J$158,CA$111,GEN!$W11:$Z11)</f>
        <v>0</v>
      </c>
      <c r="CB117" s="448">
        <f>SUMIF(GEN!$G$158:$J$158,CB$111,GEN!$R11:$U11)+SUMIF(GEN!$G$158:$J$158,CB$111,GEN!$W11:$Z11)</f>
        <v>0</v>
      </c>
      <c r="CC117" s="571"/>
      <c r="CD117" s="448"/>
      <c r="CE117" s="92">
        <f t="shared" si="224"/>
        <v>0</v>
      </c>
      <c r="CF117" s="92">
        <f t="shared" si="225"/>
        <v>0</v>
      </c>
      <c r="CG117" s="151" t="str">
        <f t="shared" si="212"/>
        <v/>
      </c>
      <c r="CH117" s="92">
        <f t="shared" si="213"/>
        <v>0</v>
      </c>
      <c r="CI117" s="92" t="str">
        <f t="shared" si="226"/>
        <v/>
      </c>
      <c r="CJ117" s="1100">
        <f>GEN!AM11</f>
        <v>0</v>
      </c>
      <c r="CK117" s="445">
        <f>SUMIF(GEN!$G$155:$J$155,CK$112,GEN!$AN11:$AQ11)</f>
        <v>0</v>
      </c>
      <c r="CL117" s="446">
        <f>SUMIF(GEN!$G$155:$J$155,CL$112,GEN!$AN11:$AQ11)</f>
        <v>0</v>
      </c>
      <c r="CM117" s="447">
        <f>SUMIF(GEN!$G$155:$J$155,CM$112,GEN!$AN11:$AQ11)</f>
        <v>0</v>
      </c>
      <c r="CN117" s="448">
        <f>SUMIF(GEN!$G$155:$J$155,CN$112,GEN!$AN11:$AQ11)</f>
        <v>0</v>
      </c>
      <c r="CO117" s="1100">
        <f>GEN!AS11</f>
        <v>0</v>
      </c>
      <c r="CP117" s="445">
        <f>GEN!AT11</f>
        <v>0</v>
      </c>
      <c r="CQ117" s="446">
        <f>GEN!AU11</f>
        <v>0</v>
      </c>
      <c r="CR117" s="447">
        <f>GEN!AV11</f>
        <v>0</v>
      </c>
      <c r="CS117" s="448">
        <f>GEN!AW11</f>
        <v>0</v>
      </c>
      <c r="CT117" s="1100">
        <f>GEN!AY11</f>
        <v>0</v>
      </c>
      <c r="CU117" s="2"/>
    </row>
    <row r="118" spans="1:99" ht="14.25" hidden="1" customHeight="1" x14ac:dyDescent="0.2">
      <c r="A118" s="2"/>
      <c r="B118" s="151">
        <f t="shared" si="214"/>
        <v>45296</v>
      </c>
      <c r="C118" s="223">
        <f>IF(AND(E118&gt;(E$491-1),E118&lt;(I$491+1)),W$485,IF(ISERROR(HLOOKUP(E118,$E$484:$L$484,1,FALSE)),HLOOKUP(WEEKDAY(E118,2),IMPOSTAZIONI!$C$51:$P$56,6,FALSE),$W$484))</f>
        <v>0</v>
      </c>
      <c r="D118" s="103" t="str">
        <f t="shared" si="215"/>
        <v/>
      </c>
      <c r="E118" s="2380">
        <f t="shared" si="227"/>
        <v>45296</v>
      </c>
      <c r="F118" s="2381"/>
      <c r="G118" s="2325">
        <f>GEN!E12</f>
        <v>0</v>
      </c>
      <c r="H118" s="2326"/>
      <c r="I118" s="2327"/>
      <c r="J118" s="479" t="str">
        <f t="shared" si="210"/>
        <v/>
      </c>
      <c r="K118" s="480"/>
      <c r="L118" s="2559">
        <f t="shared" si="216"/>
        <v>1</v>
      </c>
      <c r="M118" s="2560"/>
      <c r="N118" s="478"/>
      <c r="O118" s="478"/>
      <c r="P118" s="478"/>
      <c r="Q118" s="2315">
        <f t="shared" si="217"/>
        <v>45296</v>
      </c>
      <c r="R118" s="2315"/>
      <c r="S118" s="478"/>
      <c r="T118" s="140">
        <f t="shared" si="218"/>
        <v>0</v>
      </c>
      <c r="U118" s="478"/>
      <c r="V118" s="478"/>
      <c r="W118" s="478"/>
      <c r="X118" s="478"/>
      <c r="Y118" s="478"/>
      <c r="Z118" s="478"/>
      <c r="AA118" s="478"/>
      <c r="AB118" s="478"/>
      <c r="AC118" s="478"/>
      <c r="AD118" s="478"/>
      <c r="AE118" s="478"/>
      <c r="AF118" s="478"/>
      <c r="AG118" s="140">
        <f t="shared" si="219"/>
        <v>0</v>
      </c>
      <c r="AH118" s="92" t="str">
        <f t="shared" si="220"/>
        <v/>
      </c>
      <c r="AI118" s="131">
        <f t="shared" si="221"/>
        <v>0</v>
      </c>
      <c r="AJ118" s="2"/>
      <c r="AK118" s="92">
        <f>IF(G118=G$481,0,IF(OR(G118&lt;&gt;0,CJ118&lt;&gt;0,C118="L"),COUNTIF(AK$114:AK117,"&gt;0")+1,0))</f>
        <v>0</v>
      </c>
      <c r="AL118" s="92" t="str">
        <f t="shared" si="222"/>
        <v/>
      </c>
      <c r="AM118" s="92" t="str">
        <f t="shared" si="223"/>
        <v/>
      </c>
      <c r="AN118" s="131">
        <f t="shared" si="211"/>
        <v>0</v>
      </c>
      <c r="AO118" s="447">
        <f>SUM(GEN!W12:Z12)</f>
        <v>0</v>
      </c>
      <c r="AP118" s="445">
        <f>SUMIF(GEN!$G$155:$J$155,AP$112,GEN!$R12:$U12)</f>
        <v>0</v>
      </c>
      <c r="AQ118" s="446">
        <f>SUMIF(GEN!$G$155:$J$155,AQ$112,GEN!$R12:$U12)</f>
        <v>0</v>
      </c>
      <c r="AR118" s="447">
        <f>SUMIF(GEN!$G$155:$J$155,AR$112,GEN!$R12:$U12)</f>
        <v>0</v>
      </c>
      <c r="AS118" s="448">
        <f>SUMIF(GEN!$G$155:$J$155,AS$112,GEN!$R12:$U12)</f>
        <v>0</v>
      </c>
      <c r="AT118" s="449">
        <f>GEN!AG12</f>
        <v>0</v>
      </c>
      <c r="AU118" s="445">
        <f>GEN!AH12</f>
        <v>0</v>
      </c>
      <c r="AV118" s="446">
        <f>GEN!AI12</f>
        <v>0</v>
      </c>
      <c r="AW118" s="447">
        <f>GEN!AJ12</f>
        <v>0</v>
      </c>
      <c r="AX118" s="448">
        <f>GEN!AK12</f>
        <v>0</v>
      </c>
      <c r="AY118" s="445">
        <f>SUMIF(GEN!$G$152:$J$152,"&gt;0",GEN!$W12:$Z12)</f>
        <v>0</v>
      </c>
      <c r="AZ118" s="1063">
        <f>SUM(GEN!AB12:AE12)</f>
        <v>0</v>
      </c>
      <c r="BA118" s="445">
        <f>SUMIF(GEN!$G$159:$J$159,BA$111,GEN!$R12:$U12)+SUMIF(GEN!$G$159:$J$159,BA$111,GEN!$W12:$Z12)</f>
        <v>0</v>
      </c>
      <c r="BB118" s="446">
        <f>SUMIF(GEN!$G$159:$J$159,BB$111,GEN!$R12:$U12)+SUMIF(GEN!$G$159:$J$159,BB$111,GEN!$W12:$Z12)</f>
        <v>0</v>
      </c>
      <c r="BC118" s="446">
        <f>SUMIF(GEN!$G$159:$J$159,BC$111,GEN!$R12:$U12)+SUMIF(GEN!$G$159:$J$159,BC$111,GEN!$W12:$Z12)</f>
        <v>0</v>
      </c>
      <c r="BD118" s="446">
        <f>SUMIF(GEN!$G$159:$J$159,BD$111,GEN!$R12:$U12)+SUMIF(GEN!$G$159:$J$159,BD$111,GEN!$W12:$Z12)</f>
        <v>0</v>
      </c>
      <c r="BE118" s="446">
        <f>SUMIF(GEN!$G$159:$J$159,BE$111,GEN!$R12:$U12)+SUMIF(GEN!$G$159:$J$159,BE$111,GEN!$W12:$Z12)</f>
        <v>0</v>
      </c>
      <c r="BF118" s="446">
        <f>SUMIF(GEN!$G$159:$J$159,BF$111,GEN!$R12:$U12)+SUMIF(GEN!$G$159:$J$159,BF$111,GEN!$W12:$Z12)</f>
        <v>0</v>
      </c>
      <c r="BG118" s="448">
        <f>SUMIF(GEN!$G$159:$J$159,BG$111,GEN!$R12:$U12)+SUMIF(GEN!$G$159:$J$159,BG$111,GEN!$W12:$Z12)</f>
        <v>0</v>
      </c>
      <c r="BH118" s="571"/>
      <c r="BI118" s="448"/>
      <c r="BJ118" s="470"/>
      <c r="BK118" s="445">
        <f>SUMIF(GEN!$G$157:$J$157,BK$111,GEN!$R12:$U12)+SUMIF(GEN!$G$157:$J$157,BK$111,GEN!$W12:$Z12)</f>
        <v>0</v>
      </c>
      <c r="BL118" s="446">
        <f>SUMIF(GEN!$G$157:$J$157,BL$111,GEN!$R12:$U12)+SUMIF(GEN!$G$157:$J$157,BL$111,GEN!$W12:$Z12)</f>
        <v>0</v>
      </c>
      <c r="BM118" s="446">
        <f>SUMIF(GEN!$G$157:$J$157,BM$111,GEN!$R12:$U12)+SUMIF(GEN!$G$157:$J$157,BM$111,GEN!$W12:$Z12)</f>
        <v>0</v>
      </c>
      <c r="BN118" s="446">
        <f>SUMIF(GEN!$G$157:$J$157,BN$111,GEN!$R12:$U12)+SUMIF(GEN!$G$157:$J$157,BN$111,GEN!$W12:$Z12)</f>
        <v>0</v>
      </c>
      <c r="BO118" s="446">
        <f>SUMIF(GEN!$G$157:$J$157,BO$111,GEN!$R12:$U12)+SUMIF(GEN!$G$157:$J$157,BO$111,GEN!$W12:$Z12)</f>
        <v>0</v>
      </c>
      <c r="BP118" s="446">
        <f>SUMIF(GEN!$G$157:$J$157,BP$111,GEN!$R12:$U12)+SUMIF(GEN!$G$157:$J$157,BP$111,GEN!$W12:$Z12)</f>
        <v>0</v>
      </c>
      <c r="BQ118" s="448">
        <f>SUMIF(GEN!$G$157:$J$157,BQ$111,GEN!$R12:$U12)+SUMIF(GEN!$G$157:$J$157,BQ$111,GEN!$W12:$Z12)</f>
        <v>0</v>
      </c>
      <c r="BR118" s="571"/>
      <c r="BS118" s="446"/>
      <c r="BT118" s="448"/>
      <c r="BU118" s="470"/>
      <c r="BV118" s="445">
        <f>SUMIF(GEN!$G$158:$J$158,BV$111,GEN!$R12:$U12)+SUMIF(GEN!$G$158:$J$158,BV$111,GEN!$W12:$Z12)</f>
        <v>0</v>
      </c>
      <c r="BW118" s="446">
        <f>SUMIF(GEN!$G$158:$J$158,BW$111,GEN!$R12:$U12)+SUMIF(GEN!$G$158:$J$158,BW$111,GEN!$W12:$Z12)</f>
        <v>0</v>
      </c>
      <c r="BX118" s="446">
        <f>SUMIF(GEN!$G$158:$J$158,BX$111,GEN!$R12:$U12)+SUMIF(GEN!$G$158:$J$158,BX$111,GEN!$W12:$Z12)</f>
        <v>0</v>
      </c>
      <c r="BY118" s="446">
        <f>SUMIF(GEN!$G$158:$J$158,BY$111,GEN!$R12:$U12)+SUMIF(GEN!$G$158:$J$158,BY$111,GEN!$W12:$Z12)</f>
        <v>0</v>
      </c>
      <c r="BZ118" s="446">
        <f>SUMIF(GEN!$G$158:$J$158,BZ$111,GEN!$R12:$U12)+SUMIF(GEN!$G$158:$J$158,BZ$111,GEN!$W12:$Z12)</f>
        <v>0</v>
      </c>
      <c r="CA118" s="446">
        <f>SUMIF(GEN!$G$158:$J$158,CA$111,GEN!$R12:$U12)+SUMIF(GEN!$G$158:$J$158,CA$111,GEN!$W12:$Z12)</f>
        <v>0</v>
      </c>
      <c r="CB118" s="448">
        <f>SUMIF(GEN!$G$158:$J$158,CB$111,GEN!$R12:$U12)+SUMIF(GEN!$G$158:$J$158,CB$111,GEN!$W12:$Z12)</f>
        <v>0</v>
      </c>
      <c r="CC118" s="571"/>
      <c r="CD118" s="448"/>
      <c r="CE118" s="92">
        <f t="shared" si="224"/>
        <v>0</v>
      </c>
      <c r="CF118" s="92">
        <f t="shared" si="225"/>
        <v>0</v>
      </c>
      <c r="CG118" s="151" t="str">
        <f t="shared" si="212"/>
        <v/>
      </c>
      <c r="CH118" s="92">
        <f t="shared" si="213"/>
        <v>0</v>
      </c>
      <c r="CI118" s="92" t="str">
        <f t="shared" si="226"/>
        <v/>
      </c>
      <c r="CJ118" s="1100">
        <f>GEN!AM12</f>
        <v>0</v>
      </c>
      <c r="CK118" s="445">
        <f>SUMIF(GEN!$G$155:$J$155,CK$112,GEN!$AN12:$AQ12)</f>
        <v>0</v>
      </c>
      <c r="CL118" s="446">
        <f>SUMIF(GEN!$G$155:$J$155,CL$112,GEN!$AN12:$AQ12)</f>
        <v>0</v>
      </c>
      <c r="CM118" s="447">
        <f>SUMIF(GEN!$G$155:$J$155,CM$112,GEN!$AN12:$AQ12)</f>
        <v>0</v>
      </c>
      <c r="CN118" s="448">
        <f>SUMIF(GEN!$G$155:$J$155,CN$112,GEN!$AN12:$AQ12)</f>
        <v>0</v>
      </c>
      <c r="CO118" s="1100">
        <f>GEN!AS12</f>
        <v>0</v>
      </c>
      <c r="CP118" s="445">
        <f>GEN!AT12</f>
        <v>0</v>
      </c>
      <c r="CQ118" s="446">
        <f>GEN!AU12</f>
        <v>0</v>
      </c>
      <c r="CR118" s="447">
        <f>GEN!AV12</f>
        <v>0</v>
      </c>
      <c r="CS118" s="448">
        <f>GEN!AW12</f>
        <v>0</v>
      </c>
      <c r="CT118" s="1100">
        <f>GEN!AY12</f>
        <v>0</v>
      </c>
      <c r="CU118" s="2"/>
    </row>
    <row r="119" spans="1:99" ht="14.25" hidden="1" customHeight="1" x14ac:dyDescent="0.2">
      <c r="A119" s="2"/>
      <c r="B119" s="151">
        <f t="shared" si="214"/>
        <v>45297</v>
      </c>
      <c r="C119" s="223">
        <f>IF(AND(E119&gt;(E$491-1),E119&lt;(I$491+1)),W$485,IF(ISERROR(HLOOKUP(E119,$E$484:$L$484,1,FALSE)),HLOOKUP(WEEKDAY(E119,2),IMPOSTAZIONI!$C$51:$P$56,6,FALSE),$W$484))</f>
        <v>0</v>
      </c>
      <c r="D119" s="103" t="str">
        <f t="shared" si="215"/>
        <v/>
      </c>
      <c r="E119" s="2380">
        <f t="shared" si="227"/>
        <v>45297</v>
      </c>
      <c r="F119" s="2381"/>
      <c r="G119" s="2325">
        <f>GEN!E13</f>
        <v>0</v>
      </c>
      <c r="H119" s="2326"/>
      <c r="I119" s="2327"/>
      <c r="J119" s="479" t="str">
        <f t="shared" si="210"/>
        <v/>
      </c>
      <c r="K119" s="480"/>
      <c r="L119" s="2559">
        <f t="shared" si="216"/>
        <v>1</v>
      </c>
      <c r="M119" s="2560"/>
      <c r="N119" s="478"/>
      <c r="O119" s="478"/>
      <c r="P119" s="478"/>
      <c r="Q119" s="2315">
        <f t="shared" si="217"/>
        <v>45297</v>
      </c>
      <c r="R119" s="2315"/>
      <c r="S119" s="478"/>
      <c r="T119" s="140">
        <f t="shared" si="218"/>
        <v>0</v>
      </c>
      <c r="U119" s="478"/>
      <c r="V119" s="478"/>
      <c r="W119" s="478"/>
      <c r="X119" s="478"/>
      <c r="Y119" s="478"/>
      <c r="Z119" s="478"/>
      <c r="AA119" s="478"/>
      <c r="AB119" s="478"/>
      <c r="AC119" s="478"/>
      <c r="AD119" s="478"/>
      <c r="AE119" s="478"/>
      <c r="AF119" s="478"/>
      <c r="AG119" s="140">
        <f t="shared" si="219"/>
        <v>0</v>
      </c>
      <c r="AH119" s="92" t="str">
        <f t="shared" si="220"/>
        <v/>
      </c>
      <c r="AI119" s="131">
        <f t="shared" si="221"/>
        <v>0</v>
      </c>
      <c r="AJ119" s="2"/>
      <c r="AK119" s="92">
        <f>IF(G119=G$481,0,IF(OR(G119&lt;&gt;0,CJ119&lt;&gt;0,C119="L"),COUNTIF(AK$114:AK118,"&gt;0")+1,0))</f>
        <v>0</v>
      </c>
      <c r="AL119" s="92" t="str">
        <f t="shared" si="222"/>
        <v/>
      </c>
      <c r="AM119" s="92" t="str">
        <f t="shared" si="223"/>
        <v/>
      </c>
      <c r="AN119" s="131">
        <f t="shared" si="211"/>
        <v>0</v>
      </c>
      <c r="AO119" s="447">
        <f>SUM(GEN!W13:Z13)</f>
        <v>0</v>
      </c>
      <c r="AP119" s="445">
        <f>SUMIF(GEN!$G$155:$J$155,AP$112,GEN!$R13:$U13)</f>
        <v>0</v>
      </c>
      <c r="AQ119" s="446">
        <f>SUMIF(GEN!$G$155:$J$155,AQ$112,GEN!$R13:$U13)</f>
        <v>0</v>
      </c>
      <c r="AR119" s="447">
        <f>SUMIF(GEN!$G$155:$J$155,AR$112,GEN!$R13:$U13)</f>
        <v>0</v>
      </c>
      <c r="AS119" s="448">
        <f>SUMIF(GEN!$G$155:$J$155,AS$112,GEN!$R13:$U13)</f>
        <v>0</v>
      </c>
      <c r="AT119" s="449">
        <f>GEN!AG13</f>
        <v>0</v>
      </c>
      <c r="AU119" s="445">
        <f>GEN!AH13</f>
        <v>0</v>
      </c>
      <c r="AV119" s="446">
        <f>GEN!AI13</f>
        <v>0</v>
      </c>
      <c r="AW119" s="447">
        <f>GEN!AJ13</f>
        <v>0</v>
      </c>
      <c r="AX119" s="448">
        <f>GEN!AK13</f>
        <v>0</v>
      </c>
      <c r="AY119" s="445">
        <f>SUMIF(GEN!$G$152:$J$152,"&gt;0",GEN!$W13:$Z13)</f>
        <v>0</v>
      </c>
      <c r="AZ119" s="1063">
        <f>SUM(GEN!AB13:AE13)</f>
        <v>0</v>
      </c>
      <c r="BA119" s="445">
        <f>SUMIF(GEN!$G$159:$J$159,BA$111,GEN!$R13:$U13)+SUMIF(GEN!$G$159:$J$159,BA$111,GEN!$W13:$Z13)</f>
        <v>0</v>
      </c>
      <c r="BB119" s="446">
        <f>SUMIF(GEN!$G$159:$J$159,BB$111,GEN!$R13:$U13)+SUMIF(GEN!$G$159:$J$159,BB$111,GEN!$W13:$Z13)</f>
        <v>0</v>
      </c>
      <c r="BC119" s="446">
        <f>SUMIF(GEN!$G$159:$J$159,BC$111,GEN!$R13:$U13)+SUMIF(GEN!$G$159:$J$159,BC$111,GEN!$W13:$Z13)</f>
        <v>0</v>
      </c>
      <c r="BD119" s="446">
        <f>SUMIF(GEN!$G$159:$J$159,BD$111,GEN!$R13:$U13)+SUMIF(GEN!$G$159:$J$159,BD$111,GEN!$W13:$Z13)</f>
        <v>0</v>
      </c>
      <c r="BE119" s="446">
        <f>SUMIF(GEN!$G$159:$J$159,BE$111,GEN!$R13:$U13)+SUMIF(GEN!$G$159:$J$159,BE$111,GEN!$W13:$Z13)</f>
        <v>0</v>
      </c>
      <c r="BF119" s="446">
        <f>SUMIF(GEN!$G$159:$J$159,BF$111,GEN!$R13:$U13)+SUMIF(GEN!$G$159:$J$159,BF$111,GEN!$W13:$Z13)</f>
        <v>0</v>
      </c>
      <c r="BG119" s="448">
        <f>SUMIF(GEN!$G$159:$J$159,BG$111,GEN!$R13:$U13)+SUMIF(GEN!$G$159:$J$159,BG$111,GEN!$W13:$Z13)</f>
        <v>0</v>
      </c>
      <c r="BH119" s="571"/>
      <c r="BI119" s="448"/>
      <c r="BJ119" s="470"/>
      <c r="BK119" s="445">
        <f>SUMIF(GEN!$G$157:$J$157,BK$111,GEN!$R13:$U13)+SUMIF(GEN!$G$157:$J$157,BK$111,GEN!$W13:$Z13)</f>
        <v>0</v>
      </c>
      <c r="BL119" s="446">
        <f>SUMIF(GEN!$G$157:$J$157,BL$111,GEN!$R13:$U13)+SUMIF(GEN!$G$157:$J$157,BL$111,GEN!$W13:$Z13)</f>
        <v>0</v>
      </c>
      <c r="BM119" s="446">
        <f>SUMIF(GEN!$G$157:$J$157,BM$111,GEN!$R13:$U13)+SUMIF(GEN!$G$157:$J$157,BM$111,GEN!$W13:$Z13)</f>
        <v>0</v>
      </c>
      <c r="BN119" s="446">
        <f>SUMIF(GEN!$G$157:$J$157,BN$111,GEN!$R13:$U13)+SUMIF(GEN!$G$157:$J$157,BN$111,GEN!$W13:$Z13)</f>
        <v>0</v>
      </c>
      <c r="BO119" s="446">
        <f>SUMIF(GEN!$G$157:$J$157,BO$111,GEN!$R13:$U13)+SUMIF(GEN!$G$157:$J$157,BO$111,GEN!$W13:$Z13)</f>
        <v>0</v>
      </c>
      <c r="BP119" s="446">
        <f>SUMIF(GEN!$G$157:$J$157,BP$111,GEN!$R13:$U13)+SUMIF(GEN!$G$157:$J$157,BP$111,GEN!$W13:$Z13)</f>
        <v>0</v>
      </c>
      <c r="BQ119" s="448">
        <f>SUMIF(GEN!$G$157:$J$157,BQ$111,GEN!$R13:$U13)+SUMIF(GEN!$G$157:$J$157,BQ$111,GEN!$W13:$Z13)</f>
        <v>0</v>
      </c>
      <c r="BR119" s="571"/>
      <c r="BS119" s="446"/>
      <c r="BT119" s="448"/>
      <c r="BU119" s="470"/>
      <c r="BV119" s="445">
        <f>SUMIF(GEN!$G$158:$J$158,BV$111,GEN!$R13:$U13)+SUMIF(GEN!$G$158:$J$158,BV$111,GEN!$W13:$Z13)</f>
        <v>0</v>
      </c>
      <c r="BW119" s="446">
        <f>SUMIF(GEN!$G$158:$J$158,BW$111,GEN!$R13:$U13)+SUMIF(GEN!$G$158:$J$158,BW$111,GEN!$W13:$Z13)</f>
        <v>0</v>
      </c>
      <c r="BX119" s="446">
        <f>SUMIF(GEN!$G$158:$J$158,BX$111,GEN!$R13:$U13)+SUMIF(GEN!$G$158:$J$158,BX$111,GEN!$W13:$Z13)</f>
        <v>0</v>
      </c>
      <c r="BY119" s="446">
        <f>SUMIF(GEN!$G$158:$J$158,BY$111,GEN!$R13:$U13)+SUMIF(GEN!$G$158:$J$158,BY$111,GEN!$W13:$Z13)</f>
        <v>0</v>
      </c>
      <c r="BZ119" s="446">
        <f>SUMIF(GEN!$G$158:$J$158,BZ$111,GEN!$R13:$U13)+SUMIF(GEN!$G$158:$J$158,BZ$111,GEN!$W13:$Z13)</f>
        <v>0</v>
      </c>
      <c r="CA119" s="446">
        <f>SUMIF(GEN!$G$158:$J$158,CA$111,GEN!$R13:$U13)+SUMIF(GEN!$G$158:$J$158,CA$111,GEN!$W13:$Z13)</f>
        <v>0</v>
      </c>
      <c r="CB119" s="448">
        <f>SUMIF(GEN!$G$158:$J$158,CB$111,GEN!$R13:$U13)+SUMIF(GEN!$G$158:$J$158,CB$111,GEN!$W13:$Z13)</f>
        <v>0</v>
      </c>
      <c r="CC119" s="571"/>
      <c r="CD119" s="448"/>
      <c r="CE119" s="92">
        <f t="shared" si="224"/>
        <v>0</v>
      </c>
      <c r="CF119" s="92">
        <f t="shared" si="225"/>
        <v>0</v>
      </c>
      <c r="CG119" s="151" t="str">
        <f t="shared" si="212"/>
        <v/>
      </c>
      <c r="CH119" s="92">
        <f t="shared" si="213"/>
        <v>0</v>
      </c>
      <c r="CI119" s="92" t="str">
        <f t="shared" si="226"/>
        <v/>
      </c>
      <c r="CJ119" s="1100">
        <f>GEN!AM13</f>
        <v>0</v>
      </c>
      <c r="CK119" s="445">
        <f>SUMIF(GEN!$G$155:$J$155,CK$112,GEN!$AN13:$AQ13)</f>
        <v>0</v>
      </c>
      <c r="CL119" s="446">
        <f>SUMIF(GEN!$G$155:$J$155,CL$112,GEN!$AN13:$AQ13)</f>
        <v>0</v>
      </c>
      <c r="CM119" s="447">
        <f>SUMIF(GEN!$G$155:$J$155,CM$112,GEN!$AN13:$AQ13)</f>
        <v>0</v>
      </c>
      <c r="CN119" s="448">
        <f>SUMIF(GEN!$G$155:$J$155,CN$112,GEN!$AN13:$AQ13)</f>
        <v>0</v>
      </c>
      <c r="CO119" s="1100">
        <f>GEN!AS13</f>
        <v>0</v>
      </c>
      <c r="CP119" s="445">
        <f>GEN!AT13</f>
        <v>0</v>
      </c>
      <c r="CQ119" s="446">
        <f>GEN!AU13</f>
        <v>0</v>
      </c>
      <c r="CR119" s="447">
        <f>GEN!AV13</f>
        <v>0</v>
      </c>
      <c r="CS119" s="448">
        <f>GEN!AW13</f>
        <v>0</v>
      </c>
      <c r="CT119" s="1100">
        <f>GEN!AY13</f>
        <v>0</v>
      </c>
      <c r="CU119" s="2"/>
    </row>
    <row r="120" spans="1:99" ht="14.25" hidden="1" customHeight="1" x14ac:dyDescent="0.2">
      <c r="A120" s="2"/>
      <c r="B120" s="151">
        <f t="shared" si="214"/>
        <v>45298</v>
      </c>
      <c r="C120" s="223">
        <f>IF(AND(E120&gt;(E$491-1),E120&lt;(I$491+1)),W$485,IF(ISERROR(HLOOKUP(E120,$E$484:$L$484,1,FALSE)),HLOOKUP(WEEKDAY(E120,2),IMPOSTAZIONI!$C$51:$P$56,6,FALSE),$W$484))</f>
        <v>0</v>
      </c>
      <c r="D120" s="103" t="str">
        <f t="shared" si="215"/>
        <v/>
      </c>
      <c r="E120" s="2380">
        <f t="shared" si="227"/>
        <v>45298</v>
      </c>
      <c r="F120" s="2381"/>
      <c r="G120" s="2325">
        <f>GEN!E14</f>
        <v>0</v>
      </c>
      <c r="H120" s="2326"/>
      <c r="I120" s="2327"/>
      <c r="J120" s="479" t="str">
        <f t="shared" si="210"/>
        <v/>
      </c>
      <c r="K120" s="480"/>
      <c r="L120" s="2332">
        <f t="shared" si="216"/>
        <v>1</v>
      </c>
      <c r="M120" s="2561"/>
      <c r="N120" s="478"/>
      <c r="O120" s="478"/>
      <c r="P120" s="478"/>
      <c r="Q120" s="2315">
        <f t="shared" si="217"/>
        <v>45298</v>
      </c>
      <c r="R120" s="2315"/>
      <c r="S120" s="478"/>
      <c r="T120" s="140">
        <f t="shared" si="218"/>
        <v>0</v>
      </c>
      <c r="U120" s="478"/>
      <c r="V120" s="478"/>
      <c r="W120" s="478"/>
      <c r="X120" s="478"/>
      <c r="Y120" s="478"/>
      <c r="Z120" s="478"/>
      <c r="AA120" s="478"/>
      <c r="AB120" s="478"/>
      <c r="AC120" s="478"/>
      <c r="AD120" s="478"/>
      <c r="AE120" s="478"/>
      <c r="AF120" s="478"/>
      <c r="AG120" s="140">
        <f t="shared" si="219"/>
        <v>0</v>
      </c>
      <c r="AH120" s="92" t="str">
        <f t="shared" si="220"/>
        <v/>
      </c>
      <c r="AI120" s="131">
        <f t="shared" si="221"/>
        <v>0</v>
      </c>
      <c r="AJ120" s="2"/>
      <c r="AK120" s="92">
        <f>IF(G120=G$481,0,IF(OR(G120&lt;&gt;0,CJ120&lt;&gt;0,C120="L"),COUNTIF(AK$114:AK119,"&gt;0")+1,0))</f>
        <v>0</v>
      </c>
      <c r="AL120" s="92" t="str">
        <f t="shared" si="222"/>
        <v/>
      </c>
      <c r="AM120" s="92" t="str">
        <f t="shared" si="223"/>
        <v/>
      </c>
      <c r="AN120" s="131">
        <f t="shared" si="211"/>
        <v>0</v>
      </c>
      <c r="AO120" s="447">
        <f>SUM(GEN!W14:Z14)</f>
        <v>0</v>
      </c>
      <c r="AP120" s="445">
        <f>SUMIF(GEN!$G$155:$J$155,AP$112,GEN!$R14:$U14)</f>
        <v>0</v>
      </c>
      <c r="AQ120" s="446">
        <f>SUMIF(GEN!$G$155:$J$155,AQ$112,GEN!$R14:$U14)</f>
        <v>0</v>
      </c>
      <c r="AR120" s="447">
        <f>SUMIF(GEN!$G$155:$J$155,AR$112,GEN!$R14:$U14)</f>
        <v>0</v>
      </c>
      <c r="AS120" s="448">
        <f>SUMIF(GEN!$G$155:$J$155,AS$112,GEN!$R14:$U14)</f>
        <v>0</v>
      </c>
      <c r="AT120" s="449">
        <f>GEN!AG14</f>
        <v>0</v>
      </c>
      <c r="AU120" s="445">
        <f>GEN!AH14</f>
        <v>0</v>
      </c>
      <c r="AV120" s="446">
        <f>GEN!AI14</f>
        <v>0</v>
      </c>
      <c r="AW120" s="447">
        <f>GEN!AJ14</f>
        <v>0</v>
      </c>
      <c r="AX120" s="448">
        <f>GEN!AK14</f>
        <v>0</v>
      </c>
      <c r="AY120" s="445">
        <f>SUMIF(GEN!$G$152:$J$152,"&gt;0",GEN!$W14:$Z14)</f>
        <v>0</v>
      </c>
      <c r="AZ120" s="1063">
        <f>SUM(GEN!AB14:AE14)</f>
        <v>0</v>
      </c>
      <c r="BA120" s="445">
        <f>SUMIF(GEN!$G$159:$J$159,BA$111,GEN!$R14:$U14)+SUMIF(GEN!$G$159:$J$159,BA$111,GEN!$W14:$Z14)</f>
        <v>0</v>
      </c>
      <c r="BB120" s="446">
        <f>SUMIF(GEN!$G$159:$J$159,BB$111,GEN!$R14:$U14)+SUMIF(GEN!$G$159:$J$159,BB$111,GEN!$W14:$Z14)</f>
        <v>0</v>
      </c>
      <c r="BC120" s="446">
        <f>SUMIF(GEN!$G$159:$J$159,BC$111,GEN!$R14:$U14)+SUMIF(GEN!$G$159:$J$159,BC$111,GEN!$W14:$Z14)</f>
        <v>0</v>
      </c>
      <c r="BD120" s="446">
        <f>SUMIF(GEN!$G$159:$J$159,BD$111,GEN!$R14:$U14)+SUMIF(GEN!$G$159:$J$159,BD$111,GEN!$W14:$Z14)</f>
        <v>0</v>
      </c>
      <c r="BE120" s="446">
        <f>SUMIF(GEN!$G$159:$J$159,BE$111,GEN!$R14:$U14)+SUMIF(GEN!$G$159:$J$159,BE$111,GEN!$W14:$Z14)</f>
        <v>0</v>
      </c>
      <c r="BF120" s="446">
        <f>SUMIF(GEN!$G$159:$J$159,BF$111,GEN!$R14:$U14)+SUMIF(GEN!$G$159:$J$159,BF$111,GEN!$W14:$Z14)</f>
        <v>0</v>
      </c>
      <c r="BG120" s="448">
        <f>SUMIF(GEN!$G$159:$J$159,BG$111,GEN!$R14:$U14)+SUMIF(GEN!$G$159:$J$159,BG$111,GEN!$W14:$Z14)</f>
        <v>0</v>
      </c>
      <c r="BH120" s="571"/>
      <c r="BI120" s="448"/>
      <c r="BJ120" s="470"/>
      <c r="BK120" s="445">
        <f>SUMIF(GEN!$G$157:$J$157,BK$111,GEN!$R14:$U14)+SUMIF(GEN!$G$157:$J$157,BK$111,GEN!$W14:$Z14)</f>
        <v>0</v>
      </c>
      <c r="BL120" s="446">
        <f>SUMIF(GEN!$G$157:$J$157,BL$111,GEN!$R14:$U14)+SUMIF(GEN!$G$157:$J$157,BL$111,GEN!$W14:$Z14)</f>
        <v>0</v>
      </c>
      <c r="BM120" s="446">
        <f>SUMIF(GEN!$G$157:$J$157,BM$111,GEN!$R14:$U14)+SUMIF(GEN!$G$157:$J$157,BM$111,GEN!$W14:$Z14)</f>
        <v>0</v>
      </c>
      <c r="BN120" s="446">
        <f>SUMIF(GEN!$G$157:$J$157,BN$111,GEN!$R14:$U14)+SUMIF(GEN!$G$157:$J$157,BN$111,GEN!$W14:$Z14)</f>
        <v>0</v>
      </c>
      <c r="BO120" s="446">
        <f>SUMIF(GEN!$G$157:$J$157,BO$111,GEN!$R14:$U14)+SUMIF(GEN!$G$157:$J$157,BO$111,GEN!$W14:$Z14)</f>
        <v>0</v>
      </c>
      <c r="BP120" s="446">
        <f>SUMIF(GEN!$G$157:$J$157,BP$111,GEN!$R14:$U14)+SUMIF(GEN!$G$157:$J$157,BP$111,GEN!$W14:$Z14)</f>
        <v>0</v>
      </c>
      <c r="BQ120" s="448">
        <f>SUMIF(GEN!$G$157:$J$157,BQ$111,GEN!$R14:$U14)+SUMIF(GEN!$G$157:$J$157,BQ$111,GEN!$W14:$Z14)</f>
        <v>0</v>
      </c>
      <c r="BR120" s="571"/>
      <c r="BS120" s="446"/>
      <c r="BT120" s="448"/>
      <c r="BU120" s="470"/>
      <c r="BV120" s="445">
        <f>SUMIF(GEN!$G$158:$J$158,BV$111,GEN!$R14:$U14)+SUMIF(GEN!$G$158:$J$158,BV$111,GEN!$W14:$Z14)</f>
        <v>0</v>
      </c>
      <c r="BW120" s="446">
        <f>SUMIF(GEN!$G$158:$J$158,BW$111,GEN!$R14:$U14)+SUMIF(GEN!$G$158:$J$158,BW$111,GEN!$W14:$Z14)</f>
        <v>0</v>
      </c>
      <c r="BX120" s="446">
        <f>SUMIF(GEN!$G$158:$J$158,BX$111,GEN!$R14:$U14)+SUMIF(GEN!$G$158:$J$158,BX$111,GEN!$W14:$Z14)</f>
        <v>0</v>
      </c>
      <c r="BY120" s="446">
        <f>SUMIF(GEN!$G$158:$J$158,BY$111,GEN!$R14:$U14)+SUMIF(GEN!$G$158:$J$158,BY$111,GEN!$W14:$Z14)</f>
        <v>0</v>
      </c>
      <c r="BZ120" s="446">
        <f>SUMIF(GEN!$G$158:$J$158,BZ$111,GEN!$R14:$U14)+SUMIF(GEN!$G$158:$J$158,BZ$111,GEN!$W14:$Z14)</f>
        <v>0</v>
      </c>
      <c r="CA120" s="446">
        <f>SUMIF(GEN!$G$158:$J$158,CA$111,GEN!$R14:$U14)+SUMIF(GEN!$G$158:$J$158,CA$111,GEN!$W14:$Z14)</f>
        <v>0</v>
      </c>
      <c r="CB120" s="448">
        <f>SUMIF(GEN!$G$158:$J$158,CB$111,GEN!$R14:$U14)+SUMIF(GEN!$G$158:$J$158,CB$111,GEN!$W14:$Z14)</f>
        <v>0</v>
      </c>
      <c r="CC120" s="571"/>
      <c r="CD120" s="448"/>
      <c r="CE120" s="92">
        <f t="shared" si="224"/>
        <v>0</v>
      </c>
      <c r="CF120" s="92">
        <f t="shared" si="225"/>
        <v>0</v>
      </c>
      <c r="CG120" s="151" t="str">
        <f t="shared" si="212"/>
        <v/>
      </c>
      <c r="CH120" s="92">
        <f t="shared" si="213"/>
        <v>0</v>
      </c>
      <c r="CI120" s="92" t="str">
        <f t="shared" si="226"/>
        <v/>
      </c>
      <c r="CJ120" s="1100">
        <f>GEN!AM14</f>
        <v>0</v>
      </c>
      <c r="CK120" s="445">
        <f>SUMIF(GEN!$G$155:$J$155,CK$112,GEN!$AN14:$AQ14)</f>
        <v>0</v>
      </c>
      <c r="CL120" s="446">
        <f>SUMIF(GEN!$G$155:$J$155,CL$112,GEN!$AN14:$AQ14)</f>
        <v>0</v>
      </c>
      <c r="CM120" s="447">
        <f>SUMIF(GEN!$G$155:$J$155,CM$112,GEN!$AN14:$AQ14)</f>
        <v>0</v>
      </c>
      <c r="CN120" s="448">
        <f>SUMIF(GEN!$G$155:$J$155,CN$112,GEN!$AN14:$AQ14)</f>
        <v>0</v>
      </c>
      <c r="CO120" s="1100">
        <f>GEN!AS14</f>
        <v>0</v>
      </c>
      <c r="CP120" s="445">
        <f>GEN!AT14</f>
        <v>0</v>
      </c>
      <c r="CQ120" s="446">
        <f>GEN!AU14</f>
        <v>0</v>
      </c>
      <c r="CR120" s="447">
        <f>GEN!AV14</f>
        <v>0</v>
      </c>
      <c r="CS120" s="448">
        <f>GEN!AW14</f>
        <v>0</v>
      </c>
      <c r="CT120" s="1100">
        <f>GEN!AY14</f>
        <v>0</v>
      </c>
      <c r="CU120" s="2"/>
    </row>
    <row r="121" spans="1:99" ht="14.25" hidden="1" customHeight="1" x14ac:dyDescent="0.2">
      <c r="A121" s="2"/>
      <c r="B121" s="151">
        <f t="shared" si="214"/>
        <v>45299</v>
      </c>
      <c r="C121" s="223">
        <f>IF(AND(E121&gt;(E$491-1),E121&lt;(I$491+1)),W$485,IF(ISERROR(HLOOKUP(E121,$E$484:$L$484,1,FALSE)),HLOOKUP(WEEKDAY(E121,2),IMPOSTAZIONI!$C$51:$P$56,6,FALSE),$W$484))</f>
        <v>0</v>
      </c>
      <c r="D121" s="103" t="str">
        <f t="shared" si="215"/>
        <v/>
      </c>
      <c r="E121" s="2380">
        <f t="shared" si="227"/>
        <v>45299</v>
      </c>
      <c r="F121" s="2381"/>
      <c r="G121" s="2325">
        <f>GEN!E15</f>
        <v>0</v>
      </c>
      <c r="H121" s="2326"/>
      <c r="I121" s="2327"/>
      <c r="J121" s="479" t="str">
        <f t="shared" si="210"/>
        <v/>
      </c>
      <c r="K121" s="480"/>
      <c r="L121" s="2323">
        <f>L114+1</f>
        <v>2</v>
      </c>
      <c r="M121" s="2324"/>
      <c r="N121" s="478"/>
      <c r="O121" s="478"/>
      <c r="P121" s="478"/>
      <c r="Q121" s="2315">
        <f t="shared" si="217"/>
        <v>45299</v>
      </c>
      <c r="R121" s="2315"/>
      <c r="S121" s="478"/>
      <c r="T121" s="140">
        <f t="shared" si="218"/>
        <v>0</v>
      </c>
      <c r="U121" s="478"/>
      <c r="V121" s="478"/>
      <c r="W121" s="478"/>
      <c r="X121" s="478"/>
      <c r="Y121" s="478"/>
      <c r="Z121" s="478"/>
      <c r="AA121" s="478"/>
      <c r="AB121" s="478"/>
      <c r="AC121" s="478"/>
      <c r="AD121" s="478"/>
      <c r="AE121" s="478"/>
      <c r="AF121" s="478"/>
      <c r="AG121" s="140">
        <f t="shared" si="219"/>
        <v>0</v>
      </c>
      <c r="AH121" s="92" t="str">
        <f t="shared" si="220"/>
        <v/>
      </c>
      <c r="AI121" s="131">
        <f t="shared" si="221"/>
        <v>0</v>
      </c>
      <c r="AJ121" s="2"/>
      <c r="AK121" s="92">
        <f>IF(G121=G$481,0,IF(OR(G121&lt;&gt;0,CJ121&lt;&gt;0,C121="L"),COUNTIF(AK$114:AK120,"&gt;0")+1,0))</f>
        <v>0</v>
      </c>
      <c r="AL121" s="92" t="str">
        <f t="shared" si="222"/>
        <v/>
      </c>
      <c r="AM121" s="92" t="str">
        <f t="shared" si="223"/>
        <v/>
      </c>
      <c r="AN121" s="131">
        <f t="shared" si="211"/>
        <v>0</v>
      </c>
      <c r="AO121" s="447">
        <f>SUM(GEN!W15:Z15)</f>
        <v>0</v>
      </c>
      <c r="AP121" s="445">
        <f>SUMIF(GEN!$G$155:$J$155,AP$112,GEN!$R15:$U15)</f>
        <v>0</v>
      </c>
      <c r="AQ121" s="446">
        <f>SUMIF(GEN!$G$155:$J$155,AQ$112,GEN!$R15:$U15)</f>
        <v>0</v>
      </c>
      <c r="AR121" s="447">
        <f>SUMIF(GEN!$G$155:$J$155,AR$112,GEN!$R15:$U15)</f>
        <v>0</v>
      </c>
      <c r="AS121" s="448">
        <f>SUMIF(GEN!$G$155:$J$155,AS$112,GEN!$R15:$U15)</f>
        <v>0</v>
      </c>
      <c r="AT121" s="449">
        <f>GEN!AG15</f>
        <v>0</v>
      </c>
      <c r="AU121" s="445">
        <f>GEN!AH15</f>
        <v>0</v>
      </c>
      <c r="AV121" s="446">
        <f>GEN!AI15</f>
        <v>0</v>
      </c>
      <c r="AW121" s="447">
        <f>GEN!AJ15</f>
        <v>0</v>
      </c>
      <c r="AX121" s="448">
        <f>GEN!AK15</f>
        <v>0</v>
      </c>
      <c r="AY121" s="445">
        <f>SUMIF(GEN!$G$152:$J$152,"&gt;0",GEN!$W15:$Z15)</f>
        <v>0</v>
      </c>
      <c r="AZ121" s="1063">
        <f>SUM(GEN!AB15:AE15)</f>
        <v>0</v>
      </c>
      <c r="BA121" s="445">
        <f>SUMIF(GEN!$G$159:$J$159,BA$111,GEN!$R15:$U15)+SUMIF(GEN!$G$159:$J$159,BA$111,GEN!$W15:$Z15)</f>
        <v>0</v>
      </c>
      <c r="BB121" s="446">
        <f>SUMIF(GEN!$G$159:$J$159,BB$111,GEN!$R15:$U15)+SUMIF(GEN!$G$159:$J$159,BB$111,GEN!$W15:$Z15)</f>
        <v>0</v>
      </c>
      <c r="BC121" s="446">
        <f>SUMIF(GEN!$G$159:$J$159,BC$111,GEN!$R15:$U15)+SUMIF(GEN!$G$159:$J$159,BC$111,GEN!$W15:$Z15)</f>
        <v>0</v>
      </c>
      <c r="BD121" s="446">
        <f>SUMIF(GEN!$G$159:$J$159,BD$111,GEN!$R15:$U15)+SUMIF(GEN!$G$159:$J$159,BD$111,GEN!$W15:$Z15)</f>
        <v>0</v>
      </c>
      <c r="BE121" s="446">
        <f>SUMIF(GEN!$G$159:$J$159,BE$111,GEN!$R15:$U15)+SUMIF(GEN!$G$159:$J$159,BE$111,GEN!$W15:$Z15)</f>
        <v>0</v>
      </c>
      <c r="BF121" s="446">
        <f>SUMIF(GEN!$G$159:$J$159,BF$111,GEN!$R15:$U15)+SUMIF(GEN!$G$159:$J$159,BF$111,GEN!$W15:$Z15)</f>
        <v>0</v>
      </c>
      <c r="BG121" s="448">
        <f>SUMIF(GEN!$G$159:$J$159,BG$111,GEN!$R15:$U15)+SUMIF(GEN!$G$159:$J$159,BG$111,GEN!$W15:$Z15)</f>
        <v>0</v>
      </c>
      <c r="BH121" s="571"/>
      <c r="BI121" s="448"/>
      <c r="BJ121" s="470"/>
      <c r="BK121" s="445">
        <f>SUMIF(GEN!$G$157:$J$157,BK$111,GEN!$R15:$U15)+SUMIF(GEN!$G$157:$J$157,BK$111,GEN!$W15:$Z15)</f>
        <v>0</v>
      </c>
      <c r="BL121" s="446">
        <f>SUMIF(GEN!$G$157:$J$157,BL$111,GEN!$R15:$U15)+SUMIF(GEN!$G$157:$J$157,BL$111,GEN!$W15:$Z15)</f>
        <v>0</v>
      </c>
      <c r="BM121" s="446">
        <f>SUMIF(GEN!$G$157:$J$157,BM$111,GEN!$R15:$U15)+SUMIF(GEN!$G$157:$J$157,BM$111,GEN!$W15:$Z15)</f>
        <v>0</v>
      </c>
      <c r="BN121" s="446">
        <f>SUMIF(GEN!$G$157:$J$157,BN$111,GEN!$R15:$U15)+SUMIF(GEN!$G$157:$J$157,BN$111,GEN!$W15:$Z15)</f>
        <v>0</v>
      </c>
      <c r="BO121" s="446">
        <f>SUMIF(GEN!$G$157:$J$157,BO$111,GEN!$R15:$U15)+SUMIF(GEN!$G$157:$J$157,BO$111,GEN!$W15:$Z15)</f>
        <v>0</v>
      </c>
      <c r="BP121" s="446">
        <f>SUMIF(GEN!$G$157:$J$157,BP$111,GEN!$R15:$U15)+SUMIF(GEN!$G$157:$J$157,BP$111,GEN!$W15:$Z15)</f>
        <v>0</v>
      </c>
      <c r="BQ121" s="448">
        <f>SUMIF(GEN!$G$157:$J$157,BQ$111,GEN!$R15:$U15)+SUMIF(GEN!$G$157:$J$157,BQ$111,GEN!$W15:$Z15)</f>
        <v>0</v>
      </c>
      <c r="BR121" s="571"/>
      <c r="BS121" s="446"/>
      <c r="BT121" s="448"/>
      <c r="BU121" s="470"/>
      <c r="BV121" s="445">
        <f>SUMIF(GEN!$G$158:$J$158,BV$111,GEN!$R15:$U15)+SUMIF(GEN!$G$158:$J$158,BV$111,GEN!$W15:$Z15)</f>
        <v>0</v>
      </c>
      <c r="BW121" s="446">
        <f>SUMIF(GEN!$G$158:$J$158,BW$111,GEN!$R15:$U15)+SUMIF(GEN!$G$158:$J$158,BW$111,GEN!$W15:$Z15)</f>
        <v>0</v>
      </c>
      <c r="BX121" s="446">
        <f>SUMIF(GEN!$G$158:$J$158,BX$111,GEN!$R15:$U15)+SUMIF(GEN!$G$158:$J$158,BX$111,GEN!$W15:$Z15)</f>
        <v>0</v>
      </c>
      <c r="BY121" s="446">
        <f>SUMIF(GEN!$G$158:$J$158,BY$111,GEN!$R15:$U15)+SUMIF(GEN!$G$158:$J$158,BY$111,GEN!$W15:$Z15)</f>
        <v>0</v>
      </c>
      <c r="BZ121" s="446">
        <f>SUMIF(GEN!$G$158:$J$158,BZ$111,GEN!$R15:$U15)+SUMIF(GEN!$G$158:$J$158,BZ$111,GEN!$W15:$Z15)</f>
        <v>0</v>
      </c>
      <c r="CA121" s="446">
        <f>SUMIF(GEN!$G$158:$J$158,CA$111,GEN!$R15:$U15)+SUMIF(GEN!$G$158:$J$158,CA$111,GEN!$W15:$Z15)</f>
        <v>0</v>
      </c>
      <c r="CB121" s="448">
        <f>SUMIF(GEN!$G$158:$J$158,CB$111,GEN!$R15:$U15)+SUMIF(GEN!$G$158:$J$158,CB$111,GEN!$W15:$Z15)</f>
        <v>0</v>
      </c>
      <c r="CC121" s="571"/>
      <c r="CD121" s="448"/>
      <c r="CE121" s="92">
        <f t="shared" si="224"/>
        <v>0</v>
      </c>
      <c r="CF121" s="92">
        <f t="shared" si="225"/>
        <v>0</v>
      </c>
      <c r="CG121" s="151" t="str">
        <f t="shared" si="212"/>
        <v/>
      </c>
      <c r="CH121" s="92">
        <f t="shared" si="213"/>
        <v>0</v>
      </c>
      <c r="CI121" s="92" t="str">
        <f t="shared" si="226"/>
        <v/>
      </c>
      <c r="CJ121" s="1100">
        <f>GEN!AM15</f>
        <v>0</v>
      </c>
      <c r="CK121" s="445">
        <f>SUMIF(GEN!$G$155:$J$155,CK$112,GEN!$AN15:$AQ15)</f>
        <v>0</v>
      </c>
      <c r="CL121" s="446">
        <f>SUMIF(GEN!$G$155:$J$155,CL$112,GEN!$AN15:$AQ15)</f>
        <v>0</v>
      </c>
      <c r="CM121" s="447">
        <f>SUMIF(GEN!$G$155:$J$155,CM$112,GEN!$AN15:$AQ15)</f>
        <v>0</v>
      </c>
      <c r="CN121" s="448">
        <f>SUMIF(GEN!$G$155:$J$155,CN$112,GEN!$AN15:$AQ15)</f>
        <v>0</v>
      </c>
      <c r="CO121" s="1100">
        <f>GEN!AS15</f>
        <v>0</v>
      </c>
      <c r="CP121" s="445">
        <f>GEN!AT15</f>
        <v>0</v>
      </c>
      <c r="CQ121" s="446">
        <f>GEN!AU15</f>
        <v>0</v>
      </c>
      <c r="CR121" s="447">
        <f>GEN!AV15</f>
        <v>0</v>
      </c>
      <c r="CS121" s="448">
        <f>GEN!AW15</f>
        <v>0</v>
      </c>
      <c r="CT121" s="1100">
        <f>GEN!AY15</f>
        <v>0</v>
      </c>
      <c r="CU121" s="2"/>
    </row>
    <row r="122" spans="1:99" ht="14.25" hidden="1" customHeight="1" x14ac:dyDescent="0.2">
      <c r="A122" s="2"/>
      <c r="B122" s="151">
        <f t="shared" si="214"/>
        <v>45300</v>
      </c>
      <c r="C122" s="223">
        <f>IF(AND(E122&gt;(E$491-1),E122&lt;(I$491+1)),W$485,IF(ISERROR(HLOOKUP(E122,$E$484:$L$484,1,FALSE)),HLOOKUP(WEEKDAY(E122,2),IMPOSTAZIONI!$C$51:$P$56,6,FALSE),$W$484))</f>
        <v>0</v>
      </c>
      <c r="D122" s="103" t="str">
        <f t="shared" si="215"/>
        <v/>
      </c>
      <c r="E122" s="2380">
        <f t="shared" si="227"/>
        <v>45300</v>
      </c>
      <c r="F122" s="2381"/>
      <c r="G122" s="2325">
        <f>GEN!E16</f>
        <v>0</v>
      </c>
      <c r="H122" s="2326"/>
      <c r="I122" s="2327"/>
      <c r="J122" s="479" t="str">
        <f t="shared" si="210"/>
        <v/>
      </c>
      <c r="K122" s="480"/>
      <c r="L122" s="2319">
        <f>L115+1</f>
        <v>2</v>
      </c>
      <c r="M122" s="2320"/>
      <c r="N122" s="478"/>
      <c r="O122" s="478"/>
      <c r="P122" s="478"/>
      <c r="Q122" s="2315">
        <f t="shared" si="217"/>
        <v>45300</v>
      </c>
      <c r="R122" s="2315"/>
      <c r="S122" s="478"/>
      <c r="T122" s="140">
        <f t="shared" si="218"/>
        <v>0</v>
      </c>
      <c r="U122" s="478"/>
      <c r="V122" s="478"/>
      <c r="W122" s="478"/>
      <c r="X122" s="478"/>
      <c r="Y122" s="478"/>
      <c r="Z122" s="478"/>
      <c r="AA122" s="478"/>
      <c r="AB122" s="478"/>
      <c r="AC122" s="478"/>
      <c r="AD122" s="478"/>
      <c r="AE122" s="478"/>
      <c r="AF122" s="478"/>
      <c r="AG122" s="140">
        <f t="shared" si="219"/>
        <v>0</v>
      </c>
      <c r="AH122" s="92" t="str">
        <f t="shared" si="220"/>
        <v/>
      </c>
      <c r="AI122" s="131">
        <f t="shared" si="221"/>
        <v>0</v>
      </c>
      <c r="AJ122" s="2"/>
      <c r="AK122" s="92">
        <f>IF(G122=G$481,0,IF(OR(G122&lt;&gt;0,CJ122&lt;&gt;0,C122="L"),COUNTIF(AK$114:AK121,"&gt;0")+1,0))</f>
        <v>0</v>
      </c>
      <c r="AL122" s="92" t="str">
        <f t="shared" si="222"/>
        <v/>
      </c>
      <c r="AM122" s="92" t="str">
        <f t="shared" si="223"/>
        <v/>
      </c>
      <c r="AN122" s="131">
        <f t="shared" si="211"/>
        <v>0</v>
      </c>
      <c r="AO122" s="447">
        <f>SUM(GEN!W16:Z16)</f>
        <v>0</v>
      </c>
      <c r="AP122" s="445">
        <f>SUMIF(GEN!$G$155:$J$155,AP$112,GEN!$R16:$U16)</f>
        <v>0</v>
      </c>
      <c r="AQ122" s="446">
        <f>SUMIF(GEN!$G$155:$J$155,AQ$112,GEN!$R16:$U16)</f>
        <v>0</v>
      </c>
      <c r="AR122" s="447">
        <f>SUMIF(GEN!$G$155:$J$155,AR$112,GEN!$R16:$U16)</f>
        <v>0</v>
      </c>
      <c r="AS122" s="448">
        <f>SUMIF(GEN!$G$155:$J$155,AS$112,GEN!$R16:$U16)</f>
        <v>0</v>
      </c>
      <c r="AT122" s="449">
        <f>GEN!AG16</f>
        <v>0</v>
      </c>
      <c r="AU122" s="445">
        <f>GEN!AH16</f>
        <v>0</v>
      </c>
      <c r="AV122" s="446">
        <f>GEN!AI16</f>
        <v>0</v>
      </c>
      <c r="AW122" s="447">
        <f>GEN!AJ16</f>
        <v>0</v>
      </c>
      <c r="AX122" s="448">
        <f>GEN!AK16</f>
        <v>0</v>
      </c>
      <c r="AY122" s="445">
        <f>SUMIF(GEN!$G$152:$J$152,"&gt;0",GEN!$W16:$Z16)</f>
        <v>0</v>
      </c>
      <c r="AZ122" s="1063">
        <f>SUM(GEN!AB16:AE16)</f>
        <v>0</v>
      </c>
      <c r="BA122" s="445">
        <f>SUMIF(GEN!$G$159:$J$159,BA$111,GEN!$R16:$U16)+SUMIF(GEN!$G$159:$J$159,BA$111,GEN!$W16:$Z16)</f>
        <v>0</v>
      </c>
      <c r="BB122" s="446">
        <f>SUMIF(GEN!$G$159:$J$159,BB$111,GEN!$R16:$U16)+SUMIF(GEN!$G$159:$J$159,BB$111,GEN!$W16:$Z16)</f>
        <v>0</v>
      </c>
      <c r="BC122" s="446">
        <f>SUMIF(GEN!$G$159:$J$159,BC$111,GEN!$R16:$U16)+SUMIF(GEN!$G$159:$J$159,BC$111,GEN!$W16:$Z16)</f>
        <v>0</v>
      </c>
      <c r="BD122" s="446">
        <f>SUMIF(GEN!$G$159:$J$159,BD$111,GEN!$R16:$U16)+SUMIF(GEN!$G$159:$J$159,BD$111,GEN!$W16:$Z16)</f>
        <v>0</v>
      </c>
      <c r="BE122" s="446">
        <f>SUMIF(GEN!$G$159:$J$159,BE$111,GEN!$R16:$U16)+SUMIF(GEN!$G$159:$J$159,BE$111,GEN!$W16:$Z16)</f>
        <v>0</v>
      </c>
      <c r="BF122" s="446">
        <f>SUMIF(GEN!$G$159:$J$159,BF$111,GEN!$R16:$U16)+SUMIF(GEN!$G$159:$J$159,BF$111,GEN!$W16:$Z16)</f>
        <v>0</v>
      </c>
      <c r="BG122" s="448">
        <f>SUMIF(GEN!$G$159:$J$159,BG$111,GEN!$R16:$U16)+SUMIF(GEN!$G$159:$J$159,BG$111,GEN!$W16:$Z16)</f>
        <v>0</v>
      </c>
      <c r="BH122" s="571"/>
      <c r="BI122" s="448"/>
      <c r="BJ122" s="470"/>
      <c r="BK122" s="445">
        <f>SUMIF(GEN!$G$157:$J$157,BK$111,GEN!$R16:$U16)+SUMIF(GEN!$G$157:$J$157,BK$111,GEN!$W16:$Z16)</f>
        <v>0</v>
      </c>
      <c r="BL122" s="446">
        <f>SUMIF(GEN!$G$157:$J$157,BL$111,GEN!$R16:$U16)+SUMIF(GEN!$G$157:$J$157,BL$111,GEN!$W16:$Z16)</f>
        <v>0</v>
      </c>
      <c r="BM122" s="446">
        <f>SUMIF(GEN!$G$157:$J$157,BM$111,GEN!$R16:$U16)+SUMIF(GEN!$G$157:$J$157,BM$111,GEN!$W16:$Z16)</f>
        <v>0</v>
      </c>
      <c r="BN122" s="446">
        <f>SUMIF(GEN!$G$157:$J$157,BN$111,GEN!$R16:$U16)+SUMIF(GEN!$G$157:$J$157,BN$111,GEN!$W16:$Z16)</f>
        <v>0</v>
      </c>
      <c r="BO122" s="446">
        <f>SUMIF(GEN!$G$157:$J$157,BO$111,GEN!$R16:$U16)+SUMIF(GEN!$G$157:$J$157,BO$111,GEN!$W16:$Z16)</f>
        <v>0</v>
      </c>
      <c r="BP122" s="446">
        <f>SUMIF(GEN!$G$157:$J$157,BP$111,GEN!$R16:$U16)+SUMIF(GEN!$G$157:$J$157,BP$111,GEN!$W16:$Z16)</f>
        <v>0</v>
      </c>
      <c r="BQ122" s="448">
        <f>SUMIF(GEN!$G$157:$J$157,BQ$111,GEN!$R16:$U16)+SUMIF(GEN!$G$157:$J$157,BQ$111,GEN!$W16:$Z16)</f>
        <v>0</v>
      </c>
      <c r="BR122" s="571"/>
      <c r="BS122" s="446"/>
      <c r="BT122" s="448"/>
      <c r="BU122" s="470"/>
      <c r="BV122" s="445">
        <f>SUMIF(GEN!$G$158:$J$158,BV$111,GEN!$R16:$U16)+SUMIF(GEN!$G$158:$J$158,BV$111,GEN!$W16:$Z16)</f>
        <v>0</v>
      </c>
      <c r="BW122" s="446">
        <f>SUMIF(GEN!$G$158:$J$158,BW$111,GEN!$R16:$U16)+SUMIF(GEN!$G$158:$J$158,BW$111,GEN!$W16:$Z16)</f>
        <v>0</v>
      </c>
      <c r="BX122" s="446">
        <f>SUMIF(GEN!$G$158:$J$158,BX$111,GEN!$R16:$U16)+SUMIF(GEN!$G$158:$J$158,BX$111,GEN!$W16:$Z16)</f>
        <v>0</v>
      </c>
      <c r="BY122" s="446">
        <f>SUMIF(GEN!$G$158:$J$158,BY$111,GEN!$R16:$U16)+SUMIF(GEN!$G$158:$J$158,BY$111,GEN!$W16:$Z16)</f>
        <v>0</v>
      </c>
      <c r="BZ122" s="446">
        <f>SUMIF(GEN!$G$158:$J$158,BZ$111,GEN!$R16:$U16)+SUMIF(GEN!$G$158:$J$158,BZ$111,GEN!$W16:$Z16)</f>
        <v>0</v>
      </c>
      <c r="CA122" s="446">
        <f>SUMIF(GEN!$G$158:$J$158,CA$111,GEN!$R16:$U16)+SUMIF(GEN!$G$158:$J$158,CA$111,GEN!$W16:$Z16)</f>
        <v>0</v>
      </c>
      <c r="CB122" s="448">
        <f>SUMIF(GEN!$G$158:$J$158,CB$111,GEN!$R16:$U16)+SUMIF(GEN!$G$158:$J$158,CB$111,GEN!$W16:$Z16)</f>
        <v>0</v>
      </c>
      <c r="CC122" s="571"/>
      <c r="CD122" s="448"/>
      <c r="CE122" s="92">
        <f t="shared" si="224"/>
        <v>0</v>
      </c>
      <c r="CF122" s="92">
        <f t="shared" si="225"/>
        <v>0</v>
      </c>
      <c r="CG122" s="151" t="str">
        <f t="shared" si="212"/>
        <v/>
      </c>
      <c r="CH122" s="92">
        <f t="shared" si="213"/>
        <v>0</v>
      </c>
      <c r="CI122" s="92" t="str">
        <f t="shared" si="226"/>
        <v/>
      </c>
      <c r="CJ122" s="1100">
        <f>GEN!AM16</f>
        <v>0</v>
      </c>
      <c r="CK122" s="445">
        <f>SUMIF(GEN!$G$155:$J$155,CK$112,GEN!$AN16:$AQ16)</f>
        <v>0</v>
      </c>
      <c r="CL122" s="446">
        <f>SUMIF(GEN!$G$155:$J$155,CL$112,GEN!$AN16:$AQ16)</f>
        <v>0</v>
      </c>
      <c r="CM122" s="447">
        <f>SUMIF(GEN!$G$155:$J$155,CM$112,GEN!$AN16:$AQ16)</f>
        <v>0</v>
      </c>
      <c r="CN122" s="448">
        <f>SUMIF(GEN!$G$155:$J$155,CN$112,GEN!$AN16:$AQ16)</f>
        <v>0</v>
      </c>
      <c r="CO122" s="1100">
        <f>GEN!AS16</f>
        <v>0</v>
      </c>
      <c r="CP122" s="445">
        <f>GEN!AT16</f>
        <v>0</v>
      </c>
      <c r="CQ122" s="446">
        <f>GEN!AU16</f>
        <v>0</v>
      </c>
      <c r="CR122" s="447">
        <f>GEN!AV16</f>
        <v>0</v>
      </c>
      <c r="CS122" s="448">
        <f>GEN!AW16</f>
        <v>0</v>
      </c>
      <c r="CT122" s="1100">
        <f>GEN!AY16</f>
        <v>0</v>
      </c>
      <c r="CU122" s="2"/>
    </row>
    <row r="123" spans="1:99" ht="14.25" hidden="1" customHeight="1" x14ac:dyDescent="0.2">
      <c r="A123" s="2"/>
      <c r="B123" s="151">
        <f t="shared" si="214"/>
        <v>45301</v>
      </c>
      <c r="C123" s="223">
        <f>IF(AND(E123&gt;(E$491-1),E123&lt;(I$491+1)),W$485,IF(ISERROR(HLOOKUP(E123,$E$484:$L$484,1,FALSE)),HLOOKUP(WEEKDAY(E123,2),IMPOSTAZIONI!$C$51:$P$56,6,FALSE),$W$484))</f>
        <v>0</v>
      </c>
      <c r="D123" s="103" t="str">
        <f t="shared" si="215"/>
        <v/>
      </c>
      <c r="E123" s="2380">
        <f t="shared" si="227"/>
        <v>45301</v>
      </c>
      <c r="F123" s="2381"/>
      <c r="G123" s="2325">
        <f>GEN!E17</f>
        <v>0</v>
      </c>
      <c r="H123" s="2326"/>
      <c r="I123" s="2327"/>
      <c r="J123" s="479" t="str">
        <f t="shared" si="210"/>
        <v/>
      </c>
      <c r="K123" s="480"/>
      <c r="L123" s="2319">
        <f>L116+1</f>
        <v>2</v>
      </c>
      <c r="M123" s="2320"/>
      <c r="N123" s="478"/>
      <c r="O123" s="478"/>
      <c r="P123" s="478"/>
      <c r="Q123" s="2315">
        <f t="shared" si="217"/>
        <v>45301</v>
      </c>
      <c r="R123" s="2315"/>
      <c r="S123" s="478"/>
      <c r="T123" s="140">
        <f t="shared" si="218"/>
        <v>0</v>
      </c>
      <c r="U123" s="478"/>
      <c r="V123" s="478"/>
      <c r="W123" s="478"/>
      <c r="X123" s="478"/>
      <c r="Y123" s="478"/>
      <c r="Z123" s="478"/>
      <c r="AA123" s="478"/>
      <c r="AB123" s="478"/>
      <c r="AC123" s="478"/>
      <c r="AD123" s="478"/>
      <c r="AE123" s="478"/>
      <c r="AF123" s="478"/>
      <c r="AG123" s="140">
        <f t="shared" si="219"/>
        <v>0</v>
      </c>
      <c r="AH123" s="92" t="str">
        <f t="shared" si="220"/>
        <v/>
      </c>
      <c r="AI123" s="131">
        <f t="shared" si="221"/>
        <v>0</v>
      </c>
      <c r="AJ123" s="2"/>
      <c r="AK123" s="92">
        <f>IF(G123=G$481,0,IF(OR(G123&lt;&gt;0,CJ123&lt;&gt;0,C123="L"),COUNTIF(AK$114:AK122,"&gt;0")+1,0))</f>
        <v>0</v>
      </c>
      <c r="AL123" s="92" t="str">
        <f t="shared" si="222"/>
        <v/>
      </c>
      <c r="AM123" s="92" t="str">
        <f t="shared" si="223"/>
        <v/>
      </c>
      <c r="AN123" s="131">
        <f t="shared" si="211"/>
        <v>0</v>
      </c>
      <c r="AO123" s="447">
        <f>SUM(GEN!W17:Z17)</f>
        <v>0</v>
      </c>
      <c r="AP123" s="445">
        <f>SUMIF(GEN!$G$155:$J$155,AP$112,GEN!$R17:$U17)</f>
        <v>0</v>
      </c>
      <c r="AQ123" s="446">
        <f>SUMIF(GEN!$G$155:$J$155,AQ$112,GEN!$R17:$U17)</f>
        <v>0</v>
      </c>
      <c r="AR123" s="447">
        <f>SUMIF(GEN!$G$155:$J$155,AR$112,GEN!$R17:$U17)</f>
        <v>0</v>
      </c>
      <c r="AS123" s="448">
        <f>SUMIF(GEN!$G$155:$J$155,AS$112,GEN!$R17:$U17)</f>
        <v>0</v>
      </c>
      <c r="AT123" s="449">
        <f>GEN!AG17</f>
        <v>0</v>
      </c>
      <c r="AU123" s="445">
        <f>GEN!AH17</f>
        <v>0</v>
      </c>
      <c r="AV123" s="446">
        <f>GEN!AI17</f>
        <v>0</v>
      </c>
      <c r="AW123" s="447">
        <f>GEN!AJ17</f>
        <v>0</v>
      </c>
      <c r="AX123" s="448">
        <f>GEN!AK17</f>
        <v>0</v>
      </c>
      <c r="AY123" s="445">
        <f>SUMIF(GEN!$G$152:$J$152,"&gt;0",GEN!$W17:$Z17)</f>
        <v>0</v>
      </c>
      <c r="AZ123" s="1063">
        <f>SUM(GEN!AB17:AE17)</f>
        <v>0</v>
      </c>
      <c r="BA123" s="445">
        <f>SUMIF(GEN!$G$159:$J$159,BA$111,GEN!$R17:$U17)+SUMIF(GEN!$G$159:$J$159,BA$111,GEN!$W17:$Z17)</f>
        <v>0</v>
      </c>
      <c r="BB123" s="446">
        <f>SUMIF(GEN!$G$159:$J$159,BB$111,GEN!$R17:$U17)+SUMIF(GEN!$G$159:$J$159,BB$111,GEN!$W17:$Z17)</f>
        <v>0</v>
      </c>
      <c r="BC123" s="446">
        <f>SUMIF(GEN!$G$159:$J$159,BC$111,GEN!$R17:$U17)+SUMIF(GEN!$G$159:$J$159,BC$111,GEN!$W17:$Z17)</f>
        <v>0</v>
      </c>
      <c r="BD123" s="446">
        <f>SUMIF(GEN!$G$159:$J$159,BD$111,GEN!$R17:$U17)+SUMIF(GEN!$G$159:$J$159,BD$111,GEN!$W17:$Z17)</f>
        <v>0</v>
      </c>
      <c r="BE123" s="446">
        <f>SUMIF(GEN!$G$159:$J$159,BE$111,GEN!$R17:$U17)+SUMIF(GEN!$G$159:$J$159,BE$111,GEN!$W17:$Z17)</f>
        <v>0</v>
      </c>
      <c r="BF123" s="446">
        <f>SUMIF(GEN!$G$159:$J$159,BF$111,GEN!$R17:$U17)+SUMIF(GEN!$G$159:$J$159,BF$111,GEN!$W17:$Z17)</f>
        <v>0</v>
      </c>
      <c r="BG123" s="448">
        <f>SUMIF(GEN!$G$159:$J$159,BG$111,GEN!$R17:$U17)+SUMIF(GEN!$G$159:$J$159,BG$111,GEN!$W17:$Z17)</f>
        <v>0</v>
      </c>
      <c r="BH123" s="571"/>
      <c r="BI123" s="448"/>
      <c r="BJ123" s="470"/>
      <c r="BK123" s="445">
        <f>SUMIF(GEN!$G$157:$J$157,BK$111,GEN!$R17:$U17)+SUMIF(GEN!$G$157:$J$157,BK$111,GEN!$W17:$Z17)</f>
        <v>0</v>
      </c>
      <c r="BL123" s="446">
        <f>SUMIF(GEN!$G$157:$J$157,BL$111,GEN!$R17:$U17)+SUMIF(GEN!$G$157:$J$157,BL$111,GEN!$W17:$Z17)</f>
        <v>0</v>
      </c>
      <c r="BM123" s="446">
        <f>SUMIF(GEN!$G$157:$J$157,BM$111,GEN!$R17:$U17)+SUMIF(GEN!$G$157:$J$157,BM$111,GEN!$W17:$Z17)</f>
        <v>0</v>
      </c>
      <c r="BN123" s="446">
        <f>SUMIF(GEN!$G$157:$J$157,BN$111,GEN!$R17:$U17)+SUMIF(GEN!$G$157:$J$157,BN$111,GEN!$W17:$Z17)</f>
        <v>0</v>
      </c>
      <c r="BO123" s="446">
        <f>SUMIF(GEN!$G$157:$J$157,BO$111,GEN!$R17:$U17)+SUMIF(GEN!$G$157:$J$157,BO$111,GEN!$W17:$Z17)</f>
        <v>0</v>
      </c>
      <c r="BP123" s="446">
        <f>SUMIF(GEN!$G$157:$J$157,BP$111,GEN!$R17:$U17)+SUMIF(GEN!$G$157:$J$157,BP$111,GEN!$W17:$Z17)</f>
        <v>0</v>
      </c>
      <c r="BQ123" s="448">
        <f>SUMIF(GEN!$G$157:$J$157,BQ$111,GEN!$R17:$U17)+SUMIF(GEN!$G$157:$J$157,BQ$111,GEN!$W17:$Z17)</f>
        <v>0</v>
      </c>
      <c r="BR123" s="571"/>
      <c r="BS123" s="446"/>
      <c r="BT123" s="448"/>
      <c r="BU123" s="470"/>
      <c r="BV123" s="445">
        <f>SUMIF(GEN!$G$158:$J$158,BV$111,GEN!$R17:$U17)+SUMIF(GEN!$G$158:$J$158,BV$111,GEN!$W17:$Z17)</f>
        <v>0</v>
      </c>
      <c r="BW123" s="446">
        <f>SUMIF(GEN!$G$158:$J$158,BW$111,GEN!$R17:$U17)+SUMIF(GEN!$G$158:$J$158,BW$111,GEN!$W17:$Z17)</f>
        <v>0</v>
      </c>
      <c r="BX123" s="446">
        <f>SUMIF(GEN!$G$158:$J$158,BX$111,GEN!$R17:$U17)+SUMIF(GEN!$G$158:$J$158,BX$111,GEN!$W17:$Z17)</f>
        <v>0</v>
      </c>
      <c r="BY123" s="446">
        <f>SUMIF(GEN!$G$158:$J$158,BY$111,GEN!$R17:$U17)+SUMIF(GEN!$G$158:$J$158,BY$111,GEN!$W17:$Z17)</f>
        <v>0</v>
      </c>
      <c r="BZ123" s="446">
        <f>SUMIF(GEN!$G$158:$J$158,BZ$111,GEN!$R17:$U17)+SUMIF(GEN!$G$158:$J$158,BZ$111,GEN!$W17:$Z17)</f>
        <v>0</v>
      </c>
      <c r="CA123" s="446">
        <f>SUMIF(GEN!$G$158:$J$158,CA$111,GEN!$R17:$U17)+SUMIF(GEN!$G$158:$J$158,CA$111,GEN!$W17:$Z17)</f>
        <v>0</v>
      </c>
      <c r="CB123" s="448">
        <f>SUMIF(GEN!$G$158:$J$158,CB$111,GEN!$R17:$U17)+SUMIF(GEN!$G$158:$J$158,CB$111,GEN!$W17:$Z17)</f>
        <v>0</v>
      </c>
      <c r="CC123" s="571"/>
      <c r="CD123" s="448"/>
      <c r="CE123" s="92">
        <f t="shared" si="224"/>
        <v>0</v>
      </c>
      <c r="CF123" s="92">
        <f t="shared" si="225"/>
        <v>0</v>
      </c>
      <c r="CG123" s="151" t="str">
        <f t="shared" si="212"/>
        <v/>
      </c>
      <c r="CH123" s="92">
        <f t="shared" si="213"/>
        <v>0</v>
      </c>
      <c r="CI123" s="92" t="str">
        <f t="shared" si="226"/>
        <v/>
      </c>
      <c r="CJ123" s="1100">
        <f>GEN!AM17</f>
        <v>0</v>
      </c>
      <c r="CK123" s="445">
        <f>SUMIF(GEN!$G$155:$J$155,CK$112,GEN!$AN17:$AQ17)</f>
        <v>0</v>
      </c>
      <c r="CL123" s="446">
        <f>SUMIF(GEN!$G$155:$J$155,CL$112,GEN!$AN17:$AQ17)</f>
        <v>0</v>
      </c>
      <c r="CM123" s="447">
        <f>SUMIF(GEN!$G$155:$J$155,CM$112,GEN!$AN17:$AQ17)</f>
        <v>0</v>
      </c>
      <c r="CN123" s="448">
        <f>SUMIF(GEN!$G$155:$J$155,CN$112,GEN!$AN17:$AQ17)</f>
        <v>0</v>
      </c>
      <c r="CO123" s="1100">
        <f>GEN!AS17</f>
        <v>0</v>
      </c>
      <c r="CP123" s="445">
        <f>GEN!AT17</f>
        <v>0</v>
      </c>
      <c r="CQ123" s="446">
        <f>GEN!AU17</f>
        <v>0</v>
      </c>
      <c r="CR123" s="447">
        <f>GEN!AV17</f>
        <v>0</v>
      </c>
      <c r="CS123" s="448">
        <f>GEN!AW17</f>
        <v>0</v>
      </c>
      <c r="CT123" s="1100">
        <f>GEN!AY17</f>
        <v>0</v>
      </c>
      <c r="CU123" s="2"/>
    </row>
    <row r="124" spans="1:99" ht="14.25" hidden="1" customHeight="1" x14ac:dyDescent="0.2">
      <c r="A124" s="2"/>
      <c r="B124" s="151">
        <f t="shared" si="214"/>
        <v>45302</v>
      </c>
      <c r="C124" s="223">
        <f>IF(AND(E124&gt;(E$491-1),E124&lt;(I$491+1)),W$485,IF(ISERROR(HLOOKUP(E124,$E$484:$L$484,1,FALSE)),HLOOKUP(WEEKDAY(E124,2),IMPOSTAZIONI!$C$51:$P$56,6,FALSE),$W$484))</f>
        <v>0</v>
      </c>
      <c r="D124" s="103" t="str">
        <f t="shared" si="215"/>
        <v/>
      </c>
      <c r="E124" s="2380">
        <f t="shared" si="227"/>
        <v>45302</v>
      </c>
      <c r="F124" s="2381"/>
      <c r="G124" s="2325">
        <f>GEN!E18</f>
        <v>0</v>
      </c>
      <c r="H124" s="2326"/>
      <c r="I124" s="2327"/>
      <c r="J124" s="479" t="str">
        <f t="shared" si="210"/>
        <v/>
      </c>
      <c r="K124" s="480"/>
      <c r="L124" s="2319">
        <f t="shared" ref="L124:L187" si="228">L117+1</f>
        <v>2</v>
      </c>
      <c r="M124" s="2320"/>
      <c r="N124" s="478"/>
      <c r="O124" s="478"/>
      <c r="P124" s="478"/>
      <c r="Q124" s="2315">
        <f t="shared" si="217"/>
        <v>45302</v>
      </c>
      <c r="R124" s="2315"/>
      <c r="S124" s="478"/>
      <c r="T124" s="140">
        <f t="shared" si="218"/>
        <v>0</v>
      </c>
      <c r="U124" s="478"/>
      <c r="V124" s="478"/>
      <c r="W124" s="478"/>
      <c r="X124" s="478"/>
      <c r="Y124" s="478"/>
      <c r="Z124" s="478"/>
      <c r="AA124" s="478"/>
      <c r="AB124" s="478"/>
      <c r="AC124" s="478"/>
      <c r="AD124" s="478"/>
      <c r="AE124" s="478"/>
      <c r="AF124" s="478"/>
      <c r="AG124" s="140">
        <f t="shared" si="219"/>
        <v>0</v>
      </c>
      <c r="AH124" s="92" t="str">
        <f t="shared" si="220"/>
        <v/>
      </c>
      <c r="AI124" s="131">
        <f t="shared" si="221"/>
        <v>0</v>
      </c>
      <c r="AJ124" s="2"/>
      <c r="AK124" s="92">
        <f>IF(G124=G$481,0,IF(OR(G124&lt;&gt;0,CJ124&lt;&gt;0,C124="L"),COUNTIF(AK$114:AK123,"&gt;0")+1,0))</f>
        <v>0</v>
      </c>
      <c r="AL124" s="92" t="str">
        <f t="shared" si="222"/>
        <v/>
      </c>
      <c r="AM124" s="92" t="str">
        <f t="shared" si="223"/>
        <v/>
      </c>
      <c r="AN124" s="131">
        <f t="shared" si="211"/>
        <v>0</v>
      </c>
      <c r="AO124" s="447">
        <f>SUM(GEN!W18:Z18)</f>
        <v>0</v>
      </c>
      <c r="AP124" s="445">
        <f>SUMIF(GEN!$G$155:$J$155,AP$112,GEN!$R18:$U18)</f>
        <v>0</v>
      </c>
      <c r="AQ124" s="446">
        <f>SUMIF(GEN!$G$155:$J$155,AQ$112,GEN!$R18:$U18)</f>
        <v>0</v>
      </c>
      <c r="AR124" s="447">
        <f>SUMIF(GEN!$G$155:$J$155,AR$112,GEN!$R18:$U18)</f>
        <v>0</v>
      </c>
      <c r="AS124" s="448">
        <f>SUMIF(GEN!$G$155:$J$155,AS$112,GEN!$R18:$U18)</f>
        <v>0</v>
      </c>
      <c r="AT124" s="449">
        <f>GEN!AG18</f>
        <v>0</v>
      </c>
      <c r="AU124" s="445">
        <f>GEN!AH18</f>
        <v>0</v>
      </c>
      <c r="AV124" s="446">
        <f>GEN!AI18</f>
        <v>0</v>
      </c>
      <c r="AW124" s="447">
        <f>GEN!AJ18</f>
        <v>0</v>
      </c>
      <c r="AX124" s="448">
        <f>GEN!AK18</f>
        <v>0</v>
      </c>
      <c r="AY124" s="445">
        <f>SUMIF(GEN!$G$152:$J$152,"&gt;0",GEN!$W18:$Z18)</f>
        <v>0</v>
      </c>
      <c r="AZ124" s="1063">
        <f>SUM(GEN!AB18:AE18)</f>
        <v>0</v>
      </c>
      <c r="BA124" s="445">
        <f>SUMIF(GEN!$G$159:$J$159,BA$111,GEN!$R18:$U18)+SUMIF(GEN!$G$159:$J$159,BA$111,GEN!$W18:$Z18)</f>
        <v>0</v>
      </c>
      <c r="BB124" s="446">
        <f>SUMIF(GEN!$G$159:$J$159,BB$111,GEN!$R18:$U18)+SUMIF(GEN!$G$159:$J$159,BB$111,GEN!$W18:$Z18)</f>
        <v>0</v>
      </c>
      <c r="BC124" s="446">
        <f>SUMIF(GEN!$G$159:$J$159,BC$111,GEN!$R18:$U18)+SUMIF(GEN!$G$159:$J$159,BC$111,GEN!$W18:$Z18)</f>
        <v>0</v>
      </c>
      <c r="BD124" s="446">
        <f>SUMIF(GEN!$G$159:$J$159,BD$111,GEN!$R18:$U18)+SUMIF(GEN!$G$159:$J$159,BD$111,GEN!$W18:$Z18)</f>
        <v>0</v>
      </c>
      <c r="BE124" s="446">
        <f>SUMIF(GEN!$G$159:$J$159,BE$111,GEN!$R18:$U18)+SUMIF(GEN!$G$159:$J$159,BE$111,GEN!$W18:$Z18)</f>
        <v>0</v>
      </c>
      <c r="BF124" s="446">
        <f>SUMIF(GEN!$G$159:$J$159,BF$111,GEN!$R18:$U18)+SUMIF(GEN!$G$159:$J$159,BF$111,GEN!$W18:$Z18)</f>
        <v>0</v>
      </c>
      <c r="BG124" s="448">
        <f>SUMIF(GEN!$G$159:$J$159,BG$111,GEN!$R18:$U18)+SUMIF(GEN!$G$159:$J$159,BG$111,GEN!$W18:$Z18)</f>
        <v>0</v>
      </c>
      <c r="BH124" s="571"/>
      <c r="BI124" s="448"/>
      <c r="BJ124" s="470"/>
      <c r="BK124" s="445">
        <f>SUMIF(GEN!$G$157:$J$157,BK$111,GEN!$R18:$U18)+SUMIF(GEN!$G$157:$J$157,BK$111,GEN!$W18:$Z18)</f>
        <v>0</v>
      </c>
      <c r="BL124" s="446">
        <f>SUMIF(GEN!$G$157:$J$157,BL$111,GEN!$R18:$U18)+SUMIF(GEN!$G$157:$J$157,BL$111,GEN!$W18:$Z18)</f>
        <v>0</v>
      </c>
      <c r="BM124" s="446">
        <f>SUMIF(GEN!$G$157:$J$157,BM$111,GEN!$R18:$U18)+SUMIF(GEN!$G$157:$J$157,BM$111,GEN!$W18:$Z18)</f>
        <v>0</v>
      </c>
      <c r="BN124" s="446">
        <f>SUMIF(GEN!$G$157:$J$157,BN$111,GEN!$R18:$U18)+SUMIF(GEN!$G$157:$J$157,BN$111,GEN!$W18:$Z18)</f>
        <v>0</v>
      </c>
      <c r="BO124" s="446">
        <f>SUMIF(GEN!$G$157:$J$157,BO$111,GEN!$R18:$U18)+SUMIF(GEN!$G$157:$J$157,BO$111,GEN!$W18:$Z18)</f>
        <v>0</v>
      </c>
      <c r="BP124" s="446">
        <f>SUMIF(GEN!$G$157:$J$157,BP$111,GEN!$R18:$U18)+SUMIF(GEN!$G$157:$J$157,BP$111,GEN!$W18:$Z18)</f>
        <v>0</v>
      </c>
      <c r="BQ124" s="448">
        <f>SUMIF(GEN!$G$157:$J$157,BQ$111,GEN!$R18:$U18)+SUMIF(GEN!$G$157:$J$157,BQ$111,GEN!$W18:$Z18)</f>
        <v>0</v>
      </c>
      <c r="BR124" s="571"/>
      <c r="BS124" s="446"/>
      <c r="BT124" s="448"/>
      <c r="BU124" s="470"/>
      <c r="BV124" s="445">
        <f>SUMIF(GEN!$G$158:$J$158,BV$111,GEN!$R18:$U18)+SUMIF(GEN!$G$158:$J$158,BV$111,GEN!$W18:$Z18)</f>
        <v>0</v>
      </c>
      <c r="BW124" s="446">
        <f>SUMIF(GEN!$G$158:$J$158,BW$111,GEN!$R18:$U18)+SUMIF(GEN!$G$158:$J$158,BW$111,GEN!$W18:$Z18)</f>
        <v>0</v>
      </c>
      <c r="BX124" s="446">
        <f>SUMIF(GEN!$G$158:$J$158,BX$111,GEN!$R18:$U18)+SUMIF(GEN!$G$158:$J$158,BX$111,GEN!$W18:$Z18)</f>
        <v>0</v>
      </c>
      <c r="BY124" s="446">
        <f>SUMIF(GEN!$G$158:$J$158,BY$111,GEN!$R18:$U18)+SUMIF(GEN!$G$158:$J$158,BY$111,GEN!$W18:$Z18)</f>
        <v>0</v>
      </c>
      <c r="BZ124" s="446">
        <f>SUMIF(GEN!$G$158:$J$158,BZ$111,GEN!$R18:$U18)+SUMIF(GEN!$G$158:$J$158,BZ$111,GEN!$W18:$Z18)</f>
        <v>0</v>
      </c>
      <c r="CA124" s="446">
        <f>SUMIF(GEN!$G$158:$J$158,CA$111,GEN!$R18:$U18)+SUMIF(GEN!$G$158:$J$158,CA$111,GEN!$W18:$Z18)</f>
        <v>0</v>
      </c>
      <c r="CB124" s="448">
        <f>SUMIF(GEN!$G$158:$J$158,CB$111,GEN!$R18:$U18)+SUMIF(GEN!$G$158:$J$158,CB$111,GEN!$W18:$Z18)</f>
        <v>0</v>
      </c>
      <c r="CC124" s="571"/>
      <c r="CD124" s="448"/>
      <c r="CE124" s="92">
        <f t="shared" si="224"/>
        <v>0</v>
      </c>
      <c r="CF124" s="92">
        <f t="shared" si="225"/>
        <v>0</v>
      </c>
      <c r="CG124" s="151" t="str">
        <f t="shared" si="212"/>
        <v/>
      </c>
      <c r="CH124" s="92">
        <f t="shared" si="213"/>
        <v>0</v>
      </c>
      <c r="CI124" s="92" t="str">
        <f t="shared" si="226"/>
        <v/>
      </c>
      <c r="CJ124" s="1100">
        <f>GEN!AM18</f>
        <v>0</v>
      </c>
      <c r="CK124" s="445">
        <f>SUMIF(GEN!$G$155:$J$155,CK$112,GEN!$AN18:$AQ18)</f>
        <v>0</v>
      </c>
      <c r="CL124" s="446">
        <f>SUMIF(GEN!$G$155:$J$155,CL$112,GEN!$AN18:$AQ18)</f>
        <v>0</v>
      </c>
      <c r="CM124" s="447">
        <f>SUMIF(GEN!$G$155:$J$155,CM$112,GEN!$AN18:$AQ18)</f>
        <v>0</v>
      </c>
      <c r="CN124" s="448">
        <f>SUMIF(GEN!$G$155:$J$155,CN$112,GEN!$AN18:$AQ18)</f>
        <v>0</v>
      </c>
      <c r="CO124" s="1100">
        <f>GEN!AS18</f>
        <v>0</v>
      </c>
      <c r="CP124" s="445">
        <f>GEN!AT18</f>
        <v>0</v>
      </c>
      <c r="CQ124" s="446">
        <f>GEN!AU18</f>
        <v>0</v>
      </c>
      <c r="CR124" s="447">
        <f>GEN!AV18</f>
        <v>0</v>
      </c>
      <c r="CS124" s="448">
        <f>GEN!AW18</f>
        <v>0</v>
      </c>
      <c r="CT124" s="1100">
        <f>GEN!AY18</f>
        <v>0</v>
      </c>
      <c r="CU124" s="2"/>
    </row>
    <row r="125" spans="1:99" ht="14.25" hidden="1" customHeight="1" x14ac:dyDescent="0.2">
      <c r="A125" s="2"/>
      <c r="B125" s="151">
        <f t="shared" si="214"/>
        <v>45303</v>
      </c>
      <c r="C125" s="223">
        <f>IF(AND(E125&gt;(E$491-1),E125&lt;(I$491+1)),W$485,IF(ISERROR(HLOOKUP(E125,$E$484:$L$484,1,FALSE)),HLOOKUP(WEEKDAY(E125,2),IMPOSTAZIONI!$C$51:$P$56,6,FALSE),$W$484))</f>
        <v>0</v>
      </c>
      <c r="D125" s="103" t="str">
        <f t="shared" si="215"/>
        <v/>
      </c>
      <c r="E125" s="2380">
        <f t="shared" si="227"/>
        <v>45303</v>
      </c>
      <c r="F125" s="2381"/>
      <c r="G125" s="2325">
        <f>GEN!E19</f>
        <v>0</v>
      </c>
      <c r="H125" s="2326"/>
      <c r="I125" s="2327"/>
      <c r="J125" s="479" t="str">
        <f t="shared" si="210"/>
        <v/>
      </c>
      <c r="K125" s="480"/>
      <c r="L125" s="2319">
        <f t="shared" si="228"/>
        <v>2</v>
      </c>
      <c r="M125" s="2320"/>
      <c r="N125" s="478"/>
      <c r="O125" s="478"/>
      <c r="P125" s="478"/>
      <c r="Q125" s="2315">
        <f t="shared" si="217"/>
        <v>45303</v>
      </c>
      <c r="R125" s="2315"/>
      <c r="S125" s="478"/>
      <c r="T125" s="140">
        <f t="shared" si="218"/>
        <v>0</v>
      </c>
      <c r="U125" s="478"/>
      <c r="V125" s="478"/>
      <c r="W125" s="478"/>
      <c r="X125" s="478"/>
      <c r="Y125" s="478"/>
      <c r="Z125" s="478"/>
      <c r="AA125" s="478"/>
      <c r="AB125" s="478"/>
      <c r="AC125" s="478"/>
      <c r="AD125" s="478"/>
      <c r="AE125" s="478"/>
      <c r="AF125" s="478"/>
      <c r="AG125" s="140">
        <f t="shared" si="219"/>
        <v>0</v>
      </c>
      <c r="AH125" s="92" t="str">
        <f t="shared" si="220"/>
        <v/>
      </c>
      <c r="AI125" s="131">
        <f t="shared" si="221"/>
        <v>0</v>
      </c>
      <c r="AJ125" s="2"/>
      <c r="AK125" s="92">
        <f>IF(G125=G$481,0,IF(OR(G125&lt;&gt;0,CJ125&lt;&gt;0,C125="L"),COUNTIF(AK$114:AK124,"&gt;0")+1,0))</f>
        <v>0</v>
      </c>
      <c r="AL125" s="92" t="str">
        <f t="shared" si="222"/>
        <v/>
      </c>
      <c r="AM125" s="92" t="str">
        <f t="shared" si="223"/>
        <v/>
      </c>
      <c r="AN125" s="131">
        <f t="shared" si="211"/>
        <v>0</v>
      </c>
      <c r="AO125" s="447">
        <f>SUM(GEN!W19:Z19)</f>
        <v>0</v>
      </c>
      <c r="AP125" s="445">
        <f>SUMIF(GEN!$G$155:$J$155,AP$112,GEN!$R19:$U19)</f>
        <v>0</v>
      </c>
      <c r="AQ125" s="446">
        <f>SUMIF(GEN!$G$155:$J$155,AQ$112,GEN!$R19:$U19)</f>
        <v>0</v>
      </c>
      <c r="AR125" s="447">
        <f>SUMIF(GEN!$G$155:$J$155,AR$112,GEN!$R19:$U19)</f>
        <v>0</v>
      </c>
      <c r="AS125" s="448">
        <f>SUMIF(GEN!$G$155:$J$155,AS$112,GEN!$R19:$U19)</f>
        <v>0</v>
      </c>
      <c r="AT125" s="449">
        <f>GEN!AG19</f>
        <v>0</v>
      </c>
      <c r="AU125" s="445">
        <f>GEN!AH19</f>
        <v>0</v>
      </c>
      <c r="AV125" s="446">
        <f>GEN!AI19</f>
        <v>0</v>
      </c>
      <c r="AW125" s="447">
        <f>GEN!AJ19</f>
        <v>0</v>
      </c>
      <c r="AX125" s="448">
        <f>GEN!AK19</f>
        <v>0</v>
      </c>
      <c r="AY125" s="445">
        <f>SUMIF(GEN!$G$152:$J$152,"&gt;0",GEN!$W19:$Z19)</f>
        <v>0</v>
      </c>
      <c r="AZ125" s="1063">
        <f>SUM(GEN!AB19:AE19)</f>
        <v>0</v>
      </c>
      <c r="BA125" s="445">
        <f>SUMIF(GEN!$G$159:$J$159,BA$111,GEN!$R19:$U19)+SUMIF(GEN!$G$159:$J$159,BA$111,GEN!$W19:$Z19)</f>
        <v>0</v>
      </c>
      <c r="BB125" s="446">
        <f>SUMIF(GEN!$G$159:$J$159,BB$111,GEN!$R19:$U19)+SUMIF(GEN!$G$159:$J$159,BB$111,GEN!$W19:$Z19)</f>
        <v>0</v>
      </c>
      <c r="BC125" s="446">
        <f>SUMIF(GEN!$G$159:$J$159,BC$111,GEN!$R19:$U19)+SUMIF(GEN!$G$159:$J$159,BC$111,GEN!$W19:$Z19)</f>
        <v>0</v>
      </c>
      <c r="BD125" s="446">
        <f>SUMIF(GEN!$G$159:$J$159,BD$111,GEN!$R19:$U19)+SUMIF(GEN!$G$159:$J$159,BD$111,GEN!$W19:$Z19)</f>
        <v>0</v>
      </c>
      <c r="BE125" s="446">
        <f>SUMIF(GEN!$G$159:$J$159,BE$111,GEN!$R19:$U19)+SUMIF(GEN!$G$159:$J$159,BE$111,GEN!$W19:$Z19)</f>
        <v>0</v>
      </c>
      <c r="BF125" s="446">
        <f>SUMIF(GEN!$G$159:$J$159,BF$111,GEN!$R19:$U19)+SUMIF(GEN!$G$159:$J$159,BF$111,GEN!$W19:$Z19)</f>
        <v>0</v>
      </c>
      <c r="BG125" s="448">
        <f>SUMIF(GEN!$G$159:$J$159,BG$111,GEN!$R19:$U19)+SUMIF(GEN!$G$159:$J$159,BG$111,GEN!$W19:$Z19)</f>
        <v>0</v>
      </c>
      <c r="BH125" s="571"/>
      <c r="BI125" s="448"/>
      <c r="BJ125" s="470"/>
      <c r="BK125" s="445">
        <f>SUMIF(GEN!$G$157:$J$157,BK$111,GEN!$R19:$U19)+SUMIF(GEN!$G$157:$J$157,BK$111,GEN!$W19:$Z19)</f>
        <v>0</v>
      </c>
      <c r="BL125" s="446">
        <f>SUMIF(GEN!$G$157:$J$157,BL$111,GEN!$R19:$U19)+SUMIF(GEN!$G$157:$J$157,BL$111,GEN!$W19:$Z19)</f>
        <v>0</v>
      </c>
      <c r="BM125" s="446">
        <f>SUMIF(GEN!$G$157:$J$157,BM$111,GEN!$R19:$U19)+SUMIF(GEN!$G$157:$J$157,BM$111,GEN!$W19:$Z19)</f>
        <v>0</v>
      </c>
      <c r="BN125" s="446">
        <f>SUMIF(GEN!$G$157:$J$157,BN$111,GEN!$R19:$U19)+SUMIF(GEN!$G$157:$J$157,BN$111,GEN!$W19:$Z19)</f>
        <v>0</v>
      </c>
      <c r="BO125" s="446">
        <f>SUMIF(GEN!$G$157:$J$157,BO$111,GEN!$R19:$U19)+SUMIF(GEN!$G$157:$J$157,BO$111,GEN!$W19:$Z19)</f>
        <v>0</v>
      </c>
      <c r="BP125" s="446">
        <f>SUMIF(GEN!$G$157:$J$157,BP$111,GEN!$R19:$U19)+SUMIF(GEN!$G$157:$J$157,BP$111,GEN!$W19:$Z19)</f>
        <v>0</v>
      </c>
      <c r="BQ125" s="448">
        <f>SUMIF(GEN!$G$157:$J$157,BQ$111,GEN!$R19:$U19)+SUMIF(GEN!$G$157:$J$157,BQ$111,GEN!$W19:$Z19)</f>
        <v>0</v>
      </c>
      <c r="BR125" s="571"/>
      <c r="BS125" s="446"/>
      <c r="BT125" s="448"/>
      <c r="BU125" s="470"/>
      <c r="BV125" s="445">
        <f>SUMIF(GEN!$G$158:$J$158,BV$111,GEN!$R19:$U19)+SUMIF(GEN!$G$158:$J$158,BV$111,GEN!$W19:$Z19)</f>
        <v>0</v>
      </c>
      <c r="BW125" s="446">
        <f>SUMIF(GEN!$G$158:$J$158,BW$111,GEN!$R19:$U19)+SUMIF(GEN!$G$158:$J$158,BW$111,GEN!$W19:$Z19)</f>
        <v>0</v>
      </c>
      <c r="BX125" s="446">
        <f>SUMIF(GEN!$G$158:$J$158,BX$111,GEN!$R19:$U19)+SUMIF(GEN!$G$158:$J$158,BX$111,GEN!$W19:$Z19)</f>
        <v>0</v>
      </c>
      <c r="BY125" s="446">
        <f>SUMIF(GEN!$G$158:$J$158,BY$111,GEN!$R19:$U19)+SUMIF(GEN!$G$158:$J$158,BY$111,GEN!$W19:$Z19)</f>
        <v>0</v>
      </c>
      <c r="BZ125" s="446">
        <f>SUMIF(GEN!$G$158:$J$158,BZ$111,GEN!$R19:$U19)+SUMIF(GEN!$G$158:$J$158,BZ$111,GEN!$W19:$Z19)</f>
        <v>0</v>
      </c>
      <c r="CA125" s="446">
        <f>SUMIF(GEN!$G$158:$J$158,CA$111,GEN!$R19:$U19)+SUMIF(GEN!$G$158:$J$158,CA$111,GEN!$W19:$Z19)</f>
        <v>0</v>
      </c>
      <c r="CB125" s="448">
        <f>SUMIF(GEN!$G$158:$J$158,CB$111,GEN!$R19:$U19)+SUMIF(GEN!$G$158:$J$158,CB$111,GEN!$W19:$Z19)</f>
        <v>0</v>
      </c>
      <c r="CC125" s="571"/>
      <c r="CD125" s="448"/>
      <c r="CE125" s="92">
        <f t="shared" si="224"/>
        <v>0</v>
      </c>
      <c r="CF125" s="92">
        <f t="shared" si="225"/>
        <v>0</v>
      </c>
      <c r="CG125" s="151" t="str">
        <f t="shared" si="212"/>
        <v/>
      </c>
      <c r="CH125" s="92">
        <f t="shared" si="213"/>
        <v>0</v>
      </c>
      <c r="CI125" s="92" t="str">
        <f t="shared" si="226"/>
        <v/>
      </c>
      <c r="CJ125" s="1100">
        <f>GEN!AM19</f>
        <v>0</v>
      </c>
      <c r="CK125" s="445">
        <f>SUMIF(GEN!$G$155:$J$155,CK$112,GEN!$AN19:$AQ19)</f>
        <v>0</v>
      </c>
      <c r="CL125" s="446">
        <f>SUMIF(GEN!$G$155:$J$155,CL$112,GEN!$AN19:$AQ19)</f>
        <v>0</v>
      </c>
      <c r="CM125" s="447">
        <f>SUMIF(GEN!$G$155:$J$155,CM$112,GEN!$AN19:$AQ19)</f>
        <v>0</v>
      </c>
      <c r="CN125" s="448">
        <f>SUMIF(GEN!$G$155:$J$155,CN$112,GEN!$AN19:$AQ19)</f>
        <v>0</v>
      </c>
      <c r="CO125" s="1100">
        <f>GEN!AS19</f>
        <v>0</v>
      </c>
      <c r="CP125" s="445">
        <f>GEN!AT19</f>
        <v>0</v>
      </c>
      <c r="CQ125" s="446">
        <f>GEN!AU19</f>
        <v>0</v>
      </c>
      <c r="CR125" s="447">
        <f>GEN!AV19</f>
        <v>0</v>
      </c>
      <c r="CS125" s="448">
        <f>GEN!AW19</f>
        <v>0</v>
      </c>
      <c r="CT125" s="1100">
        <f>GEN!AY19</f>
        <v>0</v>
      </c>
      <c r="CU125" s="2"/>
    </row>
    <row r="126" spans="1:99" ht="14.25" hidden="1" customHeight="1" x14ac:dyDescent="0.2">
      <c r="A126" s="2"/>
      <c r="B126" s="151">
        <f t="shared" si="214"/>
        <v>45304</v>
      </c>
      <c r="C126" s="223">
        <f>IF(AND(E126&gt;(E$491-1),E126&lt;(I$491+1)),W$485,IF(ISERROR(HLOOKUP(E126,$E$484:$L$484,1,FALSE)),HLOOKUP(WEEKDAY(E126,2),IMPOSTAZIONI!$C$51:$P$56,6,FALSE),$W$484))</f>
        <v>0</v>
      </c>
      <c r="D126" s="103" t="str">
        <f t="shared" si="215"/>
        <v/>
      </c>
      <c r="E126" s="2380">
        <f t="shared" si="227"/>
        <v>45304</v>
      </c>
      <c r="F126" s="2381"/>
      <c r="G126" s="2325">
        <f>GEN!E20</f>
        <v>0</v>
      </c>
      <c r="H126" s="2326"/>
      <c r="I126" s="2327"/>
      <c r="J126" s="479" t="str">
        <f t="shared" si="210"/>
        <v/>
      </c>
      <c r="K126" s="480"/>
      <c r="L126" s="2319">
        <f t="shared" si="228"/>
        <v>2</v>
      </c>
      <c r="M126" s="2320"/>
      <c r="N126" s="478"/>
      <c r="O126" s="478"/>
      <c r="P126" s="478"/>
      <c r="Q126" s="2315">
        <f t="shared" si="217"/>
        <v>45304</v>
      </c>
      <c r="R126" s="2315"/>
      <c r="S126" s="478"/>
      <c r="T126" s="140">
        <f t="shared" si="218"/>
        <v>0</v>
      </c>
      <c r="U126" s="478"/>
      <c r="V126" s="478"/>
      <c r="W126" s="478"/>
      <c r="X126" s="478"/>
      <c r="Y126" s="478"/>
      <c r="Z126" s="478"/>
      <c r="AA126" s="478"/>
      <c r="AB126" s="478"/>
      <c r="AC126" s="478"/>
      <c r="AD126" s="478"/>
      <c r="AE126" s="478"/>
      <c r="AF126" s="478"/>
      <c r="AG126" s="140">
        <f t="shared" si="219"/>
        <v>0</v>
      </c>
      <c r="AH126" s="92" t="str">
        <f t="shared" si="220"/>
        <v/>
      </c>
      <c r="AI126" s="131">
        <f t="shared" si="221"/>
        <v>0</v>
      </c>
      <c r="AJ126" s="2"/>
      <c r="AK126" s="92">
        <f>IF(G126=G$481,0,IF(OR(G126&lt;&gt;0,CJ126&lt;&gt;0,C126="L"),COUNTIF(AK$114:AK125,"&gt;0")+1,0))</f>
        <v>0</v>
      </c>
      <c r="AL126" s="92" t="str">
        <f t="shared" si="222"/>
        <v/>
      </c>
      <c r="AM126" s="92" t="str">
        <f t="shared" si="223"/>
        <v/>
      </c>
      <c r="AN126" s="131">
        <f t="shared" si="211"/>
        <v>0</v>
      </c>
      <c r="AO126" s="447">
        <f>SUM(GEN!W20:Z20)</f>
        <v>0</v>
      </c>
      <c r="AP126" s="445">
        <f>SUMIF(GEN!$G$155:$J$155,AP$112,GEN!$R20:$U20)</f>
        <v>0</v>
      </c>
      <c r="AQ126" s="446">
        <f>SUMIF(GEN!$G$155:$J$155,AQ$112,GEN!$R20:$U20)</f>
        <v>0</v>
      </c>
      <c r="AR126" s="447">
        <f>SUMIF(GEN!$G$155:$J$155,AR$112,GEN!$R20:$U20)</f>
        <v>0</v>
      </c>
      <c r="AS126" s="448">
        <f>SUMIF(GEN!$G$155:$J$155,AS$112,GEN!$R20:$U20)</f>
        <v>0</v>
      </c>
      <c r="AT126" s="449">
        <f>GEN!AG20</f>
        <v>0</v>
      </c>
      <c r="AU126" s="445">
        <f>GEN!AH20</f>
        <v>0</v>
      </c>
      <c r="AV126" s="446">
        <f>GEN!AI20</f>
        <v>0</v>
      </c>
      <c r="AW126" s="447">
        <f>GEN!AJ20</f>
        <v>0</v>
      </c>
      <c r="AX126" s="448">
        <f>GEN!AK20</f>
        <v>0</v>
      </c>
      <c r="AY126" s="445">
        <f>SUMIF(GEN!$G$152:$J$152,"&gt;0",GEN!$W20:$Z20)</f>
        <v>0</v>
      </c>
      <c r="AZ126" s="1063">
        <f>SUM(GEN!AB20:AE20)</f>
        <v>0</v>
      </c>
      <c r="BA126" s="445">
        <f>SUMIF(GEN!$G$159:$J$159,BA$111,GEN!$R20:$U20)+SUMIF(GEN!$G$159:$J$159,BA$111,GEN!$W20:$Z20)</f>
        <v>0</v>
      </c>
      <c r="BB126" s="446">
        <f>SUMIF(GEN!$G$159:$J$159,BB$111,GEN!$R20:$U20)+SUMIF(GEN!$G$159:$J$159,BB$111,GEN!$W20:$Z20)</f>
        <v>0</v>
      </c>
      <c r="BC126" s="446">
        <f>SUMIF(GEN!$G$159:$J$159,BC$111,GEN!$R20:$U20)+SUMIF(GEN!$G$159:$J$159,BC$111,GEN!$W20:$Z20)</f>
        <v>0</v>
      </c>
      <c r="BD126" s="446">
        <f>SUMIF(GEN!$G$159:$J$159,BD$111,GEN!$R20:$U20)+SUMIF(GEN!$G$159:$J$159,BD$111,GEN!$W20:$Z20)</f>
        <v>0</v>
      </c>
      <c r="BE126" s="446">
        <f>SUMIF(GEN!$G$159:$J$159,BE$111,GEN!$R20:$U20)+SUMIF(GEN!$G$159:$J$159,BE$111,GEN!$W20:$Z20)</f>
        <v>0</v>
      </c>
      <c r="BF126" s="446">
        <f>SUMIF(GEN!$G$159:$J$159,BF$111,GEN!$R20:$U20)+SUMIF(GEN!$G$159:$J$159,BF$111,GEN!$W20:$Z20)</f>
        <v>0</v>
      </c>
      <c r="BG126" s="448">
        <f>SUMIF(GEN!$G$159:$J$159,BG$111,GEN!$R20:$U20)+SUMIF(GEN!$G$159:$J$159,BG$111,GEN!$W20:$Z20)</f>
        <v>0</v>
      </c>
      <c r="BH126" s="571"/>
      <c r="BI126" s="448"/>
      <c r="BJ126" s="470"/>
      <c r="BK126" s="445">
        <f>SUMIF(GEN!$G$157:$J$157,BK$111,GEN!$R20:$U20)+SUMIF(GEN!$G$157:$J$157,BK$111,GEN!$W20:$Z20)</f>
        <v>0</v>
      </c>
      <c r="BL126" s="446">
        <f>SUMIF(GEN!$G$157:$J$157,BL$111,GEN!$R20:$U20)+SUMIF(GEN!$G$157:$J$157,BL$111,GEN!$W20:$Z20)</f>
        <v>0</v>
      </c>
      <c r="BM126" s="446">
        <f>SUMIF(GEN!$G$157:$J$157,BM$111,GEN!$R20:$U20)+SUMIF(GEN!$G$157:$J$157,BM$111,GEN!$W20:$Z20)</f>
        <v>0</v>
      </c>
      <c r="BN126" s="446">
        <f>SUMIF(GEN!$G$157:$J$157,BN$111,GEN!$R20:$U20)+SUMIF(GEN!$G$157:$J$157,BN$111,GEN!$W20:$Z20)</f>
        <v>0</v>
      </c>
      <c r="BO126" s="446">
        <f>SUMIF(GEN!$G$157:$J$157,BO$111,GEN!$R20:$U20)+SUMIF(GEN!$G$157:$J$157,BO$111,GEN!$W20:$Z20)</f>
        <v>0</v>
      </c>
      <c r="BP126" s="446">
        <f>SUMIF(GEN!$G$157:$J$157,BP$111,GEN!$R20:$U20)+SUMIF(GEN!$G$157:$J$157,BP$111,GEN!$W20:$Z20)</f>
        <v>0</v>
      </c>
      <c r="BQ126" s="448">
        <f>SUMIF(GEN!$G$157:$J$157,BQ$111,GEN!$R20:$U20)+SUMIF(GEN!$G$157:$J$157,BQ$111,GEN!$W20:$Z20)</f>
        <v>0</v>
      </c>
      <c r="BR126" s="571"/>
      <c r="BS126" s="446"/>
      <c r="BT126" s="448"/>
      <c r="BU126" s="470"/>
      <c r="BV126" s="445">
        <f>SUMIF(GEN!$G$158:$J$158,BV$111,GEN!$R20:$U20)+SUMIF(GEN!$G$158:$J$158,BV$111,GEN!$W20:$Z20)</f>
        <v>0</v>
      </c>
      <c r="BW126" s="446">
        <f>SUMIF(GEN!$G$158:$J$158,BW$111,GEN!$R20:$U20)+SUMIF(GEN!$G$158:$J$158,BW$111,GEN!$W20:$Z20)</f>
        <v>0</v>
      </c>
      <c r="BX126" s="446">
        <f>SUMIF(GEN!$G$158:$J$158,BX$111,GEN!$R20:$U20)+SUMIF(GEN!$G$158:$J$158,BX$111,GEN!$W20:$Z20)</f>
        <v>0</v>
      </c>
      <c r="BY126" s="446">
        <f>SUMIF(GEN!$G$158:$J$158,BY$111,GEN!$R20:$U20)+SUMIF(GEN!$G$158:$J$158,BY$111,GEN!$W20:$Z20)</f>
        <v>0</v>
      </c>
      <c r="BZ126" s="446">
        <f>SUMIF(GEN!$G$158:$J$158,BZ$111,GEN!$R20:$U20)+SUMIF(GEN!$G$158:$J$158,BZ$111,GEN!$W20:$Z20)</f>
        <v>0</v>
      </c>
      <c r="CA126" s="446">
        <f>SUMIF(GEN!$G$158:$J$158,CA$111,GEN!$R20:$U20)+SUMIF(GEN!$G$158:$J$158,CA$111,GEN!$W20:$Z20)</f>
        <v>0</v>
      </c>
      <c r="CB126" s="448">
        <f>SUMIF(GEN!$G$158:$J$158,CB$111,GEN!$R20:$U20)+SUMIF(GEN!$G$158:$J$158,CB$111,GEN!$W20:$Z20)</f>
        <v>0</v>
      </c>
      <c r="CC126" s="571"/>
      <c r="CD126" s="448"/>
      <c r="CE126" s="92">
        <f t="shared" si="224"/>
        <v>0</v>
      </c>
      <c r="CF126" s="92">
        <f t="shared" si="225"/>
        <v>0</v>
      </c>
      <c r="CG126" s="151" t="str">
        <f t="shared" si="212"/>
        <v/>
      </c>
      <c r="CH126" s="92">
        <f t="shared" si="213"/>
        <v>0</v>
      </c>
      <c r="CI126" s="92" t="str">
        <f t="shared" si="226"/>
        <v/>
      </c>
      <c r="CJ126" s="1100">
        <f>GEN!AM20</f>
        <v>0</v>
      </c>
      <c r="CK126" s="445">
        <f>SUMIF(GEN!$G$155:$J$155,CK$112,GEN!$AN20:$AQ20)</f>
        <v>0</v>
      </c>
      <c r="CL126" s="446">
        <f>SUMIF(GEN!$G$155:$J$155,CL$112,GEN!$AN20:$AQ20)</f>
        <v>0</v>
      </c>
      <c r="CM126" s="447">
        <f>SUMIF(GEN!$G$155:$J$155,CM$112,GEN!$AN20:$AQ20)</f>
        <v>0</v>
      </c>
      <c r="CN126" s="448">
        <f>SUMIF(GEN!$G$155:$J$155,CN$112,GEN!$AN20:$AQ20)</f>
        <v>0</v>
      </c>
      <c r="CO126" s="1100">
        <f>GEN!AS20</f>
        <v>0</v>
      </c>
      <c r="CP126" s="445">
        <f>GEN!AT20</f>
        <v>0</v>
      </c>
      <c r="CQ126" s="446">
        <f>GEN!AU20</f>
        <v>0</v>
      </c>
      <c r="CR126" s="447">
        <f>GEN!AV20</f>
        <v>0</v>
      </c>
      <c r="CS126" s="448">
        <f>GEN!AW20</f>
        <v>0</v>
      </c>
      <c r="CT126" s="1100">
        <f>GEN!AY20</f>
        <v>0</v>
      </c>
      <c r="CU126" s="2"/>
    </row>
    <row r="127" spans="1:99" ht="14.25" hidden="1" customHeight="1" x14ac:dyDescent="0.2">
      <c r="A127" s="2"/>
      <c r="B127" s="151">
        <f t="shared" si="214"/>
        <v>45305</v>
      </c>
      <c r="C127" s="223">
        <f>IF(AND(E127&gt;(E$491-1),E127&lt;(I$491+1)),W$485,IF(ISERROR(HLOOKUP(E127,$E$484:$L$484,1,FALSE)),HLOOKUP(WEEKDAY(E127,2),IMPOSTAZIONI!$C$51:$P$56,6,FALSE),$W$484))</f>
        <v>0</v>
      </c>
      <c r="D127" s="103" t="str">
        <f t="shared" si="215"/>
        <v/>
      </c>
      <c r="E127" s="2380">
        <f t="shared" si="227"/>
        <v>45305</v>
      </c>
      <c r="F127" s="2381"/>
      <c r="G127" s="2325">
        <f>GEN!E21</f>
        <v>0</v>
      </c>
      <c r="H127" s="2326"/>
      <c r="I127" s="2327"/>
      <c r="J127" s="479" t="str">
        <f t="shared" si="210"/>
        <v/>
      </c>
      <c r="K127" s="480"/>
      <c r="L127" s="2321">
        <f t="shared" si="228"/>
        <v>2</v>
      </c>
      <c r="M127" s="2322"/>
      <c r="N127" s="478"/>
      <c r="O127" s="478"/>
      <c r="P127" s="478"/>
      <c r="Q127" s="2315">
        <f t="shared" si="217"/>
        <v>45305</v>
      </c>
      <c r="R127" s="2315"/>
      <c r="S127" s="478"/>
      <c r="T127" s="140">
        <f t="shared" si="218"/>
        <v>0</v>
      </c>
      <c r="U127" s="478"/>
      <c r="V127" s="478"/>
      <c r="W127" s="478"/>
      <c r="X127" s="478"/>
      <c r="Y127" s="478"/>
      <c r="Z127" s="478"/>
      <c r="AA127" s="478"/>
      <c r="AB127" s="478"/>
      <c r="AC127" s="478"/>
      <c r="AD127" s="478"/>
      <c r="AE127" s="478"/>
      <c r="AF127" s="478"/>
      <c r="AG127" s="140">
        <f t="shared" si="219"/>
        <v>0</v>
      </c>
      <c r="AH127" s="92" t="str">
        <f t="shared" si="220"/>
        <v/>
      </c>
      <c r="AI127" s="131">
        <f t="shared" si="221"/>
        <v>0</v>
      </c>
      <c r="AJ127" s="2"/>
      <c r="AK127" s="92">
        <f>IF(G127=G$481,0,IF(OR(G127&lt;&gt;0,CJ127&lt;&gt;0,C127="L"),COUNTIF(AK$114:AK126,"&gt;0")+1,0))</f>
        <v>0</v>
      </c>
      <c r="AL127" s="92" t="str">
        <f t="shared" si="222"/>
        <v/>
      </c>
      <c r="AM127" s="92" t="str">
        <f t="shared" si="223"/>
        <v/>
      </c>
      <c r="AN127" s="131">
        <f t="shared" si="211"/>
        <v>0</v>
      </c>
      <c r="AO127" s="447">
        <f>SUM(GEN!W21:Z21)</f>
        <v>0</v>
      </c>
      <c r="AP127" s="445">
        <f>SUMIF(GEN!$G$155:$J$155,AP$112,GEN!$R21:$U21)</f>
        <v>0</v>
      </c>
      <c r="AQ127" s="446">
        <f>SUMIF(GEN!$G$155:$J$155,AQ$112,GEN!$R21:$U21)</f>
        <v>0</v>
      </c>
      <c r="AR127" s="447">
        <f>SUMIF(GEN!$G$155:$J$155,AR$112,GEN!$R21:$U21)</f>
        <v>0</v>
      </c>
      <c r="AS127" s="448">
        <f>SUMIF(GEN!$G$155:$J$155,AS$112,GEN!$R21:$U21)</f>
        <v>0</v>
      </c>
      <c r="AT127" s="449">
        <f>GEN!AG21</f>
        <v>0</v>
      </c>
      <c r="AU127" s="445">
        <f>GEN!AH21</f>
        <v>0</v>
      </c>
      <c r="AV127" s="446">
        <f>GEN!AI21</f>
        <v>0</v>
      </c>
      <c r="AW127" s="447">
        <f>GEN!AJ21</f>
        <v>0</v>
      </c>
      <c r="AX127" s="448">
        <f>GEN!AK21</f>
        <v>0</v>
      </c>
      <c r="AY127" s="445">
        <f>SUMIF(GEN!$G$152:$J$152,"&gt;0",GEN!$W21:$Z21)</f>
        <v>0</v>
      </c>
      <c r="AZ127" s="1063">
        <f>SUM(GEN!AB21:AE21)</f>
        <v>0</v>
      </c>
      <c r="BA127" s="445">
        <f>SUMIF(GEN!$G$159:$J$159,BA$111,GEN!$R21:$U21)+SUMIF(GEN!$G$159:$J$159,BA$111,GEN!$W21:$Z21)</f>
        <v>0</v>
      </c>
      <c r="BB127" s="446">
        <f>SUMIF(GEN!$G$159:$J$159,BB$111,GEN!$R21:$U21)+SUMIF(GEN!$G$159:$J$159,BB$111,GEN!$W21:$Z21)</f>
        <v>0</v>
      </c>
      <c r="BC127" s="446">
        <f>SUMIF(GEN!$G$159:$J$159,BC$111,GEN!$R21:$U21)+SUMIF(GEN!$G$159:$J$159,BC$111,GEN!$W21:$Z21)</f>
        <v>0</v>
      </c>
      <c r="BD127" s="446">
        <f>SUMIF(GEN!$G$159:$J$159,BD$111,GEN!$R21:$U21)+SUMIF(GEN!$G$159:$J$159,BD$111,GEN!$W21:$Z21)</f>
        <v>0</v>
      </c>
      <c r="BE127" s="446">
        <f>SUMIF(GEN!$G$159:$J$159,BE$111,GEN!$R21:$U21)+SUMIF(GEN!$G$159:$J$159,BE$111,GEN!$W21:$Z21)</f>
        <v>0</v>
      </c>
      <c r="BF127" s="446">
        <f>SUMIF(GEN!$G$159:$J$159,BF$111,GEN!$R21:$U21)+SUMIF(GEN!$G$159:$J$159,BF$111,GEN!$W21:$Z21)</f>
        <v>0</v>
      </c>
      <c r="BG127" s="448">
        <f>SUMIF(GEN!$G$159:$J$159,BG$111,GEN!$R21:$U21)+SUMIF(GEN!$G$159:$J$159,BG$111,GEN!$W21:$Z21)</f>
        <v>0</v>
      </c>
      <c r="BH127" s="571"/>
      <c r="BI127" s="448"/>
      <c r="BJ127" s="470"/>
      <c r="BK127" s="445">
        <f>SUMIF(GEN!$G$157:$J$157,BK$111,GEN!$R21:$U21)+SUMIF(GEN!$G$157:$J$157,BK$111,GEN!$W21:$Z21)</f>
        <v>0</v>
      </c>
      <c r="BL127" s="446">
        <f>SUMIF(GEN!$G$157:$J$157,BL$111,GEN!$R21:$U21)+SUMIF(GEN!$G$157:$J$157,BL$111,GEN!$W21:$Z21)</f>
        <v>0</v>
      </c>
      <c r="BM127" s="446">
        <f>SUMIF(GEN!$G$157:$J$157,BM$111,GEN!$R21:$U21)+SUMIF(GEN!$G$157:$J$157,BM$111,GEN!$W21:$Z21)</f>
        <v>0</v>
      </c>
      <c r="BN127" s="446">
        <f>SUMIF(GEN!$G$157:$J$157,BN$111,GEN!$R21:$U21)+SUMIF(GEN!$G$157:$J$157,BN$111,GEN!$W21:$Z21)</f>
        <v>0</v>
      </c>
      <c r="BO127" s="446">
        <f>SUMIF(GEN!$G$157:$J$157,BO$111,GEN!$R21:$U21)+SUMIF(GEN!$G$157:$J$157,BO$111,GEN!$W21:$Z21)</f>
        <v>0</v>
      </c>
      <c r="BP127" s="446">
        <f>SUMIF(GEN!$G$157:$J$157,BP$111,GEN!$R21:$U21)+SUMIF(GEN!$G$157:$J$157,BP$111,GEN!$W21:$Z21)</f>
        <v>0</v>
      </c>
      <c r="BQ127" s="448">
        <f>SUMIF(GEN!$G$157:$J$157,BQ$111,GEN!$R21:$U21)+SUMIF(GEN!$G$157:$J$157,BQ$111,GEN!$W21:$Z21)</f>
        <v>0</v>
      </c>
      <c r="BR127" s="571"/>
      <c r="BS127" s="446"/>
      <c r="BT127" s="448"/>
      <c r="BU127" s="470"/>
      <c r="BV127" s="445">
        <f>SUMIF(GEN!$G$158:$J$158,BV$111,GEN!$R21:$U21)+SUMIF(GEN!$G$158:$J$158,BV$111,GEN!$W21:$Z21)</f>
        <v>0</v>
      </c>
      <c r="BW127" s="446">
        <f>SUMIF(GEN!$G$158:$J$158,BW$111,GEN!$R21:$U21)+SUMIF(GEN!$G$158:$J$158,BW$111,GEN!$W21:$Z21)</f>
        <v>0</v>
      </c>
      <c r="BX127" s="446">
        <f>SUMIF(GEN!$G$158:$J$158,BX$111,GEN!$R21:$U21)+SUMIF(GEN!$G$158:$J$158,BX$111,GEN!$W21:$Z21)</f>
        <v>0</v>
      </c>
      <c r="BY127" s="446">
        <f>SUMIF(GEN!$G$158:$J$158,BY$111,GEN!$R21:$U21)+SUMIF(GEN!$G$158:$J$158,BY$111,GEN!$W21:$Z21)</f>
        <v>0</v>
      </c>
      <c r="BZ127" s="446">
        <f>SUMIF(GEN!$G$158:$J$158,BZ$111,GEN!$R21:$U21)+SUMIF(GEN!$G$158:$J$158,BZ$111,GEN!$W21:$Z21)</f>
        <v>0</v>
      </c>
      <c r="CA127" s="446">
        <f>SUMIF(GEN!$G$158:$J$158,CA$111,GEN!$R21:$U21)+SUMIF(GEN!$G$158:$J$158,CA$111,GEN!$W21:$Z21)</f>
        <v>0</v>
      </c>
      <c r="CB127" s="448">
        <f>SUMIF(GEN!$G$158:$J$158,CB$111,GEN!$R21:$U21)+SUMIF(GEN!$G$158:$J$158,CB$111,GEN!$W21:$Z21)</f>
        <v>0</v>
      </c>
      <c r="CC127" s="571"/>
      <c r="CD127" s="448"/>
      <c r="CE127" s="92">
        <f t="shared" si="224"/>
        <v>0</v>
      </c>
      <c r="CF127" s="92">
        <f t="shared" si="225"/>
        <v>0</v>
      </c>
      <c r="CG127" s="151" t="str">
        <f t="shared" si="212"/>
        <v/>
      </c>
      <c r="CH127" s="92">
        <f t="shared" si="213"/>
        <v>0</v>
      </c>
      <c r="CI127" s="92" t="str">
        <f t="shared" si="226"/>
        <v/>
      </c>
      <c r="CJ127" s="1100">
        <f>GEN!AM21</f>
        <v>0</v>
      </c>
      <c r="CK127" s="445">
        <f>SUMIF(GEN!$G$155:$J$155,CK$112,GEN!$AN21:$AQ21)</f>
        <v>0</v>
      </c>
      <c r="CL127" s="446">
        <f>SUMIF(GEN!$G$155:$J$155,CL$112,GEN!$AN21:$AQ21)</f>
        <v>0</v>
      </c>
      <c r="CM127" s="447">
        <f>SUMIF(GEN!$G$155:$J$155,CM$112,GEN!$AN21:$AQ21)</f>
        <v>0</v>
      </c>
      <c r="CN127" s="448">
        <f>SUMIF(GEN!$G$155:$J$155,CN$112,GEN!$AN21:$AQ21)</f>
        <v>0</v>
      </c>
      <c r="CO127" s="1100">
        <f>GEN!AS21</f>
        <v>0</v>
      </c>
      <c r="CP127" s="445">
        <f>GEN!AT21</f>
        <v>0</v>
      </c>
      <c r="CQ127" s="446">
        <f>GEN!AU21</f>
        <v>0</v>
      </c>
      <c r="CR127" s="447">
        <f>GEN!AV21</f>
        <v>0</v>
      </c>
      <c r="CS127" s="448">
        <f>GEN!AW21</f>
        <v>0</v>
      </c>
      <c r="CT127" s="1100">
        <f>GEN!AY21</f>
        <v>0</v>
      </c>
      <c r="CU127" s="2"/>
    </row>
    <row r="128" spans="1:99" ht="14.25" hidden="1" customHeight="1" x14ac:dyDescent="0.2">
      <c r="A128" s="2"/>
      <c r="B128" s="151">
        <f t="shared" si="214"/>
        <v>45306</v>
      </c>
      <c r="C128" s="223">
        <f>IF(AND(E128&gt;(E$491-1),E128&lt;(I$491+1)),W$485,IF(ISERROR(HLOOKUP(E128,$E$484:$L$484,1,FALSE)),HLOOKUP(WEEKDAY(E128,2),IMPOSTAZIONI!$C$51:$P$56,6,FALSE),$W$484))</f>
        <v>0</v>
      </c>
      <c r="D128" s="103" t="str">
        <f t="shared" si="215"/>
        <v/>
      </c>
      <c r="E128" s="2380">
        <f t="shared" si="227"/>
        <v>45306</v>
      </c>
      <c r="F128" s="2381"/>
      <c r="G128" s="2325">
        <f>GEN!E22</f>
        <v>0</v>
      </c>
      <c r="H128" s="2326"/>
      <c r="I128" s="2327"/>
      <c r="J128" s="479" t="str">
        <f t="shared" si="210"/>
        <v/>
      </c>
      <c r="K128" s="480"/>
      <c r="L128" s="2323">
        <f>L121+1</f>
        <v>3</v>
      </c>
      <c r="M128" s="2324"/>
      <c r="N128" s="478"/>
      <c r="O128" s="478"/>
      <c r="P128" s="478"/>
      <c r="Q128" s="2315">
        <f t="shared" si="217"/>
        <v>45306</v>
      </c>
      <c r="R128" s="2315"/>
      <c r="S128" s="478"/>
      <c r="T128" s="140">
        <f t="shared" si="218"/>
        <v>0</v>
      </c>
      <c r="U128" s="478"/>
      <c r="V128" s="478"/>
      <c r="W128" s="478"/>
      <c r="X128" s="478"/>
      <c r="Y128" s="478"/>
      <c r="Z128" s="478"/>
      <c r="AA128" s="478"/>
      <c r="AB128" s="478"/>
      <c r="AC128" s="478"/>
      <c r="AD128" s="478"/>
      <c r="AE128" s="478"/>
      <c r="AF128" s="478"/>
      <c r="AG128" s="140">
        <f t="shared" si="219"/>
        <v>0</v>
      </c>
      <c r="AH128" s="92" t="str">
        <f t="shared" si="220"/>
        <v/>
      </c>
      <c r="AI128" s="131">
        <f t="shared" si="221"/>
        <v>0</v>
      </c>
      <c r="AJ128" s="2"/>
      <c r="AK128" s="92">
        <f>IF(G128=G$481,0,IF(OR(G128&lt;&gt;0,CJ128&lt;&gt;0,C128="L"),COUNTIF(AK$114:AK127,"&gt;0")+1,0))</f>
        <v>0</v>
      </c>
      <c r="AL128" s="92" t="str">
        <f t="shared" si="222"/>
        <v/>
      </c>
      <c r="AM128" s="92" t="str">
        <f t="shared" si="223"/>
        <v/>
      </c>
      <c r="AN128" s="131">
        <f t="shared" si="211"/>
        <v>0</v>
      </c>
      <c r="AO128" s="447">
        <f>SUM(GEN!W22:Z22)</f>
        <v>0</v>
      </c>
      <c r="AP128" s="445">
        <f>SUMIF(GEN!$G$155:$J$155,AP$112,GEN!$R22:$U22)</f>
        <v>0</v>
      </c>
      <c r="AQ128" s="446">
        <f>SUMIF(GEN!$G$155:$J$155,AQ$112,GEN!$R22:$U22)</f>
        <v>0</v>
      </c>
      <c r="AR128" s="447">
        <f>SUMIF(GEN!$G$155:$J$155,AR$112,GEN!$R22:$U22)</f>
        <v>0</v>
      </c>
      <c r="AS128" s="448">
        <f>SUMIF(GEN!$G$155:$J$155,AS$112,GEN!$R22:$U22)</f>
        <v>0</v>
      </c>
      <c r="AT128" s="449">
        <f>GEN!AG22</f>
        <v>0</v>
      </c>
      <c r="AU128" s="445">
        <f>GEN!AH22</f>
        <v>0</v>
      </c>
      <c r="AV128" s="446">
        <f>GEN!AI22</f>
        <v>0</v>
      </c>
      <c r="AW128" s="447">
        <f>GEN!AJ22</f>
        <v>0</v>
      </c>
      <c r="AX128" s="448">
        <f>GEN!AK22</f>
        <v>0</v>
      </c>
      <c r="AY128" s="445">
        <f>SUMIF(GEN!$G$152:$J$152,"&gt;0",GEN!$W22:$Z22)</f>
        <v>0</v>
      </c>
      <c r="AZ128" s="1063">
        <f>SUM(GEN!AB22:AE22)</f>
        <v>0</v>
      </c>
      <c r="BA128" s="445">
        <f>SUMIF(GEN!$G$159:$J$159,BA$111,GEN!$R22:$U22)+SUMIF(GEN!$G$159:$J$159,BA$111,GEN!$W22:$Z22)</f>
        <v>0</v>
      </c>
      <c r="BB128" s="446">
        <f>SUMIF(GEN!$G$159:$J$159,BB$111,GEN!$R22:$U22)+SUMIF(GEN!$G$159:$J$159,BB$111,GEN!$W22:$Z22)</f>
        <v>0</v>
      </c>
      <c r="BC128" s="446">
        <f>SUMIF(GEN!$G$159:$J$159,BC$111,GEN!$R22:$U22)+SUMIF(GEN!$G$159:$J$159,BC$111,GEN!$W22:$Z22)</f>
        <v>0</v>
      </c>
      <c r="BD128" s="446">
        <f>SUMIF(GEN!$G$159:$J$159,BD$111,GEN!$R22:$U22)+SUMIF(GEN!$G$159:$J$159,BD$111,GEN!$W22:$Z22)</f>
        <v>0</v>
      </c>
      <c r="BE128" s="446">
        <f>SUMIF(GEN!$G$159:$J$159,BE$111,GEN!$R22:$U22)+SUMIF(GEN!$G$159:$J$159,BE$111,GEN!$W22:$Z22)</f>
        <v>0</v>
      </c>
      <c r="BF128" s="446">
        <f>SUMIF(GEN!$G$159:$J$159,BF$111,GEN!$R22:$U22)+SUMIF(GEN!$G$159:$J$159,BF$111,GEN!$W22:$Z22)</f>
        <v>0</v>
      </c>
      <c r="BG128" s="448">
        <f>SUMIF(GEN!$G$159:$J$159,BG$111,GEN!$R22:$U22)+SUMIF(GEN!$G$159:$J$159,BG$111,GEN!$W22:$Z22)</f>
        <v>0</v>
      </c>
      <c r="BH128" s="571"/>
      <c r="BI128" s="448"/>
      <c r="BJ128" s="470"/>
      <c r="BK128" s="445">
        <f>SUMIF(GEN!$G$157:$J$157,BK$111,GEN!$R22:$U22)+SUMIF(GEN!$G$157:$J$157,BK$111,GEN!$W22:$Z22)</f>
        <v>0</v>
      </c>
      <c r="BL128" s="446">
        <f>SUMIF(GEN!$G$157:$J$157,BL$111,GEN!$R22:$U22)+SUMIF(GEN!$G$157:$J$157,BL$111,GEN!$W22:$Z22)</f>
        <v>0</v>
      </c>
      <c r="BM128" s="446">
        <f>SUMIF(GEN!$G$157:$J$157,BM$111,GEN!$R22:$U22)+SUMIF(GEN!$G$157:$J$157,BM$111,GEN!$W22:$Z22)</f>
        <v>0</v>
      </c>
      <c r="BN128" s="446">
        <f>SUMIF(GEN!$G$157:$J$157,BN$111,GEN!$R22:$U22)+SUMIF(GEN!$G$157:$J$157,BN$111,GEN!$W22:$Z22)</f>
        <v>0</v>
      </c>
      <c r="BO128" s="446">
        <f>SUMIF(GEN!$G$157:$J$157,BO$111,GEN!$R22:$U22)+SUMIF(GEN!$G$157:$J$157,BO$111,GEN!$W22:$Z22)</f>
        <v>0</v>
      </c>
      <c r="BP128" s="446">
        <f>SUMIF(GEN!$G$157:$J$157,BP$111,GEN!$R22:$U22)+SUMIF(GEN!$G$157:$J$157,BP$111,GEN!$W22:$Z22)</f>
        <v>0</v>
      </c>
      <c r="BQ128" s="448">
        <f>SUMIF(GEN!$G$157:$J$157,BQ$111,GEN!$R22:$U22)+SUMIF(GEN!$G$157:$J$157,BQ$111,GEN!$W22:$Z22)</f>
        <v>0</v>
      </c>
      <c r="BR128" s="571"/>
      <c r="BS128" s="446"/>
      <c r="BT128" s="448"/>
      <c r="BU128" s="470"/>
      <c r="BV128" s="445">
        <f>SUMIF(GEN!$G$158:$J$158,BV$111,GEN!$R22:$U22)+SUMIF(GEN!$G$158:$J$158,BV$111,GEN!$W22:$Z22)</f>
        <v>0</v>
      </c>
      <c r="BW128" s="446">
        <f>SUMIF(GEN!$G$158:$J$158,BW$111,GEN!$R22:$U22)+SUMIF(GEN!$G$158:$J$158,BW$111,GEN!$W22:$Z22)</f>
        <v>0</v>
      </c>
      <c r="BX128" s="446">
        <f>SUMIF(GEN!$G$158:$J$158,BX$111,GEN!$R22:$U22)+SUMIF(GEN!$G$158:$J$158,BX$111,GEN!$W22:$Z22)</f>
        <v>0</v>
      </c>
      <c r="BY128" s="446">
        <f>SUMIF(GEN!$G$158:$J$158,BY$111,GEN!$R22:$U22)+SUMIF(GEN!$G$158:$J$158,BY$111,GEN!$W22:$Z22)</f>
        <v>0</v>
      </c>
      <c r="BZ128" s="446">
        <f>SUMIF(GEN!$G$158:$J$158,BZ$111,GEN!$R22:$U22)+SUMIF(GEN!$G$158:$J$158,BZ$111,GEN!$W22:$Z22)</f>
        <v>0</v>
      </c>
      <c r="CA128" s="446">
        <f>SUMIF(GEN!$G$158:$J$158,CA$111,GEN!$R22:$U22)+SUMIF(GEN!$G$158:$J$158,CA$111,GEN!$W22:$Z22)</f>
        <v>0</v>
      </c>
      <c r="CB128" s="448">
        <f>SUMIF(GEN!$G$158:$J$158,CB$111,GEN!$R22:$U22)+SUMIF(GEN!$G$158:$J$158,CB$111,GEN!$W22:$Z22)</f>
        <v>0</v>
      </c>
      <c r="CC128" s="571"/>
      <c r="CD128" s="448"/>
      <c r="CE128" s="92">
        <f t="shared" si="224"/>
        <v>0</v>
      </c>
      <c r="CF128" s="92">
        <f t="shared" si="225"/>
        <v>0</v>
      </c>
      <c r="CG128" s="151" t="str">
        <f t="shared" si="212"/>
        <v/>
      </c>
      <c r="CH128" s="92">
        <f t="shared" si="213"/>
        <v>0</v>
      </c>
      <c r="CI128" s="92" t="str">
        <f t="shared" si="226"/>
        <v/>
      </c>
      <c r="CJ128" s="1100">
        <f>GEN!AM22</f>
        <v>0</v>
      </c>
      <c r="CK128" s="445">
        <f>SUMIF(GEN!$G$155:$J$155,CK$112,GEN!$AN22:$AQ22)</f>
        <v>0</v>
      </c>
      <c r="CL128" s="446">
        <f>SUMIF(GEN!$G$155:$J$155,CL$112,GEN!$AN22:$AQ22)</f>
        <v>0</v>
      </c>
      <c r="CM128" s="447">
        <f>SUMIF(GEN!$G$155:$J$155,CM$112,GEN!$AN22:$AQ22)</f>
        <v>0</v>
      </c>
      <c r="CN128" s="448">
        <f>SUMIF(GEN!$G$155:$J$155,CN$112,GEN!$AN22:$AQ22)</f>
        <v>0</v>
      </c>
      <c r="CO128" s="1100">
        <f>GEN!AS22</f>
        <v>0</v>
      </c>
      <c r="CP128" s="445">
        <f>GEN!AT22</f>
        <v>0</v>
      </c>
      <c r="CQ128" s="446">
        <f>GEN!AU22</f>
        <v>0</v>
      </c>
      <c r="CR128" s="447">
        <f>GEN!AV22</f>
        <v>0</v>
      </c>
      <c r="CS128" s="448">
        <f>GEN!AW22</f>
        <v>0</v>
      </c>
      <c r="CT128" s="1100">
        <f>GEN!AY22</f>
        <v>0</v>
      </c>
      <c r="CU128" s="2"/>
    </row>
    <row r="129" spans="1:99" ht="14.25" hidden="1" customHeight="1" x14ac:dyDescent="0.2">
      <c r="A129" s="2"/>
      <c r="B129" s="151">
        <f t="shared" si="214"/>
        <v>45307</v>
      </c>
      <c r="C129" s="223">
        <f>IF(AND(E129&gt;(E$491-1),E129&lt;(I$491+1)),W$485,IF(ISERROR(HLOOKUP(E129,$E$484:$L$484,1,FALSE)),HLOOKUP(WEEKDAY(E129,2),IMPOSTAZIONI!$C$51:$P$56,6,FALSE),$W$484))</f>
        <v>0</v>
      </c>
      <c r="D129" s="103" t="str">
        <f t="shared" si="215"/>
        <v/>
      </c>
      <c r="E129" s="2380">
        <f t="shared" si="227"/>
        <v>45307</v>
      </c>
      <c r="F129" s="2381"/>
      <c r="G129" s="2325">
        <f>GEN!E23</f>
        <v>0</v>
      </c>
      <c r="H129" s="2326"/>
      <c r="I129" s="2327"/>
      <c r="J129" s="479" t="str">
        <f t="shared" si="210"/>
        <v/>
      </c>
      <c r="K129" s="480"/>
      <c r="L129" s="2319">
        <f>L122+1</f>
        <v>3</v>
      </c>
      <c r="M129" s="2320"/>
      <c r="N129" s="478"/>
      <c r="O129" s="478"/>
      <c r="P129" s="478"/>
      <c r="Q129" s="2315">
        <f t="shared" si="217"/>
        <v>45307</v>
      </c>
      <c r="R129" s="2315"/>
      <c r="S129" s="478"/>
      <c r="T129" s="140">
        <f t="shared" si="218"/>
        <v>0</v>
      </c>
      <c r="U129" s="478"/>
      <c r="V129" s="478"/>
      <c r="W129" s="478"/>
      <c r="X129" s="478"/>
      <c r="Y129" s="478"/>
      <c r="Z129" s="478"/>
      <c r="AA129" s="478"/>
      <c r="AB129" s="478"/>
      <c r="AC129" s="478"/>
      <c r="AD129" s="478"/>
      <c r="AE129" s="478"/>
      <c r="AF129" s="478"/>
      <c r="AG129" s="140">
        <f t="shared" si="219"/>
        <v>0</v>
      </c>
      <c r="AH129" s="92" t="str">
        <f t="shared" si="220"/>
        <v/>
      </c>
      <c r="AI129" s="131">
        <f t="shared" si="221"/>
        <v>0</v>
      </c>
      <c r="AJ129" s="2"/>
      <c r="AK129" s="92">
        <f>IF(G129=G$481,0,IF(OR(G129&lt;&gt;0,CJ129&lt;&gt;0,C129="L"),COUNTIF(AK$114:AK128,"&gt;0")+1,0))</f>
        <v>0</v>
      </c>
      <c r="AL129" s="92" t="str">
        <f t="shared" si="222"/>
        <v/>
      </c>
      <c r="AM129" s="92" t="str">
        <f t="shared" si="223"/>
        <v/>
      </c>
      <c r="AN129" s="131">
        <f t="shared" si="211"/>
        <v>0</v>
      </c>
      <c r="AO129" s="447">
        <f>SUM(GEN!W23:Z23)</f>
        <v>0</v>
      </c>
      <c r="AP129" s="445">
        <f>SUMIF(GEN!$G$155:$J$155,AP$112,GEN!$R23:$U23)</f>
        <v>0</v>
      </c>
      <c r="AQ129" s="446">
        <f>SUMIF(GEN!$G$155:$J$155,AQ$112,GEN!$R23:$U23)</f>
        <v>0</v>
      </c>
      <c r="AR129" s="447">
        <f>SUMIF(GEN!$G$155:$J$155,AR$112,GEN!$R23:$U23)</f>
        <v>0</v>
      </c>
      <c r="AS129" s="448">
        <f>SUMIF(GEN!$G$155:$J$155,AS$112,GEN!$R23:$U23)</f>
        <v>0</v>
      </c>
      <c r="AT129" s="449">
        <f>GEN!AG23</f>
        <v>0</v>
      </c>
      <c r="AU129" s="445">
        <f>GEN!AH23</f>
        <v>0</v>
      </c>
      <c r="AV129" s="446">
        <f>GEN!AI23</f>
        <v>0</v>
      </c>
      <c r="AW129" s="447">
        <f>GEN!AJ23</f>
        <v>0</v>
      </c>
      <c r="AX129" s="448">
        <f>GEN!AK23</f>
        <v>0</v>
      </c>
      <c r="AY129" s="445">
        <f>SUMIF(GEN!$G$152:$J$152,"&gt;0",GEN!$W23:$Z23)</f>
        <v>0</v>
      </c>
      <c r="AZ129" s="1063">
        <f>SUM(GEN!AB23:AE23)</f>
        <v>0</v>
      </c>
      <c r="BA129" s="445">
        <f>SUMIF(GEN!$G$159:$J$159,BA$111,GEN!$R23:$U23)+SUMIF(GEN!$G$159:$J$159,BA$111,GEN!$W23:$Z23)</f>
        <v>0</v>
      </c>
      <c r="BB129" s="446">
        <f>SUMIF(GEN!$G$159:$J$159,BB$111,GEN!$R23:$U23)+SUMIF(GEN!$G$159:$J$159,BB$111,GEN!$W23:$Z23)</f>
        <v>0</v>
      </c>
      <c r="BC129" s="446">
        <f>SUMIF(GEN!$G$159:$J$159,BC$111,GEN!$R23:$U23)+SUMIF(GEN!$G$159:$J$159,BC$111,GEN!$W23:$Z23)</f>
        <v>0</v>
      </c>
      <c r="BD129" s="446">
        <f>SUMIF(GEN!$G$159:$J$159,BD$111,GEN!$R23:$U23)+SUMIF(GEN!$G$159:$J$159,BD$111,GEN!$W23:$Z23)</f>
        <v>0</v>
      </c>
      <c r="BE129" s="446">
        <f>SUMIF(GEN!$G$159:$J$159,BE$111,GEN!$R23:$U23)+SUMIF(GEN!$G$159:$J$159,BE$111,GEN!$W23:$Z23)</f>
        <v>0</v>
      </c>
      <c r="BF129" s="446">
        <f>SUMIF(GEN!$G$159:$J$159,BF$111,GEN!$R23:$U23)+SUMIF(GEN!$G$159:$J$159,BF$111,GEN!$W23:$Z23)</f>
        <v>0</v>
      </c>
      <c r="BG129" s="448">
        <f>SUMIF(GEN!$G$159:$J$159,BG$111,GEN!$R23:$U23)+SUMIF(GEN!$G$159:$J$159,BG$111,GEN!$W23:$Z23)</f>
        <v>0</v>
      </c>
      <c r="BH129" s="571"/>
      <c r="BI129" s="448"/>
      <c r="BJ129" s="470"/>
      <c r="BK129" s="445">
        <f>SUMIF(GEN!$G$157:$J$157,BK$111,GEN!$R23:$U23)+SUMIF(GEN!$G$157:$J$157,BK$111,GEN!$W23:$Z23)</f>
        <v>0</v>
      </c>
      <c r="BL129" s="446">
        <f>SUMIF(GEN!$G$157:$J$157,BL$111,GEN!$R23:$U23)+SUMIF(GEN!$G$157:$J$157,BL$111,GEN!$W23:$Z23)</f>
        <v>0</v>
      </c>
      <c r="BM129" s="446">
        <f>SUMIF(GEN!$G$157:$J$157,BM$111,GEN!$R23:$U23)+SUMIF(GEN!$G$157:$J$157,BM$111,GEN!$W23:$Z23)</f>
        <v>0</v>
      </c>
      <c r="BN129" s="446">
        <f>SUMIF(GEN!$G$157:$J$157,BN$111,GEN!$R23:$U23)+SUMIF(GEN!$G$157:$J$157,BN$111,GEN!$W23:$Z23)</f>
        <v>0</v>
      </c>
      <c r="BO129" s="446">
        <f>SUMIF(GEN!$G$157:$J$157,BO$111,GEN!$R23:$U23)+SUMIF(GEN!$G$157:$J$157,BO$111,GEN!$W23:$Z23)</f>
        <v>0</v>
      </c>
      <c r="BP129" s="446">
        <f>SUMIF(GEN!$G$157:$J$157,BP$111,GEN!$R23:$U23)+SUMIF(GEN!$G$157:$J$157,BP$111,GEN!$W23:$Z23)</f>
        <v>0</v>
      </c>
      <c r="BQ129" s="448">
        <f>SUMIF(GEN!$G$157:$J$157,BQ$111,GEN!$R23:$U23)+SUMIF(GEN!$G$157:$J$157,BQ$111,GEN!$W23:$Z23)</f>
        <v>0</v>
      </c>
      <c r="BR129" s="571"/>
      <c r="BS129" s="446"/>
      <c r="BT129" s="448"/>
      <c r="BU129" s="470"/>
      <c r="BV129" s="445">
        <f>SUMIF(GEN!$G$158:$J$158,BV$111,GEN!$R23:$U23)+SUMIF(GEN!$G$158:$J$158,BV$111,GEN!$W23:$Z23)</f>
        <v>0</v>
      </c>
      <c r="BW129" s="446">
        <f>SUMIF(GEN!$G$158:$J$158,BW$111,GEN!$R23:$U23)+SUMIF(GEN!$G$158:$J$158,BW$111,GEN!$W23:$Z23)</f>
        <v>0</v>
      </c>
      <c r="BX129" s="446">
        <f>SUMIF(GEN!$G$158:$J$158,BX$111,GEN!$R23:$U23)+SUMIF(GEN!$G$158:$J$158,BX$111,GEN!$W23:$Z23)</f>
        <v>0</v>
      </c>
      <c r="BY129" s="446">
        <f>SUMIF(GEN!$G$158:$J$158,BY$111,GEN!$R23:$U23)+SUMIF(GEN!$G$158:$J$158,BY$111,GEN!$W23:$Z23)</f>
        <v>0</v>
      </c>
      <c r="BZ129" s="446">
        <f>SUMIF(GEN!$G$158:$J$158,BZ$111,GEN!$R23:$U23)+SUMIF(GEN!$G$158:$J$158,BZ$111,GEN!$W23:$Z23)</f>
        <v>0</v>
      </c>
      <c r="CA129" s="446">
        <f>SUMIF(GEN!$G$158:$J$158,CA$111,GEN!$R23:$U23)+SUMIF(GEN!$G$158:$J$158,CA$111,GEN!$W23:$Z23)</f>
        <v>0</v>
      </c>
      <c r="CB129" s="448">
        <f>SUMIF(GEN!$G$158:$J$158,CB$111,GEN!$R23:$U23)+SUMIF(GEN!$G$158:$J$158,CB$111,GEN!$W23:$Z23)</f>
        <v>0</v>
      </c>
      <c r="CC129" s="571"/>
      <c r="CD129" s="448"/>
      <c r="CE129" s="92">
        <f t="shared" si="224"/>
        <v>0</v>
      </c>
      <c r="CF129" s="92">
        <f t="shared" si="225"/>
        <v>0</v>
      </c>
      <c r="CG129" s="151" t="str">
        <f t="shared" si="212"/>
        <v/>
      </c>
      <c r="CH129" s="92">
        <f t="shared" si="213"/>
        <v>0</v>
      </c>
      <c r="CI129" s="92" t="str">
        <f t="shared" si="226"/>
        <v/>
      </c>
      <c r="CJ129" s="1100">
        <f>GEN!AM23</f>
        <v>0</v>
      </c>
      <c r="CK129" s="445">
        <f>SUMIF(GEN!$G$155:$J$155,CK$112,GEN!$AN23:$AQ23)</f>
        <v>0</v>
      </c>
      <c r="CL129" s="446">
        <f>SUMIF(GEN!$G$155:$J$155,CL$112,GEN!$AN23:$AQ23)</f>
        <v>0</v>
      </c>
      <c r="CM129" s="447">
        <f>SUMIF(GEN!$G$155:$J$155,CM$112,GEN!$AN23:$AQ23)</f>
        <v>0</v>
      </c>
      <c r="CN129" s="448">
        <f>SUMIF(GEN!$G$155:$J$155,CN$112,GEN!$AN23:$AQ23)</f>
        <v>0</v>
      </c>
      <c r="CO129" s="1100">
        <f>GEN!AS23</f>
        <v>0</v>
      </c>
      <c r="CP129" s="445">
        <f>GEN!AT23</f>
        <v>0</v>
      </c>
      <c r="CQ129" s="446">
        <f>GEN!AU23</f>
        <v>0</v>
      </c>
      <c r="CR129" s="447">
        <f>GEN!AV23</f>
        <v>0</v>
      </c>
      <c r="CS129" s="448">
        <f>GEN!AW23</f>
        <v>0</v>
      </c>
      <c r="CT129" s="1100">
        <f>GEN!AY23</f>
        <v>0</v>
      </c>
      <c r="CU129" s="2"/>
    </row>
    <row r="130" spans="1:99" ht="14.25" hidden="1" customHeight="1" x14ac:dyDescent="0.2">
      <c r="A130" s="2"/>
      <c r="B130" s="151">
        <f t="shared" si="214"/>
        <v>45308</v>
      </c>
      <c r="C130" s="223">
        <f>IF(AND(E130&gt;(E$491-1),E130&lt;(I$491+1)),W$485,IF(ISERROR(HLOOKUP(E130,$E$484:$L$484,1,FALSE)),HLOOKUP(WEEKDAY(E130,2),IMPOSTAZIONI!$C$51:$P$56,6,FALSE),$W$484))</f>
        <v>0</v>
      </c>
      <c r="D130" s="103" t="str">
        <f t="shared" si="215"/>
        <v/>
      </c>
      <c r="E130" s="2380">
        <f t="shared" si="227"/>
        <v>45308</v>
      </c>
      <c r="F130" s="2381"/>
      <c r="G130" s="2325">
        <f>GEN!E24</f>
        <v>0</v>
      </c>
      <c r="H130" s="2326"/>
      <c r="I130" s="2327"/>
      <c r="J130" s="479" t="str">
        <f t="shared" si="210"/>
        <v/>
      </c>
      <c r="K130" s="480"/>
      <c r="L130" s="2319">
        <f>L123+1</f>
        <v>3</v>
      </c>
      <c r="M130" s="2320"/>
      <c r="N130" s="478"/>
      <c r="O130" s="478"/>
      <c r="P130" s="478"/>
      <c r="Q130" s="2315">
        <f t="shared" si="217"/>
        <v>45308</v>
      </c>
      <c r="R130" s="2315"/>
      <c r="S130" s="478"/>
      <c r="T130" s="140">
        <f t="shared" si="218"/>
        <v>0</v>
      </c>
      <c r="U130" s="478"/>
      <c r="V130" s="478"/>
      <c r="W130" s="478"/>
      <c r="X130" s="478"/>
      <c r="Y130" s="478"/>
      <c r="Z130" s="478"/>
      <c r="AA130" s="478"/>
      <c r="AB130" s="478"/>
      <c r="AC130" s="478"/>
      <c r="AD130" s="478"/>
      <c r="AE130" s="478"/>
      <c r="AF130" s="478"/>
      <c r="AG130" s="140">
        <f t="shared" si="219"/>
        <v>0</v>
      </c>
      <c r="AH130" s="92" t="str">
        <f t="shared" si="220"/>
        <v/>
      </c>
      <c r="AI130" s="131">
        <f t="shared" si="221"/>
        <v>0</v>
      </c>
      <c r="AJ130" s="2"/>
      <c r="AK130" s="92">
        <f>IF(G130=G$481,0,IF(OR(G130&lt;&gt;0,CJ130&lt;&gt;0,C130="L"),COUNTIF(AK$114:AK129,"&gt;0")+1,0))</f>
        <v>0</v>
      </c>
      <c r="AL130" s="92" t="str">
        <f t="shared" si="222"/>
        <v/>
      </c>
      <c r="AM130" s="92" t="str">
        <f t="shared" si="223"/>
        <v/>
      </c>
      <c r="AN130" s="131">
        <f t="shared" si="211"/>
        <v>0</v>
      </c>
      <c r="AO130" s="447">
        <f>SUM(GEN!W24:Z24)</f>
        <v>0</v>
      </c>
      <c r="AP130" s="445">
        <f>SUMIF(GEN!$G$155:$J$155,AP$112,GEN!$R24:$U24)</f>
        <v>0</v>
      </c>
      <c r="AQ130" s="446">
        <f>SUMIF(GEN!$G$155:$J$155,AQ$112,GEN!$R24:$U24)</f>
        <v>0</v>
      </c>
      <c r="AR130" s="447">
        <f>SUMIF(GEN!$G$155:$J$155,AR$112,GEN!$R24:$U24)</f>
        <v>0</v>
      </c>
      <c r="AS130" s="448">
        <f>SUMIF(GEN!$G$155:$J$155,AS$112,GEN!$R24:$U24)</f>
        <v>0</v>
      </c>
      <c r="AT130" s="449">
        <f>GEN!AG24</f>
        <v>0</v>
      </c>
      <c r="AU130" s="445">
        <f>GEN!AH24</f>
        <v>0</v>
      </c>
      <c r="AV130" s="446">
        <f>GEN!AI24</f>
        <v>0</v>
      </c>
      <c r="AW130" s="447">
        <f>GEN!AJ24</f>
        <v>0</v>
      </c>
      <c r="AX130" s="448">
        <f>GEN!AK24</f>
        <v>0</v>
      </c>
      <c r="AY130" s="445">
        <f>SUMIF(GEN!$G$152:$J$152,"&gt;0",GEN!$W24:$Z24)</f>
        <v>0</v>
      </c>
      <c r="AZ130" s="1063">
        <f>SUM(GEN!AB24:AE24)</f>
        <v>0</v>
      </c>
      <c r="BA130" s="445">
        <f>SUMIF(GEN!$G$159:$J$159,BA$111,GEN!$R24:$U24)+SUMIF(GEN!$G$159:$J$159,BA$111,GEN!$W24:$Z24)</f>
        <v>0</v>
      </c>
      <c r="BB130" s="446">
        <f>SUMIF(GEN!$G$159:$J$159,BB$111,GEN!$R24:$U24)+SUMIF(GEN!$G$159:$J$159,BB$111,GEN!$W24:$Z24)</f>
        <v>0</v>
      </c>
      <c r="BC130" s="446">
        <f>SUMIF(GEN!$G$159:$J$159,BC$111,GEN!$R24:$U24)+SUMIF(GEN!$G$159:$J$159,BC$111,GEN!$W24:$Z24)</f>
        <v>0</v>
      </c>
      <c r="BD130" s="446">
        <f>SUMIF(GEN!$G$159:$J$159,BD$111,GEN!$R24:$U24)+SUMIF(GEN!$G$159:$J$159,BD$111,GEN!$W24:$Z24)</f>
        <v>0</v>
      </c>
      <c r="BE130" s="446">
        <f>SUMIF(GEN!$G$159:$J$159,BE$111,GEN!$R24:$U24)+SUMIF(GEN!$G$159:$J$159,BE$111,GEN!$W24:$Z24)</f>
        <v>0</v>
      </c>
      <c r="BF130" s="446">
        <f>SUMIF(GEN!$G$159:$J$159,BF$111,GEN!$R24:$U24)+SUMIF(GEN!$G$159:$J$159,BF$111,GEN!$W24:$Z24)</f>
        <v>0</v>
      </c>
      <c r="BG130" s="448">
        <f>SUMIF(GEN!$G$159:$J$159,BG$111,GEN!$R24:$U24)+SUMIF(GEN!$G$159:$J$159,BG$111,GEN!$W24:$Z24)</f>
        <v>0</v>
      </c>
      <c r="BH130" s="571"/>
      <c r="BI130" s="448"/>
      <c r="BJ130" s="470"/>
      <c r="BK130" s="445">
        <f>SUMIF(GEN!$G$157:$J$157,BK$111,GEN!$R24:$U24)+SUMIF(GEN!$G$157:$J$157,BK$111,GEN!$W24:$Z24)</f>
        <v>0</v>
      </c>
      <c r="BL130" s="446">
        <f>SUMIF(GEN!$G$157:$J$157,BL$111,GEN!$R24:$U24)+SUMIF(GEN!$G$157:$J$157,BL$111,GEN!$W24:$Z24)</f>
        <v>0</v>
      </c>
      <c r="BM130" s="446">
        <f>SUMIF(GEN!$G$157:$J$157,BM$111,GEN!$R24:$U24)+SUMIF(GEN!$G$157:$J$157,BM$111,GEN!$W24:$Z24)</f>
        <v>0</v>
      </c>
      <c r="BN130" s="446">
        <f>SUMIF(GEN!$G$157:$J$157,BN$111,GEN!$R24:$U24)+SUMIF(GEN!$G$157:$J$157,BN$111,GEN!$W24:$Z24)</f>
        <v>0</v>
      </c>
      <c r="BO130" s="446">
        <f>SUMIF(GEN!$G$157:$J$157,BO$111,GEN!$R24:$U24)+SUMIF(GEN!$G$157:$J$157,BO$111,GEN!$W24:$Z24)</f>
        <v>0</v>
      </c>
      <c r="BP130" s="446">
        <f>SUMIF(GEN!$G$157:$J$157,BP$111,GEN!$R24:$U24)+SUMIF(GEN!$G$157:$J$157,BP$111,GEN!$W24:$Z24)</f>
        <v>0</v>
      </c>
      <c r="BQ130" s="448">
        <f>SUMIF(GEN!$G$157:$J$157,BQ$111,GEN!$R24:$U24)+SUMIF(GEN!$G$157:$J$157,BQ$111,GEN!$W24:$Z24)</f>
        <v>0</v>
      </c>
      <c r="BR130" s="571"/>
      <c r="BS130" s="446"/>
      <c r="BT130" s="448"/>
      <c r="BU130" s="470"/>
      <c r="BV130" s="445">
        <f>SUMIF(GEN!$G$158:$J$158,BV$111,GEN!$R24:$U24)+SUMIF(GEN!$G$158:$J$158,BV$111,GEN!$W24:$Z24)</f>
        <v>0</v>
      </c>
      <c r="BW130" s="446">
        <f>SUMIF(GEN!$G$158:$J$158,BW$111,GEN!$R24:$U24)+SUMIF(GEN!$G$158:$J$158,BW$111,GEN!$W24:$Z24)</f>
        <v>0</v>
      </c>
      <c r="BX130" s="446">
        <f>SUMIF(GEN!$G$158:$J$158,BX$111,GEN!$R24:$U24)+SUMIF(GEN!$G$158:$J$158,BX$111,GEN!$W24:$Z24)</f>
        <v>0</v>
      </c>
      <c r="BY130" s="446">
        <f>SUMIF(GEN!$G$158:$J$158,BY$111,GEN!$R24:$U24)+SUMIF(GEN!$G$158:$J$158,BY$111,GEN!$W24:$Z24)</f>
        <v>0</v>
      </c>
      <c r="BZ130" s="446">
        <f>SUMIF(GEN!$G$158:$J$158,BZ$111,GEN!$R24:$U24)+SUMIF(GEN!$G$158:$J$158,BZ$111,GEN!$W24:$Z24)</f>
        <v>0</v>
      </c>
      <c r="CA130" s="446">
        <f>SUMIF(GEN!$G$158:$J$158,CA$111,GEN!$R24:$U24)+SUMIF(GEN!$G$158:$J$158,CA$111,GEN!$W24:$Z24)</f>
        <v>0</v>
      </c>
      <c r="CB130" s="448">
        <f>SUMIF(GEN!$G$158:$J$158,CB$111,GEN!$R24:$U24)+SUMIF(GEN!$G$158:$J$158,CB$111,GEN!$W24:$Z24)</f>
        <v>0</v>
      </c>
      <c r="CC130" s="571"/>
      <c r="CD130" s="448"/>
      <c r="CE130" s="92">
        <f t="shared" si="224"/>
        <v>0</v>
      </c>
      <c r="CF130" s="92">
        <f t="shared" si="225"/>
        <v>0</v>
      </c>
      <c r="CG130" s="151" t="str">
        <f t="shared" si="212"/>
        <v/>
      </c>
      <c r="CH130" s="92">
        <f t="shared" si="213"/>
        <v>0</v>
      </c>
      <c r="CI130" s="92" t="str">
        <f t="shared" si="226"/>
        <v/>
      </c>
      <c r="CJ130" s="1100">
        <f>GEN!AM24</f>
        <v>0</v>
      </c>
      <c r="CK130" s="445">
        <f>SUMIF(GEN!$G$155:$J$155,CK$112,GEN!$AN24:$AQ24)</f>
        <v>0</v>
      </c>
      <c r="CL130" s="446">
        <f>SUMIF(GEN!$G$155:$J$155,CL$112,GEN!$AN24:$AQ24)</f>
        <v>0</v>
      </c>
      <c r="CM130" s="447">
        <f>SUMIF(GEN!$G$155:$J$155,CM$112,GEN!$AN24:$AQ24)</f>
        <v>0</v>
      </c>
      <c r="CN130" s="448">
        <f>SUMIF(GEN!$G$155:$J$155,CN$112,GEN!$AN24:$AQ24)</f>
        <v>0</v>
      </c>
      <c r="CO130" s="1100">
        <f>GEN!AS24</f>
        <v>0</v>
      </c>
      <c r="CP130" s="445">
        <f>GEN!AT24</f>
        <v>0</v>
      </c>
      <c r="CQ130" s="446">
        <f>GEN!AU24</f>
        <v>0</v>
      </c>
      <c r="CR130" s="447">
        <f>GEN!AV24</f>
        <v>0</v>
      </c>
      <c r="CS130" s="448">
        <f>GEN!AW24</f>
        <v>0</v>
      </c>
      <c r="CT130" s="1100">
        <f>GEN!AY24</f>
        <v>0</v>
      </c>
      <c r="CU130" s="2"/>
    </row>
    <row r="131" spans="1:99" ht="14.25" hidden="1" customHeight="1" x14ac:dyDescent="0.2">
      <c r="A131" s="2"/>
      <c r="B131" s="151">
        <f t="shared" si="214"/>
        <v>45309</v>
      </c>
      <c r="C131" s="223">
        <f>IF(AND(E131&gt;(E$491-1),E131&lt;(I$491+1)),W$485,IF(ISERROR(HLOOKUP(E131,$E$484:$L$484,1,FALSE)),HLOOKUP(WEEKDAY(E131,2),IMPOSTAZIONI!$C$51:$P$56,6,FALSE),$W$484))</f>
        <v>0</v>
      </c>
      <c r="D131" s="103" t="str">
        <f t="shared" si="215"/>
        <v/>
      </c>
      <c r="E131" s="2380">
        <f t="shared" si="227"/>
        <v>45309</v>
      </c>
      <c r="F131" s="2381"/>
      <c r="G131" s="2325">
        <f>GEN!E25</f>
        <v>0</v>
      </c>
      <c r="H131" s="2326"/>
      <c r="I131" s="2327"/>
      <c r="J131" s="479" t="str">
        <f t="shared" si="210"/>
        <v/>
      </c>
      <c r="K131" s="480"/>
      <c r="L131" s="2319">
        <f t="shared" si="228"/>
        <v>3</v>
      </c>
      <c r="M131" s="2320"/>
      <c r="N131" s="478"/>
      <c r="O131" s="478"/>
      <c r="P131" s="478"/>
      <c r="Q131" s="2315">
        <f t="shared" si="217"/>
        <v>45309</v>
      </c>
      <c r="R131" s="2315"/>
      <c r="S131" s="478"/>
      <c r="T131" s="140">
        <f t="shared" si="218"/>
        <v>0</v>
      </c>
      <c r="U131" s="478"/>
      <c r="V131" s="478"/>
      <c r="W131" s="478"/>
      <c r="X131" s="478"/>
      <c r="Y131" s="478"/>
      <c r="Z131" s="478"/>
      <c r="AA131" s="478"/>
      <c r="AB131" s="478"/>
      <c r="AC131" s="478"/>
      <c r="AD131" s="478"/>
      <c r="AE131" s="478"/>
      <c r="AF131" s="478"/>
      <c r="AG131" s="140">
        <f t="shared" si="219"/>
        <v>0</v>
      </c>
      <c r="AH131" s="92" t="str">
        <f t="shared" si="220"/>
        <v/>
      </c>
      <c r="AI131" s="131">
        <f t="shared" si="221"/>
        <v>0</v>
      </c>
      <c r="AJ131" s="2"/>
      <c r="AK131" s="92">
        <f>IF(G131=G$481,0,IF(OR(G131&lt;&gt;0,CJ131&lt;&gt;0,C131="L"),COUNTIF(AK$114:AK130,"&gt;0")+1,0))</f>
        <v>0</v>
      </c>
      <c r="AL131" s="92" t="str">
        <f t="shared" si="222"/>
        <v/>
      </c>
      <c r="AM131" s="92" t="str">
        <f t="shared" si="223"/>
        <v/>
      </c>
      <c r="AN131" s="131">
        <f t="shared" si="211"/>
        <v>0</v>
      </c>
      <c r="AO131" s="447">
        <f>SUM(GEN!W25:Z25)</f>
        <v>0</v>
      </c>
      <c r="AP131" s="445">
        <f>SUMIF(GEN!$G$155:$J$155,AP$112,GEN!$R25:$U25)</f>
        <v>0</v>
      </c>
      <c r="AQ131" s="446">
        <f>SUMIF(GEN!$G$155:$J$155,AQ$112,GEN!$R25:$U25)</f>
        <v>0</v>
      </c>
      <c r="AR131" s="447">
        <f>SUMIF(GEN!$G$155:$J$155,AR$112,GEN!$R25:$U25)</f>
        <v>0</v>
      </c>
      <c r="AS131" s="448">
        <f>SUMIF(GEN!$G$155:$J$155,AS$112,GEN!$R25:$U25)</f>
        <v>0</v>
      </c>
      <c r="AT131" s="449">
        <f>GEN!AG25</f>
        <v>0</v>
      </c>
      <c r="AU131" s="445">
        <f>GEN!AH25</f>
        <v>0</v>
      </c>
      <c r="AV131" s="446">
        <f>GEN!AI25</f>
        <v>0</v>
      </c>
      <c r="AW131" s="447">
        <f>GEN!AJ25</f>
        <v>0</v>
      </c>
      <c r="AX131" s="448">
        <f>GEN!AK25</f>
        <v>0</v>
      </c>
      <c r="AY131" s="445">
        <f>SUMIF(GEN!$G$152:$J$152,"&gt;0",GEN!$W25:$Z25)</f>
        <v>0</v>
      </c>
      <c r="AZ131" s="1063">
        <f>SUM(GEN!AB25:AE25)</f>
        <v>0</v>
      </c>
      <c r="BA131" s="445">
        <f>SUMIF(GEN!$G$159:$J$159,BA$111,GEN!$R25:$U25)+SUMIF(GEN!$G$159:$J$159,BA$111,GEN!$W25:$Z25)</f>
        <v>0</v>
      </c>
      <c r="BB131" s="446">
        <f>SUMIF(GEN!$G$159:$J$159,BB$111,GEN!$R25:$U25)+SUMIF(GEN!$G$159:$J$159,BB$111,GEN!$W25:$Z25)</f>
        <v>0</v>
      </c>
      <c r="BC131" s="446">
        <f>SUMIF(GEN!$G$159:$J$159,BC$111,GEN!$R25:$U25)+SUMIF(GEN!$G$159:$J$159,BC$111,GEN!$W25:$Z25)</f>
        <v>0</v>
      </c>
      <c r="BD131" s="446">
        <f>SUMIF(GEN!$G$159:$J$159,BD$111,GEN!$R25:$U25)+SUMIF(GEN!$G$159:$J$159,BD$111,GEN!$W25:$Z25)</f>
        <v>0</v>
      </c>
      <c r="BE131" s="446">
        <f>SUMIF(GEN!$G$159:$J$159,BE$111,GEN!$R25:$U25)+SUMIF(GEN!$G$159:$J$159,BE$111,GEN!$W25:$Z25)</f>
        <v>0</v>
      </c>
      <c r="BF131" s="446">
        <f>SUMIF(GEN!$G$159:$J$159,BF$111,GEN!$R25:$U25)+SUMIF(GEN!$G$159:$J$159,BF$111,GEN!$W25:$Z25)</f>
        <v>0</v>
      </c>
      <c r="BG131" s="448">
        <f>SUMIF(GEN!$G$159:$J$159,BG$111,GEN!$R25:$U25)+SUMIF(GEN!$G$159:$J$159,BG$111,GEN!$W25:$Z25)</f>
        <v>0</v>
      </c>
      <c r="BH131" s="571"/>
      <c r="BI131" s="448"/>
      <c r="BJ131" s="470"/>
      <c r="BK131" s="445">
        <f>SUMIF(GEN!$G$157:$J$157,BK$111,GEN!$R25:$U25)+SUMIF(GEN!$G$157:$J$157,BK$111,GEN!$W25:$Z25)</f>
        <v>0</v>
      </c>
      <c r="BL131" s="446">
        <f>SUMIF(GEN!$G$157:$J$157,BL$111,GEN!$R25:$U25)+SUMIF(GEN!$G$157:$J$157,BL$111,GEN!$W25:$Z25)</f>
        <v>0</v>
      </c>
      <c r="BM131" s="446">
        <f>SUMIF(GEN!$G$157:$J$157,BM$111,GEN!$R25:$U25)+SUMIF(GEN!$G$157:$J$157,BM$111,GEN!$W25:$Z25)</f>
        <v>0</v>
      </c>
      <c r="BN131" s="446">
        <f>SUMIF(GEN!$G$157:$J$157,BN$111,GEN!$R25:$U25)+SUMIF(GEN!$G$157:$J$157,BN$111,GEN!$W25:$Z25)</f>
        <v>0</v>
      </c>
      <c r="BO131" s="446">
        <f>SUMIF(GEN!$G$157:$J$157,BO$111,GEN!$R25:$U25)+SUMIF(GEN!$G$157:$J$157,BO$111,GEN!$W25:$Z25)</f>
        <v>0</v>
      </c>
      <c r="BP131" s="446">
        <f>SUMIF(GEN!$G$157:$J$157,BP$111,GEN!$R25:$U25)+SUMIF(GEN!$G$157:$J$157,BP$111,GEN!$W25:$Z25)</f>
        <v>0</v>
      </c>
      <c r="BQ131" s="448">
        <f>SUMIF(GEN!$G$157:$J$157,BQ$111,GEN!$R25:$U25)+SUMIF(GEN!$G$157:$J$157,BQ$111,GEN!$W25:$Z25)</f>
        <v>0</v>
      </c>
      <c r="BR131" s="571"/>
      <c r="BS131" s="446"/>
      <c r="BT131" s="448"/>
      <c r="BU131" s="470"/>
      <c r="BV131" s="445">
        <f>SUMIF(GEN!$G$158:$J$158,BV$111,GEN!$R25:$U25)+SUMIF(GEN!$G$158:$J$158,BV$111,GEN!$W25:$Z25)</f>
        <v>0</v>
      </c>
      <c r="BW131" s="446">
        <f>SUMIF(GEN!$G$158:$J$158,BW$111,GEN!$R25:$U25)+SUMIF(GEN!$G$158:$J$158,BW$111,GEN!$W25:$Z25)</f>
        <v>0</v>
      </c>
      <c r="BX131" s="446">
        <f>SUMIF(GEN!$G$158:$J$158,BX$111,GEN!$R25:$U25)+SUMIF(GEN!$G$158:$J$158,BX$111,GEN!$W25:$Z25)</f>
        <v>0</v>
      </c>
      <c r="BY131" s="446">
        <f>SUMIF(GEN!$G$158:$J$158,BY$111,GEN!$R25:$U25)+SUMIF(GEN!$G$158:$J$158,BY$111,GEN!$W25:$Z25)</f>
        <v>0</v>
      </c>
      <c r="BZ131" s="446">
        <f>SUMIF(GEN!$G$158:$J$158,BZ$111,GEN!$R25:$U25)+SUMIF(GEN!$G$158:$J$158,BZ$111,GEN!$W25:$Z25)</f>
        <v>0</v>
      </c>
      <c r="CA131" s="446">
        <f>SUMIF(GEN!$G$158:$J$158,CA$111,GEN!$R25:$U25)+SUMIF(GEN!$G$158:$J$158,CA$111,GEN!$W25:$Z25)</f>
        <v>0</v>
      </c>
      <c r="CB131" s="448">
        <f>SUMIF(GEN!$G$158:$J$158,CB$111,GEN!$R25:$U25)+SUMIF(GEN!$G$158:$J$158,CB$111,GEN!$W25:$Z25)</f>
        <v>0</v>
      </c>
      <c r="CC131" s="571"/>
      <c r="CD131" s="448"/>
      <c r="CE131" s="92">
        <f t="shared" si="224"/>
        <v>0</v>
      </c>
      <c r="CF131" s="92">
        <f t="shared" si="225"/>
        <v>0</v>
      </c>
      <c r="CG131" s="151" t="str">
        <f t="shared" si="212"/>
        <v/>
      </c>
      <c r="CH131" s="92">
        <f t="shared" si="213"/>
        <v>0</v>
      </c>
      <c r="CI131" s="92" t="str">
        <f t="shared" si="226"/>
        <v/>
      </c>
      <c r="CJ131" s="1100">
        <f>GEN!AM25</f>
        <v>0</v>
      </c>
      <c r="CK131" s="445">
        <f>SUMIF(GEN!$G$155:$J$155,CK$112,GEN!$AN25:$AQ25)</f>
        <v>0</v>
      </c>
      <c r="CL131" s="446">
        <f>SUMIF(GEN!$G$155:$J$155,CL$112,GEN!$AN25:$AQ25)</f>
        <v>0</v>
      </c>
      <c r="CM131" s="447">
        <f>SUMIF(GEN!$G$155:$J$155,CM$112,GEN!$AN25:$AQ25)</f>
        <v>0</v>
      </c>
      <c r="CN131" s="448">
        <f>SUMIF(GEN!$G$155:$J$155,CN$112,GEN!$AN25:$AQ25)</f>
        <v>0</v>
      </c>
      <c r="CO131" s="1100">
        <f>GEN!AS25</f>
        <v>0</v>
      </c>
      <c r="CP131" s="445">
        <f>GEN!AT25</f>
        <v>0</v>
      </c>
      <c r="CQ131" s="446">
        <f>GEN!AU25</f>
        <v>0</v>
      </c>
      <c r="CR131" s="447">
        <f>GEN!AV25</f>
        <v>0</v>
      </c>
      <c r="CS131" s="448">
        <f>GEN!AW25</f>
        <v>0</v>
      </c>
      <c r="CT131" s="1100">
        <f>GEN!AY25</f>
        <v>0</v>
      </c>
      <c r="CU131" s="2"/>
    </row>
    <row r="132" spans="1:99" ht="14.25" hidden="1" customHeight="1" x14ac:dyDescent="0.2">
      <c r="A132" s="2"/>
      <c r="B132" s="151">
        <f t="shared" si="214"/>
        <v>45310</v>
      </c>
      <c r="C132" s="223">
        <f>IF(AND(E132&gt;(E$491-1),E132&lt;(I$491+1)),W$485,IF(ISERROR(HLOOKUP(E132,$E$484:$L$484,1,FALSE)),HLOOKUP(WEEKDAY(E132,2),IMPOSTAZIONI!$C$51:$P$56,6,FALSE),$W$484))</f>
        <v>0</v>
      </c>
      <c r="D132" s="103" t="str">
        <f t="shared" si="215"/>
        <v/>
      </c>
      <c r="E132" s="2380">
        <f t="shared" si="227"/>
        <v>45310</v>
      </c>
      <c r="F132" s="2381"/>
      <c r="G132" s="2325">
        <f>GEN!E26</f>
        <v>0</v>
      </c>
      <c r="H132" s="2326"/>
      <c r="I132" s="2327"/>
      <c r="J132" s="479" t="str">
        <f t="shared" si="210"/>
        <v/>
      </c>
      <c r="K132" s="480"/>
      <c r="L132" s="2319">
        <f t="shared" si="228"/>
        <v>3</v>
      </c>
      <c r="M132" s="2320"/>
      <c r="N132" s="478"/>
      <c r="O132" s="478"/>
      <c r="P132" s="478"/>
      <c r="Q132" s="2315">
        <f t="shared" si="217"/>
        <v>45310</v>
      </c>
      <c r="R132" s="2315"/>
      <c r="S132" s="478"/>
      <c r="T132" s="140">
        <f t="shared" si="218"/>
        <v>0</v>
      </c>
      <c r="U132" s="478"/>
      <c r="V132" s="478"/>
      <c r="W132" s="478"/>
      <c r="X132" s="478"/>
      <c r="Y132" s="478"/>
      <c r="Z132" s="478"/>
      <c r="AA132" s="478"/>
      <c r="AB132" s="478"/>
      <c r="AC132" s="478"/>
      <c r="AD132" s="478"/>
      <c r="AE132" s="478"/>
      <c r="AF132" s="478"/>
      <c r="AG132" s="140">
        <f t="shared" si="219"/>
        <v>0</v>
      </c>
      <c r="AH132" s="92" t="str">
        <f t="shared" si="220"/>
        <v/>
      </c>
      <c r="AI132" s="131">
        <f t="shared" si="221"/>
        <v>0</v>
      </c>
      <c r="AJ132" s="2"/>
      <c r="AK132" s="92">
        <f>IF(G132=G$481,0,IF(OR(G132&lt;&gt;0,CJ132&lt;&gt;0,C132="L"),COUNTIF(AK$114:AK131,"&gt;0")+1,0))</f>
        <v>0</v>
      </c>
      <c r="AL132" s="92" t="str">
        <f t="shared" si="222"/>
        <v/>
      </c>
      <c r="AM132" s="92" t="str">
        <f t="shared" si="223"/>
        <v/>
      </c>
      <c r="AN132" s="131">
        <f t="shared" si="211"/>
        <v>0</v>
      </c>
      <c r="AO132" s="447">
        <f>SUM(GEN!W26:Z26)</f>
        <v>0</v>
      </c>
      <c r="AP132" s="445">
        <f>SUMIF(GEN!$G$155:$J$155,AP$112,GEN!$R26:$U26)</f>
        <v>0</v>
      </c>
      <c r="AQ132" s="446">
        <f>SUMIF(GEN!$G$155:$J$155,AQ$112,GEN!$R26:$U26)</f>
        <v>0</v>
      </c>
      <c r="AR132" s="447">
        <f>SUMIF(GEN!$G$155:$J$155,AR$112,GEN!$R26:$U26)</f>
        <v>0</v>
      </c>
      <c r="AS132" s="448">
        <f>SUMIF(GEN!$G$155:$J$155,AS$112,GEN!$R26:$U26)</f>
        <v>0</v>
      </c>
      <c r="AT132" s="449">
        <f>GEN!AG26</f>
        <v>0</v>
      </c>
      <c r="AU132" s="445">
        <f>GEN!AH26</f>
        <v>0</v>
      </c>
      <c r="AV132" s="446">
        <f>GEN!AI26</f>
        <v>0</v>
      </c>
      <c r="AW132" s="447">
        <f>GEN!AJ26</f>
        <v>0</v>
      </c>
      <c r="AX132" s="448">
        <f>GEN!AK26</f>
        <v>0</v>
      </c>
      <c r="AY132" s="445">
        <f>SUMIF(GEN!$G$152:$J$152,"&gt;0",GEN!$W26:$Z26)</f>
        <v>0</v>
      </c>
      <c r="AZ132" s="1063">
        <f>SUM(GEN!AB26:AE26)</f>
        <v>0</v>
      </c>
      <c r="BA132" s="445">
        <f>SUMIF(GEN!$G$159:$J$159,BA$111,GEN!$R26:$U26)+SUMIF(GEN!$G$159:$J$159,BA$111,GEN!$W26:$Z26)</f>
        <v>0</v>
      </c>
      <c r="BB132" s="446">
        <f>SUMIF(GEN!$G$159:$J$159,BB$111,GEN!$R26:$U26)+SUMIF(GEN!$G$159:$J$159,BB$111,GEN!$W26:$Z26)</f>
        <v>0</v>
      </c>
      <c r="BC132" s="446">
        <f>SUMIF(GEN!$G$159:$J$159,BC$111,GEN!$R26:$U26)+SUMIF(GEN!$G$159:$J$159,BC$111,GEN!$W26:$Z26)</f>
        <v>0</v>
      </c>
      <c r="BD132" s="446">
        <f>SUMIF(GEN!$G$159:$J$159,BD$111,GEN!$R26:$U26)+SUMIF(GEN!$G$159:$J$159,BD$111,GEN!$W26:$Z26)</f>
        <v>0</v>
      </c>
      <c r="BE132" s="446">
        <f>SUMIF(GEN!$G$159:$J$159,BE$111,GEN!$R26:$U26)+SUMIF(GEN!$G$159:$J$159,BE$111,GEN!$W26:$Z26)</f>
        <v>0</v>
      </c>
      <c r="BF132" s="446">
        <f>SUMIF(GEN!$G$159:$J$159,BF$111,GEN!$R26:$U26)+SUMIF(GEN!$G$159:$J$159,BF$111,GEN!$W26:$Z26)</f>
        <v>0</v>
      </c>
      <c r="BG132" s="448">
        <f>SUMIF(GEN!$G$159:$J$159,BG$111,GEN!$R26:$U26)+SUMIF(GEN!$G$159:$J$159,BG$111,GEN!$W26:$Z26)</f>
        <v>0</v>
      </c>
      <c r="BH132" s="571"/>
      <c r="BI132" s="448"/>
      <c r="BJ132" s="470"/>
      <c r="BK132" s="445">
        <f>SUMIF(GEN!$G$157:$J$157,BK$111,GEN!$R26:$U26)+SUMIF(GEN!$G$157:$J$157,BK$111,GEN!$W26:$Z26)</f>
        <v>0</v>
      </c>
      <c r="BL132" s="446">
        <f>SUMIF(GEN!$G$157:$J$157,BL$111,GEN!$R26:$U26)+SUMIF(GEN!$G$157:$J$157,BL$111,GEN!$W26:$Z26)</f>
        <v>0</v>
      </c>
      <c r="BM132" s="446">
        <f>SUMIF(GEN!$G$157:$J$157,BM$111,GEN!$R26:$U26)+SUMIF(GEN!$G$157:$J$157,BM$111,GEN!$W26:$Z26)</f>
        <v>0</v>
      </c>
      <c r="BN132" s="446">
        <f>SUMIF(GEN!$G$157:$J$157,BN$111,GEN!$R26:$U26)+SUMIF(GEN!$G$157:$J$157,BN$111,GEN!$W26:$Z26)</f>
        <v>0</v>
      </c>
      <c r="BO132" s="446">
        <f>SUMIF(GEN!$G$157:$J$157,BO$111,GEN!$R26:$U26)+SUMIF(GEN!$G$157:$J$157,BO$111,GEN!$W26:$Z26)</f>
        <v>0</v>
      </c>
      <c r="BP132" s="446">
        <f>SUMIF(GEN!$G$157:$J$157,BP$111,GEN!$R26:$U26)+SUMIF(GEN!$G$157:$J$157,BP$111,GEN!$W26:$Z26)</f>
        <v>0</v>
      </c>
      <c r="BQ132" s="448">
        <f>SUMIF(GEN!$G$157:$J$157,BQ$111,GEN!$R26:$U26)+SUMIF(GEN!$G$157:$J$157,BQ$111,GEN!$W26:$Z26)</f>
        <v>0</v>
      </c>
      <c r="BR132" s="571"/>
      <c r="BS132" s="446"/>
      <c r="BT132" s="448"/>
      <c r="BU132" s="470"/>
      <c r="BV132" s="445">
        <f>SUMIF(GEN!$G$158:$J$158,BV$111,GEN!$R26:$U26)+SUMIF(GEN!$G$158:$J$158,BV$111,GEN!$W26:$Z26)</f>
        <v>0</v>
      </c>
      <c r="BW132" s="446">
        <f>SUMIF(GEN!$G$158:$J$158,BW$111,GEN!$R26:$U26)+SUMIF(GEN!$G$158:$J$158,BW$111,GEN!$W26:$Z26)</f>
        <v>0</v>
      </c>
      <c r="BX132" s="446">
        <f>SUMIF(GEN!$G$158:$J$158,BX$111,GEN!$R26:$U26)+SUMIF(GEN!$G$158:$J$158,BX$111,GEN!$W26:$Z26)</f>
        <v>0</v>
      </c>
      <c r="BY132" s="446">
        <f>SUMIF(GEN!$G$158:$J$158,BY$111,GEN!$R26:$U26)+SUMIF(GEN!$G$158:$J$158,BY$111,GEN!$W26:$Z26)</f>
        <v>0</v>
      </c>
      <c r="BZ132" s="446">
        <f>SUMIF(GEN!$G$158:$J$158,BZ$111,GEN!$R26:$U26)+SUMIF(GEN!$G$158:$J$158,BZ$111,GEN!$W26:$Z26)</f>
        <v>0</v>
      </c>
      <c r="CA132" s="446">
        <f>SUMIF(GEN!$G$158:$J$158,CA$111,GEN!$R26:$U26)+SUMIF(GEN!$G$158:$J$158,CA$111,GEN!$W26:$Z26)</f>
        <v>0</v>
      </c>
      <c r="CB132" s="448">
        <f>SUMIF(GEN!$G$158:$J$158,CB$111,GEN!$R26:$U26)+SUMIF(GEN!$G$158:$J$158,CB$111,GEN!$W26:$Z26)</f>
        <v>0</v>
      </c>
      <c r="CC132" s="571"/>
      <c r="CD132" s="448"/>
      <c r="CE132" s="92">
        <f t="shared" si="224"/>
        <v>0</v>
      </c>
      <c r="CF132" s="92">
        <f t="shared" si="225"/>
        <v>0</v>
      </c>
      <c r="CG132" s="151" t="str">
        <f t="shared" si="212"/>
        <v/>
      </c>
      <c r="CH132" s="92">
        <f t="shared" si="213"/>
        <v>0</v>
      </c>
      <c r="CI132" s="92" t="str">
        <f t="shared" si="226"/>
        <v/>
      </c>
      <c r="CJ132" s="1100">
        <f>GEN!AM26</f>
        <v>0</v>
      </c>
      <c r="CK132" s="445">
        <f>SUMIF(GEN!$G$155:$J$155,CK$112,GEN!$AN26:$AQ26)</f>
        <v>0</v>
      </c>
      <c r="CL132" s="446">
        <f>SUMIF(GEN!$G$155:$J$155,CL$112,GEN!$AN26:$AQ26)</f>
        <v>0</v>
      </c>
      <c r="CM132" s="447">
        <f>SUMIF(GEN!$G$155:$J$155,CM$112,GEN!$AN26:$AQ26)</f>
        <v>0</v>
      </c>
      <c r="CN132" s="448">
        <f>SUMIF(GEN!$G$155:$J$155,CN$112,GEN!$AN26:$AQ26)</f>
        <v>0</v>
      </c>
      <c r="CO132" s="1100">
        <f>GEN!AS26</f>
        <v>0</v>
      </c>
      <c r="CP132" s="445">
        <f>GEN!AT26</f>
        <v>0</v>
      </c>
      <c r="CQ132" s="446">
        <f>GEN!AU26</f>
        <v>0</v>
      </c>
      <c r="CR132" s="447">
        <f>GEN!AV26</f>
        <v>0</v>
      </c>
      <c r="CS132" s="448">
        <f>GEN!AW26</f>
        <v>0</v>
      </c>
      <c r="CT132" s="1100">
        <f>GEN!AY26</f>
        <v>0</v>
      </c>
      <c r="CU132" s="2"/>
    </row>
    <row r="133" spans="1:99" ht="14.25" hidden="1" customHeight="1" x14ac:dyDescent="0.2">
      <c r="A133" s="2"/>
      <c r="B133" s="151">
        <f t="shared" si="214"/>
        <v>45311</v>
      </c>
      <c r="C133" s="223">
        <f>IF(AND(E133&gt;(E$491-1),E133&lt;(I$491+1)),W$485,IF(ISERROR(HLOOKUP(E133,$E$484:$L$484,1,FALSE)),HLOOKUP(WEEKDAY(E133,2),IMPOSTAZIONI!$C$51:$P$56,6,FALSE),$W$484))</f>
        <v>0</v>
      </c>
      <c r="D133" s="103" t="str">
        <f t="shared" si="215"/>
        <v/>
      </c>
      <c r="E133" s="2380">
        <f t="shared" si="227"/>
        <v>45311</v>
      </c>
      <c r="F133" s="2381"/>
      <c r="G133" s="2325">
        <f>GEN!E27</f>
        <v>0</v>
      </c>
      <c r="H133" s="2326"/>
      <c r="I133" s="2327"/>
      <c r="J133" s="479" t="str">
        <f t="shared" si="210"/>
        <v/>
      </c>
      <c r="K133" s="480"/>
      <c r="L133" s="2319">
        <f t="shared" si="228"/>
        <v>3</v>
      </c>
      <c r="M133" s="2320"/>
      <c r="N133" s="478"/>
      <c r="O133" s="478"/>
      <c r="P133" s="478"/>
      <c r="Q133" s="2315">
        <f t="shared" si="217"/>
        <v>45311</v>
      </c>
      <c r="R133" s="2315"/>
      <c r="S133" s="478"/>
      <c r="T133" s="140">
        <f t="shared" si="218"/>
        <v>0</v>
      </c>
      <c r="U133" s="478"/>
      <c r="V133" s="478"/>
      <c r="W133" s="478"/>
      <c r="X133" s="478"/>
      <c r="Y133" s="478"/>
      <c r="Z133" s="478"/>
      <c r="AA133" s="478"/>
      <c r="AB133" s="478"/>
      <c r="AC133" s="478"/>
      <c r="AD133" s="478"/>
      <c r="AE133" s="478"/>
      <c r="AF133" s="478"/>
      <c r="AG133" s="140">
        <f t="shared" si="219"/>
        <v>0</v>
      </c>
      <c r="AH133" s="92" t="str">
        <f t="shared" si="220"/>
        <v/>
      </c>
      <c r="AI133" s="131">
        <f t="shared" si="221"/>
        <v>0</v>
      </c>
      <c r="AJ133" s="2"/>
      <c r="AK133" s="92">
        <f>IF(G133=G$481,0,IF(OR(G133&lt;&gt;0,CJ133&lt;&gt;0,C133="L"),COUNTIF(AK$114:AK132,"&gt;0")+1,0))</f>
        <v>0</v>
      </c>
      <c r="AL133" s="92" t="str">
        <f t="shared" si="222"/>
        <v/>
      </c>
      <c r="AM133" s="92" t="str">
        <f t="shared" si="223"/>
        <v/>
      </c>
      <c r="AN133" s="131">
        <f t="shared" si="211"/>
        <v>0</v>
      </c>
      <c r="AO133" s="447">
        <f>SUM(GEN!W27:Z27)</f>
        <v>0</v>
      </c>
      <c r="AP133" s="445">
        <f>SUMIF(GEN!$G$155:$J$155,AP$112,GEN!$R27:$U27)</f>
        <v>0</v>
      </c>
      <c r="AQ133" s="446">
        <f>SUMIF(GEN!$G$155:$J$155,AQ$112,GEN!$R27:$U27)</f>
        <v>0</v>
      </c>
      <c r="AR133" s="447">
        <f>SUMIF(GEN!$G$155:$J$155,AR$112,GEN!$R27:$U27)</f>
        <v>0</v>
      </c>
      <c r="AS133" s="448">
        <f>SUMIF(GEN!$G$155:$J$155,AS$112,GEN!$R27:$U27)</f>
        <v>0</v>
      </c>
      <c r="AT133" s="449">
        <f>GEN!AG27</f>
        <v>0</v>
      </c>
      <c r="AU133" s="445">
        <f>GEN!AH27</f>
        <v>0</v>
      </c>
      <c r="AV133" s="446">
        <f>GEN!AI27</f>
        <v>0</v>
      </c>
      <c r="AW133" s="447">
        <f>GEN!AJ27</f>
        <v>0</v>
      </c>
      <c r="AX133" s="448">
        <f>GEN!AK27</f>
        <v>0</v>
      </c>
      <c r="AY133" s="445">
        <f>SUMIF(GEN!$G$152:$J$152,"&gt;0",GEN!$W27:$Z27)</f>
        <v>0</v>
      </c>
      <c r="AZ133" s="1063">
        <f>SUM(GEN!AB27:AE27)</f>
        <v>0</v>
      </c>
      <c r="BA133" s="445">
        <f>SUMIF(GEN!$G$159:$J$159,BA$111,GEN!$R27:$U27)+SUMIF(GEN!$G$159:$J$159,BA$111,GEN!$W27:$Z27)</f>
        <v>0</v>
      </c>
      <c r="BB133" s="446">
        <f>SUMIF(GEN!$G$159:$J$159,BB$111,GEN!$R27:$U27)+SUMIF(GEN!$G$159:$J$159,BB$111,GEN!$W27:$Z27)</f>
        <v>0</v>
      </c>
      <c r="BC133" s="446">
        <f>SUMIF(GEN!$G$159:$J$159,BC$111,GEN!$R27:$U27)+SUMIF(GEN!$G$159:$J$159,BC$111,GEN!$W27:$Z27)</f>
        <v>0</v>
      </c>
      <c r="BD133" s="446">
        <f>SUMIF(GEN!$G$159:$J$159,BD$111,GEN!$R27:$U27)+SUMIF(GEN!$G$159:$J$159,BD$111,GEN!$W27:$Z27)</f>
        <v>0</v>
      </c>
      <c r="BE133" s="446">
        <f>SUMIF(GEN!$G$159:$J$159,BE$111,GEN!$R27:$U27)+SUMIF(GEN!$G$159:$J$159,BE$111,GEN!$W27:$Z27)</f>
        <v>0</v>
      </c>
      <c r="BF133" s="446">
        <f>SUMIF(GEN!$G$159:$J$159,BF$111,GEN!$R27:$U27)+SUMIF(GEN!$G$159:$J$159,BF$111,GEN!$W27:$Z27)</f>
        <v>0</v>
      </c>
      <c r="BG133" s="448">
        <f>SUMIF(GEN!$G$159:$J$159,BG$111,GEN!$R27:$U27)+SUMIF(GEN!$G$159:$J$159,BG$111,GEN!$W27:$Z27)</f>
        <v>0</v>
      </c>
      <c r="BH133" s="571"/>
      <c r="BI133" s="448"/>
      <c r="BJ133" s="470"/>
      <c r="BK133" s="445">
        <f>SUMIF(GEN!$G$157:$J$157,BK$111,GEN!$R27:$U27)+SUMIF(GEN!$G$157:$J$157,BK$111,GEN!$W27:$Z27)</f>
        <v>0</v>
      </c>
      <c r="BL133" s="446">
        <f>SUMIF(GEN!$G$157:$J$157,BL$111,GEN!$R27:$U27)+SUMIF(GEN!$G$157:$J$157,BL$111,GEN!$W27:$Z27)</f>
        <v>0</v>
      </c>
      <c r="BM133" s="446">
        <f>SUMIF(GEN!$G$157:$J$157,BM$111,GEN!$R27:$U27)+SUMIF(GEN!$G$157:$J$157,BM$111,GEN!$W27:$Z27)</f>
        <v>0</v>
      </c>
      <c r="BN133" s="446">
        <f>SUMIF(GEN!$G$157:$J$157,BN$111,GEN!$R27:$U27)+SUMIF(GEN!$G$157:$J$157,BN$111,GEN!$W27:$Z27)</f>
        <v>0</v>
      </c>
      <c r="BO133" s="446">
        <f>SUMIF(GEN!$G$157:$J$157,BO$111,GEN!$R27:$U27)+SUMIF(GEN!$G$157:$J$157,BO$111,GEN!$W27:$Z27)</f>
        <v>0</v>
      </c>
      <c r="BP133" s="446">
        <f>SUMIF(GEN!$G$157:$J$157,BP$111,GEN!$R27:$U27)+SUMIF(GEN!$G$157:$J$157,BP$111,GEN!$W27:$Z27)</f>
        <v>0</v>
      </c>
      <c r="BQ133" s="448">
        <f>SUMIF(GEN!$G$157:$J$157,BQ$111,GEN!$R27:$U27)+SUMIF(GEN!$G$157:$J$157,BQ$111,GEN!$W27:$Z27)</f>
        <v>0</v>
      </c>
      <c r="BR133" s="571"/>
      <c r="BS133" s="446"/>
      <c r="BT133" s="448"/>
      <c r="BU133" s="470"/>
      <c r="BV133" s="445">
        <f>SUMIF(GEN!$G$158:$J$158,BV$111,GEN!$R27:$U27)+SUMIF(GEN!$G$158:$J$158,BV$111,GEN!$W27:$Z27)</f>
        <v>0</v>
      </c>
      <c r="BW133" s="446">
        <f>SUMIF(GEN!$G$158:$J$158,BW$111,GEN!$R27:$U27)+SUMIF(GEN!$G$158:$J$158,BW$111,GEN!$W27:$Z27)</f>
        <v>0</v>
      </c>
      <c r="BX133" s="446">
        <f>SUMIF(GEN!$G$158:$J$158,BX$111,GEN!$R27:$U27)+SUMIF(GEN!$G$158:$J$158,BX$111,GEN!$W27:$Z27)</f>
        <v>0</v>
      </c>
      <c r="BY133" s="446">
        <f>SUMIF(GEN!$G$158:$J$158,BY$111,GEN!$R27:$U27)+SUMIF(GEN!$G$158:$J$158,BY$111,GEN!$W27:$Z27)</f>
        <v>0</v>
      </c>
      <c r="BZ133" s="446">
        <f>SUMIF(GEN!$G$158:$J$158,BZ$111,GEN!$R27:$U27)+SUMIF(GEN!$G$158:$J$158,BZ$111,GEN!$W27:$Z27)</f>
        <v>0</v>
      </c>
      <c r="CA133" s="446">
        <f>SUMIF(GEN!$G$158:$J$158,CA$111,GEN!$R27:$U27)+SUMIF(GEN!$G$158:$J$158,CA$111,GEN!$W27:$Z27)</f>
        <v>0</v>
      </c>
      <c r="CB133" s="448">
        <f>SUMIF(GEN!$G$158:$J$158,CB$111,GEN!$R27:$U27)+SUMIF(GEN!$G$158:$J$158,CB$111,GEN!$W27:$Z27)</f>
        <v>0</v>
      </c>
      <c r="CC133" s="571"/>
      <c r="CD133" s="448"/>
      <c r="CE133" s="92">
        <f t="shared" si="224"/>
        <v>0</v>
      </c>
      <c r="CF133" s="92">
        <f t="shared" si="225"/>
        <v>0</v>
      </c>
      <c r="CG133" s="151" t="str">
        <f t="shared" si="212"/>
        <v/>
      </c>
      <c r="CH133" s="92">
        <f t="shared" si="213"/>
        <v>0</v>
      </c>
      <c r="CI133" s="92" t="str">
        <f t="shared" si="226"/>
        <v/>
      </c>
      <c r="CJ133" s="1100">
        <f>GEN!AM27</f>
        <v>0</v>
      </c>
      <c r="CK133" s="445">
        <f>SUMIF(GEN!$G$155:$J$155,CK$112,GEN!$AN27:$AQ27)</f>
        <v>0</v>
      </c>
      <c r="CL133" s="446">
        <f>SUMIF(GEN!$G$155:$J$155,CL$112,GEN!$AN27:$AQ27)</f>
        <v>0</v>
      </c>
      <c r="CM133" s="447">
        <f>SUMIF(GEN!$G$155:$J$155,CM$112,GEN!$AN27:$AQ27)</f>
        <v>0</v>
      </c>
      <c r="CN133" s="448">
        <f>SUMIF(GEN!$G$155:$J$155,CN$112,GEN!$AN27:$AQ27)</f>
        <v>0</v>
      </c>
      <c r="CO133" s="1100">
        <f>GEN!AS27</f>
        <v>0</v>
      </c>
      <c r="CP133" s="445">
        <f>GEN!AT27</f>
        <v>0</v>
      </c>
      <c r="CQ133" s="446">
        <f>GEN!AU27</f>
        <v>0</v>
      </c>
      <c r="CR133" s="447">
        <f>GEN!AV27</f>
        <v>0</v>
      </c>
      <c r="CS133" s="448">
        <f>GEN!AW27</f>
        <v>0</v>
      </c>
      <c r="CT133" s="1100">
        <f>GEN!AY27</f>
        <v>0</v>
      </c>
      <c r="CU133" s="2"/>
    </row>
    <row r="134" spans="1:99" ht="14.25" hidden="1" customHeight="1" x14ac:dyDescent="0.2">
      <c r="A134" s="2"/>
      <c r="B134" s="151">
        <f t="shared" si="214"/>
        <v>45312</v>
      </c>
      <c r="C134" s="223">
        <f>IF(AND(E134&gt;(E$491-1),E134&lt;(I$491+1)),W$485,IF(ISERROR(HLOOKUP(E134,$E$484:$L$484,1,FALSE)),HLOOKUP(WEEKDAY(E134,2),IMPOSTAZIONI!$C$51:$P$56,6,FALSE),$W$484))</f>
        <v>0</v>
      </c>
      <c r="D134" s="103" t="str">
        <f t="shared" si="215"/>
        <v/>
      </c>
      <c r="E134" s="2380">
        <f t="shared" si="227"/>
        <v>45312</v>
      </c>
      <c r="F134" s="2381"/>
      <c r="G134" s="2325">
        <f>GEN!E28</f>
        <v>0</v>
      </c>
      <c r="H134" s="2326"/>
      <c r="I134" s="2327"/>
      <c r="J134" s="479" t="str">
        <f t="shared" si="210"/>
        <v/>
      </c>
      <c r="K134" s="480"/>
      <c r="L134" s="2321">
        <f t="shared" si="228"/>
        <v>3</v>
      </c>
      <c r="M134" s="2322"/>
      <c r="N134" s="478"/>
      <c r="O134" s="478"/>
      <c r="P134" s="478"/>
      <c r="Q134" s="2315">
        <f t="shared" si="217"/>
        <v>45312</v>
      </c>
      <c r="R134" s="2315"/>
      <c r="S134" s="478"/>
      <c r="T134" s="140">
        <f t="shared" si="218"/>
        <v>0</v>
      </c>
      <c r="U134" s="478"/>
      <c r="V134" s="478"/>
      <c r="W134" s="478"/>
      <c r="X134" s="478"/>
      <c r="Y134" s="478"/>
      <c r="Z134" s="478"/>
      <c r="AA134" s="478"/>
      <c r="AB134" s="478"/>
      <c r="AC134" s="478"/>
      <c r="AD134" s="478"/>
      <c r="AE134" s="478"/>
      <c r="AF134" s="478"/>
      <c r="AG134" s="140">
        <f t="shared" si="219"/>
        <v>0</v>
      </c>
      <c r="AH134" s="92" t="str">
        <f t="shared" si="220"/>
        <v/>
      </c>
      <c r="AI134" s="131">
        <f t="shared" si="221"/>
        <v>0</v>
      </c>
      <c r="AJ134" s="2"/>
      <c r="AK134" s="92">
        <f>IF(G134=G$481,0,IF(OR(G134&lt;&gt;0,CJ134&lt;&gt;0,C134="L"),COUNTIF(AK$114:AK133,"&gt;0")+1,0))</f>
        <v>0</v>
      </c>
      <c r="AL134" s="92" t="str">
        <f t="shared" si="222"/>
        <v/>
      </c>
      <c r="AM134" s="92" t="str">
        <f t="shared" si="223"/>
        <v/>
      </c>
      <c r="AN134" s="131">
        <f t="shared" si="211"/>
        <v>0</v>
      </c>
      <c r="AO134" s="447">
        <f>SUM(GEN!W28:Z28)</f>
        <v>0</v>
      </c>
      <c r="AP134" s="445">
        <f>SUMIF(GEN!$G$155:$J$155,AP$112,GEN!$R28:$U28)</f>
        <v>0</v>
      </c>
      <c r="AQ134" s="446">
        <f>SUMIF(GEN!$G$155:$J$155,AQ$112,GEN!$R28:$U28)</f>
        <v>0</v>
      </c>
      <c r="AR134" s="447">
        <f>SUMIF(GEN!$G$155:$J$155,AR$112,GEN!$R28:$U28)</f>
        <v>0</v>
      </c>
      <c r="AS134" s="448">
        <f>SUMIF(GEN!$G$155:$J$155,AS$112,GEN!$R28:$U28)</f>
        <v>0</v>
      </c>
      <c r="AT134" s="449">
        <f>GEN!AG28</f>
        <v>0</v>
      </c>
      <c r="AU134" s="445">
        <f>GEN!AH28</f>
        <v>0</v>
      </c>
      <c r="AV134" s="446">
        <f>GEN!AI28</f>
        <v>0</v>
      </c>
      <c r="AW134" s="447">
        <f>GEN!AJ28</f>
        <v>0</v>
      </c>
      <c r="AX134" s="448">
        <f>GEN!AK28</f>
        <v>0</v>
      </c>
      <c r="AY134" s="445">
        <f>SUMIF(GEN!$G$152:$J$152,"&gt;0",GEN!$W28:$Z28)</f>
        <v>0</v>
      </c>
      <c r="AZ134" s="1063">
        <f>SUM(GEN!AB28:AE28)</f>
        <v>0</v>
      </c>
      <c r="BA134" s="445">
        <f>SUMIF(GEN!$G$159:$J$159,BA$111,GEN!$R28:$U28)+SUMIF(GEN!$G$159:$J$159,BA$111,GEN!$W28:$Z28)</f>
        <v>0</v>
      </c>
      <c r="BB134" s="446">
        <f>SUMIF(GEN!$G$159:$J$159,BB$111,GEN!$R28:$U28)+SUMIF(GEN!$G$159:$J$159,BB$111,GEN!$W28:$Z28)</f>
        <v>0</v>
      </c>
      <c r="BC134" s="446">
        <f>SUMIF(GEN!$G$159:$J$159,BC$111,GEN!$R28:$U28)+SUMIF(GEN!$G$159:$J$159,BC$111,GEN!$W28:$Z28)</f>
        <v>0</v>
      </c>
      <c r="BD134" s="446">
        <f>SUMIF(GEN!$G$159:$J$159,BD$111,GEN!$R28:$U28)+SUMIF(GEN!$G$159:$J$159,BD$111,GEN!$W28:$Z28)</f>
        <v>0</v>
      </c>
      <c r="BE134" s="446">
        <f>SUMIF(GEN!$G$159:$J$159,BE$111,GEN!$R28:$U28)+SUMIF(GEN!$G$159:$J$159,BE$111,GEN!$W28:$Z28)</f>
        <v>0</v>
      </c>
      <c r="BF134" s="446">
        <f>SUMIF(GEN!$G$159:$J$159,BF$111,GEN!$R28:$U28)+SUMIF(GEN!$G$159:$J$159,BF$111,GEN!$W28:$Z28)</f>
        <v>0</v>
      </c>
      <c r="BG134" s="448">
        <f>SUMIF(GEN!$G$159:$J$159,BG$111,GEN!$R28:$U28)+SUMIF(GEN!$G$159:$J$159,BG$111,GEN!$W28:$Z28)</f>
        <v>0</v>
      </c>
      <c r="BH134" s="571"/>
      <c r="BI134" s="448"/>
      <c r="BJ134" s="470"/>
      <c r="BK134" s="445">
        <f>SUMIF(GEN!$G$157:$J$157,BK$111,GEN!$R28:$U28)+SUMIF(GEN!$G$157:$J$157,BK$111,GEN!$W28:$Z28)</f>
        <v>0</v>
      </c>
      <c r="BL134" s="446">
        <f>SUMIF(GEN!$G$157:$J$157,BL$111,GEN!$R28:$U28)+SUMIF(GEN!$G$157:$J$157,BL$111,GEN!$W28:$Z28)</f>
        <v>0</v>
      </c>
      <c r="BM134" s="446">
        <f>SUMIF(GEN!$G$157:$J$157,BM$111,GEN!$R28:$U28)+SUMIF(GEN!$G$157:$J$157,BM$111,GEN!$W28:$Z28)</f>
        <v>0</v>
      </c>
      <c r="BN134" s="446">
        <f>SUMIF(GEN!$G$157:$J$157,BN$111,GEN!$R28:$U28)+SUMIF(GEN!$G$157:$J$157,BN$111,GEN!$W28:$Z28)</f>
        <v>0</v>
      </c>
      <c r="BO134" s="446">
        <f>SUMIF(GEN!$G$157:$J$157,BO$111,GEN!$R28:$U28)+SUMIF(GEN!$G$157:$J$157,BO$111,GEN!$W28:$Z28)</f>
        <v>0</v>
      </c>
      <c r="BP134" s="446">
        <f>SUMIF(GEN!$G$157:$J$157,BP$111,GEN!$R28:$U28)+SUMIF(GEN!$G$157:$J$157,BP$111,GEN!$W28:$Z28)</f>
        <v>0</v>
      </c>
      <c r="BQ134" s="448">
        <f>SUMIF(GEN!$G$157:$J$157,BQ$111,GEN!$R28:$U28)+SUMIF(GEN!$G$157:$J$157,BQ$111,GEN!$W28:$Z28)</f>
        <v>0</v>
      </c>
      <c r="BR134" s="571"/>
      <c r="BS134" s="446"/>
      <c r="BT134" s="448"/>
      <c r="BU134" s="470"/>
      <c r="BV134" s="445">
        <f>SUMIF(GEN!$G$158:$J$158,BV$111,GEN!$R28:$U28)+SUMIF(GEN!$G$158:$J$158,BV$111,GEN!$W28:$Z28)</f>
        <v>0</v>
      </c>
      <c r="BW134" s="446">
        <f>SUMIF(GEN!$G$158:$J$158,BW$111,GEN!$R28:$U28)+SUMIF(GEN!$G$158:$J$158,BW$111,GEN!$W28:$Z28)</f>
        <v>0</v>
      </c>
      <c r="BX134" s="446">
        <f>SUMIF(GEN!$G$158:$J$158,BX$111,GEN!$R28:$U28)+SUMIF(GEN!$G$158:$J$158,BX$111,GEN!$W28:$Z28)</f>
        <v>0</v>
      </c>
      <c r="BY134" s="446">
        <f>SUMIF(GEN!$G$158:$J$158,BY$111,GEN!$R28:$U28)+SUMIF(GEN!$G$158:$J$158,BY$111,GEN!$W28:$Z28)</f>
        <v>0</v>
      </c>
      <c r="BZ134" s="446">
        <f>SUMIF(GEN!$G$158:$J$158,BZ$111,GEN!$R28:$U28)+SUMIF(GEN!$G$158:$J$158,BZ$111,GEN!$W28:$Z28)</f>
        <v>0</v>
      </c>
      <c r="CA134" s="446">
        <f>SUMIF(GEN!$G$158:$J$158,CA$111,GEN!$R28:$U28)+SUMIF(GEN!$G$158:$J$158,CA$111,GEN!$W28:$Z28)</f>
        <v>0</v>
      </c>
      <c r="CB134" s="448">
        <f>SUMIF(GEN!$G$158:$J$158,CB$111,GEN!$R28:$U28)+SUMIF(GEN!$G$158:$J$158,CB$111,GEN!$W28:$Z28)</f>
        <v>0</v>
      </c>
      <c r="CC134" s="571"/>
      <c r="CD134" s="448"/>
      <c r="CE134" s="92">
        <f t="shared" si="224"/>
        <v>0</v>
      </c>
      <c r="CF134" s="92">
        <f t="shared" si="225"/>
        <v>0</v>
      </c>
      <c r="CG134" s="151" t="str">
        <f t="shared" si="212"/>
        <v/>
      </c>
      <c r="CH134" s="92">
        <f t="shared" si="213"/>
        <v>0</v>
      </c>
      <c r="CI134" s="92" t="str">
        <f t="shared" si="226"/>
        <v/>
      </c>
      <c r="CJ134" s="1100">
        <f>GEN!AM28</f>
        <v>0</v>
      </c>
      <c r="CK134" s="445">
        <f>SUMIF(GEN!$G$155:$J$155,CK$112,GEN!$AN28:$AQ28)</f>
        <v>0</v>
      </c>
      <c r="CL134" s="446">
        <f>SUMIF(GEN!$G$155:$J$155,CL$112,GEN!$AN28:$AQ28)</f>
        <v>0</v>
      </c>
      <c r="CM134" s="447">
        <f>SUMIF(GEN!$G$155:$J$155,CM$112,GEN!$AN28:$AQ28)</f>
        <v>0</v>
      </c>
      <c r="CN134" s="448">
        <f>SUMIF(GEN!$G$155:$J$155,CN$112,GEN!$AN28:$AQ28)</f>
        <v>0</v>
      </c>
      <c r="CO134" s="1100">
        <f>GEN!AS28</f>
        <v>0</v>
      </c>
      <c r="CP134" s="445">
        <f>GEN!AT28</f>
        <v>0</v>
      </c>
      <c r="CQ134" s="446">
        <f>GEN!AU28</f>
        <v>0</v>
      </c>
      <c r="CR134" s="447">
        <f>GEN!AV28</f>
        <v>0</v>
      </c>
      <c r="CS134" s="448">
        <f>GEN!AW28</f>
        <v>0</v>
      </c>
      <c r="CT134" s="1100">
        <f>GEN!AY28</f>
        <v>0</v>
      </c>
      <c r="CU134" s="2"/>
    </row>
    <row r="135" spans="1:99" ht="14.25" hidden="1" customHeight="1" x14ac:dyDescent="0.2">
      <c r="A135" s="2"/>
      <c r="B135" s="151">
        <f t="shared" si="214"/>
        <v>45313</v>
      </c>
      <c r="C135" s="223">
        <f>IF(AND(E135&gt;(E$491-1),E135&lt;(I$491+1)),W$485,IF(ISERROR(HLOOKUP(E135,$E$484:$L$484,1,FALSE)),HLOOKUP(WEEKDAY(E135,2),IMPOSTAZIONI!$C$51:$P$56,6,FALSE),$W$484))</f>
        <v>0</v>
      </c>
      <c r="D135" s="103" t="str">
        <f t="shared" si="215"/>
        <v/>
      </c>
      <c r="E135" s="2380">
        <f t="shared" si="227"/>
        <v>45313</v>
      </c>
      <c r="F135" s="2381"/>
      <c r="G135" s="2325">
        <f>GEN!E29</f>
        <v>0</v>
      </c>
      <c r="H135" s="2326"/>
      <c r="I135" s="2327"/>
      <c r="J135" s="479" t="str">
        <f t="shared" si="210"/>
        <v/>
      </c>
      <c r="K135" s="480"/>
      <c r="L135" s="2323">
        <f t="shared" si="228"/>
        <v>4</v>
      </c>
      <c r="M135" s="2324"/>
      <c r="N135" s="478"/>
      <c r="O135" s="478"/>
      <c r="P135" s="478"/>
      <c r="Q135" s="2315">
        <f t="shared" si="217"/>
        <v>45313</v>
      </c>
      <c r="R135" s="2315"/>
      <c r="S135" s="478"/>
      <c r="T135" s="140">
        <f t="shared" si="218"/>
        <v>0</v>
      </c>
      <c r="U135" s="478"/>
      <c r="V135" s="478"/>
      <c r="W135" s="478"/>
      <c r="X135" s="478"/>
      <c r="Y135" s="478"/>
      <c r="Z135" s="478"/>
      <c r="AA135" s="478"/>
      <c r="AB135" s="478"/>
      <c r="AC135" s="478"/>
      <c r="AD135" s="478"/>
      <c r="AE135" s="478"/>
      <c r="AF135" s="478"/>
      <c r="AG135" s="140">
        <f t="shared" si="219"/>
        <v>0</v>
      </c>
      <c r="AH135" s="92" t="str">
        <f t="shared" si="220"/>
        <v/>
      </c>
      <c r="AI135" s="131">
        <f t="shared" si="221"/>
        <v>0</v>
      </c>
      <c r="AJ135" s="2"/>
      <c r="AK135" s="92">
        <f>IF(G135=G$481,0,IF(OR(G135&lt;&gt;0,CJ135&lt;&gt;0,C135="L"),COUNTIF(AK$114:AK134,"&gt;0")+1,0))</f>
        <v>0</v>
      </c>
      <c r="AL135" s="92" t="str">
        <f t="shared" si="222"/>
        <v/>
      </c>
      <c r="AM135" s="92" t="str">
        <f t="shared" si="223"/>
        <v/>
      </c>
      <c r="AN135" s="131">
        <f t="shared" si="211"/>
        <v>0</v>
      </c>
      <c r="AO135" s="447">
        <f>SUM(GEN!W29:Z29)</f>
        <v>0</v>
      </c>
      <c r="AP135" s="445">
        <f>SUMIF(GEN!$G$155:$J$155,AP$112,GEN!$R29:$U29)</f>
        <v>0</v>
      </c>
      <c r="AQ135" s="446">
        <f>SUMIF(GEN!$G$155:$J$155,AQ$112,GEN!$R29:$U29)</f>
        <v>0</v>
      </c>
      <c r="AR135" s="447">
        <f>SUMIF(GEN!$G$155:$J$155,AR$112,GEN!$R29:$U29)</f>
        <v>0</v>
      </c>
      <c r="AS135" s="448">
        <f>SUMIF(GEN!$G$155:$J$155,AS$112,GEN!$R29:$U29)</f>
        <v>0</v>
      </c>
      <c r="AT135" s="449">
        <f>GEN!AG29</f>
        <v>0</v>
      </c>
      <c r="AU135" s="445">
        <f>GEN!AH29</f>
        <v>0</v>
      </c>
      <c r="AV135" s="446">
        <f>GEN!AI29</f>
        <v>0</v>
      </c>
      <c r="AW135" s="447">
        <f>GEN!AJ29</f>
        <v>0</v>
      </c>
      <c r="AX135" s="448">
        <f>GEN!AK29</f>
        <v>0</v>
      </c>
      <c r="AY135" s="445">
        <f>SUMIF(GEN!$G$152:$J$152,"&gt;0",GEN!$W29:$Z29)</f>
        <v>0</v>
      </c>
      <c r="AZ135" s="1063">
        <f>SUM(GEN!AB29:AE29)</f>
        <v>0</v>
      </c>
      <c r="BA135" s="445">
        <f>SUMIF(GEN!$G$159:$J$159,BA$111,GEN!$R29:$U29)+SUMIF(GEN!$G$159:$J$159,BA$111,GEN!$W29:$Z29)</f>
        <v>0</v>
      </c>
      <c r="BB135" s="446">
        <f>SUMIF(GEN!$G$159:$J$159,BB$111,GEN!$R29:$U29)+SUMIF(GEN!$G$159:$J$159,BB$111,GEN!$W29:$Z29)</f>
        <v>0</v>
      </c>
      <c r="BC135" s="446">
        <f>SUMIF(GEN!$G$159:$J$159,BC$111,GEN!$R29:$U29)+SUMIF(GEN!$G$159:$J$159,BC$111,GEN!$W29:$Z29)</f>
        <v>0</v>
      </c>
      <c r="BD135" s="446">
        <f>SUMIF(GEN!$G$159:$J$159,BD$111,GEN!$R29:$U29)+SUMIF(GEN!$G$159:$J$159,BD$111,GEN!$W29:$Z29)</f>
        <v>0</v>
      </c>
      <c r="BE135" s="446">
        <f>SUMIF(GEN!$G$159:$J$159,BE$111,GEN!$R29:$U29)+SUMIF(GEN!$G$159:$J$159,BE$111,GEN!$W29:$Z29)</f>
        <v>0</v>
      </c>
      <c r="BF135" s="446">
        <f>SUMIF(GEN!$G$159:$J$159,BF$111,GEN!$R29:$U29)+SUMIF(GEN!$G$159:$J$159,BF$111,GEN!$W29:$Z29)</f>
        <v>0</v>
      </c>
      <c r="BG135" s="448">
        <f>SUMIF(GEN!$G$159:$J$159,BG$111,GEN!$R29:$U29)+SUMIF(GEN!$G$159:$J$159,BG$111,GEN!$W29:$Z29)</f>
        <v>0</v>
      </c>
      <c r="BH135" s="571"/>
      <c r="BI135" s="448"/>
      <c r="BJ135" s="470"/>
      <c r="BK135" s="445">
        <f>SUMIF(GEN!$G$157:$J$157,BK$111,GEN!$R29:$U29)+SUMIF(GEN!$G$157:$J$157,BK$111,GEN!$W29:$Z29)</f>
        <v>0</v>
      </c>
      <c r="BL135" s="446">
        <f>SUMIF(GEN!$G$157:$J$157,BL$111,GEN!$R29:$U29)+SUMIF(GEN!$G$157:$J$157,BL$111,GEN!$W29:$Z29)</f>
        <v>0</v>
      </c>
      <c r="BM135" s="446">
        <f>SUMIF(GEN!$G$157:$J$157,BM$111,GEN!$R29:$U29)+SUMIF(GEN!$G$157:$J$157,BM$111,GEN!$W29:$Z29)</f>
        <v>0</v>
      </c>
      <c r="BN135" s="446">
        <f>SUMIF(GEN!$G$157:$J$157,BN$111,GEN!$R29:$U29)+SUMIF(GEN!$G$157:$J$157,BN$111,GEN!$W29:$Z29)</f>
        <v>0</v>
      </c>
      <c r="BO135" s="446">
        <f>SUMIF(GEN!$G$157:$J$157,BO$111,GEN!$R29:$U29)+SUMIF(GEN!$G$157:$J$157,BO$111,GEN!$W29:$Z29)</f>
        <v>0</v>
      </c>
      <c r="BP135" s="446">
        <f>SUMIF(GEN!$G$157:$J$157,BP$111,GEN!$R29:$U29)+SUMIF(GEN!$G$157:$J$157,BP$111,GEN!$W29:$Z29)</f>
        <v>0</v>
      </c>
      <c r="BQ135" s="448">
        <f>SUMIF(GEN!$G$157:$J$157,BQ$111,GEN!$R29:$U29)+SUMIF(GEN!$G$157:$J$157,BQ$111,GEN!$W29:$Z29)</f>
        <v>0</v>
      </c>
      <c r="BR135" s="571"/>
      <c r="BS135" s="446"/>
      <c r="BT135" s="448"/>
      <c r="BU135" s="470"/>
      <c r="BV135" s="445">
        <f>SUMIF(GEN!$G$158:$J$158,BV$111,GEN!$R29:$U29)+SUMIF(GEN!$G$158:$J$158,BV$111,GEN!$W29:$Z29)</f>
        <v>0</v>
      </c>
      <c r="BW135" s="446">
        <f>SUMIF(GEN!$G$158:$J$158,BW$111,GEN!$R29:$U29)+SUMIF(GEN!$G$158:$J$158,BW$111,GEN!$W29:$Z29)</f>
        <v>0</v>
      </c>
      <c r="BX135" s="446">
        <f>SUMIF(GEN!$G$158:$J$158,BX$111,GEN!$R29:$U29)+SUMIF(GEN!$G$158:$J$158,BX$111,GEN!$W29:$Z29)</f>
        <v>0</v>
      </c>
      <c r="BY135" s="446">
        <f>SUMIF(GEN!$G$158:$J$158,BY$111,GEN!$R29:$U29)+SUMIF(GEN!$G$158:$J$158,BY$111,GEN!$W29:$Z29)</f>
        <v>0</v>
      </c>
      <c r="BZ135" s="446">
        <f>SUMIF(GEN!$G$158:$J$158,BZ$111,GEN!$R29:$U29)+SUMIF(GEN!$G$158:$J$158,BZ$111,GEN!$W29:$Z29)</f>
        <v>0</v>
      </c>
      <c r="CA135" s="446">
        <f>SUMIF(GEN!$G$158:$J$158,CA$111,GEN!$R29:$U29)+SUMIF(GEN!$G$158:$J$158,CA$111,GEN!$W29:$Z29)</f>
        <v>0</v>
      </c>
      <c r="CB135" s="448">
        <f>SUMIF(GEN!$G$158:$J$158,CB$111,GEN!$R29:$U29)+SUMIF(GEN!$G$158:$J$158,CB$111,GEN!$W29:$Z29)</f>
        <v>0</v>
      </c>
      <c r="CC135" s="571"/>
      <c r="CD135" s="448"/>
      <c r="CE135" s="92">
        <f t="shared" si="224"/>
        <v>0</v>
      </c>
      <c r="CF135" s="92">
        <f t="shared" si="225"/>
        <v>0</v>
      </c>
      <c r="CG135" s="151" t="str">
        <f t="shared" si="212"/>
        <v/>
      </c>
      <c r="CH135" s="92">
        <f t="shared" si="213"/>
        <v>0</v>
      </c>
      <c r="CI135" s="92" t="str">
        <f t="shared" si="226"/>
        <v/>
      </c>
      <c r="CJ135" s="1100">
        <f>GEN!AM29</f>
        <v>0</v>
      </c>
      <c r="CK135" s="445">
        <f>SUMIF(GEN!$G$155:$J$155,CK$112,GEN!$AN29:$AQ29)</f>
        <v>0</v>
      </c>
      <c r="CL135" s="446">
        <f>SUMIF(GEN!$G$155:$J$155,CL$112,GEN!$AN29:$AQ29)</f>
        <v>0</v>
      </c>
      <c r="CM135" s="447">
        <f>SUMIF(GEN!$G$155:$J$155,CM$112,GEN!$AN29:$AQ29)</f>
        <v>0</v>
      </c>
      <c r="CN135" s="448">
        <f>SUMIF(GEN!$G$155:$J$155,CN$112,GEN!$AN29:$AQ29)</f>
        <v>0</v>
      </c>
      <c r="CO135" s="1100">
        <f>GEN!AS29</f>
        <v>0</v>
      </c>
      <c r="CP135" s="445">
        <f>GEN!AT29</f>
        <v>0</v>
      </c>
      <c r="CQ135" s="446">
        <f>GEN!AU29</f>
        <v>0</v>
      </c>
      <c r="CR135" s="447">
        <f>GEN!AV29</f>
        <v>0</v>
      </c>
      <c r="CS135" s="448">
        <f>GEN!AW29</f>
        <v>0</v>
      </c>
      <c r="CT135" s="1100">
        <f>GEN!AY29</f>
        <v>0</v>
      </c>
      <c r="CU135" s="2"/>
    </row>
    <row r="136" spans="1:99" ht="14.25" hidden="1" customHeight="1" x14ac:dyDescent="0.2">
      <c r="A136" s="2"/>
      <c r="B136" s="151">
        <f t="shared" si="214"/>
        <v>45314</v>
      </c>
      <c r="C136" s="223">
        <f>IF(AND(E136&gt;(E$491-1),E136&lt;(I$491+1)),W$485,IF(ISERROR(HLOOKUP(E136,$E$484:$L$484,1,FALSE)),HLOOKUP(WEEKDAY(E136,2),IMPOSTAZIONI!$C$51:$P$56,6,FALSE),$W$484))</f>
        <v>0</v>
      </c>
      <c r="D136" s="103" t="str">
        <f t="shared" si="215"/>
        <v/>
      </c>
      <c r="E136" s="2380">
        <f t="shared" si="227"/>
        <v>45314</v>
      </c>
      <c r="F136" s="2381"/>
      <c r="G136" s="2325">
        <f>GEN!E30</f>
        <v>0</v>
      </c>
      <c r="H136" s="2326"/>
      <c r="I136" s="2327"/>
      <c r="J136" s="479" t="str">
        <f t="shared" si="210"/>
        <v/>
      </c>
      <c r="K136" s="480"/>
      <c r="L136" s="2319">
        <f t="shared" si="228"/>
        <v>4</v>
      </c>
      <c r="M136" s="2320"/>
      <c r="N136" s="478"/>
      <c r="O136" s="478"/>
      <c r="P136" s="478"/>
      <c r="Q136" s="2315">
        <f t="shared" si="217"/>
        <v>45314</v>
      </c>
      <c r="R136" s="2315"/>
      <c r="S136" s="478"/>
      <c r="T136" s="140">
        <f t="shared" si="218"/>
        <v>0</v>
      </c>
      <c r="U136" s="478"/>
      <c r="V136" s="478"/>
      <c r="W136" s="478"/>
      <c r="X136" s="478"/>
      <c r="Y136" s="478"/>
      <c r="Z136" s="478"/>
      <c r="AA136" s="478"/>
      <c r="AB136" s="478"/>
      <c r="AC136" s="478"/>
      <c r="AD136" s="478"/>
      <c r="AE136" s="478"/>
      <c r="AF136" s="478"/>
      <c r="AG136" s="140">
        <f t="shared" si="219"/>
        <v>0</v>
      </c>
      <c r="AH136" s="92" t="str">
        <f t="shared" si="220"/>
        <v/>
      </c>
      <c r="AI136" s="131">
        <f t="shared" si="221"/>
        <v>0</v>
      </c>
      <c r="AJ136" s="2"/>
      <c r="AK136" s="92">
        <f>IF(G136=G$481,0,IF(OR(G136&lt;&gt;0,CJ136&lt;&gt;0,C136="L"),COUNTIF(AK$114:AK135,"&gt;0")+1,0))</f>
        <v>0</v>
      </c>
      <c r="AL136" s="92" t="str">
        <f t="shared" si="222"/>
        <v/>
      </c>
      <c r="AM136" s="92" t="str">
        <f t="shared" si="223"/>
        <v/>
      </c>
      <c r="AN136" s="131">
        <f t="shared" si="211"/>
        <v>0</v>
      </c>
      <c r="AO136" s="447">
        <f>SUM(GEN!W30:Z30)</f>
        <v>0</v>
      </c>
      <c r="AP136" s="445">
        <f>SUMIF(GEN!$G$155:$J$155,AP$112,GEN!$R30:$U30)</f>
        <v>0</v>
      </c>
      <c r="AQ136" s="446">
        <f>SUMIF(GEN!$G$155:$J$155,AQ$112,GEN!$R30:$U30)</f>
        <v>0</v>
      </c>
      <c r="AR136" s="447">
        <f>SUMIF(GEN!$G$155:$J$155,AR$112,GEN!$R30:$U30)</f>
        <v>0</v>
      </c>
      <c r="AS136" s="448">
        <f>SUMIF(GEN!$G$155:$J$155,AS$112,GEN!$R30:$U30)</f>
        <v>0</v>
      </c>
      <c r="AT136" s="449">
        <f>GEN!AG30</f>
        <v>0</v>
      </c>
      <c r="AU136" s="445">
        <f>GEN!AH30</f>
        <v>0</v>
      </c>
      <c r="AV136" s="446">
        <f>GEN!AI30</f>
        <v>0</v>
      </c>
      <c r="AW136" s="447">
        <f>GEN!AJ30</f>
        <v>0</v>
      </c>
      <c r="AX136" s="448">
        <f>GEN!AK30</f>
        <v>0</v>
      </c>
      <c r="AY136" s="445">
        <f>SUMIF(GEN!$G$152:$J$152,"&gt;0",GEN!$W30:$Z30)</f>
        <v>0</v>
      </c>
      <c r="AZ136" s="1063">
        <f>SUM(GEN!AB30:AE30)</f>
        <v>0</v>
      </c>
      <c r="BA136" s="445">
        <f>SUMIF(GEN!$G$159:$J$159,BA$111,GEN!$R30:$U30)+SUMIF(GEN!$G$159:$J$159,BA$111,GEN!$W30:$Z30)</f>
        <v>0</v>
      </c>
      <c r="BB136" s="446">
        <f>SUMIF(GEN!$G$159:$J$159,BB$111,GEN!$R30:$U30)+SUMIF(GEN!$G$159:$J$159,BB$111,GEN!$W30:$Z30)</f>
        <v>0</v>
      </c>
      <c r="BC136" s="446">
        <f>SUMIF(GEN!$G$159:$J$159,BC$111,GEN!$R30:$U30)+SUMIF(GEN!$G$159:$J$159,BC$111,GEN!$W30:$Z30)</f>
        <v>0</v>
      </c>
      <c r="BD136" s="446">
        <f>SUMIF(GEN!$G$159:$J$159,BD$111,GEN!$R30:$U30)+SUMIF(GEN!$G$159:$J$159,BD$111,GEN!$W30:$Z30)</f>
        <v>0</v>
      </c>
      <c r="BE136" s="446">
        <f>SUMIF(GEN!$G$159:$J$159,BE$111,GEN!$R30:$U30)+SUMIF(GEN!$G$159:$J$159,BE$111,GEN!$W30:$Z30)</f>
        <v>0</v>
      </c>
      <c r="BF136" s="446">
        <f>SUMIF(GEN!$G$159:$J$159,BF$111,GEN!$R30:$U30)+SUMIF(GEN!$G$159:$J$159,BF$111,GEN!$W30:$Z30)</f>
        <v>0</v>
      </c>
      <c r="BG136" s="448">
        <f>SUMIF(GEN!$G$159:$J$159,BG$111,GEN!$R30:$U30)+SUMIF(GEN!$G$159:$J$159,BG$111,GEN!$W30:$Z30)</f>
        <v>0</v>
      </c>
      <c r="BH136" s="571"/>
      <c r="BI136" s="448"/>
      <c r="BJ136" s="470"/>
      <c r="BK136" s="445">
        <f>SUMIF(GEN!$G$157:$J$157,BK$111,GEN!$R30:$U30)+SUMIF(GEN!$G$157:$J$157,BK$111,GEN!$W30:$Z30)</f>
        <v>0</v>
      </c>
      <c r="BL136" s="446">
        <f>SUMIF(GEN!$G$157:$J$157,BL$111,GEN!$R30:$U30)+SUMIF(GEN!$G$157:$J$157,BL$111,GEN!$W30:$Z30)</f>
        <v>0</v>
      </c>
      <c r="BM136" s="446">
        <f>SUMIF(GEN!$G$157:$J$157,BM$111,GEN!$R30:$U30)+SUMIF(GEN!$G$157:$J$157,BM$111,GEN!$W30:$Z30)</f>
        <v>0</v>
      </c>
      <c r="BN136" s="446">
        <f>SUMIF(GEN!$G$157:$J$157,BN$111,GEN!$R30:$U30)+SUMIF(GEN!$G$157:$J$157,BN$111,GEN!$W30:$Z30)</f>
        <v>0</v>
      </c>
      <c r="BO136" s="446">
        <f>SUMIF(GEN!$G$157:$J$157,BO$111,GEN!$R30:$U30)+SUMIF(GEN!$G$157:$J$157,BO$111,GEN!$W30:$Z30)</f>
        <v>0</v>
      </c>
      <c r="BP136" s="446">
        <f>SUMIF(GEN!$G$157:$J$157,BP$111,GEN!$R30:$U30)+SUMIF(GEN!$G$157:$J$157,BP$111,GEN!$W30:$Z30)</f>
        <v>0</v>
      </c>
      <c r="BQ136" s="448">
        <f>SUMIF(GEN!$G$157:$J$157,BQ$111,GEN!$R30:$U30)+SUMIF(GEN!$G$157:$J$157,BQ$111,GEN!$W30:$Z30)</f>
        <v>0</v>
      </c>
      <c r="BR136" s="571"/>
      <c r="BS136" s="446"/>
      <c r="BT136" s="448"/>
      <c r="BU136" s="470"/>
      <c r="BV136" s="445">
        <f>SUMIF(GEN!$G$158:$J$158,BV$111,GEN!$R30:$U30)+SUMIF(GEN!$G$158:$J$158,BV$111,GEN!$W30:$Z30)</f>
        <v>0</v>
      </c>
      <c r="BW136" s="446">
        <f>SUMIF(GEN!$G$158:$J$158,BW$111,GEN!$R30:$U30)+SUMIF(GEN!$G$158:$J$158,BW$111,GEN!$W30:$Z30)</f>
        <v>0</v>
      </c>
      <c r="BX136" s="446">
        <f>SUMIF(GEN!$G$158:$J$158,BX$111,GEN!$R30:$U30)+SUMIF(GEN!$G$158:$J$158,BX$111,GEN!$W30:$Z30)</f>
        <v>0</v>
      </c>
      <c r="BY136" s="446">
        <f>SUMIF(GEN!$G$158:$J$158,BY$111,GEN!$R30:$U30)+SUMIF(GEN!$G$158:$J$158,BY$111,GEN!$W30:$Z30)</f>
        <v>0</v>
      </c>
      <c r="BZ136" s="446">
        <f>SUMIF(GEN!$G$158:$J$158,BZ$111,GEN!$R30:$U30)+SUMIF(GEN!$G$158:$J$158,BZ$111,GEN!$W30:$Z30)</f>
        <v>0</v>
      </c>
      <c r="CA136" s="446">
        <f>SUMIF(GEN!$G$158:$J$158,CA$111,GEN!$R30:$U30)+SUMIF(GEN!$G$158:$J$158,CA$111,GEN!$W30:$Z30)</f>
        <v>0</v>
      </c>
      <c r="CB136" s="448">
        <f>SUMIF(GEN!$G$158:$J$158,CB$111,GEN!$R30:$U30)+SUMIF(GEN!$G$158:$J$158,CB$111,GEN!$W30:$Z30)</f>
        <v>0</v>
      </c>
      <c r="CC136" s="571"/>
      <c r="CD136" s="448"/>
      <c r="CE136" s="92">
        <f t="shared" si="224"/>
        <v>0</v>
      </c>
      <c r="CF136" s="92">
        <f t="shared" si="225"/>
        <v>0</v>
      </c>
      <c r="CG136" s="151" t="str">
        <f t="shared" si="212"/>
        <v/>
      </c>
      <c r="CH136" s="92">
        <f t="shared" si="213"/>
        <v>0</v>
      </c>
      <c r="CI136" s="92" t="str">
        <f t="shared" si="226"/>
        <v/>
      </c>
      <c r="CJ136" s="1100">
        <f>GEN!AM30</f>
        <v>0</v>
      </c>
      <c r="CK136" s="445">
        <f>SUMIF(GEN!$G$155:$J$155,CK$112,GEN!$AN30:$AQ30)</f>
        <v>0</v>
      </c>
      <c r="CL136" s="446">
        <f>SUMIF(GEN!$G$155:$J$155,CL$112,GEN!$AN30:$AQ30)</f>
        <v>0</v>
      </c>
      <c r="CM136" s="447">
        <f>SUMIF(GEN!$G$155:$J$155,CM$112,GEN!$AN30:$AQ30)</f>
        <v>0</v>
      </c>
      <c r="CN136" s="448">
        <f>SUMIF(GEN!$G$155:$J$155,CN$112,GEN!$AN30:$AQ30)</f>
        <v>0</v>
      </c>
      <c r="CO136" s="1100">
        <f>GEN!AS30</f>
        <v>0</v>
      </c>
      <c r="CP136" s="445">
        <f>GEN!AT30</f>
        <v>0</v>
      </c>
      <c r="CQ136" s="446">
        <f>GEN!AU30</f>
        <v>0</v>
      </c>
      <c r="CR136" s="447">
        <f>GEN!AV30</f>
        <v>0</v>
      </c>
      <c r="CS136" s="448">
        <f>GEN!AW30</f>
        <v>0</v>
      </c>
      <c r="CT136" s="1100">
        <f>GEN!AY30</f>
        <v>0</v>
      </c>
      <c r="CU136" s="2"/>
    </row>
    <row r="137" spans="1:99" ht="14.25" hidden="1" customHeight="1" x14ac:dyDescent="0.2">
      <c r="A137" s="2"/>
      <c r="B137" s="151">
        <f t="shared" si="214"/>
        <v>45315</v>
      </c>
      <c r="C137" s="223">
        <f>IF(AND(E137&gt;(E$491-1),E137&lt;(I$491+1)),W$485,IF(ISERROR(HLOOKUP(E137,$E$484:$L$484,1,FALSE)),HLOOKUP(WEEKDAY(E137,2),IMPOSTAZIONI!$C$51:$P$56,6,FALSE),$W$484))</f>
        <v>0</v>
      </c>
      <c r="D137" s="103" t="str">
        <f t="shared" si="215"/>
        <v/>
      </c>
      <c r="E137" s="2380">
        <f t="shared" si="227"/>
        <v>45315</v>
      </c>
      <c r="F137" s="2381"/>
      <c r="G137" s="2325">
        <f>GEN!E31</f>
        <v>0</v>
      </c>
      <c r="H137" s="2326"/>
      <c r="I137" s="2327"/>
      <c r="J137" s="479" t="str">
        <f t="shared" si="210"/>
        <v/>
      </c>
      <c r="K137" s="480"/>
      <c r="L137" s="2319">
        <f t="shared" si="228"/>
        <v>4</v>
      </c>
      <c r="M137" s="2320"/>
      <c r="N137" s="478"/>
      <c r="O137" s="478"/>
      <c r="P137" s="478"/>
      <c r="Q137" s="2315">
        <f t="shared" si="217"/>
        <v>45315</v>
      </c>
      <c r="R137" s="2315"/>
      <c r="S137" s="478"/>
      <c r="T137" s="140">
        <f t="shared" si="218"/>
        <v>0</v>
      </c>
      <c r="U137" s="478"/>
      <c r="V137" s="478"/>
      <c r="W137" s="478"/>
      <c r="X137" s="478"/>
      <c r="Y137" s="478"/>
      <c r="Z137" s="478"/>
      <c r="AA137" s="478"/>
      <c r="AB137" s="478"/>
      <c r="AC137" s="478"/>
      <c r="AD137" s="478"/>
      <c r="AE137" s="478"/>
      <c r="AF137" s="478"/>
      <c r="AG137" s="140">
        <f t="shared" si="219"/>
        <v>0</v>
      </c>
      <c r="AH137" s="92" t="str">
        <f t="shared" si="220"/>
        <v/>
      </c>
      <c r="AI137" s="131">
        <f t="shared" si="221"/>
        <v>0</v>
      </c>
      <c r="AJ137" s="2"/>
      <c r="AK137" s="92">
        <f>IF(G137=G$481,0,IF(OR(G137&lt;&gt;0,CJ137&lt;&gt;0,C137="L"),COUNTIF(AK$114:AK136,"&gt;0")+1,0))</f>
        <v>0</v>
      </c>
      <c r="AL137" s="92" t="str">
        <f t="shared" si="222"/>
        <v/>
      </c>
      <c r="AM137" s="92" t="str">
        <f t="shared" si="223"/>
        <v/>
      </c>
      <c r="AN137" s="131">
        <f t="shared" si="211"/>
        <v>0</v>
      </c>
      <c r="AO137" s="447">
        <f>SUM(GEN!W31:Z31)</f>
        <v>0</v>
      </c>
      <c r="AP137" s="445">
        <f>SUMIF(GEN!$G$155:$J$155,AP$112,GEN!$R31:$U31)</f>
        <v>0</v>
      </c>
      <c r="AQ137" s="446">
        <f>SUMIF(GEN!$G$155:$J$155,AQ$112,GEN!$R31:$U31)</f>
        <v>0</v>
      </c>
      <c r="AR137" s="447">
        <f>SUMIF(GEN!$G$155:$J$155,AR$112,GEN!$R31:$U31)</f>
        <v>0</v>
      </c>
      <c r="AS137" s="448">
        <f>SUMIF(GEN!$G$155:$J$155,AS$112,GEN!$R31:$U31)</f>
        <v>0</v>
      </c>
      <c r="AT137" s="449">
        <f>GEN!AG31</f>
        <v>0</v>
      </c>
      <c r="AU137" s="445">
        <f>GEN!AH31</f>
        <v>0</v>
      </c>
      <c r="AV137" s="446">
        <f>GEN!AI31</f>
        <v>0</v>
      </c>
      <c r="AW137" s="447">
        <f>GEN!AJ31</f>
        <v>0</v>
      </c>
      <c r="AX137" s="448">
        <f>GEN!AK31</f>
        <v>0</v>
      </c>
      <c r="AY137" s="445">
        <f>SUMIF(GEN!$G$152:$J$152,"&gt;0",GEN!$W31:$Z31)</f>
        <v>0</v>
      </c>
      <c r="AZ137" s="1063">
        <f>SUM(GEN!AB31:AE31)</f>
        <v>0</v>
      </c>
      <c r="BA137" s="445">
        <f>SUMIF(GEN!$G$159:$J$159,BA$111,GEN!$R31:$U31)+SUMIF(GEN!$G$159:$J$159,BA$111,GEN!$W31:$Z31)</f>
        <v>0</v>
      </c>
      <c r="BB137" s="446">
        <f>SUMIF(GEN!$G$159:$J$159,BB$111,GEN!$R31:$U31)+SUMIF(GEN!$G$159:$J$159,BB$111,GEN!$W31:$Z31)</f>
        <v>0</v>
      </c>
      <c r="BC137" s="446">
        <f>SUMIF(GEN!$G$159:$J$159,BC$111,GEN!$R31:$U31)+SUMIF(GEN!$G$159:$J$159,BC$111,GEN!$W31:$Z31)</f>
        <v>0</v>
      </c>
      <c r="BD137" s="446">
        <f>SUMIF(GEN!$G$159:$J$159,BD$111,GEN!$R31:$U31)+SUMIF(GEN!$G$159:$J$159,BD$111,GEN!$W31:$Z31)</f>
        <v>0</v>
      </c>
      <c r="BE137" s="446">
        <f>SUMIF(GEN!$G$159:$J$159,BE$111,GEN!$R31:$U31)+SUMIF(GEN!$G$159:$J$159,BE$111,GEN!$W31:$Z31)</f>
        <v>0</v>
      </c>
      <c r="BF137" s="446">
        <f>SUMIF(GEN!$G$159:$J$159,BF$111,GEN!$R31:$U31)+SUMIF(GEN!$G$159:$J$159,BF$111,GEN!$W31:$Z31)</f>
        <v>0</v>
      </c>
      <c r="BG137" s="448">
        <f>SUMIF(GEN!$G$159:$J$159,BG$111,GEN!$R31:$U31)+SUMIF(GEN!$G$159:$J$159,BG$111,GEN!$W31:$Z31)</f>
        <v>0</v>
      </c>
      <c r="BH137" s="571"/>
      <c r="BI137" s="448"/>
      <c r="BJ137" s="470"/>
      <c r="BK137" s="445">
        <f>SUMIF(GEN!$G$157:$J$157,BK$111,GEN!$R31:$U31)+SUMIF(GEN!$G$157:$J$157,BK$111,GEN!$W31:$Z31)</f>
        <v>0</v>
      </c>
      <c r="BL137" s="446">
        <f>SUMIF(GEN!$G$157:$J$157,BL$111,GEN!$R31:$U31)+SUMIF(GEN!$G$157:$J$157,BL$111,GEN!$W31:$Z31)</f>
        <v>0</v>
      </c>
      <c r="BM137" s="446">
        <f>SUMIF(GEN!$G$157:$J$157,BM$111,GEN!$R31:$U31)+SUMIF(GEN!$G$157:$J$157,BM$111,GEN!$W31:$Z31)</f>
        <v>0</v>
      </c>
      <c r="BN137" s="446">
        <f>SUMIF(GEN!$G$157:$J$157,BN$111,GEN!$R31:$U31)+SUMIF(GEN!$G$157:$J$157,BN$111,GEN!$W31:$Z31)</f>
        <v>0</v>
      </c>
      <c r="BO137" s="446">
        <f>SUMIF(GEN!$G$157:$J$157,BO$111,GEN!$R31:$U31)+SUMIF(GEN!$G$157:$J$157,BO$111,GEN!$W31:$Z31)</f>
        <v>0</v>
      </c>
      <c r="BP137" s="446">
        <f>SUMIF(GEN!$G$157:$J$157,BP$111,GEN!$R31:$U31)+SUMIF(GEN!$G$157:$J$157,BP$111,GEN!$W31:$Z31)</f>
        <v>0</v>
      </c>
      <c r="BQ137" s="448">
        <f>SUMIF(GEN!$G$157:$J$157,BQ$111,GEN!$R31:$U31)+SUMIF(GEN!$G$157:$J$157,BQ$111,GEN!$W31:$Z31)</f>
        <v>0</v>
      </c>
      <c r="BR137" s="571"/>
      <c r="BS137" s="446"/>
      <c r="BT137" s="448"/>
      <c r="BU137" s="470"/>
      <c r="BV137" s="445">
        <f>SUMIF(GEN!$G$158:$J$158,BV$111,GEN!$R31:$U31)+SUMIF(GEN!$G$158:$J$158,BV$111,GEN!$W31:$Z31)</f>
        <v>0</v>
      </c>
      <c r="BW137" s="446">
        <f>SUMIF(GEN!$G$158:$J$158,BW$111,GEN!$R31:$U31)+SUMIF(GEN!$G$158:$J$158,BW$111,GEN!$W31:$Z31)</f>
        <v>0</v>
      </c>
      <c r="BX137" s="446">
        <f>SUMIF(GEN!$G$158:$J$158,BX$111,GEN!$R31:$U31)+SUMIF(GEN!$G$158:$J$158,BX$111,GEN!$W31:$Z31)</f>
        <v>0</v>
      </c>
      <c r="BY137" s="446">
        <f>SUMIF(GEN!$G$158:$J$158,BY$111,GEN!$R31:$U31)+SUMIF(GEN!$G$158:$J$158,BY$111,GEN!$W31:$Z31)</f>
        <v>0</v>
      </c>
      <c r="BZ137" s="446">
        <f>SUMIF(GEN!$G$158:$J$158,BZ$111,GEN!$R31:$U31)+SUMIF(GEN!$G$158:$J$158,BZ$111,GEN!$W31:$Z31)</f>
        <v>0</v>
      </c>
      <c r="CA137" s="446">
        <f>SUMIF(GEN!$G$158:$J$158,CA$111,GEN!$R31:$U31)+SUMIF(GEN!$G$158:$J$158,CA$111,GEN!$W31:$Z31)</f>
        <v>0</v>
      </c>
      <c r="CB137" s="448">
        <f>SUMIF(GEN!$G$158:$J$158,CB$111,GEN!$R31:$U31)+SUMIF(GEN!$G$158:$J$158,CB$111,GEN!$W31:$Z31)</f>
        <v>0</v>
      </c>
      <c r="CC137" s="571"/>
      <c r="CD137" s="448"/>
      <c r="CE137" s="92">
        <f t="shared" si="224"/>
        <v>0</v>
      </c>
      <c r="CF137" s="92">
        <f t="shared" si="225"/>
        <v>0</v>
      </c>
      <c r="CG137" s="151" t="str">
        <f t="shared" si="212"/>
        <v/>
      </c>
      <c r="CH137" s="92">
        <f t="shared" si="213"/>
        <v>0</v>
      </c>
      <c r="CI137" s="92" t="str">
        <f t="shared" si="226"/>
        <v/>
      </c>
      <c r="CJ137" s="1100">
        <f>GEN!AM31</f>
        <v>0</v>
      </c>
      <c r="CK137" s="445">
        <f>SUMIF(GEN!$G$155:$J$155,CK$112,GEN!$AN31:$AQ31)</f>
        <v>0</v>
      </c>
      <c r="CL137" s="446">
        <f>SUMIF(GEN!$G$155:$J$155,CL$112,GEN!$AN31:$AQ31)</f>
        <v>0</v>
      </c>
      <c r="CM137" s="447">
        <f>SUMIF(GEN!$G$155:$J$155,CM$112,GEN!$AN31:$AQ31)</f>
        <v>0</v>
      </c>
      <c r="CN137" s="448">
        <f>SUMIF(GEN!$G$155:$J$155,CN$112,GEN!$AN31:$AQ31)</f>
        <v>0</v>
      </c>
      <c r="CO137" s="1100">
        <f>GEN!AS31</f>
        <v>0</v>
      </c>
      <c r="CP137" s="445">
        <f>GEN!AT31</f>
        <v>0</v>
      </c>
      <c r="CQ137" s="446">
        <f>GEN!AU31</f>
        <v>0</v>
      </c>
      <c r="CR137" s="447">
        <f>GEN!AV31</f>
        <v>0</v>
      </c>
      <c r="CS137" s="448">
        <f>GEN!AW31</f>
        <v>0</v>
      </c>
      <c r="CT137" s="1100">
        <f>GEN!AY31</f>
        <v>0</v>
      </c>
      <c r="CU137" s="2"/>
    </row>
    <row r="138" spans="1:99" ht="14.25" hidden="1" customHeight="1" x14ac:dyDescent="0.2">
      <c r="A138" s="2"/>
      <c r="B138" s="151">
        <f t="shared" si="214"/>
        <v>45316</v>
      </c>
      <c r="C138" s="223">
        <f>IF(AND(E138&gt;(E$491-1),E138&lt;(I$491+1)),W$485,IF(ISERROR(HLOOKUP(E138,$E$484:$L$484,1,FALSE)),HLOOKUP(WEEKDAY(E138,2),IMPOSTAZIONI!$C$51:$P$56,6,FALSE),$W$484))</f>
        <v>0</v>
      </c>
      <c r="D138" s="103" t="str">
        <f t="shared" si="215"/>
        <v/>
      </c>
      <c r="E138" s="2380">
        <f t="shared" si="227"/>
        <v>45316</v>
      </c>
      <c r="F138" s="2381"/>
      <c r="G138" s="2325">
        <f>GEN!E32</f>
        <v>0</v>
      </c>
      <c r="H138" s="2326"/>
      <c r="I138" s="2327"/>
      <c r="J138" s="479" t="str">
        <f t="shared" si="210"/>
        <v/>
      </c>
      <c r="K138" s="480"/>
      <c r="L138" s="2319">
        <f t="shared" si="228"/>
        <v>4</v>
      </c>
      <c r="M138" s="2320"/>
      <c r="N138" s="478"/>
      <c r="O138" s="478"/>
      <c r="P138" s="478"/>
      <c r="Q138" s="2315">
        <f t="shared" si="217"/>
        <v>45316</v>
      </c>
      <c r="R138" s="2315"/>
      <c r="S138" s="478"/>
      <c r="T138" s="140">
        <f t="shared" si="218"/>
        <v>0</v>
      </c>
      <c r="U138" s="478"/>
      <c r="V138" s="478"/>
      <c r="W138" s="478"/>
      <c r="X138" s="478"/>
      <c r="Y138" s="478"/>
      <c r="Z138" s="478"/>
      <c r="AA138" s="478"/>
      <c r="AB138" s="478"/>
      <c r="AC138" s="478"/>
      <c r="AD138" s="478"/>
      <c r="AE138" s="478"/>
      <c r="AF138" s="478"/>
      <c r="AG138" s="140">
        <f t="shared" si="219"/>
        <v>0</v>
      </c>
      <c r="AH138" s="92" t="str">
        <f t="shared" si="220"/>
        <v/>
      </c>
      <c r="AI138" s="131">
        <f t="shared" si="221"/>
        <v>0</v>
      </c>
      <c r="AJ138" s="2"/>
      <c r="AK138" s="92">
        <f>IF(G138=G$481,0,IF(OR(G138&lt;&gt;0,CJ138&lt;&gt;0,C138="L"),COUNTIF(AK$114:AK137,"&gt;0")+1,0))</f>
        <v>0</v>
      </c>
      <c r="AL138" s="92" t="str">
        <f t="shared" si="222"/>
        <v/>
      </c>
      <c r="AM138" s="92" t="str">
        <f t="shared" si="223"/>
        <v/>
      </c>
      <c r="AN138" s="131">
        <f t="shared" si="211"/>
        <v>0</v>
      </c>
      <c r="AO138" s="447">
        <f>SUM(GEN!W32:Z32)</f>
        <v>0</v>
      </c>
      <c r="AP138" s="445">
        <f>SUMIF(GEN!$G$155:$J$155,AP$112,GEN!$R32:$U32)</f>
        <v>0</v>
      </c>
      <c r="AQ138" s="446">
        <f>SUMIF(GEN!$G$155:$J$155,AQ$112,GEN!$R32:$U32)</f>
        <v>0</v>
      </c>
      <c r="AR138" s="447">
        <f>SUMIF(GEN!$G$155:$J$155,AR$112,GEN!$R32:$U32)</f>
        <v>0</v>
      </c>
      <c r="AS138" s="448">
        <f>SUMIF(GEN!$G$155:$J$155,AS$112,GEN!$R32:$U32)</f>
        <v>0</v>
      </c>
      <c r="AT138" s="449">
        <f>GEN!AG32</f>
        <v>0</v>
      </c>
      <c r="AU138" s="445">
        <f>GEN!AH32</f>
        <v>0</v>
      </c>
      <c r="AV138" s="446">
        <f>GEN!AI32</f>
        <v>0</v>
      </c>
      <c r="AW138" s="447">
        <f>GEN!AJ32</f>
        <v>0</v>
      </c>
      <c r="AX138" s="448">
        <f>GEN!AK32</f>
        <v>0</v>
      </c>
      <c r="AY138" s="445">
        <f>SUMIF(GEN!$G$152:$J$152,"&gt;0",GEN!$W32:$Z32)</f>
        <v>0</v>
      </c>
      <c r="AZ138" s="1063">
        <f>SUM(GEN!AB32:AE32)</f>
        <v>0</v>
      </c>
      <c r="BA138" s="445">
        <f>SUMIF(GEN!$G$159:$J$159,BA$111,GEN!$R32:$U32)+SUMIF(GEN!$G$159:$J$159,BA$111,GEN!$W32:$Z32)</f>
        <v>0</v>
      </c>
      <c r="BB138" s="446">
        <f>SUMIF(GEN!$G$159:$J$159,BB$111,GEN!$R32:$U32)+SUMIF(GEN!$G$159:$J$159,BB$111,GEN!$W32:$Z32)</f>
        <v>0</v>
      </c>
      <c r="BC138" s="446">
        <f>SUMIF(GEN!$G$159:$J$159,BC$111,GEN!$R32:$U32)+SUMIF(GEN!$G$159:$J$159,BC$111,GEN!$W32:$Z32)</f>
        <v>0</v>
      </c>
      <c r="BD138" s="446">
        <f>SUMIF(GEN!$G$159:$J$159,BD$111,GEN!$R32:$U32)+SUMIF(GEN!$G$159:$J$159,BD$111,GEN!$W32:$Z32)</f>
        <v>0</v>
      </c>
      <c r="BE138" s="446">
        <f>SUMIF(GEN!$G$159:$J$159,BE$111,GEN!$R32:$U32)+SUMIF(GEN!$G$159:$J$159,BE$111,GEN!$W32:$Z32)</f>
        <v>0</v>
      </c>
      <c r="BF138" s="446">
        <f>SUMIF(GEN!$G$159:$J$159,BF$111,GEN!$R32:$U32)+SUMIF(GEN!$G$159:$J$159,BF$111,GEN!$W32:$Z32)</f>
        <v>0</v>
      </c>
      <c r="BG138" s="448">
        <f>SUMIF(GEN!$G$159:$J$159,BG$111,GEN!$R32:$U32)+SUMIF(GEN!$G$159:$J$159,BG$111,GEN!$W32:$Z32)</f>
        <v>0</v>
      </c>
      <c r="BH138" s="571"/>
      <c r="BI138" s="448"/>
      <c r="BJ138" s="470"/>
      <c r="BK138" s="445">
        <f>SUMIF(GEN!$G$157:$J$157,BK$111,GEN!$R32:$U32)+SUMIF(GEN!$G$157:$J$157,BK$111,GEN!$W32:$Z32)</f>
        <v>0</v>
      </c>
      <c r="BL138" s="446">
        <f>SUMIF(GEN!$G$157:$J$157,BL$111,GEN!$R32:$U32)+SUMIF(GEN!$G$157:$J$157,BL$111,GEN!$W32:$Z32)</f>
        <v>0</v>
      </c>
      <c r="BM138" s="446">
        <f>SUMIF(GEN!$G$157:$J$157,BM$111,GEN!$R32:$U32)+SUMIF(GEN!$G$157:$J$157,BM$111,GEN!$W32:$Z32)</f>
        <v>0</v>
      </c>
      <c r="BN138" s="446">
        <f>SUMIF(GEN!$G$157:$J$157,BN$111,GEN!$R32:$U32)+SUMIF(GEN!$G$157:$J$157,BN$111,GEN!$W32:$Z32)</f>
        <v>0</v>
      </c>
      <c r="BO138" s="446">
        <f>SUMIF(GEN!$G$157:$J$157,BO$111,GEN!$R32:$U32)+SUMIF(GEN!$G$157:$J$157,BO$111,GEN!$W32:$Z32)</f>
        <v>0</v>
      </c>
      <c r="BP138" s="446">
        <f>SUMIF(GEN!$G$157:$J$157,BP$111,GEN!$R32:$U32)+SUMIF(GEN!$G$157:$J$157,BP$111,GEN!$W32:$Z32)</f>
        <v>0</v>
      </c>
      <c r="BQ138" s="448">
        <f>SUMIF(GEN!$G$157:$J$157,BQ$111,GEN!$R32:$U32)+SUMIF(GEN!$G$157:$J$157,BQ$111,GEN!$W32:$Z32)</f>
        <v>0</v>
      </c>
      <c r="BR138" s="571"/>
      <c r="BS138" s="446"/>
      <c r="BT138" s="448"/>
      <c r="BU138" s="470"/>
      <c r="BV138" s="445">
        <f>SUMIF(GEN!$G$158:$J$158,BV$111,GEN!$R32:$U32)+SUMIF(GEN!$G$158:$J$158,BV$111,GEN!$W32:$Z32)</f>
        <v>0</v>
      </c>
      <c r="BW138" s="446">
        <f>SUMIF(GEN!$G$158:$J$158,BW$111,GEN!$R32:$U32)+SUMIF(GEN!$G$158:$J$158,BW$111,GEN!$W32:$Z32)</f>
        <v>0</v>
      </c>
      <c r="BX138" s="446">
        <f>SUMIF(GEN!$G$158:$J$158,BX$111,GEN!$R32:$U32)+SUMIF(GEN!$G$158:$J$158,BX$111,GEN!$W32:$Z32)</f>
        <v>0</v>
      </c>
      <c r="BY138" s="446">
        <f>SUMIF(GEN!$G$158:$J$158,BY$111,GEN!$R32:$U32)+SUMIF(GEN!$G$158:$J$158,BY$111,GEN!$W32:$Z32)</f>
        <v>0</v>
      </c>
      <c r="BZ138" s="446">
        <f>SUMIF(GEN!$G$158:$J$158,BZ$111,GEN!$R32:$U32)+SUMIF(GEN!$G$158:$J$158,BZ$111,GEN!$W32:$Z32)</f>
        <v>0</v>
      </c>
      <c r="CA138" s="446">
        <f>SUMIF(GEN!$G$158:$J$158,CA$111,GEN!$R32:$U32)+SUMIF(GEN!$G$158:$J$158,CA$111,GEN!$W32:$Z32)</f>
        <v>0</v>
      </c>
      <c r="CB138" s="448">
        <f>SUMIF(GEN!$G$158:$J$158,CB$111,GEN!$R32:$U32)+SUMIF(GEN!$G$158:$J$158,CB$111,GEN!$W32:$Z32)</f>
        <v>0</v>
      </c>
      <c r="CC138" s="571"/>
      <c r="CD138" s="448"/>
      <c r="CE138" s="92">
        <f t="shared" si="224"/>
        <v>0</v>
      </c>
      <c r="CF138" s="92">
        <f t="shared" si="225"/>
        <v>0</v>
      </c>
      <c r="CG138" s="151" t="str">
        <f t="shared" si="212"/>
        <v/>
      </c>
      <c r="CH138" s="92">
        <f t="shared" si="213"/>
        <v>0</v>
      </c>
      <c r="CI138" s="92" t="str">
        <f t="shared" si="226"/>
        <v/>
      </c>
      <c r="CJ138" s="1100">
        <f>GEN!AM32</f>
        <v>0</v>
      </c>
      <c r="CK138" s="445">
        <f>SUMIF(GEN!$G$155:$J$155,CK$112,GEN!$AN32:$AQ32)</f>
        <v>0</v>
      </c>
      <c r="CL138" s="446">
        <f>SUMIF(GEN!$G$155:$J$155,CL$112,GEN!$AN32:$AQ32)</f>
        <v>0</v>
      </c>
      <c r="CM138" s="447">
        <f>SUMIF(GEN!$G$155:$J$155,CM$112,GEN!$AN32:$AQ32)</f>
        <v>0</v>
      </c>
      <c r="CN138" s="448">
        <f>SUMIF(GEN!$G$155:$J$155,CN$112,GEN!$AN32:$AQ32)</f>
        <v>0</v>
      </c>
      <c r="CO138" s="1100">
        <f>GEN!AS32</f>
        <v>0</v>
      </c>
      <c r="CP138" s="445">
        <f>GEN!AT32</f>
        <v>0</v>
      </c>
      <c r="CQ138" s="446">
        <f>GEN!AU32</f>
        <v>0</v>
      </c>
      <c r="CR138" s="447">
        <f>GEN!AV32</f>
        <v>0</v>
      </c>
      <c r="CS138" s="448">
        <f>GEN!AW32</f>
        <v>0</v>
      </c>
      <c r="CT138" s="1100">
        <f>GEN!AY32</f>
        <v>0</v>
      </c>
      <c r="CU138" s="2"/>
    </row>
    <row r="139" spans="1:99" ht="14.25" hidden="1" customHeight="1" x14ac:dyDescent="0.2">
      <c r="A139" s="2"/>
      <c r="B139" s="151">
        <f t="shared" si="214"/>
        <v>45317</v>
      </c>
      <c r="C139" s="223">
        <f>IF(AND(E139&gt;(E$491-1),E139&lt;(I$491+1)),W$485,IF(ISERROR(HLOOKUP(E139,$E$484:$L$484,1,FALSE)),HLOOKUP(WEEKDAY(E139,2),IMPOSTAZIONI!$C$51:$P$56,6,FALSE),$W$484))</f>
        <v>0</v>
      </c>
      <c r="D139" s="103" t="str">
        <f t="shared" si="215"/>
        <v/>
      </c>
      <c r="E139" s="2380">
        <f t="shared" si="227"/>
        <v>45317</v>
      </c>
      <c r="F139" s="2381"/>
      <c r="G139" s="2325">
        <f>GEN!E33</f>
        <v>0</v>
      </c>
      <c r="H139" s="2326"/>
      <c r="I139" s="2327"/>
      <c r="J139" s="479" t="str">
        <f t="shared" si="210"/>
        <v/>
      </c>
      <c r="K139" s="480"/>
      <c r="L139" s="2319">
        <f t="shared" si="228"/>
        <v>4</v>
      </c>
      <c r="M139" s="2320"/>
      <c r="N139" s="478"/>
      <c r="O139" s="478"/>
      <c r="P139" s="478"/>
      <c r="Q139" s="2315">
        <f t="shared" si="217"/>
        <v>45317</v>
      </c>
      <c r="R139" s="2315"/>
      <c r="S139" s="478"/>
      <c r="T139" s="140">
        <f t="shared" si="218"/>
        <v>0</v>
      </c>
      <c r="U139" s="478"/>
      <c r="V139" s="478"/>
      <c r="W139" s="478"/>
      <c r="X139" s="478"/>
      <c r="Y139" s="478"/>
      <c r="Z139" s="478"/>
      <c r="AA139" s="478"/>
      <c r="AB139" s="478"/>
      <c r="AC139" s="478"/>
      <c r="AD139" s="478"/>
      <c r="AE139" s="478"/>
      <c r="AF139" s="478"/>
      <c r="AG139" s="140">
        <f t="shared" si="219"/>
        <v>0</v>
      </c>
      <c r="AH139" s="92" t="str">
        <f t="shared" si="220"/>
        <v/>
      </c>
      <c r="AI139" s="131">
        <f t="shared" si="221"/>
        <v>0</v>
      </c>
      <c r="AJ139" s="2"/>
      <c r="AK139" s="92">
        <f>IF(G139=G$481,0,IF(OR(G139&lt;&gt;0,CJ139&lt;&gt;0,C139="L"),COUNTIF(AK$114:AK138,"&gt;0")+1,0))</f>
        <v>0</v>
      </c>
      <c r="AL139" s="92" t="str">
        <f t="shared" si="222"/>
        <v/>
      </c>
      <c r="AM139" s="92" t="str">
        <f t="shared" si="223"/>
        <v/>
      </c>
      <c r="AN139" s="131">
        <f t="shared" si="211"/>
        <v>0</v>
      </c>
      <c r="AO139" s="447">
        <f>SUM(GEN!W33:Z33)</f>
        <v>0</v>
      </c>
      <c r="AP139" s="445">
        <f>SUMIF(GEN!$G$155:$J$155,AP$112,GEN!$R33:$U33)</f>
        <v>0</v>
      </c>
      <c r="AQ139" s="446">
        <f>SUMIF(GEN!$G$155:$J$155,AQ$112,GEN!$R33:$U33)</f>
        <v>0</v>
      </c>
      <c r="AR139" s="447">
        <f>SUMIF(GEN!$G$155:$J$155,AR$112,GEN!$R33:$U33)</f>
        <v>0</v>
      </c>
      <c r="AS139" s="448">
        <f>SUMIF(GEN!$G$155:$J$155,AS$112,GEN!$R33:$U33)</f>
        <v>0</v>
      </c>
      <c r="AT139" s="449">
        <f>GEN!AG33</f>
        <v>0</v>
      </c>
      <c r="AU139" s="445">
        <f>GEN!AH33</f>
        <v>0</v>
      </c>
      <c r="AV139" s="446">
        <f>GEN!AI33</f>
        <v>0</v>
      </c>
      <c r="AW139" s="447">
        <f>GEN!AJ33</f>
        <v>0</v>
      </c>
      <c r="AX139" s="448">
        <f>GEN!AK33</f>
        <v>0</v>
      </c>
      <c r="AY139" s="445">
        <f>SUMIF(GEN!$G$152:$J$152,"&gt;0",GEN!$W33:$Z33)</f>
        <v>0</v>
      </c>
      <c r="AZ139" s="1063">
        <f>SUM(GEN!AB33:AE33)</f>
        <v>0</v>
      </c>
      <c r="BA139" s="445">
        <f>SUMIF(GEN!$G$159:$J$159,BA$111,GEN!$R33:$U33)+SUMIF(GEN!$G$159:$J$159,BA$111,GEN!$W33:$Z33)</f>
        <v>0</v>
      </c>
      <c r="BB139" s="446">
        <f>SUMIF(GEN!$G$159:$J$159,BB$111,GEN!$R33:$U33)+SUMIF(GEN!$G$159:$J$159,BB$111,GEN!$W33:$Z33)</f>
        <v>0</v>
      </c>
      <c r="BC139" s="446">
        <f>SUMIF(GEN!$G$159:$J$159,BC$111,GEN!$R33:$U33)+SUMIF(GEN!$G$159:$J$159,BC$111,GEN!$W33:$Z33)</f>
        <v>0</v>
      </c>
      <c r="BD139" s="446">
        <f>SUMIF(GEN!$G$159:$J$159,BD$111,GEN!$R33:$U33)+SUMIF(GEN!$G$159:$J$159,BD$111,GEN!$W33:$Z33)</f>
        <v>0</v>
      </c>
      <c r="BE139" s="446">
        <f>SUMIF(GEN!$G$159:$J$159,BE$111,GEN!$R33:$U33)+SUMIF(GEN!$G$159:$J$159,BE$111,GEN!$W33:$Z33)</f>
        <v>0</v>
      </c>
      <c r="BF139" s="446">
        <f>SUMIF(GEN!$G$159:$J$159,BF$111,GEN!$R33:$U33)+SUMIF(GEN!$G$159:$J$159,BF$111,GEN!$W33:$Z33)</f>
        <v>0</v>
      </c>
      <c r="BG139" s="448">
        <f>SUMIF(GEN!$G$159:$J$159,BG$111,GEN!$R33:$U33)+SUMIF(GEN!$G$159:$J$159,BG$111,GEN!$W33:$Z33)</f>
        <v>0</v>
      </c>
      <c r="BH139" s="571"/>
      <c r="BI139" s="448"/>
      <c r="BJ139" s="470"/>
      <c r="BK139" s="445">
        <f>SUMIF(GEN!$G$157:$J$157,BK$111,GEN!$R33:$U33)+SUMIF(GEN!$G$157:$J$157,BK$111,GEN!$W33:$Z33)</f>
        <v>0</v>
      </c>
      <c r="BL139" s="446">
        <f>SUMIF(GEN!$G$157:$J$157,BL$111,GEN!$R33:$U33)+SUMIF(GEN!$G$157:$J$157,BL$111,GEN!$W33:$Z33)</f>
        <v>0</v>
      </c>
      <c r="BM139" s="446">
        <f>SUMIF(GEN!$G$157:$J$157,BM$111,GEN!$R33:$U33)+SUMIF(GEN!$G$157:$J$157,BM$111,GEN!$W33:$Z33)</f>
        <v>0</v>
      </c>
      <c r="BN139" s="446">
        <f>SUMIF(GEN!$G$157:$J$157,BN$111,GEN!$R33:$U33)+SUMIF(GEN!$G$157:$J$157,BN$111,GEN!$W33:$Z33)</f>
        <v>0</v>
      </c>
      <c r="BO139" s="446">
        <f>SUMIF(GEN!$G$157:$J$157,BO$111,GEN!$R33:$U33)+SUMIF(GEN!$G$157:$J$157,BO$111,GEN!$W33:$Z33)</f>
        <v>0</v>
      </c>
      <c r="BP139" s="446">
        <f>SUMIF(GEN!$G$157:$J$157,BP$111,GEN!$R33:$U33)+SUMIF(GEN!$G$157:$J$157,BP$111,GEN!$W33:$Z33)</f>
        <v>0</v>
      </c>
      <c r="BQ139" s="448">
        <f>SUMIF(GEN!$G$157:$J$157,BQ$111,GEN!$R33:$U33)+SUMIF(GEN!$G$157:$J$157,BQ$111,GEN!$W33:$Z33)</f>
        <v>0</v>
      </c>
      <c r="BR139" s="571"/>
      <c r="BS139" s="446"/>
      <c r="BT139" s="448"/>
      <c r="BU139" s="470"/>
      <c r="BV139" s="445">
        <f>SUMIF(GEN!$G$158:$J$158,BV$111,GEN!$R33:$U33)+SUMIF(GEN!$G$158:$J$158,BV$111,GEN!$W33:$Z33)</f>
        <v>0</v>
      </c>
      <c r="BW139" s="446">
        <f>SUMIF(GEN!$G$158:$J$158,BW$111,GEN!$R33:$U33)+SUMIF(GEN!$G$158:$J$158,BW$111,GEN!$W33:$Z33)</f>
        <v>0</v>
      </c>
      <c r="BX139" s="446">
        <f>SUMIF(GEN!$G$158:$J$158,BX$111,GEN!$R33:$U33)+SUMIF(GEN!$G$158:$J$158,BX$111,GEN!$W33:$Z33)</f>
        <v>0</v>
      </c>
      <c r="BY139" s="446">
        <f>SUMIF(GEN!$G$158:$J$158,BY$111,GEN!$R33:$U33)+SUMIF(GEN!$G$158:$J$158,BY$111,GEN!$W33:$Z33)</f>
        <v>0</v>
      </c>
      <c r="BZ139" s="446">
        <f>SUMIF(GEN!$G$158:$J$158,BZ$111,GEN!$R33:$U33)+SUMIF(GEN!$G$158:$J$158,BZ$111,GEN!$W33:$Z33)</f>
        <v>0</v>
      </c>
      <c r="CA139" s="446">
        <f>SUMIF(GEN!$G$158:$J$158,CA$111,GEN!$R33:$U33)+SUMIF(GEN!$G$158:$J$158,CA$111,GEN!$W33:$Z33)</f>
        <v>0</v>
      </c>
      <c r="CB139" s="448">
        <f>SUMIF(GEN!$G$158:$J$158,CB$111,GEN!$R33:$U33)+SUMIF(GEN!$G$158:$J$158,CB$111,GEN!$W33:$Z33)</f>
        <v>0</v>
      </c>
      <c r="CC139" s="571"/>
      <c r="CD139" s="448"/>
      <c r="CE139" s="92">
        <f t="shared" si="224"/>
        <v>0</v>
      </c>
      <c r="CF139" s="92">
        <f t="shared" si="225"/>
        <v>0</v>
      </c>
      <c r="CG139" s="151" t="str">
        <f t="shared" si="212"/>
        <v/>
      </c>
      <c r="CH139" s="92">
        <f t="shared" si="213"/>
        <v>0</v>
      </c>
      <c r="CI139" s="92" t="str">
        <f t="shared" si="226"/>
        <v/>
      </c>
      <c r="CJ139" s="1100">
        <f>GEN!AM33</f>
        <v>0</v>
      </c>
      <c r="CK139" s="445">
        <f>SUMIF(GEN!$G$155:$J$155,CK$112,GEN!$AN33:$AQ33)</f>
        <v>0</v>
      </c>
      <c r="CL139" s="446">
        <f>SUMIF(GEN!$G$155:$J$155,CL$112,GEN!$AN33:$AQ33)</f>
        <v>0</v>
      </c>
      <c r="CM139" s="447">
        <f>SUMIF(GEN!$G$155:$J$155,CM$112,GEN!$AN33:$AQ33)</f>
        <v>0</v>
      </c>
      <c r="CN139" s="448">
        <f>SUMIF(GEN!$G$155:$J$155,CN$112,GEN!$AN33:$AQ33)</f>
        <v>0</v>
      </c>
      <c r="CO139" s="1100">
        <f>GEN!AS33</f>
        <v>0</v>
      </c>
      <c r="CP139" s="445">
        <f>GEN!AT33</f>
        <v>0</v>
      </c>
      <c r="CQ139" s="446">
        <f>GEN!AU33</f>
        <v>0</v>
      </c>
      <c r="CR139" s="447">
        <f>GEN!AV33</f>
        <v>0</v>
      </c>
      <c r="CS139" s="448">
        <f>GEN!AW33</f>
        <v>0</v>
      </c>
      <c r="CT139" s="1100">
        <f>GEN!AY33</f>
        <v>0</v>
      </c>
      <c r="CU139" s="2"/>
    </row>
    <row r="140" spans="1:99" ht="14.25" hidden="1" customHeight="1" x14ac:dyDescent="0.2">
      <c r="A140" s="2"/>
      <c r="B140" s="151">
        <f t="shared" si="214"/>
        <v>45318</v>
      </c>
      <c r="C140" s="223">
        <f>IF(AND(E140&gt;(E$491-1),E140&lt;(I$491+1)),W$485,IF(ISERROR(HLOOKUP(E140,$E$484:$L$484,1,FALSE)),HLOOKUP(WEEKDAY(E140,2),IMPOSTAZIONI!$C$51:$P$56,6,FALSE),$W$484))</f>
        <v>0</v>
      </c>
      <c r="D140" s="103" t="str">
        <f t="shared" si="215"/>
        <v/>
      </c>
      <c r="E140" s="2380">
        <f t="shared" si="227"/>
        <v>45318</v>
      </c>
      <c r="F140" s="2381"/>
      <c r="G140" s="2325">
        <f>GEN!E34</f>
        <v>0</v>
      </c>
      <c r="H140" s="2326"/>
      <c r="I140" s="2327"/>
      <c r="J140" s="479" t="str">
        <f t="shared" si="210"/>
        <v/>
      </c>
      <c r="K140" s="480"/>
      <c r="L140" s="2319">
        <f t="shared" si="228"/>
        <v>4</v>
      </c>
      <c r="M140" s="2320"/>
      <c r="N140" s="478"/>
      <c r="O140" s="478"/>
      <c r="P140" s="478"/>
      <c r="Q140" s="2315">
        <f t="shared" si="217"/>
        <v>45318</v>
      </c>
      <c r="R140" s="2315"/>
      <c r="S140" s="478"/>
      <c r="T140" s="140">
        <f t="shared" si="218"/>
        <v>0</v>
      </c>
      <c r="U140" s="478"/>
      <c r="V140" s="478"/>
      <c r="W140" s="478"/>
      <c r="X140" s="478"/>
      <c r="Y140" s="478"/>
      <c r="Z140" s="478"/>
      <c r="AA140" s="478"/>
      <c r="AB140" s="478"/>
      <c r="AC140" s="478"/>
      <c r="AD140" s="478"/>
      <c r="AE140" s="478"/>
      <c r="AF140" s="478"/>
      <c r="AG140" s="140">
        <f t="shared" si="219"/>
        <v>0</v>
      </c>
      <c r="AH140" s="92" t="str">
        <f t="shared" si="220"/>
        <v/>
      </c>
      <c r="AI140" s="131">
        <f t="shared" si="221"/>
        <v>0</v>
      </c>
      <c r="AJ140" s="2"/>
      <c r="AK140" s="92">
        <f>IF(G140=G$481,0,IF(OR(G140&lt;&gt;0,CJ140&lt;&gt;0,C140="L"),COUNTIF(AK$114:AK139,"&gt;0")+1,0))</f>
        <v>0</v>
      </c>
      <c r="AL140" s="92" t="str">
        <f t="shared" si="222"/>
        <v/>
      </c>
      <c r="AM140" s="92" t="str">
        <f t="shared" si="223"/>
        <v/>
      </c>
      <c r="AN140" s="131">
        <f t="shared" si="211"/>
        <v>0</v>
      </c>
      <c r="AO140" s="447">
        <f>SUM(GEN!W34:Z34)</f>
        <v>0</v>
      </c>
      <c r="AP140" s="445">
        <f>SUMIF(GEN!$G$155:$J$155,AP$112,GEN!$R34:$U34)</f>
        <v>0</v>
      </c>
      <c r="AQ140" s="446">
        <f>SUMIF(GEN!$G$155:$J$155,AQ$112,GEN!$R34:$U34)</f>
        <v>0</v>
      </c>
      <c r="AR140" s="447">
        <f>SUMIF(GEN!$G$155:$J$155,AR$112,GEN!$R34:$U34)</f>
        <v>0</v>
      </c>
      <c r="AS140" s="448">
        <f>SUMIF(GEN!$G$155:$J$155,AS$112,GEN!$R34:$U34)</f>
        <v>0</v>
      </c>
      <c r="AT140" s="449">
        <f>GEN!AG34</f>
        <v>0</v>
      </c>
      <c r="AU140" s="445">
        <f>GEN!AH34</f>
        <v>0</v>
      </c>
      <c r="AV140" s="446">
        <f>GEN!AI34</f>
        <v>0</v>
      </c>
      <c r="AW140" s="447">
        <f>GEN!AJ34</f>
        <v>0</v>
      </c>
      <c r="AX140" s="448">
        <f>GEN!AK34</f>
        <v>0</v>
      </c>
      <c r="AY140" s="445">
        <f>SUMIF(GEN!$G$152:$J$152,"&gt;0",GEN!$W34:$Z34)</f>
        <v>0</v>
      </c>
      <c r="AZ140" s="1063">
        <f>SUM(GEN!AB34:AE34)</f>
        <v>0</v>
      </c>
      <c r="BA140" s="445">
        <f>SUMIF(GEN!$G$159:$J$159,BA$111,GEN!$R34:$U34)+SUMIF(GEN!$G$159:$J$159,BA$111,GEN!$W34:$Z34)</f>
        <v>0</v>
      </c>
      <c r="BB140" s="446">
        <f>SUMIF(GEN!$G$159:$J$159,BB$111,GEN!$R34:$U34)+SUMIF(GEN!$G$159:$J$159,BB$111,GEN!$W34:$Z34)</f>
        <v>0</v>
      </c>
      <c r="BC140" s="446">
        <f>SUMIF(GEN!$G$159:$J$159,BC$111,GEN!$R34:$U34)+SUMIF(GEN!$G$159:$J$159,BC$111,GEN!$W34:$Z34)</f>
        <v>0</v>
      </c>
      <c r="BD140" s="446">
        <f>SUMIF(GEN!$G$159:$J$159,BD$111,GEN!$R34:$U34)+SUMIF(GEN!$G$159:$J$159,BD$111,GEN!$W34:$Z34)</f>
        <v>0</v>
      </c>
      <c r="BE140" s="446">
        <f>SUMIF(GEN!$G$159:$J$159,BE$111,GEN!$R34:$U34)+SUMIF(GEN!$G$159:$J$159,BE$111,GEN!$W34:$Z34)</f>
        <v>0</v>
      </c>
      <c r="BF140" s="446">
        <f>SUMIF(GEN!$G$159:$J$159,BF$111,GEN!$R34:$U34)+SUMIF(GEN!$G$159:$J$159,BF$111,GEN!$W34:$Z34)</f>
        <v>0</v>
      </c>
      <c r="BG140" s="448">
        <f>SUMIF(GEN!$G$159:$J$159,BG$111,GEN!$R34:$U34)+SUMIF(GEN!$G$159:$J$159,BG$111,GEN!$W34:$Z34)</f>
        <v>0</v>
      </c>
      <c r="BH140" s="571"/>
      <c r="BI140" s="448"/>
      <c r="BJ140" s="470"/>
      <c r="BK140" s="445">
        <f>SUMIF(GEN!$G$157:$J$157,BK$111,GEN!$R34:$U34)+SUMIF(GEN!$G$157:$J$157,BK$111,GEN!$W34:$Z34)</f>
        <v>0</v>
      </c>
      <c r="BL140" s="446">
        <f>SUMIF(GEN!$G$157:$J$157,BL$111,GEN!$R34:$U34)+SUMIF(GEN!$G$157:$J$157,BL$111,GEN!$W34:$Z34)</f>
        <v>0</v>
      </c>
      <c r="BM140" s="446">
        <f>SUMIF(GEN!$G$157:$J$157,BM$111,GEN!$R34:$U34)+SUMIF(GEN!$G$157:$J$157,BM$111,GEN!$W34:$Z34)</f>
        <v>0</v>
      </c>
      <c r="BN140" s="446">
        <f>SUMIF(GEN!$G$157:$J$157,BN$111,GEN!$R34:$U34)+SUMIF(GEN!$G$157:$J$157,BN$111,GEN!$W34:$Z34)</f>
        <v>0</v>
      </c>
      <c r="BO140" s="446">
        <f>SUMIF(GEN!$G$157:$J$157,BO$111,GEN!$R34:$U34)+SUMIF(GEN!$G$157:$J$157,BO$111,GEN!$W34:$Z34)</f>
        <v>0</v>
      </c>
      <c r="BP140" s="446">
        <f>SUMIF(GEN!$G$157:$J$157,BP$111,GEN!$R34:$U34)+SUMIF(GEN!$G$157:$J$157,BP$111,GEN!$W34:$Z34)</f>
        <v>0</v>
      </c>
      <c r="BQ140" s="448">
        <f>SUMIF(GEN!$G$157:$J$157,BQ$111,GEN!$R34:$U34)+SUMIF(GEN!$G$157:$J$157,BQ$111,GEN!$W34:$Z34)</f>
        <v>0</v>
      </c>
      <c r="BR140" s="571"/>
      <c r="BS140" s="446"/>
      <c r="BT140" s="448"/>
      <c r="BU140" s="470"/>
      <c r="BV140" s="445">
        <f>SUMIF(GEN!$G$158:$J$158,BV$111,GEN!$R34:$U34)+SUMIF(GEN!$G$158:$J$158,BV$111,GEN!$W34:$Z34)</f>
        <v>0</v>
      </c>
      <c r="BW140" s="446">
        <f>SUMIF(GEN!$G$158:$J$158,BW$111,GEN!$R34:$U34)+SUMIF(GEN!$G$158:$J$158,BW$111,GEN!$W34:$Z34)</f>
        <v>0</v>
      </c>
      <c r="BX140" s="446">
        <f>SUMIF(GEN!$G$158:$J$158,BX$111,GEN!$R34:$U34)+SUMIF(GEN!$G$158:$J$158,BX$111,GEN!$W34:$Z34)</f>
        <v>0</v>
      </c>
      <c r="BY140" s="446">
        <f>SUMIF(GEN!$G$158:$J$158,BY$111,GEN!$R34:$U34)+SUMIF(GEN!$G$158:$J$158,BY$111,GEN!$W34:$Z34)</f>
        <v>0</v>
      </c>
      <c r="BZ140" s="446">
        <f>SUMIF(GEN!$G$158:$J$158,BZ$111,GEN!$R34:$U34)+SUMIF(GEN!$G$158:$J$158,BZ$111,GEN!$W34:$Z34)</f>
        <v>0</v>
      </c>
      <c r="CA140" s="446">
        <f>SUMIF(GEN!$G$158:$J$158,CA$111,GEN!$R34:$U34)+SUMIF(GEN!$G$158:$J$158,CA$111,GEN!$W34:$Z34)</f>
        <v>0</v>
      </c>
      <c r="CB140" s="448">
        <f>SUMIF(GEN!$G$158:$J$158,CB$111,GEN!$R34:$U34)+SUMIF(GEN!$G$158:$J$158,CB$111,GEN!$W34:$Z34)</f>
        <v>0</v>
      </c>
      <c r="CC140" s="571"/>
      <c r="CD140" s="448"/>
      <c r="CE140" s="92">
        <f t="shared" si="224"/>
        <v>0</v>
      </c>
      <c r="CF140" s="92">
        <f t="shared" si="225"/>
        <v>0</v>
      </c>
      <c r="CG140" s="151" t="str">
        <f t="shared" si="212"/>
        <v/>
      </c>
      <c r="CH140" s="92">
        <f t="shared" si="213"/>
        <v>0</v>
      </c>
      <c r="CI140" s="92" t="str">
        <f t="shared" si="226"/>
        <v/>
      </c>
      <c r="CJ140" s="1100">
        <f>GEN!AM34</f>
        <v>0</v>
      </c>
      <c r="CK140" s="445">
        <f>SUMIF(GEN!$G$155:$J$155,CK$112,GEN!$AN34:$AQ34)</f>
        <v>0</v>
      </c>
      <c r="CL140" s="446">
        <f>SUMIF(GEN!$G$155:$J$155,CL$112,GEN!$AN34:$AQ34)</f>
        <v>0</v>
      </c>
      <c r="CM140" s="447">
        <f>SUMIF(GEN!$G$155:$J$155,CM$112,GEN!$AN34:$AQ34)</f>
        <v>0</v>
      </c>
      <c r="CN140" s="448">
        <f>SUMIF(GEN!$G$155:$J$155,CN$112,GEN!$AN34:$AQ34)</f>
        <v>0</v>
      </c>
      <c r="CO140" s="1100">
        <f>GEN!AS34</f>
        <v>0</v>
      </c>
      <c r="CP140" s="445">
        <f>GEN!AT34</f>
        <v>0</v>
      </c>
      <c r="CQ140" s="446">
        <f>GEN!AU34</f>
        <v>0</v>
      </c>
      <c r="CR140" s="447">
        <f>GEN!AV34</f>
        <v>0</v>
      </c>
      <c r="CS140" s="448">
        <f>GEN!AW34</f>
        <v>0</v>
      </c>
      <c r="CT140" s="1100">
        <f>GEN!AY34</f>
        <v>0</v>
      </c>
      <c r="CU140" s="2"/>
    </row>
    <row r="141" spans="1:99" ht="14.25" hidden="1" customHeight="1" x14ac:dyDescent="0.2">
      <c r="A141" s="2"/>
      <c r="B141" s="151">
        <f t="shared" si="214"/>
        <v>45319</v>
      </c>
      <c r="C141" s="223">
        <f>IF(AND(E141&gt;(E$491-1),E141&lt;(I$491+1)),W$485,IF(ISERROR(HLOOKUP(E141,$E$484:$L$484,1,FALSE)),HLOOKUP(WEEKDAY(E141,2),IMPOSTAZIONI!$C$51:$P$56,6,FALSE),$W$484))</f>
        <v>0</v>
      </c>
      <c r="D141" s="103" t="str">
        <f t="shared" si="215"/>
        <v/>
      </c>
      <c r="E141" s="2380">
        <f t="shared" si="227"/>
        <v>45319</v>
      </c>
      <c r="F141" s="2381"/>
      <c r="G141" s="2325">
        <f>GEN!E35</f>
        <v>0</v>
      </c>
      <c r="H141" s="2326"/>
      <c r="I141" s="2327"/>
      <c r="J141" s="479" t="str">
        <f t="shared" si="210"/>
        <v/>
      </c>
      <c r="K141" s="480"/>
      <c r="L141" s="2321">
        <f t="shared" si="228"/>
        <v>4</v>
      </c>
      <c r="M141" s="2322"/>
      <c r="N141" s="478"/>
      <c r="O141" s="478"/>
      <c r="P141" s="478"/>
      <c r="Q141" s="2315">
        <f t="shared" si="217"/>
        <v>45319</v>
      </c>
      <c r="R141" s="2315"/>
      <c r="S141" s="478"/>
      <c r="T141" s="140">
        <f t="shared" si="218"/>
        <v>0</v>
      </c>
      <c r="U141" s="478"/>
      <c r="V141" s="478"/>
      <c r="W141" s="478"/>
      <c r="X141" s="478"/>
      <c r="Y141" s="478"/>
      <c r="Z141" s="478"/>
      <c r="AA141" s="478"/>
      <c r="AB141" s="478"/>
      <c r="AC141" s="478"/>
      <c r="AD141" s="478"/>
      <c r="AE141" s="478"/>
      <c r="AF141" s="478"/>
      <c r="AG141" s="140">
        <f t="shared" si="219"/>
        <v>0</v>
      </c>
      <c r="AH141" s="92" t="str">
        <f t="shared" si="220"/>
        <v/>
      </c>
      <c r="AI141" s="131">
        <f t="shared" si="221"/>
        <v>0</v>
      </c>
      <c r="AJ141" s="2"/>
      <c r="AK141" s="92">
        <f>IF(G141=G$481,0,IF(OR(G141&lt;&gt;0,CJ141&lt;&gt;0,C141="L"),COUNTIF(AK$114:AK140,"&gt;0")+1,0))</f>
        <v>0</v>
      </c>
      <c r="AL141" s="92" t="str">
        <f t="shared" si="222"/>
        <v/>
      </c>
      <c r="AM141" s="92" t="str">
        <f t="shared" si="223"/>
        <v/>
      </c>
      <c r="AN141" s="131">
        <f t="shared" si="211"/>
        <v>0</v>
      </c>
      <c r="AO141" s="447">
        <f>SUM(GEN!W35:Z35)</f>
        <v>0</v>
      </c>
      <c r="AP141" s="445">
        <f>SUMIF(GEN!$G$155:$J$155,AP$112,GEN!$R35:$U35)</f>
        <v>0</v>
      </c>
      <c r="AQ141" s="446">
        <f>SUMIF(GEN!$G$155:$J$155,AQ$112,GEN!$R35:$U35)</f>
        <v>0</v>
      </c>
      <c r="AR141" s="447">
        <f>SUMIF(GEN!$G$155:$J$155,AR$112,GEN!$R35:$U35)</f>
        <v>0</v>
      </c>
      <c r="AS141" s="448">
        <f>SUMIF(GEN!$G$155:$J$155,AS$112,GEN!$R35:$U35)</f>
        <v>0</v>
      </c>
      <c r="AT141" s="449">
        <f>GEN!AG35</f>
        <v>0</v>
      </c>
      <c r="AU141" s="445">
        <f>GEN!AH35</f>
        <v>0</v>
      </c>
      <c r="AV141" s="446">
        <f>GEN!AI35</f>
        <v>0</v>
      </c>
      <c r="AW141" s="447">
        <f>GEN!AJ35</f>
        <v>0</v>
      </c>
      <c r="AX141" s="448">
        <f>GEN!AK35</f>
        <v>0</v>
      </c>
      <c r="AY141" s="445">
        <f>SUMIF(GEN!$G$152:$J$152,"&gt;0",GEN!$W35:$Z35)</f>
        <v>0</v>
      </c>
      <c r="AZ141" s="1063">
        <f>SUM(GEN!AB35:AE35)</f>
        <v>0</v>
      </c>
      <c r="BA141" s="445">
        <f>SUMIF(GEN!$G$159:$J$159,BA$111,GEN!$R35:$U35)+SUMIF(GEN!$G$159:$J$159,BA$111,GEN!$W35:$Z35)</f>
        <v>0</v>
      </c>
      <c r="BB141" s="446">
        <f>SUMIF(GEN!$G$159:$J$159,BB$111,GEN!$R35:$U35)+SUMIF(GEN!$G$159:$J$159,BB$111,GEN!$W35:$Z35)</f>
        <v>0</v>
      </c>
      <c r="BC141" s="446">
        <f>SUMIF(GEN!$G$159:$J$159,BC$111,GEN!$R35:$U35)+SUMIF(GEN!$G$159:$J$159,BC$111,GEN!$W35:$Z35)</f>
        <v>0</v>
      </c>
      <c r="BD141" s="446">
        <f>SUMIF(GEN!$G$159:$J$159,BD$111,GEN!$R35:$U35)+SUMIF(GEN!$G$159:$J$159,BD$111,GEN!$W35:$Z35)</f>
        <v>0</v>
      </c>
      <c r="BE141" s="446">
        <f>SUMIF(GEN!$G$159:$J$159,BE$111,GEN!$R35:$U35)+SUMIF(GEN!$G$159:$J$159,BE$111,GEN!$W35:$Z35)</f>
        <v>0</v>
      </c>
      <c r="BF141" s="446">
        <f>SUMIF(GEN!$G$159:$J$159,BF$111,GEN!$R35:$U35)+SUMIF(GEN!$G$159:$J$159,BF$111,GEN!$W35:$Z35)</f>
        <v>0</v>
      </c>
      <c r="BG141" s="448">
        <f>SUMIF(GEN!$G$159:$J$159,BG$111,GEN!$R35:$U35)+SUMIF(GEN!$G$159:$J$159,BG$111,GEN!$W35:$Z35)</f>
        <v>0</v>
      </c>
      <c r="BH141" s="571"/>
      <c r="BI141" s="448"/>
      <c r="BJ141" s="470"/>
      <c r="BK141" s="445">
        <f>SUMIF(GEN!$G$157:$J$157,BK$111,GEN!$R35:$U35)+SUMIF(GEN!$G$157:$J$157,BK$111,GEN!$W35:$Z35)</f>
        <v>0</v>
      </c>
      <c r="BL141" s="446">
        <f>SUMIF(GEN!$G$157:$J$157,BL$111,GEN!$R35:$U35)+SUMIF(GEN!$G$157:$J$157,BL$111,GEN!$W35:$Z35)</f>
        <v>0</v>
      </c>
      <c r="BM141" s="446">
        <f>SUMIF(GEN!$G$157:$J$157,BM$111,GEN!$R35:$U35)+SUMIF(GEN!$G$157:$J$157,BM$111,GEN!$W35:$Z35)</f>
        <v>0</v>
      </c>
      <c r="BN141" s="446">
        <f>SUMIF(GEN!$G$157:$J$157,BN$111,GEN!$R35:$U35)+SUMIF(GEN!$G$157:$J$157,BN$111,GEN!$W35:$Z35)</f>
        <v>0</v>
      </c>
      <c r="BO141" s="446">
        <f>SUMIF(GEN!$G$157:$J$157,BO$111,GEN!$R35:$U35)+SUMIF(GEN!$G$157:$J$157,BO$111,GEN!$W35:$Z35)</f>
        <v>0</v>
      </c>
      <c r="BP141" s="446">
        <f>SUMIF(GEN!$G$157:$J$157,BP$111,GEN!$R35:$U35)+SUMIF(GEN!$G$157:$J$157,BP$111,GEN!$W35:$Z35)</f>
        <v>0</v>
      </c>
      <c r="BQ141" s="448">
        <f>SUMIF(GEN!$G$157:$J$157,BQ$111,GEN!$R35:$U35)+SUMIF(GEN!$G$157:$J$157,BQ$111,GEN!$W35:$Z35)</f>
        <v>0</v>
      </c>
      <c r="BR141" s="571"/>
      <c r="BS141" s="446"/>
      <c r="BT141" s="448"/>
      <c r="BU141" s="470"/>
      <c r="BV141" s="445">
        <f>SUMIF(GEN!$G$158:$J$158,BV$111,GEN!$R35:$U35)+SUMIF(GEN!$G$158:$J$158,BV$111,GEN!$W35:$Z35)</f>
        <v>0</v>
      </c>
      <c r="BW141" s="446">
        <f>SUMIF(GEN!$G$158:$J$158,BW$111,GEN!$R35:$U35)+SUMIF(GEN!$G$158:$J$158,BW$111,GEN!$W35:$Z35)</f>
        <v>0</v>
      </c>
      <c r="BX141" s="446">
        <f>SUMIF(GEN!$G$158:$J$158,BX$111,GEN!$R35:$U35)+SUMIF(GEN!$G$158:$J$158,BX$111,GEN!$W35:$Z35)</f>
        <v>0</v>
      </c>
      <c r="BY141" s="446">
        <f>SUMIF(GEN!$G$158:$J$158,BY$111,GEN!$R35:$U35)+SUMIF(GEN!$G$158:$J$158,BY$111,GEN!$W35:$Z35)</f>
        <v>0</v>
      </c>
      <c r="BZ141" s="446">
        <f>SUMIF(GEN!$G$158:$J$158,BZ$111,GEN!$R35:$U35)+SUMIF(GEN!$G$158:$J$158,BZ$111,GEN!$W35:$Z35)</f>
        <v>0</v>
      </c>
      <c r="CA141" s="446">
        <f>SUMIF(GEN!$G$158:$J$158,CA$111,GEN!$R35:$U35)+SUMIF(GEN!$G$158:$J$158,CA$111,GEN!$W35:$Z35)</f>
        <v>0</v>
      </c>
      <c r="CB141" s="448">
        <f>SUMIF(GEN!$G$158:$J$158,CB$111,GEN!$R35:$U35)+SUMIF(GEN!$G$158:$J$158,CB$111,GEN!$W35:$Z35)</f>
        <v>0</v>
      </c>
      <c r="CC141" s="571"/>
      <c r="CD141" s="448"/>
      <c r="CE141" s="92">
        <f t="shared" si="224"/>
        <v>0</v>
      </c>
      <c r="CF141" s="92">
        <f t="shared" si="225"/>
        <v>0</v>
      </c>
      <c r="CG141" s="151" t="str">
        <f t="shared" si="212"/>
        <v/>
      </c>
      <c r="CH141" s="92">
        <f t="shared" si="213"/>
        <v>0</v>
      </c>
      <c r="CI141" s="92" t="str">
        <f t="shared" si="226"/>
        <v/>
      </c>
      <c r="CJ141" s="1100">
        <f>GEN!AM35</f>
        <v>0</v>
      </c>
      <c r="CK141" s="445">
        <f>SUMIF(GEN!$G$155:$J$155,CK$112,GEN!$AN35:$AQ35)</f>
        <v>0</v>
      </c>
      <c r="CL141" s="446">
        <f>SUMIF(GEN!$G$155:$J$155,CL$112,GEN!$AN35:$AQ35)</f>
        <v>0</v>
      </c>
      <c r="CM141" s="447">
        <f>SUMIF(GEN!$G$155:$J$155,CM$112,GEN!$AN35:$AQ35)</f>
        <v>0</v>
      </c>
      <c r="CN141" s="448">
        <f>SUMIF(GEN!$G$155:$J$155,CN$112,GEN!$AN35:$AQ35)</f>
        <v>0</v>
      </c>
      <c r="CO141" s="1100">
        <f>GEN!AS35</f>
        <v>0</v>
      </c>
      <c r="CP141" s="445">
        <f>GEN!AT35</f>
        <v>0</v>
      </c>
      <c r="CQ141" s="446">
        <f>GEN!AU35</f>
        <v>0</v>
      </c>
      <c r="CR141" s="447">
        <f>GEN!AV35</f>
        <v>0</v>
      </c>
      <c r="CS141" s="448">
        <f>GEN!AW35</f>
        <v>0</v>
      </c>
      <c r="CT141" s="1100">
        <f>GEN!AY35</f>
        <v>0</v>
      </c>
      <c r="CU141" s="2"/>
    </row>
    <row r="142" spans="1:99" ht="14.25" hidden="1" customHeight="1" x14ac:dyDescent="0.2">
      <c r="A142" s="2"/>
      <c r="B142" s="151">
        <f t="shared" si="214"/>
        <v>45320</v>
      </c>
      <c r="C142" s="223">
        <f>IF(AND(E142&gt;(E$491-1),E142&lt;(I$491+1)),W$485,IF(ISERROR(HLOOKUP(E142,$E$484:$L$484,1,FALSE)),HLOOKUP(WEEKDAY(E142,2),IMPOSTAZIONI!$C$51:$P$56,6,FALSE),$W$484))</f>
        <v>0</v>
      </c>
      <c r="D142" s="103" t="str">
        <f t="shared" si="215"/>
        <v/>
      </c>
      <c r="E142" s="2380">
        <f t="shared" si="227"/>
        <v>45320</v>
      </c>
      <c r="F142" s="2381"/>
      <c r="G142" s="2325">
        <f>GEN!E36</f>
        <v>0</v>
      </c>
      <c r="H142" s="2326"/>
      <c r="I142" s="2327"/>
      <c r="J142" s="479" t="str">
        <f t="shared" si="210"/>
        <v/>
      </c>
      <c r="K142" s="480"/>
      <c r="L142" s="2323">
        <f t="shared" si="228"/>
        <v>5</v>
      </c>
      <c r="M142" s="2324"/>
      <c r="N142" s="478"/>
      <c r="O142" s="478"/>
      <c r="P142" s="478"/>
      <c r="Q142" s="2315">
        <f t="shared" si="217"/>
        <v>45320</v>
      </c>
      <c r="R142" s="2315"/>
      <c r="S142" s="478"/>
      <c r="T142" s="140">
        <f t="shared" si="218"/>
        <v>0</v>
      </c>
      <c r="U142" s="478"/>
      <c r="V142" s="478"/>
      <c r="W142" s="478"/>
      <c r="X142" s="478"/>
      <c r="Y142" s="478"/>
      <c r="Z142" s="478"/>
      <c r="AA142" s="478"/>
      <c r="AB142" s="478"/>
      <c r="AC142" s="478"/>
      <c r="AD142" s="478"/>
      <c r="AE142" s="478"/>
      <c r="AF142" s="478"/>
      <c r="AG142" s="140">
        <f t="shared" si="219"/>
        <v>0</v>
      </c>
      <c r="AH142" s="92" t="str">
        <f t="shared" si="220"/>
        <v/>
      </c>
      <c r="AI142" s="131">
        <f t="shared" si="221"/>
        <v>0</v>
      </c>
      <c r="AJ142" s="2"/>
      <c r="AK142" s="92">
        <f>IF(G142=G$481,0,IF(OR(G142&lt;&gt;0,CJ142&lt;&gt;0,C142="L"),COUNTIF(AK$114:AK141,"&gt;0")+1,0))</f>
        <v>0</v>
      </c>
      <c r="AL142" s="92" t="str">
        <f t="shared" si="222"/>
        <v/>
      </c>
      <c r="AM142" s="92" t="str">
        <f t="shared" si="223"/>
        <v/>
      </c>
      <c r="AN142" s="131">
        <f t="shared" si="211"/>
        <v>0</v>
      </c>
      <c r="AO142" s="447">
        <f>SUM(GEN!W36:Z36)</f>
        <v>0</v>
      </c>
      <c r="AP142" s="445">
        <f>SUMIF(GEN!$G$155:$J$155,AP$112,GEN!$R36:$U36)</f>
        <v>0</v>
      </c>
      <c r="AQ142" s="446">
        <f>SUMIF(GEN!$G$155:$J$155,AQ$112,GEN!$R36:$U36)</f>
        <v>0</v>
      </c>
      <c r="AR142" s="447">
        <f>SUMIF(GEN!$G$155:$J$155,AR$112,GEN!$R36:$U36)</f>
        <v>0</v>
      </c>
      <c r="AS142" s="448">
        <f>SUMIF(GEN!$G$155:$J$155,AS$112,GEN!$R36:$U36)</f>
        <v>0</v>
      </c>
      <c r="AT142" s="449">
        <f>GEN!AG36</f>
        <v>0</v>
      </c>
      <c r="AU142" s="445">
        <f>GEN!AH36</f>
        <v>0</v>
      </c>
      <c r="AV142" s="446">
        <f>GEN!AI36</f>
        <v>0</v>
      </c>
      <c r="AW142" s="447">
        <f>GEN!AJ36</f>
        <v>0</v>
      </c>
      <c r="AX142" s="448">
        <f>GEN!AK36</f>
        <v>0</v>
      </c>
      <c r="AY142" s="445">
        <f>SUMIF(GEN!$G$152:$J$152,"&gt;0",GEN!$W36:$Z36)</f>
        <v>0</v>
      </c>
      <c r="AZ142" s="1063">
        <f>SUM(GEN!AB36:AE36)</f>
        <v>0</v>
      </c>
      <c r="BA142" s="445">
        <f>SUMIF(GEN!$G$159:$J$159,BA$111,GEN!$R36:$U36)+SUMIF(GEN!$G$159:$J$159,BA$111,GEN!$W36:$Z36)</f>
        <v>0</v>
      </c>
      <c r="BB142" s="446">
        <f>SUMIF(GEN!$G$159:$J$159,BB$111,GEN!$R36:$U36)+SUMIF(GEN!$G$159:$J$159,BB$111,GEN!$W36:$Z36)</f>
        <v>0</v>
      </c>
      <c r="BC142" s="446">
        <f>SUMIF(GEN!$G$159:$J$159,BC$111,GEN!$R36:$U36)+SUMIF(GEN!$G$159:$J$159,BC$111,GEN!$W36:$Z36)</f>
        <v>0</v>
      </c>
      <c r="BD142" s="446">
        <f>SUMIF(GEN!$G$159:$J$159,BD$111,GEN!$R36:$U36)+SUMIF(GEN!$G$159:$J$159,BD$111,GEN!$W36:$Z36)</f>
        <v>0</v>
      </c>
      <c r="BE142" s="446">
        <f>SUMIF(GEN!$G$159:$J$159,BE$111,GEN!$R36:$U36)+SUMIF(GEN!$G$159:$J$159,BE$111,GEN!$W36:$Z36)</f>
        <v>0</v>
      </c>
      <c r="BF142" s="446">
        <f>SUMIF(GEN!$G$159:$J$159,BF$111,GEN!$R36:$U36)+SUMIF(GEN!$G$159:$J$159,BF$111,GEN!$W36:$Z36)</f>
        <v>0</v>
      </c>
      <c r="BG142" s="448">
        <f>SUMIF(GEN!$G$159:$J$159,BG$111,GEN!$R36:$U36)+SUMIF(GEN!$G$159:$J$159,BG$111,GEN!$W36:$Z36)</f>
        <v>0</v>
      </c>
      <c r="BH142" s="571"/>
      <c r="BI142" s="448"/>
      <c r="BJ142" s="470"/>
      <c r="BK142" s="445">
        <f>SUMIF(GEN!$G$157:$J$157,BK$111,GEN!$R36:$U36)+SUMIF(GEN!$G$157:$J$157,BK$111,GEN!$W36:$Z36)</f>
        <v>0</v>
      </c>
      <c r="BL142" s="446">
        <f>SUMIF(GEN!$G$157:$J$157,BL$111,GEN!$R36:$U36)+SUMIF(GEN!$G$157:$J$157,BL$111,GEN!$W36:$Z36)</f>
        <v>0</v>
      </c>
      <c r="BM142" s="446">
        <f>SUMIF(GEN!$G$157:$J$157,BM$111,GEN!$R36:$U36)+SUMIF(GEN!$G$157:$J$157,BM$111,GEN!$W36:$Z36)</f>
        <v>0</v>
      </c>
      <c r="BN142" s="446">
        <f>SUMIF(GEN!$G$157:$J$157,BN$111,GEN!$R36:$U36)+SUMIF(GEN!$G$157:$J$157,BN$111,GEN!$W36:$Z36)</f>
        <v>0</v>
      </c>
      <c r="BO142" s="446">
        <f>SUMIF(GEN!$G$157:$J$157,BO$111,GEN!$R36:$U36)+SUMIF(GEN!$G$157:$J$157,BO$111,GEN!$W36:$Z36)</f>
        <v>0</v>
      </c>
      <c r="BP142" s="446">
        <f>SUMIF(GEN!$G$157:$J$157,BP$111,GEN!$R36:$U36)+SUMIF(GEN!$G$157:$J$157,BP$111,GEN!$W36:$Z36)</f>
        <v>0</v>
      </c>
      <c r="BQ142" s="448">
        <f>SUMIF(GEN!$G$157:$J$157,BQ$111,GEN!$R36:$U36)+SUMIF(GEN!$G$157:$J$157,BQ$111,GEN!$W36:$Z36)</f>
        <v>0</v>
      </c>
      <c r="BR142" s="571"/>
      <c r="BS142" s="446"/>
      <c r="BT142" s="448"/>
      <c r="BU142" s="470"/>
      <c r="BV142" s="445">
        <f>SUMIF(GEN!$G$158:$J$158,BV$111,GEN!$R36:$U36)+SUMIF(GEN!$G$158:$J$158,BV$111,GEN!$W36:$Z36)</f>
        <v>0</v>
      </c>
      <c r="BW142" s="446">
        <f>SUMIF(GEN!$G$158:$J$158,BW$111,GEN!$R36:$U36)+SUMIF(GEN!$G$158:$J$158,BW$111,GEN!$W36:$Z36)</f>
        <v>0</v>
      </c>
      <c r="BX142" s="446">
        <f>SUMIF(GEN!$G$158:$J$158,BX$111,GEN!$R36:$U36)+SUMIF(GEN!$G$158:$J$158,BX$111,GEN!$W36:$Z36)</f>
        <v>0</v>
      </c>
      <c r="BY142" s="446">
        <f>SUMIF(GEN!$G$158:$J$158,BY$111,GEN!$R36:$U36)+SUMIF(GEN!$G$158:$J$158,BY$111,GEN!$W36:$Z36)</f>
        <v>0</v>
      </c>
      <c r="BZ142" s="446">
        <f>SUMIF(GEN!$G$158:$J$158,BZ$111,GEN!$R36:$U36)+SUMIF(GEN!$G$158:$J$158,BZ$111,GEN!$W36:$Z36)</f>
        <v>0</v>
      </c>
      <c r="CA142" s="446">
        <f>SUMIF(GEN!$G$158:$J$158,CA$111,GEN!$R36:$U36)+SUMIF(GEN!$G$158:$J$158,CA$111,GEN!$W36:$Z36)</f>
        <v>0</v>
      </c>
      <c r="CB142" s="448">
        <f>SUMIF(GEN!$G$158:$J$158,CB$111,GEN!$R36:$U36)+SUMIF(GEN!$G$158:$J$158,CB$111,GEN!$W36:$Z36)</f>
        <v>0</v>
      </c>
      <c r="CC142" s="571"/>
      <c r="CD142" s="448"/>
      <c r="CE142" s="92">
        <f t="shared" si="224"/>
        <v>0</v>
      </c>
      <c r="CF142" s="92">
        <f t="shared" si="225"/>
        <v>0</v>
      </c>
      <c r="CG142" s="151" t="str">
        <f t="shared" si="212"/>
        <v/>
      </c>
      <c r="CH142" s="92">
        <f t="shared" si="213"/>
        <v>0</v>
      </c>
      <c r="CI142" s="92" t="str">
        <f t="shared" si="226"/>
        <v/>
      </c>
      <c r="CJ142" s="1100">
        <f>GEN!AM36</f>
        <v>0</v>
      </c>
      <c r="CK142" s="445">
        <f>SUMIF(GEN!$G$155:$J$155,CK$112,GEN!$AN36:$AQ36)</f>
        <v>0</v>
      </c>
      <c r="CL142" s="446">
        <f>SUMIF(GEN!$G$155:$J$155,CL$112,GEN!$AN36:$AQ36)</f>
        <v>0</v>
      </c>
      <c r="CM142" s="447">
        <f>SUMIF(GEN!$G$155:$J$155,CM$112,GEN!$AN36:$AQ36)</f>
        <v>0</v>
      </c>
      <c r="CN142" s="448">
        <f>SUMIF(GEN!$G$155:$J$155,CN$112,GEN!$AN36:$AQ36)</f>
        <v>0</v>
      </c>
      <c r="CO142" s="1100">
        <f>GEN!AS36</f>
        <v>0</v>
      </c>
      <c r="CP142" s="445">
        <f>GEN!AT36</f>
        <v>0</v>
      </c>
      <c r="CQ142" s="446">
        <f>GEN!AU36</f>
        <v>0</v>
      </c>
      <c r="CR142" s="447">
        <f>GEN!AV36</f>
        <v>0</v>
      </c>
      <c r="CS142" s="448">
        <f>GEN!AW36</f>
        <v>0</v>
      </c>
      <c r="CT142" s="1100">
        <f>GEN!AY36</f>
        <v>0</v>
      </c>
      <c r="CU142" s="2"/>
    </row>
    <row r="143" spans="1:99" ht="14.25" hidden="1" customHeight="1" x14ac:dyDescent="0.2">
      <c r="A143" s="2"/>
      <c r="B143" s="151">
        <f t="shared" si="214"/>
        <v>45321</v>
      </c>
      <c r="C143" s="223">
        <f>IF(AND(E143&gt;(E$491-1),E143&lt;(I$491+1)),W$485,IF(ISERROR(HLOOKUP(E143,$E$484:$L$484,1,FALSE)),HLOOKUP(WEEKDAY(E143,2),IMPOSTAZIONI!$C$51:$P$56,6,FALSE),$W$484))</f>
        <v>0</v>
      </c>
      <c r="D143" s="103" t="str">
        <f t="shared" si="215"/>
        <v/>
      </c>
      <c r="E143" s="2380">
        <f t="shared" si="227"/>
        <v>45321</v>
      </c>
      <c r="F143" s="2381"/>
      <c r="G143" s="2325">
        <f>GEN!E37</f>
        <v>0</v>
      </c>
      <c r="H143" s="2326"/>
      <c r="I143" s="2327"/>
      <c r="J143" s="479" t="str">
        <f t="shared" si="210"/>
        <v/>
      </c>
      <c r="K143" s="480"/>
      <c r="L143" s="2319">
        <f t="shared" si="228"/>
        <v>5</v>
      </c>
      <c r="M143" s="2320"/>
      <c r="N143" s="478"/>
      <c r="O143" s="478"/>
      <c r="P143" s="478"/>
      <c r="Q143" s="2315">
        <f t="shared" si="217"/>
        <v>45321</v>
      </c>
      <c r="R143" s="2315"/>
      <c r="S143" s="478"/>
      <c r="T143" s="140">
        <f t="shared" si="218"/>
        <v>0</v>
      </c>
      <c r="U143" s="478"/>
      <c r="V143" s="478"/>
      <c r="W143" s="478"/>
      <c r="X143" s="478"/>
      <c r="Y143" s="478"/>
      <c r="Z143" s="478"/>
      <c r="AA143" s="478"/>
      <c r="AB143" s="478"/>
      <c r="AC143" s="478"/>
      <c r="AD143" s="478"/>
      <c r="AE143" s="478"/>
      <c r="AF143" s="478"/>
      <c r="AG143" s="140">
        <f t="shared" si="219"/>
        <v>0</v>
      </c>
      <c r="AH143" s="92" t="str">
        <f t="shared" si="220"/>
        <v/>
      </c>
      <c r="AI143" s="131">
        <f t="shared" si="221"/>
        <v>0</v>
      </c>
      <c r="AJ143" s="2"/>
      <c r="AK143" s="92">
        <f>IF(G143=G$481,0,IF(OR(G143&lt;&gt;0,CJ143&lt;&gt;0,C143="L"),COUNTIF(AK$114:AK142,"&gt;0")+1,0))</f>
        <v>0</v>
      </c>
      <c r="AL143" s="92" t="str">
        <f t="shared" si="222"/>
        <v/>
      </c>
      <c r="AM143" s="92" t="str">
        <f t="shared" si="223"/>
        <v/>
      </c>
      <c r="AN143" s="131">
        <f t="shared" si="211"/>
        <v>0</v>
      </c>
      <c r="AO143" s="447">
        <f>SUM(GEN!W37:Z37)</f>
        <v>0</v>
      </c>
      <c r="AP143" s="445">
        <f>SUMIF(GEN!$G$155:$J$155,AP$112,GEN!$R37:$U37)</f>
        <v>0</v>
      </c>
      <c r="AQ143" s="446">
        <f>SUMIF(GEN!$G$155:$J$155,AQ$112,GEN!$R37:$U37)</f>
        <v>0</v>
      </c>
      <c r="AR143" s="447">
        <f>SUMIF(GEN!$G$155:$J$155,AR$112,GEN!$R37:$U37)</f>
        <v>0</v>
      </c>
      <c r="AS143" s="448">
        <f>SUMIF(GEN!$G$155:$J$155,AS$112,GEN!$R37:$U37)</f>
        <v>0</v>
      </c>
      <c r="AT143" s="449">
        <f>GEN!AG37</f>
        <v>0</v>
      </c>
      <c r="AU143" s="445">
        <f>GEN!AH37</f>
        <v>0</v>
      </c>
      <c r="AV143" s="446">
        <f>GEN!AI37</f>
        <v>0</v>
      </c>
      <c r="AW143" s="447">
        <f>GEN!AJ37</f>
        <v>0</v>
      </c>
      <c r="AX143" s="448">
        <f>GEN!AK37</f>
        <v>0</v>
      </c>
      <c r="AY143" s="445">
        <f>SUMIF(GEN!$G$152:$J$152,"&gt;0",GEN!$W37:$Z37)</f>
        <v>0</v>
      </c>
      <c r="AZ143" s="1063">
        <f>SUM(GEN!AB37:AE37)</f>
        <v>0</v>
      </c>
      <c r="BA143" s="445">
        <f>SUMIF(GEN!$G$159:$J$159,BA$111,GEN!$R37:$U37)+SUMIF(GEN!$G$159:$J$159,BA$111,GEN!$W37:$Z37)</f>
        <v>0</v>
      </c>
      <c r="BB143" s="446">
        <f>SUMIF(GEN!$G$159:$J$159,BB$111,GEN!$R37:$U37)+SUMIF(GEN!$G$159:$J$159,BB$111,GEN!$W37:$Z37)</f>
        <v>0</v>
      </c>
      <c r="BC143" s="446">
        <f>SUMIF(GEN!$G$159:$J$159,BC$111,GEN!$R37:$U37)+SUMIF(GEN!$G$159:$J$159,BC$111,GEN!$W37:$Z37)</f>
        <v>0</v>
      </c>
      <c r="BD143" s="446">
        <f>SUMIF(GEN!$G$159:$J$159,BD$111,GEN!$R37:$U37)+SUMIF(GEN!$G$159:$J$159,BD$111,GEN!$W37:$Z37)</f>
        <v>0</v>
      </c>
      <c r="BE143" s="446">
        <f>SUMIF(GEN!$G$159:$J$159,BE$111,GEN!$R37:$U37)+SUMIF(GEN!$G$159:$J$159,BE$111,GEN!$W37:$Z37)</f>
        <v>0</v>
      </c>
      <c r="BF143" s="446">
        <f>SUMIF(GEN!$G$159:$J$159,BF$111,GEN!$R37:$U37)+SUMIF(GEN!$G$159:$J$159,BF$111,GEN!$W37:$Z37)</f>
        <v>0</v>
      </c>
      <c r="BG143" s="448">
        <f>SUMIF(GEN!$G$159:$J$159,BG$111,GEN!$R37:$U37)+SUMIF(GEN!$G$159:$J$159,BG$111,GEN!$W37:$Z37)</f>
        <v>0</v>
      </c>
      <c r="BH143" s="571"/>
      <c r="BI143" s="448"/>
      <c r="BJ143" s="470"/>
      <c r="BK143" s="445">
        <f>SUMIF(GEN!$G$157:$J$157,BK$111,GEN!$R37:$U37)+SUMIF(GEN!$G$157:$J$157,BK$111,GEN!$W37:$Z37)</f>
        <v>0</v>
      </c>
      <c r="BL143" s="446">
        <f>SUMIF(GEN!$G$157:$J$157,BL$111,GEN!$R37:$U37)+SUMIF(GEN!$G$157:$J$157,BL$111,GEN!$W37:$Z37)</f>
        <v>0</v>
      </c>
      <c r="BM143" s="446">
        <f>SUMIF(GEN!$G$157:$J$157,BM$111,GEN!$R37:$U37)+SUMIF(GEN!$G$157:$J$157,BM$111,GEN!$W37:$Z37)</f>
        <v>0</v>
      </c>
      <c r="BN143" s="446">
        <f>SUMIF(GEN!$G$157:$J$157,BN$111,GEN!$R37:$U37)+SUMIF(GEN!$G$157:$J$157,BN$111,GEN!$W37:$Z37)</f>
        <v>0</v>
      </c>
      <c r="BO143" s="446">
        <f>SUMIF(GEN!$G$157:$J$157,BO$111,GEN!$R37:$U37)+SUMIF(GEN!$G$157:$J$157,BO$111,GEN!$W37:$Z37)</f>
        <v>0</v>
      </c>
      <c r="BP143" s="446">
        <f>SUMIF(GEN!$G$157:$J$157,BP$111,GEN!$R37:$U37)+SUMIF(GEN!$G$157:$J$157,BP$111,GEN!$W37:$Z37)</f>
        <v>0</v>
      </c>
      <c r="BQ143" s="448">
        <f>SUMIF(GEN!$G$157:$J$157,BQ$111,GEN!$R37:$U37)+SUMIF(GEN!$G$157:$J$157,BQ$111,GEN!$W37:$Z37)</f>
        <v>0</v>
      </c>
      <c r="BR143" s="571"/>
      <c r="BS143" s="446"/>
      <c r="BT143" s="448"/>
      <c r="BU143" s="470"/>
      <c r="BV143" s="445">
        <f>SUMIF(GEN!$G$158:$J$158,BV$111,GEN!$R37:$U37)+SUMIF(GEN!$G$158:$J$158,BV$111,GEN!$W37:$Z37)</f>
        <v>0</v>
      </c>
      <c r="BW143" s="446">
        <f>SUMIF(GEN!$G$158:$J$158,BW$111,GEN!$R37:$U37)+SUMIF(GEN!$G$158:$J$158,BW$111,GEN!$W37:$Z37)</f>
        <v>0</v>
      </c>
      <c r="BX143" s="446">
        <f>SUMIF(GEN!$G$158:$J$158,BX$111,GEN!$R37:$U37)+SUMIF(GEN!$G$158:$J$158,BX$111,GEN!$W37:$Z37)</f>
        <v>0</v>
      </c>
      <c r="BY143" s="446">
        <f>SUMIF(GEN!$G$158:$J$158,BY$111,GEN!$R37:$U37)+SUMIF(GEN!$G$158:$J$158,BY$111,GEN!$W37:$Z37)</f>
        <v>0</v>
      </c>
      <c r="BZ143" s="446">
        <f>SUMIF(GEN!$G$158:$J$158,BZ$111,GEN!$R37:$U37)+SUMIF(GEN!$G$158:$J$158,BZ$111,GEN!$W37:$Z37)</f>
        <v>0</v>
      </c>
      <c r="CA143" s="446">
        <f>SUMIF(GEN!$G$158:$J$158,CA$111,GEN!$R37:$U37)+SUMIF(GEN!$G$158:$J$158,CA$111,GEN!$W37:$Z37)</f>
        <v>0</v>
      </c>
      <c r="CB143" s="448">
        <f>SUMIF(GEN!$G$158:$J$158,CB$111,GEN!$R37:$U37)+SUMIF(GEN!$G$158:$J$158,CB$111,GEN!$W37:$Z37)</f>
        <v>0</v>
      </c>
      <c r="CC143" s="571"/>
      <c r="CD143" s="448"/>
      <c r="CE143" s="92">
        <f t="shared" si="224"/>
        <v>0</v>
      </c>
      <c r="CF143" s="92">
        <f t="shared" si="225"/>
        <v>0</v>
      </c>
      <c r="CG143" s="151" t="str">
        <f t="shared" si="212"/>
        <v/>
      </c>
      <c r="CH143" s="92">
        <f t="shared" si="213"/>
        <v>0</v>
      </c>
      <c r="CI143" s="92" t="str">
        <f t="shared" si="226"/>
        <v/>
      </c>
      <c r="CJ143" s="1100">
        <f>GEN!AM37</f>
        <v>0</v>
      </c>
      <c r="CK143" s="445">
        <f>SUMIF(GEN!$G$155:$J$155,CK$112,GEN!$AN37:$AQ37)</f>
        <v>0</v>
      </c>
      <c r="CL143" s="446">
        <f>SUMIF(GEN!$G$155:$J$155,CL$112,GEN!$AN37:$AQ37)</f>
        <v>0</v>
      </c>
      <c r="CM143" s="447">
        <f>SUMIF(GEN!$G$155:$J$155,CM$112,GEN!$AN37:$AQ37)</f>
        <v>0</v>
      </c>
      <c r="CN143" s="448">
        <f>SUMIF(GEN!$G$155:$J$155,CN$112,GEN!$AN37:$AQ37)</f>
        <v>0</v>
      </c>
      <c r="CO143" s="1100">
        <f>GEN!AS37</f>
        <v>0</v>
      </c>
      <c r="CP143" s="445">
        <f>GEN!AT37</f>
        <v>0</v>
      </c>
      <c r="CQ143" s="446">
        <f>GEN!AU37</f>
        <v>0</v>
      </c>
      <c r="CR143" s="447">
        <f>GEN!AV37</f>
        <v>0</v>
      </c>
      <c r="CS143" s="448">
        <f>GEN!AW37</f>
        <v>0</v>
      </c>
      <c r="CT143" s="1100">
        <f>GEN!AY37</f>
        <v>0</v>
      </c>
      <c r="CU143" s="2"/>
    </row>
    <row r="144" spans="1:99" ht="14.25" hidden="1" customHeight="1" x14ac:dyDescent="0.2">
      <c r="A144" s="2"/>
      <c r="B144" s="151">
        <f t="shared" si="214"/>
        <v>45322</v>
      </c>
      <c r="C144" s="223">
        <f>IF(AND(E144&gt;(E$491-1),E144&lt;(I$491+1)),W$485,IF(ISERROR(HLOOKUP(E144,$E$484:$L$484,1,FALSE)),HLOOKUP(WEEKDAY(E144,2),IMPOSTAZIONI!$C$51:$P$56,6,FALSE),$W$484))</f>
        <v>0</v>
      </c>
      <c r="D144" s="103" t="str">
        <f t="shared" si="215"/>
        <v/>
      </c>
      <c r="E144" s="2445">
        <f t="shared" si="227"/>
        <v>45322</v>
      </c>
      <c r="F144" s="2446"/>
      <c r="G144" s="2316">
        <f>GEN!E38</f>
        <v>0</v>
      </c>
      <c r="H144" s="2317"/>
      <c r="I144" s="2318"/>
      <c r="J144" s="479" t="str">
        <f t="shared" si="210"/>
        <v/>
      </c>
      <c r="K144" s="480"/>
      <c r="L144" s="2319">
        <f t="shared" si="228"/>
        <v>5</v>
      </c>
      <c r="M144" s="2320"/>
      <c r="N144" s="478"/>
      <c r="O144" s="478"/>
      <c r="P144" s="478"/>
      <c r="Q144" s="2315">
        <f t="shared" si="217"/>
        <v>45322</v>
      </c>
      <c r="R144" s="2315"/>
      <c r="S144" s="478"/>
      <c r="T144" s="140">
        <f t="shared" si="218"/>
        <v>0</v>
      </c>
      <c r="U144" s="478"/>
      <c r="V144" s="478"/>
      <c r="W144" s="478"/>
      <c r="X144" s="478"/>
      <c r="Y144" s="478"/>
      <c r="Z144" s="478"/>
      <c r="AA144" s="478"/>
      <c r="AB144" s="478"/>
      <c r="AC144" s="478"/>
      <c r="AD144" s="478"/>
      <c r="AE144" s="478"/>
      <c r="AF144" s="478"/>
      <c r="AG144" s="140">
        <f t="shared" si="219"/>
        <v>0</v>
      </c>
      <c r="AH144" s="92" t="str">
        <f t="shared" si="220"/>
        <v/>
      </c>
      <c r="AI144" s="131">
        <f t="shared" si="221"/>
        <v>0</v>
      </c>
      <c r="AJ144" s="2"/>
      <c r="AK144" s="92">
        <f>IF(G144=G$481,0,IF(OR(G144&lt;&gt;0,CJ144&lt;&gt;0,C144="L"),COUNTIF(AK$114:AK143,"&gt;0")+1,0))</f>
        <v>0</v>
      </c>
      <c r="AL144" s="92" t="str">
        <f t="shared" si="222"/>
        <v/>
      </c>
      <c r="AM144" s="92" t="str">
        <f t="shared" si="223"/>
        <v/>
      </c>
      <c r="AN144" s="131">
        <f t="shared" si="211"/>
        <v>0</v>
      </c>
      <c r="AO144" s="452">
        <f>SUM(GEN!W38:Z38)</f>
        <v>0</v>
      </c>
      <c r="AP144" s="450">
        <f>SUMIF(GEN!$G$155:$J$155,AP$112,GEN!$R38:$U38)</f>
        <v>0</v>
      </c>
      <c r="AQ144" s="451">
        <f>SUMIF(GEN!$G$155:$J$155,AQ$112,GEN!$R38:$U38)</f>
        <v>0</v>
      </c>
      <c r="AR144" s="452">
        <f>SUMIF(GEN!$G$155:$J$155,AR$112,GEN!$R38:$U38)</f>
        <v>0</v>
      </c>
      <c r="AS144" s="453">
        <f>SUMIF(GEN!$G$155:$J$155,AS$112,GEN!$R38:$U38)</f>
        <v>0</v>
      </c>
      <c r="AT144" s="454">
        <f>GEN!AG38</f>
        <v>0</v>
      </c>
      <c r="AU144" s="450">
        <f>GEN!AH38</f>
        <v>0</v>
      </c>
      <c r="AV144" s="451">
        <f>GEN!AI38</f>
        <v>0</v>
      </c>
      <c r="AW144" s="452">
        <f>GEN!AJ38</f>
        <v>0</v>
      </c>
      <c r="AX144" s="453">
        <f>GEN!AK38</f>
        <v>0</v>
      </c>
      <c r="AY144" s="450">
        <f>SUMIF(GEN!$G$152:$J$152,"&gt;0",GEN!$W38:$Z38)</f>
        <v>0</v>
      </c>
      <c r="AZ144" s="1064">
        <f>SUM(GEN!AB38:AE38)</f>
        <v>0</v>
      </c>
      <c r="BA144" s="450">
        <f>SUMIF(GEN!$G$159:$J$159,BA$111,GEN!$R38:$U38)+SUMIF(GEN!$G$159:$J$159,BA$111,GEN!$W38:$Z38)</f>
        <v>0</v>
      </c>
      <c r="BB144" s="451">
        <f>SUMIF(GEN!$G$159:$J$159,BB$111,GEN!$R38:$U38)+SUMIF(GEN!$G$159:$J$159,BB$111,GEN!$W38:$Z38)</f>
        <v>0</v>
      </c>
      <c r="BC144" s="451">
        <f>SUMIF(GEN!$G$159:$J$159,BC$111,GEN!$R38:$U38)+SUMIF(GEN!$G$159:$J$159,BC$111,GEN!$W38:$Z38)</f>
        <v>0</v>
      </c>
      <c r="BD144" s="451">
        <f>SUMIF(GEN!$G$159:$J$159,BD$111,GEN!$R38:$U38)+SUMIF(GEN!$G$159:$J$159,BD$111,GEN!$W38:$Z38)</f>
        <v>0</v>
      </c>
      <c r="BE144" s="451">
        <f>SUMIF(GEN!$G$159:$J$159,BE$111,GEN!$R38:$U38)+SUMIF(GEN!$G$159:$J$159,BE$111,GEN!$W38:$Z38)</f>
        <v>0</v>
      </c>
      <c r="BF144" s="451">
        <f>SUMIF(GEN!$G$159:$J$159,BF$111,GEN!$R38:$U38)+SUMIF(GEN!$G$159:$J$159,BF$111,GEN!$W38:$Z38)</f>
        <v>0</v>
      </c>
      <c r="BG144" s="453">
        <f>SUMIF(GEN!$G$159:$J$159,BG$111,GEN!$R38:$U38)+SUMIF(GEN!$G$159:$J$159,BG$111,GEN!$W38:$Z38)</f>
        <v>0</v>
      </c>
      <c r="BH144" s="572"/>
      <c r="BI144" s="453"/>
      <c r="BJ144" s="470"/>
      <c r="BK144" s="450">
        <f>SUMIF(GEN!$G$157:$J$157,BK$111,GEN!$R38:$U38)+SUMIF(GEN!$G$157:$J$157,BK$111,GEN!$W38:$Z38)</f>
        <v>0</v>
      </c>
      <c r="BL144" s="451">
        <f>SUMIF(GEN!$G$157:$J$157,BL$111,GEN!$R38:$U38)+SUMIF(GEN!$G$157:$J$157,BL$111,GEN!$W38:$Z38)</f>
        <v>0</v>
      </c>
      <c r="BM144" s="451">
        <f>SUMIF(GEN!$G$157:$J$157,BM$111,GEN!$R38:$U38)+SUMIF(GEN!$G$157:$J$157,BM$111,GEN!$W38:$Z38)</f>
        <v>0</v>
      </c>
      <c r="BN144" s="451">
        <f>SUMIF(GEN!$G$157:$J$157,BN$111,GEN!$R38:$U38)+SUMIF(GEN!$G$157:$J$157,BN$111,GEN!$W38:$Z38)</f>
        <v>0</v>
      </c>
      <c r="BO144" s="451">
        <f>SUMIF(GEN!$G$157:$J$157,BO$111,GEN!$R38:$U38)+SUMIF(GEN!$G$157:$J$157,BO$111,GEN!$W38:$Z38)</f>
        <v>0</v>
      </c>
      <c r="BP144" s="451">
        <f>SUMIF(GEN!$G$157:$J$157,BP$111,GEN!$R38:$U38)+SUMIF(GEN!$G$157:$J$157,BP$111,GEN!$W38:$Z38)</f>
        <v>0</v>
      </c>
      <c r="BQ144" s="453">
        <f>SUMIF(GEN!$G$157:$J$157,BQ$111,GEN!$R38:$U38)+SUMIF(GEN!$G$157:$J$157,BQ$111,GEN!$W38:$Z38)</f>
        <v>0</v>
      </c>
      <c r="BR144" s="572"/>
      <c r="BS144" s="451"/>
      <c r="BT144" s="453"/>
      <c r="BU144" s="470"/>
      <c r="BV144" s="450">
        <f>SUMIF(GEN!$G$158:$J$158,BV$111,GEN!$R38:$U38)+SUMIF(GEN!$G$158:$J$158,BV$111,GEN!$W38:$Z38)</f>
        <v>0</v>
      </c>
      <c r="BW144" s="451">
        <f>SUMIF(GEN!$G$158:$J$158,BW$111,GEN!$R38:$U38)+SUMIF(GEN!$G$158:$J$158,BW$111,GEN!$W38:$Z38)</f>
        <v>0</v>
      </c>
      <c r="BX144" s="451">
        <f>SUMIF(GEN!$G$158:$J$158,BX$111,GEN!$R38:$U38)+SUMIF(GEN!$G$158:$J$158,BX$111,GEN!$W38:$Z38)</f>
        <v>0</v>
      </c>
      <c r="BY144" s="451">
        <f>SUMIF(GEN!$G$158:$J$158,BY$111,GEN!$R38:$U38)+SUMIF(GEN!$G$158:$J$158,BY$111,GEN!$W38:$Z38)</f>
        <v>0</v>
      </c>
      <c r="BZ144" s="451">
        <f>SUMIF(GEN!$G$158:$J$158,BZ$111,GEN!$R38:$U38)+SUMIF(GEN!$G$158:$J$158,BZ$111,GEN!$W38:$Z38)</f>
        <v>0</v>
      </c>
      <c r="CA144" s="451">
        <f>SUMIF(GEN!$G$158:$J$158,CA$111,GEN!$R38:$U38)+SUMIF(GEN!$G$158:$J$158,CA$111,GEN!$W38:$Z38)</f>
        <v>0</v>
      </c>
      <c r="CB144" s="453">
        <f>SUMIF(GEN!$G$158:$J$158,CB$111,GEN!$R38:$U38)+SUMIF(GEN!$G$158:$J$158,CB$111,GEN!$W38:$Z38)</f>
        <v>0</v>
      </c>
      <c r="CC144" s="572"/>
      <c r="CD144" s="453"/>
      <c r="CE144" s="92">
        <f t="shared" si="224"/>
        <v>0</v>
      </c>
      <c r="CF144" s="92">
        <f t="shared" si="225"/>
        <v>0</v>
      </c>
      <c r="CG144" s="151" t="str">
        <f t="shared" si="212"/>
        <v/>
      </c>
      <c r="CH144" s="92">
        <f t="shared" si="213"/>
        <v>0</v>
      </c>
      <c r="CI144" s="92" t="str">
        <f t="shared" si="226"/>
        <v/>
      </c>
      <c r="CJ144" s="1101">
        <f>GEN!AM38</f>
        <v>0</v>
      </c>
      <c r="CK144" s="450">
        <f>SUMIF(GEN!$G$155:$J$155,CK$112,GEN!$AN38:$AQ38)</f>
        <v>0</v>
      </c>
      <c r="CL144" s="451">
        <f>SUMIF(GEN!$G$155:$J$155,CL$112,GEN!$AN38:$AQ38)</f>
        <v>0</v>
      </c>
      <c r="CM144" s="452">
        <f>SUMIF(GEN!$G$155:$J$155,CM$112,GEN!$AN38:$AQ38)</f>
        <v>0</v>
      </c>
      <c r="CN144" s="453">
        <f>SUMIF(GEN!$G$155:$J$155,CN$112,GEN!$AN38:$AQ38)</f>
        <v>0</v>
      </c>
      <c r="CO144" s="1101">
        <f>GEN!AS38</f>
        <v>0</v>
      </c>
      <c r="CP144" s="450">
        <f>GEN!AT38</f>
        <v>0</v>
      </c>
      <c r="CQ144" s="451">
        <f>GEN!AU38</f>
        <v>0</v>
      </c>
      <c r="CR144" s="452">
        <f>GEN!AV38</f>
        <v>0</v>
      </c>
      <c r="CS144" s="453">
        <f>GEN!AW38</f>
        <v>0</v>
      </c>
      <c r="CT144" s="1101">
        <f>GEN!AY38</f>
        <v>0</v>
      </c>
      <c r="CU144" s="2"/>
    </row>
    <row r="145" spans="1:99" ht="14.25" hidden="1" customHeight="1" x14ac:dyDescent="0.2">
      <c r="A145" s="2"/>
      <c r="B145" s="151">
        <f t="shared" si="214"/>
        <v>45323</v>
      </c>
      <c r="C145" s="223">
        <f>IF(AND(E145&gt;(E$492-1),E145&lt;(I$492+1)),W$485,IF(ISERROR(HLOOKUP(E145,$E$485:$L$485,1,FALSE)),HLOOKUP(WEEKDAY(E145,2),IMPOSTAZIONI!$C$51:$P$56,6,FALSE),$W$484))</f>
        <v>0</v>
      </c>
      <c r="D145" s="103" t="str">
        <f t="shared" si="215"/>
        <v/>
      </c>
      <c r="E145" s="2447">
        <f t="shared" si="227"/>
        <v>45323</v>
      </c>
      <c r="F145" s="2448"/>
      <c r="G145" s="2449">
        <f>FEB!E8</f>
        <v>0</v>
      </c>
      <c r="H145" s="2450"/>
      <c r="I145" s="2451"/>
      <c r="J145" s="479" t="str">
        <f t="shared" si="210"/>
        <v/>
      </c>
      <c r="K145" s="480"/>
      <c r="L145" s="2319">
        <f t="shared" si="228"/>
        <v>5</v>
      </c>
      <c r="M145" s="2320"/>
      <c r="N145" s="478"/>
      <c r="O145" s="478"/>
      <c r="P145" s="478"/>
      <c r="Q145" s="2315">
        <f t="shared" si="217"/>
        <v>45323</v>
      </c>
      <c r="R145" s="2315"/>
      <c r="S145" s="478"/>
      <c r="T145" s="140">
        <f t="shared" si="218"/>
        <v>0</v>
      </c>
      <c r="U145" s="478"/>
      <c r="V145" s="478"/>
      <c r="W145" s="478"/>
      <c r="X145" s="478"/>
      <c r="Y145" s="478"/>
      <c r="Z145" s="478"/>
      <c r="AA145" s="478"/>
      <c r="AB145" s="478"/>
      <c r="AC145" s="478"/>
      <c r="AD145" s="478"/>
      <c r="AE145" s="478"/>
      <c r="AF145" s="478"/>
      <c r="AG145" s="140">
        <f t="shared" si="219"/>
        <v>0</v>
      </c>
      <c r="AH145" s="92" t="str">
        <f t="shared" si="220"/>
        <v/>
      </c>
      <c r="AI145" s="131">
        <f t="shared" si="221"/>
        <v>0</v>
      </c>
      <c r="AJ145" s="131">
        <f>IF(G145=G481,0,COUNTIF(T145:T173,"&gt;0"))</f>
        <v>0</v>
      </c>
      <c r="AK145" s="92">
        <f>IF(G145=G$481,0,IF(OR(G145&lt;&gt;0,CJ145&lt;&gt;0,C145="L"),COUNTIF(AK$114:AK144,"&gt;0")+1,0))</f>
        <v>0</v>
      </c>
      <c r="AL145" s="92" t="str">
        <f t="shared" si="222"/>
        <v/>
      </c>
      <c r="AM145" s="92" t="str">
        <f t="shared" si="223"/>
        <v/>
      </c>
      <c r="AN145" s="131">
        <f t="shared" si="211"/>
        <v>0</v>
      </c>
      <c r="AO145" s="457">
        <f>SUM(FEB!W8:Z8)</f>
        <v>0</v>
      </c>
      <c r="AP145" s="455">
        <f>SUMIF(FEB!$G$155:$J$155,AP$112,FEB!$R8:$U8)</f>
        <v>0</v>
      </c>
      <c r="AQ145" s="456">
        <f>SUMIF(FEB!$G$155:$J$155,AQ$112,FEB!$R8:$U8)</f>
        <v>0</v>
      </c>
      <c r="AR145" s="457">
        <f>SUMIF(FEB!$G$155:$J$155,AR$112,FEB!$R8:$U8)</f>
        <v>0</v>
      </c>
      <c r="AS145" s="458">
        <f>SUMIF(FEB!$G$155:$J$155,AS$112,FEB!$R8:$U8)</f>
        <v>0</v>
      </c>
      <c r="AT145" s="449">
        <f>FEB!AG8</f>
        <v>0</v>
      </c>
      <c r="AU145" s="455">
        <f>FEB!AH8</f>
        <v>0</v>
      </c>
      <c r="AV145" s="456">
        <f>FEB!AI8</f>
        <v>0</v>
      </c>
      <c r="AW145" s="457">
        <f>FEB!AJ8</f>
        <v>0</v>
      </c>
      <c r="AX145" s="458">
        <f>FEB!AK8</f>
        <v>0</v>
      </c>
      <c r="AY145" s="445">
        <f>SUMIF(FEB!$G$152:$J$152,"&gt;0",FEB!$W8:$Z8)</f>
        <v>0</v>
      </c>
      <c r="AZ145" s="1062">
        <f>SUM(FEB!AB8:AE8)</f>
        <v>0</v>
      </c>
      <c r="BA145" s="472">
        <f>SUMIF(FEB!$G$159:$J$159,BA$111,FEB!$R8:$U8)+SUMIF(FEB!$G$159:$J$159,BA$111,FEB!$W8:$Z8)</f>
        <v>0</v>
      </c>
      <c r="BB145" s="473">
        <f>SUMIF(FEB!$G$159:$J$159,BB$111,FEB!$R8:$U8)+SUMIF(FEB!$G$159:$J$159,BB$111,FEB!$W8:$Z8)</f>
        <v>0</v>
      </c>
      <c r="BC145" s="473">
        <f>SUMIF(FEB!$G$159:$J$159,BC$111,FEB!$R8:$U8)+SUMIF(FEB!$G$159:$J$159,BC$111,FEB!$W8:$Z8)</f>
        <v>0</v>
      </c>
      <c r="BD145" s="473">
        <f>SUMIF(FEB!$G$159:$J$159,BD$111,FEB!$R8:$U8)+SUMIF(FEB!$G$159:$J$159,BD$111,FEB!$W8:$Z8)</f>
        <v>0</v>
      </c>
      <c r="BE145" s="473">
        <f>SUMIF(FEB!$G$159:$J$159,BE$111,FEB!$R8:$U8)+SUMIF(FEB!$G$159:$J$159,BE$111,FEB!$W8:$Z8)</f>
        <v>0</v>
      </c>
      <c r="BF145" s="473">
        <f>SUMIF(FEB!$G$159:$J$159,BF$111,FEB!$R8:$U8)+SUMIF(FEB!$G$159:$J$159,BF$111,FEB!$W8:$Z8)</f>
        <v>0</v>
      </c>
      <c r="BG145" s="474">
        <f>SUMIF(FEB!$G$159:$J$159,BG$111,FEB!$R8:$U8)+SUMIF(FEB!$G$159:$J$159,BG$111,FEB!$W8:$Z8)</f>
        <v>0</v>
      </c>
      <c r="BH145" s="570"/>
      <c r="BI145" s="474"/>
      <c r="BJ145" s="470"/>
      <c r="BK145" s="472">
        <f>SUMIF(FEB!$G$157:$J$157,BK$111,FEB!$R8:$U8)+SUMIF(FEB!$G$157:$J$157,BK$111,FEB!$W8:$Z8)</f>
        <v>0</v>
      </c>
      <c r="BL145" s="473">
        <f>SUMIF(FEB!$G$157:$J$157,BL$111,FEB!$R8:$U8)+SUMIF(FEB!$G$157:$J$157,BL$111,FEB!$W8:$Z8)</f>
        <v>0</v>
      </c>
      <c r="BM145" s="473">
        <f>SUMIF(FEB!$G$157:$J$157,BM$111,FEB!$R8:$U8)+SUMIF(FEB!$G$157:$J$157,BM$111,FEB!$W8:$Z8)</f>
        <v>0</v>
      </c>
      <c r="BN145" s="473">
        <f>SUMIF(FEB!$G$157:$J$157,BN$111,FEB!$R8:$U8)+SUMIF(FEB!$G$157:$J$157,BN$111,FEB!$W8:$Z8)</f>
        <v>0</v>
      </c>
      <c r="BO145" s="473">
        <f>SUMIF(FEB!$G$157:$J$157,BO$111,FEB!$R8:$U8)+SUMIF(FEB!$G$157:$J$157,BO$111,FEB!$W8:$Z8)</f>
        <v>0</v>
      </c>
      <c r="BP145" s="473">
        <f>SUMIF(FEB!$G$157:$J$157,BP$111,FEB!$R8:$U8)+SUMIF(FEB!$G$157:$J$157,BP$111,FEB!$W8:$Z8)</f>
        <v>0</v>
      </c>
      <c r="BQ145" s="474">
        <f>SUMIF(FEB!$G$157:$J$157,BQ$111,FEB!$R8:$U8)+SUMIF(FEB!$G$157:$J$157,BQ$111,FEB!$W8:$Z8)</f>
        <v>0</v>
      </c>
      <c r="BR145" s="570"/>
      <c r="BS145" s="473"/>
      <c r="BT145" s="474"/>
      <c r="BU145" s="470"/>
      <c r="BV145" s="472">
        <f>SUMIF(FEB!$G$158:$J$158,BV$111,FEB!$R8:$U8)+SUMIF(FEB!$G$158:$J$158,BV$111,FEB!$W8:$Z8)</f>
        <v>0</v>
      </c>
      <c r="BW145" s="473">
        <f>SUMIF(FEB!$G$158:$J$158,BW$111,FEB!$R8:$U8)+SUMIF(FEB!$G$158:$J$158,BW$111,FEB!$W8:$Z8)</f>
        <v>0</v>
      </c>
      <c r="BX145" s="473">
        <f>SUMIF(FEB!$G$158:$J$158,BX$111,FEB!$R8:$U8)+SUMIF(FEB!$G$158:$J$158,BX$111,FEB!$W8:$Z8)</f>
        <v>0</v>
      </c>
      <c r="BY145" s="473">
        <f>SUMIF(FEB!$G$158:$J$158,BY$111,FEB!$R8:$U8)+SUMIF(FEB!$G$158:$J$158,BY$111,FEB!$W8:$Z8)</f>
        <v>0</v>
      </c>
      <c r="BZ145" s="473">
        <f>SUMIF(FEB!$G$158:$J$158,BZ$111,FEB!$R8:$U8)+SUMIF(FEB!$G$158:$J$158,BZ$111,FEB!$W8:$Z8)</f>
        <v>0</v>
      </c>
      <c r="CA145" s="473">
        <f>SUMIF(FEB!$G$158:$J$158,CA$111,FEB!$R8:$U8)+SUMIF(FEB!$G$158:$J$158,CA$111,FEB!$W8:$Z8)</f>
        <v>0</v>
      </c>
      <c r="CB145" s="474">
        <f>SUMIF(FEB!$G$158:$J$158,CB$111,FEB!$R8:$U8)+SUMIF(FEB!$G$158:$J$158,CB$111,FEB!$W8:$Z8)</f>
        <v>0</v>
      </c>
      <c r="CC145" s="570"/>
      <c r="CD145" s="474"/>
      <c r="CE145" s="92">
        <f t="shared" si="224"/>
        <v>0</v>
      </c>
      <c r="CF145" s="92">
        <f t="shared" si="225"/>
        <v>0</v>
      </c>
      <c r="CG145" s="151" t="str">
        <f t="shared" si="212"/>
        <v/>
      </c>
      <c r="CH145" s="92">
        <f t="shared" si="213"/>
        <v>0</v>
      </c>
      <c r="CI145" s="92" t="str">
        <f t="shared" si="226"/>
        <v/>
      </c>
      <c r="CJ145" s="1102">
        <f>FEB!AM8</f>
        <v>0</v>
      </c>
      <c r="CK145" s="455">
        <f>SUMIF(FEB!$G$155:$J$155,CK$112,FEB!$AN8:$AQ8)</f>
        <v>0</v>
      </c>
      <c r="CL145" s="456">
        <f>SUMIF(FEB!$G$155:$J$155,CL$112,FEB!$AN8:$AQ8)</f>
        <v>0</v>
      </c>
      <c r="CM145" s="457">
        <f>SUMIF(FEB!$G$155:$J$155,CM$112,FEB!$AN8:$AQ8)</f>
        <v>0</v>
      </c>
      <c r="CN145" s="458">
        <f>SUMIF(FEB!$G$155:$J$155,CN$112,FEB!$AN8:$AQ8)</f>
        <v>0</v>
      </c>
      <c r="CO145" s="1102">
        <f>FEB!AS8</f>
        <v>0</v>
      </c>
      <c r="CP145" s="455">
        <f>FEB!AT8</f>
        <v>0</v>
      </c>
      <c r="CQ145" s="456">
        <f>FEB!AU8</f>
        <v>0</v>
      </c>
      <c r="CR145" s="457">
        <f>FEB!AV8</f>
        <v>0</v>
      </c>
      <c r="CS145" s="458">
        <f>FEB!AW8</f>
        <v>0</v>
      </c>
      <c r="CT145" s="1102">
        <f>FEB!AY8</f>
        <v>0</v>
      </c>
      <c r="CU145" s="2"/>
    </row>
    <row r="146" spans="1:99" ht="14.25" hidden="1" customHeight="1" x14ac:dyDescent="0.2">
      <c r="A146" s="2"/>
      <c r="B146" s="151">
        <f t="shared" si="214"/>
        <v>45324</v>
      </c>
      <c r="C146" s="223">
        <f>IF(AND(E146&gt;(E$492-1),E146&lt;(I$492+1)),W$485,IF(ISERROR(HLOOKUP(E146,$E$485:$L$485,1,FALSE)),HLOOKUP(WEEKDAY(E146,2),IMPOSTAZIONI!$C$51:$P$56,6,FALSE),$W$484))</f>
        <v>0</v>
      </c>
      <c r="D146" s="103" t="str">
        <f t="shared" si="215"/>
        <v/>
      </c>
      <c r="E146" s="2380">
        <f t="shared" si="227"/>
        <v>45324</v>
      </c>
      <c r="F146" s="2381"/>
      <c r="G146" s="2325">
        <f>FEB!E9</f>
        <v>0</v>
      </c>
      <c r="H146" s="2326"/>
      <c r="I146" s="2327"/>
      <c r="J146" s="479" t="str">
        <f t="shared" si="210"/>
        <v/>
      </c>
      <c r="K146" s="480"/>
      <c r="L146" s="2319">
        <f t="shared" si="228"/>
        <v>5</v>
      </c>
      <c r="M146" s="2320"/>
      <c r="N146" s="478"/>
      <c r="O146" s="478"/>
      <c r="P146" s="478"/>
      <c r="Q146" s="2315">
        <f t="shared" si="217"/>
        <v>45324</v>
      </c>
      <c r="R146" s="2315"/>
      <c r="S146" s="478"/>
      <c r="T146" s="140">
        <f t="shared" si="218"/>
        <v>0</v>
      </c>
      <c r="U146" s="478"/>
      <c r="V146" s="478"/>
      <c r="W146" s="478"/>
      <c r="X146" s="478"/>
      <c r="Y146" s="478"/>
      <c r="Z146" s="478"/>
      <c r="AA146" s="478"/>
      <c r="AB146" s="478"/>
      <c r="AC146" s="478"/>
      <c r="AD146" s="478"/>
      <c r="AE146" s="478"/>
      <c r="AF146" s="478"/>
      <c r="AG146" s="140">
        <f t="shared" si="219"/>
        <v>0</v>
      </c>
      <c r="AH146" s="92" t="str">
        <f t="shared" si="220"/>
        <v/>
      </c>
      <c r="AI146" s="131">
        <f t="shared" si="221"/>
        <v>0</v>
      </c>
      <c r="AJ146" s="2"/>
      <c r="AK146" s="92">
        <f>IF(G146=G$481,0,IF(OR(G146&lt;&gt;0,CJ146&lt;&gt;0,C146="L"),COUNTIF(AK$114:AK145,"&gt;0")+1,0))</f>
        <v>0</v>
      </c>
      <c r="AL146" s="92" t="str">
        <f t="shared" si="222"/>
        <v/>
      </c>
      <c r="AM146" s="92" t="str">
        <f t="shared" si="223"/>
        <v/>
      </c>
      <c r="AN146" s="131">
        <f t="shared" si="211"/>
        <v>0</v>
      </c>
      <c r="AO146" s="447">
        <f>SUM(FEB!W9:Z9)</f>
        <v>0</v>
      </c>
      <c r="AP146" s="445">
        <f>SUMIF(FEB!$G$155:$J$155,AP$112,FEB!$R9:$U9)</f>
        <v>0</v>
      </c>
      <c r="AQ146" s="446">
        <f>SUMIF(FEB!$G$155:$J$155,AQ$112,FEB!$R9:$U9)</f>
        <v>0</v>
      </c>
      <c r="AR146" s="447">
        <f>SUMIF(FEB!$G$155:$J$155,AR$112,FEB!$R9:$U9)</f>
        <v>0</v>
      </c>
      <c r="AS146" s="448">
        <f>SUMIF(FEB!$G$155:$J$155,AS$112,FEB!$R9:$U9)</f>
        <v>0</v>
      </c>
      <c r="AT146" s="449">
        <f>FEB!AG9</f>
        <v>0</v>
      </c>
      <c r="AU146" s="445">
        <f>FEB!AH9</f>
        <v>0</v>
      </c>
      <c r="AV146" s="446">
        <f>FEB!AI9</f>
        <v>0</v>
      </c>
      <c r="AW146" s="447">
        <f>FEB!AJ9</f>
        <v>0</v>
      </c>
      <c r="AX146" s="448">
        <f>FEB!AK9</f>
        <v>0</v>
      </c>
      <c r="AY146" s="445">
        <f>SUMIF(FEB!$G$152:$J$152,"&gt;0",FEB!$W9:$Z9)</f>
        <v>0</v>
      </c>
      <c r="AZ146" s="1063">
        <f>SUM(FEB!AB9:AE9)</f>
        <v>0</v>
      </c>
      <c r="BA146" s="445">
        <f>SUMIF(FEB!$G$159:$J$159,BA$111,FEB!$R9:$U9)+SUMIF(FEB!$G$159:$J$159,BA$111,FEB!$W9:$Z9)</f>
        <v>0</v>
      </c>
      <c r="BB146" s="446">
        <f>SUMIF(FEB!$G$159:$J$159,BB$111,FEB!$R9:$U9)+SUMIF(FEB!$G$159:$J$159,BB$111,FEB!$W9:$Z9)</f>
        <v>0</v>
      </c>
      <c r="BC146" s="446">
        <f>SUMIF(FEB!$G$159:$J$159,BC$111,FEB!$R9:$U9)+SUMIF(FEB!$G$159:$J$159,BC$111,FEB!$W9:$Z9)</f>
        <v>0</v>
      </c>
      <c r="BD146" s="446">
        <f>SUMIF(FEB!$G$159:$J$159,BD$111,FEB!$R9:$U9)+SUMIF(FEB!$G$159:$J$159,BD$111,FEB!$W9:$Z9)</f>
        <v>0</v>
      </c>
      <c r="BE146" s="446">
        <f>SUMIF(FEB!$G$159:$J$159,BE$111,FEB!$R9:$U9)+SUMIF(FEB!$G$159:$J$159,BE$111,FEB!$W9:$Z9)</f>
        <v>0</v>
      </c>
      <c r="BF146" s="446">
        <f>SUMIF(FEB!$G$159:$J$159,BF$111,FEB!$R9:$U9)+SUMIF(FEB!$G$159:$J$159,BF$111,FEB!$W9:$Z9)</f>
        <v>0</v>
      </c>
      <c r="BG146" s="448">
        <f>SUMIF(FEB!$G$159:$J$159,BG$111,FEB!$R9:$U9)+SUMIF(FEB!$G$159:$J$159,BG$111,FEB!$W9:$Z9)</f>
        <v>0</v>
      </c>
      <c r="BH146" s="571"/>
      <c r="BI146" s="448"/>
      <c r="BJ146" s="470"/>
      <c r="BK146" s="445">
        <f>SUMIF(FEB!$G$157:$J$157,BK$111,FEB!$R9:$U9)+SUMIF(FEB!$G$157:$J$157,BK$111,FEB!$W9:$Z9)</f>
        <v>0</v>
      </c>
      <c r="BL146" s="446">
        <f>SUMIF(FEB!$G$157:$J$157,BL$111,FEB!$R9:$U9)+SUMIF(FEB!$G$157:$J$157,BL$111,FEB!$W9:$Z9)</f>
        <v>0</v>
      </c>
      <c r="BM146" s="446">
        <f>SUMIF(FEB!$G$157:$J$157,BM$111,FEB!$R9:$U9)+SUMIF(FEB!$G$157:$J$157,BM$111,FEB!$W9:$Z9)</f>
        <v>0</v>
      </c>
      <c r="BN146" s="446">
        <f>SUMIF(FEB!$G$157:$J$157,BN$111,FEB!$R9:$U9)+SUMIF(FEB!$G$157:$J$157,BN$111,FEB!$W9:$Z9)</f>
        <v>0</v>
      </c>
      <c r="BO146" s="446">
        <f>SUMIF(FEB!$G$157:$J$157,BO$111,FEB!$R9:$U9)+SUMIF(FEB!$G$157:$J$157,BO$111,FEB!$W9:$Z9)</f>
        <v>0</v>
      </c>
      <c r="BP146" s="446">
        <f>SUMIF(FEB!$G$157:$J$157,BP$111,FEB!$R9:$U9)+SUMIF(FEB!$G$157:$J$157,BP$111,FEB!$W9:$Z9)</f>
        <v>0</v>
      </c>
      <c r="BQ146" s="448">
        <f>SUMIF(FEB!$G$157:$J$157,BQ$111,FEB!$R9:$U9)+SUMIF(FEB!$G$157:$J$157,BQ$111,FEB!$W9:$Z9)</f>
        <v>0</v>
      </c>
      <c r="BR146" s="571"/>
      <c r="BS146" s="446"/>
      <c r="BT146" s="448"/>
      <c r="BU146" s="470"/>
      <c r="BV146" s="445">
        <f>SUMIF(FEB!$G$158:$J$158,BV$111,FEB!$R9:$U9)+SUMIF(FEB!$G$158:$J$158,BV$111,FEB!$W9:$Z9)</f>
        <v>0</v>
      </c>
      <c r="BW146" s="446">
        <f>SUMIF(FEB!$G$158:$J$158,BW$111,FEB!$R9:$U9)+SUMIF(FEB!$G$158:$J$158,BW$111,FEB!$W9:$Z9)</f>
        <v>0</v>
      </c>
      <c r="BX146" s="446">
        <f>SUMIF(FEB!$G$158:$J$158,BX$111,FEB!$R9:$U9)+SUMIF(FEB!$G$158:$J$158,BX$111,FEB!$W9:$Z9)</f>
        <v>0</v>
      </c>
      <c r="BY146" s="446">
        <f>SUMIF(FEB!$G$158:$J$158,BY$111,FEB!$R9:$U9)+SUMIF(FEB!$G$158:$J$158,BY$111,FEB!$W9:$Z9)</f>
        <v>0</v>
      </c>
      <c r="BZ146" s="446">
        <f>SUMIF(FEB!$G$158:$J$158,BZ$111,FEB!$R9:$U9)+SUMIF(FEB!$G$158:$J$158,BZ$111,FEB!$W9:$Z9)</f>
        <v>0</v>
      </c>
      <c r="CA146" s="446">
        <f>SUMIF(FEB!$G$158:$J$158,CA$111,FEB!$R9:$U9)+SUMIF(FEB!$G$158:$J$158,CA$111,FEB!$W9:$Z9)</f>
        <v>0</v>
      </c>
      <c r="CB146" s="448">
        <f>SUMIF(FEB!$G$158:$J$158,CB$111,FEB!$R9:$U9)+SUMIF(FEB!$G$158:$J$158,CB$111,FEB!$W9:$Z9)</f>
        <v>0</v>
      </c>
      <c r="CC146" s="571"/>
      <c r="CD146" s="448"/>
      <c r="CE146" s="92">
        <f t="shared" si="224"/>
        <v>0</v>
      </c>
      <c r="CF146" s="92">
        <f t="shared" si="225"/>
        <v>0</v>
      </c>
      <c r="CG146" s="151" t="str">
        <f t="shared" ref="CG146:CG172" si="229">IF(AL146="Y",E146,"")</f>
        <v/>
      </c>
      <c r="CH146" s="92">
        <f t="shared" si="213"/>
        <v>0</v>
      </c>
      <c r="CI146" s="92" t="str">
        <f t="shared" si="226"/>
        <v/>
      </c>
      <c r="CJ146" s="1100">
        <f>FEB!AM9</f>
        <v>0</v>
      </c>
      <c r="CK146" s="445">
        <f>SUMIF(FEB!$G$155:$J$155,CK$112,FEB!$AN9:$AQ9)</f>
        <v>0</v>
      </c>
      <c r="CL146" s="446">
        <f>SUMIF(FEB!$G$155:$J$155,CL$112,FEB!$AN9:$AQ9)</f>
        <v>0</v>
      </c>
      <c r="CM146" s="447">
        <f>SUMIF(FEB!$G$155:$J$155,CM$112,FEB!$AN9:$AQ9)</f>
        <v>0</v>
      </c>
      <c r="CN146" s="448">
        <f>SUMIF(FEB!$G$155:$J$155,CN$112,FEB!$AN9:$AQ9)</f>
        <v>0</v>
      </c>
      <c r="CO146" s="1100">
        <f>FEB!AS9</f>
        <v>0</v>
      </c>
      <c r="CP146" s="445">
        <f>FEB!AT9</f>
        <v>0</v>
      </c>
      <c r="CQ146" s="446">
        <f>FEB!AU9</f>
        <v>0</v>
      </c>
      <c r="CR146" s="447">
        <f>FEB!AV9</f>
        <v>0</v>
      </c>
      <c r="CS146" s="448">
        <f>FEB!AW9</f>
        <v>0</v>
      </c>
      <c r="CT146" s="1100">
        <f>FEB!AY9</f>
        <v>0</v>
      </c>
      <c r="CU146" s="2"/>
    </row>
    <row r="147" spans="1:99" ht="14.25" hidden="1" customHeight="1" x14ac:dyDescent="0.2">
      <c r="A147" s="2"/>
      <c r="B147" s="151">
        <f t="shared" si="214"/>
        <v>45325</v>
      </c>
      <c r="C147" s="223">
        <f>IF(AND(E147&gt;(E$492-1),E147&lt;(I$492+1)),W$485,IF(ISERROR(HLOOKUP(E147,$E$485:$L$485,1,FALSE)),HLOOKUP(WEEKDAY(E147,2),IMPOSTAZIONI!$C$51:$P$56,6,FALSE),$W$484))</f>
        <v>0</v>
      </c>
      <c r="D147" s="103" t="str">
        <f t="shared" si="215"/>
        <v/>
      </c>
      <c r="E147" s="2380">
        <f t="shared" si="227"/>
        <v>45325</v>
      </c>
      <c r="F147" s="2381"/>
      <c r="G147" s="2325">
        <f>FEB!E10</f>
        <v>0</v>
      </c>
      <c r="H147" s="2326"/>
      <c r="I147" s="2327"/>
      <c r="J147" s="479" t="str">
        <f t="shared" si="210"/>
        <v/>
      </c>
      <c r="K147" s="480"/>
      <c r="L147" s="2319">
        <f t="shared" si="228"/>
        <v>5</v>
      </c>
      <c r="M147" s="2320"/>
      <c r="N147" s="478"/>
      <c r="O147" s="478"/>
      <c r="P147" s="478"/>
      <c r="Q147" s="2315">
        <f t="shared" si="217"/>
        <v>45325</v>
      </c>
      <c r="R147" s="2315"/>
      <c r="S147" s="478"/>
      <c r="T147" s="140">
        <f t="shared" si="218"/>
        <v>0</v>
      </c>
      <c r="U147" s="478"/>
      <c r="V147" s="478"/>
      <c r="W147" s="478"/>
      <c r="X147" s="478"/>
      <c r="Y147" s="478"/>
      <c r="Z147" s="478"/>
      <c r="AA147" s="478"/>
      <c r="AB147" s="478"/>
      <c r="AC147" s="478"/>
      <c r="AD147" s="478"/>
      <c r="AE147" s="478"/>
      <c r="AF147" s="478"/>
      <c r="AG147" s="140">
        <f t="shared" si="219"/>
        <v>0</v>
      </c>
      <c r="AH147" s="92" t="str">
        <f t="shared" si="220"/>
        <v/>
      </c>
      <c r="AI147" s="131">
        <f t="shared" si="221"/>
        <v>0</v>
      </c>
      <c r="AJ147" s="2"/>
      <c r="AK147" s="92">
        <f>IF(G147=G$481,0,IF(OR(G147&lt;&gt;0,CJ147&lt;&gt;0,C147="L"),COUNTIF(AK$114:AK146,"&gt;0")+1,0))</f>
        <v>0</v>
      </c>
      <c r="AL147" s="92" t="str">
        <f t="shared" si="222"/>
        <v/>
      </c>
      <c r="AM147" s="92" t="str">
        <f t="shared" si="223"/>
        <v/>
      </c>
      <c r="AN147" s="131">
        <f t="shared" si="211"/>
        <v>0</v>
      </c>
      <c r="AO147" s="447">
        <f>SUM(FEB!W10:Z10)</f>
        <v>0</v>
      </c>
      <c r="AP147" s="445">
        <f>SUMIF(FEB!$G$155:$J$155,AP$112,FEB!$R10:$U10)</f>
        <v>0</v>
      </c>
      <c r="AQ147" s="446">
        <f>SUMIF(FEB!$G$155:$J$155,AQ$112,FEB!$R10:$U10)</f>
        <v>0</v>
      </c>
      <c r="AR147" s="447">
        <f>SUMIF(FEB!$G$155:$J$155,AR$112,FEB!$R10:$U10)</f>
        <v>0</v>
      </c>
      <c r="AS147" s="448">
        <f>SUMIF(FEB!$G$155:$J$155,AS$112,FEB!$R10:$U10)</f>
        <v>0</v>
      </c>
      <c r="AT147" s="449">
        <f>FEB!AG10</f>
        <v>0</v>
      </c>
      <c r="AU147" s="445">
        <f>FEB!AH10</f>
        <v>0</v>
      </c>
      <c r="AV147" s="446">
        <f>FEB!AI10</f>
        <v>0</v>
      </c>
      <c r="AW147" s="447">
        <f>FEB!AJ10</f>
        <v>0</v>
      </c>
      <c r="AX147" s="448">
        <f>FEB!AK10</f>
        <v>0</v>
      </c>
      <c r="AY147" s="445">
        <f>SUMIF(FEB!$G$152:$J$152,"&gt;0",FEB!$W10:$Z10)</f>
        <v>0</v>
      </c>
      <c r="AZ147" s="1063">
        <f>SUM(FEB!AB10:AE10)</f>
        <v>0</v>
      </c>
      <c r="BA147" s="445">
        <f>SUMIF(FEB!$G$159:$J$159,BA$111,FEB!$R10:$U10)+SUMIF(FEB!$G$159:$J$159,BA$111,FEB!$W10:$Z10)</f>
        <v>0</v>
      </c>
      <c r="BB147" s="446">
        <f>SUMIF(FEB!$G$159:$J$159,BB$111,FEB!$R10:$U10)+SUMIF(FEB!$G$159:$J$159,BB$111,FEB!$W10:$Z10)</f>
        <v>0</v>
      </c>
      <c r="BC147" s="446">
        <f>SUMIF(FEB!$G$159:$J$159,BC$111,FEB!$R10:$U10)+SUMIF(FEB!$G$159:$J$159,BC$111,FEB!$W10:$Z10)</f>
        <v>0</v>
      </c>
      <c r="BD147" s="446">
        <f>SUMIF(FEB!$G$159:$J$159,BD$111,FEB!$R10:$U10)+SUMIF(FEB!$G$159:$J$159,BD$111,FEB!$W10:$Z10)</f>
        <v>0</v>
      </c>
      <c r="BE147" s="446">
        <f>SUMIF(FEB!$G$159:$J$159,BE$111,FEB!$R10:$U10)+SUMIF(FEB!$G$159:$J$159,BE$111,FEB!$W10:$Z10)</f>
        <v>0</v>
      </c>
      <c r="BF147" s="446">
        <f>SUMIF(FEB!$G$159:$J$159,BF$111,FEB!$R10:$U10)+SUMIF(FEB!$G$159:$J$159,BF$111,FEB!$W10:$Z10)</f>
        <v>0</v>
      </c>
      <c r="BG147" s="448">
        <f>SUMIF(FEB!$G$159:$J$159,BG$111,FEB!$R10:$U10)+SUMIF(FEB!$G$159:$J$159,BG$111,FEB!$W10:$Z10)</f>
        <v>0</v>
      </c>
      <c r="BH147" s="571"/>
      <c r="BI147" s="448"/>
      <c r="BJ147" s="470"/>
      <c r="BK147" s="445">
        <f>SUMIF(FEB!$G$157:$J$157,BK$111,FEB!$R10:$U10)+SUMIF(FEB!$G$157:$J$157,BK$111,FEB!$W10:$Z10)</f>
        <v>0</v>
      </c>
      <c r="BL147" s="446">
        <f>SUMIF(FEB!$G$157:$J$157,BL$111,FEB!$R10:$U10)+SUMIF(FEB!$G$157:$J$157,BL$111,FEB!$W10:$Z10)</f>
        <v>0</v>
      </c>
      <c r="BM147" s="446">
        <f>SUMIF(FEB!$G$157:$J$157,BM$111,FEB!$R10:$U10)+SUMIF(FEB!$G$157:$J$157,BM$111,FEB!$W10:$Z10)</f>
        <v>0</v>
      </c>
      <c r="BN147" s="446">
        <f>SUMIF(FEB!$G$157:$J$157,BN$111,FEB!$R10:$U10)+SUMIF(FEB!$G$157:$J$157,BN$111,FEB!$W10:$Z10)</f>
        <v>0</v>
      </c>
      <c r="BO147" s="446">
        <f>SUMIF(FEB!$G$157:$J$157,BO$111,FEB!$R10:$U10)+SUMIF(FEB!$G$157:$J$157,BO$111,FEB!$W10:$Z10)</f>
        <v>0</v>
      </c>
      <c r="BP147" s="446">
        <f>SUMIF(FEB!$G$157:$J$157,BP$111,FEB!$R10:$U10)+SUMIF(FEB!$G$157:$J$157,BP$111,FEB!$W10:$Z10)</f>
        <v>0</v>
      </c>
      <c r="BQ147" s="448">
        <f>SUMIF(FEB!$G$157:$J$157,BQ$111,FEB!$R10:$U10)+SUMIF(FEB!$G$157:$J$157,BQ$111,FEB!$W10:$Z10)</f>
        <v>0</v>
      </c>
      <c r="BR147" s="571"/>
      <c r="BS147" s="446"/>
      <c r="BT147" s="448"/>
      <c r="BU147" s="470"/>
      <c r="BV147" s="445">
        <f>SUMIF(FEB!$G$158:$J$158,BV$111,FEB!$R10:$U10)+SUMIF(FEB!$G$158:$J$158,BV$111,FEB!$W10:$Z10)</f>
        <v>0</v>
      </c>
      <c r="BW147" s="446">
        <f>SUMIF(FEB!$G$158:$J$158,BW$111,FEB!$R10:$U10)+SUMIF(FEB!$G$158:$J$158,BW$111,FEB!$W10:$Z10)</f>
        <v>0</v>
      </c>
      <c r="BX147" s="446">
        <f>SUMIF(FEB!$G$158:$J$158,BX$111,FEB!$R10:$U10)+SUMIF(FEB!$G$158:$J$158,BX$111,FEB!$W10:$Z10)</f>
        <v>0</v>
      </c>
      <c r="BY147" s="446">
        <f>SUMIF(FEB!$G$158:$J$158,BY$111,FEB!$R10:$U10)+SUMIF(FEB!$G$158:$J$158,BY$111,FEB!$W10:$Z10)</f>
        <v>0</v>
      </c>
      <c r="BZ147" s="446">
        <f>SUMIF(FEB!$G$158:$J$158,BZ$111,FEB!$R10:$U10)+SUMIF(FEB!$G$158:$J$158,BZ$111,FEB!$W10:$Z10)</f>
        <v>0</v>
      </c>
      <c r="CA147" s="446">
        <f>SUMIF(FEB!$G$158:$J$158,CA$111,FEB!$R10:$U10)+SUMIF(FEB!$G$158:$J$158,CA$111,FEB!$W10:$Z10)</f>
        <v>0</v>
      </c>
      <c r="CB147" s="448">
        <f>SUMIF(FEB!$G$158:$J$158,CB$111,FEB!$R10:$U10)+SUMIF(FEB!$G$158:$J$158,CB$111,FEB!$W10:$Z10)</f>
        <v>0</v>
      </c>
      <c r="CC147" s="571"/>
      <c r="CD147" s="448"/>
      <c r="CE147" s="92">
        <f t="shared" si="224"/>
        <v>0</v>
      </c>
      <c r="CF147" s="92">
        <f t="shared" si="225"/>
        <v>0</v>
      </c>
      <c r="CG147" s="151" t="str">
        <f t="shared" si="229"/>
        <v/>
      </c>
      <c r="CH147" s="92">
        <f t="shared" si="213"/>
        <v>0</v>
      </c>
      <c r="CI147" s="92" t="str">
        <f t="shared" si="226"/>
        <v/>
      </c>
      <c r="CJ147" s="1100">
        <f>FEB!AM10</f>
        <v>0</v>
      </c>
      <c r="CK147" s="445">
        <f>SUMIF(FEB!$G$155:$J$155,CK$112,FEB!$AN10:$AQ10)</f>
        <v>0</v>
      </c>
      <c r="CL147" s="446">
        <f>SUMIF(FEB!$G$155:$J$155,CL$112,FEB!$AN10:$AQ10)</f>
        <v>0</v>
      </c>
      <c r="CM147" s="447">
        <f>SUMIF(FEB!$G$155:$J$155,CM$112,FEB!$AN10:$AQ10)</f>
        <v>0</v>
      </c>
      <c r="CN147" s="448">
        <f>SUMIF(FEB!$G$155:$J$155,CN$112,FEB!$AN10:$AQ10)</f>
        <v>0</v>
      </c>
      <c r="CO147" s="1100">
        <f>FEB!AS10</f>
        <v>0</v>
      </c>
      <c r="CP147" s="445">
        <f>FEB!AT10</f>
        <v>0</v>
      </c>
      <c r="CQ147" s="446">
        <f>FEB!AU10</f>
        <v>0</v>
      </c>
      <c r="CR147" s="447">
        <f>FEB!AV10</f>
        <v>0</v>
      </c>
      <c r="CS147" s="448">
        <f>FEB!AW10</f>
        <v>0</v>
      </c>
      <c r="CT147" s="1100">
        <f>FEB!AY10</f>
        <v>0</v>
      </c>
      <c r="CU147" s="2"/>
    </row>
    <row r="148" spans="1:99" ht="14.25" hidden="1" customHeight="1" x14ac:dyDescent="0.2">
      <c r="A148" s="2"/>
      <c r="B148" s="151">
        <f t="shared" si="214"/>
        <v>45326</v>
      </c>
      <c r="C148" s="223">
        <f>IF(AND(E148&gt;(E$492-1),E148&lt;(I$492+1)),W$485,IF(ISERROR(HLOOKUP(E148,$E$485:$L$485,1,FALSE)),HLOOKUP(WEEKDAY(E148,2),IMPOSTAZIONI!$C$51:$P$56,6,FALSE),$W$484))</f>
        <v>0</v>
      </c>
      <c r="D148" s="103" t="str">
        <f t="shared" si="215"/>
        <v/>
      </c>
      <c r="E148" s="2380">
        <f t="shared" si="227"/>
        <v>45326</v>
      </c>
      <c r="F148" s="2381"/>
      <c r="G148" s="2325">
        <f>FEB!E11</f>
        <v>0</v>
      </c>
      <c r="H148" s="2326"/>
      <c r="I148" s="2327"/>
      <c r="J148" s="479" t="str">
        <f t="shared" si="210"/>
        <v/>
      </c>
      <c r="K148" s="480"/>
      <c r="L148" s="2321">
        <f t="shared" si="228"/>
        <v>5</v>
      </c>
      <c r="M148" s="2322"/>
      <c r="N148" s="478"/>
      <c r="O148" s="478"/>
      <c r="P148" s="478"/>
      <c r="Q148" s="2315">
        <f t="shared" si="217"/>
        <v>45326</v>
      </c>
      <c r="R148" s="2315"/>
      <c r="S148" s="478"/>
      <c r="T148" s="140">
        <f t="shared" si="218"/>
        <v>0</v>
      </c>
      <c r="U148" s="478"/>
      <c r="V148" s="478"/>
      <c r="W148" s="478"/>
      <c r="X148" s="478"/>
      <c r="Y148" s="478"/>
      <c r="Z148" s="478"/>
      <c r="AA148" s="478"/>
      <c r="AB148" s="478"/>
      <c r="AC148" s="478"/>
      <c r="AD148" s="478"/>
      <c r="AE148" s="478"/>
      <c r="AF148" s="478"/>
      <c r="AG148" s="140">
        <f t="shared" si="219"/>
        <v>0</v>
      </c>
      <c r="AH148" s="92" t="str">
        <f t="shared" si="220"/>
        <v/>
      </c>
      <c r="AI148" s="131">
        <f t="shared" si="221"/>
        <v>0</v>
      </c>
      <c r="AJ148" s="2"/>
      <c r="AK148" s="92">
        <f>IF(G148=G$481,0,IF(OR(G148&lt;&gt;0,CJ148&lt;&gt;0,C148="L"),COUNTIF(AK$114:AK147,"&gt;0")+1,0))</f>
        <v>0</v>
      </c>
      <c r="AL148" s="92" t="str">
        <f t="shared" si="222"/>
        <v/>
      </c>
      <c r="AM148" s="92" t="str">
        <f t="shared" si="223"/>
        <v/>
      </c>
      <c r="AN148" s="131">
        <f t="shared" si="211"/>
        <v>0</v>
      </c>
      <c r="AO148" s="447">
        <f>SUM(FEB!W11:Z11)</f>
        <v>0</v>
      </c>
      <c r="AP148" s="445">
        <f>SUMIF(FEB!$G$155:$J$155,AP$112,FEB!$R11:$U11)</f>
        <v>0</v>
      </c>
      <c r="AQ148" s="446">
        <f>SUMIF(FEB!$G$155:$J$155,AQ$112,FEB!$R11:$U11)</f>
        <v>0</v>
      </c>
      <c r="AR148" s="447">
        <f>SUMIF(FEB!$G$155:$J$155,AR$112,FEB!$R11:$U11)</f>
        <v>0</v>
      </c>
      <c r="AS148" s="448">
        <f>SUMIF(FEB!$G$155:$J$155,AS$112,FEB!$R11:$U11)</f>
        <v>0</v>
      </c>
      <c r="AT148" s="449">
        <f>FEB!AG11</f>
        <v>0</v>
      </c>
      <c r="AU148" s="445">
        <f>FEB!AH11</f>
        <v>0</v>
      </c>
      <c r="AV148" s="446">
        <f>FEB!AI11</f>
        <v>0</v>
      </c>
      <c r="AW148" s="447">
        <f>FEB!AJ11</f>
        <v>0</v>
      </c>
      <c r="AX148" s="448">
        <f>FEB!AK11</f>
        <v>0</v>
      </c>
      <c r="AY148" s="445">
        <f>SUMIF(FEB!$G$152:$J$152,"&gt;0",FEB!$W11:$Z11)</f>
        <v>0</v>
      </c>
      <c r="AZ148" s="1063">
        <f>SUM(FEB!AB11:AE11)</f>
        <v>0</v>
      </c>
      <c r="BA148" s="445">
        <f>SUMIF(FEB!$G$159:$J$159,BA$111,FEB!$R11:$U11)+SUMIF(FEB!$G$159:$J$159,BA$111,FEB!$W11:$Z11)</f>
        <v>0</v>
      </c>
      <c r="BB148" s="446">
        <f>SUMIF(FEB!$G$159:$J$159,BB$111,FEB!$R11:$U11)+SUMIF(FEB!$G$159:$J$159,BB$111,FEB!$W11:$Z11)</f>
        <v>0</v>
      </c>
      <c r="BC148" s="446">
        <f>SUMIF(FEB!$G$159:$J$159,BC$111,FEB!$R11:$U11)+SUMIF(FEB!$G$159:$J$159,BC$111,FEB!$W11:$Z11)</f>
        <v>0</v>
      </c>
      <c r="BD148" s="446">
        <f>SUMIF(FEB!$G$159:$J$159,BD$111,FEB!$R11:$U11)+SUMIF(FEB!$G$159:$J$159,BD$111,FEB!$W11:$Z11)</f>
        <v>0</v>
      </c>
      <c r="BE148" s="446">
        <f>SUMIF(FEB!$G$159:$J$159,BE$111,FEB!$R11:$U11)+SUMIF(FEB!$G$159:$J$159,BE$111,FEB!$W11:$Z11)</f>
        <v>0</v>
      </c>
      <c r="BF148" s="446">
        <f>SUMIF(FEB!$G$159:$J$159,BF$111,FEB!$R11:$U11)+SUMIF(FEB!$G$159:$J$159,BF$111,FEB!$W11:$Z11)</f>
        <v>0</v>
      </c>
      <c r="BG148" s="448">
        <f>SUMIF(FEB!$G$159:$J$159,BG$111,FEB!$R11:$U11)+SUMIF(FEB!$G$159:$J$159,BG$111,FEB!$W11:$Z11)</f>
        <v>0</v>
      </c>
      <c r="BH148" s="571"/>
      <c r="BI148" s="448"/>
      <c r="BJ148" s="470"/>
      <c r="BK148" s="445">
        <f>SUMIF(FEB!$G$157:$J$157,BK$111,FEB!$R11:$U11)+SUMIF(FEB!$G$157:$J$157,BK$111,FEB!$W11:$Z11)</f>
        <v>0</v>
      </c>
      <c r="BL148" s="446">
        <f>SUMIF(FEB!$G$157:$J$157,BL$111,FEB!$R11:$U11)+SUMIF(FEB!$G$157:$J$157,BL$111,FEB!$W11:$Z11)</f>
        <v>0</v>
      </c>
      <c r="BM148" s="446">
        <f>SUMIF(FEB!$G$157:$J$157,BM$111,FEB!$R11:$U11)+SUMIF(FEB!$G$157:$J$157,BM$111,FEB!$W11:$Z11)</f>
        <v>0</v>
      </c>
      <c r="BN148" s="446">
        <f>SUMIF(FEB!$G$157:$J$157,BN$111,FEB!$R11:$U11)+SUMIF(FEB!$G$157:$J$157,BN$111,FEB!$W11:$Z11)</f>
        <v>0</v>
      </c>
      <c r="BO148" s="446">
        <f>SUMIF(FEB!$G$157:$J$157,BO$111,FEB!$R11:$U11)+SUMIF(FEB!$G$157:$J$157,BO$111,FEB!$W11:$Z11)</f>
        <v>0</v>
      </c>
      <c r="BP148" s="446">
        <f>SUMIF(FEB!$G$157:$J$157,BP$111,FEB!$R11:$U11)+SUMIF(FEB!$G$157:$J$157,BP$111,FEB!$W11:$Z11)</f>
        <v>0</v>
      </c>
      <c r="BQ148" s="448">
        <f>SUMIF(FEB!$G$157:$J$157,BQ$111,FEB!$R11:$U11)+SUMIF(FEB!$G$157:$J$157,BQ$111,FEB!$W11:$Z11)</f>
        <v>0</v>
      </c>
      <c r="BR148" s="571"/>
      <c r="BS148" s="446"/>
      <c r="BT148" s="448"/>
      <c r="BU148" s="470"/>
      <c r="BV148" s="445">
        <f>SUMIF(FEB!$G$158:$J$158,BV$111,FEB!$R11:$U11)+SUMIF(FEB!$G$158:$J$158,BV$111,FEB!$W11:$Z11)</f>
        <v>0</v>
      </c>
      <c r="BW148" s="446">
        <f>SUMIF(FEB!$G$158:$J$158,BW$111,FEB!$R11:$U11)+SUMIF(FEB!$G$158:$J$158,BW$111,FEB!$W11:$Z11)</f>
        <v>0</v>
      </c>
      <c r="BX148" s="446">
        <f>SUMIF(FEB!$G$158:$J$158,BX$111,FEB!$R11:$U11)+SUMIF(FEB!$G$158:$J$158,BX$111,FEB!$W11:$Z11)</f>
        <v>0</v>
      </c>
      <c r="BY148" s="446">
        <f>SUMIF(FEB!$G$158:$J$158,BY$111,FEB!$R11:$U11)+SUMIF(FEB!$G$158:$J$158,BY$111,FEB!$W11:$Z11)</f>
        <v>0</v>
      </c>
      <c r="BZ148" s="446">
        <f>SUMIF(FEB!$G$158:$J$158,BZ$111,FEB!$R11:$U11)+SUMIF(FEB!$G$158:$J$158,BZ$111,FEB!$W11:$Z11)</f>
        <v>0</v>
      </c>
      <c r="CA148" s="446">
        <f>SUMIF(FEB!$G$158:$J$158,CA$111,FEB!$R11:$U11)+SUMIF(FEB!$G$158:$J$158,CA$111,FEB!$W11:$Z11)</f>
        <v>0</v>
      </c>
      <c r="CB148" s="448">
        <f>SUMIF(FEB!$G$158:$J$158,CB$111,FEB!$R11:$U11)+SUMIF(FEB!$G$158:$J$158,CB$111,FEB!$W11:$Z11)</f>
        <v>0</v>
      </c>
      <c r="CC148" s="571"/>
      <c r="CD148" s="448"/>
      <c r="CE148" s="92">
        <f t="shared" si="224"/>
        <v>0</v>
      </c>
      <c r="CF148" s="92">
        <f t="shared" si="225"/>
        <v>0</v>
      </c>
      <c r="CG148" s="151" t="str">
        <f t="shared" si="229"/>
        <v/>
      </c>
      <c r="CH148" s="92">
        <f t="shared" si="213"/>
        <v>0</v>
      </c>
      <c r="CI148" s="92" t="str">
        <f t="shared" si="226"/>
        <v/>
      </c>
      <c r="CJ148" s="1100">
        <f>FEB!AM11</f>
        <v>0</v>
      </c>
      <c r="CK148" s="445">
        <f>SUMIF(FEB!$G$155:$J$155,CK$112,FEB!$AN11:$AQ11)</f>
        <v>0</v>
      </c>
      <c r="CL148" s="446">
        <f>SUMIF(FEB!$G$155:$J$155,CL$112,FEB!$AN11:$AQ11)</f>
        <v>0</v>
      </c>
      <c r="CM148" s="447">
        <f>SUMIF(FEB!$G$155:$J$155,CM$112,FEB!$AN11:$AQ11)</f>
        <v>0</v>
      </c>
      <c r="CN148" s="448">
        <f>SUMIF(FEB!$G$155:$J$155,CN$112,FEB!$AN11:$AQ11)</f>
        <v>0</v>
      </c>
      <c r="CO148" s="1100">
        <f>FEB!AS11</f>
        <v>0</v>
      </c>
      <c r="CP148" s="445">
        <f>FEB!AT11</f>
        <v>0</v>
      </c>
      <c r="CQ148" s="446">
        <f>FEB!AU11</f>
        <v>0</v>
      </c>
      <c r="CR148" s="447">
        <f>FEB!AV11</f>
        <v>0</v>
      </c>
      <c r="CS148" s="448">
        <f>FEB!AW11</f>
        <v>0</v>
      </c>
      <c r="CT148" s="1100">
        <f>FEB!AY11</f>
        <v>0</v>
      </c>
      <c r="CU148" s="2"/>
    </row>
    <row r="149" spans="1:99" ht="14.25" hidden="1" customHeight="1" x14ac:dyDescent="0.2">
      <c r="A149" s="2"/>
      <c r="B149" s="151">
        <f t="shared" si="214"/>
        <v>45327</v>
      </c>
      <c r="C149" s="223">
        <f>IF(AND(E149&gt;(E$492-1),E149&lt;(I$492+1)),W$485,IF(ISERROR(HLOOKUP(E149,$E$485:$L$485,1,FALSE)),HLOOKUP(WEEKDAY(E149,2),IMPOSTAZIONI!$C$51:$P$56,6,FALSE),$W$484))</f>
        <v>0</v>
      </c>
      <c r="D149" s="103" t="str">
        <f t="shared" si="215"/>
        <v/>
      </c>
      <c r="E149" s="2380">
        <f t="shared" si="227"/>
        <v>45327</v>
      </c>
      <c r="F149" s="2381"/>
      <c r="G149" s="2325">
        <f>FEB!E12</f>
        <v>0</v>
      </c>
      <c r="H149" s="2326"/>
      <c r="I149" s="2327"/>
      <c r="J149" s="479" t="str">
        <f t="shared" si="210"/>
        <v/>
      </c>
      <c r="K149" s="480"/>
      <c r="L149" s="2323">
        <f t="shared" si="228"/>
        <v>6</v>
      </c>
      <c r="M149" s="2324"/>
      <c r="N149" s="478"/>
      <c r="O149" s="478"/>
      <c r="P149" s="478"/>
      <c r="Q149" s="2315">
        <f t="shared" si="217"/>
        <v>45327</v>
      </c>
      <c r="R149" s="2315"/>
      <c r="S149" s="478"/>
      <c r="T149" s="140">
        <f t="shared" si="218"/>
        <v>0</v>
      </c>
      <c r="U149" s="478"/>
      <c r="V149" s="478"/>
      <c r="W149" s="478"/>
      <c r="X149" s="478"/>
      <c r="Y149" s="478"/>
      <c r="Z149" s="478"/>
      <c r="AA149" s="478"/>
      <c r="AB149" s="478"/>
      <c r="AC149" s="478"/>
      <c r="AD149" s="478"/>
      <c r="AE149" s="478"/>
      <c r="AF149" s="478"/>
      <c r="AG149" s="140">
        <f t="shared" si="219"/>
        <v>0</v>
      </c>
      <c r="AH149" s="92" t="str">
        <f t="shared" si="220"/>
        <v/>
      </c>
      <c r="AI149" s="131">
        <f t="shared" si="221"/>
        <v>0</v>
      </c>
      <c r="AJ149" s="2"/>
      <c r="AK149" s="92">
        <f>IF(G149=G$481,0,IF(OR(G149&lt;&gt;0,CJ149&lt;&gt;0,C149="L"),COUNTIF(AK$114:AK148,"&gt;0")+1,0))</f>
        <v>0</v>
      </c>
      <c r="AL149" s="92" t="str">
        <f t="shared" si="222"/>
        <v/>
      </c>
      <c r="AM149" s="92" t="str">
        <f t="shared" si="223"/>
        <v/>
      </c>
      <c r="AN149" s="131">
        <f t="shared" si="211"/>
        <v>0</v>
      </c>
      <c r="AO149" s="447">
        <f>SUM(FEB!W12:Z12)</f>
        <v>0</v>
      </c>
      <c r="AP149" s="445">
        <f>SUMIF(FEB!$G$155:$J$155,AP$112,FEB!$R12:$U12)</f>
        <v>0</v>
      </c>
      <c r="AQ149" s="446">
        <f>SUMIF(FEB!$G$155:$J$155,AQ$112,FEB!$R12:$U12)</f>
        <v>0</v>
      </c>
      <c r="AR149" s="447">
        <f>SUMIF(FEB!$G$155:$J$155,AR$112,FEB!$R12:$U12)</f>
        <v>0</v>
      </c>
      <c r="AS149" s="448">
        <f>SUMIF(FEB!$G$155:$J$155,AS$112,FEB!$R12:$U12)</f>
        <v>0</v>
      </c>
      <c r="AT149" s="449">
        <f>FEB!AG12</f>
        <v>0</v>
      </c>
      <c r="AU149" s="445">
        <f>FEB!AH12</f>
        <v>0</v>
      </c>
      <c r="AV149" s="446">
        <f>FEB!AI12</f>
        <v>0</v>
      </c>
      <c r="AW149" s="447">
        <f>FEB!AJ12</f>
        <v>0</v>
      </c>
      <c r="AX149" s="448">
        <f>FEB!AK12</f>
        <v>0</v>
      </c>
      <c r="AY149" s="445">
        <f>SUMIF(FEB!$G$152:$J$152,"&gt;0",FEB!$W12:$Z12)</f>
        <v>0</v>
      </c>
      <c r="AZ149" s="1063">
        <f>SUM(FEB!AB12:AE12)</f>
        <v>0</v>
      </c>
      <c r="BA149" s="445">
        <f>SUMIF(FEB!$G$159:$J$159,BA$111,FEB!$R12:$U12)+SUMIF(FEB!$G$159:$J$159,BA$111,FEB!$W12:$Z12)</f>
        <v>0</v>
      </c>
      <c r="BB149" s="446">
        <f>SUMIF(FEB!$G$159:$J$159,BB$111,FEB!$R12:$U12)+SUMIF(FEB!$G$159:$J$159,BB$111,FEB!$W12:$Z12)</f>
        <v>0</v>
      </c>
      <c r="BC149" s="446">
        <f>SUMIF(FEB!$G$159:$J$159,BC$111,FEB!$R12:$U12)+SUMIF(FEB!$G$159:$J$159,BC$111,FEB!$W12:$Z12)</f>
        <v>0</v>
      </c>
      <c r="BD149" s="446">
        <f>SUMIF(FEB!$G$159:$J$159,BD$111,FEB!$R12:$U12)+SUMIF(FEB!$G$159:$J$159,BD$111,FEB!$W12:$Z12)</f>
        <v>0</v>
      </c>
      <c r="BE149" s="446">
        <f>SUMIF(FEB!$G$159:$J$159,BE$111,FEB!$R12:$U12)+SUMIF(FEB!$G$159:$J$159,BE$111,FEB!$W12:$Z12)</f>
        <v>0</v>
      </c>
      <c r="BF149" s="446">
        <f>SUMIF(FEB!$G$159:$J$159,BF$111,FEB!$R12:$U12)+SUMIF(FEB!$G$159:$J$159,BF$111,FEB!$W12:$Z12)</f>
        <v>0</v>
      </c>
      <c r="BG149" s="448">
        <f>SUMIF(FEB!$G$159:$J$159,BG$111,FEB!$R12:$U12)+SUMIF(FEB!$G$159:$J$159,BG$111,FEB!$W12:$Z12)</f>
        <v>0</v>
      </c>
      <c r="BH149" s="571"/>
      <c r="BI149" s="448"/>
      <c r="BJ149" s="470"/>
      <c r="BK149" s="445">
        <f>SUMIF(FEB!$G$157:$J$157,BK$111,FEB!$R12:$U12)+SUMIF(FEB!$G$157:$J$157,BK$111,FEB!$W12:$Z12)</f>
        <v>0</v>
      </c>
      <c r="BL149" s="446">
        <f>SUMIF(FEB!$G$157:$J$157,BL$111,FEB!$R12:$U12)+SUMIF(FEB!$G$157:$J$157,BL$111,FEB!$W12:$Z12)</f>
        <v>0</v>
      </c>
      <c r="BM149" s="446">
        <f>SUMIF(FEB!$G$157:$J$157,BM$111,FEB!$R12:$U12)+SUMIF(FEB!$G$157:$J$157,BM$111,FEB!$W12:$Z12)</f>
        <v>0</v>
      </c>
      <c r="BN149" s="446">
        <f>SUMIF(FEB!$G$157:$J$157,BN$111,FEB!$R12:$U12)+SUMIF(FEB!$G$157:$J$157,BN$111,FEB!$W12:$Z12)</f>
        <v>0</v>
      </c>
      <c r="BO149" s="446">
        <f>SUMIF(FEB!$G$157:$J$157,BO$111,FEB!$R12:$U12)+SUMIF(FEB!$G$157:$J$157,BO$111,FEB!$W12:$Z12)</f>
        <v>0</v>
      </c>
      <c r="BP149" s="446">
        <f>SUMIF(FEB!$G$157:$J$157,BP$111,FEB!$R12:$U12)+SUMIF(FEB!$G$157:$J$157,BP$111,FEB!$W12:$Z12)</f>
        <v>0</v>
      </c>
      <c r="BQ149" s="448">
        <f>SUMIF(FEB!$G$157:$J$157,BQ$111,FEB!$R12:$U12)+SUMIF(FEB!$G$157:$J$157,BQ$111,FEB!$W12:$Z12)</f>
        <v>0</v>
      </c>
      <c r="BR149" s="571"/>
      <c r="BS149" s="446"/>
      <c r="BT149" s="448"/>
      <c r="BU149" s="470"/>
      <c r="BV149" s="445">
        <f>SUMIF(FEB!$G$158:$J$158,BV$111,FEB!$R12:$U12)+SUMIF(FEB!$G$158:$J$158,BV$111,FEB!$W12:$Z12)</f>
        <v>0</v>
      </c>
      <c r="BW149" s="446">
        <f>SUMIF(FEB!$G$158:$J$158,BW$111,FEB!$R12:$U12)+SUMIF(FEB!$G$158:$J$158,BW$111,FEB!$W12:$Z12)</f>
        <v>0</v>
      </c>
      <c r="BX149" s="446">
        <f>SUMIF(FEB!$G$158:$J$158,BX$111,FEB!$R12:$U12)+SUMIF(FEB!$G$158:$J$158,BX$111,FEB!$W12:$Z12)</f>
        <v>0</v>
      </c>
      <c r="BY149" s="446">
        <f>SUMIF(FEB!$G$158:$J$158,BY$111,FEB!$R12:$U12)+SUMIF(FEB!$G$158:$J$158,BY$111,FEB!$W12:$Z12)</f>
        <v>0</v>
      </c>
      <c r="BZ149" s="446">
        <f>SUMIF(FEB!$G$158:$J$158,BZ$111,FEB!$R12:$U12)+SUMIF(FEB!$G$158:$J$158,BZ$111,FEB!$W12:$Z12)</f>
        <v>0</v>
      </c>
      <c r="CA149" s="446">
        <f>SUMIF(FEB!$G$158:$J$158,CA$111,FEB!$R12:$U12)+SUMIF(FEB!$G$158:$J$158,CA$111,FEB!$W12:$Z12)</f>
        <v>0</v>
      </c>
      <c r="CB149" s="448">
        <f>SUMIF(FEB!$G$158:$J$158,CB$111,FEB!$R12:$U12)+SUMIF(FEB!$G$158:$J$158,CB$111,FEB!$W12:$Z12)</f>
        <v>0</v>
      </c>
      <c r="CC149" s="571"/>
      <c r="CD149" s="448"/>
      <c r="CE149" s="92">
        <f t="shared" si="224"/>
        <v>0</v>
      </c>
      <c r="CF149" s="92">
        <f t="shared" si="225"/>
        <v>0</v>
      </c>
      <c r="CG149" s="151" t="str">
        <f t="shared" si="229"/>
        <v/>
      </c>
      <c r="CH149" s="92">
        <f t="shared" si="213"/>
        <v>0</v>
      </c>
      <c r="CI149" s="92" t="str">
        <f t="shared" si="226"/>
        <v/>
      </c>
      <c r="CJ149" s="1100">
        <f>FEB!AM12</f>
        <v>0</v>
      </c>
      <c r="CK149" s="445">
        <f>SUMIF(FEB!$G$155:$J$155,CK$112,FEB!$AN12:$AQ12)</f>
        <v>0</v>
      </c>
      <c r="CL149" s="446">
        <f>SUMIF(FEB!$G$155:$J$155,CL$112,FEB!$AN12:$AQ12)</f>
        <v>0</v>
      </c>
      <c r="CM149" s="447">
        <f>SUMIF(FEB!$G$155:$J$155,CM$112,FEB!$AN12:$AQ12)</f>
        <v>0</v>
      </c>
      <c r="CN149" s="448">
        <f>SUMIF(FEB!$G$155:$J$155,CN$112,FEB!$AN12:$AQ12)</f>
        <v>0</v>
      </c>
      <c r="CO149" s="1100">
        <f>FEB!AS12</f>
        <v>0</v>
      </c>
      <c r="CP149" s="445">
        <f>FEB!AT12</f>
        <v>0</v>
      </c>
      <c r="CQ149" s="446">
        <f>FEB!AU12</f>
        <v>0</v>
      </c>
      <c r="CR149" s="447">
        <f>FEB!AV12</f>
        <v>0</v>
      </c>
      <c r="CS149" s="448">
        <f>FEB!AW12</f>
        <v>0</v>
      </c>
      <c r="CT149" s="1100">
        <f>FEB!AY12</f>
        <v>0</v>
      </c>
      <c r="CU149" s="2"/>
    </row>
    <row r="150" spans="1:99" ht="14.25" hidden="1" customHeight="1" x14ac:dyDescent="0.2">
      <c r="A150" s="2"/>
      <c r="B150" s="151">
        <f t="shared" si="214"/>
        <v>45328</v>
      </c>
      <c r="C150" s="223">
        <f>IF(AND(E150&gt;(E$492-1),E150&lt;(I$492+1)),W$485,IF(ISERROR(HLOOKUP(E150,$E$485:$L$485,1,FALSE)),HLOOKUP(WEEKDAY(E150,2),IMPOSTAZIONI!$C$51:$P$56,6,FALSE),$W$484))</f>
        <v>0</v>
      </c>
      <c r="D150" s="103" t="str">
        <f t="shared" si="215"/>
        <v/>
      </c>
      <c r="E150" s="2380">
        <f t="shared" si="227"/>
        <v>45328</v>
      </c>
      <c r="F150" s="2381"/>
      <c r="G150" s="2325">
        <f>FEB!E13</f>
        <v>0</v>
      </c>
      <c r="H150" s="2326"/>
      <c r="I150" s="2327"/>
      <c r="J150" s="479" t="str">
        <f t="shared" si="210"/>
        <v/>
      </c>
      <c r="K150" s="480"/>
      <c r="L150" s="2319">
        <f t="shared" si="228"/>
        <v>6</v>
      </c>
      <c r="M150" s="2320"/>
      <c r="N150" s="478"/>
      <c r="O150" s="478"/>
      <c r="P150" s="478"/>
      <c r="Q150" s="2315">
        <f t="shared" si="217"/>
        <v>45328</v>
      </c>
      <c r="R150" s="2315"/>
      <c r="S150" s="478"/>
      <c r="T150" s="140">
        <f t="shared" si="218"/>
        <v>0</v>
      </c>
      <c r="U150" s="478"/>
      <c r="V150" s="478"/>
      <c r="W150" s="478"/>
      <c r="X150" s="478"/>
      <c r="Y150" s="478"/>
      <c r="Z150" s="478"/>
      <c r="AA150" s="478"/>
      <c r="AB150" s="478"/>
      <c r="AC150" s="478"/>
      <c r="AD150" s="478"/>
      <c r="AE150" s="478"/>
      <c r="AF150" s="478"/>
      <c r="AG150" s="140">
        <f t="shared" si="219"/>
        <v>0</v>
      </c>
      <c r="AH150" s="92" t="str">
        <f t="shared" si="220"/>
        <v/>
      </c>
      <c r="AI150" s="131">
        <f t="shared" si="221"/>
        <v>0</v>
      </c>
      <c r="AJ150" s="2"/>
      <c r="AK150" s="92">
        <f>IF(G150=G$481,0,IF(OR(G150&lt;&gt;0,CJ150&lt;&gt;0,C150="L"),COUNTIF(AK$114:AK149,"&gt;0")+1,0))</f>
        <v>0</v>
      </c>
      <c r="AL150" s="92" t="str">
        <f t="shared" si="222"/>
        <v/>
      </c>
      <c r="AM150" s="92" t="str">
        <f t="shared" si="223"/>
        <v/>
      </c>
      <c r="AN150" s="131">
        <f t="shared" si="211"/>
        <v>0</v>
      </c>
      <c r="AO150" s="447">
        <f>SUM(FEB!W13:Z13)</f>
        <v>0</v>
      </c>
      <c r="AP150" s="445">
        <f>SUMIF(FEB!$G$155:$J$155,AP$112,FEB!$R13:$U13)</f>
        <v>0</v>
      </c>
      <c r="AQ150" s="446">
        <f>SUMIF(FEB!$G$155:$J$155,AQ$112,FEB!$R13:$U13)</f>
        <v>0</v>
      </c>
      <c r="AR150" s="447">
        <f>SUMIF(FEB!$G$155:$J$155,AR$112,FEB!$R13:$U13)</f>
        <v>0</v>
      </c>
      <c r="AS150" s="448">
        <f>SUMIF(FEB!$G$155:$J$155,AS$112,FEB!$R13:$U13)</f>
        <v>0</v>
      </c>
      <c r="AT150" s="449">
        <f>FEB!AG13</f>
        <v>0</v>
      </c>
      <c r="AU150" s="445">
        <f>FEB!AH13</f>
        <v>0</v>
      </c>
      <c r="AV150" s="446">
        <f>FEB!AI13</f>
        <v>0</v>
      </c>
      <c r="AW150" s="447">
        <f>FEB!AJ13</f>
        <v>0</v>
      </c>
      <c r="AX150" s="448">
        <f>FEB!AK13</f>
        <v>0</v>
      </c>
      <c r="AY150" s="445">
        <f>SUMIF(FEB!$G$152:$J$152,"&gt;0",FEB!$W13:$Z13)</f>
        <v>0</v>
      </c>
      <c r="AZ150" s="1063">
        <f>SUM(FEB!AB13:AE13)</f>
        <v>0</v>
      </c>
      <c r="BA150" s="445">
        <f>SUMIF(FEB!$G$159:$J$159,BA$111,FEB!$R13:$U13)+SUMIF(FEB!$G$159:$J$159,BA$111,FEB!$W13:$Z13)</f>
        <v>0</v>
      </c>
      <c r="BB150" s="446">
        <f>SUMIF(FEB!$G$159:$J$159,BB$111,FEB!$R13:$U13)+SUMIF(FEB!$G$159:$J$159,BB$111,FEB!$W13:$Z13)</f>
        <v>0</v>
      </c>
      <c r="BC150" s="446">
        <f>SUMIF(FEB!$G$159:$J$159,BC$111,FEB!$R13:$U13)+SUMIF(FEB!$G$159:$J$159,BC$111,FEB!$W13:$Z13)</f>
        <v>0</v>
      </c>
      <c r="BD150" s="446">
        <f>SUMIF(FEB!$G$159:$J$159,BD$111,FEB!$R13:$U13)+SUMIF(FEB!$G$159:$J$159,BD$111,FEB!$W13:$Z13)</f>
        <v>0</v>
      </c>
      <c r="BE150" s="446">
        <f>SUMIF(FEB!$G$159:$J$159,BE$111,FEB!$R13:$U13)+SUMIF(FEB!$G$159:$J$159,BE$111,FEB!$W13:$Z13)</f>
        <v>0</v>
      </c>
      <c r="BF150" s="446">
        <f>SUMIF(FEB!$G$159:$J$159,BF$111,FEB!$R13:$U13)+SUMIF(FEB!$G$159:$J$159,BF$111,FEB!$W13:$Z13)</f>
        <v>0</v>
      </c>
      <c r="BG150" s="448">
        <f>SUMIF(FEB!$G$159:$J$159,BG$111,FEB!$R13:$U13)+SUMIF(FEB!$G$159:$J$159,BG$111,FEB!$W13:$Z13)</f>
        <v>0</v>
      </c>
      <c r="BH150" s="571"/>
      <c r="BI150" s="448"/>
      <c r="BJ150" s="470"/>
      <c r="BK150" s="445">
        <f>SUMIF(FEB!$G$157:$J$157,BK$111,FEB!$R13:$U13)+SUMIF(FEB!$G$157:$J$157,BK$111,FEB!$W13:$Z13)</f>
        <v>0</v>
      </c>
      <c r="BL150" s="446">
        <f>SUMIF(FEB!$G$157:$J$157,BL$111,FEB!$R13:$U13)+SUMIF(FEB!$G$157:$J$157,BL$111,FEB!$W13:$Z13)</f>
        <v>0</v>
      </c>
      <c r="BM150" s="446">
        <f>SUMIF(FEB!$G$157:$J$157,BM$111,FEB!$R13:$U13)+SUMIF(FEB!$G$157:$J$157,BM$111,FEB!$W13:$Z13)</f>
        <v>0</v>
      </c>
      <c r="BN150" s="446">
        <f>SUMIF(FEB!$G$157:$J$157,BN$111,FEB!$R13:$U13)+SUMIF(FEB!$G$157:$J$157,BN$111,FEB!$W13:$Z13)</f>
        <v>0</v>
      </c>
      <c r="BO150" s="446">
        <f>SUMIF(FEB!$G$157:$J$157,BO$111,FEB!$R13:$U13)+SUMIF(FEB!$G$157:$J$157,BO$111,FEB!$W13:$Z13)</f>
        <v>0</v>
      </c>
      <c r="BP150" s="446">
        <f>SUMIF(FEB!$G$157:$J$157,BP$111,FEB!$R13:$U13)+SUMIF(FEB!$G$157:$J$157,BP$111,FEB!$W13:$Z13)</f>
        <v>0</v>
      </c>
      <c r="BQ150" s="448">
        <f>SUMIF(FEB!$G$157:$J$157,BQ$111,FEB!$R13:$U13)+SUMIF(FEB!$G$157:$J$157,BQ$111,FEB!$W13:$Z13)</f>
        <v>0</v>
      </c>
      <c r="BR150" s="571"/>
      <c r="BS150" s="446"/>
      <c r="BT150" s="448"/>
      <c r="BU150" s="470"/>
      <c r="BV150" s="445">
        <f>SUMIF(FEB!$G$158:$J$158,BV$111,FEB!$R13:$U13)+SUMIF(FEB!$G$158:$J$158,BV$111,FEB!$W13:$Z13)</f>
        <v>0</v>
      </c>
      <c r="BW150" s="446">
        <f>SUMIF(FEB!$G$158:$J$158,BW$111,FEB!$R13:$U13)+SUMIF(FEB!$G$158:$J$158,BW$111,FEB!$W13:$Z13)</f>
        <v>0</v>
      </c>
      <c r="BX150" s="446">
        <f>SUMIF(FEB!$G$158:$J$158,BX$111,FEB!$R13:$U13)+SUMIF(FEB!$G$158:$J$158,BX$111,FEB!$W13:$Z13)</f>
        <v>0</v>
      </c>
      <c r="BY150" s="446">
        <f>SUMIF(FEB!$G$158:$J$158,BY$111,FEB!$R13:$U13)+SUMIF(FEB!$G$158:$J$158,BY$111,FEB!$W13:$Z13)</f>
        <v>0</v>
      </c>
      <c r="BZ150" s="446">
        <f>SUMIF(FEB!$G$158:$J$158,BZ$111,FEB!$R13:$U13)+SUMIF(FEB!$G$158:$J$158,BZ$111,FEB!$W13:$Z13)</f>
        <v>0</v>
      </c>
      <c r="CA150" s="446">
        <f>SUMIF(FEB!$G$158:$J$158,CA$111,FEB!$R13:$U13)+SUMIF(FEB!$G$158:$J$158,CA$111,FEB!$W13:$Z13)</f>
        <v>0</v>
      </c>
      <c r="CB150" s="448">
        <f>SUMIF(FEB!$G$158:$J$158,CB$111,FEB!$R13:$U13)+SUMIF(FEB!$G$158:$J$158,CB$111,FEB!$W13:$Z13)</f>
        <v>0</v>
      </c>
      <c r="CC150" s="571"/>
      <c r="CD150" s="448"/>
      <c r="CE150" s="92">
        <f t="shared" si="224"/>
        <v>0</v>
      </c>
      <c r="CF150" s="92">
        <f t="shared" si="225"/>
        <v>0</v>
      </c>
      <c r="CG150" s="151" t="str">
        <f t="shared" si="229"/>
        <v/>
      </c>
      <c r="CH150" s="92">
        <f t="shared" si="213"/>
        <v>0</v>
      </c>
      <c r="CI150" s="92" t="str">
        <f t="shared" si="226"/>
        <v/>
      </c>
      <c r="CJ150" s="1100">
        <f>FEB!AM13</f>
        <v>0</v>
      </c>
      <c r="CK150" s="445">
        <f>SUMIF(FEB!$G$155:$J$155,CK$112,FEB!$AN13:$AQ13)</f>
        <v>0</v>
      </c>
      <c r="CL150" s="446">
        <f>SUMIF(FEB!$G$155:$J$155,CL$112,FEB!$AN13:$AQ13)</f>
        <v>0</v>
      </c>
      <c r="CM150" s="447">
        <f>SUMIF(FEB!$G$155:$J$155,CM$112,FEB!$AN13:$AQ13)</f>
        <v>0</v>
      </c>
      <c r="CN150" s="448">
        <f>SUMIF(FEB!$G$155:$J$155,CN$112,FEB!$AN13:$AQ13)</f>
        <v>0</v>
      </c>
      <c r="CO150" s="1100">
        <f>FEB!AS13</f>
        <v>0</v>
      </c>
      <c r="CP150" s="445">
        <f>FEB!AT13</f>
        <v>0</v>
      </c>
      <c r="CQ150" s="446">
        <f>FEB!AU13</f>
        <v>0</v>
      </c>
      <c r="CR150" s="447">
        <f>FEB!AV13</f>
        <v>0</v>
      </c>
      <c r="CS150" s="448">
        <f>FEB!AW13</f>
        <v>0</v>
      </c>
      <c r="CT150" s="1100">
        <f>FEB!AY13</f>
        <v>0</v>
      </c>
      <c r="CU150" s="2"/>
    </row>
    <row r="151" spans="1:99" ht="14.25" hidden="1" customHeight="1" x14ac:dyDescent="0.2">
      <c r="A151" s="2"/>
      <c r="B151" s="151">
        <f t="shared" si="214"/>
        <v>45329</v>
      </c>
      <c r="C151" s="223">
        <f>IF(AND(E151&gt;(E$492-1),E151&lt;(I$492+1)),W$485,IF(ISERROR(HLOOKUP(E151,$E$485:$L$485,1,FALSE)),HLOOKUP(WEEKDAY(E151,2),IMPOSTAZIONI!$C$51:$P$56,6,FALSE),$W$484))</f>
        <v>0</v>
      </c>
      <c r="D151" s="103" t="str">
        <f t="shared" si="215"/>
        <v/>
      </c>
      <c r="E151" s="2380">
        <f t="shared" si="227"/>
        <v>45329</v>
      </c>
      <c r="F151" s="2381"/>
      <c r="G151" s="2325">
        <f>FEB!E14</f>
        <v>0</v>
      </c>
      <c r="H151" s="2326"/>
      <c r="I151" s="2327"/>
      <c r="J151" s="479" t="str">
        <f t="shared" si="210"/>
        <v/>
      </c>
      <c r="K151" s="480"/>
      <c r="L151" s="2319">
        <f t="shared" si="228"/>
        <v>6</v>
      </c>
      <c r="M151" s="2320"/>
      <c r="N151" s="478"/>
      <c r="O151" s="478"/>
      <c r="P151" s="478"/>
      <c r="Q151" s="2315">
        <f t="shared" si="217"/>
        <v>45329</v>
      </c>
      <c r="R151" s="2315"/>
      <c r="S151" s="478"/>
      <c r="T151" s="140">
        <f t="shared" si="218"/>
        <v>0</v>
      </c>
      <c r="U151" s="478"/>
      <c r="V151" s="478"/>
      <c r="W151" s="478"/>
      <c r="X151" s="478"/>
      <c r="Y151" s="478"/>
      <c r="Z151" s="478"/>
      <c r="AA151" s="478"/>
      <c r="AB151" s="478"/>
      <c r="AC151" s="478"/>
      <c r="AD151" s="478"/>
      <c r="AE151" s="478"/>
      <c r="AF151" s="478"/>
      <c r="AG151" s="140">
        <f t="shared" si="219"/>
        <v>0</v>
      </c>
      <c r="AH151" s="92" t="str">
        <f t="shared" si="220"/>
        <v/>
      </c>
      <c r="AI151" s="131">
        <f t="shared" si="221"/>
        <v>0</v>
      </c>
      <c r="AJ151" s="2"/>
      <c r="AK151" s="92">
        <f>IF(G151=G$481,0,IF(OR(G151&lt;&gt;0,CJ151&lt;&gt;0,C151="L"),COUNTIF(AK$114:AK150,"&gt;0")+1,0))</f>
        <v>0</v>
      </c>
      <c r="AL151" s="92" t="str">
        <f t="shared" si="222"/>
        <v/>
      </c>
      <c r="AM151" s="92" t="str">
        <f t="shared" si="223"/>
        <v/>
      </c>
      <c r="AN151" s="131">
        <f t="shared" si="211"/>
        <v>0</v>
      </c>
      <c r="AO151" s="447">
        <f>SUM(FEB!W14:Z14)</f>
        <v>0</v>
      </c>
      <c r="AP151" s="445">
        <f>SUMIF(FEB!$G$155:$J$155,AP$112,FEB!$R14:$U14)</f>
        <v>0</v>
      </c>
      <c r="AQ151" s="446">
        <f>SUMIF(FEB!$G$155:$J$155,AQ$112,FEB!$R14:$U14)</f>
        <v>0</v>
      </c>
      <c r="AR151" s="447">
        <f>SUMIF(FEB!$G$155:$J$155,AR$112,FEB!$R14:$U14)</f>
        <v>0</v>
      </c>
      <c r="AS151" s="448">
        <f>SUMIF(FEB!$G$155:$J$155,AS$112,FEB!$R14:$U14)</f>
        <v>0</v>
      </c>
      <c r="AT151" s="449">
        <f>FEB!AG14</f>
        <v>0</v>
      </c>
      <c r="AU151" s="445">
        <f>FEB!AH14</f>
        <v>0</v>
      </c>
      <c r="AV151" s="446">
        <f>FEB!AI14</f>
        <v>0</v>
      </c>
      <c r="AW151" s="447">
        <f>FEB!AJ14</f>
        <v>0</v>
      </c>
      <c r="AX151" s="448">
        <f>FEB!AK14</f>
        <v>0</v>
      </c>
      <c r="AY151" s="445">
        <f>SUMIF(FEB!$G$152:$J$152,"&gt;0",FEB!$W14:$Z14)</f>
        <v>0</v>
      </c>
      <c r="AZ151" s="1063">
        <f>SUM(FEB!AB14:AE14)</f>
        <v>0</v>
      </c>
      <c r="BA151" s="445">
        <f>SUMIF(FEB!$G$159:$J$159,BA$111,FEB!$R14:$U14)+SUMIF(FEB!$G$159:$J$159,BA$111,FEB!$W14:$Z14)</f>
        <v>0</v>
      </c>
      <c r="BB151" s="446">
        <f>SUMIF(FEB!$G$159:$J$159,BB$111,FEB!$R14:$U14)+SUMIF(FEB!$G$159:$J$159,BB$111,FEB!$W14:$Z14)</f>
        <v>0</v>
      </c>
      <c r="BC151" s="446">
        <f>SUMIF(FEB!$G$159:$J$159,BC$111,FEB!$R14:$U14)+SUMIF(FEB!$G$159:$J$159,BC$111,FEB!$W14:$Z14)</f>
        <v>0</v>
      </c>
      <c r="BD151" s="446">
        <f>SUMIF(FEB!$G$159:$J$159,BD$111,FEB!$R14:$U14)+SUMIF(FEB!$G$159:$J$159,BD$111,FEB!$W14:$Z14)</f>
        <v>0</v>
      </c>
      <c r="BE151" s="446">
        <f>SUMIF(FEB!$G$159:$J$159,BE$111,FEB!$R14:$U14)+SUMIF(FEB!$G$159:$J$159,BE$111,FEB!$W14:$Z14)</f>
        <v>0</v>
      </c>
      <c r="BF151" s="446">
        <f>SUMIF(FEB!$G$159:$J$159,BF$111,FEB!$R14:$U14)+SUMIF(FEB!$G$159:$J$159,BF$111,FEB!$W14:$Z14)</f>
        <v>0</v>
      </c>
      <c r="BG151" s="448">
        <f>SUMIF(FEB!$G$159:$J$159,BG$111,FEB!$R14:$U14)+SUMIF(FEB!$G$159:$J$159,BG$111,FEB!$W14:$Z14)</f>
        <v>0</v>
      </c>
      <c r="BH151" s="571"/>
      <c r="BI151" s="448"/>
      <c r="BJ151" s="470"/>
      <c r="BK151" s="445">
        <f>SUMIF(FEB!$G$157:$J$157,BK$111,FEB!$R14:$U14)+SUMIF(FEB!$G$157:$J$157,BK$111,FEB!$W14:$Z14)</f>
        <v>0</v>
      </c>
      <c r="BL151" s="446">
        <f>SUMIF(FEB!$G$157:$J$157,BL$111,FEB!$R14:$U14)+SUMIF(FEB!$G$157:$J$157,BL$111,FEB!$W14:$Z14)</f>
        <v>0</v>
      </c>
      <c r="BM151" s="446">
        <f>SUMIF(FEB!$G$157:$J$157,BM$111,FEB!$R14:$U14)+SUMIF(FEB!$G$157:$J$157,BM$111,FEB!$W14:$Z14)</f>
        <v>0</v>
      </c>
      <c r="BN151" s="446">
        <f>SUMIF(FEB!$G$157:$J$157,BN$111,FEB!$R14:$U14)+SUMIF(FEB!$G$157:$J$157,BN$111,FEB!$W14:$Z14)</f>
        <v>0</v>
      </c>
      <c r="BO151" s="446">
        <f>SUMIF(FEB!$G$157:$J$157,BO$111,FEB!$R14:$U14)+SUMIF(FEB!$G$157:$J$157,BO$111,FEB!$W14:$Z14)</f>
        <v>0</v>
      </c>
      <c r="BP151" s="446">
        <f>SUMIF(FEB!$G$157:$J$157,BP$111,FEB!$R14:$U14)+SUMIF(FEB!$G$157:$J$157,BP$111,FEB!$W14:$Z14)</f>
        <v>0</v>
      </c>
      <c r="BQ151" s="448">
        <f>SUMIF(FEB!$G$157:$J$157,BQ$111,FEB!$R14:$U14)+SUMIF(FEB!$G$157:$J$157,BQ$111,FEB!$W14:$Z14)</f>
        <v>0</v>
      </c>
      <c r="BR151" s="571"/>
      <c r="BS151" s="446"/>
      <c r="BT151" s="448"/>
      <c r="BU151" s="470"/>
      <c r="BV151" s="445">
        <f>SUMIF(FEB!$G$158:$J$158,BV$111,FEB!$R14:$U14)+SUMIF(FEB!$G$158:$J$158,BV$111,FEB!$W14:$Z14)</f>
        <v>0</v>
      </c>
      <c r="BW151" s="446">
        <f>SUMIF(FEB!$G$158:$J$158,BW$111,FEB!$R14:$U14)+SUMIF(FEB!$G$158:$J$158,BW$111,FEB!$W14:$Z14)</f>
        <v>0</v>
      </c>
      <c r="BX151" s="446">
        <f>SUMIF(FEB!$G$158:$J$158,BX$111,FEB!$R14:$U14)+SUMIF(FEB!$G$158:$J$158,BX$111,FEB!$W14:$Z14)</f>
        <v>0</v>
      </c>
      <c r="BY151" s="446">
        <f>SUMIF(FEB!$G$158:$J$158,BY$111,FEB!$R14:$U14)+SUMIF(FEB!$G$158:$J$158,BY$111,FEB!$W14:$Z14)</f>
        <v>0</v>
      </c>
      <c r="BZ151" s="446">
        <f>SUMIF(FEB!$G$158:$J$158,BZ$111,FEB!$R14:$U14)+SUMIF(FEB!$G$158:$J$158,BZ$111,FEB!$W14:$Z14)</f>
        <v>0</v>
      </c>
      <c r="CA151" s="446">
        <f>SUMIF(FEB!$G$158:$J$158,CA$111,FEB!$R14:$U14)+SUMIF(FEB!$G$158:$J$158,CA$111,FEB!$W14:$Z14)</f>
        <v>0</v>
      </c>
      <c r="CB151" s="448">
        <f>SUMIF(FEB!$G$158:$J$158,CB$111,FEB!$R14:$U14)+SUMIF(FEB!$G$158:$J$158,CB$111,FEB!$W14:$Z14)</f>
        <v>0</v>
      </c>
      <c r="CC151" s="571"/>
      <c r="CD151" s="448"/>
      <c r="CE151" s="92">
        <f t="shared" si="224"/>
        <v>0</v>
      </c>
      <c r="CF151" s="92">
        <f t="shared" si="225"/>
        <v>0</v>
      </c>
      <c r="CG151" s="151" t="str">
        <f t="shared" si="229"/>
        <v/>
      </c>
      <c r="CH151" s="92">
        <f t="shared" si="213"/>
        <v>0</v>
      </c>
      <c r="CI151" s="92" t="str">
        <f t="shared" si="226"/>
        <v/>
      </c>
      <c r="CJ151" s="1100">
        <f>FEB!AM14</f>
        <v>0</v>
      </c>
      <c r="CK151" s="445">
        <f>SUMIF(FEB!$G$155:$J$155,CK$112,FEB!$AN14:$AQ14)</f>
        <v>0</v>
      </c>
      <c r="CL151" s="446">
        <f>SUMIF(FEB!$G$155:$J$155,CL$112,FEB!$AN14:$AQ14)</f>
        <v>0</v>
      </c>
      <c r="CM151" s="447">
        <f>SUMIF(FEB!$G$155:$J$155,CM$112,FEB!$AN14:$AQ14)</f>
        <v>0</v>
      </c>
      <c r="CN151" s="448">
        <f>SUMIF(FEB!$G$155:$J$155,CN$112,FEB!$AN14:$AQ14)</f>
        <v>0</v>
      </c>
      <c r="CO151" s="1100">
        <f>FEB!AS14</f>
        <v>0</v>
      </c>
      <c r="CP151" s="445">
        <f>FEB!AT14</f>
        <v>0</v>
      </c>
      <c r="CQ151" s="446">
        <f>FEB!AU14</f>
        <v>0</v>
      </c>
      <c r="CR151" s="447">
        <f>FEB!AV14</f>
        <v>0</v>
      </c>
      <c r="CS151" s="448">
        <f>FEB!AW14</f>
        <v>0</v>
      </c>
      <c r="CT151" s="1100">
        <f>FEB!AY14</f>
        <v>0</v>
      </c>
      <c r="CU151" s="2"/>
    </row>
    <row r="152" spans="1:99" ht="14.25" hidden="1" customHeight="1" x14ac:dyDescent="0.2">
      <c r="A152" s="2"/>
      <c r="B152" s="151">
        <f t="shared" si="214"/>
        <v>45330</v>
      </c>
      <c r="C152" s="223">
        <f>IF(AND(E152&gt;(E$492-1),E152&lt;(I$492+1)),W$485,IF(ISERROR(HLOOKUP(E152,$E$485:$L$485,1,FALSE)),HLOOKUP(WEEKDAY(E152,2),IMPOSTAZIONI!$C$51:$P$56,6,FALSE),$W$484))</f>
        <v>0</v>
      </c>
      <c r="D152" s="103" t="str">
        <f t="shared" si="215"/>
        <v/>
      </c>
      <c r="E152" s="2380">
        <f t="shared" si="227"/>
        <v>45330</v>
      </c>
      <c r="F152" s="2381"/>
      <c r="G152" s="2325">
        <f>FEB!E15</f>
        <v>0</v>
      </c>
      <c r="H152" s="2326"/>
      <c r="I152" s="2327"/>
      <c r="J152" s="479" t="str">
        <f t="shared" si="210"/>
        <v/>
      </c>
      <c r="K152" s="480"/>
      <c r="L152" s="2319">
        <f t="shared" si="228"/>
        <v>6</v>
      </c>
      <c r="M152" s="2320"/>
      <c r="N152" s="478"/>
      <c r="O152" s="478"/>
      <c r="P152" s="478"/>
      <c r="Q152" s="2315">
        <f t="shared" si="217"/>
        <v>45330</v>
      </c>
      <c r="R152" s="2315"/>
      <c r="S152" s="478"/>
      <c r="T152" s="140">
        <f t="shared" si="218"/>
        <v>0</v>
      </c>
      <c r="U152" s="478"/>
      <c r="V152" s="478"/>
      <c r="W152" s="478"/>
      <c r="X152" s="478"/>
      <c r="Y152" s="478"/>
      <c r="Z152" s="478"/>
      <c r="AA152" s="478"/>
      <c r="AB152" s="478"/>
      <c r="AC152" s="478"/>
      <c r="AD152" s="478"/>
      <c r="AE152" s="478"/>
      <c r="AF152" s="478"/>
      <c r="AG152" s="140">
        <f t="shared" si="219"/>
        <v>0</v>
      </c>
      <c r="AH152" s="92" t="str">
        <f t="shared" si="220"/>
        <v/>
      </c>
      <c r="AI152" s="131">
        <f t="shared" si="221"/>
        <v>0</v>
      </c>
      <c r="AJ152" s="2"/>
      <c r="AK152" s="92">
        <f>IF(G152=G$481,0,IF(OR(G152&lt;&gt;0,CJ152&lt;&gt;0,C152="L"),COUNTIF(AK$114:AK151,"&gt;0")+1,0))</f>
        <v>0</v>
      </c>
      <c r="AL152" s="92" t="str">
        <f t="shared" si="222"/>
        <v/>
      </c>
      <c r="AM152" s="92" t="str">
        <f t="shared" si="223"/>
        <v/>
      </c>
      <c r="AN152" s="131">
        <f t="shared" si="211"/>
        <v>0</v>
      </c>
      <c r="AO152" s="447">
        <f>SUM(FEB!W15:Z15)</f>
        <v>0</v>
      </c>
      <c r="AP152" s="445">
        <f>SUMIF(FEB!$G$155:$J$155,AP$112,FEB!$R15:$U15)</f>
        <v>0</v>
      </c>
      <c r="AQ152" s="446">
        <f>SUMIF(FEB!$G$155:$J$155,AQ$112,FEB!$R15:$U15)</f>
        <v>0</v>
      </c>
      <c r="AR152" s="447">
        <f>SUMIF(FEB!$G$155:$J$155,AR$112,FEB!$R15:$U15)</f>
        <v>0</v>
      </c>
      <c r="AS152" s="448">
        <f>SUMIF(FEB!$G$155:$J$155,AS$112,FEB!$R15:$U15)</f>
        <v>0</v>
      </c>
      <c r="AT152" s="449">
        <f>FEB!AG15</f>
        <v>0</v>
      </c>
      <c r="AU152" s="445">
        <f>FEB!AH15</f>
        <v>0</v>
      </c>
      <c r="AV152" s="446">
        <f>FEB!AI15</f>
        <v>0</v>
      </c>
      <c r="AW152" s="447">
        <f>FEB!AJ15</f>
        <v>0</v>
      </c>
      <c r="AX152" s="448">
        <f>FEB!AK15</f>
        <v>0</v>
      </c>
      <c r="AY152" s="445">
        <f>SUMIF(FEB!$G$152:$J$152,"&gt;0",FEB!$W15:$Z15)</f>
        <v>0</v>
      </c>
      <c r="AZ152" s="1063">
        <f>SUM(FEB!AB15:AE15)</f>
        <v>0</v>
      </c>
      <c r="BA152" s="445">
        <f>SUMIF(FEB!$G$159:$J$159,BA$111,FEB!$R15:$U15)+SUMIF(FEB!$G$159:$J$159,BA$111,FEB!$W15:$Z15)</f>
        <v>0</v>
      </c>
      <c r="BB152" s="446">
        <f>SUMIF(FEB!$G$159:$J$159,BB$111,FEB!$R15:$U15)+SUMIF(FEB!$G$159:$J$159,BB$111,FEB!$W15:$Z15)</f>
        <v>0</v>
      </c>
      <c r="BC152" s="446">
        <f>SUMIF(FEB!$G$159:$J$159,BC$111,FEB!$R15:$U15)+SUMIF(FEB!$G$159:$J$159,BC$111,FEB!$W15:$Z15)</f>
        <v>0</v>
      </c>
      <c r="BD152" s="446">
        <f>SUMIF(FEB!$G$159:$J$159,BD$111,FEB!$R15:$U15)+SUMIF(FEB!$G$159:$J$159,BD$111,FEB!$W15:$Z15)</f>
        <v>0</v>
      </c>
      <c r="BE152" s="446">
        <f>SUMIF(FEB!$G$159:$J$159,BE$111,FEB!$R15:$U15)+SUMIF(FEB!$G$159:$J$159,BE$111,FEB!$W15:$Z15)</f>
        <v>0</v>
      </c>
      <c r="BF152" s="446">
        <f>SUMIF(FEB!$G$159:$J$159,BF$111,FEB!$R15:$U15)+SUMIF(FEB!$G$159:$J$159,BF$111,FEB!$W15:$Z15)</f>
        <v>0</v>
      </c>
      <c r="BG152" s="448">
        <f>SUMIF(FEB!$G$159:$J$159,BG$111,FEB!$R15:$U15)+SUMIF(FEB!$G$159:$J$159,BG$111,FEB!$W15:$Z15)</f>
        <v>0</v>
      </c>
      <c r="BH152" s="571"/>
      <c r="BI152" s="448"/>
      <c r="BJ152" s="470"/>
      <c r="BK152" s="445">
        <f>SUMIF(FEB!$G$157:$J$157,BK$111,FEB!$R15:$U15)+SUMIF(FEB!$G$157:$J$157,BK$111,FEB!$W15:$Z15)</f>
        <v>0</v>
      </c>
      <c r="BL152" s="446">
        <f>SUMIF(FEB!$G$157:$J$157,BL$111,FEB!$R15:$U15)+SUMIF(FEB!$G$157:$J$157,BL$111,FEB!$W15:$Z15)</f>
        <v>0</v>
      </c>
      <c r="BM152" s="446">
        <f>SUMIF(FEB!$G$157:$J$157,BM$111,FEB!$R15:$U15)+SUMIF(FEB!$G$157:$J$157,BM$111,FEB!$W15:$Z15)</f>
        <v>0</v>
      </c>
      <c r="BN152" s="446">
        <f>SUMIF(FEB!$G$157:$J$157,BN$111,FEB!$R15:$U15)+SUMIF(FEB!$G$157:$J$157,BN$111,FEB!$W15:$Z15)</f>
        <v>0</v>
      </c>
      <c r="BO152" s="446">
        <f>SUMIF(FEB!$G$157:$J$157,BO$111,FEB!$R15:$U15)+SUMIF(FEB!$G$157:$J$157,BO$111,FEB!$W15:$Z15)</f>
        <v>0</v>
      </c>
      <c r="BP152" s="446">
        <f>SUMIF(FEB!$G$157:$J$157,BP$111,FEB!$R15:$U15)+SUMIF(FEB!$G$157:$J$157,BP$111,FEB!$W15:$Z15)</f>
        <v>0</v>
      </c>
      <c r="BQ152" s="448">
        <f>SUMIF(FEB!$G$157:$J$157,BQ$111,FEB!$R15:$U15)+SUMIF(FEB!$G$157:$J$157,BQ$111,FEB!$W15:$Z15)</f>
        <v>0</v>
      </c>
      <c r="BR152" s="571"/>
      <c r="BS152" s="446"/>
      <c r="BT152" s="448"/>
      <c r="BU152" s="470"/>
      <c r="BV152" s="445">
        <f>SUMIF(FEB!$G$158:$J$158,BV$111,FEB!$R15:$U15)+SUMIF(FEB!$G$158:$J$158,BV$111,FEB!$W15:$Z15)</f>
        <v>0</v>
      </c>
      <c r="BW152" s="446">
        <f>SUMIF(FEB!$G$158:$J$158,BW$111,FEB!$R15:$U15)+SUMIF(FEB!$G$158:$J$158,BW$111,FEB!$W15:$Z15)</f>
        <v>0</v>
      </c>
      <c r="BX152" s="446">
        <f>SUMIF(FEB!$G$158:$J$158,BX$111,FEB!$R15:$U15)+SUMIF(FEB!$G$158:$J$158,BX$111,FEB!$W15:$Z15)</f>
        <v>0</v>
      </c>
      <c r="BY152" s="446">
        <f>SUMIF(FEB!$G$158:$J$158,BY$111,FEB!$R15:$U15)+SUMIF(FEB!$G$158:$J$158,BY$111,FEB!$W15:$Z15)</f>
        <v>0</v>
      </c>
      <c r="BZ152" s="446">
        <f>SUMIF(FEB!$G$158:$J$158,BZ$111,FEB!$R15:$U15)+SUMIF(FEB!$G$158:$J$158,BZ$111,FEB!$W15:$Z15)</f>
        <v>0</v>
      </c>
      <c r="CA152" s="446">
        <f>SUMIF(FEB!$G$158:$J$158,CA$111,FEB!$R15:$U15)+SUMIF(FEB!$G$158:$J$158,CA$111,FEB!$W15:$Z15)</f>
        <v>0</v>
      </c>
      <c r="CB152" s="448">
        <f>SUMIF(FEB!$G$158:$J$158,CB$111,FEB!$R15:$U15)+SUMIF(FEB!$G$158:$J$158,CB$111,FEB!$W15:$Z15)</f>
        <v>0</v>
      </c>
      <c r="CC152" s="571"/>
      <c r="CD152" s="448"/>
      <c r="CE152" s="92">
        <f t="shared" si="224"/>
        <v>0</v>
      </c>
      <c r="CF152" s="92">
        <f t="shared" si="225"/>
        <v>0</v>
      </c>
      <c r="CG152" s="151" t="str">
        <f t="shared" si="229"/>
        <v/>
      </c>
      <c r="CH152" s="92">
        <f t="shared" si="213"/>
        <v>0</v>
      </c>
      <c r="CI152" s="92" t="str">
        <f t="shared" si="226"/>
        <v/>
      </c>
      <c r="CJ152" s="1100">
        <f>FEB!AM15</f>
        <v>0</v>
      </c>
      <c r="CK152" s="445">
        <f>SUMIF(FEB!$G$155:$J$155,CK$112,FEB!$AN15:$AQ15)</f>
        <v>0</v>
      </c>
      <c r="CL152" s="446">
        <f>SUMIF(FEB!$G$155:$J$155,CL$112,FEB!$AN15:$AQ15)</f>
        <v>0</v>
      </c>
      <c r="CM152" s="447">
        <f>SUMIF(FEB!$G$155:$J$155,CM$112,FEB!$AN15:$AQ15)</f>
        <v>0</v>
      </c>
      <c r="CN152" s="448">
        <f>SUMIF(FEB!$G$155:$J$155,CN$112,FEB!$AN15:$AQ15)</f>
        <v>0</v>
      </c>
      <c r="CO152" s="1100">
        <f>FEB!AS15</f>
        <v>0</v>
      </c>
      <c r="CP152" s="445">
        <f>FEB!AT15</f>
        <v>0</v>
      </c>
      <c r="CQ152" s="446">
        <f>FEB!AU15</f>
        <v>0</v>
      </c>
      <c r="CR152" s="447">
        <f>FEB!AV15</f>
        <v>0</v>
      </c>
      <c r="CS152" s="448">
        <f>FEB!AW15</f>
        <v>0</v>
      </c>
      <c r="CT152" s="1100">
        <f>FEB!AY15</f>
        <v>0</v>
      </c>
      <c r="CU152" s="2"/>
    </row>
    <row r="153" spans="1:99" ht="14.25" hidden="1" customHeight="1" x14ac:dyDescent="0.2">
      <c r="A153" s="2"/>
      <c r="B153" s="151">
        <f t="shared" si="214"/>
        <v>45331</v>
      </c>
      <c r="C153" s="223">
        <f>IF(AND(E153&gt;(E$492-1),E153&lt;(I$492+1)),W$485,IF(ISERROR(HLOOKUP(E153,$E$485:$L$485,1,FALSE)),HLOOKUP(WEEKDAY(E153,2),IMPOSTAZIONI!$C$51:$P$56,6,FALSE),$W$484))</f>
        <v>0</v>
      </c>
      <c r="D153" s="103" t="str">
        <f t="shared" si="215"/>
        <v/>
      </c>
      <c r="E153" s="2380">
        <f t="shared" si="227"/>
        <v>45331</v>
      </c>
      <c r="F153" s="2381"/>
      <c r="G153" s="2325">
        <f>FEB!E16</f>
        <v>0</v>
      </c>
      <c r="H153" s="2326"/>
      <c r="I153" s="2327"/>
      <c r="J153" s="479" t="str">
        <f t="shared" si="210"/>
        <v/>
      </c>
      <c r="K153" s="480"/>
      <c r="L153" s="2319">
        <f t="shared" si="228"/>
        <v>6</v>
      </c>
      <c r="M153" s="2320"/>
      <c r="N153" s="478"/>
      <c r="O153" s="478"/>
      <c r="P153" s="478"/>
      <c r="Q153" s="2315">
        <f t="shared" si="217"/>
        <v>45331</v>
      </c>
      <c r="R153" s="2315"/>
      <c r="S153" s="478"/>
      <c r="T153" s="140">
        <f t="shared" si="218"/>
        <v>0</v>
      </c>
      <c r="U153" s="478"/>
      <c r="V153" s="478"/>
      <c r="W153" s="478"/>
      <c r="X153" s="478"/>
      <c r="Y153" s="478"/>
      <c r="Z153" s="478"/>
      <c r="AA153" s="478"/>
      <c r="AB153" s="478"/>
      <c r="AC153" s="478"/>
      <c r="AD153" s="478"/>
      <c r="AE153" s="478"/>
      <c r="AF153" s="478"/>
      <c r="AG153" s="140">
        <f t="shared" si="219"/>
        <v>0</v>
      </c>
      <c r="AH153" s="92" t="str">
        <f t="shared" si="220"/>
        <v/>
      </c>
      <c r="AI153" s="131">
        <f t="shared" si="221"/>
        <v>0</v>
      </c>
      <c r="AJ153" s="2"/>
      <c r="AK153" s="92">
        <f>IF(G153=G$481,0,IF(OR(G153&lt;&gt;0,CJ153&lt;&gt;0,C153="L"),COUNTIF(AK$114:AK152,"&gt;0")+1,0))</f>
        <v>0</v>
      </c>
      <c r="AL153" s="92" t="str">
        <f t="shared" si="222"/>
        <v/>
      </c>
      <c r="AM153" s="92" t="str">
        <f t="shared" si="223"/>
        <v/>
      </c>
      <c r="AN153" s="131">
        <f t="shared" si="211"/>
        <v>0</v>
      </c>
      <c r="AO153" s="447">
        <f>SUM(FEB!W16:Z16)</f>
        <v>0</v>
      </c>
      <c r="AP153" s="445">
        <f>SUMIF(FEB!$G$155:$J$155,AP$112,FEB!$R16:$U16)</f>
        <v>0</v>
      </c>
      <c r="AQ153" s="446">
        <f>SUMIF(FEB!$G$155:$J$155,AQ$112,FEB!$R16:$U16)</f>
        <v>0</v>
      </c>
      <c r="AR153" s="447">
        <f>SUMIF(FEB!$G$155:$J$155,AR$112,FEB!$R16:$U16)</f>
        <v>0</v>
      </c>
      <c r="AS153" s="448">
        <f>SUMIF(FEB!$G$155:$J$155,AS$112,FEB!$R16:$U16)</f>
        <v>0</v>
      </c>
      <c r="AT153" s="449">
        <f>FEB!AG16</f>
        <v>0</v>
      </c>
      <c r="AU153" s="445">
        <f>FEB!AH16</f>
        <v>0</v>
      </c>
      <c r="AV153" s="446">
        <f>FEB!AI16</f>
        <v>0</v>
      </c>
      <c r="AW153" s="447">
        <f>FEB!AJ16</f>
        <v>0</v>
      </c>
      <c r="AX153" s="448">
        <f>FEB!AK16</f>
        <v>0</v>
      </c>
      <c r="AY153" s="445">
        <f>SUMIF(FEB!$G$152:$J$152,"&gt;0",FEB!$W16:$Z16)</f>
        <v>0</v>
      </c>
      <c r="AZ153" s="1063">
        <f>SUM(FEB!AB16:AE16)</f>
        <v>0</v>
      </c>
      <c r="BA153" s="445">
        <f>SUMIF(FEB!$G$159:$J$159,BA$111,FEB!$R16:$U16)+SUMIF(FEB!$G$159:$J$159,BA$111,FEB!$W16:$Z16)</f>
        <v>0</v>
      </c>
      <c r="BB153" s="446">
        <f>SUMIF(FEB!$G$159:$J$159,BB$111,FEB!$R16:$U16)+SUMIF(FEB!$G$159:$J$159,BB$111,FEB!$W16:$Z16)</f>
        <v>0</v>
      </c>
      <c r="BC153" s="446">
        <f>SUMIF(FEB!$G$159:$J$159,BC$111,FEB!$R16:$U16)+SUMIF(FEB!$G$159:$J$159,BC$111,FEB!$W16:$Z16)</f>
        <v>0</v>
      </c>
      <c r="BD153" s="446">
        <f>SUMIF(FEB!$G$159:$J$159,BD$111,FEB!$R16:$U16)+SUMIF(FEB!$G$159:$J$159,BD$111,FEB!$W16:$Z16)</f>
        <v>0</v>
      </c>
      <c r="BE153" s="446">
        <f>SUMIF(FEB!$G$159:$J$159,BE$111,FEB!$R16:$U16)+SUMIF(FEB!$G$159:$J$159,BE$111,FEB!$W16:$Z16)</f>
        <v>0</v>
      </c>
      <c r="BF153" s="446">
        <f>SUMIF(FEB!$G$159:$J$159,BF$111,FEB!$R16:$U16)+SUMIF(FEB!$G$159:$J$159,BF$111,FEB!$W16:$Z16)</f>
        <v>0</v>
      </c>
      <c r="BG153" s="448">
        <f>SUMIF(FEB!$G$159:$J$159,BG$111,FEB!$R16:$U16)+SUMIF(FEB!$G$159:$J$159,BG$111,FEB!$W16:$Z16)</f>
        <v>0</v>
      </c>
      <c r="BH153" s="571"/>
      <c r="BI153" s="448"/>
      <c r="BJ153" s="470"/>
      <c r="BK153" s="445">
        <f>SUMIF(FEB!$G$157:$J$157,BK$111,FEB!$R16:$U16)+SUMIF(FEB!$G$157:$J$157,BK$111,FEB!$W16:$Z16)</f>
        <v>0</v>
      </c>
      <c r="BL153" s="446">
        <f>SUMIF(FEB!$G$157:$J$157,BL$111,FEB!$R16:$U16)+SUMIF(FEB!$G$157:$J$157,BL$111,FEB!$W16:$Z16)</f>
        <v>0</v>
      </c>
      <c r="BM153" s="446">
        <f>SUMIF(FEB!$G$157:$J$157,BM$111,FEB!$R16:$U16)+SUMIF(FEB!$G$157:$J$157,BM$111,FEB!$W16:$Z16)</f>
        <v>0</v>
      </c>
      <c r="BN153" s="446">
        <f>SUMIF(FEB!$G$157:$J$157,BN$111,FEB!$R16:$U16)+SUMIF(FEB!$G$157:$J$157,BN$111,FEB!$W16:$Z16)</f>
        <v>0</v>
      </c>
      <c r="BO153" s="446">
        <f>SUMIF(FEB!$G$157:$J$157,BO$111,FEB!$R16:$U16)+SUMIF(FEB!$G$157:$J$157,BO$111,FEB!$W16:$Z16)</f>
        <v>0</v>
      </c>
      <c r="BP153" s="446">
        <f>SUMIF(FEB!$G$157:$J$157,BP$111,FEB!$R16:$U16)+SUMIF(FEB!$G$157:$J$157,BP$111,FEB!$W16:$Z16)</f>
        <v>0</v>
      </c>
      <c r="BQ153" s="448">
        <f>SUMIF(FEB!$G$157:$J$157,BQ$111,FEB!$R16:$U16)+SUMIF(FEB!$G$157:$J$157,BQ$111,FEB!$W16:$Z16)</f>
        <v>0</v>
      </c>
      <c r="BR153" s="571"/>
      <c r="BS153" s="446"/>
      <c r="BT153" s="448"/>
      <c r="BU153" s="470"/>
      <c r="BV153" s="445">
        <f>SUMIF(FEB!$G$158:$J$158,BV$111,FEB!$R16:$U16)+SUMIF(FEB!$G$158:$J$158,BV$111,FEB!$W16:$Z16)</f>
        <v>0</v>
      </c>
      <c r="BW153" s="446">
        <f>SUMIF(FEB!$G$158:$J$158,BW$111,FEB!$R16:$U16)+SUMIF(FEB!$G$158:$J$158,BW$111,FEB!$W16:$Z16)</f>
        <v>0</v>
      </c>
      <c r="BX153" s="446">
        <f>SUMIF(FEB!$G$158:$J$158,BX$111,FEB!$R16:$U16)+SUMIF(FEB!$G$158:$J$158,BX$111,FEB!$W16:$Z16)</f>
        <v>0</v>
      </c>
      <c r="BY153" s="446">
        <f>SUMIF(FEB!$G$158:$J$158,BY$111,FEB!$R16:$U16)+SUMIF(FEB!$G$158:$J$158,BY$111,FEB!$W16:$Z16)</f>
        <v>0</v>
      </c>
      <c r="BZ153" s="446">
        <f>SUMIF(FEB!$G$158:$J$158,BZ$111,FEB!$R16:$U16)+SUMIF(FEB!$G$158:$J$158,BZ$111,FEB!$W16:$Z16)</f>
        <v>0</v>
      </c>
      <c r="CA153" s="446">
        <f>SUMIF(FEB!$G$158:$J$158,CA$111,FEB!$R16:$U16)+SUMIF(FEB!$G$158:$J$158,CA$111,FEB!$W16:$Z16)</f>
        <v>0</v>
      </c>
      <c r="CB153" s="448">
        <f>SUMIF(FEB!$G$158:$J$158,CB$111,FEB!$R16:$U16)+SUMIF(FEB!$G$158:$J$158,CB$111,FEB!$W16:$Z16)</f>
        <v>0</v>
      </c>
      <c r="CC153" s="571"/>
      <c r="CD153" s="448"/>
      <c r="CE153" s="92">
        <f t="shared" si="224"/>
        <v>0</v>
      </c>
      <c r="CF153" s="92">
        <f t="shared" si="225"/>
        <v>0</v>
      </c>
      <c r="CG153" s="151" t="str">
        <f t="shared" si="229"/>
        <v/>
      </c>
      <c r="CH153" s="92">
        <f t="shared" si="213"/>
        <v>0</v>
      </c>
      <c r="CI153" s="92" t="str">
        <f t="shared" si="226"/>
        <v/>
      </c>
      <c r="CJ153" s="1100">
        <f>FEB!AM16</f>
        <v>0</v>
      </c>
      <c r="CK153" s="445">
        <f>SUMIF(FEB!$G$155:$J$155,CK$112,FEB!$AN16:$AQ16)</f>
        <v>0</v>
      </c>
      <c r="CL153" s="446">
        <f>SUMIF(FEB!$G$155:$J$155,CL$112,FEB!$AN16:$AQ16)</f>
        <v>0</v>
      </c>
      <c r="CM153" s="447">
        <f>SUMIF(FEB!$G$155:$J$155,CM$112,FEB!$AN16:$AQ16)</f>
        <v>0</v>
      </c>
      <c r="CN153" s="448">
        <f>SUMIF(FEB!$G$155:$J$155,CN$112,FEB!$AN16:$AQ16)</f>
        <v>0</v>
      </c>
      <c r="CO153" s="1100">
        <f>FEB!AS16</f>
        <v>0</v>
      </c>
      <c r="CP153" s="445">
        <f>FEB!AT16</f>
        <v>0</v>
      </c>
      <c r="CQ153" s="446">
        <f>FEB!AU16</f>
        <v>0</v>
      </c>
      <c r="CR153" s="447">
        <f>FEB!AV16</f>
        <v>0</v>
      </c>
      <c r="CS153" s="448">
        <f>FEB!AW16</f>
        <v>0</v>
      </c>
      <c r="CT153" s="1100">
        <f>FEB!AY16</f>
        <v>0</v>
      </c>
      <c r="CU153" s="2"/>
    </row>
    <row r="154" spans="1:99" ht="14.25" hidden="1" customHeight="1" x14ac:dyDescent="0.2">
      <c r="A154" s="2"/>
      <c r="B154" s="151">
        <f t="shared" si="214"/>
        <v>45332</v>
      </c>
      <c r="C154" s="223">
        <f>IF(AND(E154&gt;(E$492-1),E154&lt;(I$492+1)),W$485,IF(ISERROR(HLOOKUP(E154,$E$485:$L$485,1,FALSE)),HLOOKUP(WEEKDAY(E154,2),IMPOSTAZIONI!$C$51:$P$56,6,FALSE),$W$484))</f>
        <v>0</v>
      </c>
      <c r="D154" s="103" t="str">
        <f t="shared" si="215"/>
        <v/>
      </c>
      <c r="E154" s="2380">
        <f t="shared" si="227"/>
        <v>45332</v>
      </c>
      <c r="F154" s="2381"/>
      <c r="G154" s="2325">
        <f>FEB!E17</f>
        <v>0</v>
      </c>
      <c r="H154" s="2326"/>
      <c r="I154" s="2327"/>
      <c r="J154" s="479" t="str">
        <f t="shared" si="210"/>
        <v/>
      </c>
      <c r="K154" s="480"/>
      <c r="L154" s="2319">
        <f t="shared" si="228"/>
        <v>6</v>
      </c>
      <c r="M154" s="2320"/>
      <c r="N154" s="478"/>
      <c r="O154" s="478"/>
      <c r="P154" s="478"/>
      <c r="Q154" s="2315">
        <f t="shared" si="217"/>
        <v>45332</v>
      </c>
      <c r="R154" s="2315"/>
      <c r="S154" s="478"/>
      <c r="T154" s="140">
        <f t="shared" si="218"/>
        <v>0</v>
      </c>
      <c r="U154" s="478"/>
      <c r="V154" s="478"/>
      <c r="W154" s="478"/>
      <c r="X154" s="478"/>
      <c r="Y154" s="478"/>
      <c r="Z154" s="478"/>
      <c r="AA154" s="478"/>
      <c r="AB154" s="478"/>
      <c r="AC154" s="478"/>
      <c r="AD154" s="478"/>
      <c r="AE154" s="478"/>
      <c r="AF154" s="478"/>
      <c r="AG154" s="140">
        <f t="shared" si="219"/>
        <v>0</v>
      </c>
      <c r="AH154" s="92" t="str">
        <f t="shared" si="220"/>
        <v/>
      </c>
      <c r="AI154" s="131">
        <f t="shared" si="221"/>
        <v>0</v>
      </c>
      <c r="AJ154" s="2"/>
      <c r="AK154" s="92">
        <f>IF(G154=G$481,0,IF(OR(G154&lt;&gt;0,CJ154&lt;&gt;0,C154="L"),COUNTIF(AK$114:AK153,"&gt;0")+1,0))</f>
        <v>0</v>
      </c>
      <c r="AL154" s="92" t="str">
        <f t="shared" si="222"/>
        <v/>
      </c>
      <c r="AM154" s="92" t="str">
        <f t="shared" si="223"/>
        <v/>
      </c>
      <c r="AN154" s="131">
        <f t="shared" si="211"/>
        <v>0</v>
      </c>
      <c r="AO154" s="447">
        <f>SUM(FEB!W17:Z17)</f>
        <v>0</v>
      </c>
      <c r="AP154" s="445">
        <f>SUMIF(FEB!$G$155:$J$155,AP$112,FEB!$R17:$U17)</f>
        <v>0</v>
      </c>
      <c r="AQ154" s="446">
        <f>SUMIF(FEB!$G$155:$J$155,AQ$112,FEB!$R17:$U17)</f>
        <v>0</v>
      </c>
      <c r="AR154" s="447">
        <f>SUMIF(FEB!$G$155:$J$155,AR$112,FEB!$R17:$U17)</f>
        <v>0</v>
      </c>
      <c r="AS154" s="448">
        <f>SUMIF(FEB!$G$155:$J$155,AS$112,FEB!$R17:$U17)</f>
        <v>0</v>
      </c>
      <c r="AT154" s="449">
        <f>FEB!AG17</f>
        <v>0</v>
      </c>
      <c r="AU154" s="445">
        <f>FEB!AH17</f>
        <v>0</v>
      </c>
      <c r="AV154" s="446">
        <f>FEB!AI17</f>
        <v>0</v>
      </c>
      <c r="AW154" s="447">
        <f>FEB!AJ17</f>
        <v>0</v>
      </c>
      <c r="AX154" s="448">
        <f>FEB!AK17</f>
        <v>0</v>
      </c>
      <c r="AY154" s="445">
        <f>SUMIF(FEB!$G$152:$J$152,"&gt;0",FEB!$W17:$Z17)</f>
        <v>0</v>
      </c>
      <c r="AZ154" s="1063">
        <f>SUM(FEB!AB17:AE17)</f>
        <v>0</v>
      </c>
      <c r="BA154" s="445">
        <f>SUMIF(FEB!$G$159:$J$159,BA$111,FEB!$R17:$U17)+SUMIF(FEB!$G$159:$J$159,BA$111,FEB!$W17:$Z17)</f>
        <v>0</v>
      </c>
      <c r="BB154" s="446">
        <f>SUMIF(FEB!$G$159:$J$159,BB$111,FEB!$R17:$U17)+SUMIF(FEB!$G$159:$J$159,BB$111,FEB!$W17:$Z17)</f>
        <v>0</v>
      </c>
      <c r="BC154" s="446">
        <f>SUMIF(FEB!$G$159:$J$159,BC$111,FEB!$R17:$U17)+SUMIF(FEB!$G$159:$J$159,BC$111,FEB!$W17:$Z17)</f>
        <v>0</v>
      </c>
      <c r="BD154" s="446">
        <f>SUMIF(FEB!$G$159:$J$159,BD$111,FEB!$R17:$U17)+SUMIF(FEB!$G$159:$J$159,BD$111,FEB!$W17:$Z17)</f>
        <v>0</v>
      </c>
      <c r="BE154" s="446">
        <f>SUMIF(FEB!$G$159:$J$159,BE$111,FEB!$R17:$U17)+SUMIF(FEB!$G$159:$J$159,BE$111,FEB!$W17:$Z17)</f>
        <v>0</v>
      </c>
      <c r="BF154" s="446">
        <f>SUMIF(FEB!$G$159:$J$159,BF$111,FEB!$R17:$U17)+SUMIF(FEB!$G$159:$J$159,BF$111,FEB!$W17:$Z17)</f>
        <v>0</v>
      </c>
      <c r="BG154" s="448">
        <f>SUMIF(FEB!$G$159:$J$159,BG$111,FEB!$R17:$U17)+SUMIF(FEB!$G$159:$J$159,BG$111,FEB!$W17:$Z17)</f>
        <v>0</v>
      </c>
      <c r="BH154" s="571"/>
      <c r="BI154" s="448"/>
      <c r="BJ154" s="470"/>
      <c r="BK154" s="445">
        <f>SUMIF(FEB!$G$157:$J$157,BK$111,FEB!$R17:$U17)+SUMIF(FEB!$G$157:$J$157,BK$111,FEB!$W17:$Z17)</f>
        <v>0</v>
      </c>
      <c r="BL154" s="446">
        <f>SUMIF(FEB!$G$157:$J$157,BL$111,FEB!$R17:$U17)+SUMIF(FEB!$G$157:$J$157,BL$111,FEB!$W17:$Z17)</f>
        <v>0</v>
      </c>
      <c r="BM154" s="446">
        <f>SUMIF(FEB!$G$157:$J$157,BM$111,FEB!$R17:$U17)+SUMIF(FEB!$G$157:$J$157,BM$111,FEB!$W17:$Z17)</f>
        <v>0</v>
      </c>
      <c r="BN154" s="446">
        <f>SUMIF(FEB!$G$157:$J$157,BN$111,FEB!$R17:$U17)+SUMIF(FEB!$G$157:$J$157,BN$111,FEB!$W17:$Z17)</f>
        <v>0</v>
      </c>
      <c r="BO154" s="446">
        <f>SUMIF(FEB!$G$157:$J$157,BO$111,FEB!$R17:$U17)+SUMIF(FEB!$G$157:$J$157,BO$111,FEB!$W17:$Z17)</f>
        <v>0</v>
      </c>
      <c r="BP154" s="446">
        <f>SUMIF(FEB!$G$157:$J$157,BP$111,FEB!$R17:$U17)+SUMIF(FEB!$G$157:$J$157,BP$111,FEB!$W17:$Z17)</f>
        <v>0</v>
      </c>
      <c r="BQ154" s="448">
        <f>SUMIF(FEB!$G$157:$J$157,BQ$111,FEB!$R17:$U17)+SUMIF(FEB!$G$157:$J$157,BQ$111,FEB!$W17:$Z17)</f>
        <v>0</v>
      </c>
      <c r="BR154" s="571"/>
      <c r="BS154" s="446"/>
      <c r="BT154" s="448"/>
      <c r="BU154" s="470"/>
      <c r="BV154" s="445">
        <f>SUMIF(FEB!$G$158:$J$158,BV$111,FEB!$R17:$U17)+SUMIF(FEB!$G$158:$J$158,BV$111,FEB!$W17:$Z17)</f>
        <v>0</v>
      </c>
      <c r="BW154" s="446">
        <f>SUMIF(FEB!$G$158:$J$158,BW$111,FEB!$R17:$U17)+SUMIF(FEB!$G$158:$J$158,BW$111,FEB!$W17:$Z17)</f>
        <v>0</v>
      </c>
      <c r="BX154" s="446">
        <f>SUMIF(FEB!$G$158:$J$158,BX$111,FEB!$R17:$U17)+SUMIF(FEB!$G$158:$J$158,BX$111,FEB!$W17:$Z17)</f>
        <v>0</v>
      </c>
      <c r="BY154" s="446">
        <f>SUMIF(FEB!$G$158:$J$158,BY$111,FEB!$R17:$U17)+SUMIF(FEB!$G$158:$J$158,BY$111,FEB!$W17:$Z17)</f>
        <v>0</v>
      </c>
      <c r="BZ154" s="446">
        <f>SUMIF(FEB!$G$158:$J$158,BZ$111,FEB!$R17:$U17)+SUMIF(FEB!$G$158:$J$158,BZ$111,FEB!$W17:$Z17)</f>
        <v>0</v>
      </c>
      <c r="CA154" s="446">
        <f>SUMIF(FEB!$G$158:$J$158,CA$111,FEB!$R17:$U17)+SUMIF(FEB!$G$158:$J$158,CA$111,FEB!$W17:$Z17)</f>
        <v>0</v>
      </c>
      <c r="CB154" s="448">
        <f>SUMIF(FEB!$G$158:$J$158,CB$111,FEB!$R17:$U17)+SUMIF(FEB!$G$158:$J$158,CB$111,FEB!$W17:$Z17)</f>
        <v>0</v>
      </c>
      <c r="CC154" s="571"/>
      <c r="CD154" s="448"/>
      <c r="CE154" s="92">
        <f t="shared" si="224"/>
        <v>0</v>
      </c>
      <c r="CF154" s="92">
        <f t="shared" si="225"/>
        <v>0</v>
      </c>
      <c r="CG154" s="151" t="str">
        <f t="shared" si="229"/>
        <v/>
      </c>
      <c r="CH154" s="92">
        <f t="shared" si="213"/>
        <v>0</v>
      </c>
      <c r="CI154" s="92" t="str">
        <f t="shared" si="226"/>
        <v/>
      </c>
      <c r="CJ154" s="1100">
        <f>FEB!AM17</f>
        <v>0</v>
      </c>
      <c r="CK154" s="445">
        <f>SUMIF(FEB!$G$155:$J$155,CK$112,FEB!$AN17:$AQ17)</f>
        <v>0</v>
      </c>
      <c r="CL154" s="446">
        <f>SUMIF(FEB!$G$155:$J$155,CL$112,FEB!$AN17:$AQ17)</f>
        <v>0</v>
      </c>
      <c r="CM154" s="447">
        <f>SUMIF(FEB!$G$155:$J$155,CM$112,FEB!$AN17:$AQ17)</f>
        <v>0</v>
      </c>
      <c r="CN154" s="448">
        <f>SUMIF(FEB!$G$155:$J$155,CN$112,FEB!$AN17:$AQ17)</f>
        <v>0</v>
      </c>
      <c r="CO154" s="1100">
        <f>FEB!AS17</f>
        <v>0</v>
      </c>
      <c r="CP154" s="445">
        <f>FEB!AT17</f>
        <v>0</v>
      </c>
      <c r="CQ154" s="446">
        <f>FEB!AU17</f>
        <v>0</v>
      </c>
      <c r="CR154" s="447">
        <f>FEB!AV17</f>
        <v>0</v>
      </c>
      <c r="CS154" s="448">
        <f>FEB!AW17</f>
        <v>0</v>
      </c>
      <c r="CT154" s="1100">
        <f>FEB!AY17</f>
        <v>0</v>
      </c>
      <c r="CU154" s="2"/>
    </row>
    <row r="155" spans="1:99" ht="14.25" hidden="1" customHeight="1" x14ac:dyDescent="0.2">
      <c r="A155" s="2"/>
      <c r="B155" s="151">
        <f t="shared" si="214"/>
        <v>45333</v>
      </c>
      <c r="C155" s="223">
        <f>IF(AND(E155&gt;(E$492-1),E155&lt;(I$492+1)),W$485,IF(ISERROR(HLOOKUP(E155,$E$485:$L$485,1,FALSE)),HLOOKUP(WEEKDAY(E155,2),IMPOSTAZIONI!$C$51:$P$56,6,FALSE),$W$484))</f>
        <v>0</v>
      </c>
      <c r="D155" s="103" t="str">
        <f t="shared" si="215"/>
        <v/>
      </c>
      <c r="E155" s="2380">
        <f t="shared" si="227"/>
        <v>45333</v>
      </c>
      <c r="F155" s="2381"/>
      <c r="G155" s="2325">
        <f>FEB!E18</f>
        <v>0</v>
      </c>
      <c r="H155" s="2326"/>
      <c r="I155" s="2327"/>
      <c r="J155" s="479" t="str">
        <f t="shared" si="210"/>
        <v/>
      </c>
      <c r="K155" s="480"/>
      <c r="L155" s="2321">
        <f t="shared" si="228"/>
        <v>6</v>
      </c>
      <c r="M155" s="2322"/>
      <c r="N155" s="478"/>
      <c r="O155" s="478"/>
      <c r="P155" s="478"/>
      <c r="Q155" s="2315">
        <f t="shared" si="217"/>
        <v>45333</v>
      </c>
      <c r="R155" s="2315"/>
      <c r="S155" s="478"/>
      <c r="T155" s="140">
        <f t="shared" si="218"/>
        <v>0</v>
      </c>
      <c r="U155" s="478"/>
      <c r="V155" s="478"/>
      <c r="W155" s="478"/>
      <c r="X155" s="478"/>
      <c r="Y155" s="478"/>
      <c r="Z155" s="478"/>
      <c r="AA155" s="478"/>
      <c r="AB155" s="478"/>
      <c r="AC155" s="478"/>
      <c r="AD155" s="478"/>
      <c r="AE155" s="478"/>
      <c r="AF155" s="478"/>
      <c r="AG155" s="140">
        <f t="shared" si="219"/>
        <v>0</v>
      </c>
      <c r="AH155" s="92" t="str">
        <f t="shared" si="220"/>
        <v/>
      </c>
      <c r="AI155" s="131">
        <f t="shared" si="221"/>
        <v>0</v>
      </c>
      <c r="AJ155" s="2"/>
      <c r="AK155" s="92">
        <f>IF(G155=G$481,0,IF(OR(G155&lt;&gt;0,CJ155&lt;&gt;0,C155="L"),COUNTIF(AK$114:AK154,"&gt;0")+1,0))</f>
        <v>0</v>
      </c>
      <c r="AL155" s="92" t="str">
        <f t="shared" si="222"/>
        <v/>
      </c>
      <c r="AM155" s="92" t="str">
        <f t="shared" si="223"/>
        <v/>
      </c>
      <c r="AN155" s="131">
        <f t="shared" si="211"/>
        <v>0</v>
      </c>
      <c r="AO155" s="447">
        <f>SUM(FEB!W18:Z18)</f>
        <v>0</v>
      </c>
      <c r="AP155" s="445">
        <f>SUMIF(FEB!$G$155:$J$155,AP$112,FEB!$R18:$U18)</f>
        <v>0</v>
      </c>
      <c r="AQ155" s="446">
        <f>SUMIF(FEB!$G$155:$J$155,AQ$112,FEB!$R18:$U18)</f>
        <v>0</v>
      </c>
      <c r="AR155" s="447">
        <f>SUMIF(FEB!$G$155:$J$155,AR$112,FEB!$R18:$U18)</f>
        <v>0</v>
      </c>
      <c r="AS155" s="448">
        <f>SUMIF(FEB!$G$155:$J$155,AS$112,FEB!$R18:$U18)</f>
        <v>0</v>
      </c>
      <c r="AT155" s="449">
        <f>FEB!AG18</f>
        <v>0</v>
      </c>
      <c r="AU155" s="445">
        <f>FEB!AH18</f>
        <v>0</v>
      </c>
      <c r="AV155" s="446">
        <f>FEB!AI18</f>
        <v>0</v>
      </c>
      <c r="AW155" s="447">
        <f>FEB!AJ18</f>
        <v>0</v>
      </c>
      <c r="AX155" s="448">
        <f>FEB!AK18</f>
        <v>0</v>
      </c>
      <c r="AY155" s="445">
        <f>SUMIF(FEB!$G$152:$J$152,"&gt;0",FEB!$W18:$Z18)</f>
        <v>0</v>
      </c>
      <c r="AZ155" s="1063">
        <f>SUM(FEB!AB18:AE18)</f>
        <v>0</v>
      </c>
      <c r="BA155" s="445">
        <f>SUMIF(FEB!$G$159:$J$159,BA$111,FEB!$R18:$U18)+SUMIF(FEB!$G$159:$J$159,BA$111,FEB!$W18:$Z18)</f>
        <v>0</v>
      </c>
      <c r="BB155" s="446">
        <f>SUMIF(FEB!$G$159:$J$159,BB$111,FEB!$R18:$U18)+SUMIF(FEB!$G$159:$J$159,BB$111,FEB!$W18:$Z18)</f>
        <v>0</v>
      </c>
      <c r="BC155" s="446">
        <f>SUMIF(FEB!$G$159:$J$159,BC$111,FEB!$R18:$U18)+SUMIF(FEB!$G$159:$J$159,BC$111,FEB!$W18:$Z18)</f>
        <v>0</v>
      </c>
      <c r="BD155" s="446">
        <f>SUMIF(FEB!$G$159:$J$159,BD$111,FEB!$R18:$U18)+SUMIF(FEB!$G$159:$J$159,BD$111,FEB!$W18:$Z18)</f>
        <v>0</v>
      </c>
      <c r="BE155" s="446">
        <f>SUMIF(FEB!$G$159:$J$159,BE$111,FEB!$R18:$U18)+SUMIF(FEB!$G$159:$J$159,BE$111,FEB!$W18:$Z18)</f>
        <v>0</v>
      </c>
      <c r="BF155" s="446">
        <f>SUMIF(FEB!$G$159:$J$159,BF$111,FEB!$R18:$U18)+SUMIF(FEB!$G$159:$J$159,BF$111,FEB!$W18:$Z18)</f>
        <v>0</v>
      </c>
      <c r="BG155" s="448">
        <f>SUMIF(FEB!$G$159:$J$159,BG$111,FEB!$R18:$U18)+SUMIF(FEB!$G$159:$J$159,BG$111,FEB!$W18:$Z18)</f>
        <v>0</v>
      </c>
      <c r="BH155" s="571"/>
      <c r="BI155" s="448"/>
      <c r="BJ155" s="470"/>
      <c r="BK155" s="445">
        <f>SUMIF(FEB!$G$157:$J$157,BK$111,FEB!$R18:$U18)+SUMIF(FEB!$G$157:$J$157,BK$111,FEB!$W18:$Z18)</f>
        <v>0</v>
      </c>
      <c r="BL155" s="446">
        <f>SUMIF(FEB!$G$157:$J$157,BL$111,FEB!$R18:$U18)+SUMIF(FEB!$G$157:$J$157,BL$111,FEB!$W18:$Z18)</f>
        <v>0</v>
      </c>
      <c r="BM155" s="446">
        <f>SUMIF(FEB!$G$157:$J$157,BM$111,FEB!$R18:$U18)+SUMIF(FEB!$G$157:$J$157,BM$111,FEB!$W18:$Z18)</f>
        <v>0</v>
      </c>
      <c r="BN155" s="446">
        <f>SUMIF(FEB!$G$157:$J$157,BN$111,FEB!$R18:$U18)+SUMIF(FEB!$G$157:$J$157,BN$111,FEB!$W18:$Z18)</f>
        <v>0</v>
      </c>
      <c r="BO155" s="446">
        <f>SUMIF(FEB!$G$157:$J$157,BO$111,FEB!$R18:$U18)+SUMIF(FEB!$G$157:$J$157,BO$111,FEB!$W18:$Z18)</f>
        <v>0</v>
      </c>
      <c r="BP155" s="446">
        <f>SUMIF(FEB!$G$157:$J$157,BP$111,FEB!$R18:$U18)+SUMIF(FEB!$G$157:$J$157,BP$111,FEB!$W18:$Z18)</f>
        <v>0</v>
      </c>
      <c r="BQ155" s="448">
        <f>SUMIF(FEB!$G$157:$J$157,BQ$111,FEB!$R18:$U18)+SUMIF(FEB!$G$157:$J$157,BQ$111,FEB!$W18:$Z18)</f>
        <v>0</v>
      </c>
      <c r="BR155" s="571"/>
      <c r="BS155" s="446"/>
      <c r="BT155" s="448"/>
      <c r="BU155" s="470"/>
      <c r="BV155" s="445">
        <f>SUMIF(FEB!$G$158:$J$158,BV$111,FEB!$R18:$U18)+SUMIF(FEB!$G$158:$J$158,BV$111,FEB!$W18:$Z18)</f>
        <v>0</v>
      </c>
      <c r="BW155" s="446">
        <f>SUMIF(FEB!$G$158:$J$158,BW$111,FEB!$R18:$U18)+SUMIF(FEB!$G$158:$J$158,BW$111,FEB!$W18:$Z18)</f>
        <v>0</v>
      </c>
      <c r="BX155" s="446">
        <f>SUMIF(FEB!$G$158:$J$158,BX$111,FEB!$R18:$U18)+SUMIF(FEB!$G$158:$J$158,BX$111,FEB!$W18:$Z18)</f>
        <v>0</v>
      </c>
      <c r="BY155" s="446">
        <f>SUMIF(FEB!$G$158:$J$158,BY$111,FEB!$R18:$U18)+SUMIF(FEB!$G$158:$J$158,BY$111,FEB!$W18:$Z18)</f>
        <v>0</v>
      </c>
      <c r="BZ155" s="446">
        <f>SUMIF(FEB!$G$158:$J$158,BZ$111,FEB!$R18:$U18)+SUMIF(FEB!$G$158:$J$158,BZ$111,FEB!$W18:$Z18)</f>
        <v>0</v>
      </c>
      <c r="CA155" s="446">
        <f>SUMIF(FEB!$G$158:$J$158,CA$111,FEB!$R18:$U18)+SUMIF(FEB!$G$158:$J$158,CA$111,FEB!$W18:$Z18)</f>
        <v>0</v>
      </c>
      <c r="CB155" s="448">
        <f>SUMIF(FEB!$G$158:$J$158,CB$111,FEB!$R18:$U18)+SUMIF(FEB!$G$158:$J$158,CB$111,FEB!$W18:$Z18)</f>
        <v>0</v>
      </c>
      <c r="CC155" s="571"/>
      <c r="CD155" s="448"/>
      <c r="CE155" s="92">
        <f t="shared" si="224"/>
        <v>0</v>
      </c>
      <c r="CF155" s="92">
        <f t="shared" si="225"/>
        <v>0</v>
      </c>
      <c r="CG155" s="151" t="str">
        <f t="shared" si="229"/>
        <v/>
      </c>
      <c r="CH155" s="92">
        <f t="shared" si="213"/>
        <v>0</v>
      </c>
      <c r="CI155" s="92" t="str">
        <f t="shared" si="226"/>
        <v/>
      </c>
      <c r="CJ155" s="1100">
        <f>FEB!AM18</f>
        <v>0</v>
      </c>
      <c r="CK155" s="445">
        <f>SUMIF(FEB!$G$155:$J$155,CK$112,FEB!$AN18:$AQ18)</f>
        <v>0</v>
      </c>
      <c r="CL155" s="446">
        <f>SUMIF(FEB!$G$155:$J$155,CL$112,FEB!$AN18:$AQ18)</f>
        <v>0</v>
      </c>
      <c r="CM155" s="447">
        <f>SUMIF(FEB!$G$155:$J$155,CM$112,FEB!$AN18:$AQ18)</f>
        <v>0</v>
      </c>
      <c r="CN155" s="448">
        <f>SUMIF(FEB!$G$155:$J$155,CN$112,FEB!$AN18:$AQ18)</f>
        <v>0</v>
      </c>
      <c r="CO155" s="1100">
        <f>FEB!AS18</f>
        <v>0</v>
      </c>
      <c r="CP155" s="445">
        <f>FEB!AT18</f>
        <v>0</v>
      </c>
      <c r="CQ155" s="446">
        <f>FEB!AU18</f>
        <v>0</v>
      </c>
      <c r="CR155" s="447">
        <f>FEB!AV18</f>
        <v>0</v>
      </c>
      <c r="CS155" s="448">
        <f>FEB!AW18</f>
        <v>0</v>
      </c>
      <c r="CT155" s="1100">
        <f>FEB!AY18</f>
        <v>0</v>
      </c>
      <c r="CU155" s="2"/>
    </row>
    <row r="156" spans="1:99" ht="14.25" hidden="1" customHeight="1" x14ac:dyDescent="0.2">
      <c r="A156" s="2"/>
      <c r="B156" s="151">
        <f t="shared" si="214"/>
        <v>45334</v>
      </c>
      <c r="C156" s="223">
        <f>IF(AND(E156&gt;(E$492-1),E156&lt;(I$492+1)),W$485,IF(ISERROR(HLOOKUP(E156,$E$485:$L$485,1,FALSE)),HLOOKUP(WEEKDAY(E156,2),IMPOSTAZIONI!$C$51:$P$56,6,FALSE),$W$484))</f>
        <v>0</v>
      </c>
      <c r="D156" s="103" t="str">
        <f t="shared" si="215"/>
        <v/>
      </c>
      <c r="E156" s="2380">
        <f t="shared" si="227"/>
        <v>45334</v>
      </c>
      <c r="F156" s="2381"/>
      <c r="G156" s="2325">
        <f>FEB!E19</f>
        <v>0</v>
      </c>
      <c r="H156" s="2326"/>
      <c r="I156" s="2327"/>
      <c r="J156" s="479" t="str">
        <f t="shared" si="210"/>
        <v/>
      </c>
      <c r="K156" s="480"/>
      <c r="L156" s="2323">
        <f t="shared" si="228"/>
        <v>7</v>
      </c>
      <c r="M156" s="2324"/>
      <c r="N156" s="478"/>
      <c r="O156" s="478"/>
      <c r="P156" s="478"/>
      <c r="Q156" s="2315">
        <f t="shared" si="217"/>
        <v>45334</v>
      </c>
      <c r="R156" s="2315"/>
      <c r="S156" s="478"/>
      <c r="T156" s="140">
        <f t="shared" si="218"/>
        <v>0</v>
      </c>
      <c r="U156" s="478"/>
      <c r="V156" s="478"/>
      <c r="W156" s="478"/>
      <c r="X156" s="478"/>
      <c r="Y156" s="478"/>
      <c r="Z156" s="478"/>
      <c r="AA156" s="478"/>
      <c r="AB156" s="478"/>
      <c r="AC156" s="478"/>
      <c r="AD156" s="478"/>
      <c r="AE156" s="478"/>
      <c r="AF156" s="478"/>
      <c r="AG156" s="140">
        <f t="shared" si="219"/>
        <v>0</v>
      </c>
      <c r="AH156" s="92" t="str">
        <f t="shared" si="220"/>
        <v/>
      </c>
      <c r="AI156" s="131">
        <f t="shared" si="221"/>
        <v>0</v>
      </c>
      <c r="AJ156" s="2"/>
      <c r="AK156" s="92">
        <f>IF(G156=G$481,0,IF(OR(G156&lt;&gt;0,CJ156&lt;&gt;0,C156="L"),COUNTIF(AK$114:AK155,"&gt;0")+1,0))</f>
        <v>0</v>
      </c>
      <c r="AL156" s="92" t="str">
        <f t="shared" si="222"/>
        <v/>
      </c>
      <c r="AM156" s="92" t="str">
        <f t="shared" si="223"/>
        <v/>
      </c>
      <c r="AN156" s="131">
        <f t="shared" si="211"/>
        <v>0</v>
      </c>
      <c r="AO156" s="447">
        <f>SUM(FEB!W19:Z19)</f>
        <v>0</v>
      </c>
      <c r="AP156" s="445">
        <f>SUMIF(FEB!$G$155:$J$155,AP$112,FEB!$R19:$U19)</f>
        <v>0</v>
      </c>
      <c r="AQ156" s="446">
        <f>SUMIF(FEB!$G$155:$J$155,AQ$112,FEB!$R19:$U19)</f>
        <v>0</v>
      </c>
      <c r="AR156" s="447">
        <f>SUMIF(FEB!$G$155:$J$155,AR$112,FEB!$R19:$U19)</f>
        <v>0</v>
      </c>
      <c r="AS156" s="448">
        <f>SUMIF(FEB!$G$155:$J$155,AS$112,FEB!$R19:$U19)</f>
        <v>0</v>
      </c>
      <c r="AT156" s="449">
        <f>FEB!AG19</f>
        <v>0</v>
      </c>
      <c r="AU156" s="445">
        <f>FEB!AH19</f>
        <v>0</v>
      </c>
      <c r="AV156" s="446">
        <f>FEB!AI19</f>
        <v>0</v>
      </c>
      <c r="AW156" s="447">
        <f>FEB!AJ19</f>
        <v>0</v>
      </c>
      <c r="AX156" s="448">
        <f>FEB!AK19</f>
        <v>0</v>
      </c>
      <c r="AY156" s="445">
        <f>SUMIF(FEB!$G$152:$J$152,"&gt;0",FEB!$W19:$Z19)</f>
        <v>0</v>
      </c>
      <c r="AZ156" s="1063">
        <f>SUM(FEB!AB19:AE19)</f>
        <v>0</v>
      </c>
      <c r="BA156" s="445">
        <f>SUMIF(FEB!$G$159:$J$159,BA$111,FEB!$R19:$U19)+SUMIF(FEB!$G$159:$J$159,BA$111,FEB!$W19:$Z19)</f>
        <v>0</v>
      </c>
      <c r="BB156" s="446">
        <f>SUMIF(FEB!$G$159:$J$159,BB$111,FEB!$R19:$U19)+SUMIF(FEB!$G$159:$J$159,BB$111,FEB!$W19:$Z19)</f>
        <v>0</v>
      </c>
      <c r="BC156" s="446">
        <f>SUMIF(FEB!$G$159:$J$159,BC$111,FEB!$R19:$U19)+SUMIF(FEB!$G$159:$J$159,BC$111,FEB!$W19:$Z19)</f>
        <v>0</v>
      </c>
      <c r="BD156" s="446">
        <f>SUMIF(FEB!$G$159:$J$159,BD$111,FEB!$R19:$U19)+SUMIF(FEB!$G$159:$J$159,BD$111,FEB!$W19:$Z19)</f>
        <v>0</v>
      </c>
      <c r="BE156" s="446">
        <f>SUMIF(FEB!$G$159:$J$159,BE$111,FEB!$R19:$U19)+SUMIF(FEB!$G$159:$J$159,BE$111,FEB!$W19:$Z19)</f>
        <v>0</v>
      </c>
      <c r="BF156" s="446">
        <f>SUMIF(FEB!$G$159:$J$159,BF$111,FEB!$R19:$U19)+SUMIF(FEB!$G$159:$J$159,BF$111,FEB!$W19:$Z19)</f>
        <v>0</v>
      </c>
      <c r="BG156" s="448">
        <f>SUMIF(FEB!$G$159:$J$159,BG$111,FEB!$R19:$U19)+SUMIF(FEB!$G$159:$J$159,BG$111,FEB!$W19:$Z19)</f>
        <v>0</v>
      </c>
      <c r="BH156" s="571"/>
      <c r="BI156" s="448"/>
      <c r="BJ156" s="470"/>
      <c r="BK156" s="445">
        <f>SUMIF(FEB!$G$157:$J$157,BK$111,FEB!$R19:$U19)+SUMIF(FEB!$G$157:$J$157,BK$111,FEB!$W19:$Z19)</f>
        <v>0</v>
      </c>
      <c r="BL156" s="446">
        <f>SUMIF(FEB!$G$157:$J$157,BL$111,FEB!$R19:$U19)+SUMIF(FEB!$G$157:$J$157,BL$111,FEB!$W19:$Z19)</f>
        <v>0</v>
      </c>
      <c r="BM156" s="446">
        <f>SUMIF(FEB!$G$157:$J$157,BM$111,FEB!$R19:$U19)+SUMIF(FEB!$G$157:$J$157,BM$111,FEB!$W19:$Z19)</f>
        <v>0</v>
      </c>
      <c r="BN156" s="446">
        <f>SUMIF(FEB!$G$157:$J$157,BN$111,FEB!$R19:$U19)+SUMIF(FEB!$G$157:$J$157,BN$111,FEB!$W19:$Z19)</f>
        <v>0</v>
      </c>
      <c r="BO156" s="446">
        <f>SUMIF(FEB!$G$157:$J$157,BO$111,FEB!$R19:$U19)+SUMIF(FEB!$G$157:$J$157,BO$111,FEB!$W19:$Z19)</f>
        <v>0</v>
      </c>
      <c r="BP156" s="446">
        <f>SUMIF(FEB!$G$157:$J$157,BP$111,FEB!$R19:$U19)+SUMIF(FEB!$G$157:$J$157,BP$111,FEB!$W19:$Z19)</f>
        <v>0</v>
      </c>
      <c r="BQ156" s="448">
        <f>SUMIF(FEB!$G$157:$J$157,BQ$111,FEB!$R19:$U19)+SUMIF(FEB!$G$157:$J$157,BQ$111,FEB!$W19:$Z19)</f>
        <v>0</v>
      </c>
      <c r="BR156" s="571"/>
      <c r="BS156" s="446"/>
      <c r="BT156" s="448"/>
      <c r="BU156" s="470"/>
      <c r="BV156" s="445">
        <f>SUMIF(FEB!$G$158:$J$158,BV$111,FEB!$R19:$U19)+SUMIF(FEB!$G$158:$J$158,BV$111,FEB!$W19:$Z19)</f>
        <v>0</v>
      </c>
      <c r="BW156" s="446">
        <f>SUMIF(FEB!$G$158:$J$158,BW$111,FEB!$R19:$U19)+SUMIF(FEB!$G$158:$J$158,BW$111,FEB!$W19:$Z19)</f>
        <v>0</v>
      </c>
      <c r="BX156" s="446">
        <f>SUMIF(FEB!$G$158:$J$158,BX$111,FEB!$R19:$U19)+SUMIF(FEB!$G$158:$J$158,BX$111,FEB!$W19:$Z19)</f>
        <v>0</v>
      </c>
      <c r="BY156" s="446">
        <f>SUMIF(FEB!$G$158:$J$158,BY$111,FEB!$R19:$U19)+SUMIF(FEB!$G$158:$J$158,BY$111,FEB!$W19:$Z19)</f>
        <v>0</v>
      </c>
      <c r="BZ156" s="446">
        <f>SUMIF(FEB!$G$158:$J$158,BZ$111,FEB!$R19:$U19)+SUMIF(FEB!$G$158:$J$158,BZ$111,FEB!$W19:$Z19)</f>
        <v>0</v>
      </c>
      <c r="CA156" s="446">
        <f>SUMIF(FEB!$G$158:$J$158,CA$111,FEB!$R19:$U19)+SUMIF(FEB!$G$158:$J$158,CA$111,FEB!$W19:$Z19)</f>
        <v>0</v>
      </c>
      <c r="CB156" s="448">
        <f>SUMIF(FEB!$G$158:$J$158,CB$111,FEB!$R19:$U19)+SUMIF(FEB!$G$158:$J$158,CB$111,FEB!$W19:$Z19)</f>
        <v>0</v>
      </c>
      <c r="CC156" s="571"/>
      <c r="CD156" s="448"/>
      <c r="CE156" s="92">
        <f t="shared" si="224"/>
        <v>0</v>
      </c>
      <c r="CF156" s="92">
        <f t="shared" si="225"/>
        <v>0</v>
      </c>
      <c r="CG156" s="151" t="str">
        <f t="shared" si="229"/>
        <v/>
      </c>
      <c r="CH156" s="92">
        <f t="shared" si="213"/>
        <v>0</v>
      </c>
      <c r="CI156" s="92" t="str">
        <f t="shared" si="226"/>
        <v/>
      </c>
      <c r="CJ156" s="1100">
        <f>FEB!AM19</f>
        <v>0</v>
      </c>
      <c r="CK156" s="445">
        <f>SUMIF(FEB!$G$155:$J$155,CK$112,FEB!$AN19:$AQ19)</f>
        <v>0</v>
      </c>
      <c r="CL156" s="446">
        <f>SUMIF(FEB!$G$155:$J$155,CL$112,FEB!$AN19:$AQ19)</f>
        <v>0</v>
      </c>
      <c r="CM156" s="447">
        <f>SUMIF(FEB!$G$155:$J$155,CM$112,FEB!$AN19:$AQ19)</f>
        <v>0</v>
      </c>
      <c r="CN156" s="448">
        <f>SUMIF(FEB!$G$155:$J$155,CN$112,FEB!$AN19:$AQ19)</f>
        <v>0</v>
      </c>
      <c r="CO156" s="1100">
        <f>FEB!AS19</f>
        <v>0</v>
      </c>
      <c r="CP156" s="445">
        <f>FEB!AT19</f>
        <v>0</v>
      </c>
      <c r="CQ156" s="446">
        <f>FEB!AU19</f>
        <v>0</v>
      </c>
      <c r="CR156" s="447">
        <f>FEB!AV19</f>
        <v>0</v>
      </c>
      <c r="CS156" s="448">
        <f>FEB!AW19</f>
        <v>0</v>
      </c>
      <c r="CT156" s="1100">
        <f>FEB!AY19</f>
        <v>0</v>
      </c>
      <c r="CU156" s="2"/>
    </row>
    <row r="157" spans="1:99" ht="14.25" hidden="1" customHeight="1" x14ac:dyDescent="0.2">
      <c r="A157" s="2"/>
      <c r="B157" s="151">
        <f t="shared" si="214"/>
        <v>45335</v>
      </c>
      <c r="C157" s="223">
        <f>IF(AND(E157&gt;(E$492-1),E157&lt;(I$492+1)),W$485,IF(ISERROR(HLOOKUP(E157,$E$485:$L$485,1,FALSE)),HLOOKUP(WEEKDAY(E157,2),IMPOSTAZIONI!$C$51:$P$56,6,FALSE),$W$484))</f>
        <v>0</v>
      </c>
      <c r="D157" s="103" t="str">
        <f t="shared" si="215"/>
        <v/>
      </c>
      <c r="E157" s="2380">
        <f t="shared" si="227"/>
        <v>45335</v>
      </c>
      <c r="F157" s="2381"/>
      <c r="G157" s="2325">
        <f>FEB!E20</f>
        <v>0</v>
      </c>
      <c r="H157" s="2326"/>
      <c r="I157" s="2327"/>
      <c r="J157" s="479" t="str">
        <f t="shared" si="210"/>
        <v/>
      </c>
      <c r="K157" s="480"/>
      <c r="L157" s="2319">
        <f t="shared" si="228"/>
        <v>7</v>
      </c>
      <c r="M157" s="2320"/>
      <c r="N157" s="478"/>
      <c r="O157" s="478"/>
      <c r="P157" s="478"/>
      <c r="Q157" s="2315">
        <f t="shared" si="217"/>
        <v>45335</v>
      </c>
      <c r="R157" s="2315"/>
      <c r="S157" s="478"/>
      <c r="T157" s="140">
        <f t="shared" si="218"/>
        <v>0</v>
      </c>
      <c r="U157" s="478"/>
      <c r="V157" s="478"/>
      <c r="W157" s="478"/>
      <c r="X157" s="478"/>
      <c r="Y157" s="478"/>
      <c r="Z157" s="478"/>
      <c r="AA157" s="478"/>
      <c r="AB157" s="478"/>
      <c r="AC157" s="478"/>
      <c r="AD157" s="478"/>
      <c r="AE157" s="478"/>
      <c r="AF157" s="478"/>
      <c r="AG157" s="140">
        <f t="shared" si="219"/>
        <v>0</v>
      </c>
      <c r="AH157" s="92" t="str">
        <f t="shared" si="220"/>
        <v/>
      </c>
      <c r="AI157" s="131">
        <f t="shared" si="221"/>
        <v>0</v>
      </c>
      <c r="AJ157" s="2"/>
      <c r="AK157" s="92">
        <f>IF(G157=G$481,0,IF(OR(G157&lt;&gt;0,CJ157&lt;&gt;0,C157="L"),COUNTIF(AK$114:AK156,"&gt;0")+1,0))</f>
        <v>0</v>
      </c>
      <c r="AL157" s="92" t="str">
        <f t="shared" si="222"/>
        <v/>
      </c>
      <c r="AM157" s="92" t="str">
        <f t="shared" si="223"/>
        <v/>
      </c>
      <c r="AN157" s="131">
        <f t="shared" si="211"/>
        <v>0</v>
      </c>
      <c r="AO157" s="447">
        <f>SUM(FEB!W20:Z20)</f>
        <v>0</v>
      </c>
      <c r="AP157" s="445">
        <f>SUMIF(FEB!$G$155:$J$155,AP$112,FEB!$R20:$U20)</f>
        <v>0</v>
      </c>
      <c r="AQ157" s="446">
        <f>SUMIF(FEB!$G$155:$J$155,AQ$112,FEB!$R20:$U20)</f>
        <v>0</v>
      </c>
      <c r="AR157" s="447">
        <f>SUMIF(FEB!$G$155:$J$155,AR$112,FEB!$R20:$U20)</f>
        <v>0</v>
      </c>
      <c r="AS157" s="448">
        <f>SUMIF(FEB!$G$155:$J$155,AS$112,FEB!$R20:$U20)</f>
        <v>0</v>
      </c>
      <c r="AT157" s="449">
        <f>FEB!AG20</f>
        <v>0</v>
      </c>
      <c r="AU157" s="445">
        <f>FEB!AH20</f>
        <v>0</v>
      </c>
      <c r="AV157" s="446">
        <f>FEB!AI20</f>
        <v>0</v>
      </c>
      <c r="AW157" s="447">
        <f>FEB!AJ20</f>
        <v>0</v>
      </c>
      <c r="AX157" s="448">
        <f>FEB!AK20</f>
        <v>0</v>
      </c>
      <c r="AY157" s="445">
        <f>SUMIF(FEB!$G$152:$J$152,"&gt;0",FEB!$W20:$Z20)</f>
        <v>0</v>
      </c>
      <c r="AZ157" s="1063">
        <f>SUM(FEB!AB20:AE20)</f>
        <v>0</v>
      </c>
      <c r="BA157" s="445">
        <f>SUMIF(FEB!$G$159:$J$159,BA$111,FEB!$R20:$U20)+SUMIF(FEB!$G$159:$J$159,BA$111,FEB!$W20:$Z20)</f>
        <v>0</v>
      </c>
      <c r="BB157" s="446">
        <f>SUMIF(FEB!$G$159:$J$159,BB$111,FEB!$R20:$U20)+SUMIF(FEB!$G$159:$J$159,BB$111,FEB!$W20:$Z20)</f>
        <v>0</v>
      </c>
      <c r="BC157" s="446">
        <f>SUMIF(FEB!$G$159:$J$159,BC$111,FEB!$R20:$U20)+SUMIF(FEB!$G$159:$J$159,BC$111,FEB!$W20:$Z20)</f>
        <v>0</v>
      </c>
      <c r="BD157" s="446">
        <f>SUMIF(FEB!$G$159:$J$159,BD$111,FEB!$R20:$U20)+SUMIF(FEB!$G$159:$J$159,BD$111,FEB!$W20:$Z20)</f>
        <v>0</v>
      </c>
      <c r="BE157" s="446">
        <f>SUMIF(FEB!$G$159:$J$159,BE$111,FEB!$R20:$U20)+SUMIF(FEB!$G$159:$J$159,BE$111,FEB!$W20:$Z20)</f>
        <v>0</v>
      </c>
      <c r="BF157" s="446">
        <f>SUMIF(FEB!$G$159:$J$159,BF$111,FEB!$R20:$U20)+SUMIF(FEB!$G$159:$J$159,BF$111,FEB!$W20:$Z20)</f>
        <v>0</v>
      </c>
      <c r="BG157" s="448">
        <f>SUMIF(FEB!$G$159:$J$159,BG$111,FEB!$R20:$U20)+SUMIF(FEB!$G$159:$J$159,BG$111,FEB!$W20:$Z20)</f>
        <v>0</v>
      </c>
      <c r="BH157" s="571"/>
      <c r="BI157" s="448"/>
      <c r="BJ157" s="470"/>
      <c r="BK157" s="445">
        <f>SUMIF(FEB!$G$157:$J$157,BK$111,FEB!$R20:$U20)+SUMIF(FEB!$G$157:$J$157,BK$111,FEB!$W20:$Z20)</f>
        <v>0</v>
      </c>
      <c r="BL157" s="446">
        <f>SUMIF(FEB!$G$157:$J$157,BL$111,FEB!$R20:$U20)+SUMIF(FEB!$G$157:$J$157,BL$111,FEB!$W20:$Z20)</f>
        <v>0</v>
      </c>
      <c r="BM157" s="446">
        <f>SUMIF(FEB!$G$157:$J$157,BM$111,FEB!$R20:$U20)+SUMIF(FEB!$G$157:$J$157,BM$111,FEB!$W20:$Z20)</f>
        <v>0</v>
      </c>
      <c r="BN157" s="446">
        <f>SUMIF(FEB!$G$157:$J$157,BN$111,FEB!$R20:$U20)+SUMIF(FEB!$G$157:$J$157,BN$111,FEB!$W20:$Z20)</f>
        <v>0</v>
      </c>
      <c r="BO157" s="446">
        <f>SUMIF(FEB!$G$157:$J$157,BO$111,FEB!$R20:$U20)+SUMIF(FEB!$G$157:$J$157,BO$111,FEB!$W20:$Z20)</f>
        <v>0</v>
      </c>
      <c r="BP157" s="446">
        <f>SUMIF(FEB!$G$157:$J$157,BP$111,FEB!$R20:$U20)+SUMIF(FEB!$G$157:$J$157,BP$111,FEB!$W20:$Z20)</f>
        <v>0</v>
      </c>
      <c r="BQ157" s="448">
        <f>SUMIF(FEB!$G$157:$J$157,BQ$111,FEB!$R20:$U20)+SUMIF(FEB!$G$157:$J$157,BQ$111,FEB!$W20:$Z20)</f>
        <v>0</v>
      </c>
      <c r="BR157" s="571"/>
      <c r="BS157" s="446"/>
      <c r="BT157" s="448"/>
      <c r="BU157" s="470"/>
      <c r="BV157" s="445">
        <f>SUMIF(FEB!$G$158:$J$158,BV$111,FEB!$R20:$U20)+SUMIF(FEB!$G$158:$J$158,BV$111,FEB!$W20:$Z20)</f>
        <v>0</v>
      </c>
      <c r="BW157" s="446">
        <f>SUMIF(FEB!$G$158:$J$158,BW$111,FEB!$R20:$U20)+SUMIF(FEB!$G$158:$J$158,BW$111,FEB!$W20:$Z20)</f>
        <v>0</v>
      </c>
      <c r="BX157" s="446">
        <f>SUMIF(FEB!$G$158:$J$158,BX$111,FEB!$R20:$U20)+SUMIF(FEB!$G$158:$J$158,BX$111,FEB!$W20:$Z20)</f>
        <v>0</v>
      </c>
      <c r="BY157" s="446">
        <f>SUMIF(FEB!$G$158:$J$158,BY$111,FEB!$R20:$U20)+SUMIF(FEB!$G$158:$J$158,BY$111,FEB!$W20:$Z20)</f>
        <v>0</v>
      </c>
      <c r="BZ157" s="446">
        <f>SUMIF(FEB!$G$158:$J$158,BZ$111,FEB!$R20:$U20)+SUMIF(FEB!$G$158:$J$158,BZ$111,FEB!$W20:$Z20)</f>
        <v>0</v>
      </c>
      <c r="CA157" s="446">
        <f>SUMIF(FEB!$G$158:$J$158,CA$111,FEB!$R20:$U20)+SUMIF(FEB!$G$158:$J$158,CA$111,FEB!$W20:$Z20)</f>
        <v>0</v>
      </c>
      <c r="CB157" s="448">
        <f>SUMIF(FEB!$G$158:$J$158,CB$111,FEB!$R20:$U20)+SUMIF(FEB!$G$158:$J$158,CB$111,FEB!$W20:$Z20)</f>
        <v>0</v>
      </c>
      <c r="CC157" s="571"/>
      <c r="CD157" s="448"/>
      <c r="CE157" s="92">
        <f t="shared" si="224"/>
        <v>0</v>
      </c>
      <c r="CF157" s="92">
        <f t="shared" si="225"/>
        <v>0</v>
      </c>
      <c r="CG157" s="151" t="str">
        <f t="shared" si="229"/>
        <v/>
      </c>
      <c r="CH157" s="92">
        <f t="shared" si="213"/>
        <v>0</v>
      </c>
      <c r="CI157" s="92" t="str">
        <f t="shared" si="226"/>
        <v/>
      </c>
      <c r="CJ157" s="1100">
        <f>FEB!AM20</f>
        <v>0</v>
      </c>
      <c r="CK157" s="445">
        <f>SUMIF(FEB!$G$155:$J$155,CK$112,FEB!$AN20:$AQ20)</f>
        <v>0</v>
      </c>
      <c r="CL157" s="446">
        <f>SUMIF(FEB!$G$155:$J$155,CL$112,FEB!$AN20:$AQ20)</f>
        <v>0</v>
      </c>
      <c r="CM157" s="447">
        <f>SUMIF(FEB!$G$155:$J$155,CM$112,FEB!$AN20:$AQ20)</f>
        <v>0</v>
      </c>
      <c r="CN157" s="448">
        <f>SUMIF(FEB!$G$155:$J$155,CN$112,FEB!$AN20:$AQ20)</f>
        <v>0</v>
      </c>
      <c r="CO157" s="1100">
        <f>FEB!AS20</f>
        <v>0</v>
      </c>
      <c r="CP157" s="445">
        <f>FEB!AT20</f>
        <v>0</v>
      </c>
      <c r="CQ157" s="446">
        <f>FEB!AU20</f>
        <v>0</v>
      </c>
      <c r="CR157" s="447">
        <f>FEB!AV20</f>
        <v>0</v>
      </c>
      <c r="CS157" s="448">
        <f>FEB!AW20</f>
        <v>0</v>
      </c>
      <c r="CT157" s="1100">
        <f>FEB!AY20</f>
        <v>0</v>
      </c>
      <c r="CU157" s="2"/>
    </row>
    <row r="158" spans="1:99" ht="14.25" hidden="1" customHeight="1" x14ac:dyDescent="0.2">
      <c r="A158" s="2"/>
      <c r="B158" s="151">
        <f t="shared" si="214"/>
        <v>45336</v>
      </c>
      <c r="C158" s="223">
        <f>IF(AND(E158&gt;(E$492-1),E158&lt;(I$492+1)),W$485,IF(ISERROR(HLOOKUP(E158,$E$485:$L$485,1,FALSE)),HLOOKUP(WEEKDAY(E158,2),IMPOSTAZIONI!$C$51:$P$56,6,FALSE),$W$484))</f>
        <v>0</v>
      </c>
      <c r="D158" s="103" t="str">
        <f t="shared" si="215"/>
        <v/>
      </c>
      <c r="E158" s="2380">
        <f t="shared" si="227"/>
        <v>45336</v>
      </c>
      <c r="F158" s="2381"/>
      <c r="G158" s="2325">
        <f>FEB!E21</f>
        <v>0</v>
      </c>
      <c r="H158" s="2326"/>
      <c r="I158" s="2327"/>
      <c r="J158" s="479" t="str">
        <f t="shared" si="210"/>
        <v/>
      </c>
      <c r="K158" s="480"/>
      <c r="L158" s="2319">
        <f t="shared" si="228"/>
        <v>7</v>
      </c>
      <c r="M158" s="2320"/>
      <c r="N158" s="478"/>
      <c r="O158" s="478"/>
      <c r="P158" s="478"/>
      <c r="Q158" s="2315">
        <f t="shared" si="217"/>
        <v>45336</v>
      </c>
      <c r="R158" s="2315"/>
      <c r="S158" s="478"/>
      <c r="T158" s="140">
        <f t="shared" si="218"/>
        <v>0</v>
      </c>
      <c r="U158" s="478"/>
      <c r="V158" s="478"/>
      <c r="W158" s="478"/>
      <c r="X158" s="478"/>
      <c r="Y158" s="478"/>
      <c r="Z158" s="478"/>
      <c r="AA158" s="478"/>
      <c r="AB158" s="478"/>
      <c r="AC158" s="478"/>
      <c r="AD158" s="478"/>
      <c r="AE158" s="478"/>
      <c r="AF158" s="478"/>
      <c r="AG158" s="140">
        <f t="shared" si="219"/>
        <v>0</v>
      </c>
      <c r="AH158" s="92" t="str">
        <f t="shared" si="220"/>
        <v/>
      </c>
      <c r="AI158" s="131">
        <f t="shared" si="221"/>
        <v>0</v>
      </c>
      <c r="AJ158" s="2"/>
      <c r="AK158" s="92">
        <f>IF(G158=G$481,0,IF(OR(G158&lt;&gt;0,CJ158&lt;&gt;0,C158="L"),COUNTIF(AK$114:AK157,"&gt;0")+1,0))</f>
        <v>0</v>
      </c>
      <c r="AL158" s="92" t="str">
        <f t="shared" si="222"/>
        <v/>
      </c>
      <c r="AM158" s="92" t="str">
        <f t="shared" si="223"/>
        <v/>
      </c>
      <c r="AN158" s="131">
        <f t="shared" si="211"/>
        <v>0</v>
      </c>
      <c r="AO158" s="447">
        <f>SUM(FEB!W21:Z21)</f>
        <v>0</v>
      </c>
      <c r="AP158" s="445">
        <f>SUMIF(FEB!$G$155:$J$155,AP$112,FEB!$R21:$U21)</f>
        <v>0</v>
      </c>
      <c r="AQ158" s="446">
        <f>SUMIF(FEB!$G$155:$J$155,AQ$112,FEB!$R21:$U21)</f>
        <v>0</v>
      </c>
      <c r="AR158" s="447">
        <f>SUMIF(FEB!$G$155:$J$155,AR$112,FEB!$R21:$U21)</f>
        <v>0</v>
      </c>
      <c r="AS158" s="448">
        <f>SUMIF(FEB!$G$155:$J$155,AS$112,FEB!$R21:$U21)</f>
        <v>0</v>
      </c>
      <c r="AT158" s="449">
        <f>FEB!AG21</f>
        <v>0</v>
      </c>
      <c r="AU158" s="445">
        <f>FEB!AH21</f>
        <v>0</v>
      </c>
      <c r="AV158" s="446">
        <f>FEB!AI21</f>
        <v>0</v>
      </c>
      <c r="AW158" s="447">
        <f>FEB!AJ21</f>
        <v>0</v>
      </c>
      <c r="AX158" s="448">
        <f>FEB!AK21</f>
        <v>0</v>
      </c>
      <c r="AY158" s="445">
        <f>SUMIF(FEB!$G$152:$J$152,"&gt;0",FEB!$W21:$Z21)</f>
        <v>0</v>
      </c>
      <c r="AZ158" s="1063">
        <f>SUM(FEB!AB21:AE21)</f>
        <v>0</v>
      </c>
      <c r="BA158" s="445">
        <f>SUMIF(FEB!$G$159:$J$159,BA$111,FEB!$R21:$U21)+SUMIF(FEB!$G$159:$J$159,BA$111,FEB!$W21:$Z21)</f>
        <v>0</v>
      </c>
      <c r="BB158" s="446">
        <f>SUMIF(FEB!$G$159:$J$159,BB$111,FEB!$R21:$U21)+SUMIF(FEB!$G$159:$J$159,BB$111,FEB!$W21:$Z21)</f>
        <v>0</v>
      </c>
      <c r="BC158" s="446">
        <f>SUMIF(FEB!$G$159:$J$159,BC$111,FEB!$R21:$U21)+SUMIF(FEB!$G$159:$J$159,BC$111,FEB!$W21:$Z21)</f>
        <v>0</v>
      </c>
      <c r="BD158" s="446">
        <f>SUMIF(FEB!$G$159:$J$159,BD$111,FEB!$R21:$U21)+SUMIF(FEB!$G$159:$J$159,BD$111,FEB!$W21:$Z21)</f>
        <v>0</v>
      </c>
      <c r="BE158" s="446">
        <f>SUMIF(FEB!$G$159:$J$159,BE$111,FEB!$R21:$U21)+SUMIF(FEB!$G$159:$J$159,BE$111,FEB!$W21:$Z21)</f>
        <v>0</v>
      </c>
      <c r="BF158" s="446">
        <f>SUMIF(FEB!$G$159:$J$159,BF$111,FEB!$R21:$U21)+SUMIF(FEB!$G$159:$J$159,BF$111,FEB!$W21:$Z21)</f>
        <v>0</v>
      </c>
      <c r="BG158" s="448">
        <f>SUMIF(FEB!$G$159:$J$159,BG$111,FEB!$R21:$U21)+SUMIF(FEB!$G$159:$J$159,BG$111,FEB!$W21:$Z21)</f>
        <v>0</v>
      </c>
      <c r="BH158" s="571"/>
      <c r="BI158" s="448"/>
      <c r="BJ158" s="470"/>
      <c r="BK158" s="445">
        <f>SUMIF(FEB!$G$157:$J$157,BK$111,FEB!$R21:$U21)+SUMIF(FEB!$G$157:$J$157,BK$111,FEB!$W21:$Z21)</f>
        <v>0</v>
      </c>
      <c r="BL158" s="446">
        <f>SUMIF(FEB!$G$157:$J$157,BL$111,FEB!$R21:$U21)+SUMIF(FEB!$G$157:$J$157,BL$111,FEB!$W21:$Z21)</f>
        <v>0</v>
      </c>
      <c r="BM158" s="446">
        <f>SUMIF(FEB!$G$157:$J$157,BM$111,FEB!$R21:$U21)+SUMIF(FEB!$G$157:$J$157,BM$111,FEB!$W21:$Z21)</f>
        <v>0</v>
      </c>
      <c r="BN158" s="446">
        <f>SUMIF(FEB!$G$157:$J$157,BN$111,FEB!$R21:$U21)+SUMIF(FEB!$G$157:$J$157,BN$111,FEB!$W21:$Z21)</f>
        <v>0</v>
      </c>
      <c r="BO158" s="446">
        <f>SUMIF(FEB!$G$157:$J$157,BO$111,FEB!$R21:$U21)+SUMIF(FEB!$G$157:$J$157,BO$111,FEB!$W21:$Z21)</f>
        <v>0</v>
      </c>
      <c r="BP158" s="446">
        <f>SUMIF(FEB!$G$157:$J$157,BP$111,FEB!$R21:$U21)+SUMIF(FEB!$G$157:$J$157,BP$111,FEB!$W21:$Z21)</f>
        <v>0</v>
      </c>
      <c r="BQ158" s="448">
        <f>SUMIF(FEB!$G$157:$J$157,BQ$111,FEB!$R21:$U21)+SUMIF(FEB!$G$157:$J$157,BQ$111,FEB!$W21:$Z21)</f>
        <v>0</v>
      </c>
      <c r="BR158" s="571"/>
      <c r="BS158" s="446"/>
      <c r="BT158" s="448"/>
      <c r="BU158" s="470"/>
      <c r="BV158" s="445">
        <f>SUMIF(FEB!$G$158:$J$158,BV$111,FEB!$R21:$U21)+SUMIF(FEB!$G$158:$J$158,BV$111,FEB!$W21:$Z21)</f>
        <v>0</v>
      </c>
      <c r="BW158" s="446">
        <f>SUMIF(FEB!$G$158:$J$158,BW$111,FEB!$R21:$U21)+SUMIF(FEB!$G$158:$J$158,BW$111,FEB!$W21:$Z21)</f>
        <v>0</v>
      </c>
      <c r="BX158" s="446">
        <f>SUMIF(FEB!$G$158:$J$158,BX$111,FEB!$R21:$U21)+SUMIF(FEB!$G$158:$J$158,BX$111,FEB!$W21:$Z21)</f>
        <v>0</v>
      </c>
      <c r="BY158" s="446">
        <f>SUMIF(FEB!$G$158:$J$158,BY$111,FEB!$R21:$U21)+SUMIF(FEB!$G$158:$J$158,BY$111,FEB!$W21:$Z21)</f>
        <v>0</v>
      </c>
      <c r="BZ158" s="446">
        <f>SUMIF(FEB!$G$158:$J$158,BZ$111,FEB!$R21:$U21)+SUMIF(FEB!$G$158:$J$158,BZ$111,FEB!$W21:$Z21)</f>
        <v>0</v>
      </c>
      <c r="CA158" s="446">
        <f>SUMIF(FEB!$G$158:$J$158,CA$111,FEB!$R21:$U21)+SUMIF(FEB!$G$158:$J$158,CA$111,FEB!$W21:$Z21)</f>
        <v>0</v>
      </c>
      <c r="CB158" s="448">
        <f>SUMIF(FEB!$G$158:$J$158,CB$111,FEB!$R21:$U21)+SUMIF(FEB!$G$158:$J$158,CB$111,FEB!$W21:$Z21)</f>
        <v>0</v>
      </c>
      <c r="CC158" s="571"/>
      <c r="CD158" s="448"/>
      <c r="CE158" s="92">
        <f t="shared" si="224"/>
        <v>0</v>
      </c>
      <c r="CF158" s="92">
        <f t="shared" si="225"/>
        <v>0</v>
      </c>
      <c r="CG158" s="151" t="str">
        <f t="shared" si="229"/>
        <v/>
      </c>
      <c r="CH158" s="92">
        <f t="shared" si="213"/>
        <v>0</v>
      </c>
      <c r="CI158" s="92" t="str">
        <f t="shared" si="226"/>
        <v/>
      </c>
      <c r="CJ158" s="1100">
        <f>FEB!AM21</f>
        <v>0</v>
      </c>
      <c r="CK158" s="445">
        <f>SUMIF(FEB!$G$155:$J$155,CK$112,FEB!$AN21:$AQ21)</f>
        <v>0</v>
      </c>
      <c r="CL158" s="446">
        <f>SUMIF(FEB!$G$155:$J$155,CL$112,FEB!$AN21:$AQ21)</f>
        <v>0</v>
      </c>
      <c r="CM158" s="447">
        <f>SUMIF(FEB!$G$155:$J$155,CM$112,FEB!$AN21:$AQ21)</f>
        <v>0</v>
      </c>
      <c r="CN158" s="448">
        <f>SUMIF(FEB!$G$155:$J$155,CN$112,FEB!$AN21:$AQ21)</f>
        <v>0</v>
      </c>
      <c r="CO158" s="1100">
        <f>FEB!AS21</f>
        <v>0</v>
      </c>
      <c r="CP158" s="445">
        <f>FEB!AT21</f>
        <v>0</v>
      </c>
      <c r="CQ158" s="446">
        <f>FEB!AU21</f>
        <v>0</v>
      </c>
      <c r="CR158" s="447">
        <f>FEB!AV21</f>
        <v>0</v>
      </c>
      <c r="CS158" s="448">
        <f>FEB!AW21</f>
        <v>0</v>
      </c>
      <c r="CT158" s="1100">
        <f>FEB!AY21</f>
        <v>0</v>
      </c>
      <c r="CU158" s="2"/>
    </row>
    <row r="159" spans="1:99" ht="14.25" hidden="1" customHeight="1" x14ac:dyDescent="0.2">
      <c r="A159" s="2"/>
      <c r="B159" s="151">
        <f t="shared" si="214"/>
        <v>45337</v>
      </c>
      <c r="C159" s="223">
        <f>IF(AND(E159&gt;(E$492-1),E159&lt;(I$492+1)),W$485,IF(ISERROR(HLOOKUP(E159,$E$485:$L$485,1,FALSE)),HLOOKUP(WEEKDAY(E159,2),IMPOSTAZIONI!$C$51:$P$56,6,FALSE),$W$484))</f>
        <v>0</v>
      </c>
      <c r="D159" s="103" t="str">
        <f t="shared" si="215"/>
        <v/>
      </c>
      <c r="E159" s="2380">
        <f t="shared" si="227"/>
        <v>45337</v>
      </c>
      <c r="F159" s="2381"/>
      <c r="G159" s="2325">
        <f>FEB!E22</f>
        <v>0</v>
      </c>
      <c r="H159" s="2326"/>
      <c r="I159" s="2327"/>
      <c r="J159" s="479" t="str">
        <f t="shared" si="210"/>
        <v/>
      </c>
      <c r="K159" s="480"/>
      <c r="L159" s="2319">
        <f t="shared" si="228"/>
        <v>7</v>
      </c>
      <c r="M159" s="2320"/>
      <c r="N159" s="478"/>
      <c r="O159" s="478"/>
      <c r="P159" s="478"/>
      <c r="Q159" s="2315">
        <f t="shared" si="217"/>
        <v>45337</v>
      </c>
      <c r="R159" s="2315"/>
      <c r="S159" s="478"/>
      <c r="T159" s="140">
        <f t="shared" si="218"/>
        <v>0</v>
      </c>
      <c r="U159" s="478"/>
      <c r="V159" s="478"/>
      <c r="W159" s="478"/>
      <c r="X159" s="478"/>
      <c r="Y159" s="478"/>
      <c r="Z159" s="478"/>
      <c r="AA159" s="478"/>
      <c r="AB159" s="478"/>
      <c r="AC159" s="478"/>
      <c r="AD159" s="478"/>
      <c r="AE159" s="478"/>
      <c r="AF159" s="478"/>
      <c r="AG159" s="140">
        <f t="shared" si="219"/>
        <v>0</v>
      </c>
      <c r="AH159" s="92" t="str">
        <f t="shared" si="220"/>
        <v/>
      </c>
      <c r="AI159" s="131">
        <f t="shared" si="221"/>
        <v>0</v>
      </c>
      <c r="AJ159" s="2"/>
      <c r="AK159" s="92">
        <f>IF(G159=G$481,0,IF(OR(G159&lt;&gt;0,CJ159&lt;&gt;0,C159="L"),COUNTIF(AK$114:AK158,"&gt;0")+1,0))</f>
        <v>0</v>
      </c>
      <c r="AL159" s="92" t="str">
        <f t="shared" si="222"/>
        <v/>
      </c>
      <c r="AM159" s="92" t="str">
        <f t="shared" si="223"/>
        <v/>
      </c>
      <c r="AN159" s="131">
        <f t="shared" si="211"/>
        <v>0</v>
      </c>
      <c r="AO159" s="447">
        <f>SUM(FEB!W22:Z22)</f>
        <v>0</v>
      </c>
      <c r="AP159" s="445">
        <f>SUMIF(FEB!$G$155:$J$155,AP$112,FEB!$R22:$U22)</f>
        <v>0</v>
      </c>
      <c r="AQ159" s="446">
        <f>SUMIF(FEB!$G$155:$J$155,AQ$112,FEB!$R22:$U22)</f>
        <v>0</v>
      </c>
      <c r="AR159" s="447">
        <f>SUMIF(FEB!$G$155:$J$155,AR$112,FEB!$R22:$U22)</f>
        <v>0</v>
      </c>
      <c r="AS159" s="448">
        <f>SUMIF(FEB!$G$155:$J$155,AS$112,FEB!$R22:$U22)</f>
        <v>0</v>
      </c>
      <c r="AT159" s="449">
        <f>FEB!AG22</f>
        <v>0</v>
      </c>
      <c r="AU159" s="445">
        <f>FEB!AH22</f>
        <v>0</v>
      </c>
      <c r="AV159" s="446">
        <f>FEB!AI22</f>
        <v>0</v>
      </c>
      <c r="AW159" s="447">
        <f>FEB!AJ22</f>
        <v>0</v>
      </c>
      <c r="AX159" s="448">
        <f>FEB!AK22</f>
        <v>0</v>
      </c>
      <c r="AY159" s="445">
        <f>SUMIF(FEB!$G$152:$J$152,"&gt;0",FEB!$W22:$Z22)</f>
        <v>0</v>
      </c>
      <c r="AZ159" s="1063">
        <f>SUM(FEB!AB22:AE22)</f>
        <v>0</v>
      </c>
      <c r="BA159" s="445">
        <f>SUMIF(FEB!$G$159:$J$159,BA$111,FEB!$R22:$U22)+SUMIF(FEB!$G$159:$J$159,BA$111,FEB!$W22:$Z22)</f>
        <v>0</v>
      </c>
      <c r="BB159" s="446">
        <f>SUMIF(FEB!$G$159:$J$159,BB$111,FEB!$R22:$U22)+SUMIF(FEB!$G$159:$J$159,BB$111,FEB!$W22:$Z22)</f>
        <v>0</v>
      </c>
      <c r="BC159" s="446">
        <f>SUMIF(FEB!$G$159:$J$159,BC$111,FEB!$R22:$U22)+SUMIF(FEB!$G$159:$J$159,BC$111,FEB!$W22:$Z22)</f>
        <v>0</v>
      </c>
      <c r="BD159" s="446">
        <f>SUMIF(FEB!$G$159:$J$159,BD$111,FEB!$R22:$U22)+SUMIF(FEB!$G$159:$J$159,BD$111,FEB!$W22:$Z22)</f>
        <v>0</v>
      </c>
      <c r="BE159" s="446">
        <f>SUMIF(FEB!$G$159:$J$159,BE$111,FEB!$R22:$U22)+SUMIF(FEB!$G$159:$J$159,BE$111,FEB!$W22:$Z22)</f>
        <v>0</v>
      </c>
      <c r="BF159" s="446">
        <f>SUMIF(FEB!$G$159:$J$159,BF$111,FEB!$R22:$U22)+SUMIF(FEB!$G$159:$J$159,BF$111,FEB!$W22:$Z22)</f>
        <v>0</v>
      </c>
      <c r="BG159" s="448">
        <f>SUMIF(FEB!$G$159:$J$159,BG$111,FEB!$R22:$U22)+SUMIF(FEB!$G$159:$J$159,BG$111,FEB!$W22:$Z22)</f>
        <v>0</v>
      </c>
      <c r="BH159" s="571"/>
      <c r="BI159" s="448"/>
      <c r="BJ159" s="470"/>
      <c r="BK159" s="445">
        <f>SUMIF(FEB!$G$157:$J$157,BK$111,FEB!$R22:$U22)+SUMIF(FEB!$G$157:$J$157,BK$111,FEB!$W22:$Z22)</f>
        <v>0</v>
      </c>
      <c r="BL159" s="446">
        <f>SUMIF(FEB!$G$157:$J$157,BL$111,FEB!$R22:$U22)+SUMIF(FEB!$G$157:$J$157,BL$111,FEB!$W22:$Z22)</f>
        <v>0</v>
      </c>
      <c r="BM159" s="446">
        <f>SUMIF(FEB!$G$157:$J$157,BM$111,FEB!$R22:$U22)+SUMIF(FEB!$G$157:$J$157,BM$111,FEB!$W22:$Z22)</f>
        <v>0</v>
      </c>
      <c r="BN159" s="446">
        <f>SUMIF(FEB!$G$157:$J$157,BN$111,FEB!$R22:$U22)+SUMIF(FEB!$G$157:$J$157,BN$111,FEB!$W22:$Z22)</f>
        <v>0</v>
      </c>
      <c r="BO159" s="446">
        <f>SUMIF(FEB!$G$157:$J$157,BO$111,FEB!$R22:$U22)+SUMIF(FEB!$G$157:$J$157,BO$111,FEB!$W22:$Z22)</f>
        <v>0</v>
      </c>
      <c r="BP159" s="446">
        <f>SUMIF(FEB!$G$157:$J$157,BP$111,FEB!$R22:$U22)+SUMIF(FEB!$G$157:$J$157,BP$111,FEB!$W22:$Z22)</f>
        <v>0</v>
      </c>
      <c r="BQ159" s="448">
        <f>SUMIF(FEB!$G$157:$J$157,BQ$111,FEB!$R22:$U22)+SUMIF(FEB!$G$157:$J$157,BQ$111,FEB!$W22:$Z22)</f>
        <v>0</v>
      </c>
      <c r="BR159" s="571"/>
      <c r="BS159" s="446"/>
      <c r="BT159" s="448"/>
      <c r="BU159" s="470"/>
      <c r="BV159" s="445">
        <f>SUMIF(FEB!$G$158:$J$158,BV$111,FEB!$R22:$U22)+SUMIF(FEB!$G$158:$J$158,BV$111,FEB!$W22:$Z22)</f>
        <v>0</v>
      </c>
      <c r="BW159" s="446">
        <f>SUMIF(FEB!$G$158:$J$158,BW$111,FEB!$R22:$U22)+SUMIF(FEB!$G$158:$J$158,BW$111,FEB!$W22:$Z22)</f>
        <v>0</v>
      </c>
      <c r="BX159" s="446">
        <f>SUMIF(FEB!$G$158:$J$158,BX$111,FEB!$R22:$U22)+SUMIF(FEB!$G$158:$J$158,BX$111,FEB!$W22:$Z22)</f>
        <v>0</v>
      </c>
      <c r="BY159" s="446">
        <f>SUMIF(FEB!$G$158:$J$158,BY$111,FEB!$R22:$U22)+SUMIF(FEB!$G$158:$J$158,BY$111,FEB!$W22:$Z22)</f>
        <v>0</v>
      </c>
      <c r="BZ159" s="446">
        <f>SUMIF(FEB!$G$158:$J$158,BZ$111,FEB!$R22:$U22)+SUMIF(FEB!$G$158:$J$158,BZ$111,FEB!$W22:$Z22)</f>
        <v>0</v>
      </c>
      <c r="CA159" s="446">
        <f>SUMIF(FEB!$G$158:$J$158,CA$111,FEB!$R22:$U22)+SUMIF(FEB!$G$158:$J$158,CA$111,FEB!$W22:$Z22)</f>
        <v>0</v>
      </c>
      <c r="CB159" s="448">
        <f>SUMIF(FEB!$G$158:$J$158,CB$111,FEB!$R22:$U22)+SUMIF(FEB!$G$158:$J$158,CB$111,FEB!$W22:$Z22)</f>
        <v>0</v>
      </c>
      <c r="CC159" s="571"/>
      <c r="CD159" s="448"/>
      <c r="CE159" s="92">
        <f t="shared" si="224"/>
        <v>0</v>
      </c>
      <c r="CF159" s="92">
        <f t="shared" si="225"/>
        <v>0</v>
      </c>
      <c r="CG159" s="151" t="str">
        <f t="shared" si="229"/>
        <v/>
      </c>
      <c r="CH159" s="92">
        <f t="shared" si="213"/>
        <v>0</v>
      </c>
      <c r="CI159" s="92" t="str">
        <f t="shared" si="226"/>
        <v/>
      </c>
      <c r="CJ159" s="1100">
        <f>FEB!AM22</f>
        <v>0</v>
      </c>
      <c r="CK159" s="445">
        <f>SUMIF(FEB!$G$155:$J$155,CK$112,FEB!$AN22:$AQ22)</f>
        <v>0</v>
      </c>
      <c r="CL159" s="446">
        <f>SUMIF(FEB!$G$155:$J$155,CL$112,FEB!$AN22:$AQ22)</f>
        <v>0</v>
      </c>
      <c r="CM159" s="447">
        <f>SUMIF(FEB!$G$155:$J$155,CM$112,FEB!$AN22:$AQ22)</f>
        <v>0</v>
      </c>
      <c r="CN159" s="448">
        <f>SUMIF(FEB!$G$155:$J$155,CN$112,FEB!$AN22:$AQ22)</f>
        <v>0</v>
      </c>
      <c r="CO159" s="1100">
        <f>FEB!AS22</f>
        <v>0</v>
      </c>
      <c r="CP159" s="445">
        <f>FEB!AT22</f>
        <v>0</v>
      </c>
      <c r="CQ159" s="446">
        <f>FEB!AU22</f>
        <v>0</v>
      </c>
      <c r="CR159" s="447">
        <f>FEB!AV22</f>
        <v>0</v>
      </c>
      <c r="CS159" s="448">
        <f>FEB!AW22</f>
        <v>0</v>
      </c>
      <c r="CT159" s="1100">
        <f>FEB!AY22</f>
        <v>0</v>
      </c>
      <c r="CU159" s="2"/>
    </row>
    <row r="160" spans="1:99" ht="14.25" hidden="1" customHeight="1" x14ac:dyDescent="0.2">
      <c r="A160" s="2"/>
      <c r="B160" s="151">
        <f t="shared" si="214"/>
        <v>45338</v>
      </c>
      <c r="C160" s="223">
        <f>IF(AND(E160&gt;(E$492-1),E160&lt;(I$492+1)),W$485,IF(ISERROR(HLOOKUP(E160,$E$485:$L$485,1,FALSE)),HLOOKUP(WEEKDAY(E160,2),IMPOSTAZIONI!$C$51:$P$56,6,FALSE),$W$484))</f>
        <v>0</v>
      </c>
      <c r="D160" s="103" t="str">
        <f t="shared" si="215"/>
        <v/>
      </c>
      <c r="E160" s="2380">
        <f t="shared" si="227"/>
        <v>45338</v>
      </c>
      <c r="F160" s="2381"/>
      <c r="G160" s="2325">
        <f>FEB!E23</f>
        <v>0</v>
      </c>
      <c r="H160" s="2326"/>
      <c r="I160" s="2327"/>
      <c r="J160" s="479" t="str">
        <f t="shared" si="210"/>
        <v/>
      </c>
      <c r="K160" s="480"/>
      <c r="L160" s="2319">
        <f t="shared" si="228"/>
        <v>7</v>
      </c>
      <c r="M160" s="2320"/>
      <c r="N160" s="478"/>
      <c r="O160" s="478"/>
      <c r="P160" s="478"/>
      <c r="Q160" s="2315">
        <f t="shared" si="217"/>
        <v>45338</v>
      </c>
      <c r="R160" s="2315"/>
      <c r="S160" s="478"/>
      <c r="T160" s="140">
        <f t="shared" si="218"/>
        <v>0</v>
      </c>
      <c r="U160" s="478"/>
      <c r="V160" s="478"/>
      <c r="W160" s="478"/>
      <c r="X160" s="478"/>
      <c r="Y160" s="478"/>
      <c r="Z160" s="478"/>
      <c r="AA160" s="478"/>
      <c r="AB160" s="478"/>
      <c r="AC160" s="478"/>
      <c r="AD160" s="478"/>
      <c r="AE160" s="478"/>
      <c r="AF160" s="478"/>
      <c r="AG160" s="140">
        <f t="shared" si="219"/>
        <v>0</v>
      </c>
      <c r="AH160" s="92" t="str">
        <f t="shared" si="220"/>
        <v/>
      </c>
      <c r="AI160" s="131">
        <f t="shared" si="221"/>
        <v>0</v>
      </c>
      <c r="AJ160" s="2"/>
      <c r="AK160" s="92">
        <f>IF(G160=G$481,0,IF(OR(G160&lt;&gt;0,CJ160&lt;&gt;0,C160="L"),COUNTIF(AK$114:AK159,"&gt;0")+1,0))</f>
        <v>0</v>
      </c>
      <c r="AL160" s="92" t="str">
        <f t="shared" si="222"/>
        <v/>
      </c>
      <c r="AM160" s="92" t="str">
        <f t="shared" si="223"/>
        <v/>
      </c>
      <c r="AN160" s="131">
        <f t="shared" si="211"/>
        <v>0</v>
      </c>
      <c r="AO160" s="447">
        <f>SUM(FEB!W23:Z23)</f>
        <v>0</v>
      </c>
      <c r="AP160" s="445">
        <f>SUMIF(FEB!$G$155:$J$155,AP$112,FEB!$R23:$U23)</f>
        <v>0</v>
      </c>
      <c r="AQ160" s="446">
        <f>SUMIF(FEB!$G$155:$J$155,AQ$112,FEB!$R23:$U23)</f>
        <v>0</v>
      </c>
      <c r="AR160" s="447">
        <f>SUMIF(FEB!$G$155:$J$155,AR$112,FEB!$R23:$U23)</f>
        <v>0</v>
      </c>
      <c r="AS160" s="448">
        <f>SUMIF(FEB!$G$155:$J$155,AS$112,FEB!$R23:$U23)</f>
        <v>0</v>
      </c>
      <c r="AT160" s="449">
        <f>FEB!AG23</f>
        <v>0</v>
      </c>
      <c r="AU160" s="445">
        <f>FEB!AH23</f>
        <v>0</v>
      </c>
      <c r="AV160" s="446">
        <f>FEB!AI23</f>
        <v>0</v>
      </c>
      <c r="AW160" s="447">
        <f>FEB!AJ23</f>
        <v>0</v>
      </c>
      <c r="AX160" s="448">
        <f>FEB!AK23</f>
        <v>0</v>
      </c>
      <c r="AY160" s="445">
        <f>SUMIF(FEB!$G$152:$J$152,"&gt;0",FEB!$W23:$Z23)</f>
        <v>0</v>
      </c>
      <c r="AZ160" s="1063">
        <f>SUM(FEB!AB23:AE23)</f>
        <v>0</v>
      </c>
      <c r="BA160" s="445">
        <f>SUMIF(FEB!$G$159:$J$159,BA$111,FEB!$R23:$U23)+SUMIF(FEB!$G$159:$J$159,BA$111,FEB!$W23:$Z23)</f>
        <v>0</v>
      </c>
      <c r="BB160" s="446">
        <f>SUMIF(FEB!$G$159:$J$159,BB$111,FEB!$R23:$U23)+SUMIF(FEB!$G$159:$J$159,BB$111,FEB!$W23:$Z23)</f>
        <v>0</v>
      </c>
      <c r="BC160" s="446">
        <f>SUMIF(FEB!$G$159:$J$159,BC$111,FEB!$R23:$U23)+SUMIF(FEB!$G$159:$J$159,BC$111,FEB!$W23:$Z23)</f>
        <v>0</v>
      </c>
      <c r="BD160" s="446">
        <f>SUMIF(FEB!$G$159:$J$159,BD$111,FEB!$R23:$U23)+SUMIF(FEB!$G$159:$J$159,BD$111,FEB!$W23:$Z23)</f>
        <v>0</v>
      </c>
      <c r="BE160" s="446">
        <f>SUMIF(FEB!$G$159:$J$159,BE$111,FEB!$R23:$U23)+SUMIF(FEB!$G$159:$J$159,BE$111,FEB!$W23:$Z23)</f>
        <v>0</v>
      </c>
      <c r="BF160" s="446">
        <f>SUMIF(FEB!$G$159:$J$159,BF$111,FEB!$R23:$U23)+SUMIF(FEB!$G$159:$J$159,BF$111,FEB!$W23:$Z23)</f>
        <v>0</v>
      </c>
      <c r="BG160" s="448">
        <f>SUMIF(FEB!$G$159:$J$159,BG$111,FEB!$R23:$U23)+SUMIF(FEB!$G$159:$J$159,BG$111,FEB!$W23:$Z23)</f>
        <v>0</v>
      </c>
      <c r="BH160" s="571"/>
      <c r="BI160" s="448"/>
      <c r="BJ160" s="470"/>
      <c r="BK160" s="445">
        <f>SUMIF(FEB!$G$157:$J$157,BK$111,FEB!$R23:$U23)+SUMIF(FEB!$G$157:$J$157,BK$111,FEB!$W23:$Z23)</f>
        <v>0</v>
      </c>
      <c r="BL160" s="446">
        <f>SUMIF(FEB!$G$157:$J$157,BL$111,FEB!$R23:$U23)+SUMIF(FEB!$G$157:$J$157,BL$111,FEB!$W23:$Z23)</f>
        <v>0</v>
      </c>
      <c r="BM160" s="446">
        <f>SUMIF(FEB!$G$157:$J$157,BM$111,FEB!$R23:$U23)+SUMIF(FEB!$G$157:$J$157,BM$111,FEB!$W23:$Z23)</f>
        <v>0</v>
      </c>
      <c r="BN160" s="446">
        <f>SUMIF(FEB!$G$157:$J$157,BN$111,FEB!$R23:$U23)+SUMIF(FEB!$G$157:$J$157,BN$111,FEB!$W23:$Z23)</f>
        <v>0</v>
      </c>
      <c r="BO160" s="446">
        <f>SUMIF(FEB!$G$157:$J$157,BO$111,FEB!$R23:$U23)+SUMIF(FEB!$G$157:$J$157,BO$111,FEB!$W23:$Z23)</f>
        <v>0</v>
      </c>
      <c r="BP160" s="446">
        <f>SUMIF(FEB!$G$157:$J$157,BP$111,FEB!$R23:$U23)+SUMIF(FEB!$G$157:$J$157,BP$111,FEB!$W23:$Z23)</f>
        <v>0</v>
      </c>
      <c r="BQ160" s="448">
        <f>SUMIF(FEB!$G$157:$J$157,BQ$111,FEB!$R23:$U23)+SUMIF(FEB!$G$157:$J$157,BQ$111,FEB!$W23:$Z23)</f>
        <v>0</v>
      </c>
      <c r="BR160" s="571"/>
      <c r="BS160" s="446"/>
      <c r="BT160" s="448"/>
      <c r="BU160" s="470"/>
      <c r="BV160" s="445">
        <f>SUMIF(FEB!$G$158:$J$158,BV$111,FEB!$R23:$U23)+SUMIF(FEB!$G$158:$J$158,BV$111,FEB!$W23:$Z23)</f>
        <v>0</v>
      </c>
      <c r="BW160" s="446">
        <f>SUMIF(FEB!$G$158:$J$158,BW$111,FEB!$R23:$U23)+SUMIF(FEB!$G$158:$J$158,BW$111,FEB!$W23:$Z23)</f>
        <v>0</v>
      </c>
      <c r="BX160" s="446">
        <f>SUMIF(FEB!$G$158:$J$158,BX$111,FEB!$R23:$U23)+SUMIF(FEB!$G$158:$J$158,BX$111,FEB!$W23:$Z23)</f>
        <v>0</v>
      </c>
      <c r="BY160" s="446">
        <f>SUMIF(FEB!$G$158:$J$158,BY$111,FEB!$R23:$U23)+SUMIF(FEB!$G$158:$J$158,BY$111,FEB!$W23:$Z23)</f>
        <v>0</v>
      </c>
      <c r="BZ160" s="446">
        <f>SUMIF(FEB!$G$158:$J$158,BZ$111,FEB!$R23:$U23)+SUMIF(FEB!$G$158:$J$158,BZ$111,FEB!$W23:$Z23)</f>
        <v>0</v>
      </c>
      <c r="CA160" s="446">
        <f>SUMIF(FEB!$G$158:$J$158,CA$111,FEB!$R23:$U23)+SUMIF(FEB!$G$158:$J$158,CA$111,FEB!$W23:$Z23)</f>
        <v>0</v>
      </c>
      <c r="CB160" s="448">
        <f>SUMIF(FEB!$G$158:$J$158,CB$111,FEB!$R23:$U23)+SUMIF(FEB!$G$158:$J$158,CB$111,FEB!$W23:$Z23)</f>
        <v>0</v>
      </c>
      <c r="CC160" s="571"/>
      <c r="CD160" s="448"/>
      <c r="CE160" s="92">
        <f t="shared" si="224"/>
        <v>0</v>
      </c>
      <c r="CF160" s="92">
        <f t="shared" si="225"/>
        <v>0</v>
      </c>
      <c r="CG160" s="151" t="str">
        <f t="shared" si="229"/>
        <v/>
      </c>
      <c r="CH160" s="92">
        <f t="shared" si="213"/>
        <v>0</v>
      </c>
      <c r="CI160" s="92" t="str">
        <f t="shared" si="226"/>
        <v/>
      </c>
      <c r="CJ160" s="1100">
        <f>FEB!AM23</f>
        <v>0</v>
      </c>
      <c r="CK160" s="445">
        <f>SUMIF(FEB!$G$155:$J$155,CK$112,FEB!$AN23:$AQ23)</f>
        <v>0</v>
      </c>
      <c r="CL160" s="446">
        <f>SUMIF(FEB!$G$155:$J$155,CL$112,FEB!$AN23:$AQ23)</f>
        <v>0</v>
      </c>
      <c r="CM160" s="447">
        <f>SUMIF(FEB!$G$155:$J$155,CM$112,FEB!$AN23:$AQ23)</f>
        <v>0</v>
      </c>
      <c r="CN160" s="448">
        <f>SUMIF(FEB!$G$155:$J$155,CN$112,FEB!$AN23:$AQ23)</f>
        <v>0</v>
      </c>
      <c r="CO160" s="1100">
        <f>FEB!AS23</f>
        <v>0</v>
      </c>
      <c r="CP160" s="445">
        <f>FEB!AT23</f>
        <v>0</v>
      </c>
      <c r="CQ160" s="446">
        <f>FEB!AU23</f>
        <v>0</v>
      </c>
      <c r="CR160" s="447">
        <f>FEB!AV23</f>
        <v>0</v>
      </c>
      <c r="CS160" s="448">
        <f>FEB!AW23</f>
        <v>0</v>
      </c>
      <c r="CT160" s="1100">
        <f>FEB!AY23</f>
        <v>0</v>
      </c>
      <c r="CU160" s="2"/>
    </row>
    <row r="161" spans="1:99" ht="14.25" hidden="1" customHeight="1" x14ac:dyDescent="0.2">
      <c r="A161" s="2"/>
      <c r="B161" s="151">
        <f t="shared" si="214"/>
        <v>45339</v>
      </c>
      <c r="C161" s="223">
        <f>IF(AND(E161&gt;(E$492-1),E161&lt;(I$492+1)),W$485,IF(ISERROR(HLOOKUP(E161,$E$485:$L$485,1,FALSE)),HLOOKUP(WEEKDAY(E161,2),IMPOSTAZIONI!$C$51:$P$56,6,FALSE),$W$484))</f>
        <v>0</v>
      </c>
      <c r="D161" s="103" t="str">
        <f t="shared" si="215"/>
        <v/>
      </c>
      <c r="E161" s="2380">
        <f t="shared" si="227"/>
        <v>45339</v>
      </c>
      <c r="F161" s="2381"/>
      <c r="G161" s="2325">
        <f>FEB!E24</f>
        <v>0</v>
      </c>
      <c r="H161" s="2326"/>
      <c r="I161" s="2327"/>
      <c r="J161" s="479" t="str">
        <f t="shared" si="210"/>
        <v/>
      </c>
      <c r="K161" s="480"/>
      <c r="L161" s="2319">
        <f t="shared" si="228"/>
        <v>7</v>
      </c>
      <c r="M161" s="2320"/>
      <c r="N161" s="478"/>
      <c r="O161" s="478"/>
      <c r="P161" s="478"/>
      <c r="Q161" s="2315">
        <f t="shared" si="217"/>
        <v>45339</v>
      </c>
      <c r="R161" s="2315"/>
      <c r="S161" s="478"/>
      <c r="T161" s="140">
        <f t="shared" si="218"/>
        <v>0</v>
      </c>
      <c r="U161" s="478"/>
      <c r="V161" s="478"/>
      <c r="W161" s="478"/>
      <c r="X161" s="478"/>
      <c r="Y161" s="478"/>
      <c r="Z161" s="478"/>
      <c r="AA161" s="478"/>
      <c r="AB161" s="478"/>
      <c r="AC161" s="478"/>
      <c r="AD161" s="478"/>
      <c r="AE161" s="478"/>
      <c r="AF161" s="478"/>
      <c r="AG161" s="140">
        <f t="shared" si="219"/>
        <v>0</v>
      </c>
      <c r="AH161" s="92" t="str">
        <f t="shared" si="220"/>
        <v/>
      </c>
      <c r="AI161" s="131">
        <f t="shared" si="221"/>
        <v>0</v>
      </c>
      <c r="AJ161" s="2"/>
      <c r="AK161" s="92">
        <f>IF(G161=G$481,0,IF(OR(G161&lt;&gt;0,CJ161&lt;&gt;0,C161="L"),COUNTIF(AK$114:AK160,"&gt;0")+1,0))</f>
        <v>0</v>
      </c>
      <c r="AL161" s="92" t="str">
        <f t="shared" si="222"/>
        <v/>
      </c>
      <c r="AM161" s="92" t="str">
        <f t="shared" si="223"/>
        <v/>
      </c>
      <c r="AN161" s="131">
        <f t="shared" si="211"/>
        <v>0</v>
      </c>
      <c r="AO161" s="447">
        <f>SUM(FEB!W24:Z24)</f>
        <v>0</v>
      </c>
      <c r="AP161" s="445">
        <f>SUMIF(FEB!$G$155:$J$155,AP$112,FEB!$R24:$U24)</f>
        <v>0</v>
      </c>
      <c r="AQ161" s="446">
        <f>SUMIF(FEB!$G$155:$J$155,AQ$112,FEB!$R24:$U24)</f>
        <v>0</v>
      </c>
      <c r="AR161" s="447">
        <f>SUMIF(FEB!$G$155:$J$155,AR$112,FEB!$R24:$U24)</f>
        <v>0</v>
      </c>
      <c r="AS161" s="448">
        <f>SUMIF(FEB!$G$155:$J$155,AS$112,FEB!$R24:$U24)</f>
        <v>0</v>
      </c>
      <c r="AT161" s="449">
        <f>FEB!AG24</f>
        <v>0</v>
      </c>
      <c r="AU161" s="445">
        <f>FEB!AH24</f>
        <v>0</v>
      </c>
      <c r="AV161" s="446">
        <f>FEB!AI24</f>
        <v>0</v>
      </c>
      <c r="AW161" s="447">
        <f>FEB!AJ24</f>
        <v>0</v>
      </c>
      <c r="AX161" s="448">
        <f>FEB!AK24</f>
        <v>0</v>
      </c>
      <c r="AY161" s="445">
        <f>SUMIF(FEB!$G$152:$J$152,"&gt;0",FEB!$W24:$Z24)</f>
        <v>0</v>
      </c>
      <c r="AZ161" s="1063">
        <f>SUM(FEB!AB24:AE24)</f>
        <v>0</v>
      </c>
      <c r="BA161" s="445">
        <f>SUMIF(FEB!$G$159:$J$159,BA$111,FEB!$R24:$U24)+SUMIF(FEB!$G$159:$J$159,BA$111,FEB!$W24:$Z24)</f>
        <v>0</v>
      </c>
      <c r="BB161" s="446">
        <f>SUMIF(FEB!$G$159:$J$159,BB$111,FEB!$R24:$U24)+SUMIF(FEB!$G$159:$J$159,BB$111,FEB!$W24:$Z24)</f>
        <v>0</v>
      </c>
      <c r="BC161" s="446">
        <f>SUMIF(FEB!$G$159:$J$159,BC$111,FEB!$R24:$U24)+SUMIF(FEB!$G$159:$J$159,BC$111,FEB!$W24:$Z24)</f>
        <v>0</v>
      </c>
      <c r="BD161" s="446">
        <f>SUMIF(FEB!$G$159:$J$159,BD$111,FEB!$R24:$U24)+SUMIF(FEB!$G$159:$J$159,BD$111,FEB!$W24:$Z24)</f>
        <v>0</v>
      </c>
      <c r="BE161" s="446">
        <f>SUMIF(FEB!$G$159:$J$159,BE$111,FEB!$R24:$U24)+SUMIF(FEB!$G$159:$J$159,BE$111,FEB!$W24:$Z24)</f>
        <v>0</v>
      </c>
      <c r="BF161" s="446">
        <f>SUMIF(FEB!$G$159:$J$159,BF$111,FEB!$R24:$U24)+SUMIF(FEB!$G$159:$J$159,BF$111,FEB!$W24:$Z24)</f>
        <v>0</v>
      </c>
      <c r="BG161" s="448">
        <f>SUMIF(FEB!$G$159:$J$159,BG$111,FEB!$R24:$U24)+SUMIF(FEB!$G$159:$J$159,BG$111,FEB!$W24:$Z24)</f>
        <v>0</v>
      </c>
      <c r="BH161" s="571"/>
      <c r="BI161" s="448"/>
      <c r="BJ161" s="470"/>
      <c r="BK161" s="445">
        <f>SUMIF(FEB!$G$157:$J$157,BK$111,FEB!$R24:$U24)+SUMIF(FEB!$G$157:$J$157,BK$111,FEB!$W24:$Z24)</f>
        <v>0</v>
      </c>
      <c r="BL161" s="446">
        <f>SUMIF(FEB!$G$157:$J$157,BL$111,FEB!$R24:$U24)+SUMIF(FEB!$G$157:$J$157,BL$111,FEB!$W24:$Z24)</f>
        <v>0</v>
      </c>
      <c r="BM161" s="446">
        <f>SUMIF(FEB!$G$157:$J$157,BM$111,FEB!$R24:$U24)+SUMIF(FEB!$G$157:$J$157,BM$111,FEB!$W24:$Z24)</f>
        <v>0</v>
      </c>
      <c r="BN161" s="446">
        <f>SUMIF(FEB!$G$157:$J$157,BN$111,FEB!$R24:$U24)+SUMIF(FEB!$G$157:$J$157,BN$111,FEB!$W24:$Z24)</f>
        <v>0</v>
      </c>
      <c r="BO161" s="446">
        <f>SUMIF(FEB!$G$157:$J$157,BO$111,FEB!$R24:$U24)+SUMIF(FEB!$G$157:$J$157,BO$111,FEB!$W24:$Z24)</f>
        <v>0</v>
      </c>
      <c r="BP161" s="446">
        <f>SUMIF(FEB!$G$157:$J$157,BP$111,FEB!$R24:$U24)+SUMIF(FEB!$G$157:$J$157,BP$111,FEB!$W24:$Z24)</f>
        <v>0</v>
      </c>
      <c r="BQ161" s="448">
        <f>SUMIF(FEB!$G$157:$J$157,BQ$111,FEB!$R24:$U24)+SUMIF(FEB!$G$157:$J$157,BQ$111,FEB!$W24:$Z24)</f>
        <v>0</v>
      </c>
      <c r="BR161" s="571"/>
      <c r="BS161" s="446"/>
      <c r="BT161" s="448"/>
      <c r="BU161" s="470"/>
      <c r="BV161" s="445">
        <f>SUMIF(FEB!$G$158:$J$158,BV$111,FEB!$R24:$U24)+SUMIF(FEB!$G$158:$J$158,BV$111,FEB!$W24:$Z24)</f>
        <v>0</v>
      </c>
      <c r="BW161" s="446">
        <f>SUMIF(FEB!$G$158:$J$158,BW$111,FEB!$R24:$U24)+SUMIF(FEB!$G$158:$J$158,BW$111,FEB!$W24:$Z24)</f>
        <v>0</v>
      </c>
      <c r="BX161" s="446">
        <f>SUMIF(FEB!$G$158:$J$158,BX$111,FEB!$R24:$U24)+SUMIF(FEB!$G$158:$J$158,BX$111,FEB!$W24:$Z24)</f>
        <v>0</v>
      </c>
      <c r="BY161" s="446">
        <f>SUMIF(FEB!$G$158:$J$158,BY$111,FEB!$R24:$U24)+SUMIF(FEB!$G$158:$J$158,BY$111,FEB!$W24:$Z24)</f>
        <v>0</v>
      </c>
      <c r="BZ161" s="446">
        <f>SUMIF(FEB!$G$158:$J$158,BZ$111,FEB!$R24:$U24)+SUMIF(FEB!$G$158:$J$158,BZ$111,FEB!$W24:$Z24)</f>
        <v>0</v>
      </c>
      <c r="CA161" s="446">
        <f>SUMIF(FEB!$G$158:$J$158,CA$111,FEB!$R24:$U24)+SUMIF(FEB!$G$158:$J$158,CA$111,FEB!$W24:$Z24)</f>
        <v>0</v>
      </c>
      <c r="CB161" s="448">
        <f>SUMIF(FEB!$G$158:$J$158,CB$111,FEB!$R24:$U24)+SUMIF(FEB!$G$158:$J$158,CB$111,FEB!$W24:$Z24)</f>
        <v>0</v>
      </c>
      <c r="CC161" s="571"/>
      <c r="CD161" s="448"/>
      <c r="CE161" s="92">
        <f t="shared" si="224"/>
        <v>0</v>
      </c>
      <c r="CF161" s="92">
        <f t="shared" si="225"/>
        <v>0</v>
      </c>
      <c r="CG161" s="151" t="str">
        <f t="shared" si="229"/>
        <v/>
      </c>
      <c r="CH161" s="92">
        <f t="shared" si="213"/>
        <v>0</v>
      </c>
      <c r="CI161" s="92" t="str">
        <f t="shared" si="226"/>
        <v/>
      </c>
      <c r="CJ161" s="1100">
        <f>FEB!AM24</f>
        <v>0</v>
      </c>
      <c r="CK161" s="445">
        <f>SUMIF(FEB!$G$155:$J$155,CK$112,FEB!$AN24:$AQ24)</f>
        <v>0</v>
      </c>
      <c r="CL161" s="446">
        <f>SUMIF(FEB!$G$155:$J$155,CL$112,FEB!$AN24:$AQ24)</f>
        <v>0</v>
      </c>
      <c r="CM161" s="447">
        <f>SUMIF(FEB!$G$155:$J$155,CM$112,FEB!$AN24:$AQ24)</f>
        <v>0</v>
      </c>
      <c r="CN161" s="448">
        <f>SUMIF(FEB!$G$155:$J$155,CN$112,FEB!$AN24:$AQ24)</f>
        <v>0</v>
      </c>
      <c r="CO161" s="1100">
        <f>FEB!AS24</f>
        <v>0</v>
      </c>
      <c r="CP161" s="445">
        <f>FEB!AT24</f>
        <v>0</v>
      </c>
      <c r="CQ161" s="446">
        <f>FEB!AU24</f>
        <v>0</v>
      </c>
      <c r="CR161" s="447">
        <f>FEB!AV24</f>
        <v>0</v>
      </c>
      <c r="CS161" s="448">
        <f>FEB!AW24</f>
        <v>0</v>
      </c>
      <c r="CT161" s="1100">
        <f>FEB!AY24</f>
        <v>0</v>
      </c>
      <c r="CU161" s="2"/>
    </row>
    <row r="162" spans="1:99" ht="14.25" hidden="1" customHeight="1" x14ac:dyDescent="0.2">
      <c r="A162" s="2"/>
      <c r="B162" s="151">
        <f t="shared" si="214"/>
        <v>45340</v>
      </c>
      <c r="C162" s="223">
        <f>IF(AND(E162&gt;(E$492-1),E162&lt;(I$492+1)),W$485,IF(ISERROR(HLOOKUP(E162,$E$485:$L$485,1,FALSE)),HLOOKUP(WEEKDAY(E162,2),IMPOSTAZIONI!$C$51:$P$56,6,FALSE),$W$484))</f>
        <v>0</v>
      </c>
      <c r="D162" s="103" t="str">
        <f t="shared" si="215"/>
        <v/>
      </c>
      <c r="E162" s="2380">
        <f t="shared" si="227"/>
        <v>45340</v>
      </c>
      <c r="F162" s="2381"/>
      <c r="G162" s="2325">
        <f>FEB!E25</f>
        <v>0</v>
      </c>
      <c r="H162" s="2326"/>
      <c r="I162" s="2327"/>
      <c r="J162" s="479" t="str">
        <f t="shared" si="210"/>
        <v/>
      </c>
      <c r="K162" s="480"/>
      <c r="L162" s="2321">
        <f t="shared" si="228"/>
        <v>7</v>
      </c>
      <c r="M162" s="2322"/>
      <c r="N162" s="478"/>
      <c r="O162" s="478"/>
      <c r="P162" s="478"/>
      <c r="Q162" s="2315">
        <f t="shared" si="217"/>
        <v>45340</v>
      </c>
      <c r="R162" s="2315"/>
      <c r="S162" s="478"/>
      <c r="T162" s="140">
        <f t="shared" si="218"/>
        <v>0</v>
      </c>
      <c r="U162" s="478"/>
      <c r="V162" s="478"/>
      <c r="W162" s="478"/>
      <c r="X162" s="478"/>
      <c r="Y162" s="478"/>
      <c r="Z162" s="478"/>
      <c r="AA162" s="478"/>
      <c r="AB162" s="478"/>
      <c r="AC162" s="478"/>
      <c r="AD162" s="478"/>
      <c r="AE162" s="478"/>
      <c r="AF162" s="478"/>
      <c r="AG162" s="140">
        <f t="shared" si="219"/>
        <v>0</v>
      </c>
      <c r="AH162" s="92" t="str">
        <f t="shared" si="220"/>
        <v/>
      </c>
      <c r="AI162" s="131">
        <f t="shared" si="221"/>
        <v>0</v>
      </c>
      <c r="AJ162" s="2"/>
      <c r="AK162" s="92">
        <f>IF(G162=G$481,0,IF(OR(G162&lt;&gt;0,CJ162&lt;&gt;0,C162="L"),COUNTIF(AK$114:AK161,"&gt;0")+1,0))</f>
        <v>0</v>
      </c>
      <c r="AL162" s="92" t="str">
        <f t="shared" si="222"/>
        <v/>
      </c>
      <c r="AM162" s="92" t="str">
        <f t="shared" si="223"/>
        <v/>
      </c>
      <c r="AN162" s="131">
        <f t="shared" si="211"/>
        <v>0</v>
      </c>
      <c r="AO162" s="447">
        <f>SUM(FEB!W25:Z25)</f>
        <v>0</v>
      </c>
      <c r="AP162" s="445">
        <f>SUMIF(FEB!$G$155:$J$155,AP$112,FEB!$R25:$U25)</f>
        <v>0</v>
      </c>
      <c r="AQ162" s="446">
        <f>SUMIF(FEB!$G$155:$J$155,AQ$112,FEB!$R25:$U25)</f>
        <v>0</v>
      </c>
      <c r="AR162" s="447">
        <f>SUMIF(FEB!$G$155:$J$155,AR$112,FEB!$R25:$U25)</f>
        <v>0</v>
      </c>
      <c r="AS162" s="448">
        <f>SUMIF(FEB!$G$155:$J$155,AS$112,FEB!$R25:$U25)</f>
        <v>0</v>
      </c>
      <c r="AT162" s="449">
        <f>FEB!AG25</f>
        <v>0</v>
      </c>
      <c r="AU162" s="445">
        <f>FEB!AH25</f>
        <v>0</v>
      </c>
      <c r="AV162" s="446">
        <f>FEB!AI25</f>
        <v>0</v>
      </c>
      <c r="AW162" s="447">
        <f>FEB!AJ25</f>
        <v>0</v>
      </c>
      <c r="AX162" s="448">
        <f>FEB!AK25</f>
        <v>0</v>
      </c>
      <c r="AY162" s="445">
        <f>SUMIF(FEB!$G$152:$J$152,"&gt;0",FEB!$W25:$Z25)</f>
        <v>0</v>
      </c>
      <c r="AZ162" s="1063">
        <f>SUM(FEB!AB25:AE25)</f>
        <v>0</v>
      </c>
      <c r="BA162" s="445">
        <f>SUMIF(FEB!$G$159:$J$159,BA$111,FEB!$R25:$U25)+SUMIF(FEB!$G$159:$J$159,BA$111,FEB!$W25:$Z25)</f>
        <v>0</v>
      </c>
      <c r="BB162" s="446">
        <f>SUMIF(FEB!$G$159:$J$159,BB$111,FEB!$R25:$U25)+SUMIF(FEB!$G$159:$J$159,BB$111,FEB!$W25:$Z25)</f>
        <v>0</v>
      </c>
      <c r="BC162" s="446">
        <f>SUMIF(FEB!$G$159:$J$159,BC$111,FEB!$R25:$U25)+SUMIF(FEB!$G$159:$J$159,BC$111,FEB!$W25:$Z25)</f>
        <v>0</v>
      </c>
      <c r="BD162" s="446">
        <f>SUMIF(FEB!$G$159:$J$159,BD$111,FEB!$R25:$U25)+SUMIF(FEB!$G$159:$J$159,BD$111,FEB!$W25:$Z25)</f>
        <v>0</v>
      </c>
      <c r="BE162" s="446">
        <f>SUMIF(FEB!$G$159:$J$159,BE$111,FEB!$R25:$U25)+SUMIF(FEB!$G$159:$J$159,BE$111,FEB!$W25:$Z25)</f>
        <v>0</v>
      </c>
      <c r="BF162" s="446">
        <f>SUMIF(FEB!$G$159:$J$159,BF$111,FEB!$R25:$U25)+SUMIF(FEB!$G$159:$J$159,BF$111,FEB!$W25:$Z25)</f>
        <v>0</v>
      </c>
      <c r="BG162" s="448">
        <f>SUMIF(FEB!$G$159:$J$159,BG$111,FEB!$R25:$U25)+SUMIF(FEB!$G$159:$J$159,BG$111,FEB!$W25:$Z25)</f>
        <v>0</v>
      </c>
      <c r="BH162" s="571"/>
      <c r="BI162" s="448"/>
      <c r="BJ162" s="470"/>
      <c r="BK162" s="445">
        <f>SUMIF(FEB!$G$157:$J$157,BK$111,FEB!$R25:$U25)+SUMIF(FEB!$G$157:$J$157,BK$111,FEB!$W25:$Z25)</f>
        <v>0</v>
      </c>
      <c r="BL162" s="446">
        <f>SUMIF(FEB!$G$157:$J$157,BL$111,FEB!$R25:$U25)+SUMIF(FEB!$G$157:$J$157,BL$111,FEB!$W25:$Z25)</f>
        <v>0</v>
      </c>
      <c r="BM162" s="446">
        <f>SUMIF(FEB!$G$157:$J$157,BM$111,FEB!$R25:$U25)+SUMIF(FEB!$G$157:$J$157,BM$111,FEB!$W25:$Z25)</f>
        <v>0</v>
      </c>
      <c r="BN162" s="446">
        <f>SUMIF(FEB!$G$157:$J$157,BN$111,FEB!$R25:$U25)+SUMIF(FEB!$G$157:$J$157,BN$111,FEB!$W25:$Z25)</f>
        <v>0</v>
      </c>
      <c r="BO162" s="446">
        <f>SUMIF(FEB!$G$157:$J$157,BO$111,FEB!$R25:$U25)+SUMIF(FEB!$G$157:$J$157,BO$111,FEB!$W25:$Z25)</f>
        <v>0</v>
      </c>
      <c r="BP162" s="446">
        <f>SUMIF(FEB!$G$157:$J$157,BP$111,FEB!$R25:$U25)+SUMIF(FEB!$G$157:$J$157,BP$111,FEB!$W25:$Z25)</f>
        <v>0</v>
      </c>
      <c r="BQ162" s="448">
        <f>SUMIF(FEB!$G$157:$J$157,BQ$111,FEB!$R25:$U25)+SUMIF(FEB!$G$157:$J$157,BQ$111,FEB!$W25:$Z25)</f>
        <v>0</v>
      </c>
      <c r="BR162" s="571"/>
      <c r="BS162" s="446"/>
      <c r="BT162" s="448"/>
      <c r="BU162" s="470"/>
      <c r="BV162" s="445">
        <f>SUMIF(FEB!$G$158:$J$158,BV$111,FEB!$R25:$U25)+SUMIF(FEB!$G$158:$J$158,BV$111,FEB!$W25:$Z25)</f>
        <v>0</v>
      </c>
      <c r="BW162" s="446">
        <f>SUMIF(FEB!$G$158:$J$158,BW$111,FEB!$R25:$U25)+SUMIF(FEB!$G$158:$J$158,BW$111,FEB!$W25:$Z25)</f>
        <v>0</v>
      </c>
      <c r="BX162" s="446">
        <f>SUMIF(FEB!$G$158:$J$158,BX$111,FEB!$R25:$U25)+SUMIF(FEB!$G$158:$J$158,BX$111,FEB!$W25:$Z25)</f>
        <v>0</v>
      </c>
      <c r="BY162" s="446">
        <f>SUMIF(FEB!$G$158:$J$158,BY$111,FEB!$R25:$U25)+SUMIF(FEB!$G$158:$J$158,BY$111,FEB!$W25:$Z25)</f>
        <v>0</v>
      </c>
      <c r="BZ162" s="446">
        <f>SUMIF(FEB!$G$158:$J$158,BZ$111,FEB!$R25:$U25)+SUMIF(FEB!$G$158:$J$158,BZ$111,FEB!$W25:$Z25)</f>
        <v>0</v>
      </c>
      <c r="CA162" s="446">
        <f>SUMIF(FEB!$G$158:$J$158,CA$111,FEB!$R25:$U25)+SUMIF(FEB!$G$158:$J$158,CA$111,FEB!$W25:$Z25)</f>
        <v>0</v>
      </c>
      <c r="CB162" s="448">
        <f>SUMIF(FEB!$G$158:$J$158,CB$111,FEB!$R25:$U25)+SUMIF(FEB!$G$158:$J$158,CB$111,FEB!$W25:$Z25)</f>
        <v>0</v>
      </c>
      <c r="CC162" s="571"/>
      <c r="CD162" s="448"/>
      <c r="CE162" s="92">
        <f t="shared" si="224"/>
        <v>0</v>
      </c>
      <c r="CF162" s="92">
        <f t="shared" si="225"/>
        <v>0</v>
      </c>
      <c r="CG162" s="151" t="str">
        <f t="shared" si="229"/>
        <v/>
      </c>
      <c r="CH162" s="92">
        <f t="shared" si="213"/>
        <v>0</v>
      </c>
      <c r="CI162" s="92" t="str">
        <f t="shared" si="226"/>
        <v/>
      </c>
      <c r="CJ162" s="1100">
        <f>FEB!AM25</f>
        <v>0</v>
      </c>
      <c r="CK162" s="445">
        <f>SUMIF(FEB!$G$155:$J$155,CK$112,FEB!$AN25:$AQ25)</f>
        <v>0</v>
      </c>
      <c r="CL162" s="446">
        <f>SUMIF(FEB!$G$155:$J$155,CL$112,FEB!$AN25:$AQ25)</f>
        <v>0</v>
      </c>
      <c r="CM162" s="447">
        <f>SUMIF(FEB!$G$155:$J$155,CM$112,FEB!$AN25:$AQ25)</f>
        <v>0</v>
      </c>
      <c r="CN162" s="448">
        <f>SUMIF(FEB!$G$155:$J$155,CN$112,FEB!$AN25:$AQ25)</f>
        <v>0</v>
      </c>
      <c r="CO162" s="1100">
        <f>FEB!AS25</f>
        <v>0</v>
      </c>
      <c r="CP162" s="445">
        <f>FEB!AT25</f>
        <v>0</v>
      </c>
      <c r="CQ162" s="446">
        <f>FEB!AU25</f>
        <v>0</v>
      </c>
      <c r="CR162" s="447">
        <f>FEB!AV25</f>
        <v>0</v>
      </c>
      <c r="CS162" s="448">
        <f>FEB!AW25</f>
        <v>0</v>
      </c>
      <c r="CT162" s="1100">
        <f>FEB!AY25</f>
        <v>0</v>
      </c>
      <c r="CU162" s="2"/>
    </row>
    <row r="163" spans="1:99" ht="14.25" hidden="1" customHeight="1" x14ac:dyDescent="0.2">
      <c r="A163" s="2"/>
      <c r="B163" s="151">
        <f t="shared" si="214"/>
        <v>45341</v>
      </c>
      <c r="C163" s="223">
        <f>IF(AND(E163&gt;(E$492-1),E163&lt;(I$492+1)),W$485,IF(ISERROR(HLOOKUP(E163,$E$485:$L$485,1,FALSE)),HLOOKUP(WEEKDAY(E163,2),IMPOSTAZIONI!$C$51:$P$56,6,FALSE),$W$484))</f>
        <v>0</v>
      </c>
      <c r="D163" s="103" t="str">
        <f t="shared" si="215"/>
        <v/>
      </c>
      <c r="E163" s="2380">
        <f t="shared" si="227"/>
        <v>45341</v>
      </c>
      <c r="F163" s="2381"/>
      <c r="G163" s="2325">
        <f>FEB!E26</f>
        <v>0</v>
      </c>
      <c r="H163" s="2326"/>
      <c r="I163" s="2327"/>
      <c r="J163" s="479" t="str">
        <f t="shared" si="210"/>
        <v/>
      </c>
      <c r="K163" s="480"/>
      <c r="L163" s="2323">
        <f t="shared" si="228"/>
        <v>8</v>
      </c>
      <c r="M163" s="2324"/>
      <c r="N163" s="478"/>
      <c r="O163" s="478"/>
      <c r="P163" s="478"/>
      <c r="Q163" s="2315">
        <f t="shared" si="217"/>
        <v>45341</v>
      </c>
      <c r="R163" s="2315"/>
      <c r="S163" s="478"/>
      <c r="T163" s="140">
        <f t="shared" si="218"/>
        <v>0</v>
      </c>
      <c r="U163" s="478"/>
      <c r="V163" s="478"/>
      <c r="W163" s="478"/>
      <c r="X163" s="478"/>
      <c r="Y163" s="478"/>
      <c r="Z163" s="478"/>
      <c r="AA163" s="478"/>
      <c r="AB163" s="478"/>
      <c r="AC163" s="478"/>
      <c r="AD163" s="478"/>
      <c r="AE163" s="478"/>
      <c r="AF163" s="478"/>
      <c r="AG163" s="140">
        <f t="shared" si="219"/>
        <v>0</v>
      </c>
      <c r="AH163" s="92" t="str">
        <f t="shared" si="220"/>
        <v/>
      </c>
      <c r="AI163" s="131">
        <f t="shared" si="221"/>
        <v>0</v>
      </c>
      <c r="AJ163" s="2"/>
      <c r="AK163" s="92">
        <f>IF(G163=G$481,0,IF(OR(G163&lt;&gt;0,CJ163&lt;&gt;0,C163="L"),COUNTIF(AK$114:AK162,"&gt;0")+1,0))</f>
        <v>0</v>
      </c>
      <c r="AL163" s="92" t="str">
        <f t="shared" si="222"/>
        <v/>
      </c>
      <c r="AM163" s="92" t="str">
        <f t="shared" si="223"/>
        <v/>
      </c>
      <c r="AN163" s="131">
        <f t="shared" si="211"/>
        <v>0</v>
      </c>
      <c r="AO163" s="447">
        <f>SUM(FEB!W26:Z26)</f>
        <v>0</v>
      </c>
      <c r="AP163" s="445">
        <f>SUMIF(FEB!$G$155:$J$155,AP$112,FEB!$R26:$U26)</f>
        <v>0</v>
      </c>
      <c r="AQ163" s="446">
        <f>SUMIF(FEB!$G$155:$J$155,AQ$112,FEB!$R26:$U26)</f>
        <v>0</v>
      </c>
      <c r="AR163" s="447">
        <f>SUMIF(FEB!$G$155:$J$155,AR$112,FEB!$R26:$U26)</f>
        <v>0</v>
      </c>
      <c r="AS163" s="448">
        <f>SUMIF(FEB!$G$155:$J$155,AS$112,FEB!$R26:$U26)</f>
        <v>0</v>
      </c>
      <c r="AT163" s="449">
        <f>FEB!AG26</f>
        <v>0</v>
      </c>
      <c r="AU163" s="445">
        <f>FEB!AH26</f>
        <v>0</v>
      </c>
      <c r="AV163" s="446">
        <f>FEB!AI26</f>
        <v>0</v>
      </c>
      <c r="AW163" s="447">
        <f>FEB!AJ26</f>
        <v>0</v>
      </c>
      <c r="AX163" s="448">
        <f>FEB!AK26</f>
        <v>0</v>
      </c>
      <c r="AY163" s="445">
        <f>SUMIF(FEB!$G$152:$J$152,"&gt;0",FEB!$W26:$Z26)</f>
        <v>0</v>
      </c>
      <c r="AZ163" s="1063">
        <f>SUM(FEB!AB26:AE26)</f>
        <v>0</v>
      </c>
      <c r="BA163" s="445">
        <f>SUMIF(FEB!$G$159:$J$159,BA$111,FEB!$R26:$U26)+SUMIF(FEB!$G$159:$J$159,BA$111,FEB!$W26:$Z26)</f>
        <v>0</v>
      </c>
      <c r="BB163" s="446">
        <f>SUMIF(FEB!$G$159:$J$159,BB$111,FEB!$R26:$U26)+SUMIF(FEB!$G$159:$J$159,BB$111,FEB!$W26:$Z26)</f>
        <v>0</v>
      </c>
      <c r="BC163" s="446">
        <f>SUMIF(FEB!$G$159:$J$159,BC$111,FEB!$R26:$U26)+SUMIF(FEB!$G$159:$J$159,BC$111,FEB!$W26:$Z26)</f>
        <v>0</v>
      </c>
      <c r="BD163" s="446">
        <f>SUMIF(FEB!$G$159:$J$159,BD$111,FEB!$R26:$U26)+SUMIF(FEB!$G$159:$J$159,BD$111,FEB!$W26:$Z26)</f>
        <v>0</v>
      </c>
      <c r="BE163" s="446">
        <f>SUMIF(FEB!$G$159:$J$159,BE$111,FEB!$R26:$U26)+SUMIF(FEB!$G$159:$J$159,BE$111,FEB!$W26:$Z26)</f>
        <v>0</v>
      </c>
      <c r="BF163" s="446">
        <f>SUMIF(FEB!$G$159:$J$159,BF$111,FEB!$R26:$U26)+SUMIF(FEB!$G$159:$J$159,BF$111,FEB!$W26:$Z26)</f>
        <v>0</v>
      </c>
      <c r="BG163" s="448">
        <f>SUMIF(FEB!$G$159:$J$159,BG$111,FEB!$R26:$U26)+SUMIF(FEB!$G$159:$J$159,BG$111,FEB!$W26:$Z26)</f>
        <v>0</v>
      </c>
      <c r="BH163" s="571"/>
      <c r="BI163" s="448"/>
      <c r="BJ163" s="470"/>
      <c r="BK163" s="445">
        <f>SUMIF(FEB!$G$157:$J$157,BK$111,FEB!$R26:$U26)+SUMIF(FEB!$G$157:$J$157,BK$111,FEB!$W26:$Z26)</f>
        <v>0</v>
      </c>
      <c r="BL163" s="446">
        <f>SUMIF(FEB!$G$157:$J$157,BL$111,FEB!$R26:$U26)+SUMIF(FEB!$G$157:$J$157,BL$111,FEB!$W26:$Z26)</f>
        <v>0</v>
      </c>
      <c r="BM163" s="446">
        <f>SUMIF(FEB!$G$157:$J$157,BM$111,FEB!$R26:$U26)+SUMIF(FEB!$G$157:$J$157,BM$111,FEB!$W26:$Z26)</f>
        <v>0</v>
      </c>
      <c r="BN163" s="446">
        <f>SUMIF(FEB!$G$157:$J$157,BN$111,FEB!$R26:$U26)+SUMIF(FEB!$G$157:$J$157,BN$111,FEB!$W26:$Z26)</f>
        <v>0</v>
      </c>
      <c r="BO163" s="446">
        <f>SUMIF(FEB!$G$157:$J$157,BO$111,FEB!$R26:$U26)+SUMIF(FEB!$G$157:$J$157,BO$111,FEB!$W26:$Z26)</f>
        <v>0</v>
      </c>
      <c r="BP163" s="446">
        <f>SUMIF(FEB!$G$157:$J$157,BP$111,FEB!$R26:$U26)+SUMIF(FEB!$G$157:$J$157,BP$111,FEB!$W26:$Z26)</f>
        <v>0</v>
      </c>
      <c r="BQ163" s="448">
        <f>SUMIF(FEB!$G$157:$J$157,BQ$111,FEB!$R26:$U26)+SUMIF(FEB!$G$157:$J$157,BQ$111,FEB!$W26:$Z26)</f>
        <v>0</v>
      </c>
      <c r="BR163" s="571"/>
      <c r="BS163" s="446"/>
      <c r="BT163" s="448"/>
      <c r="BU163" s="470"/>
      <c r="BV163" s="445">
        <f>SUMIF(FEB!$G$158:$J$158,BV$111,FEB!$R26:$U26)+SUMIF(FEB!$G$158:$J$158,BV$111,FEB!$W26:$Z26)</f>
        <v>0</v>
      </c>
      <c r="BW163" s="446">
        <f>SUMIF(FEB!$G$158:$J$158,BW$111,FEB!$R26:$U26)+SUMIF(FEB!$G$158:$J$158,BW$111,FEB!$W26:$Z26)</f>
        <v>0</v>
      </c>
      <c r="BX163" s="446">
        <f>SUMIF(FEB!$G$158:$J$158,BX$111,FEB!$R26:$U26)+SUMIF(FEB!$G$158:$J$158,BX$111,FEB!$W26:$Z26)</f>
        <v>0</v>
      </c>
      <c r="BY163" s="446">
        <f>SUMIF(FEB!$G$158:$J$158,BY$111,FEB!$R26:$U26)+SUMIF(FEB!$G$158:$J$158,BY$111,FEB!$W26:$Z26)</f>
        <v>0</v>
      </c>
      <c r="BZ163" s="446">
        <f>SUMIF(FEB!$G$158:$J$158,BZ$111,FEB!$R26:$U26)+SUMIF(FEB!$G$158:$J$158,BZ$111,FEB!$W26:$Z26)</f>
        <v>0</v>
      </c>
      <c r="CA163" s="446">
        <f>SUMIF(FEB!$G$158:$J$158,CA$111,FEB!$R26:$U26)+SUMIF(FEB!$G$158:$J$158,CA$111,FEB!$W26:$Z26)</f>
        <v>0</v>
      </c>
      <c r="CB163" s="448">
        <f>SUMIF(FEB!$G$158:$J$158,CB$111,FEB!$R26:$U26)+SUMIF(FEB!$G$158:$J$158,CB$111,FEB!$W26:$Z26)</f>
        <v>0</v>
      </c>
      <c r="CC163" s="571"/>
      <c r="CD163" s="448"/>
      <c r="CE163" s="92">
        <f t="shared" si="224"/>
        <v>0</v>
      </c>
      <c r="CF163" s="92">
        <f t="shared" si="225"/>
        <v>0</v>
      </c>
      <c r="CG163" s="151" t="str">
        <f t="shared" si="229"/>
        <v/>
      </c>
      <c r="CH163" s="92">
        <f t="shared" si="213"/>
        <v>0</v>
      </c>
      <c r="CI163" s="92" t="str">
        <f t="shared" si="226"/>
        <v/>
      </c>
      <c r="CJ163" s="1100">
        <f>FEB!AM26</f>
        <v>0</v>
      </c>
      <c r="CK163" s="445">
        <f>SUMIF(FEB!$G$155:$J$155,CK$112,FEB!$AN26:$AQ26)</f>
        <v>0</v>
      </c>
      <c r="CL163" s="446">
        <f>SUMIF(FEB!$G$155:$J$155,CL$112,FEB!$AN26:$AQ26)</f>
        <v>0</v>
      </c>
      <c r="CM163" s="447">
        <f>SUMIF(FEB!$G$155:$J$155,CM$112,FEB!$AN26:$AQ26)</f>
        <v>0</v>
      </c>
      <c r="CN163" s="448">
        <f>SUMIF(FEB!$G$155:$J$155,CN$112,FEB!$AN26:$AQ26)</f>
        <v>0</v>
      </c>
      <c r="CO163" s="1100">
        <f>FEB!AS26</f>
        <v>0</v>
      </c>
      <c r="CP163" s="445">
        <f>FEB!AT26</f>
        <v>0</v>
      </c>
      <c r="CQ163" s="446">
        <f>FEB!AU26</f>
        <v>0</v>
      </c>
      <c r="CR163" s="447">
        <f>FEB!AV26</f>
        <v>0</v>
      </c>
      <c r="CS163" s="448">
        <f>FEB!AW26</f>
        <v>0</v>
      </c>
      <c r="CT163" s="1100">
        <f>FEB!AY26</f>
        <v>0</v>
      </c>
      <c r="CU163" s="2"/>
    </row>
    <row r="164" spans="1:99" ht="14.25" hidden="1" customHeight="1" x14ac:dyDescent="0.2">
      <c r="A164" s="2"/>
      <c r="B164" s="151">
        <f t="shared" si="214"/>
        <v>45342</v>
      </c>
      <c r="C164" s="223">
        <f>IF(AND(E164&gt;(E$492-1),E164&lt;(I$492+1)),W$485,IF(ISERROR(HLOOKUP(E164,$E$485:$L$485,1,FALSE)),HLOOKUP(WEEKDAY(E164,2),IMPOSTAZIONI!$C$51:$P$56,6,FALSE),$W$484))</f>
        <v>0</v>
      </c>
      <c r="D164" s="103" t="str">
        <f t="shared" si="215"/>
        <v/>
      </c>
      <c r="E164" s="2380">
        <f t="shared" si="227"/>
        <v>45342</v>
      </c>
      <c r="F164" s="2381"/>
      <c r="G164" s="2325">
        <f>FEB!E27</f>
        <v>0</v>
      </c>
      <c r="H164" s="2326"/>
      <c r="I164" s="2327"/>
      <c r="J164" s="479" t="str">
        <f t="shared" si="210"/>
        <v/>
      </c>
      <c r="K164" s="480"/>
      <c r="L164" s="2319">
        <f t="shared" si="228"/>
        <v>8</v>
      </c>
      <c r="M164" s="2320"/>
      <c r="N164" s="478"/>
      <c r="O164" s="478"/>
      <c r="P164" s="478"/>
      <c r="Q164" s="2315">
        <f t="shared" si="217"/>
        <v>45342</v>
      </c>
      <c r="R164" s="2315"/>
      <c r="S164" s="478"/>
      <c r="T164" s="140">
        <f t="shared" si="218"/>
        <v>0</v>
      </c>
      <c r="U164" s="478"/>
      <c r="V164" s="478"/>
      <c r="W164" s="478"/>
      <c r="X164" s="478"/>
      <c r="Y164" s="478"/>
      <c r="Z164" s="478"/>
      <c r="AA164" s="478"/>
      <c r="AB164" s="478"/>
      <c r="AC164" s="478"/>
      <c r="AD164" s="478"/>
      <c r="AE164" s="478"/>
      <c r="AF164" s="478"/>
      <c r="AG164" s="140">
        <f t="shared" si="219"/>
        <v>0</v>
      </c>
      <c r="AH164" s="92" t="str">
        <f t="shared" si="220"/>
        <v/>
      </c>
      <c r="AI164" s="131">
        <f t="shared" si="221"/>
        <v>0</v>
      </c>
      <c r="AJ164" s="2"/>
      <c r="AK164" s="92">
        <f>IF(G164=G$481,0,IF(OR(G164&lt;&gt;0,CJ164&lt;&gt;0,C164="L"),COUNTIF(AK$114:AK163,"&gt;0")+1,0))</f>
        <v>0</v>
      </c>
      <c r="AL164" s="92" t="str">
        <f t="shared" si="222"/>
        <v/>
      </c>
      <c r="AM164" s="92" t="str">
        <f t="shared" si="223"/>
        <v/>
      </c>
      <c r="AN164" s="131">
        <f t="shared" si="211"/>
        <v>0</v>
      </c>
      <c r="AO164" s="447">
        <f>SUM(FEB!W27:Z27)</f>
        <v>0</v>
      </c>
      <c r="AP164" s="445">
        <f>SUMIF(FEB!$G$155:$J$155,AP$112,FEB!$R27:$U27)</f>
        <v>0</v>
      </c>
      <c r="AQ164" s="446">
        <f>SUMIF(FEB!$G$155:$J$155,AQ$112,FEB!$R27:$U27)</f>
        <v>0</v>
      </c>
      <c r="AR164" s="447">
        <f>SUMIF(FEB!$G$155:$J$155,AR$112,FEB!$R27:$U27)</f>
        <v>0</v>
      </c>
      <c r="AS164" s="448">
        <f>SUMIF(FEB!$G$155:$J$155,AS$112,FEB!$R27:$U27)</f>
        <v>0</v>
      </c>
      <c r="AT164" s="449">
        <f>FEB!AG27</f>
        <v>0</v>
      </c>
      <c r="AU164" s="445">
        <f>FEB!AH27</f>
        <v>0</v>
      </c>
      <c r="AV164" s="446">
        <f>FEB!AI27</f>
        <v>0</v>
      </c>
      <c r="AW164" s="447">
        <f>FEB!AJ27</f>
        <v>0</v>
      </c>
      <c r="AX164" s="448">
        <f>FEB!AK27</f>
        <v>0</v>
      </c>
      <c r="AY164" s="445">
        <f>SUMIF(FEB!$G$152:$J$152,"&gt;0",FEB!$W27:$Z27)</f>
        <v>0</v>
      </c>
      <c r="AZ164" s="1063">
        <f>SUM(FEB!AB27:AE27)</f>
        <v>0</v>
      </c>
      <c r="BA164" s="445">
        <f>SUMIF(FEB!$G$159:$J$159,BA$111,FEB!$R27:$U27)+SUMIF(FEB!$G$159:$J$159,BA$111,FEB!$W27:$Z27)</f>
        <v>0</v>
      </c>
      <c r="BB164" s="446">
        <f>SUMIF(FEB!$G$159:$J$159,BB$111,FEB!$R27:$U27)+SUMIF(FEB!$G$159:$J$159,BB$111,FEB!$W27:$Z27)</f>
        <v>0</v>
      </c>
      <c r="BC164" s="446">
        <f>SUMIF(FEB!$G$159:$J$159,BC$111,FEB!$R27:$U27)+SUMIF(FEB!$G$159:$J$159,BC$111,FEB!$W27:$Z27)</f>
        <v>0</v>
      </c>
      <c r="BD164" s="446">
        <f>SUMIF(FEB!$G$159:$J$159,BD$111,FEB!$R27:$U27)+SUMIF(FEB!$G$159:$J$159,BD$111,FEB!$W27:$Z27)</f>
        <v>0</v>
      </c>
      <c r="BE164" s="446">
        <f>SUMIF(FEB!$G$159:$J$159,BE$111,FEB!$R27:$U27)+SUMIF(FEB!$G$159:$J$159,BE$111,FEB!$W27:$Z27)</f>
        <v>0</v>
      </c>
      <c r="BF164" s="446">
        <f>SUMIF(FEB!$G$159:$J$159,BF$111,FEB!$R27:$U27)+SUMIF(FEB!$G$159:$J$159,BF$111,FEB!$W27:$Z27)</f>
        <v>0</v>
      </c>
      <c r="BG164" s="448">
        <f>SUMIF(FEB!$G$159:$J$159,BG$111,FEB!$R27:$U27)+SUMIF(FEB!$G$159:$J$159,BG$111,FEB!$W27:$Z27)</f>
        <v>0</v>
      </c>
      <c r="BH164" s="571"/>
      <c r="BI164" s="448"/>
      <c r="BJ164" s="470"/>
      <c r="BK164" s="445">
        <f>SUMIF(FEB!$G$157:$J$157,BK$111,FEB!$R27:$U27)+SUMIF(FEB!$G$157:$J$157,BK$111,FEB!$W27:$Z27)</f>
        <v>0</v>
      </c>
      <c r="BL164" s="446">
        <f>SUMIF(FEB!$G$157:$J$157,BL$111,FEB!$R27:$U27)+SUMIF(FEB!$G$157:$J$157,BL$111,FEB!$W27:$Z27)</f>
        <v>0</v>
      </c>
      <c r="BM164" s="446">
        <f>SUMIF(FEB!$G$157:$J$157,BM$111,FEB!$R27:$U27)+SUMIF(FEB!$G$157:$J$157,BM$111,FEB!$W27:$Z27)</f>
        <v>0</v>
      </c>
      <c r="BN164" s="446">
        <f>SUMIF(FEB!$G$157:$J$157,BN$111,FEB!$R27:$U27)+SUMIF(FEB!$G$157:$J$157,BN$111,FEB!$W27:$Z27)</f>
        <v>0</v>
      </c>
      <c r="BO164" s="446">
        <f>SUMIF(FEB!$G$157:$J$157,BO$111,FEB!$R27:$U27)+SUMIF(FEB!$G$157:$J$157,BO$111,FEB!$W27:$Z27)</f>
        <v>0</v>
      </c>
      <c r="BP164" s="446">
        <f>SUMIF(FEB!$G$157:$J$157,BP$111,FEB!$R27:$U27)+SUMIF(FEB!$G$157:$J$157,BP$111,FEB!$W27:$Z27)</f>
        <v>0</v>
      </c>
      <c r="BQ164" s="448">
        <f>SUMIF(FEB!$G$157:$J$157,BQ$111,FEB!$R27:$U27)+SUMIF(FEB!$G$157:$J$157,BQ$111,FEB!$W27:$Z27)</f>
        <v>0</v>
      </c>
      <c r="BR164" s="571"/>
      <c r="BS164" s="446"/>
      <c r="BT164" s="448"/>
      <c r="BU164" s="470"/>
      <c r="BV164" s="445">
        <f>SUMIF(FEB!$G$158:$J$158,BV$111,FEB!$R27:$U27)+SUMIF(FEB!$G$158:$J$158,BV$111,FEB!$W27:$Z27)</f>
        <v>0</v>
      </c>
      <c r="BW164" s="446">
        <f>SUMIF(FEB!$G$158:$J$158,BW$111,FEB!$R27:$U27)+SUMIF(FEB!$G$158:$J$158,BW$111,FEB!$W27:$Z27)</f>
        <v>0</v>
      </c>
      <c r="BX164" s="446">
        <f>SUMIF(FEB!$G$158:$J$158,BX$111,FEB!$R27:$U27)+SUMIF(FEB!$G$158:$J$158,BX$111,FEB!$W27:$Z27)</f>
        <v>0</v>
      </c>
      <c r="BY164" s="446">
        <f>SUMIF(FEB!$G$158:$J$158,BY$111,FEB!$R27:$U27)+SUMIF(FEB!$G$158:$J$158,BY$111,FEB!$W27:$Z27)</f>
        <v>0</v>
      </c>
      <c r="BZ164" s="446">
        <f>SUMIF(FEB!$G$158:$J$158,BZ$111,FEB!$R27:$U27)+SUMIF(FEB!$G$158:$J$158,BZ$111,FEB!$W27:$Z27)</f>
        <v>0</v>
      </c>
      <c r="CA164" s="446">
        <f>SUMIF(FEB!$G$158:$J$158,CA$111,FEB!$R27:$U27)+SUMIF(FEB!$G$158:$J$158,CA$111,FEB!$W27:$Z27)</f>
        <v>0</v>
      </c>
      <c r="CB164" s="448">
        <f>SUMIF(FEB!$G$158:$J$158,CB$111,FEB!$R27:$U27)+SUMIF(FEB!$G$158:$J$158,CB$111,FEB!$W27:$Z27)</f>
        <v>0</v>
      </c>
      <c r="CC164" s="571"/>
      <c r="CD164" s="448"/>
      <c r="CE164" s="92">
        <f t="shared" si="224"/>
        <v>0</v>
      </c>
      <c r="CF164" s="92">
        <f t="shared" si="225"/>
        <v>0</v>
      </c>
      <c r="CG164" s="151" t="str">
        <f t="shared" si="229"/>
        <v/>
      </c>
      <c r="CH164" s="92">
        <f t="shared" si="213"/>
        <v>0</v>
      </c>
      <c r="CI164" s="92" t="str">
        <f t="shared" si="226"/>
        <v/>
      </c>
      <c r="CJ164" s="1100">
        <f>FEB!AM27</f>
        <v>0</v>
      </c>
      <c r="CK164" s="445">
        <f>SUMIF(FEB!$G$155:$J$155,CK$112,FEB!$AN27:$AQ27)</f>
        <v>0</v>
      </c>
      <c r="CL164" s="446">
        <f>SUMIF(FEB!$G$155:$J$155,CL$112,FEB!$AN27:$AQ27)</f>
        <v>0</v>
      </c>
      <c r="CM164" s="447">
        <f>SUMIF(FEB!$G$155:$J$155,CM$112,FEB!$AN27:$AQ27)</f>
        <v>0</v>
      </c>
      <c r="CN164" s="448">
        <f>SUMIF(FEB!$G$155:$J$155,CN$112,FEB!$AN27:$AQ27)</f>
        <v>0</v>
      </c>
      <c r="CO164" s="1100">
        <f>FEB!AS27</f>
        <v>0</v>
      </c>
      <c r="CP164" s="445">
        <f>FEB!AT27</f>
        <v>0</v>
      </c>
      <c r="CQ164" s="446">
        <f>FEB!AU27</f>
        <v>0</v>
      </c>
      <c r="CR164" s="447">
        <f>FEB!AV27</f>
        <v>0</v>
      </c>
      <c r="CS164" s="448">
        <f>FEB!AW27</f>
        <v>0</v>
      </c>
      <c r="CT164" s="1100">
        <f>FEB!AY27</f>
        <v>0</v>
      </c>
      <c r="CU164" s="2"/>
    </row>
    <row r="165" spans="1:99" ht="14.25" hidden="1" customHeight="1" x14ac:dyDescent="0.2">
      <c r="A165" s="2"/>
      <c r="B165" s="151">
        <f t="shared" si="214"/>
        <v>45343</v>
      </c>
      <c r="C165" s="223">
        <f>IF(AND(E165&gt;(E$492-1),E165&lt;(I$492+1)),W$485,IF(ISERROR(HLOOKUP(E165,$E$485:$L$485,1,FALSE)),HLOOKUP(WEEKDAY(E165,2),IMPOSTAZIONI!$C$51:$P$56,6,FALSE),$W$484))</f>
        <v>0</v>
      </c>
      <c r="D165" s="103" t="str">
        <f t="shared" si="215"/>
        <v/>
      </c>
      <c r="E165" s="2380">
        <f t="shared" si="227"/>
        <v>45343</v>
      </c>
      <c r="F165" s="2381"/>
      <c r="G165" s="2325">
        <f>FEB!E28</f>
        <v>0</v>
      </c>
      <c r="H165" s="2326"/>
      <c r="I165" s="2327"/>
      <c r="J165" s="479" t="str">
        <f t="shared" si="210"/>
        <v/>
      </c>
      <c r="K165" s="480"/>
      <c r="L165" s="2319">
        <f t="shared" si="228"/>
        <v>8</v>
      </c>
      <c r="M165" s="2320"/>
      <c r="N165" s="478"/>
      <c r="O165" s="478"/>
      <c r="P165" s="478"/>
      <c r="Q165" s="2315">
        <f t="shared" si="217"/>
        <v>45343</v>
      </c>
      <c r="R165" s="2315"/>
      <c r="S165" s="478"/>
      <c r="T165" s="140">
        <f t="shared" si="218"/>
        <v>0</v>
      </c>
      <c r="U165" s="478"/>
      <c r="V165" s="478"/>
      <c r="W165" s="478"/>
      <c r="X165" s="478"/>
      <c r="Y165" s="478"/>
      <c r="Z165" s="478"/>
      <c r="AA165" s="478"/>
      <c r="AB165" s="478"/>
      <c r="AC165" s="478"/>
      <c r="AD165" s="478"/>
      <c r="AE165" s="478"/>
      <c r="AF165" s="478"/>
      <c r="AG165" s="140">
        <f t="shared" si="219"/>
        <v>0</v>
      </c>
      <c r="AH165" s="92" t="str">
        <f t="shared" si="220"/>
        <v/>
      </c>
      <c r="AI165" s="131">
        <f t="shared" si="221"/>
        <v>0</v>
      </c>
      <c r="AJ165" s="2"/>
      <c r="AK165" s="92">
        <f>IF(G165=G$481,0,IF(OR(G165&lt;&gt;0,CJ165&lt;&gt;0,C165="L"),COUNTIF(AK$114:AK164,"&gt;0")+1,0))</f>
        <v>0</v>
      </c>
      <c r="AL165" s="92" t="str">
        <f t="shared" si="222"/>
        <v/>
      </c>
      <c r="AM165" s="92" t="str">
        <f t="shared" si="223"/>
        <v/>
      </c>
      <c r="AN165" s="131">
        <f t="shared" si="211"/>
        <v>0</v>
      </c>
      <c r="AO165" s="447">
        <f>SUM(FEB!W28:Z28)</f>
        <v>0</v>
      </c>
      <c r="AP165" s="445">
        <f>SUMIF(FEB!$G$155:$J$155,AP$112,FEB!$R28:$U28)</f>
        <v>0</v>
      </c>
      <c r="AQ165" s="446">
        <f>SUMIF(FEB!$G$155:$J$155,AQ$112,FEB!$R28:$U28)</f>
        <v>0</v>
      </c>
      <c r="AR165" s="447">
        <f>SUMIF(FEB!$G$155:$J$155,AR$112,FEB!$R28:$U28)</f>
        <v>0</v>
      </c>
      <c r="AS165" s="448">
        <f>SUMIF(FEB!$G$155:$J$155,AS$112,FEB!$R28:$U28)</f>
        <v>0</v>
      </c>
      <c r="AT165" s="449">
        <f>FEB!AG28</f>
        <v>0</v>
      </c>
      <c r="AU165" s="445">
        <f>FEB!AH28</f>
        <v>0</v>
      </c>
      <c r="AV165" s="446">
        <f>FEB!AI28</f>
        <v>0</v>
      </c>
      <c r="AW165" s="447">
        <f>FEB!AJ28</f>
        <v>0</v>
      </c>
      <c r="AX165" s="448">
        <f>FEB!AK28</f>
        <v>0</v>
      </c>
      <c r="AY165" s="445">
        <f>SUMIF(FEB!$G$152:$J$152,"&gt;0",FEB!$W28:$Z28)</f>
        <v>0</v>
      </c>
      <c r="AZ165" s="1063">
        <f>SUM(FEB!AB28:AE28)</f>
        <v>0</v>
      </c>
      <c r="BA165" s="445">
        <f>SUMIF(FEB!$G$159:$J$159,BA$111,FEB!$R28:$U28)+SUMIF(FEB!$G$159:$J$159,BA$111,FEB!$W28:$Z28)</f>
        <v>0</v>
      </c>
      <c r="BB165" s="446">
        <f>SUMIF(FEB!$G$159:$J$159,BB$111,FEB!$R28:$U28)+SUMIF(FEB!$G$159:$J$159,BB$111,FEB!$W28:$Z28)</f>
        <v>0</v>
      </c>
      <c r="BC165" s="446">
        <f>SUMIF(FEB!$G$159:$J$159,BC$111,FEB!$R28:$U28)+SUMIF(FEB!$G$159:$J$159,BC$111,FEB!$W28:$Z28)</f>
        <v>0</v>
      </c>
      <c r="BD165" s="446">
        <f>SUMIF(FEB!$G$159:$J$159,BD$111,FEB!$R28:$U28)+SUMIF(FEB!$G$159:$J$159,BD$111,FEB!$W28:$Z28)</f>
        <v>0</v>
      </c>
      <c r="BE165" s="446">
        <f>SUMIF(FEB!$G$159:$J$159,BE$111,FEB!$R28:$U28)+SUMIF(FEB!$G$159:$J$159,BE$111,FEB!$W28:$Z28)</f>
        <v>0</v>
      </c>
      <c r="BF165" s="446">
        <f>SUMIF(FEB!$G$159:$J$159,BF$111,FEB!$R28:$U28)+SUMIF(FEB!$G$159:$J$159,BF$111,FEB!$W28:$Z28)</f>
        <v>0</v>
      </c>
      <c r="BG165" s="448">
        <f>SUMIF(FEB!$G$159:$J$159,BG$111,FEB!$R28:$U28)+SUMIF(FEB!$G$159:$J$159,BG$111,FEB!$W28:$Z28)</f>
        <v>0</v>
      </c>
      <c r="BH165" s="571"/>
      <c r="BI165" s="448"/>
      <c r="BJ165" s="470"/>
      <c r="BK165" s="445">
        <f>SUMIF(FEB!$G$157:$J$157,BK$111,FEB!$R28:$U28)+SUMIF(FEB!$G$157:$J$157,BK$111,FEB!$W28:$Z28)</f>
        <v>0</v>
      </c>
      <c r="BL165" s="446">
        <f>SUMIF(FEB!$G$157:$J$157,BL$111,FEB!$R28:$U28)+SUMIF(FEB!$G$157:$J$157,BL$111,FEB!$W28:$Z28)</f>
        <v>0</v>
      </c>
      <c r="BM165" s="446">
        <f>SUMIF(FEB!$G$157:$J$157,BM$111,FEB!$R28:$U28)+SUMIF(FEB!$G$157:$J$157,BM$111,FEB!$W28:$Z28)</f>
        <v>0</v>
      </c>
      <c r="BN165" s="446">
        <f>SUMIF(FEB!$G$157:$J$157,BN$111,FEB!$R28:$U28)+SUMIF(FEB!$G$157:$J$157,BN$111,FEB!$W28:$Z28)</f>
        <v>0</v>
      </c>
      <c r="BO165" s="446">
        <f>SUMIF(FEB!$G$157:$J$157,BO$111,FEB!$R28:$U28)+SUMIF(FEB!$G$157:$J$157,BO$111,FEB!$W28:$Z28)</f>
        <v>0</v>
      </c>
      <c r="BP165" s="446">
        <f>SUMIF(FEB!$G$157:$J$157,BP$111,FEB!$R28:$U28)+SUMIF(FEB!$G$157:$J$157,BP$111,FEB!$W28:$Z28)</f>
        <v>0</v>
      </c>
      <c r="BQ165" s="448">
        <f>SUMIF(FEB!$G$157:$J$157,BQ$111,FEB!$R28:$U28)+SUMIF(FEB!$G$157:$J$157,BQ$111,FEB!$W28:$Z28)</f>
        <v>0</v>
      </c>
      <c r="BR165" s="571"/>
      <c r="BS165" s="446"/>
      <c r="BT165" s="448"/>
      <c r="BU165" s="470"/>
      <c r="BV165" s="445">
        <f>SUMIF(FEB!$G$158:$J$158,BV$111,FEB!$R28:$U28)+SUMIF(FEB!$G$158:$J$158,BV$111,FEB!$W28:$Z28)</f>
        <v>0</v>
      </c>
      <c r="BW165" s="446">
        <f>SUMIF(FEB!$G$158:$J$158,BW$111,FEB!$R28:$U28)+SUMIF(FEB!$G$158:$J$158,BW$111,FEB!$W28:$Z28)</f>
        <v>0</v>
      </c>
      <c r="BX165" s="446">
        <f>SUMIF(FEB!$G$158:$J$158,BX$111,FEB!$R28:$U28)+SUMIF(FEB!$G$158:$J$158,BX$111,FEB!$W28:$Z28)</f>
        <v>0</v>
      </c>
      <c r="BY165" s="446">
        <f>SUMIF(FEB!$G$158:$J$158,BY$111,FEB!$R28:$U28)+SUMIF(FEB!$G$158:$J$158,BY$111,FEB!$W28:$Z28)</f>
        <v>0</v>
      </c>
      <c r="BZ165" s="446">
        <f>SUMIF(FEB!$G$158:$J$158,BZ$111,FEB!$R28:$U28)+SUMIF(FEB!$G$158:$J$158,BZ$111,FEB!$W28:$Z28)</f>
        <v>0</v>
      </c>
      <c r="CA165" s="446">
        <f>SUMIF(FEB!$G$158:$J$158,CA$111,FEB!$R28:$U28)+SUMIF(FEB!$G$158:$J$158,CA$111,FEB!$W28:$Z28)</f>
        <v>0</v>
      </c>
      <c r="CB165" s="448">
        <f>SUMIF(FEB!$G$158:$J$158,CB$111,FEB!$R28:$U28)+SUMIF(FEB!$G$158:$J$158,CB$111,FEB!$W28:$Z28)</f>
        <v>0</v>
      </c>
      <c r="CC165" s="571"/>
      <c r="CD165" s="448"/>
      <c r="CE165" s="92">
        <f t="shared" si="224"/>
        <v>0</v>
      </c>
      <c r="CF165" s="92">
        <f t="shared" si="225"/>
        <v>0</v>
      </c>
      <c r="CG165" s="151" t="str">
        <f t="shared" si="229"/>
        <v/>
      </c>
      <c r="CH165" s="92">
        <f t="shared" si="213"/>
        <v>0</v>
      </c>
      <c r="CI165" s="92" t="str">
        <f t="shared" si="226"/>
        <v/>
      </c>
      <c r="CJ165" s="1100">
        <f>FEB!AM28</f>
        <v>0</v>
      </c>
      <c r="CK165" s="445">
        <f>SUMIF(FEB!$G$155:$J$155,CK$112,FEB!$AN28:$AQ28)</f>
        <v>0</v>
      </c>
      <c r="CL165" s="446">
        <f>SUMIF(FEB!$G$155:$J$155,CL$112,FEB!$AN28:$AQ28)</f>
        <v>0</v>
      </c>
      <c r="CM165" s="447">
        <f>SUMIF(FEB!$G$155:$J$155,CM$112,FEB!$AN28:$AQ28)</f>
        <v>0</v>
      </c>
      <c r="CN165" s="448">
        <f>SUMIF(FEB!$G$155:$J$155,CN$112,FEB!$AN28:$AQ28)</f>
        <v>0</v>
      </c>
      <c r="CO165" s="1100">
        <f>FEB!AS28</f>
        <v>0</v>
      </c>
      <c r="CP165" s="445">
        <f>FEB!AT28</f>
        <v>0</v>
      </c>
      <c r="CQ165" s="446">
        <f>FEB!AU28</f>
        <v>0</v>
      </c>
      <c r="CR165" s="447">
        <f>FEB!AV28</f>
        <v>0</v>
      </c>
      <c r="CS165" s="448">
        <f>FEB!AW28</f>
        <v>0</v>
      </c>
      <c r="CT165" s="1100">
        <f>FEB!AY28</f>
        <v>0</v>
      </c>
      <c r="CU165" s="2"/>
    </row>
    <row r="166" spans="1:99" ht="14.25" hidden="1" customHeight="1" x14ac:dyDescent="0.2">
      <c r="A166" s="2"/>
      <c r="B166" s="151">
        <f t="shared" si="214"/>
        <v>45344</v>
      </c>
      <c r="C166" s="223">
        <f>IF(AND(E166&gt;(E$492-1),E166&lt;(I$492+1)),W$485,IF(ISERROR(HLOOKUP(E166,$E$485:$L$485,1,FALSE)),HLOOKUP(WEEKDAY(E166,2),IMPOSTAZIONI!$C$51:$P$56,6,FALSE),$W$484))</f>
        <v>0</v>
      </c>
      <c r="D166" s="103" t="str">
        <f t="shared" si="215"/>
        <v/>
      </c>
      <c r="E166" s="2380">
        <f t="shared" si="227"/>
        <v>45344</v>
      </c>
      <c r="F166" s="2381"/>
      <c r="G166" s="2325">
        <f>FEB!E29</f>
        <v>0</v>
      </c>
      <c r="H166" s="2326"/>
      <c r="I166" s="2327"/>
      <c r="J166" s="479" t="str">
        <f t="shared" si="210"/>
        <v/>
      </c>
      <c r="K166" s="480"/>
      <c r="L166" s="2319">
        <f t="shared" si="228"/>
        <v>8</v>
      </c>
      <c r="M166" s="2320"/>
      <c r="N166" s="478"/>
      <c r="O166" s="478"/>
      <c r="P166" s="478"/>
      <c r="Q166" s="2315">
        <f t="shared" si="217"/>
        <v>45344</v>
      </c>
      <c r="R166" s="2315"/>
      <c r="S166" s="478"/>
      <c r="T166" s="140">
        <f t="shared" si="218"/>
        <v>0</v>
      </c>
      <c r="U166" s="478"/>
      <c r="V166" s="478"/>
      <c r="W166" s="478"/>
      <c r="X166" s="478"/>
      <c r="Y166" s="478"/>
      <c r="Z166" s="478"/>
      <c r="AA166" s="478"/>
      <c r="AB166" s="478"/>
      <c r="AC166" s="478"/>
      <c r="AD166" s="478"/>
      <c r="AE166" s="478"/>
      <c r="AF166" s="478"/>
      <c r="AG166" s="140">
        <f t="shared" si="219"/>
        <v>0</v>
      </c>
      <c r="AH166" s="92" t="str">
        <f t="shared" si="220"/>
        <v/>
      </c>
      <c r="AI166" s="131">
        <f t="shared" si="221"/>
        <v>0</v>
      </c>
      <c r="AJ166" s="2"/>
      <c r="AK166" s="92">
        <f>IF(G166=G$481,0,IF(OR(G166&lt;&gt;0,CJ166&lt;&gt;0,C166="L"),COUNTIF(AK$114:AK165,"&gt;0")+1,0))</f>
        <v>0</v>
      </c>
      <c r="AL166" s="92" t="str">
        <f t="shared" si="222"/>
        <v/>
      </c>
      <c r="AM166" s="92" t="str">
        <f t="shared" si="223"/>
        <v/>
      </c>
      <c r="AN166" s="131">
        <f t="shared" si="211"/>
        <v>0</v>
      </c>
      <c r="AO166" s="447">
        <f>SUM(FEB!W29:Z29)</f>
        <v>0</v>
      </c>
      <c r="AP166" s="445">
        <f>SUMIF(FEB!$G$155:$J$155,AP$112,FEB!$R29:$U29)</f>
        <v>0</v>
      </c>
      <c r="AQ166" s="446">
        <f>SUMIF(FEB!$G$155:$J$155,AQ$112,FEB!$R29:$U29)</f>
        <v>0</v>
      </c>
      <c r="AR166" s="447">
        <f>SUMIF(FEB!$G$155:$J$155,AR$112,FEB!$R29:$U29)</f>
        <v>0</v>
      </c>
      <c r="AS166" s="448">
        <f>SUMIF(FEB!$G$155:$J$155,AS$112,FEB!$R29:$U29)</f>
        <v>0</v>
      </c>
      <c r="AT166" s="449">
        <f>FEB!AG29</f>
        <v>0</v>
      </c>
      <c r="AU166" s="445">
        <f>FEB!AH29</f>
        <v>0</v>
      </c>
      <c r="AV166" s="446">
        <f>FEB!AI29</f>
        <v>0</v>
      </c>
      <c r="AW166" s="447">
        <f>FEB!AJ29</f>
        <v>0</v>
      </c>
      <c r="AX166" s="448">
        <f>FEB!AK29</f>
        <v>0</v>
      </c>
      <c r="AY166" s="445">
        <f>SUMIF(FEB!$G$152:$J$152,"&gt;0",FEB!$W29:$Z29)</f>
        <v>0</v>
      </c>
      <c r="AZ166" s="1063">
        <f>SUM(FEB!AB29:AE29)</f>
        <v>0</v>
      </c>
      <c r="BA166" s="445">
        <f>SUMIF(FEB!$G$159:$J$159,BA$111,FEB!$R29:$U29)+SUMIF(FEB!$G$159:$J$159,BA$111,FEB!$W29:$Z29)</f>
        <v>0</v>
      </c>
      <c r="BB166" s="446">
        <f>SUMIF(FEB!$G$159:$J$159,BB$111,FEB!$R29:$U29)+SUMIF(FEB!$G$159:$J$159,BB$111,FEB!$W29:$Z29)</f>
        <v>0</v>
      </c>
      <c r="BC166" s="446">
        <f>SUMIF(FEB!$G$159:$J$159,BC$111,FEB!$R29:$U29)+SUMIF(FEB!$G$159:$J$159,BC$111,FEB!$W29:$Z29)</f>
        <v>0</v>
      </c>
      <c r="BD166" s="446">
        <f>SUMIF(FEB!$G$159:$J$159,BD$111,FEB!$R29:$U29)+SUMIF(FEB!$G$159:$J$159,BD$111,FEB!$W29:$Z29)</f>
        <v>0</v>
      </c>
      <c r="BE166" s="446">
        <f>SUMIF(FEB!$G$159:$J$159,BE$111,FEB!$R29:$U29)+SUMIF(FEB!$G$159:$J$159,BE$111,FEB!$W29:$Z29)</f>
        <v>0</v>
      </c>
      <c r="BF166" s="446">
        <f>SUMIF(FEB!$G$159:$J$159,BF$111,FEB!$R29:$U29)+SUMIF(FEB!$G$159:$J$159,BF$111,FEB!$W29:$Z29)</f>
        <v>0</v>
      </c>
      <c r="BG166" s="448">
        <f>SUMIF(FEB!$G$159:$J$159,BG$111,FEB!$R29:$U29)+SUMIF(FEB!$G$159:$J$159,BG$111,FEB!$W29:$Z29)</f>
        <v>0</v>
      </c>
      <c r="BH166" s="571"/>
      <c r="BI166" s="448"/>
      <c r="BJ166" s="470"/>
      <c r="BK166" s="445">
        <f>SUMIF(FEB!$G$157:$J$157,BK$111,FEB!$R29:$U29)+SUMIF(FEB!$G$157:$J$157,BK$111,FEB!$W29:$Z29)</f>
        <v>0</v>
      </c>
      <c r="BL166" s="446">
        <f>SUMIF(FEB!$G$157:$J$157,BL$111,FEB!$R29:$U29)+SUMIF(FEB!$G$157:$J$157,BL$111,FEB!$W29:$Z29)</f>
        <v>0</v>
      </c>
      <c r="BM166" s="446">
        <f>SUMIF(FEB!$G$157:$J$157,BM$111,FEB!$R29:$U29)+SUMIF(FEB!$G$157:$J$157,BM$111,FEB!$W29:$Z29)</f>
        <v>0</v>
      </c>
      <c r="BN166" s="446">
        <f>SUMIF(FEB!$G$157:$J$157,BN$111,FEB!$R29:$U29)+SUMIF(FEB!$G$157:$J$157,BN$111,FEB!$W29:$Z29)</f>
        <v>0</v>
      </c>
      <c r="BO166" s="446">
        <f>SUMIF(FEB!$G$157:$J$157,BO$111,FEB!$R29:$U29)+SUMIF(FEB!$G$157:$J$157,BO$111,FEB!$W29:$Z29)</f>
        <v>0</v>
      </c>
      <c r="BP166" s="446">
        <f>SUMIF(FEB!$G$157:$J$157,BP$111,FEB!$R29:$U29)+SUMIF(FEB!$G$157:$J$157,BP$111,FEB!$W29:$Z29)</f>
        <v>0</v>
      </c>
      <c r="BQ166" s="448">
        <f>SUMIF(FEB!$G$157:$J$157,BQ$111,FEB!$R29:$U29)+SUMIF(FEB!$G$157:$J$157,BQ$111,FEB!$W29:$Z29)</f>
        <v>0</v>
      </c>
      <c r="BR166" s="571"/>
      <c r="BS166" s="446"/>
      <c r="BT166" s="448"/>
      <c r="BU166" s="470"/>
      <c r="BV166" s="445">
        <f>SUMIF(FEB!$G$158:$J$158,BV$111,FEB!$R29:$U29)+SUMIF(FEB!$G$158:$J$158,BV$111,FEB!$W29:$Z29)</f>
        <v>0</v>
      </c>
      <c r="BW166" s="446">
        <f>SUMIF(FEB!$G$158:$J$158,BW$111,FEB!$R29:$U29)+SUMIF(FEB!$G$158:$J$158,BW$111,FEB!$W29:$Z29)</f>
        <v>0</v>
      </c>
      <c r="BX166" s="446">
        <f>SUMIF(FEB!$G$158:$J$158,BX$111,FEB!$R29:$U29)+SUMIF(FEB!$G$158:$J$158,BX$111,FEB!$W29:$Z29)</f>
        <v>0</v>
      </c>
      <c r="BY166" s="446">
        <f>SUMIF(FEB!$G$158:$J$158,BY$111,FEB!$R29:$U29)+SUMIF(FEB!$G$158:$J$158,BY$111,FEB!$W29:$Z29)</f>
        <v>0</v>
      </c>
      <c r="BZ166" s="446">
        <f>SUMIF(FEB!$G$158:$J$158,BZ$111,FEB!$R29:$U29)+SUMIF(FEB!$G$158:$J$158,BZ$111,FEB!$W29:$Z29)</f>
        <v>0</v>
      </c>
      <c r="CA166" s="446">
        <f>SUMIF(FEB!$G$158:$J$158,CA$111,FEB!$R29:$U29)+SUMIF(FEB!$G$158:$J$158,CA$111,FEB!$W29:$Z29)</f>
        <v>0</v>
      </c>
      <c r="CB166" s="448">
        <f>SUMIF(FEB!$G$158:$J$158,CB$111,FEB!$R29:$U29)+SUMIF(FEB!$G$158:$J$158,CB$111,FEB!$W29:$Z29)</f>
        <v>0</v>
      </c>
      <c r="CC166" s="571"/>
      <c r="CD166" s="448"/>
      <c r="CE166" s="92">
        <f t="shared" si="224"/>
        <v>0</v>
      </c>
      <c r="CF166" s="92">
        <f t="shared" si="225"/>
        <v>0</v>
      </c>
      <c r="CG166" s="151" t="str">
        <f t="shared" si="229"/>
        <v/>
      </c>
      <c r="CH166" s="92">
        <f t="shared" si="213"/>
        <v>0</v>
      </c>
      <c r="CI166" s="92" t="str">
        <f t="shared" si="226"/>
        <v/>
      </c>
      <c r="CJ166" s="1100">
        <f>FEB!AM29</f>
        <v>0</v>
      </c>
      <c r="CK166" s="445">
        <f>SUMIF(FEB!$G$155:$J$155,CK$112,FEB!$AN29:$AQ29)</f>
        <v>0</v>
      </c>
      <c r="CL166" s="446">
        <f>SUMIF(FEB!$G$155:$J$155,CL$112,FEB!$AN29:$AQ29)</f>
        <v>0</v>
      </c>
      <c r="CM166" s="447">
        <f>SUMIF(FEB!$G$155:$J$155,CM$112,FEB!$AN29:$AQ29)</f>
        <v>0</v>
      </c>
      <c r="CN166" s="448">
        <f>SUMIF(FEB!$G$155:$J$155,CN$112,FEB!$AN29:$AQ29)</f>
        <v>0</v>
      </c>
      <c r="CO166" s="1100">
        <f>FEB!AS29</f>
        <v>0</v>
      </c>
      <c r="CP166" s="445">
        <f>FEB!AT29</f>
        <v>0</v>
      </c>
      <c r="CQ166" s="446">
        <f>FEB!AU29</f>
        <v>0</v>
      </c>
      <c r="CR166" s="447">
        <f>FEB!AV29</f>
        <v>0</v>
      </c>
      <c r="CS166" s="448">
        <f>FEB!AW29</f>
        <v>0</v>
      </c>
      <c r="CT166" s="1100">
        <f>FEB!AY29</f>
        <v>0</v>
      </c>
      <c r="CU166" s="2"/>
    </row>
    <row r="167" spans="1:99" ht="14.25" hidden="1" customHeight="1" x14ac:dyDescent="0.2">
      <c r="A167" s="2"/>
      <c r="B167" s="151">
        <f t="shared" si="214"/>
        <v>45345</v>
      </c>
      <c r="C167" s="223">
        <f>IF(AND(E167&gt;(E$492-1),E167&lt;(I$492+1)),W$485,IF(ISERROR(HLOOKUP(E167,$E$485:$L$485,1,FALSE)),HLOOKUP(WEEKDAY(E167,2),IMPOSTAZIONI!$C$51:$P$56,6,FALSE),$W$484))</f>
        <v>0</v>
      </c>
      <c r="D167" s="103" t="str">
        <f t="shared" si="215"/>
        <v/>
      </c>
      <c r="E167" s="2380">
        <f t="shared" si="227"/>
        <v>45345</v>
      </c>
      <c r="F167" s="2381"/>
      <c r="G167" s="2325">
        <f>FEB!E30</f>
        <v>0</v>
      </c>
      <c r="H167" s="2326"/>
      <c r="I167" s="2327"/>
      <c r="J167" s="479" t="str">
        <f t="shared" si="210"/>
        <v/>
      </c>
      <c r="K167" s="480"/>
      <c r="L167" s="2319">
        <f t="shared" si="228"/>
        <v>8</v>
      </c>
      <c r="M167" s="2320"/>
      <c r="N167" s="478"/>
      <c r="O167" s="478"/>
      <c r="P167" s="478"/>
      <c r="Q167" s="2315">
        <f t="shared" si="217"/>
        <v>45345</v>
      </c>
      <c r="R167" s="2315"/>
      <c r="S167" s="478"/>
      <c r="T167" s="140">
        <f t="shared" si="218"/>
        <v>0</v>
      </c>
      <c r="U167" s="478"/>
      <c r="V167" s="478"/>
      <c r="W167" s="478"/>
      <c r="X167" s="478"/>
      <c r="Y167" s="478"/>
      <c r="Z167" s="478"/>
      <c r="AA167" s="478"/>
      <c r="AB167" s="478"/>
      <c r="AC167" s="478"/>
      <c r="AD167" s="478"/>
      <c r="AE167" s="478"/>
      <c r="AF167" s="478"/>
      <c r="AG167" s="140">
        <f t="shared" si="219"/>
        <v>0</v>
      </c>
      <c r="AH167" s="92" t="str">
        <f t="shared" si="220"/>
        <v/>
      </c>
      <c r="AI167" s="131">
        <f t="shared" si="221"/>
        <v>0</v>
      </c>
      <c r="AJ167" s="2"/>
      <c r="AK167" s="92">
        <f>IF(G167=G$481,0,IF(OR(G167&lt;&gt;0,CJ167&lt;&gt;0,C167="L"),COUNTIF(AK$114:AK166,"&gt;0")+1,0))</f>
        <v>0</v>
      </c>
      <c r="AL167" s="92" t="str">
        <f t="shared" si="222"/>
        <v/>
      </c>
      <c r="AM167" s="92" t="str">
        <f t="shared" si="223"/>
        <v/>
      </c>
      <c r="AN167" s="131">
        <f t="shared" si="211"/>
        <v>0</v>
      </c>
      <c r="AO167" s="447">
        <f>SUM(FEB!W30:Z30)</f>
        <v>0</v>
      </c>
      <c r="AP167" s="445">
        <f>SUMIF(FEB!$G$155:$J$155,AP$112,FEB!$R30:$U30)</f>
        <v>0</v>
      </c>
      <c r="AQ167" s="446">
        <f>SUMIF(FEB!$G$155:$J$155,AQ$112,FEB!$R30:$U30)</f>
        <v>0</v>
      </c>
      <c r="AR167" s="447">
        <f>SUMIF(FEB!$G$155:$J$155,AR$112,FEB!$R30:$U30)</f>
        <v>0</v>
      </c>
      <c r="AS167" s="448">
        <f>SUMIF(FEB!$G$155:$J$155,AS$112,FEB!$R30:$U30)</f>
        <v>0</v>
      </c>
      <c r="AT167" s="449">
        <f>FEB!AG30</f>
        <v>0</v>
      </c>
      <c r="AU167" s="445">
        <f>FEB!AH30</f>
        <v>0</v>
      </c>
      <c r="AV167" s="446">
        <f>FEB!AI30</f>
        <v>0</v>
      </c>
      <c r="AW167" s="447">
        <f>FEB!AJ30</f>
        <v>0</v>
      </c>
      <c r="AX167" s="448">
        <f>FEB!AK30</f>
        <v>0</v>
      </c>
      <c r="AY167" s="445">
        <f>SUMIF(FEB!$G$152:$J$152,"&gt;0",FEB!$W30:$Z30)</f>
        <v>0</v>
      </c>
      <c r="AZ167" s="1063">
        <f>SUM(FEB!AB30:AE30)</f>
        <v>0</v>
      </c>
      <c r="BA167" s="445">
        <f>SUMIF(FEB!$G$159:$J$159,BA$111,FEB!$R30:$U30)+SUMIF(FEB!$G$159:$J$159,BA$111,FEB!$W30:$Z30)</f>
        <v>0</v>
      </c>
      <c r="BB167" s="446">
        <f>SUMIF(FEB!$G$159:$J$159,BB$111,FEB!$R30:$U30)+SUMIF(FEB!$G$159:$J$159,BB$111,FEB!$W30:$Z30)</f>
        <v>0</v>
      </c>
      <c r="BC167" s="446">
        <f>SUMIF(FEB!$G$159:$J$159,BC$111,FEB!$R30:$U30)+SUMIF(FEB!$G$159:$J$159,BC$111,FEB!$W30:$Z30)</f>
        <v>0</v>
      </c>
      <c r="BD167" s="446">
        <f>SUMIF(FEB!$G$159:$J$159,BD$111,FEB!$R30:$U30)+SUMIF(FEB!$G$159:$J$159,BD$111,FEB!$W30:$Z30)</f>
        <v>0</v>
      </c>
      <c r="BE167" s="446">
        <f>SUMIF(FEB!$G$159:$J$159,BE$111,FEB!$R30:$U30)+SUMIF(FEB!$G$159:$J$159,BE$111,FEB!$W30:$Z30)</f>
        <v>0</v>
      </c>
      <c r="BF167" s="446">
        <f>SUMIF(FEB!$G$159:$J$159,BF$111,FEB!$R30:$U30)+SUMIF(FEB!$G$159:$J$159,BF$111,FEB!$W30:$Z30)</f>
        <v>0</v>
      </c>
      <c r="BG167" s="448">
        <f>SUMIF(FEB!$G$159:$J$159,BG$111,FEB!$R30:$U30)+SUMIF(FEB!$G$159:$J$159,BG$111,FEB!$W30:$Z30)</f>
        <v>0</v>
      </c>
      <c r="BH167" s="571"/>
      <c r="BI167" s="448"/>
      <c r="BJ167" s="470"/>
      <c r="BK167" s="445">
        <f>SUMIF(FEB!$G$157:$J$157,BK$111,FEB!$R30:$U30)+SUMIF(FEB!$G$157:$J$157,BK$111,FEB!$W30:$Z30)</f>
        <v>0</v>
      </c>
      <c r="BL167" s="446">
        <f>SUMIF(FEB!$G$157:$J$157,BL$111,FEB!$R30:$U30)+SUMIF(FEB!$G$157:$J$157,BL$111,FEB!$W30:$Z30)</f>
        <v>0</v>
      </c>
      <c r="BM167" s="446">
        <f>SUMIF(FEB!$G$157:$J$157,BM$111,FEB!$R30:$U30)+SUMIF(FEB!$G$157:$J$157,BM$111,FEB!$W30:$Z30)</f>
        <v>0</v>
      </c>
      <c r="BN167" s="446">
        <f>SUMIF(FEB!$G$157:$J$157,BN$111,FEB!$R30:$U30)+SUMIF(FEB!$G$157:$J$157,BN$111,FEB!$W30:$Z30)</f>
        <v>0</v>
      </c>
      <c r="BO167" s="446">
        <f>SUMIF(FEB!$G$157:$J$157,BO$111,FEB!$R30:$U30)+SUMIF(FEB!$G$157:$J$157,BO$111,FEB!$W30:$Z30)</f>
        <v>0</v>
      </c>
      <c r="BP167" s="446">
        <f>SUMIF(FEB!$G$157:$J$157,BP$111,FEB!$R30:$U30)+SUMIF(FEB!$G$157:$J$157,BP$111,FEB!$W30:$Z30)</f>
        <v>0</v>
      </c>
      <c r="BQ167" s="448">
        <f>SUMIF(FEB!$G$157:$J$157,BQ$111,FEB!$R30:$U30)+SUMIF(FEB!$G$157:$J$157,BQ$111,FEB!$W30:$Z30)</f>
        <v>0</v>
      </c>
      <c r="BR167" s="571"/>
      <c r="BS167" s="446"/>
      <c r="BT167" s="448"/>
      <c r="BU167" s="470"/>
      <c r="BV167" s="445">
        <f>SUMIF(FEB!$G$158:$J$158,BV$111,FEB!$R30:$U30)+SUMIF(FEB!$G$158:$J$158,BV$111,FEB!$W30:$Z30)</f>
        <v>0</v>
      </c>
      <c r="BW167" s="446">
        <f>SUMIF(FEB!$G$158:$J$158,BW$111,FEB!$R30:$U30)+SUMIF(FEB!$G$158:$J$158,BW$111,FEB!$W30:$Z30)</f>
        <v>0</v>
      </c>
      <c r="BX167" s="446">
        <f>SUMIF(FEB!$G$158:$J$158,BX$111,FEB!$R30:$U30)+SUMIF(FEB!$G$158:$J$158,BX$111,FEB!$W30:$Z30)</f>
        <v>0</v>
      </c>
      <c r="BY167" s="446">
        <f>SUMIF(FEB!$G$158:$J$158,BY$111,FEB!$R30:$U30)+SUMIF(FEB!$G$158:$J$158,BY$111,FEB!$W30:$Z30)</f>
        <v>0</v>
      </c>
      <c r="BZ167" s="446">
        <f>SUMIF(FEB!$G$158:$J$158,BZ$111,FEB!$R30:$U30)+SUMIF(FEB!$G$158:$J$158,BZ$111,FEB!$W30:$Z30)</f>
        <v>0</v>
      </c>
      <c r="CA167" s="446">
        <f>SUMIF(FEB!$G$158:$J$158,CA$111,FEB!$R30:$U30)+SUMIF(FEB!$G$158:$J$158,CA$111,FEB!$W30:$Z30)</f>
        <v>0</v>
      </c>
      <c r="CB167" s="448">
        <f>SUMIF(FEB!$G$158:$J$158,CB$111,FEB!$R30:$U30)+SUMIF(FEB!$G$158:$J$158,CB$111,FEB!$W30:$Z30)</f>
        <v>0</v>
      </c>
      <c r="CC167" s="571"/>
      <c r="CD167" s="448"/>
      <c r="CE167" s="92">
        <f t="shared" si="224"/>
        <v>0</v>
      </c>
      <c r="CF167" s="92">
        <f t="shared" si="225"/>
        <v>0</v>
      </c>
      <c r="CG167" s="151" t="str">
        <f t="shared" si="229"/>
        <v/>
      </c>
      <c r="CH167" s="92">
        <f t="shared" si="213"/>
        <v>0</v>
      </c>
      <c r="CI167" s="92" t="str">
        <f t="shared" si="226"/>
        <v/>
      </c>
      <c r="CJ167" s="1100">
        <f>FEB!AM30</f>
        <v>0</v>
      </c>
      <c r="CK167" s="445">
        <f>SUMIF(FEB!$G$155:$J$155,CK$112,FEB!$AN30:$AQ30)</f>
        <v>0</v>
      </c>
      <c r="CL167" s="446">
        <f>SUMIF(FEB!$G$155:$J$155,CL$112,FEB!$AN30:$AQ30)</f>
        <v>0</v>
      </c>
      <c r="CM167" s="447">
        <f>SUMIF(FEB!$G$155:$J$155,CM$112,FEB!$AN30:$AQ30)</f>
        <v>0</v>
      </c>
      <c r="CN167" s="448">
        <f>SUMIF(FEB!$G$155:$J$155,CN$112,FEB!$AN30:$AQ30)</f>
        <v>0</v>
      </c>
      <c r="CO167" s="1100">
        <f>FEB!AS30</f>
        <v>0</v>
      </c>
      <c r="CP167" s="445">
        <f>FEB!AT30</f>
        <v>0</v>
      </c>
      <c r="CQ167" s="446">
        <f>FEB!AU30</f>
        <v>0</v>
      </c>
      <c r="CR167" s="447">
        <f>FEB!AV30</f>
        <v>0</v>
      </c>
      <c r="CS167" s="448">
        <f>FEB!AW30</f>
        <v>0</v>
      </c>
      <c r="CT167" s="1100">
        <f>FEB!AY30</f>
        <v>0</v>
      </c>
      <c r="CU167" s="2"/>
    </row>
    <row r="168" spans="1:99" ht="14.25" hidden="1" customHeight="1" x14ac:dyDescent="0.2">
      <c r="A168" s="2"/>
      <c r="B168" s="151">
        <f t="shared" si="214"/>
        <v>45346</v>
      </c>
      <c r="C168" s="223">
        <f>IF(AND(E168&gt;(E$492-1),E168&lt;(I$492+1)),W$485,IF(ISERROR(HLOOKUP(E168,$E$485:$L$485,1,FALSE)),HLOOKUP(WEEKDAY(E168,2),IMPOSTAZIONI!$C$51:$P$56,6,FALSE),$W$484))</f>
        <v>0</v>
      </c>
      <c r="D168" s="103" t="str">
        <f t="shared" si="215"/>
        <v/>
      </c>
      <c r="E168" s="2380">
        <f t="shared" si="227"/>
        <v>45346</v>
      </c>
      <c r="F168" s="2381"/>
      <c r="G168" s="2325">
        <f>FEB!E31</f>
        <v>0</v>
      </c>
      <c r="H168" s="2326"/>
      <c r="I168" s="2327"/>
      <c r="J168" s="479" t="str">
        <f t="shared" si="210"/>
        <v/>
      </c>
      <c r="K168" s="480"/>
      <c r="L168" s="2319">
        <f t="shared" si="228"/>
        <v>8</v>
      </c>
      <c r="M168" s="2320"/>
      <c r="N168" s="478"/>
      <c r="O168" s="478"/>
      <c r="P168" s="478"/>
      <c r="Q168" s="2315">
        <f t="shared" si="217"/>
        <v>45346</v>
      </c>
      <c r="R168" s="2315"/>
      <c r="S168" s="478"/>
      <c r="T168" s="140">
        <f t="shared" si="218"/>
        <v>0</v>
      </c>
      <c r="U168" s="478"/>
      <c r="V168" s="478"/>
      <c r="W168" s="478"/>
      <c r="X168" s="478"/>
      <c r="Y168" s="478"/>
      <c r="Z168" s="478"/>
      <c r="AA168" s="478"/>
      <c r="AB168" s="478"/>
      <c r="AC168" s="478"/>
      <c r="AD168" s="478"/>
      <c r="AE168" s="478"/>
      <c r="AF168" s="478"/>
      <c r="AG168" s="140">
        <f t="shared" si="219"/>
        <v>0</v>
      </c>
      <c r="AH168" s="92" t="str">
        <f t="shared" si="220"/>
        <v/>
      </c>
      <c r="AI168" s="131">
        <f t="shared" si="221"/>
        <v>0</v>
      </c>
      <c r="AJ168" s="2"/>
      <c r="AK168" s="92">
        <f>IF(G168=G$481,0,IF(OR(G168&lt;&gt;0,CJ168&lt;&gt;0,C168="L"),COUNTIF(AK$114:AK167,"&gt;0")+1,0))</f>
        <v>0</v>
      </c>
      <c r="AL168" s="92" t="str">
        <f t="shared" si="222"/>
        <v/>
      </c>
      <c r="AM168" s="92" t="str">
        <f t="shared" si="223"/>
        <v/>
      </c>
      <c r="AN168" s="131">
        <f t="shared" si="211"/>
        <v>0</v>
      </c>
      <c r="AO168" s="447">
        <f>SUM(FEB!W31:Z31)</f>
        <v>0</v>
      </c>
      <c r="AP168" s="445">
        <f>SUMIF(FEB!$G$155:$J$155,AP$112,FEB!$R31:$U31)</f>
        <v>0</v>
      </c>
      <c r="AQ168" s="446">
        <f>SUMIF(FEB!$G$155:$J$155,AQ$112,FEB!$R31:$U31)</f>
        <v>0</v>
      </c>
      <c r="AR168" s="447">
        <f>SUMIF(FEB!$G$155:$J$155,AR$112,FEB!$R31:$U31)</f>
        <v>0</v>
      </c>
      <c r="AS168" s="448">
        <f>SUMIF(FEB!$G$155:$J$155,AS$112,FEB!$R31:$U31)</f>
        <v>0</v>
      </c>
      <c r="AT168" s="449">
        <f>FEB!AG31</f>
        <v>0</v>
      </c>
      <c r="AU168" s="445">
        <f>FEB!AH31</f>
        <v>0</v>
      </c>
      <c r="AV168" s="446">
        <f>FEB!AI31</f>
        <v>0</v>
      </c>
      <c r="AW168" s="447">
        <f>FEB!AJ31</f>
        <v>0</v>
      </c>
      <c r="AX168" s="448">
        <f>FEB!AK31</f>
        <v>0</v>
      </c>
      <c r="AY168" s="445">
        <f>SUMIF(FEB!$G$152:$J$152,"&gt;0",FEB!$W31:$Z31)</f>
        <v>0</v>
      </c>
      <c r="AZ168" s="1063">
        <f>SUM(FEB!AB31:AE31)</f>
        <v>0</v>
      </c>
      <c r="BA168" s="445">
        <f>SUMIF(FEB!$G$159:$J$159,BA$111,FEB!$R31:$U31)+SUMIF(FEB!$G$159:$J$159,BA$111,FEB!$W31:$Z31)</f>
        <v>0</v>
      </c>
      <c r="BB168" s="446">
        <f>SUMIF(FEB!$G$159:$J$159,BB$111,FEB!$R31:$U31)+SUMIF(FEB!$G$159:$J$159,BB$111,FEB!$W31:$Z31)</f>
        <v>0</v>
      </c>
      <c r="BC168" s="446">
        <f>SUMIF(FEB!$G$159:$J$159,BC$111,FEB!$R31:$U31)+SUMIF(FEB!$G$159:$J$159,BC$111,FEB!$W31:$Z31)</f>
        <v>0</v>
      </c>
      <c r="BD168" s="446">
        <f>SUMIF(FEB!$G$159:$J$159,BD$111,FEB!$R31:$U31)+SUMIF(FEB!$G$159:$J$159,BD$111,FEB!$W31:$Z31)</f>
        <v>0</v>
      </c>
      <c r="BE168" s="446">
        <f>SUMIF(FEB!$G$159:$J$159,BE$111,FEB!$R31:$U31)+SUMIF(FEB!$G$159:$J$159,BE$111,FEB!$W31:$Z31)</f>
        <v>0</v>
      </c>
      <c r="BF168" s="446">
        <f>SUMIF(FEB!$G$159:$J$159,BF$111,FEB!$R31:$U31)+SUMIF(FEB!$G$159:$J$159,BF$111,FEB!$W31:$Z31)</f>
        <v>0</v>
      </c>
      <c r="BG168" s="448">
        <f>SUMIF(FEB!$G$159:$J$159,BG$111,FEB!$R31:$U31)+SUMIF(FEB!$G$159:$J$159,BG$111,FEB!$W31:$Z31)</f>
        <v>0</v>
      </c>
      <c r="BH168" s="571"/>
      <c r="BI168" s="448"/>
      <c r="BJ168" s="470"/>
      <c r="BK168" s="445">
        <f>SUMIF(FEB!$G$157:$J$157,BK$111,FEB!$R31:$U31)+SUMIF(FEB!$G$157:$J$157,BK$111,FEB!$W31:$Z31)</f>
        <v>0</v>
      </c>
      <c r="BL168" s="446">
        <f>SUMIF(FEB!$G$157:$J$157,BL$111,FEB!$R31:$U31)+SUMIF(FEB!$G$157:$J$157,BL$111,FEB!$W31:$Z31)</f>
        <v>0</v>
      </c>
      <c r="BM168" s="446">
        <f>SUMIF(FEB!$G$157:$J$157,BM$111,FEB!$R31:$U31)+SUMIF(FEB!$G$157:$J$157,BM$111,FEB!$W31:$Z31)</f>
        <v>0</v>
      </c>
      <c r="BN168" s="446">
        <f>SUMIF(FEB!$G$157:$J$157,BN$111,FEB!$R31:$U31)+SUMIF(FEB!$G$157:$J$157,BN$111,FEB!$W31:$Z31)</f>
        <v>0</v>
      </c>
      <c r="BO168" s="446">
        <f>SUMIF(FEB!$G$157:$J$157,BO$111,FEB!$R31:$U31)+SUMIF(FEB!$G$157:$J$157,BO$111,FEB!$W31:$Z31)</f>
        <v>0</v>
      </c>
      <c r="BP168" s="446">
        <f>SUMIF(FEB!$G$157:$J$157,BP$111,FEB!$R31:$U31)+SUMIF(FEB!$G$157:$J$157,BP$111,FEB!$W31:$Z31)</f>
        <v>0</v>
      </c>
      <c r="BQ168" s="448">
        <f>SUMIF(FEB!$G$157:$J$157,BQ$111,FEB!$R31:$U31)+SUMIF(FEB!$G$157:$J$157,BQ$111,FEB!$W31:$Z31)</f>
        <v>0</v>
      </c>
      <c r="BR168" s="571"/>
      <c r="BS168" s="446"/>
      <c r="BT168" s="448"/>
      <c r="BU168" s="470"/>
      <c r="BV168" s="445">
        <f>SUMIF(FEB!$G$158:$J$158,BV$111,FEB!$R31:$U31)+SUMIF(FEB!$G$158:$J$158,BV$111,FEB!$W31:$Z31)</f>
        <v>0</v>
      </c>
      <c r="BW168" s="446">
        <f>SUMIF(FEB!$G$158:$J$158,BW$111,FEB!$R31:$U31)+SUMIF(FEB!$G$158:$J$158,BW$111,FEB!$W31:$Z31)</f>
        <v>0</v>
      </c>
      <c r="BX168" s="446">
        <f>SUMIF(FEB!$G$158:$J$158,BX$111,FEB!$R31:$U31)+SUMIF(FEB!$G$158:$J$158,BX$111,FEB!$W31:$Z31)</f>
        <v>0</v>
      </c>
      <c r="BY168" s="446">
        <f>SUMIF(FEB!$G$158:$J$158,BY$111,FEB!$R31:$U31)+SUMIF(FEB!$G$158:$J$158,BY$111,FEB!$W31:$Z31)</f>
        <v>0</v>
      </c>
      <c r="BZ168" s="446">
        <f>SUMIF(FEB!$G$158:$J$158,BZ$111,FEB!$R31:$U31)+SUMIF(FEB!$G$158:$J$158,BZ$111,FEB!$W31:$Z31)</f>
        <v>0</v>
      </c>
      <c r="CA168" s="446">
        <f>SUMIF(FEB!$G$158:$J$158,CA$111,FEB!$R31:$U31)+SUMIF(FEB!$G$158:$J$158,CA$111,FEB!$W31:$Z31)</f>
        <v>0</v>
      </c>
      <c r="CB168" s="448">
        <f>SUMIF(FEB!$G$158:$J$158,CB$111,FEB!$R31:$U31)+SUMIF(FEB!$G$158:$J$158,CB$111,FEB!$W31:$Z31)</f>
        <v>0</v>
      </c>
      <c r="CC168" s="571"/>
      <c r="CD168" s="448"/>
      <c r="CE168" s="92">
        <f t="shared" si="224"/>
        <v>0</v>
      </c>
      <c r="CF168" s="92">
        <f t="shared" si="225"/>
        <v>0</v>
      </c>
      <c r="CG168" s="151" t="str">
        <f t="shared" si="229"/>
        <v/>
      </c>
      <c r="CH168" s="92">
        <f t="shared" si="213"/>
        <v>0</v>
      </c>
      <c r="CI168" s="92" t="str">
        <f t="shared" si="226"/>
        <v/>
      </c>
      <c r="CJ168" s="1100">
        <f>FEB!AM31</f>
        <v>0</v>
      </c>
      <c r="CK168" s="445">
        <f>SUMIF(FEB!$G$155:$J$155,CK$112,FEB!$AN31:$AQ31)</f>
        <v>0</v>
      </c>
      <c r="CL168" s="446">
        <f>SUMIF(FEB!$G$155:$J$155,CL$112,FEB!$AN31:$AQ31)</f>
        <v>0</v>
      </c>
      <c r="CM168" s="447">
        <f>SUMIF(FEB!$G$155:$J$155,CM$112,FEB!$AN31:$AQ31)</f>
        <v>0</v>
      </c>
      <c r="CN168" s="448">
        <f>SUMIF(FEB!$G$155:$J$155,CN$112,FEB!$AN31:$AQ31)</f>
        <v>0</v>
      </c>
      <c r="CO168" s="1100">
        <f>FEB!AS31</f>
        <v>0</v>
      </c>
      <c r="CP168" s="445">
        <f>FEB!AT31</f>
        <v>0</v>
      </c>
      <c r="CQ168" s="446">
        <f>FEB!AU31</f>
        <v>0</v>
      </c>
      <c r="CR168" s="447">
        <f>FEB!AV31</f>
        <v>0</v>
      </c>
      <c r="CS168" s="448">
        <f>FEB!AW31</f>
        <v>0</v>
      </c>
      <c r="CT168" s="1100">
        <f>FEB!AY31</f>
        <v>0</v>
      </c>
      <c r="CU168" s="2"/>
    </row>
    <row r="169" spans="1:99" ht="14.25" hidden="1" customHeight="1" x14ac:dyDescent="0.2">
      <c r="A169" s="2"/>
      <c r="B169" s="151">
        <f t="shared" si="214"/>
        <v>45347</v>
      </c>
      <c r="C169" s="223">
        <f>IF(AND(E169&gt;(E$492-1),E169&lt;(I$492+1)),W$485,IF(ISERROR(HLOOKUP(E169,$E$485:$L$485,1,FALSE)),HLOOKUP(WEEKDAY(E169,2),IMPOSTAZIONI!$C$51:$P$56,6,FALSE),$W$484))</f>
        <v>0</v>
      </c>
      <c r="D169" s="103" t="str">
        <f t="shared" si="215"/>
        <v/>
      </c>
      <c r="E169" s="2380">
        <f t="shared" si="227"/>
        <v>45347</v>
      </c>
      <c r="F169" s="2381"/>
      <c r="G169" s="2325">
        <f>FEB!E32</f>
        <v>0</v>
      </c>
      <c r="H169" s="2326"/>
      <c r="I169" s="2327"/>
      <c r="J169" s="479" t="str">
        <f t="shared" si="210"/>
        <v/>
      </c>
      <c r="K169" s="480"/>
      <c r="L169" s="2321">
        <f t="shared" si="228"/>
        <v>8</v>
      </c>
      <c r="M169" s="2322"/>
      <c r="N169" s="478"/>
      <c r="O169" s="478"/>
      <c r="P169" s="478"/>
      <c r="Q169" s="2315">
        <f t="shared" si="217"/>
        <v>45347</v>
      </c>
      <c r="R169" s="2315"/>
      <c r="S169" s="478"/>
      <c r="T169" s="140">
        <f t="shared" si="218"/>
        <v>0</v>
      </c>
      <c r="U169" s="478"/>
      <c r="V169" s="478"/>
      <c r="W169" s="478"/>
      <c r="X169" s="478"/>
      <c r="Y169" s="478"/>
      <c r="Z169" s="478"/>
      <c r="AA169" s="478"/>
      <c r="AB169" s="478"/>
      <c r="AC169" s="478"/>
      <c r="AD169" s="478"/>
      <c r="AE169" s="478"/>
      <c r="AF169" s="478"/>
      <c r="AG169" s="140">
        <f t="shared" si="219"/>
        <v>0</v>
      </c>
      <c r="AH169" s="92" t="str">
        <f t="shared" si="220"/>
        <v/>
      </c>
      <c r="AI169" s="131">
        <f t="shared" si="221"/>
        <v>0</v>
      </c>
      <c r="AJ169" s="2"/>
      <c r="AK169" s="92">
        <f>IF(G169=G$481,0,IF(OR(G169&lt;&gt;0,CJ169&lt;&gt;0,C169="L"),COUNTIF(AK$114:AK168,"&gt;0")+1,0))</f>
        <v>0</v>
      </c>
      <c r="AL169" s="92" t="str">
        <f t="shared" si="222"/>
        <v/>
      </c>
      <c r="AM169" s="92" t="str">
        <f t="shared" si="223"/>
        <v/>
      </c>
      <c r="AN169" s="131">
        <f t="shared" si="211"/>
        <v>0</v>
      </c>
      <c r="AO169" s="447">
        <f>SUM(FEB!W32:Z32)</f>
        <v>0</v>
      </c>
      <c r="AP169" s="445">
        <f>SUMIF(FEB!$G$155:$J$155,AP$112,FEB!$R32:$U32)</f>
        <v>0</v>
      </c>
      <c r="AQ169" s="446">
        <f>SUMIF(FEB!$G$155:$J$155,AQ$112,FEB!$R32:$U32)</f>
        <v>0</v>
      </c>
      <c r="AR169" s="447">
        <f>SUMIF(FEB!$G$155:$J$155,AR$112,FEB!$R32:$U32)</f>
        <v>0</v>
      </c>
      <c r="AS169" s="448">
        <f>SUMIF(FEB!$G$155:$J$155,AS$112,FEB!$R32:$U32)</f>
        <v>0</v>
      </c>
      <c r="AT169" s="449">
        <f>FEB!AG32</f>
        <v>0</v>
      </c>
      <c r="AU169" s="445">
        <f>FEB!AH32</f>
        <v>0</v>
      </c>
      <c r="AV169" s="446">
        <f>FEB!AI32</f>
        <v>0</v>
      </c>
      <c r="AW169" s="447">
        <f>FEB!AJ32</f>
        <v>0</v>
      </c>
      <c r="AX169" s="448">
        <f>FEB!AK32</f>
        <v>0</v>
      </c>
      <c r="AY169" s="445">
        <f>SUMIF(FEB!$G$152:$J$152,"&gt;0",FEB!$W32:$Z32)</f>
        <v>0</v>
      </c>
      <c r="AZ169" s="1063">
        <f>SUM(FEB!AB32:AE32)</f>
        <v>0</v>
      </c>
      <c r="BA169" s="445">
        <f>SUMIF(FEB!$G$159:$J$159,BA$111,FEB!$R32:$U32)+SUMIF(FEB!$G$159:$J$159,BA$111,FEB!$W32:$Z32)</f>
        <v>0</v>
      </c>
      <c r="BB169" s="446">
        <f>SUMIF(FEB!$G$159:$J$159,BB$111,FEB!$R32:$U32)+SUMIF(FEB!$G$159:$J$159,BB$111,FEB!$W32:$Z32)</f>
        <v>0</v>
      </c>
      <c r="BC169" s="446">
        <f>SUMIF(FEB!$G$159:$J$159,BC$111,FEB!$R32:$U32)+SUMIF(FEB!$G$159:$J$159,BC$111,FEB!$W32:$Z32)</f>
        <v>0</v>
      </c>
      <c r="BD169" s="446">
        <f>SUMIF(FEB!$G$159:$J$159,BD$111,FEB!$R32:$U32)+SUMIF(FEB!$G$159:$J$159,BD$111,FEB!$W32:$Z32)</f>
        <v>0</v>
      </c>
      <c r="BE169" s="446">
        <f>SUMIF(FEB!$G$159:$J$159,BE$111,FEB!$R32:$U32)+SUMIF(FEB!$G$159:$J$159,BE$111,FEB!$W32:$Z32)</f>
        <v>0</v>
      </c>
      <c r="BF169" s="446">
        <f>SUMIF(FEB!$G$159:$J$159,BF$111,FEB!$R32:$U32)+SUMIF(FEB!$G$159:$J$159,BF$111,FEB!$W32:$Z32)</f>
        <v>0</v>
      </c>
      <c r="BG169" s="448">
        <f>SUMIF(FEB!$G$159:$J$159,BG$111,FEB!$R32:$U32)+SUMIF(FEB!$G$159:$J$159,BG$111,FEB!$W32:$Z32)</f>
        <v>0</v>
      </c>
      <c r="BH169" s="571"/>
      <c r="BI169" s="448"/>
      <c r="BJ169" s="470"/>
      <c r="BK169" s="445">
        <f>SUMIF(FEB!$G$157:$J$157,BK$111,FEB!$R32:$U32)+SUMIF(FEB!$G$157:$J$157,BK$111,FEB!$W32:$Z32)</f>
        <v>0</v>
      </c>
      <c r="BL169" s="446">
        <f>SUMIF(FEB!$G$157:$J$157,BL$111,FEB!$R32:$U32)+SUMIF(FEB!$G$157:$J$157,BL$111,FEB!$W32:$Z32)</f>
        <v>0</v>
      </c>
      <c r="BM169" s="446">
        <f>SUMIF(FEB!$G$157:$J$157,BM$111,FEB!$R32:$U32)+SUMIF(FEB!$G$157:$J$157,BM$111,FEB!$W32:$Z32)</f>
        <v>0</v>
      </c>
      <c r="BN169" s="446">
        <f>SUMIF(FEB!$G$157:$J$157,BN$111,FEB!$R32:$U32)+SUMIF(FEB!$G$157:$J$157,BN$111,FEB!$W32:$Z32)</f>
        <v>0</v>
      </c>
      <c r="BO169" s="446">
        <f>SUMIF(FEB!$G$157:$J$157,BO$111,FEB!$R32:$U32)+SUMIF(FEB!$G$157:$J$157,BO$111,FEB!$W32:$Z32)</f>
        <v>0</v>
      </c>
      <c r="BP169" s="446">
        <f>SUMIF(FEB!$G$157:$J$157,BP$111,FEB!$R32:$U32)+SUMIF(FEB!$G$157:$J$157,BP$111,FEB!$W32:$Z32)</f>
        <v>0</v>
      </c>
      <c r="BQ169" s="448">
        <f>SUMIF(FEB!$G$157:$J$157,BQ$111,FEB!$R32:$U32)+SUMIF(FEB!$G$157:$J$157,BQ$111,FEB!$W32:$Z32)</f>
        <v>0</v>
      </c>
      <c r="BR169" s="571"/>
      <c r="BS169" s="446"/>
      <c r="BT169" s="448"/>
      <c r="BU169" s="470"/>
      <c r="BV169" s="445">
        <f>SUMIF(FEB!$G$158:$J$158,BV$111,FEB!$R32:$U32)+SUMIF(FEB!$G$158:$J$158,BV$111,FEB!$W32:$Z32)</f>
        <v>0</v>
      </c>
      <c r="BW169" s="446">
        <f>SUMIF(FEB!$G$158:$J$158,BW$111,FEB!$R32:$U32)+SUMIF(FEB!$G$158:$J$158,BW$111,FEB!$W32:$Z32)</f>
        <v>0</v>
      </c>
      <c r="BX169" s="446">
        <f>SUMIF(FEB!$G$158:$J$158,BX$111,FEB!$R32:$U32)+SUMIF(FEB!$G$158:$J$158,BX$111,FEB!$W32:$Z32)</f>
        <v>0</v>
      </c>
      <c r="BY169" s="446">
        <f>SUMIF(FEB!$G$158:$J$158,BY$111,FEB!$R32:$U32)+SUMIF(FEB!$G$158:$J$158,BY$111,FEB!$W32:$Z32)</f>
        <v>0</v>
      </c>
      <c r="BZ169" s="446">
        <f>SUMIF(FEB!$G$158:$J$158,BZ$111,FEB!$R32:$U32)+SUMIF(FEB!$G$158:$J$158,BZ$111,FEB!$W32:$Z32)</f>
        <v>0</v>
      </c>
      <c r="CA169" s="446">
        <f>SUMIF(FEB!$G$158:$J$158,CA$111,FEB!$R32:$U32)+SUMIF(FEB!$G$158:$J$158,CA$111,FEB!$W32:$Z32)</f>
        <v>0</v>
      </c>
      <c r="CB169" s="448">
        <f>SUMIF(FEB!$G$158:$J$158,CB$111,FEB!$R32:$U32)+SUMIF(FEB!$G$158:$J$158,CB$111,FEB!$W32:$Z32)</f>
        <v>0</v>
      </c>
      <c r="CC169" s="571"/>
      <c r="CD169" s="448"/>
      <c r="CE169" s="92">
        <f t="shared" si="224"/>
        <v>0</v>
      </c>
      <c r="CF169" s="92">
        <f t="shared" si="225"/>
        <v>0</v>
      </c>
      <c r="CG169" s="151" t="str">
        <f t="shared" si="229"/>
        <v/>
      </c>
      <c r="CH169" s="92">
        <f t="shared" si="213"/>
        <v>0</v>
      </c>
      <c r="CI169" s="92" t="str">
        <f t="shared" si="226"/>
        <v/>
      </c>
      <c r="CJ169" s="1100">
        <f>FEB!AM32</f>
        <v>0</v>
      </c>
      <c r="CK169" s="445">
        <f>SUMIF(FEB!$G$155:$J$155,CK$112,FEB!$AN32:$AQ32)</f>
        <v>0</v>
      </c>
      <c r="CL169" s="446">
        <f>SUMIF(FEB!$G$155:$J$155,CL$112,FEB!$AN32:$AQ32)</f>
        <v>0</v>
      </c>
      <c r="CM169" s="447">
        <f>SUMIF(FEB!$G$155:$J$155,CM$112,FEB!$AN32:$AQ32)</f>
        <v>0</v>
      </c>
      <c r="CN169" s="448">
        <f>SUMIF(FEB!$G$155:$J$155,CN$112,FEB!$AN32:$AQ32)</f>
        <v>0</v>
      </c>
      <c r="CO169" s="1100">
        <f>FEB!AS32</f>
        <v>0</v>
      </c>
      <c r="CP169" s="445">
        <f>FEB!AT32</f>
        <v>0</v>
      </c>
      <c r="CQ169" s="446">
        <f>FEB!AU32</f>
        <v>0</v>
      </c>
      <c r="CR169" s="447">
        <f>FEB!AV32</f>
        <v>0</v>
      </c>
      <c r="CS169" s="448">
        <f>FEB!AW32</f>
        <v>0</v>
      </c>
      <c r="CT169" s="1100">
        <f>FEB!AY32</f>
        <v>0</v>
      </c>
      <c r="CU169" s="2"/>
    </row>
    <row r="170" spans="1:99" ht="14.25" hidden="1" customHeight="1" x14ac:dyDescent="0.2">
      <c r="A170" s="2"/>
      <c r="B170" s="151">
        <f t="shared" si="214"/>
        <v>45348</v>
      </c>
      <c r="C170" s="223">
        <f>IF(AND(E170&gt;(E$492-1),E170&lt;(I$492+1)),W$485,IF(ISERROR(HLOOKUP(E170,$E$485:$L$485,1,FALSE)),HLOOKUP(WEEKDAY(E170,2),IMPOSTAZIONI!$C$51:$P$56,6,FALSE),$W$484))</f>
        <v>0</v>
      </c>
      <c r="D170" s="103" t="str">
        <f t="shared" si="215"/>
        <v/>
      </c>
      <c r="E170" s="2380">
        <f t="shared" si="227"/>
        <v>45348</v>
      </c>
      <c r="F170" s="2381"/>
      <c r="G170" s="2325">
        <f>FEB!E33</f>
        <v>0</v>
      </c>
      <c r="H170" s="2326"/>
      <c r="I170" s="2327"/>
      <c r="J170" s="479" t="str">
        <f t="shared" si="210"/>
        <v/>
      </c>
      <c r="K170" s="480"/>
      <c r="L170" s="2323">
        <f t="shared" si="228"/>
        <v>9</v>
      </c>
      <c r="M170" s="2324"/>
      <c r="N170" s="478"/>
      <c r="O170" s="478"/>
      <c r="P170" s="478"/>
      <c r="Q170" s="2315">
        <f t="shared" si="217"/>
        <v>45348</v>
      </c>
      <c r="R170" s="2315"/>
      <c r="S170" s="478"/>
      <c r="T170" s="140">
        <f t="shared" si="218"/>
        <v>0</v>
      </c>
      <c r="U170" s="478"/>
      <c r="V170" s="478"/>
      <c r="W170" s="478"/>
      <c r="X170" s="478"/>
      <c r="Y170" s="478"/>
      <c r="Z170" s="478"/>
      <c r="AA170" s="478"/>
      <c r="AB170" s="478"/>
      <c r="AC170" s="478"/>
      <c r="AD170" s="478"/>
      <c r="AE170" s="478"/>
      <c r="AF170" s="478"/>
      <c r="AG170" s="140">
        <f t="shared" si="219"/>
        <v>0</v>
      </c>
      <c r="AH170" s="92" t="str">
        <f t="shared" si="220"/>
        <v/>
      </c>
      <c r="AI170" s="131">
        <f t="shared" si="221"/>
        <v>0</v>
      </c>
      <c r="AJ170" s="2"/>
      <c r="AK170" s="92">
        <f>IF(G170=G$481,0,IF(OR(G170&lt;&gt;0,CJ170&lt;&gt;0,C170="L"),COUNTIF(AK$114:AK169,"&gt;0")+1,0))</f>
        <v>0</v>
      </c>
      <c r="AL170" s="92" t="str">
        <f t="shared" si="222"/>
        <v/>
      </c>
      <c r="AM170" s="92" t="str">
        <f t="shared" si="223"/>
        <v/>
      </c>
      <c r="AN170" s="131">
        <f t="shared" si="211"/>
        <v>0</v>
      </c>
      <c r="AO170" s="447">
        <f>SUM(FEB!W33:Z33)</f>
        <v>0</v>
      </c>
      <c r="AP170" s="445">
        <f>SUMIF(FEB!$G$155:$J$155,AP$112,FEB!$R33:$U33)</f>
        <v>0</v>
      </c>
      <c r="AQ170" s="446">
        <f>SUMIF(FEB!$G$155:$J$155,AQ$112,FEB!$R33:$U33)</f>
        <v>0</v>
      </c>
      <c r="AR170" s="447">
        <f>SUMIF(FEB!$G$155:$J$155,AR$112,FEB!$R33:$U33)</f>
        <v>0</v>
      </c>
      <c r="AS170" s="448">
        <f>SUMIF(FEB!$G$155:$J$155,AS$112,FEB!$R33:$U33)</f>
        <v>0</v>
      </c>
      <c r="AT170" s="449">
        <f>FEB!AG33</f>
        <v>0</v>
      </c>
      <c r="AU170" s="445">
        <f>FEB!AH33</f>
        <v>0</v>
      </c>
      <c r="AV170" s="446">
        <f>FEB!AI33</f>
        <v>0</v>
      </c>
      <c r="AW170" s="447">
        <f>FEB!AJ33</f>
        <v>0</v>
      </c>
      <c r="AX170" s="448">
        <f>FEB!AK33</f>
        <v>0</v>
      </c>
      <c r="AY170" s="445">
        <f>SUMIF(FEB!$G$152:$J$152,"&gt;0",FEB!$W33:$Z33)</f>
        <v>0</v>
      </c>
      <c r="AZ170" s="1063">
        <f>SUM(FEB!AB33:AE33)</f>
        <v>0</v>
      </c>
      <c r="BA170" s="445">
        <f>SUMIF(FEB!$G$159:$J$159,BA$111,FEB!$R33:$U33)+SUMIF(FEB!$G$159:$J$159,BA$111,FEB!$W33:$Z33)</f>
        <v>0</v>
      </c>
      <c r="BB170" s="446">
        <f>SUMIF(FEB!$G$159:$J$159,BB$111,FEB!$R33:$U33)+SUMIF(FEB!$G$159:$J$159,BB$111,FEB!$W33:$Z33)</f>
        <v>0</v>
      </c>
      <c r="BC170" s="446">
        <f>SUMIF(FEB!$G$159:$J$159,BC$111,FEB!$R33:$U33)+SUMIF(FEB!$G$159:$J$159,BC$111,FEB!$W33:$Z33)</f>
        <v>0</v>
      </c>
      <c r="BD170" s="446">
        <f>SUMIF(FEB!$G$159:$J$159,BD$111,FEB!$R33:$U33)+SUMIF(FEB!$G$159:$J$159,BD$111,FEB!$W33:$Z33)</f>
        <v>0</v>
      </c>
      <c r="BE170" s="446">
        <f>SUMIF(FEB!$G$159:$J$159,BE$111,FEB!$R33:$U33)+SUMIF(FEB!$G$159:$J$159,BE$111,FEB!$W33:$Z33)</f>
        <v>0</v>
      </c>
      <c r="BF170" s="446">
        <f>SUMIF(FEB!$G$159:$J$159,BF$111,FEB!$R33:$U33)+SUMIF(FEB!$G$159:$J$159,BF$111,FEB!$W33:$Z33)</f>
        <v>0</v>
      </c>
      <c r="BG170" s="448">
        <f>SUMIF(FEB!$G$159:$J$159,BG$111,FEB!$R33:$U33)+SUMIF(FEB!$G$159:$J$159,BG$111,FEB!$W33:$Z33)</f>
        <v>0</v>
      </c>
      <c r="BH170" s="571"/>
      <c r="BI170" s="448"/>
      <c r="BJ170" s="470"/>
      <c r="BK170" s="445">
        <f>SUMIF(FEB!$G$157:$J$157,BK$111,FEB!$R33:$U33)+SUMIF(FEB!$G$157:$J$157,BK$111,FEB!$W33:$Z33)</f>
        <v>0</v>
      </c>
      <c r="BL170" s="446">
        <f>SUMIF(FEB!$G$157:$J$157,BL$111,FEB!$R33:$U33)+SUMIF(FEB!$G$157:$J$157,BL$111,FEB!$W33:$Z33)</f>
        <v>0</v>
      </c>
      <c r="BM170" s="446">
        <f>SUMIF(FEB!$G$157:$J$157,BM$111,FEB!$R33:$U33)+SUMIF(FEB!$G$157:$J$157,BM$111,FEB!$W33:$Z33)</f>
        <v>0</v>
      </c>
      <c r="BN170" s="446">
        <f>SUMIF(FEB!$G$157:$J$157,BN$111,FEB!$R33:$U33)+SUMIF(FEB!$G$157:$J$157,BN$111,FEB!$W33:$Z33)</f>
        <v>0</v>
      </c>
      <c r="BO170" s="446">
        <f>SUMIF(FEB!$G$157:$J$157,BO$111,FEB!$R33:$U33)+SUMIF(FEB!$G$157:$J$157,BO$111,FEB!$W33:$Z33)</f>
        <v>0</v>
      </c>
      <c r="BP170" s="446">
        <f>SUMIF(FEB!$G$157:$J$157,BP$111,FEB!$R33:$U33)+SUMIF(FEB!$G$157:$J$157,BP$111,FEB!$W33:$Z33)</f>
        <v>0</v>
      </c>
      <c r="BQ170" s="448">
        <f>SUMIF(FEB!$G$157:$J$157,BQ$111,FEB!$R33:$U33)+SUMIF(FEB!$G$157:$J$157,BQ$111,FEB!$W33:$Z33)</f>
        <v>0</v>
      </c>
      <c r="BR170" s="571"/>
      <c r="BS170" s="446"/>
      <c r="BT170" s="448"/>
      <c r="BU170" s="470"/>
      <c r="BV170" s="445">
        <f>SUMIF(FEB!$G$158:$J$158,BV$111,FEB!$R33:$U33)+SUMIF(FEB!$G$158:$J$158,BV$111,FEB!$W33:$Z33)</f>
        <v>0</v>
      </c>
      <c r="BW170" s="446">
        <f>SUMIF(FEB!$G$158:$J$158,BW$111,FEB!$R33:$U33)+SUMIF(FEB!$G$158:$J$158,BW$111,FEB!$W33:$Z33)</f>
        <v>0</v>
      </c>
      <c r="BX170" s="446">
        <f>SUMIF(FEB!$G$158:$J$158,BX$111,FEB!$R33:$U33)+SUMIF(FEB!$G$158:$J$158,BX$111,FEB!$W33:$Z33)</f>
        <v>0</v>
      </c>
      <c r="BY170" s="446">
        <f>SUMIF(FEB!$G$158:$J$158,BY$111,FEB!$R33:$U33)+SUMIF(FEB!$G$158:$J$158,BY$111,FEB!$W33:$Z33)</f>
        <v>0</v>
      </c>
      <c r="BZ170" s="446">
        <f>SUMIF(FEB!$G$158:$J$158,BZ$111,FEB!$R33:$U33)+SUMIF(FEB!$G$158:$J$158,BZ$111,FEB!$W33:$Z33)</f>
        <v>0</v>
      </c>
      <c r="CA170" s="446">
        <f>SUMIF(FEB!$G$158:$J$158,CA$111,FEB!$R33:$U33)+SUMIF(FEB!$G$158:$J$158,CA$111,FEB!$W33:$Z33)</f>
        <v>0</v>
      </c>
      <c r="CB170" s="448">
        <f>SUMIF(FEB!$G$158:$J$158,CB$111,FEB!$R33:$U33)+SUMIF(FEB!$G$158:$J$158,CB$111,FEB!$W33:$Z33)</f>
        <v>0</v>
      </c>
      <c r="CC170" s="571"/>
      <c r="CD170" s="448"/>
      <c r="CE170" s="92">
        <f t="shared" si="224"/>
        <v>0</v>
      </c>
      <c r="CF170" s="92">
        <f t="shared" si="225"/>
        <v>0</v>
      </c>
      <c r="CG170" s="151" t="str">
        <f t="shared" si="229"/>
        <v/>
      </c>
      <c r="CH170" s="92">
        <f t="shared" si="213"/>
        <v>0</v>
      </c>
      <c r="CI170" s="92" t="str">
        <f t="shared" si="226"/>
        <v/>
      </c>
      <c r="CJ170" s="1100">
        <f>FEB!AM33</f>
        <v>0</v>
      </c>
      <c r="CK170" s="445">
        <f>SUMIF(FEB!$G$155:$J$155,CK$112,FEB!$AN33:$AQ33)</f>
        <v>0</v>
      </c>
      <c r="CL170" s="446">
        <f>SUMIF(FEB!$G$155:$J$155,CL$112,FEB!$AN33:$AQ33)</f>
        <v>0</v>
      </c>
      <c r="CM170" s="447">
        <f>SUMIF(FEB!$G$155:$J$155,CM$112,FEB!$AN33:$AQ33)</f>
        <v>0</v>
      </c>
      <c r="CN170" s="448">
        <f>SUMIF(FEB!$G$155:$J$155,CN$112,FEB!$AN33:$AQ33)</f>
        <v>0</v>
      </c>
      <c r="CO170" s="1100">
        <f>FEB!AS33</f>
        <v>0</v>
      </c>
      <c r="CP170" s="445">
        <f>FEB!AT33</f>
        <v>0</v>
      </c>
      <c r="CQ170" s="446">
        <f>FEB!AU33</f>
        <v>0</v>
      </c>
      <c r="CR170" s="447">
        <f>FEB!AV33</f>
        <v>0</v>
      </c>
      <c r="CS170" s="448">
        <f>FEB!AW33</f>
        <v>0</v>
      </c>
      <c r="CT170" s="1100">
        <f>FEB!AY33</f>
        <v>0</v>
      </c>
      <c r="CU170" s="2"/>
    </row>
    <row r="171" spans="1:99" ht="14.25" hidden="1" customHeight="1" x14ac:dyDescent="0.2">
      <c r="A171" s="2"/>
      <c r="B171" s="151">
        <f t="shared" si="214"/>
        <v>45349</v>
      </c>
      <c r="C171" s="223">
        <f>IF(AND(E171&gt;(E$492-1),E171&lt;(I$492+1)),W$485,IF(ISERROR(HLOOKUP(E171,$E$485:$L$485,1,FALSE)),HLOOKUP(WEEKDAY(E171,2),IMPOSTAZIONI!$C$51:$P$56,6,FALSE),$W$484))</f>
        <v>0</v>
      </c>
      <c r="D171" s="103" t="str">
        <f t="shared" si="215"/>
        <v/>
      </c>
      <c r="E171" s="2380">
        <f t="shared" si="227"/>
        <v>45349</v>
      </c>
      <c r="F171" s="2381"/>
      <c r="G171" s="2325">
        <f>FEB!E34</f>
        <v>0</v>
      </c>
      <c r="H171" s="2326"/>
      <c r="I171" s="2327"/>
      <c r="J171" s="479" t="str">
        <f t="shared" si="210"/>
        <v/>
      </c>
      <c r="K171" s="480"/>
      <c r="L171" s="2319">
        <f t="shared" si="228"/>
        <v>9</v>
      </c>
      <c r="M171" s="2320"/>
      <c r="N171" s="478"/>
      <c r="O171" s="478"/>
      <c r="P171" s="478"/>
      <c r="Q171" s="2315">
        <f t="shared" si="217"/>
        <v>45349</v>
      </c>
      <c r="R171" s="2315"/>
      <c r="S171" s="478"/>
      <c r="T171" s="140">
        <f t="shared" si="218"/>
        <v>0</v>
      </c>
      <c r="U171" s="478"/>
      <c r="V171" s="478"/>
      <c r="W171" s="478"/>
      <c r="X171" s="478"/>
      <c r="Y171" s="478"/>
      <c r="Z171" s="478"/>
      <c r="AA171" s="478"/>
      <c r="AB171" s="478"/>
      <c r="AC171" s="478"/>
      <c r="AD171" s="478"/>
      <c r="AE171" s="478"/>
      <c r="AF171" s="478"/>
      <c r="AG171" s="140">
        <f t="shared" si="219"/>
        <v>0</v>
      </c>
      <c r="AH171" s="92" t="str">
        <f t="shared" si="220"/>
        <v/>
      </c>
      <c r="AI171" s="131">
        <f t="shared" si="221"/>
        <v>0</v>
      </c>
      <c r="AJ171" s="2"/>
      <c r="AK171" s="92">
        <f>IF(G171=G$481,0,IF(OR(G171&lt;&gt;0,CJ171&lt;&gt;0,C171="L"),COUNTIF(AK$114:AK170,"&gt;0")+1,0))</f>
        <v>0</v>
      </c>
      <c r="AL171" s="92" t="str">
        <f t="shared" si="222"/>
        <v/>
      </c>
      <c r="AM171" s="92" t="str">
        <f t="shared" si="223"/>
        <v/>
      </c>
      <c r="AN171" s="131">
        <f t="shared" si="211"/>
        <v>0</v>
      </c>
      <c r="AO171" s="447">
        <f>SUM(FEB!W34:Z34)</f>
        <v>0</v>
      </c>
      <c r="AP171" s="445">
        <f>SUMIF(FEB!$G$155:$J$155,AP$112,FEB!$R34:$U34)</f>
        <v>0</v>
      </c>
      <c r="AQ171" s="446">
        <f>SUMIF(FEB!$G$155:$J$155,AQ$112,FEB!$R34:$U34)</f>
        <v>0</v>
      </c>
      <c r="AR171" s="447">
        <f>SUMIF(FEB!$G$155:$J$155,AR$112,FEB!$R34:$U34)</f>
        <v>0</v>
      </c>
      <c r="AS171" s="448">
        <f>SUMIF(FEB!$G$155:$J$155,AS$112,FEB!$R34:$U34)</f>
        <v>0</v>
      </c>
      <c r="AT171" s="449">
        <f>FEB!AG34</f>
        <v>0</v>
      </c>
      <c r="AU171" s="445">
        <f>FEB!AH34</f>
        <v>0</v>
      </c>
      <c r="AV171" s="446">
        <f>FEB!AI34</f>
        <v>0</v>
      </c>
      <c r="AW171" s="447">
        <f>FEB!AJ34</f>
        <v>0</v>
      </c>
      <c r="AX171" s="448">
        <f>FEB!AK34</f>
        <v>0</v>
      </c>
      <c r="AY171" s="445">
        <f>SUMIF(FEB!$G$152:$J$152,"&gt;0",FEB!$W34:$Z34)</f>
        <v>0</v>
      </c>
      <c r="AZ171" s="1063">
        <f>SUM(FEB!AB34:AE34)</f>
        <v>0</v>
      </c>
      <c r="BA171" s="445">
        <f>SUMIF(FEB!$G$159:$J$159,BA$111,FEB!$R34:$U34)+SUMIF(FEB!$G$159:$J$159,BA$111,FEB!$W34:$Z34)</f>
        <v>0</v>
      </c>
      <c r="BB171" s="446">
        <f>SUMIF(FEB!$G$159:$J$159,BB$111,FEB!$R34:$U34)+SUMIF(FEB!$G$159:$J$159,BB$111,FEB!$W34:$Z34)</f>
        <v>0</v>
      </c>
      <c r="BC171" s="446">
        <f>SUMIF(FEB!$G$159:$J$159,BC$111,FEB!$R34:$U34)+SUMIF(FEB!$G$159:$J$159,BC$111,FEB!$W34:$Z34)</f>
        <v>0</v>
      </c>
      <c r="BD171" s="446">
        <f>SUMIF(FEB!$G$159:$J$159,BD$111,FEB!$R34:$U34)+SUMIF(FEB!$G$159:$J$159,BD$111,FEB!$W34:$Z34)</f>
        <v>0</v>
      </c>
      <c r="BE171" s="446">
        <f>SUMIF(FEB!$G$159:$J$159,BE$111,FEB!$R34:$U34)+SUMIF(FEB!$G$159:$J$159,BE$111,FEB!$W34:$Z34)</f>
        <v>0</v>
      </c>
      <c r="BF171" s="446">
        <f>SUMIF(FEB!$G$159:$J$159,BF$111,FEB!$R34:$U34)+SUMIF(FEB!$G$159:$J$159,BF$111,FEB!$W34:$Z34)</f>
        <v>0</v>
      </c>
      <c r="BG171" s="448">
        <f>SUMIF(FEB!$G$159:$J$159,BG$111,FEB!$R34:$U34)+SUMIF(FEB!$G$159:$J$159,BG$111,FEB!$W34:$Z34)</f>
        <v>0</v>
      </c>
      <c r="BH171" s="571"/>
      <c r="BI171" s="448"/>
      <c r="BJ171" s="470"/>
      <c r="BK171" s="445">
        <f>SUMIF(FEB!$G$157:$J$157,BK$111,FEB!$R34:$U34)+SUMIF(FEB!$G$157:$J$157,BK$111,FEB!$W34:$Z34)</f>
        <v>0</v>
      </c>
      <c r="BL171" s="446">
        <f>SUMIF(FEB!$G$157:$J$157,BL$111,FEB!$R34:$U34)+SUMIF(FEB!$G$157:$J$157,BL$111,FEB!$W34:$Z34)</f>
        <v>0</v>
      </c>
      <c r="BM171" s="446">
        <f>SUMIF(FEB!$G$157:$J$157,BM$111,FEB!$R34:$U34)+SUMIF(FEB!$G$157:$J$157,BM$111,FEB!$W34:$Z34)</f>
        <v>0</v>
      </c>
      <c r="BN171" s="446">
        <f>SUMIF(FEB!$G$157:$J$157,BN$111,FEB!$R34:$U34)+SUMIF(FEB!$G$157:$J$157,BN$111,FEB!$W34:$Z34)</f>
        <v>0</v>
      </c>
      <c r="BO171" s="446">
        <f>SUMIF(FEB!$G$157:$J$157,BO$111,FEB!$R34:$U34)+SUMIF(FEB!$G$157:$J$157,BO$111,FEB!$W34:$Z34)</f>
        <v>0</v>
      </c>
      <c r="BP171" s="446">
        <f>SUMIF(FEB!$G$157:$J$157,BP$111,FEB!$R34:$U34)+SUMIF(FEB!$G$157:$J$157,BP$111,FEB!$W34:$Z34)</f>
        <v>0</v>
      </c>
      <c r="BQ171" s="448">
        <f>SUMIF(FEB!$G$157:$J$157,BQ$111,FEB!$R34:$U34)+SUMIF(FEB!$G$157:$J$157,BQ$111,FEB!$W34:$Z34)</f>
        <v>0</v>
      </c>
      <c r="BR171" s="571"/>
      <c r="BS171" s="446"/>
      <c r="BT171" s="448"/>
      <c r="BU171" s="470"/>
      <c r="BV171" s="445">
        <f>SUMIF(FEB!$G$158:$J$158,BV$111,FEB!$R34:$U34)+SUMIF(FEB!$G$158:$J$158,BV$111,FEB!$W34:$Z34)</f>
        <v>0</v>
      </c>
      <c r="BW171" s="446">
        <f>SUMIF(FEB!$G$158:$J$158,BW$111,FEB!$R34:$U34)+SUMIF(FEB!$G$158:$J$158,BW$111,FEB!$W34:$Z34)</f>
        <v>0</v>
      </c>
      <c r="BX171" s="446">
        <f>SUMIF(FEB!$G$158:$J$158,BX$111,FEB!$R34:$U34)+SUMIF(FEB!$G$158:$J$158,BX$111,FEB!$W34:$Z34)</f>
        <v>0</v>
      </c>
      <c r="BY171" s="446">
        <f>SUMIF(FEB!$G$158:$J$158,BY$111,FEB!$R34:$U34)+SUMIF(FEB!$G$158:$J$158,BY$111,FEB!$W34:$Z34)</f>
        <v>0</v>
      </c>
      <c r="BZ171" s="446">
        <f>SUMIF(FEB!$G$158:$J$158,BZ$111,FEB!$R34:$U34)+SUMIF(FEB!$G$158:$J$158,BZ$111,FEB!$W34:$Z34)</f>
        <v>0</v>
      </c>
      <c r="CA171" s="446">
        <f>SUMIF(FEB!$G$158:$J$158,CA$111,FEB!$R34:$U34)+SUMIF(FEB!$G$158:$J$158,CA$111,FEB!$W34:$Z34)</f>
        <v>0</v>
      </c>
      <c r="CB171" s="448">
        <f>SUMIF(FEB!$G$158:$J$158,CB$111,FEB!$R34:$U34)+SUMIF(FEB!$G$158:$J$158,CB$111,FEB!$W34:$Z34)</f>
        <v>0</v>
      </c>
      <c r="CC171" s="571"/>
      <c r="CD171" s="448"/>
      <c r="CE171" s="92">
        <f t="shared" si="224"/>
        <v>0</v>
      </c>
      <c r="CF171" s="92">
        <f t="shared" si="225"/>
        <v>0</v>
      </c>
      <c r="CG171" s="151" t="str">
        <f t="shared" si="229"/>
        <v/>
      </c>
      <c r="CH171" s="92">
        <f t="shared" si="213"/>
        <v>0</v>
      </c>
      <c r="CI171" s="92" t="str">
        <f t="shared" si="226"/>
        <v/>
      </c>
      <c r="CJ171" s="1100">
        <f>FEB!AM34</f>
        <v>0</v>
      </c>
      <c r="CK171" s="445">
        <f>SUMIF(FEB!$G$155:$J$155,CK$112,FEB!$AN34:$AQ34)</f>
        <v>0</v>
      </c>
      <c r="CL171" s="446">
        <f>SUMIF(FEB!$G$155:$J$155,CL$112,FEB!$AN34:$AQ34)</f>
        <v>0</v>
      </c>
      <c r="CM171" s="447">
        <f>SUMIF(FEB!$G$155:$J$155,CM$112,FEB!$AN34:$AQ34)</f>
        <v>0</v>
      </c>
      <c r="CN171" s="448">
        <f>SUMIF(FEB!$G$155:$J$155,CN$112,FEB!$AN34:$AQ34)</f>
        <v>0</v>
      </c>
      <c r="CO171" s="1100">
        <f>FEB!AS34</f>
        <v>0</v>
      </c>
      <c r="CP171" s="445">
        <f>FEB!AT34</f>
        <v>0</v>
      </c>
      <c r="CQ171" s="446">
        <f>FEB!AU34</f>
        <v>0</v>
      </c>
      <c r="CR171" s="447">
        <f>FEB!AV34</f>
        <v>0</v>
      </c>
      <c r="CS171" s="448">
        <f>FEB!AW34</f>
        <v>0</v>
      </c>
      <c r="CT171" s="1100">
        <f>FEB!AY34</f>
        <v>0</v>
      </c>
      <c r="CU171" s="2"/>
    </row>
    <row r="172" spans="1:99" ht="14.25" hidden="1" customHeight="1" x14ac:dyDescent="0.2">
      <c r="A172" s="2"/>
      <c r="B172" s="151">
        <f t="shared" si="214"/>
        <v>45350</v>
      </c>
      <c r="C172" s="223">
        <f>IF(AND(E172&gt;(E$492-1),E172&lt;(I$492+1)),W$485,IF(ISERROR(HLOOKUP(E172,$E$485:$L$485,1,FALSE)),HLOOKUP(WEEKDAY(E172,2),IMPOSTAZIONI!$C$51:$P$56,6,FALSE),$W$484))</f>
        <v>0</v>
      </c>
      <c r="D172" s="103" t="str">
        <f t="shared" si="215"/>
        <v/>
      </c>
      <c r="E172" s="2380">
        <f t="shared" si="227"/>
        <v>45350</v>
      </c>
      <c r="F172" s="2381"/>
      <c r="G172" s="2325">
        <f>FEB!E35</f>
        <v>0</v>
      </c>
      <c r="H172" s="2326"/>
      <c r="I172" s="2327"/>
      <c r="J172" s="479" t="str">
        <f t="shared" si="210"/>
        <v/>
      </c>
      <c r="K172" s="480"/>
      <c r="L172" s="2319">
        <f t="shared" si="228"/>
        <v>9</v>
      </c>
      <c r="M172" s="2320"/>
      <c r="N172" s="478"/>
      <c r="O172" s="478"/>
      <c r="P172" s="478"/>
      <c r="Q172" s="2315">
        <f t="shared" si="217"/>
        <v>45350</v>
      </c>
      <c r="R172" s="2315"/>
      <c r="S172" s="478"/>
      <c r="T172" s="140">
        <f t="shared" si="218"/>
        <v>0</v>
      </c>
      <c r="U172" s="478"/>
      <c r="V172" s="478"/>
      <c r="W172" s="478"/>
      <c r="X172" s="478"/>
      <c r="Y172" s="478"/>
      <c r="Z172" s="478"/>
      <c r="AA172" s="478"/>
      <c r="AB172" s="478"/>
      <c r="AC172" s="478"/>
      <c r="AD172" s="478"/>
      <c r="AE172" s="478"/>
      <c r="AF172" s="478"/>
      <c r="AG172" s="140">
        <f t="shared" si="219"/>
        <v>0</v>
      </c>
      <c r="AH172" s="92" t="str">
        <f t="shared" si="220"/>
        <v/>
      </c>
      <c r="AI172" s="131">
        <f t="shared" si="221"/>
        <v>0</v>
      </c>
      <c r="AJ172" s="2"/>
      <c r="AK172" s="92">
        <f>IF(G172=G$481,0,IF(OR(G172&lt;&gt;0,CJ172&lt;&gt;0,C172="L"),COUNTIF(AK$114:AK171,"&gt;0")+1,0))</f>
        <v>0</v>
      </c>
      <c r="AL172" s="92" t="str">
        <f t="shared" si="222"/>
        <v/>
      </c>
      <c r="AM172" s="92" t="str">
        <f t="shared" si="223"/>
        <v/>
      </c>
      <c r="AN172" s="131">
        <f t="shared" si="211"/>
        <v>0</v>
      </c>
      <c r="AO172" s="447">
        <f>SUM(FEB!W35:Z35)</f>
        <v>0</v>
      </c>
      <c r="AP172" s="445">
        <f>SUMIF(FEB!$G$155:$J$155,AP$112,FEB!$R35:$U35)</f>
        <v>0</v>
      </c>
      <c r="AQ172" s="446">
        <f>SUMIF(FEB!$G$155:$J$155,AQ$112,FEB!$R35:$U35)</f>
        <v>0</v>
      </c>
      <c r="AR172" s="447">
        <f>SUMIF(FEB!$G$155:$J$155,AR$112,FEB!$R35:$U35)</f>
        <v>0</v>
      </c>
      <c r="AS172" s="448">
        <f>SUMIF(FEB!$G$155:$J$155,AS$112,FEB!$R35:$U35)</f>
        <v>0</v>
      </c>
      <c r="AT172" s="449">
        <f>FEB!AG35</f>
        <v>0</v>
      </c>
      <c r="AU172" s="445">
        <f>FEB!AH35</f>
        <v>0</v>
      </c>
      <c r="AV172" s="446">
        <f>FEB!AI35</f>
        <v>0</v>
      </c>
      <c r="AW172" s="447">
        <f>FEB!AJ35</f>
        <v>0</v>
      </c>
      <c r="AX172" s="448">
        <f>FEB!AK35</f>
        <v>0</v>
      </c>
      <c r="AY172" s="445">
        <f>SUMIF(FEB!$G$152:$J$152,"&gt;0",FEB!$W35:$Z35)</f>
        <v>0</v>
      </c>
      <c r="AZ172" s="1063">
        <f>SUM(FEB!AB35:AE35)</f>
        <v>0</v>
      </c>
      <c r="BA172" s="445">
        <f>SUMIF(FEB!$G$159:$J$159,BA$111,FEB!$R35:$U35)+SUMIF(FEB!$G$159:$J$159,BA$111,FEB!$W35:$Z35)</f>
        <v>0</v>
      </c>
      <c r="BB172" s="446">
        <f>SUMIF(FEB!$G$159:$J$159,BB$111,FEB!$R35:$U35)+SUMIF(FEB!$G$159:$J$159,BB$111,FEB!$W35:$Z35)</f>
        <v>0</v>
      </c>
      <c r="BC172" s="446">
        <f>SUMIF(FEB!$G$159:$J$159,BC$111,FEB!$R35:$U35)+SUMIF(FEB!$G$159:$J$159,BC$111,FEB!$W35:$Z35)</f>
        <v>0</v>
      </c>
      <c r="BD172" s="446">
        <f>SUMIF(FEB!$G$159:$J$159,BD$111,FEB!$R35:$U35)+SUMIF(FEB!$G$159:$J$159,BD$111,FEB!$W35:$Z35)</f>
        <v>0</v>
      </c>
      <c r="BE172" s="446">
        <f>SUMIF(FEB!$G$159:$J$159,BE$111,FEB!$R35:$U35)+SUMIF(FEB!$G$159:$J$159,BE$111,FEB!$W35:$Z35)</f>
        <v>0</v>
      </c>
      <c r="BF172" s="446">
        <f>SUMIF(FEB!$G$159:$J$159,BF$111,FEB!$R35:$U35)+SUMIF(FEB!$G$159:$J$159,BF$111,FEB!$W35:$Z35)</f>
        <v>0</v>
      </c>
      <c r="BG172" s="448">
        <f>SUMIF(FEB!$G$159:$J$159,BG$111,FEB!$R35:$U35)+SUMIF(FEB!$G$159:$J$159,BG$111,FEB!$W35:$Z35)</f>
        <v>0</v>
      </c>
      <c r="BH172" s="571"/>
      <c r="BI172" s="448"/>
      <c r="BJ172" s="470"/>
      <c r="BK172" s="445">
        <f>SUMIF(FEB!$G$157:$J$157,BK$111,FEB!$R35:$U35)+SUMIF(FEB!$G$157:$J$157,BK$111,FEB!$W35:$Z35)</f>
        <v>0</v>
      </c>
      <c r="BL172" s="446">
        <f>SUMIF(FEB!$G$157:$J$157,BL$111,FEB!$R35:$U35)+SUMIF(FEB!$G$157:$J$157,BL$111,FEB!$W35:$Z35)</f>
        <v>0</v>
      </c>
      <c r="BM172" s="446">
        <f>SUMIF(FEB!$G$157:$J$157,BM$111,FEB!$R35:$U35)+SUMIF(FEB!$G$157:$J$157,BM$111,FEB!$W35:$Z35)</f>
        <v>0</v>
      </c>
      <c r="BN172" s="446">
        <f>SUMIF(FEB!$G$157:$J$157,BN$111,FEB!$R35:$U35)+SUMIF(FEB!$G$157:$J$157,BN$111,FEB!$W35:$Z35)</f>
        <v>0</v>
      </c>
      <c r="BO172" s="446">
        <f>SUMIF(FEB!$G$157:$J$157,BO$111,FEB!$R35:$U35)+SUMIF(FEB!$G$157:$J$157,BO$111,FEB!$W35:$Z35)</f>
        <v>0</v>
      </c>
      <c r="BP172" s="446">
        <f>SUMIF(FEB!$G$157:$J$157,BP$111,FEB!$R35:$U35)+SUMIF(FEB!$G$157:$J$157,BP$111,FEB!$W35:$Z35)</f>
        <v>0</v>
      </c>
      <c r="BQ172" s="448">
        <f>SUMIF(FEB!$G$157:$J$157,BQ$111,FEB!$R35:$U35)+SUMIF(FEB!$G$157:$J$157,BQ$111,FEB!$W35:$Z35)</f>
        <v>0</v>
      </c>
      <c r="BR172" s="571"/>
      <c r="BS172" s="446"/>
      <c r="BT172" s="448"/>
      <c r="BU172" s="470"/>
      <c r="BV172" s="445">
        <f>SUMIF(FEB!$G$158:$J$158,BV$111,FEB!$R35:$U35)+SUMIF(FEB!$G$158:$J$158,BV$111,FEB!$W35:$Z35)</f>
        <v>0</v>
      </c>
      <c r="BW172" s="446">
        <f>SUMIF(FEB!$G$158:$J$158,BW$111,FEB!$R35:$U35)+SUMIF(FEB!$G$158:$J$158,BW$111,FEB!$W35:$Z35)</f>
        <v>0</v>
      </c>
      <c r="BX172" s="446">
        <f>SUMIF(FEB!$G$158:$J$158,BX$111,FEB!$R35:$U35)+SUMIF(FEB!$G$158:$J$158,BX$111,FEB!$W35:$Z35)</f>
        <v>0</v>
      </c>
      <c r="BY172" s="446">
        <f>SUMIF(FEB!$G$158:$J$158,BY$111,FEB!$R35:$U35)+SUMIF(FEB!$G$158:$J$158,BY$111,FEB!$W35:$Z35)</f>
        <v>0</v>
      </c>
      <c r="BZ172" s="446">
        <f>SUMIF(FEB!$G$158:$J$158,BZ$111,FEB!$R35:$U35)+SUMIF(FEB!$G$158:$J$158,BZ$111,FEB!$W35:$Z35)</f>
        <v>0</v>
      </c>
      <c r="CA172" s="446">
        <f>SUMIF(FEB!$G$158:$J$158,CA$111,FEB!$R35:$U35)+SUMIF(FEB!$G$158:$J$158,CA$111,FEB!$W35:$Z35)</f>
        <v>0</v>
      </c>
      <c r="CB172" s="448">
        <f>SUMIF(FEB!$G$158:$J$158,CB$111,FEB!$R35:$U35)+SUMIF(FEB!$G$158:$J$158,CB$111,FEB!$W35:$Z35)</f>
        <v>0</v>
      </c>
      <c r="CC172" s="571"/>
      <c r="CD172" s="448"/>
      <c r="CE172" s="92">
        <f t="shared" si="224"/>
        <v>0</v>
      </c>
      <c r="CF172" s="92">
        <f t="shared" si="225"/>
        <v>0</v>
      </c>
      <c r="CG172" s="151" t="str">
        <f t="shared" si="229"/>
        <v/>
      </c>
      <c r="CH172" s="92">
        <f t="shared" si="213"/>
        <v>0</v>
      </c>
      <c r="CI172" s="92" t="str">
        <f t="shared" si="226"/>
        <v/>
      </c>
      <c r="CJ172" s="1100">
        <f>FEB!AM35</f>
        <v>0</v>
      </c>
      <c r="CK172" s="445">
        <f>SUMIF(FEB!$G$155:$J$155,CK$112,FEB!$AN35:$AQ35)</f>
        <v>0</v>
      </c>
      <c r="CL172" s="446">
        <f>SUMIF(FEB!$G$155:$J$155,CL$112,FEB!$AN35:$AQ35)</f>
        <v>0</v>
      </c>
      <c r="CM172" s="447">
        <f>SUMIF(FEB!$G$155:$J$155,CM$112,FEB!$AN35:$AQ35)</f>
        <v>0</v>
      </c>
      <c r="CN172" s="448">
        <f>SUMIF(FEB!$G$155:$J$155,CN$112,FEB!$AN35:$AQ35)</f>
        <v>0</v>
      </c>
      <c r="CO172" s="1100">
        <f>FEB!AS35</f>
        <v>0</v>
      </c>
      <c r="CP172" s="445">
        <f>FEB!AT35</f>
        <v>0</v>
      </c>
      <c r="CQ172" s="446">
        <f>FEB!AU35</f>
        <v>0</v>
      </c>
      <c r="CR172" s="447">
        <f>FEB!AV35</f>
        <v>0</v>
      </c>
      <c r="CS172" s="448">
        <f>FEB!AW35</f>
        <v>0</v>
      </c>
      <c r="CT172" s="1100">
        <f>FEB!AY35</f>
        <v>0</v>
      </c>
      <c r="CU172" s="2"/>
    </row>
    <row r="173" spans="1:99" ht="14.25" hidden="1" customHeight="1" x14ac:dyDescent="0.2">
      <c r="A173" s="2"/>
      <c r="B173" s="151">
        <f t="shared" si="214"/>
        <v>45351</v>
      </c>
      <c r="C173" s="223">
        <f>IF(E173="","",HLOOKUP(WEEKDAY(E173,2),IMPOSTAZIONI!$C$51:$P$56,6,FALSE))</f>
        <v>0</v>
      </c>
      <c r="D173" s="103" t="str">
        <f t="shared" si="215"/>
        <v/>
      </c>
      <c r="E173" s="2445">
        <f>IF(FEB!E156=365,"",E172+1)</f>
        <v>45351</v>
      </c>
      <c r="F173" s="2446"/>
      <c r="G173" s="2316">
        <f>FEB!E36</f>
        <v>0</v>
      </c>
      <c r="H173" s="2317"/>
      <c r="I173" s="2318"/>
      <c r="J173" s="479" t="str">
        <f t="shared" si="210"/>
        <v/>
      </c>
      <c r="K173" s="480"/>
      <c r="L173" s="2319">
        <f t="shared" si="228"/>
        <v>9</v>
      </c>
      <c r="M173" s="2320"/>
      <c r="N173" s="478"/>
      <c r="O173" s="478"/>
      <c r="P173" s="478"/>
      <c r="Q173" s="2315">
        <f t="shared" si="217"/>
        <v>45351</v>
      </c>
      <c r="R173" s="2315"/>
      <c r="S173" s="478"/>
      <c r="T173" s="140">
        <f t="shared" si="218"/>
        <v>0</v>
      </c>
      <c r="U173" s="478"/>
      <c r="V173" s="478"/>
      <c r="W173" s="478"/>
      <c r="X173" s="478"/>
      <c r="Y173" s="478"/>
      <c r="Z173" s="478"/>
      <c r="AA173" s="478"/>
      <c r="AB173" s="478"/>
      <c r="AC173" s="478"/>
      <c r="AD173" s="478"/>
      <c r="AE173" s="478"/>
      <c r="AF173" s="478"/>
      <c r="AG173" s="140">
        <f t="shared" si="219"/>
        <v>0</v>
      </c>
      <c r="AH173" s="92" t="str">
        <f t="shared" si="220"/>
        <v/>
      </c>
      <c r="AI173" s="131">
        <f t="shared" si="221"/>
        <v>0</v>
      </c>
      <c r="AJ173" s="2"/>
      <c r="AK173" s="92">
        <f>IF(G173=G$481,0,IF(OR(G173&lt;&gt;0,CJ173&lt;&gt;0,C173="L"),COUNTIF(AK$114:AK172,"&gt;0")+1,0))</f>
        <v>0</v>
      </c>
      <c r="AL173" s="92" t="str">
        <f t="shared" si="222"/>
        <v/>
      </c>
      <c r="AM173" s="92" t="str">
        <f t="shared" si="223"/>
        <v/>
      </c>
      <c r="AN173" s="131">
        <f t="shared" si="211"/>
        <v>0</v>
      </c>
      <c r="AO173" s="452">
        <f>SUM(FEB!W36:Z36)</f>
        <v>0</v>
      </c>
      <c r="AP173" s="450">
        <f>SUMIF(FEB!$G$155:$J$155,AP$112,FEB!$R36:$U36)</f>
        <v>0</v>
      </c>
      <c r="AQ173" s="451">
        <f>SUMIF(FEB!$G$155:$J$155,AQ$112,FEB!$R36:$U36)</f>
        <v>0</v>
      </c>
      <c r="AR173" s="452">
        <f>SUMIF(FEB!$G$155:$J$155,AR$112,FEB!$R36:$U36)</f>
        <v>0</v>
      </c>
      <c r="AS173" s="453">
        <f>SUMIF(FEB!$G$155:$J$155,AS$112,FEB!$R36:$U36)</f>
        <v>0</v>
      </c>
      <c r="AT173" s="454">
        <f>FEB!AG36</f>
        <v>0</v>
      </c>
      <c r="AU173" s="450">
        <f>FEB!AH36</f>
        <v>0</v>
      </c>
      <c r="AV173" s="451">
        <f>FEB!AI36</f>
        <v>0</v>
      </c>
      <c r="AW173" s="452">
        <f>FEB!AJ36</f>
        <v>0</v>
      </c>
      <c r="AX173" s="453">
        <f>FEB!AK36</f>
        <v>0</v>
      </c>
      <c r="AY173" s="450">
        <f>SUMIF(FEB!$G$152:$J$152,"&gt;0",FEB!$W36:$Z36)</f>
        <v>0</v>
      </c>
      <c r="AZ173" s="1064">
        <f>SUM(FEB!AB36:AE36)</f>
        <v>0</v>
      </c>
      <c r="BA173" s="450">
        <f>SUMIF(FEB!$G$159:$J$159,BA$111,FEB!$R36:$U36)+SUMIF(FEB!$G$159:$J$159,BA$111,FEB!$W36:$Z36)</f>
        <v>0</v>
      </c>
      <c r="BB173" s="451">
        <f>SUMIF(FEB!$G$159:$J$159,BB$111,FEB!$R36:$U36)+SUMIF(FEB!$G$159:$J$159,BB$111,FEB!$W36:$Z36)</f>
        <v>0</v>
      </c>
      <c r="BC173" s="451">
        <f>SUMIF(FEB!$G$159:$J$159,BC$111,FEB!$R36:$U36)+SUMIF(FEB!$G$159:$J$159,BC$111,FEB!$W36:$Z36)</f>
        <v>0</v>
      </c>
      <c r="BD173" s="451">
        <f>SUMIF(FEB!$G$159:$J$159,BD$111,FEB!$R36:$U36)+SUMIF(FEB!$G$159:$J$159,BD$111,FEB!$W36:$Z36)</f>
        <v>0</v>
      </c>
      <c r="BE173" s="451">
        <f>SUMIF(FEB!$G$159:$J$159,BE$111,FEB!$R36:$U36)+SUMIF(FEB!$G$159:$J$159,BE$111,FEB!$W36:$Z36)</f>
        <v>0</v>
      </c>
      <c r="BF173" s="451">
        <f>SUMIF(FEB!$G$159:$J$159,BF$111,FEB!$R36:$U36)+SUMIF(FEB!$G$159:$J$159,BF$111,FEB!$W36:$Z36)</f>
        <v>0</v>
      </c>
      <c r="BG173" s="453">
        <f>SUMIF(FEB!$G$159:$J$159,BG$111,FEB!$R36:$U36)+SUMIF(FEB!$G$159:$J$159,BG$111,FEB!$W36:$Z36)</f>
        <v>0</v>
      </c>
      <c r="BH173" s="572"/>
      <c r="BI173" s="453"/>
      <c r="BJ173" s="470"/>
      <c r="BK173" s="450">
        <f>SUMIF(FEB!$G$157:$J$157,BK$111,FEB!$R36:$U36)+SUMIF(FEB!$G$157:$J$157,BK$111,FEB!$W36:$Z36)</f>
        <v>0</v>
      </c>
      <c r="BL173" s="451">
        <f>SUMIF(FEB!$G$157:$J$157,BL$111,FEB!$R36:$U36)+SUMIF(FEB!$G$157:$J$157,BL$111,FEB!$W36:$Z36)</f>
        <v>0</v>
      </c>
      <c r="BM173" s="451">
        <f>SUMIF(FEB!$G$157:$J$157,BM$111,FEB!$R36:$U36)+SUMIF(FEB!$G$157:$J$157,BM$111,FEB!$W36:$Z36)</f>
        <v>0</v>
      </c>
      <c r="BN173" s="451">
        <f>SUMIF(FEB!$G$157:$J$157,BN$111,FEB!$R36:$U36)+SUMIF(FEB!$G$157:$J$157,BN$111,FEB!$W36:$Z36)</f>
        <v>0</v>
      </c>
      <c r="BO173" s="451">
        <f>SUMIF(FEB!$G$157:$J$157,BO$111,FEB!$R36:$U36)+SUMIF(FEB!$G$157:$J$157,BO$111,FEB!$W36:$Z36)</f>
        <v>0</v>
      </c>
      <c r="BP173" s="451">
        <f>SUMIF(FEB!$G$157:$J$157,BP$111,FEB!$R36:$U36)+SUMIF(FEB!$G$157:$J$157,BP$111,FEB!$W36:$Z36)</f>
        <v>0</v>
      </c>
      <c r="BQ173" s="453">
        <f>SUMIF(FEB!$G$157:$J$157,BQ$111,FEB!$R36:$U36)+SUMIF(FEB!$G$157:$J$157,BQ$111,FEB!$W36:$Z36)</f>
        <v>0</v>
      </c>
      <c r="BR173" s="572"/>
      <c r="BS173" s="451"/>
      <c r="BT173" s="453"/>
      <c r="BU173" s="470"/>
      <c r="BV173" s="450">
        <f>SUMIF(FEB!$G$158:$J$158,BV$111,FEB!$R36:$U36)+SUMIF(FEB!$G$158:$J$158,BV$111,FEB!$W36:$Z36)</f>
        <v>0</v>
      </c>
      <c r="BW173" s="451">
        <f>SUMIF(FEB!$G$158:$J$158,BW$111,FEB!$R36:$U36)+SUMIF(FEB!$G$158:$J$158,BW$111,FEB!$W36:$Z36)</f>
        <v>0</v>
      </c>
      <c r="BX173" s="451">
        <f>SUMIF(FEB!$G$158:$J$158,BX$111,FEB!$R36:$U36)+SUMIF(FEB!$G$158:$J$158,BX$111,FEB!$W36:$Z36)</f>
        <v>0</v>
      </c>
      <c r="BY173" s="451">
        <f>SUMIF(FEB!$G$158:$J$158,BY$111,FEB!$R36:$U36)+SUMIF(FEB!$G$158:$J$158,BY$111,FEB!$W36:$Z36)</f>
        <v>0</v>
      </c>
      <c r="BZ173" s="451">
        <f>SUMIF(FEB!$G$158:$J$158,BZ$111,FEB!$R36:$U36)+SUMIF(FEB!$G$158:$J$158,BZ$111,FEB!$W36:$Z36)</f>
        <v>0</v>
      </c>
      <c r="CA173" s="451">
        <f>SUMIF(FEB!$G$158:$J$158,CA$111,FEB!$R36:$U36)+SUMIF(FEB!$G$158:$J$158,CA$111,FEB!$W36:$Z36)</f>
        <v>0</v>
      </c>
      <c r="CB173" s="453">
        <f>SUMIF(FEB!$G$158:$J$158,CB$111,FEB!$R36:$U36)+SUMIF(FEB!$G$158:$J$158,CB$111,FEB!$W36:$Z36)</f>
        <v>0</v>
      </c>
      <c r="CC173" s="572"/>
      <c r="CD173" s="453"/>
      <c r="CE173" s="92">
        <f t="shared" si="224"/>
        <v>0</v>
      </c>
      <c r="CF173" s="92">
        <f t="shared" si="225"/>
        <v>0</v>
      </c>
      <c r="CG173" s="438" t="str">
        <f>IF(E173="","",IF(AL173="Y",E173,""))</f>
        <v/>
      </c>
      <c r="CH173" s="92">
        <f t="shared" si="213"/>
        <v>0</v>
      </c>
      <c r="CI173" s="92" t="str">
        <f t="shared" si="226"/>
        <v/>
      </c>
      <c r="CJ173" s="1101">
        <f>FEB!AM36</f>
        <v>0</v>
      </c>
      <c r="CK173" s="450">
        <f>SUMIF(FEB!$G$155:$J$155,CK$112,FEB!$AN36:$AQ36)</f>
        <v>0</v>
      </c>
      <c r="CL173" s="451">
        <f>SUMIF(FEB!$G$155:$J$155,CL$112,FEB!$AN36:$AQ36)</f>
        <v>0</v>
      </c>
      <c r="CM173" s="452">
        <f>SUMIF(FEB!$G$155:$J$155,CM$112,FEB!$AN36:$AQ36)</f>
        <v>0</v>
      </c>
      <c r="CN173" s="453">
        <f>SUMIF(FEB!$G$155:$J$155,CN$112,FEB!$AN36:$AQ36)</f>
        <v>0</v>
      </c>
      <c r="CO173" s="1101">
        <f>FEB!AS36</f>
        <v>0</v>
      </c>
      <c r="CP173" s="450">
        <f>FEB!AT36</f>
        <v>0</v>
      </c>
      <c r="CQ173" s="451">
        <f>FEB!AU36</f>
        <v>0</v>
      </c>
      <c r="CR173" s="452">
        <f>FEB!AV36</f>
        <v>0</v>
      </c>
      <c r="CS173" s="453">
        <f>FEB!AW36</f>
        <v>0</v>
      </c>
      <c r="CT173" s="1101">
        <f>FEB!AY36</f>
        <v>0</v>
      </c>
      <c r="CU173" s="2"/>
    </row>
    <row r="174" spans="1:99" ht="14.25" hidden="1" customHeight="1" x14ac:dyDescent="0.2">
      <c r="A174" s="2"/>
      <c r="B174" s="151">
        <f t="shared" si="214"/>
        <v>45352</v>
      </c>
      <c r="C174" s="223">
        <f>IF(AND(E174&gt;(E$493-1),E174&lt;(I$493+1)),W$485,IF(ISERROR(HLOOKUP(E174,$E$486:$L$486,1,FALSE)),HLOOKUP(WEEKDAY(E174,2),IMPOSTAZIONI!$C$51:$P$56,6,FALSE),$W$484))</f>
        <v>0</v>
      </c>
      <c r="D174" s="103" t="str">
        <f t="shared" si="215"/>
        <v/>
      </c>
      <c r="E174" s="2447">
        <f>VALUE(CONCATENATE("01/03/",E112))</f>
        <v>45352</v>
      </c>
      <c r="F174" s="2448"/>
      <c r="G174" s="2449">
        <f>MAR!E8</f>
        <v>0</v>
      </c>
      <c r="H174" s="2450"/>
      <c r="I174" s="2451"/>
      <c r="J174" s="479" t="str">
        <f t="shared" si="210"/>
        <v/>
      </c>
      <c r="K174" s="480"/>
      <c r="L174" s="2319">
        <f t="shared" si="228"/>
        <v>9</v>
      </c>
      <c r="M174" s="2320"/>
      <c r="N174" s="478"/>
      <c r="O174" s="478"/>
      <c r="P174" s="478"/>
      <c r="Q174" s="2315">
        <f t="shared" si="217"/>
        <v>45352</v>
      </c>
      <c r="R174" s="2315"/>
      <c r="S174" s="478"/>
      <c r="T174" s="140">
        <f t="shared" si="218"/>
        <v>0</v>
      </c>
      <c r="U174" s="478"/>
      <c r="V174" s="478"/>
      <c r="W174" s="478"/>
      <c r="X174" s="478"/>
      <c r="Y174" s="478"/>
      <c r="Z174" s="478"/>
      <c r="AA174" s="478"/>
      <c r="AB174" s="478"/>
      <c r="AC174" s="478"/>
      <c r="AD174" s="478"/>
      <c r="AE174" s="478"/>
      <c r="AF174" s="478"/>
      <c r="AG174" s="140">
        <f t="shared" si="219"/>
        <v>0</v>
      </c>
      <c r="AH174" s="92" t="str">
        <f t="shared" si="220"/>
        <v/>
      </c>
      <c r="AI174" s="131">
        <f t="shared" si="221"/>
        <v>0</v>
      </c>
      <c r="AJ174" s="131">
        <f>IF(G174=G481,0,COUNTIF(T174:T204,"&gt;0"))</f>
        <v>0</v>
      </c>
      <c r="AK174" s="92">
        <f>IF(G174=G$481,0,IF(OR(G174&lt;&gt;0,CJ174&lt;&gt;0,C174="L"),COUNTIF(AK$114:AK173,"&gt;0")+1,0))</f>
        <v>0</v>
      </c>
      <c r="AL174" s="92" t="str">
        <f t="shared" si="222"/>
        <v/>
      </c>
      <c r="AM174" s="92" t="str">
        <f t="shared" si="223"/>
        <v/>
      </c>
      <c r="AN174" s="131">
        <f t="shared" si="211"/>
        <v>0</v>
      </c>
      <c r="AO174" s="447">
        <f>SUM(MAR!W8:Z8)</f>
        <v>0</v>
      </c>
      <c r="AP174" s="445">
        <f>SUMIF(MAR!$G$155:$J$155,AP$112,MAR!$R8:$U8)</f>
        <v>0</v>
      </c>
      <c r="AQ174" s="446">
        <f>SUMIF(MAR!$G$155:$J$155,AQ$112,MAR!$R8:$U8)</f>
        <v>0</v>
      </c>
      <c r="AR174" s="447">
        <f>SUMIF(MAR!$G$155:$J$155,AR$112,MAR!$R8:$U8)</f>
        <v>0</v>
      </c>
      <c r="AS174" s="448">
        <f>SUMIF(MAR!$G$155:$J$155,AS$112,MAR!$R8:$U8)</f>
        <v>0</v>
      </c>
      <c r="AT174" s="449">
        <f>MAR!AG8</f>
        <v>0</v>
      </c>
      <c r="AU174" s="445">
        <f>MAR!AH8</f>
        <v>0</v>
      </c>
      <c r="AV174" s="446">
        <f>MAR!AI8</f>
        <v>0</v>
      </c>
      <c r="AW174" s="447">
        <f>MAR!AJ8</f>
        <v>0</v>
      </c>
      <c r="AX174" s="448">
        <f>MAR!AK8</f>
        <v>0</v>
      </c>
      <c r="AY174" s="445">
        <f>SUMIF(MAR!$G$152:$J$152,"&gt;0",MAR!$W8:$Z8)</f>
        <v>0</v>
      </c>
      <c r="AZ174" s="1062">
        <f>SUM(MAR!AB8:AE8)</f>
        <v>0</v>
      </c>
      <c r="BA174" s="472">
        <f>SUMIF(MAR!$G$159:$J$159,BA$111,MAR!$R8:$U8)+SUMIF(MAR!$G$159:$J$159,BA$111,MAR!$W8:$Z8)</f>
        <v>0</v>
      </c>
      <c r="BB174" s="473">
        <f>SUMIF(MAR!$G$159:$J$159,BB$111,MAR!$R8:$U8)+SUMIF(MAR!$G$159:$J$159,BB$111,MAR!$W8:$Z8)</f>
        <v>0</v>
      </c>
      <c r="BC174" s="473">
        <f>SUMIF(MAR!$G$159:$J$159,BC$111,MAR!$R8:$U8)+SUMIF(MAR!$G$159:$J$159,BC$111,MAR!$W8:$Z8)</f>
        <v>0</v>
      </c>
      <c r="BD174" s="473">
        <f>SUMIF(MAR!$G$159:$J$159,BD$111,MAR!$R8:$U8)+SUMIF(MAR!$G$159:$J$159,BD$111,MAR!$W8:$Z8)</f>
        <v>0</v>
      </c>
      <c r="BE174" s="473">
        <f>SUMIF(MAR!$G$159:$J$159,BE$111,MAR!$R8:$U8)+SUMIF(MAR!$G$159:$J$159,BE$111,MAR!$W8:$Z8)</f>
        <v>0</v>
      </c>
      <c r="BF174" s="473">
        <f>SUMIF(MAR!$G$159:$J$159,BF$111,MAR!$R8:$U8)+SUMIF(MAR!$G$159:$J$159,BF$111,MAR!$W8:$Z8)</f>
        <v>0</v>
      </c>
      <c r="BG174" s="474">
        <f>SUMIF(MAR!$G$159:$J$159,BG$111,MAR!$R8:$U8)+SUMIF(MAR!$G$159:$J$159,BG$111,MAR!$W8:$Z8)</f>
        <v>0</v>
      </c>
      <c r="BH174" s="570"/>
      <c r="BI174" s="474"/>
      <c r="BJ174" s="470"/>
      <c r="BK174" s="472">
        <f>SUMIF(MAR!$G$157:$J$157,BK$111,MAR!$R8:$U8)+SUMIF(MAR!$G$157:$J$157,BK$111,MAR!$W8:$Z8)</f>
        <v>0</v>
      </c>
      <c r="BL174" s="473">
        <f>SUMIF(MAR!$G$157:$J$157,BL$111,MAR!$R8:$U8)+SUMIF(MAR!$G$157:$J$157,BL$111,MAR!$W8:$Z8)</f>
        <v>0</v>
      </c>
      <c r="BM174" s="473">
        <f>SUMIF(MAR!$G$157:$J$157,BM$111,MAR!$R8:$U8)+SUMIF(MAR!$G$157:$J$157,BM$111,MAR!$W8:$Z8)</f>
        <v>0</v>
      </c>
      <c r="BN174" s="473">
        <f>SUMIF(MAR!$G$157:$J$157,BN$111,MAR!$R8:$U8)+SUMIF(MAR!$G$157:$J$157,BN$111,MAR!$W8:$Z8)</f>
        <v>0</v>
      </c>
      <c r="BO174" s="473">
        <f>SUMIF(MAR!$G$157:$J$157,BO$111,MAR!$R8:$U8)+SUMIF(MAR!$G$157:$J$157,BO$111,MAR!$W8:$Z8)</f>
        <v>0</v>
      </c>
      <c r="BP174" s="473">
        <f>SUMIF(MAR!$G$157:$J$157,BP$111,MAR!$R8:$U8)+SUMIF(MAR!$G$157:$J$157,BP$111,MAR!$W8:$Z8)</f>
        <v>0</v>
      </c>
      <c r="BQ174" s="474">
        <f>SUMIF(MAR!$G$157:$J$157,BQ$111,MAR!$R8:$U8)+SUMIF(MAR!$G$157:$J$157,BQ$111,MAR!$W8:$Z8)</f>
        <v>0</v>
      </c>
      <c r="BR174" s="570"/>
      <c r="BS174" s="473"/>
      <c r="BT174" s="474"/>
      <c r="BU174" s="470"/>
      <c r="BV174" s="472">
        <f>SUMIF(MAR!$G$158:$J$158,BV$111,MAR!$R8:$U8)+SUMIF(MAR!$G$158:$J$158,BV$111,MAR!$W8:$Z8)</f>
        <v>0</v>
      </c>
      <c r="BW174" s="473">
        <f>SUMIF(MAR!$G$158:$J$158,BW$111,MAR!$R8:$U8)+SUMIF(MAR!$G$158:$J$158,BW$111,MAR!$W8:$Z8)</f>
        <v>0</v>
      </c>
      <c r="BX174" s="473">
        <f>SUMIF(MAR!$G$158:$J$158,BX$111,MAR!$R8:$U8)+SUMIF(MAR!$G$158:$J$158,BX$111,MAR!$W8:$Z8)</f>
        <v>0</v>
      </c>
      <c r="BY174" s="473">
        <f>SUMIF(MAR!$G$158:$J$158,BY$111,MAR!$R8:$U8)+SUMIF(MAR!$G$158:$J$158,BY$111,MAR!$W8:$Z8)</f>
        <v>0</v>
      </c>
      <c r="BZ174" s="473">
        <f>SUMIF(MAR!$G$158:$J$158,BZ$111,MAR!$R8:$U8)+SUMIF(MAR!$G$158:$J$158,BZ$111,MAR!$W8:$Z8)</f>
        <v>0</v>
      </c>
      <c r="CA174" s="473">
        <f>SUMIF(MAR!$G$158:$J$158,CA$111,MAR!$R8:$U8)+SUMIF(MAR!$G$158:$J$158,CA$111,MAR!$W8:$Z8)</f>
        <v>0</v>
      </c>
      <c r="CB174" s="474">
        <f>SUMIF(MAR!$G$158:$J$158,CB$111,MAR!$R8:$U8)+SUMIF(MAR!$G$158:$J$158,CB$111,MAR!$W8:$Z8)</f>
        <v>0</v>
      </c>
      <c r="CC174" s="570"/>
      <c r="CD174" s="474"/>
      <c r="CE174" s="92">
        <f t="shared" si="224"/>
        <v>0</v>
      </c>
      <c r="CF174" s="92">
        <f t="shared" si="225"/>
        <v>0</v>
      </c>
      <c r="CG174" s="151" t="str">
        <f t="shared" ref="CG174:CG237" si="230">IF(AL174="Y",E174,"")</f>
        <v/>
      </c>
      <c r="CH174" s="92">
        <f t="shared" si="213"/>
        <v>0</v>
      </c>
      <c r="CI174" s="92" t="str">
        <f t="shared" si="226"/>
        <v/>
      </c>
      <c r="CJ174" s="1102">
        <f>MAR!AM8</f>
        <v>0</v>
      </c>
      <c r="CK174" s="445">
        <f>SUMIF(MAR!$G$155:$J$155,CK$112,MAR!$AN8:$AQ8)</f>
        <v>0</v>
      </c>
      <c r="CL174" s="446">
        <f>SUMIF(MAR!$G$155:$J$155,CL$112,MAR!$AN8:$AQ8)</f>
        <v>0</v>
      </c>
      <c r="CM174" s="447">
        <f>SUMIF(MAR!$G$155:$J$155,CM$112,MAR!$AN8:$AQ8)</f>
        <v>0</v>
      </c>
      <c r="CN174" s="448">
        <f>SUMIF(MAR!$G$155:$J$155,CN$112,MAR!$AN8:$AQ8)</f>
        <v>0</v>
      </c>
      <c r="CO174" s="1102">
        <f>MAR!AS8</f>
        <v>0</v>
      </c>
      <c r="CP174" s="445">
        <f>MAR!AT8</f>
        <v>0</v>
      </c>
      <c r="CQ174" s="446">
        <f>MAR!AU8</f>
        <v>0</v>
      </c>
      <c r="CR174" s="447">
        <f>MAR!AV8</f>
        <v>0</v>
      </c>
      <c r="CS174" s="448">
        <f>MAR!AW8</f>
        <v>0</v>
      </c>
      <c r="CT174" s="1102">
        <f>MAR!AY8</f>
        <v>0</v>
      </c>
      <c r="CU174" s="2"/>
    </row>
    <row r="175" spans="1:99" ht="14.25" hidden="1" customHeight="1" x14ac:dyDescent="0.2">
      <c r="A175" s="2"/>
      <c r="B175" s="151">
        <f t="shared" si="214"/>
        <v>45353</v>
      </c>
      <c r="C175" s="223">
        <f>IF(AND(E175&gt;(E$493-1),E175&lt;(I$493+1)),W$485,IF(ISERROR(HLOOKUP(E175,$E$486:$L$486,1,FALSE)),HLOOKUP(WEEKDAY(E175,2),IMPOSTAZIONI!$C$51:$P$56,6,FALSE),$W$484))</f>
        <v>0</v>
      </c>
      <c r="D175" s="103" t="str">
        <f t="shared" si="215"/>
        <v/>
      </c>
      <c r="E175" s="2380">
        <f t="shared" si="227"/>
        <v>45353</v>
      </c>
      <c r="F175" s="2381"/>
      <c r="G175" s="2325">
        <f>MAR!E9</f>
        <v>0</v>
      </c>
      <c r="H175" s="2326"/>
      <c r="I175" s="2327"/>
      <c r="J175" s="479" t="str">
        <f t="shared" si="210"/>
        <v/>
      </c>
      <c r="K175" s="480"/>
      <c r="L175" s="2319">
        <f t="shared" si="228"/>
        <v>9</v>
      </c>
      <c r="M175" s="2320"/>
      <c r="N175" s="478"/>
      <c r="O175" s="478"/>
      <c r="P175" s="478"/>
      <c r="Q175" s="2315">
        <f t="shared" si="217"/>
        <v>45353</v>
      </c>
      <c r="R175" s="2315"/>
      <c r="S175" s="478"/>
      <c r="T175" s="140">
        <f t="shared" si="218"/>
        <v>0</v>
      </c>
      <c r="U175" s="478"/>
      <c r="V175" s="478"/>
      <c r="W175" s="478"/>
      <c r="X175" s="478"/>
      <c r="Y175" s="478"/>
      <c r="Z175" s="478"/>
      <c r="AA175" s="478"/>
      <c r="AB175" s="478"/>
      <c r="AC175" s="478"/>
      <c r="AD175" s="478"/>
      <c r="AE175" s="478"/>
      <c r="AF175" s="478"/>
      <c r="AG175" s="140">
        <f t="shared" si="219"/>
        <v>0</v>
      </c>
      <c r="AH175" s="92" t="str">
        <f t="shared" si="220"/>
        <v/>
      </c>
      <c r="AI175" s="131">
        <f t="shared" si="221"/>
        <v>0</v>
      </c>
      <c r="AJ175" s="2"/>
      <c r="AK175" s="92">
        <f>IF(G175=G$481,0,IF(OR(G175&lt;&gt;0,CJ175&lt;&gt;0,C175="L"),COUNTIF(AK$114:AK174,"&gt;0")+1,0))</f>
        <v>0</v>
      </c>
      <c r="AL175" s="92" t="str">
        <f t="shared" si="222"/>
        <v/>
      </c>
      <c r="AM175" s="92" t="str">
        <f t="shared" si="223"/>
        <v/>
      </c>
      <c r="AN175" s="131">
        <f t="shared" si="211"/>
        <v>0</v>
      </c>
      <c r="AO175" s="447">
        <f>SUM(MAR!W9:Z9)</f>
        <v>0</v>
      </c>
      <c r="AP175" s="445">
        <f>SUMIF(MAR!$G$155:$J$155,AP$112,MAR!$R9:$U9)</f>
        <v>0</v>
      </c>
      <c r="AQ175" s="446">
        <f>SUMIF(MAR!$G$155:$J$155,AQ$112,MAR!$R9:$U9)</f>
        <v>0</v>
      </c>
      <c r="AR175" s="447">
        <f>SUMIF(MAR!$G$155:$J$155,AR$112,MAR!$R9:$U9)</f>
        <v>0</v>
      </c>
      <c r="AS175" s="448">
        <f>SUMIF(MAR!$G$155:$J$155,AS$112,MAR!$R9:$U9)</f>
        <v>0</v>
      </c>
      <c r="AT175" s="449">
        <f>MAR!AG9</f>
        <v>0</v>
      </c>
      <c r="AU175" s="445">
        <f>MAR!AH9</f>
        <v>0</v>
      </c>
      <c r="AV175" s="446">
        <f>MAR!AI9</f>
        <v>0</v>
      </c>
      <c r="AW175" s="447">
        <f>MAR!AJ9</f>
        <v>0</v>
      </c>
      <c r="AX175" s="448">
        <f>MAR!AK9</f>
        <v>0</v>
      </c>
      <c r="AY175" s="445">
        <f>SUMIF(MAR!$G$152:$J$152,"&gt;0",MAR!$W9:$Z9)</f>
        <v>0</v>
      </c>
      <c r="AZ175" s="1063">
        <f>SUM(MAR!AB9:AE9)</f>
        <v>0</v>
      </c>
      <c r="BA175" s="445">
        <f>SUMIF(MAR!$G$159:$J$159,BA$111,MAR!$R9:$U9)+SUMIF(MAR!$G$159:$J$159,BA$111,MAR!$W9:$Z9)</f>
        <v>0</v>
      </c>
      <c r="BB175" s="446">
        <f>SUMIF(MAR!$G$159:$J$159,BB$111,MAR!$R9:$U9)+SUMIF(MAR!$G$159:$J$159,BB$111,MAR!$W9:$Z9)</f>
        <v>0</v>
      </c>
      <c r="BC175" s="446">
        <f>SUMIF(MAR!$G$159:$J$159,BC$111,MAR!$R9:$U9)+SUMIF(MAR!$G$159:$J$159,BC$111,MAR!$W9:$Z9)</f>
        <v>0</v>
      </c>
      <c r="BD175" s="446">
        <f>SUMIF(MAR!$G$159:$J$159,BD$111,MAR!$R9:$U9)+SUMIF(MAR!$G$159:$J$159,BD$111,MAR!$W9:$Z9)</f>
        <v>0</v>
      </c>
      <c r="BE175" s="446">
        <f>SUMIF(MAR!$G$159:$J$159,BE$111,MAR!$R9:$U9)+SUMIF(MAR!$G$159:$J$159,BE$111,MAR!$W9:$Z9)</f>
        <v>0</v>
      </c>
      <c r="BF175" s="446">
        <f>SUMIF(MAR!$G$159:$J$159,BF$111,MAR!$R9:$U9)+SUMIF(MAR!$G$159:$J$159,BF$111,MAR!$W9:$Z9)</f>
        <v>0</v>
      </c>
      <c r="BG175" s="448">
        <f>SUMIF(MAR!$G$159:$J$159,BG$111,MAR!$R9:$U9)+SUMIF(MAR!$G$159:$J$159,BG$111,MAR!$W9:$Z9)</f>
        <v>0</v>
      </c>
      <c r="BH175" s="571"/>
      <c r="BI175" s="448"/>
      <c r="BJ175" s="470"/>
      <c r="BK175" s="445">
        <f>SUMIF(MAR!$G$157:$J$157,BK$111,MAR!$R9:$U9)+SUMIF(MAR!$G$157:$J$157,BK$111,MAR!$W9:$Z9)</f>
        <v>0</v>
      </c>
      <c r="BL175" s="446">
        <f>SUMIF(MAR!$G$157:$J$157,BL$111,MAR!$R9:$U9)+SUMIF(MAR!$G$157:$J$157,BL$111,MAR!$W9:$Z9)</f>
        <v>0</v>
      </c>
      <c r="BM175" s="446">
        <f>SUMIF(MAR!$G$157:$J$157,BM$111,MAR!$R9:$U9)+SUMIF(MAR!$G$157:$J$157,BM$111,MAR!$W9:$Z9)</f>
        <v>0</v>
      </c>
      <c r="BN175" s="446">
        <f>SUMIF(MAR!$G$157:$J$157,BN$111,MAR!$R9:$U9)+SUMIF(MAR!$G$157:$J$157,BN$111,MAR!$W9:$Z9)</f>
        <v>0</v>
      </c>
      <c r="BO175" s="446">
        <f>SUMIF(MAR!$G$157:$J$157,BO$111,MAR!$R9:$U9)+SUMIF(MAR!$G$157:$J$157,BO$111,MAR!$W9:$Z9)</f>
        <v>0</v>
      </c>
      <c r="BP175" s="446">
        <f>SUMIF(MAR!$G$157:$J$157,BP$111,MAR!$R9:$U9)+SUMIF(MAR!$G$157:$J$157,BP$111,MAR!$W9:$Z9)</f>
        <v>0</v>
      </c>
      <c r="BQ175" s="448">
        <f>SUMIF(MAR!$G$157:$J$157,BQ$111,MAR!$R9:$U9)+SUMIF(MAR!$G$157:$J$157,BQ$111,MAR!$W9:$Z9)</f>
        <v>0</v>
      </c>
      <c r="BR175" s="571"/>
      <c r="BS175" s="446"/>
      <c r="BT175" s="448"/>
      <c r="BU175" s="470"/>
      <c r="BV175" s="445">
        <f>SUMIF(MAR!$G$158:$J$158,BV$111,MAR!$R9:$U9)+SUMIF(MAR!$G$158:$J$158,BV$111,MAR!$W9:$Z9)</f>
        <v>0</v>
      </c>
      <c r="BW175" s="446">
        <f>SUMIF(MAR!$G$158:$J$158,BW$111,MAR!$R9:$U9)+SUMIF(MAR!$G$158:$J$158,BW$111,MAR!$W9:$Z9)</f>
        <v>0</v>
      </c>
      <c r="BX175" s="446">
        <f>SUMIF(MAR!$G$158:$J$158,BX$111,MAR!$R9:$U9)+SUMIF(MAR!$G$158:$J$158,BX$111,MAR!$W9:$Z9)</f>
        <v>0</v>
      </c>
      <c r="BY175" s="446">
        <f>SUMIF(MAR!$G$158:$J$158,BY$111,MAR!$R9:$U9)+SUMIF(MAR!$G$158:$J$158,BY$111,MAR!$W9:$Z9)</f>
        <v>0</v>
      </c>
      <c r="BZ175" s="446">
        <f>SUMIF(MAR!$G$158:$J$158,BZ$111,MAR!$R9:$U9)+SUMIF(MAR!$G$158:$J$158,BZ$111,MAR!$W9:$Z9)</f>
        <v>0</v>
      </c>
      <c r="CA175" s="446">
        <f>SUMIF(MAR!$G$158:$J$158,CA$111,MAR!$R9:$U9)+SUMIF(MAR!$G$158:$J$158,CA$111,MAR!$W9:$Z9)</f>
        <v>0</v>
      </c>
      <c r="CB175" s="448">
        <f>SUMIF(MAR!$G$158:$J$158,CB$111,MAR!$R9:$U9)+SUMIF(MAR!$G$158:$J$158,CB$111,MAR!$W9:$Z9)</f>
        <v>0</v>
      </c>
      <c r="CC175" s="571"/>
      <c r="CD175" s="448"/>
      <c r="CE175" s="92">
        <f t="shared" si="224"/>
        <v>0</v>
      </c>
      <c r="CF175" s="92">
        <f t="shared" si="225"/>
        <v>0</v>
      </c>
      <c r="CG175" s="151" t="str">
        <f t="shared" si="230"/>
        <v/>
      </c>
      <c r="CH175" s="92">
        <f t="shared" si="213"/>
        <v>0</v>
      </c>
      <c r="CI175" s="92" t="str">
        <f t="shared" si="226"/>
        <v/>
      </c>
      <c r="CJ175" s="1100">
        <f>MAR!AM9</f>
        <v>0</v>
      </c>
      <c r="CK175" s="445">
        <f>SUMIF(MAR!$G$155:$J$155,CK$112,MAR!$AN9:$AQ9)</f>
        <v>0</v>
      </c>
      <c r="CL175" s="446">
        <f>SUMIF(MAR!$G$155:$J$155,CL$112,MAR!$AN9:$AQ9)</f>
        <v>0</v>
      </c>
      <c r="CM175" s="447">
        <f>SUMIF(MAR!$G$155:$J$155,CM$112,MAR!$AN9:$AQ9)</f>
        <v>0</v>
      </c>
      <c r="CN175" s="448">
        <f>SUMIF(MAR!$G$155:$J$155,CN$112,MAR!$AN9:$AQ9)</f>
        <v>0</v>
      </c>
      <c r="CO175" s="1100">
        <f>MAR!AS9</f>
        <v>0</v>
      </c>
      <c r="CP175" s="445">
        <f>MAR!AT9</f>
        <v>0</v>
      </c>
      <c r="CQ175" s="446">
        <f>MAR!AU9</f>
        <v>0</v>
      </c>
      <c r="CR175" s="447">
        <f>MAR!AV9</f>
        <v>0</v>
      </c>
      <c r="CS175" s="448">
        <f>MAR!AW9</f>
        <v>0</v>
      </c>
      <c r="CT175" s="1100">
        <f>MAR!AY9</f>
        <v>0</v>
      </c>
      <c r="CU175" s="2"/>
    </row>
    <row r="176" spans="1:99" ht="14.25" hidden="1" customHeight="1" x14ac:dyDescent="0.2">
      <c r="A176" s="2"/>
      <c r="B176" s="151">
        <f t="shared" si="214"/>
        <v>45354</v>
      </c>
      <c r="C176" s="223">
        <f>IF(AND(E176&gt;(E$493-1),E176&lt;(I$493+1)),W$485,IF(ISERROR(HLOOKUP(E176,$E$486:$L$486,1,FALSE)),HLOOKUP(WEEKDAY(E176,2),IMPOSTAZIONI!$C$51:$P$56,6,FALSE),$W$484))</f>
        <v>0</v>
      </c>
      <c r="D176" s="103" t="str">
        <f t="shared" si="215"/>
        <v/>
      </c>
      <c r="E176" s="2380">
        <f t="shared" si="227"/>
        <v>45354</v>
      </c>
      <c r="F176" s="2381"/>
      <c r="G176" s="2325">
        <f>MAR!E10</f>
        <v>0</v>
      </c>
      <c r="H176" s="2326"/>
      <c r="I176" s="2327"/>
      <c r="J176" s="479" t="str">
        <f t="shared" si="210"/>
        <v/>
      </c>
      <c r="K176" s="480"/>
      <c r="L176" s="2321">
        <f t="shared" si="228"/>
        <v>9</v>
      </c>
      <c r="M176" s="2322"/>
      <c r="N176" s="478"/>
      <c r="O176" s="478"/>
      <c r="P176" s="478"/>
      <c r="Q176" s="2315">
        <f t="shared" si="217"/>
        <v>45354</v>
      </c>
      <c r="R176" s="2315"/>
      <c r="S176" s="478"/>
      <c r="T176" s="140">
        <f t="shared" si="218"/>
        <v>0</v>
      </c>
      <c r="U176" s="478"/>
      <c r="V176" s="478"/>
      <c r="W176" s="478"/>
      <c r="X176" s="478"/>
      <c r="Y176" s="478"/>
      <c r="Z176" s="478"/>
      <c r="AA176" s="478"/>
      <c r="AB176" s="478"/>
      <c r="AC176" s="478"/>
      <c r="AD176" s="478"/>
      <c r="AE176" s="478"/>
      <c r="AF176" s="478"/>
      <c r="AG176" s="140">
        <f t="shared" si="219"/>
        <v>0</v>
      </c>
      <c r="AH176" s="92" t="str">
        <f t="shared" si="220"/>
        <v/>
      </c>
      <c r="AI176" s="131">
        <f t="shared" si="221"/>
        <v>0</v>
      </c>
      <c r="AJ176" s="2"/>
      <c r="AK176" s="92">
        <f>IF(G176=G$481,0,IF(OR(G176&lt;&gt;0,CJ176&lt;&gt;0,C176="L"),COUNTIF(AK$114:AK175,"&gt;0")+1,0))</f>
        <v>0</v>
      </c>
      <c r="AL176" s="92" t="str">
        <f t="shared" si="222"/>
        <v/>
      </c>
      <c r="AM176" s="92" t="str">
        <f t="shared" si="223"/>
        <v/>
      </c>
      <c r="AN176" s="131">
        <f t="shared" si="211"/>
        <v>0</v>
      </c>
      <c r="AO176" s="447">
        <f>SUM(MAR!W10:Z10)</f>
        <v>0</v>
      </c>
      <c r="AP176" s="445">
        <f>SUMIF(MAR!$G$155:$J$155,AP$112,MAR!$R10:$U10)</f>
        <v>0</v>
      </c>
      <c r="AQ176" s="446">
        <f>SUMIF(MAR!$G$155:$J$155,AQ$112,MAR!$R10:$U10)</f>
        <v>0</v>
      </c>
      <c r="AR176" s="447">
        <f>SUMIF(MAR!$G$155:$J$155,AR$112,MAR!$R10:$U10)</f>
        <v>0</v>
      </c>
      <c r="AS176" s="448">
        <f>SUMIF(MAR!$G$155:$J$155,AS$112,MAR!$R10:$U10)</f>
        <v>0</v>
      </c>
      <c r="AT176" s="449">
        <f>MAR!AG10</f>
        <v>0</v>
      </c>
      <c r="AU176" s="445">
        <f>MAR!AH10</f>
        <v>0</v>
      </c>
      <c r="AV176" s="446">
        <f>MAR!AI10</f>
        <v>0</v>
      </c>
      <c r="AW176" s="447">
        <f>MAR!AJ10</f>
        <v>0</v>
      </c>
      <c r="AX176" s="448">
        <f>MAR!AK10</f>
        <v>0</v>
      </c>
      <c r="AY176" s="445">
        <f>SUMIF(MAR!$G$152:$J$152,"&gt;0",MAR!$W10:$Z10)</f>
        <v>0</v>
      </c>
      <c r="AZ176" s="1063">
        <f>SUM(MAR!AB10:AE10)</f>
        <v>0</v>
      </c>
      <c r="BA176" s="445">
        <f>SUMIF(MAR!$G$159:$J$159,BA$111,MAR!$R10:$U10)+SUMIF(MAR!$G$159:$J$159,BA$111,MAR!$W10:$Z10)</f>
        <v>0</v>
      </c>
      <c r="BB176" s="446">
        <f>SUMIF(MAR!$G$159:$J$159,BB$111,MAR!$R10:$U10)+SUMIF(MAR!$G$159:$J$159,BB$111,MAR!$W10:$Z10)</f>
        <v>0</v>
      </c>
      <c r="BC176" s="446">
        <f>SUMIF(MAR!$G$159:$J$159,BC$111,MAR!$R10:$U10)+SUMIF(MAR!$G$159:$J$159,BC$111,MAR!$W10:$Z10)</f>
        <v>0</v>
      </c>
      <c r="BD176" s="446">
        <f>SUMIF(MAR!$G$159:$J$159,BD$111,MAR!$R10:$U10)+SUMIF(MAR!$G$159:$J$159,BD$111,MAR!$W10:$Z10)</f>
        <v>0</v>
      </c>
      <c r="BE176" s="446">
        <f>SUMIF(MAR!$G$159:$J$159,BE$111,MAR!$R10:$U10)+SUMIF(MAR!$G$159:$J$159,BE$111,MAR!$W10:$Z10)</f>
        <v>0</v>
      </c>
      <c r="BF176" s="446">
        <f>SUMIF(MAR!$G$159:$J$159,BF$111,MAR!$R10:$U10)+SUMIF(MAR!$G$159:$J$159,BF$111,MAR!$W10:$Z10)</f>
        <v>0</v>
      </c>
      <c r="BG176" s="448">
        <f>SUMIF(MAR!$G$159:$J$159,BG$111,MAR!$R10:$U10)+SUMIF(MAR!$G$159:$J$159,BG$111,MAR!$W10:$Z10)</f>
        <v>0</v>
      </c>
      <c r="BH176" s="571"/>
      <c r="BI176" s="448"/>
      <c r="BJ176" s="470"/>
      <c r="BK176" s="445">
        <f>SUMIF(MAR!$G$157:$J$157,BK$111,MAR!$R10:$U10)+SUMIF(MAR!$G$157:$J$157,BK$111,MAR!$W10:$Z10)</f>
        <v>0</v>
      </c>
      <c r="BL176" s="446">
        <f>SUMIF(MAR!$G$157:$J$157,BL$111,MAR!$R10:$U10)+SUMIF(MAR!$G$157:$J$157,BL$111,MAR!$W10:$Z10)</f>
        <v>0</v>
      </c>
      <c r="BM176" s="446">
        <f>SUMIF(MAR!$G$157:$J$157,BM$111,MAR!$R10:$U10)+SUMIF(MAR!$G$157:$J$157,BM$111,MAR!$W10:$Z10)</f>
        <v>0</v>
      </c>
      <c r="BN176" s="446">
        <f>SUMIF(MAR!$G$157:$J$157,BN$111,MAR!$R10:$U10)+SUMIF(MAR!$G$157:$J$157,BN$111,MAR!$W10:$Z10)</f>
        <v>0</v>
      </c>
      <c r="BO176" s="446">
        <f>SUMIF(MAR!$G$157:$J$157,BO$111,MAR!$R10:$U10)+SUMIF(MAR!$G$157:$J$157,BO$111,MAR!$W10:$Z10)</f>
        <v>0</v>
      </c>
      <c r="BP176" s="446">
        <f>SUMIF(MAR!$G$157:$J$157,BP$111,MAR!$R10:$U10)+SUMIF(MAR!$G$157:$J$157,BP$111,MAR!$W10:$Z10)</f>
        <v>0</v>
      </c>
      <c r="BQ176" s="448">
        <f>SUMIF(MAR!$G$157:$J$157,BQ$111,MAR!$R10:$U10)+SUMIF(MAR!$G$157:$J$157,BQ$111,MAR!$W10:$Z10)</f>
        <v>0</v>
      </c>
      <c r="BR176" s="571"/>
      <c r="BS176" s="446"/>
      <c r="BT176" s="448"/>
      <c r="BU176" s="470"/>
      <c r="BV176" s="445">
        <f>SUMIF(MAR!$G$158:$J$158,BV$111,MAR!$R10:$U10)+SUMIF(MAR!$G$158:$J$158,BV$111,MAR!$W10:$Z10)</f>
        <v>0</v>
      </c>
      <c r="BW176" s="446">
        <f>SUMIF(MAR!$G$158:$J$158,BW$111,MAR!$R10:$U10)+SUMIF(MAR!$G$158:$J$158,BW$111,MAR!$W10:$Z10)</f>
        <v>0</v>
      </c>
      <c r="BX176" s="446">
        <f>SUMIF(MAR!$G$158:$J$158,BX$111,MAR!$R10:$U10)+SUMIF(MAR!$G$158:$J$158,BX$111,MAR!$W10:$Z10)</f>
        <v>0</v>
      </c>
      <c r="BY176" s="446">
        <f>SUMIF(MAR!$G$158:$J$158,BY$111,MAR!$R10:$U10)+SUMIF(MAR!$G$158:$J$158,BY$111,MAR!$W10:$Z10)</f>
        <v>0</v>
      </c>
      <c r="BZ176" s="446">
        <f>SUMIF(MAR!$G$158:$J$158,BZ$111,MAR!$R10:$U10)+SUMIF(MAR!$G$158:$J$158,BZ$111,MAR!$W10:$Z10)</f>
        <v>0</v>
      </c>
      <c r="CA176" s="446">
        <f>SUMIF(MAR!$G$158:$J$158,CA$111,MAR!$R10:$U10)+SUMIF(MAR!$G$158:$J$158,CA$111,MAR!$W10:$Z10)</f>
        <v>0</v>
      </c>
      <c r="CB176" s="448">
        <f>SUMIF(MAR!$G$158:$J$158,CB$111,MAR!$R10:$U10)+SUMIF(MAR!$G$158:$J$158,CB$111,MAR!$W10:$Z10)</f>
        <v>0</v>
      </c>
      <c r="CC176" s="571"/>
      <c r="CD176" s="448"/>
      <c r="CE176" s="92">
        <f t="shared" si="224"/>
        <v>0</v>
      </c>
      <c r="CF176" s="92">
        <f t="shared" si="225"/>
        <v>0</v>
      </c>
      <c r="CG176" s="151" t="str">
        <f t="shared" si="230"/>
        <v/>
      </c>
      <c r="CH176" s="92">
        <f t="shared" si="213"/>
        <v>0</v>
      </c>
      <c r="CI176" s="92" t="str">
        <f t="shared" si="226"/>
        <v/>
      </c>
      <c r="CJ176" s="1100">
        <f>MAR!AM10</f>
        <v>0</v>
      </c>
      <c r="CK176" s="445">
        <f>SUMIF(MAR!$G$155:$J$155,CK$112,MAR!$AN10:$AQ10)</f>
        <v>0</v>
      </c>
      <c r="CL176" s="446">
        <f>SUMIF(MAR!$G$155:$J$155,CL$112,MAR!$AN10:$AQ10)</f>
        <v>0</v>
      </c>
      <c r="CM176" s="447">
        <f>SUMIF(MAR!$G$155:$J$155,CM$112,MAR!$AN10:$AQ10)</f>
        <v>0</v>
      </c>
      <c r="CN176" s="448">
        <f>SUMIF(MAR!$G$155:$J$155,CN$112,MAR!$AN10:$AQ10)</f>
        <v>0</v>
      </c>
      <c r="CO176" s="1100">
        <f>MAR!AS10</f>
        <v>0</v>
      </c>
      <c r="CP176" s="445">
        <f>MAR!AT10</f>
        <v>0</v>
      </c>
      <c r="CQ176" s="446">
        <f>MAR!AU10</f>
        <v>0</v>
      </c>
      <c r="CR176" s="447">
        <f>MAR!AV10</f>
        <v>0</v>
      </c>
      <c r="CS176" s="448">
        <f>MAR!AW10</f>
        <v>0</v>
      </c>
      <c r="CT176" s="1100">
        <f>MAR!AY10</f>
        <v>0</v>
      </c>
      <c r="CU176" s="2"/>
    </row>
    <row r="177" spans="1:99" ht="14.25" hidden="1" customHeight="1" x14ac:dyDescent="0.2">
      <c r="A177" s="2"/>
      <c r="B177" s="151">
        <f t="shared" si="214"/>
        <v>45355</v>
      </c>
      <c r="C177" s="223">
        <f>IF(AND(E177&gt;(E$493-1),E177&lt;(I$493+1)),W$485,IF(ISERROR(HLOOKUP(E177,$E$486:$L$486,1,FALSE)),HLOOKUP(WEEKDAY(E177,2),IMPOSTAZIONI!$C$51:$P$56,6,FALSE),$W$484))</f>
        <v>0</v>
      </c>
      <c r="D177" s="103" t="str">
        <f t="shared" si="215"/>
        <v/>
      </c>
      <c r="E177" s="2380">
        <f t="shared" si="227"/>
        <v>45355</v>
      </c>
      <c r="F177" s="2381"/>
      <c r="G177" s="2325">
        <f>MAR!E11</f>
        <v>0</v>
      </c>
      <c r="H177" s="2326"/>
      <c r="I177" s="2327"/>
      <c r="J177" s="479" t="str">
        <f t="shared" si="210"/>
        <v/>
      </c>
      <c r="K177" s="480"/>
      <c r="L177" s="2323">
        <f t="shared" si="228"/>
        <v>10</v>
      </c>
      <c r="M177" s="2324"/>
      <c r="N177" s="478"/>
      <c r="O177" s="478"/>
      <c r="P177" s="478"/>
      <c r="Q177" s="2315">
        <f t="shared" si="217"/>
        <v>45355</v>
      </c>
      <c r="R177" s="2315"/>
      <c r="S177" s="478"/>
      <c r="T177" s="140">
        <f t="shared" si="218"/>
        <v>0</v>
      </c>
      <c r="U177" s="478"/>
      <c r="V177" s="478"/>
      <c r="W177" s="478"/>
      <c r="X177" s="478"/>
      <c r="Y177" s="478"/>
      <c r="Z177" s="478"/>
      <c r="AA177" s="478"/>
      <c r="AB177" s="478"/>
      <c r="AC177" s="478"/>
      <c r="AD177" s="478"/>
      <c r="AE177" s="478"/>
      <c r="AF177" s="478"/>
      <c r="AG177" s="140">
        <f t="shared" si="219"/>
        <v>0</v>
      </c>
      <c r="AH177" s="92" t="str">
        <f t="shared" si="220"/>
        <v/>
      </c>
      <c r="AI177" s="131">
        <f t="shared" si="221"/>
        <v>0</v>
      </c>
      <c r="AJ177" s="2"/>
      <c r="AK177" s="92">
        <f>IF(G177=G$481,0,IF(OR(G177&lt;&gt;0,CJ177&lt;&gt;0,C177="L"),COUNTIF(AK$114:AK176,"&gt;0")+1,0))</f>
        <v>0</v>
      </c>
      <c r="AL177" s="92" t="str">
        <f t="shared" si="222"/>
        <v/>
      </c>
      <c r="AM177" s="92" t="str">
        <f t="shared" si="223"/>
        <v/>
      </c>
      <c r="AN177" s="131">
        <f t="shared" si="211"/>
        <v>0</v>
      </c>
      <c r="AO177" s="447">
        <f>SUM(MAR!W11:Z11)</f>
        <v>0</v>
      </c>
      <c r="AP177" s="445">
        <f>SUMIF(MAR!$G$155:$J$155,AP$112,MAR!$R11:$U11)</f>
        <v>0</v>
      </c>
      <c r="AQ177" s="446">
        <f>SUMIF(MAR!$G$155:$J$155,AQ$112,MAR!$R11:$U11)</f>
        <v>0</v>
      </c>
      <c r="AR177" s="447">
        <f>SUMIF(MAR!$G$155:$J$155,AR$112,MAR!$R11:$U11)</f>
        <v>0</v>
      </c>
      <c r="AS177" s="448">
        <f>SUMIF(MAR!$G$155:$J$155,AS$112,MAR!$R11:$U11)</f>
        <v>0</v>
      </c>
      <c r="AT177" s="449">
        <f>MAR!AG11</f>
        <v>0</v>
      </c>
      <c r="AU177" s="445">
        <f>MAR!AH11</f>
        <v>0</v>
      </c>
      <c r="AV177" s="446">
        <f>MAR!AI11</f>
        <v>0</v>
      </c>
      <c r="AW177" s="447">
        <f>MAR!AJ11</f>
        <v>0</v>
      </c>
      <c r="AX177" s="448">
        <f>MAR!AK11</f>
        <v>0</v>
      </c>
      <c r="AY177" s="445">
        <f>SUMIF(MAR!$G$152:$J$152,"&gt;0",MAR!$W11:$Z11)</f>
        <v>0</v>
      </c>
      <c r="AZ177" s="1063">
        <f>SUM(MAR!AB11:AE11)</f>
        <v>0</v>
      </c>
      <c r="BA177" s="445">
        <f>SUMIF(MAR!$G$159:$J$159,BA$111,MAR!$R11:$U11)+SUMIF(MAR!$G$159:$J$159,BA$111,MAR!$W11:$Z11)</f>
        <v>0</v>
      </c>
      <c r="BB177" s="446">
        <f>SUMIF(MAR!$G$159:$J$159,BB$111,MAR!$R11:$U11)+SUMIF(MAR!$G$159:$J$159,BB$111,MAR!$W11:$Z11)</f>
        <v>0</v>
      </c>
      <c r="BC177" s="446">
        <f>SUMIF(MAR!$G$159:$J$159,BC$111,MAR!$R11:$U11)+SUMIF(MAR!$G$159:$J$159,BC$111,MAR!$W11:$Z11)</f>
        <v>0</v>
      </c>
      <c r="BD177" s="446">
        <f>SUMIF(MAR!$G$159:$J$159,BD$111,MAR!$R11:$U11)+SUMIF(MAR!$G$159:$J$159,BD$111,MAR!$W11:$Z11)</f>
        <v>0</v>
      </c>
      <c r="BE177" s="446">
        <f>SUMIF(MAR!$G$159:$J$159,BE$111,MAR!$R11:$U11)+SUMIF(MAR!$G$159:$J$159,BE$111,MAR!$W11:$Z11)</f>
        <v>0</v>
      </c>
      <c r="BF177" s="446">
        <f>SUMIF(MAR!$G$159:$J$159,BF$111,MAR!$R11:$U11)+SUMIF(MAR!$G$159:$J$159,BF$111,MAR!$W11:$Z11)</f>
        <v>0</v>
      </c>
      <c r="BG177" s="448">
        <f>SUMIF(MAR!$G$159:$J$159,BG$111,MAR!$R11:$U11)+SUMIF(MAR!$G$159:$J$159,BG$111,MAR!$W11:$Z11)</f>
        <v>0</v>
      </c>
      <c r="BH177" s="571"/>
      <c r="BI177" s="448"/>
      <c r="BJ177" s="470"/>
      <c r="BK177" s="445">
        <f>SUMIF(MAR!$G$157:$J$157,BK$111,MAR!$R11:$U11)+SUMIF(MAR!$G$157:$J$157,BK$111,MAR!$W11:$Z11)</f>
        <v>0</v>
      </c>
      <c r="BL177" s="446">
        <f>SUMIF(MAR!$G$157:$J$157,BL$111,MAR!$R11:$U11)+SUMIF(MAR!$G$157:$J$157,BL$111,MAR!$W11:$Z11)</f>
        <v>0</v>
      </c>
      <c r="BM177" s="446">
        <f>SUMIF(MAR!$G$157:$J$157,BM$111,MAR!$R11:$U11)+SUMIF(MAR!$G$157:$J$157,BM$111,MAR!$W11:$Z11)</f>
        <v>0</v>
      </c>
      <c r="BN177" s="446">
        <f>SUMIF(MAR!$G$157:$J$157,BN$111,MAR!$R11:$U11)+SUMIF(MAR!$G$157:$J$157,BN$111,MAR!$W11:$Z11)</f>
        <v>0</v>
      </c>
      <c r="BO177" s="446">
        <f>SUMIF(MAR!$G$157:$J$157,BO$111,MAR!$R11:$U11)+SUMIF(MAR!$G$157:$J$157,BO$111,MAR!$W11:$Z11)</f>
        <v>0</v>
      </c>
      <c r="BP177" s="446">
        <f>SUMIF(MAR!$G$157:$J$157,BP$111,MAR!$R11:$U11)+SUMIF(MAR!$G$157:$J$157,BP$111,MAR!$W11:$Z11)</f>
        <v>0</v>
      </c>
      <c r="BQ177" s="448">
        <f>SUMIF(MAR!$G$157:$J$157,BQ$111,MAR!$R11:$U11)+SUMIF(MAR!$G$157:$J$157,BQ$111,MAR!$W11:$Z11)</f>
        <v>0</v>
      </c>
      <c r="BR177" s="571"/>
      <c r="BS177" s="446"/>
      <c r="BT177" s="448"/>
      <c r="BU177" s="470"/>
      <c r="BV177" s="445">
        <f>SUMIF(MAR!$G$158:$J$158,BV$111,MAR!$R11:$U11)+SUMIF(MAR!$G$158:$J$158,BV$111,MAR!$W11:$Z11)</f>
        <v>0</v>
      </c>
      <c r="BW177" s="446">
        <f>SUMIF(MAR!$G$158:$J$158,BW$111,MAR!$R11:$U11)+SUMIF(MAR!$G$158:$J$158,BW$111,MAR!$W11:$Z11)</f>
        <v>0</v>
      </c>
      <c r="BX177" s="446">
        <f>SUMIF(MAR!$G$158:$J$158,BX$111,MAR!$R11:$U11)+SUMIF(MAR!$G$158:$J$158,BX$111,MAR!$W11:$Z11)</f>
        <v>0</v>
      </c>
      <c r="BY177" s="446">
        <f>SUMIF(MAR!$G$158:$J$158,BY$111,MAR!$R11:$U11)+SUMIF(MAR!$G$158:$J$158,BY$111,MAR!$W11:$Z11)</f>
        <v>0</v>
      </c>
      <c r="BZ177" s="446">
        <f>SUMIF(MAR!$G$158:$J$158,BZ$111,MAR!$R11:$U11)+SUMIF(MAR!$G$158:$J$158,BZ$111,MAR!$W11:$Z11)</f>
        <v>0</v>
      </c>
      <c r="CA177" s="446">
        <f>SUMIF(MAR!$G$158:$J$158,CA$111,MAR!$R11:$U11)+SUMIF(MAR!$G$158:$J$158,CA$111,MAR!$W11:$Z11)</f>
        <v>0</v>
      </c>
      <c r="CB177" s="448">
        <f>SUMIF(MAR!$G$158:$J$158,CB$111,MAR!$R11:$U11)+SUMIF(MAR!$G$158:$J$158,CB$111,MAR!$W11:$Z11)</f>
        <v>0</v>
      </c>
      <c r="CC177" s="571"/>
      <c r="CD177" s="448"/>
      <c r="CE177" s="92">
        <f t="shared" si="224"/>
        <v>0</v>
      </c>
      <c r="CF177" s="92">
        <f t="shared" si="225"/>
        <v>0</v>
      </c>
      <c r="CG177" s="151" t="str">
        <f t="shared" si="230"/>
        <v/>
      </c>
      <c r="CH177" s="92">
        <f t="shared" si="213"/>
        <v>0</v>
      </c>
      <c r="CI177" s="92" t="str">
        <f t="shared" si="226"/>
        <v/>
      </c>
      <c r="CJ177" s="1100">
        <f>MAR!AM11</f>
        <v>0</v>
      </c>
      <c r="CK177" s="445">
        <f>SUMIF(MAR!$G$155:$J$155,CK$112,MAR!$AN11:$AQ11)</f>
        <v>0</v>
      </c>
      <c r="CL177" s="446">
        <f>SUMIF(MAR!$G$155:$J$155,CL$112,MAR!$AN11:$AQ11)</f>
        <v>0</v>
      </c>
      <c r="CM177" s="447">
        <f>SUMIF(MAR!$G$155:$J$155,CM$112,MAR!$AN11:$AQ11)</f>
        <v>0</v>
      </c>
      <c r="CN177" s="448">
        <f>SUMIF(MAR!$G$155:$J$155,CN$112,MAR!$AN11:$AQ11)</f>
        <v>0</v>
      </c>
      <c r="CO177" s="1100">
        <f>MAR!AS11</f>
        <v>0</v>
      </c>
      <c r="CP177" s="445">
        <f>MAR!AT11</f>
        <v>0</v>
      </c>
      <c r="CQ177" s="446">
        <f>MAR!AU11</f>
        <v>0</v>
      </c>
      <c r="CR177" s="447">
        <f>MAR!AV11</f>
        <v>0</v>
      </c>
      <c r="CS177" s="448">
        <f>MAR!AW11</f>
        <v>0</v>
      </c>
      <c r="CT177" s="1100">
        <f>MAR!AY11</f>
        <v>0</v>
      </c>
      <c r="CU177" s="2"/>
    </row>
    <row r="178" spans="1:99" ht="14.25" hidden="1" customHeight="1" x14ac:dyDescent="0.2">
      <c r="A178" s="2"/>
      <c r="B178" s="151">
        <f t="shared" si="214"/>
        <v>45356</v>
      </c>
      <c r="C178" s="223">
        <f>IF(AND(E178&gt;(E$493-1),E178&lt;(I$493+1)),W$485,IF(ISERROR(HLOOKUP(E178,$E$486:$L$486,1,FALSE)),HLOOKUP(WEEKDAY(E178,2),IMPOSTAZIONI!$C$51:$P$56,6,FALSE),$W$484))</f>
        <v>0</v>
      </c>
      <c r="D178" s="103" t="str">
        <f t="shared" si="215"/>
        <v/>
      </c>
      <c r="E178" s="2380">
        <f t="shared" si="227"/>
        <v>45356</v>
      </c>
      <c r="F178" s="2381"/>
      <c r="G178" s="2325">
        <f>MAR!E12</f>
        <v>0</v>
      </c>
      <c r="H178" s="2326"/>
      <c r="I178" s="2327"/>
      <c r="J178" s="479" t="str">
        <f t="shared" ref="J178:J241" si="231">IF(E178=T$5,"&gt;","")</f>
        <v/>
      </c>
      <c r="K178" s="480"/>
      <c r="L178" s="2319">
        <f t="shared" si="228"/>
        <v>10</v>
      </c>
      <c r="M178" s="2320"/>
      <c r="N178" s="478"/>
      <c r="O178" s="478"/>
      <c r="P178" s="478"/>
      <c r="Q178" s="2315">
        <f t="shared" si="217"/>
        <v>45356</v>
      </c>
      <c r="R178" s="2315"/>
      <c r="S178" s="478"/>
      <c r="T178" s="140">
        <f t="shared" si="218"/>
        <v>0</v>
      </c>
      <c r="U178" s="478"/>
      <c r="V178" s="478"/>
      <c r="W178" s="478"/>
      <c r="X178" s="478"/>
      <c r="Y178" s="478"/>
      <c r="Z178" s="478"/>
      <c r="AA178" s="478"/>
      <c r="AB178" s="478"/>
      <c r="AC178" s="478"/>
      <c r="AD178" s="478"/>
      <c r="AE178" s="478"/>
      <c r="AF178" s="478"/>
      <c r="AG178" s="140">
        <f t="shared" si="219"/>
        <v>0</v>
      </c>
      <c r="AH178" s="92" t="str">
        <f t="shared" si="220"/>
        <v/>
      </c>
      <c r="AI178" s="131">
        <f t="shared" si="221"/>
        <v>0</v>
      </c>
      <c r="AJ178" s="2"/>
      <c r="AK178" s="92">
        <f>IF(G178=G$481,0,IF(OR(G178&lt;&gt;0,CJ178&lt;&gt;0,C178="L"),COUNTIF(AK$114:AK177,"&gt;0")+1,0))</f>
        <v>0</v>
      </c>
      <c r="AL178" s="92" t="str">
        <f t="shared" si="222"/>
        <v/>
      </c>
      <c r="AM178" s="92" t="str">
        <f t="shared" si="223"/>
        <v/>
      </c>
      <c r="AN178" s="131">
        <f t="shared" ref="AN178:AN241" si="232">IF(AND(E178&gt;(AN$111-1),E178&lt;(AN$112+1)),C178,0)</f>
        <v>0</v>
      </c>
      <c r="AO178" s="447">
        <f>SUM(MAR!W12:Z12)</f>
        <v>0</v>
      </c>
      <c r="AP178" s="445">
        <f>SUMIF(MAR!$G$155:$J$155,AP$112,MAR!$R12:$U12)</f>
        <v>0</v>
      </c>
      <c r="AQ178" s="446">
        <f>SUMIF(MAR!$G$155:$J$155,AQ$112,MAR!$R12:$U12)</f>
        <v>0</v>
      </c>
      <c r="AR178" s="447">
        <f>SUMIF(MAR!$G$155:$J$155,AR$112,MAR!$R12:$U12)</f>
        <v>0</v>
      </c>
      <c r="AS178" s="448">
        <f>SUMIF(MAR!$G$155:$J$155,AS$112,MAR!$R12:$U12)</f>
        <v>0</v>
      </c>
      <c r="AT178" s="449">
        <f>MAR!AG12</f>
        <v>0</v>
      </c>
      <c r="AU178" s="445">
        <f>MAR!AH12</f>
        <v>0</v>
      </c>
      <c r="AV178" s="446">
        <f>MAR!AI12</f>
        <v>0</v>
      </c>
      <c r="AW178" s="447">
        <f>MAR!AJ12</f>
        <v>0</v>
      </c>
      <c r="AX178" s="448">
        <f>MAR!AK12</f>
        <v>0</v>
      </c>
      <c r="AY178" s="445">
        <f>SUMIF(MAR!$G$152:$J$152,"&gt;0",MAR!$W12:$Z12)</f>
        <v>0</v>
      </c>
      <c r="AZ178" s="1063">
        <f>SUM(MAR!AB12:AE12)</f>
        <v>0</v>
      </c>
      <c r="BA178" s="445">
        <f>SUMIF(MAR!$G$159:$J$159,BA$111,MAR!$R12:$U12)+SUMIF(MAR!$G$159:$J$159,BA$111,MAR!$W12:$Z12)</f>
        <v>0</v>
      </c>
      <c r="BB178" s="446">
        <f>SUMIF(MAR!$G$159:$J$159,BB$111,MAR!$R12:$U12)+SUMIF(MAR!$G$159:$J$159,BB$111,MAR!$W12:$Z12)</f>
        <v>0</v>
      </c>
      <c r="BC178" s="446">
        <f>SUMIF(MAR!$G$159:$J$159,BC$111,MAR!$R12:$U12)+SUMIF(MAR!$G$159:$J$159,BC$111,MAR!$W12:$Z12)</f>
        <v>0</v>
      </c>
      <c r="BD178" s="446">
        <f>SUMIF(MAR!$G$159:$J$159,BD$111,MAR!$R12:$U12)+SUMIF(MAR!$G$159:$J$159,BD$111,MAR!$W12:$Z12)</f>
        <v>0</v>
      </c>
      <c r="BE178" s="446">
        <f>SUMIF(MAR!$G$159:$J$159,BE$111,MAR!$R12:$U12)+SUMIF(MAR!$G$159:$J$159,BE$111,MAR!$W12:$Z12)</f>
        <v>0</v>
      </c>
      <c r="BF178" s="446">
        <f>SUMIF(MAR!$G$159:$J$159,BF$111,MAR!$R12:$U12)+SUMIF(MAR!$G$159:$J$159,BF$111,MAR!$W12:$Z12)</f>
        <v>0</v>
      </c>
      <c r="BG178" s="448">
        <f>SUMIF(MAR!$G$159:$J$159,BG$111,MAR!$R12:$U12)+SUMIF(MAR!$G$159:$J$159,BG$111,MAR!$W12:$Z12)</f>
        <v>0</v>
      </c>
      <c r="BH178" s="571"/>
      <c r="BI178" s="448"/>
      <c r="BJ178" s="470"/>
      <c r="BK178" s="445">
        <f>SUMIF(MAR!$G$157:$J$157,BK$111,MAR!$R12:$U12)+SUMIF(MAR!$G$157:$J$157,BK$111,MAR!$W12:$Z12)</f>
        <v>0</v>
      </c>
      <c r="BL178" s="446">
        <f>SUMIF(MAR!$G$157:$J$157,BL$111,MAR!$R12:$U12)+SUMIF(MAR!$G$157:$J$157,BL$111,MAR!$W12:$Z12)</f>
        <v>0</v>
      </c>
      <c r="BM178" s="446">
        <f>SUMIF(MAR!$G$157:$J$157,BM$111,MAR!$R12:$U12)+SUMIF(MAR!$G$157:$J$157,BM$111,MAR!$W12:$Z12)</f>
        <v>0</v>
      </c>
      <c r="BN178" s="446">
        <f>SUMIF(MAR!$G$157:$J$157,BN$111,MAR!$R12:$U12)+SUMIF(MAR!$G$157:$J$157,BN$111,MAR!$W12:$Z12)</f>
        <v>0</v>
      </c>
      <c r="BO178" s="446">
        <f>SUMIF(MAR!$G$157:$J$157,BO$111,MAR!$R12:$U12)+SUMIF(MAR!$G$157:$J$157,BO$111,MAR!$W12:$Z12)</f>
        <v>0</v>
      </c>
      <c r="BP178" s="446">
        <f>SUMIF(MAR!$G$157:$J$157,BP$111,MAR!$R12:$U12)+SUMIF(MAR!$G$157:$J$157,BP$111,MAR!$W12:$Z12)</f>
        <v>0</v>
      </c>
      <c r="BQ178" s="448">
        <f>SUMIF(MAR!$G$157:$J$157,BQ$111,MAR!$R12:$U12)+SUMIF(MAR!$G$157:$J$157,BQ$111,MAR!$W12:$Z12)</f>
        <v>0</v>
      </c>
      <c r="BR178" s="571"/>
      <c r="BS178" s="446"/>
      <c r="BT178" s="448"/>
      <c r="BU178" s="470"/>
      <c r="BV178" s="445">
        <f>SUMIF(MAR!$G$158:$J$158,BV$111,MAR!$R12:$U12)+SUMIF(MAR!$G$158:$J$158,BV$111,MAR!$W12:$Z12)</f>
        <v>0</v>
      </c>
      <c r="BW178" s="446">
        <f>SUMIF(MAR!$G$158:$J$158,BW$111,MAR!$R12:$U12)+SUMIF(MAR!$G$158:$J$158,BW$111,MAR!$W12:$Z12)</f>
        <v>0</v>
      </c>
      <c r="BX178" s="446">
        <f>SUMIF(MAR!$G$158:$J$158,BX$111,MAR!$R12:$U12)+SUMIF(MAR!$G$158:$J$158,BX$111,MAR!$W12:$Z12)</f>
        <v>0</v>
      </c>
      <c r="BY178" s="446">
        <f>SUMIF(MAR!$G$158:$J$158,BY$111,MAR!$R12:$U12)+SUMIF(MAR!$G$158:$J$158,BY$111,MAR!$W12:$Z12)</f>
        <v>0</v>
      </c>
      <c r="BZ178" s="446">
        <f>SUMIF(MAR!$G$158:$J$158,BZ$111,MAR!$R12:$U12)+SUMIF(MAR!$G$158:$J$158,BZ$111,MAR!$W12:$Z12)</f>
        <v>0</v>
      </c>
      <c r="CA178" s="446">
        <f>SUMIF(MAR!$G$158:$J$158,CA$111,MAR!$R12:$U12)+SUMIF(MAR!$G$158:$J$158,CA$111,MAR!$W12:$Z12)</f>
        <v>0</v>
      </c>
      <c r="CB178" s="448">
        <f>SUMIF(MAR!$G$158:$J$158,CB$111,MAR!$R12:$U12)+SUMIF(MAR!$G$158:$J$158,CB$111,MAR!$W12:$Z12)</f>
        <v>0</v>
      </c>
      <c r="CC178" s="571"/>
      <c r="CD178" s="448"/>
      <c r="CE178" s="92">
        <f t="shared" si="224"/>
        <v>0</v>
      </c>
      <c r="CF178" s="92">
        <f t="shared" si="225"/>
        <v>0</v>
      </c>
      <c r="CG178" s="151" t="str">
        <f t="shared" si="230"/>
        <v/>
      </c>
      <c r="CH178" s="92">
        <f t="shared" ref="CH178:CH241" si="233">IF(CI178="X",AK178,0)</f>
        <v>0</v>
      </c>
      <c r="CI178" s="92" t="str">
        <f t="shared" si="226"/>
        <v/>
      </c>
      <c r="CJ178" s="1100">
        <f>MAR!AM12</f>
        <v>0</v>
      </c>
      <c r="CK178" s="445">
        <f>SUMIF(MAR!$G$155:$J$155,CK$112,MAR!$AN12:$AQ12)</f>
        <v>0</v>
      </c>
      <c r="CL178" s="446">
        <f>SUMIF(MAR!$G$155:$J$155,CL$112,MAR!$AN12:$AQ12)</f>
        <v>0</v>
      </c>
      <c r="CM178" s="447">
        <f>SUMIF(MAR!$G$155:$J$155,CM$112,MAR!$AN12:$AQ12)</f>
        <v>0</v>
      </c>
      <c r="CN178" s="448">
        <f>SUMIF(MAR!$G$155:$J$155,CN$112,MAR!$AN12:$AQ12)</f>
        <v>0</v>
      </c>
      <c r="CO178" s="1100">
        <f>MAR!AS12</f>
        <v>0</v>
      </c>
      <c r="CP178" s="445">
        <f>MAR!AT12</f>
        <v>0</v>
      </c>
      <c r="CQ178" s="446">
        <f>MAR!AU12</f>
        <v>0</v>
      </c>
      <c r="CR178" s="447">
        <f>MAR!AV12</f>
        <v>0</v>
      </c>
      <c r="CS178" s="448">
        <f>MAR!AW12</f>
        <v>0</v>
      </c>
      <c r="CT178" s="1100">
        <f>MAR!AY12</f>
        <v>0</v>
      </c>
      <c r="CU178" s="2"/>
    </row>
    <row r="179" spans="1:99" ht="14.25" hidden="1" customHeight="1" x14ac:dyDescent="0.2">
      <c r="A179" s="2"/>
      <c r="B179" s="151">
        <f t="shared" ref="B179:B242" si="234">E179</f>
        <v>45357</v>
      </c>
      <c r="C179" s="223">
        <f>IF(AND(E179&gt;(E$493-1),E179&lt;(I$493+1)),W$485,IF(ISERROR(HLOOKUP(E179,$E$486:$L$486,1,FALSE)),HLOOKUP(WEEKDAY(E179,2),IMPOSTAZIONI!$C$51:$P$56,6,FALSE),$W$484))</f>
        <v>0</v>
      </c>
      <c r="D179" s="103" t="str">
        <f t="shared" ref="D179:D242" si="235">IF(C179="L",MONTH(E179),"")</f>
        <v/>
      </c>
      <c r="E179" s="2380">
        <f t="shared" si="227"/>
        <v>45357</v>
      </c>
      <c r="F179" s="2381"/>
      <c r="G179" s="2325">
        <f>MAR!E13</f>
        <v>0</v>
      </c>
      <c r="H179" s="2326"/>
      <c r="I179" s="2327"/>
      <c r="J179" s="479" t="str">
        <f t="shared" si="231"/>
        <v/>
      </c>
      <c r="K179" s="480"/>
      <c r="L179" s="2319">
        <f t="shared" si="228"/>
        <v>10</v>
      </c>
      <c r="M179" s="2320"/>
      <c r="N179" s="478"/>
      <c r="O179" s="478"/>
      <c r="P179" s="478"/>
      <c r="Q179" s="2315">
        <f t="shared" ref="Q179:Q242" si="236">E179</f>
        <v>45357</v>
      </c>
      <c r="R179" s="2315"/>
      <c r="S179" s="478"/>
      <c r="T179" s="140">
        <f t="shared" ref="T179:T242" si="237">IF(OR(G179&lt;&gt;0,CJ179&lt;&gt;0),1,0)</f>
        <v>0</v>
      </c>
      <c r="U179" s="478"/>
      <c r="V179" s="478"/>
      <c r="W179" s="478"/>
      <c r="X179" s="478"/>
      <c r="Y179" s="478"/>
      <c r="Z179" s="478"/>
      <c r="AA179" s="478"/>
      <c r="AB179" s="478"/>
      <c r="AC179" s="478"/>
      <c r="AD179" s="478"/>
      <c r="AE179" s="478"/>
      <c r="AF179" s="478"/>
      <c r="AG179" s="140">
        <f t="shared" ref="AG179:AG242" si="238">IF(AND(L179&gt;(AG$110-1),L179&lt;(AG$111+1)),1,0)</f>
        <v>0</v>
      </c>
      <c r="AH179" s="92" t="str">
        <f t="shared" ref="AH179:AH242" si="239">IF(AK179=0,"",IF(AH$111=5,IF(AND(L179&gt;(AG$110-1),L179&lt;(AG$111+1)),"Y",""),""))</f>
        <v/>
      </c>
      <c r="AI179" s="131">
        <f t="shared" ref="AI179:AI242" si="240">IF(AND($L179&gt;(AI$111-1),$L179&lt;(AI$112+1)),$C179,0)</f>
        <v>0</v>
      </c>
      <c r="AJ179" s="2"/>
      <c r="AK179" s="92">
        <f>IF(G179=G$481,0,IF(OR(G179&lt;&gt;0,CJ179&lt;&gt;0,C179="L"),COUNTIF(AK$114:AK178,"&gt;0")+1,0))</f>
        <v>0</v>
      </c>
      <c r="AL179" s="92" t="str">
        <f t="shared" ref="AL179:AL242" si="241">IF(AL$111=5,AH179,IF(AK179=0,"",IF(AL$111=1,IF(AND(AK179&gt;($CF$483-1),AK179&lt;($CF$484+1)),"Y",""),IF(AL$111=2,IF(AL$110=MONTH(E179),"Y",""),IF(AL$111=3,"Y",IF(AL$111=4,IF(AND(E179&gt;(AO$111-1),E179&lt;(AO$112+1)),"Y",""),IF(AL$111=5,IF(AG179=1,"Y",""),"")))))))</f>
        <v/>
      </c>
      <c r="AM179" s="92" t="str">
        <f t="shared" ref="AM179:AM242" si="242">IF(AM$109=AM$108,CI179,IF(AND(AN$111&gt;0,AN$112&gt;0),IF(AND(E179&gt;(AN$111-1),E179&lt;(AN$112+1),OR(AO179&lt;&gt;0,AN179=AM$111)),"X",""),""))</f>
        <v/>
      </c>
      <c r="AN179" s="131">
        <f t="shared" si="232"/>
        <v>0</v>
      </c>
      <c r="AO179" s="447">
        <f>SUM(MAR!W13:Z13)</f>
        <v>0</v>
      </c>
      <c r="AP179" s="445">
        <f>SUMIF(MAR!$G$155:$J$155,AP$112,MAR!$R13:$U13)</f>
        <v>0</v>
      </c>
      <c r="AQ179" s="446">
        <f>SUMIF(MAR!$G$155:$J$155,AQ$112,MAR!$R13:$U13)</f>
        <v>0</v>
      </c>
      <c r="AR179" s="447">
        <f>SUMIF(MAR!$G$155:$J$155,AR$112,MAR!$R13:$U13)</f>
        <v>0</v>
      </c>
      <c r="AS179" s="448">
        <f>SUMIF(MAR!$G$155:$J$155,AS$112,MAR!$R13:$U13)</f>
        <v>0</v>
      </c>
      <c r="AT179" s="449">
        <f>MAR!AG13</f>
        <v>0</v>
      </c>
      <c r="AU179" s="445">
        <f>MAR!AH13</f>
        <v>0</v>
      </c>
      <c r="AV179" s="446">
        <f>MAR!AI13</f>
        <v>0</v>
      </c>
      <c r="AW179" s="447">
        <f>MAR!AJ13</f>
        <v>0</v>
      </c>
      <c r="AX179" s="448">
        <f>MAR!AK13</f>
        <v>0</v>
      </c>
      <c r="AY179" s="445">
        <f>SUMIF(MAR!$G$152:$J$152,"&gt;0",MAR!$W13:$Z13)</f>
        <v>0</v>
      </c>
      <c r="AZ179" s="1063">
        <f>SUM(MAR!AB13:AE13)</f>
        <v>0</v>
      </c>
      <c r="BA179" s="445">
        <f>SUMIF(MAR!$G$159:$J$159,BA$111,MAR!$R13:$U13)+SUMIF(MAR!$G$159:$J$159,BA$111,MAR!$W13:$Z13)</f>
        <v>0</v>
      </c>
      <c r="BB179" s="446">
        <f>SUMIF(MAR!$G$159:$J$159,BB$111,MAR!$R13:$U13)+SUMIF(MAR!$G$159:$J$159,BB$111,MAR!$W13:$Z13)</f>
        <v>0</v>
      </c>
      <c r="BC179" s="446">
        <f>SUMIF(MAR!$G$159:$J$159,BC$111,MAR!$R13:$U13)+SUMIF(MAR!$G$159:$J$159,BC$111,MAR!$W13:$Z13)</f>
        <v>0</v>
      </c>
      <c r="BD179" s="446">
        <f>SUMIF(MAR!$G$159:$J$159,BD$111,MAR!$R13:$U13)+SUMIF(MAR!$G$159:$J$159,BD$111,MAR!$W13:$Z13)</f>
        <v>0</v>
      </c>
      <c r="BE179" s="446">
        <f>SUMIF(MAR!$G$159:$J$159,BE$111,MAR!$R13:$U13)+SUMIF(MAR!$G$159:$J$159,BE$111,MAR!$W13:$Z13)</f>
        <v>0</v>
      </c>
      <c r="BF179" s="446">
        <f>SUMIF(MAR!$G$159:$J$159,BF$111,MAR!$R13:$U13)+SUMIF(MAR!$G$159:$J$159,BF$111,MAR!$W13:$Z13)</f>
        <v>0</v>
      </c>
      <c r="BG179" s="448">
        <f>SUMIF(MAR!$G$159:$J$159,BG$111,MAR!$R13:$U13)+SUMIF(MAR!$G$159:$J$159,BG$111,MAR!$W13:$Z13)</f>
        <v>0</v>
      </c>
      <c r="BH179" s="571"/>
      <c r="BI179" s="448"/>
      <c r="BJ179" s="470"/>
      <c r="BK179" s="445">
        <f>SUMIF(MAR!$G$157:$J$157,BK$111,MAR!$R13:$U13)+SUMIF(MAR!$G$157:$J$157,BK$111,MAR!$W13:$Z13)</f>
        <v>0</v>
      </c>
      <c r="BL179" s="446">
        <f>SUMIF(MAR!$G$157:$J$157,BL$111,MAR!$R13:$U13)+SUMIF(MAR!$G$157:$J$157,BL$111,MAR!$W13:$Z13)</f>
        <v>0</v>
      </c>
      <c r="BM179" s="446">
        <f>SUMIF(MAR!$G$157:$J$157,BM$111,MAR!$R13:$U13)+SUMIF(MAR!$G$157:$J$157,BM$111,MAR!$W13:$Z13)</f>
        <v>0</v>
      </c>
      <c r="BN179" s="446">
        <f>SUMIF(MAR!$G$157:$J$157,BN$111,MAR!$R13:$U13)+SUMIF(MAR!$G$157:$J$157,BN$111,MAR!$W13:$Z13)</f>
        <v>0</v>
      </c>
      <c r="BO179" s="446">
        <f>SUMIF(MAR!$G$157:$J$157,BO$111,MAR!$R13:$U13)+SUMIF(MAR!$G$157:$J$157,BO$111,MAR!$W13:$Z13)</f>
        <v>0</v>
      </c>
      <c r="BP179" s="446">
        <f>SUMIF(MAR!$G$157:$J$157,BP$111,MAR!$R13:$U13)+SUMIF(MAR!$G$157:$J$157,BP$111,MAR!$W13:$Z13)</f>
        <v>0</v>
      </c>
      <c r="BQ179" s="448">
        <f>SUMIF(MAR!$G$157:$J$157,BQ$111,MAR!$R13:$U13)+SUMIF(MAR!$G$157:$J$157,BQ$111,MAR!$W13:$Z13)</f>
        <v>0</v>
      </c>
      <c r="BR179" s="571"/>
      <c r="BS179" s="446"/>
      <c r="BT179" s="448"/>
      <c r="BU179" s="470"/>
      <c r="BV179" s="445">
        <f>SUMIF(MAR!$G$158:$J$158,BV$111,MAR!$R13:$U13)+SUMIF(MAR!$G$158:$J$158,BV$111,MAR!$W13:$Z13)</f>
        <v>0</v>
      </c>
      <c r="BW179" s="446">
        <f>SUMIF(MAR!$G$158:$J$158,BW$111,MAR!$R13:$U13)+SUMIF(MAR!$G$158:$J$158,BW$111,MAR!$W13:$Z13)</f>
        <v>0</v>
      </c>
      <c r="BX179" s="446">
        <f>SUMIF(MAR!$G$158:$J$158,BX$111,MAR!$R13:$U13)+SUMIF(MAR!$G$158:$J$158,BX$111,MAR!$W13:$Z13)</f>
        <v>0</v>
      </c>
      <c r="BY179" s="446">
        <f>SUMIF(MAR!$G$158:$J$158,BY$111,MAR!$R13:$U13)+SUMIF(MAR!$G$158:$J$158,BY$111,MAR!$W13:$Z13)</f>
        <v>0</v>
      </c>
      <c r="BZ179" s="446">
        <f>SUMIF(MAR!$G$158:$J$158,BZ$111,MAR!$R13:$U13)+SUMIF(MAR!$G$158:$J$158,BZ$111,MAR!$W13:$Z13)</f>
        <v>0</v>
      </c>
      <c r="CA179" s="446">
        <f>SUMIF(MAR!$G$158:$J$158,CA$111,MAR!$R13:$U13)+SUMIF(MAR!$G$158:$J$158,CA$111,MAR!$W13:$Z13)</f>
        <v>0</v>
      </c>
      <c r="CB179" s="448">
        <f>SUMIF(MAR!$G$158:$J$158,CB$111,MAR!$R13:$U13)+SUMIF(MAR!$G$158:$J$158,CB$111,MAR!$W13:$Z13)</f>
        <v>0</v>
      </c>
      <c r="CC179" s="571"/>
      <c r="CD179" s="448"/>
      <c r="CE179" s="92">
        <f t="shared" ref="CE179:CE242" si="243">IF(AM179="X",AK179,0)</f>
        <v>0</v>
      </c>
      <c r="CF179" s="92">
        <f t="shared" ref="CF179:CF242" si="244">IF(AL179="Y",AK179,0)</f>
        <v>0</v>
      </c>
      <c r="CG179" s="151" t="str">
        <f t="shared" si="230"/>
        <v/>
      </c>
      <c r="CH179" s="92">
        <f t="shared" si="233"/>
        <v>0</v>
      </c>
      <c r="CI179" s="92" t="str">
        <f t="shared" ref="CI179:CI242" si="245">IF(AND(L179&gt;(AI$111-1),L179&lt;(AI$112+1),OR(AO179&lt;&gt;0,AI179=CI$111)),"X","")</f>
        <v/>
      </c>
      <c r="CJ179" s="1100">
        <f>MAR!AM13</f>
        <v>0</v>
      </c>
      <c r="CK179" s="445">
        <f>SUMIF(MAR!$G$155:$J$155,CK$112,MAR!$AN13:$AQ13)</f>
        <v>0</v>
      </c>
      <c r="CL179" s="446">
        <f>SUMIF(MAR!$G$155:$J$155,CL$112,MAR!$AN13:$AQ13)</f>
        <v>0</v>
      </c>
      <c r="CM179" s="447">
        <f>SUMIF(MAR!$G$155:$J$155,CM$112,MAR!$AN13:$AQ13)</f>
        <v>0</v>
      </c>
      <c r="CN179" s="448">
        <f>SUMIF(MAR!$G$155:$J$155,CN$112,MAR!$AN13:$AQ13)</f>
        <v>0</v>
      </c>
      <c r="CO179" s="1100">
        <f>MAR!AS13</f>
        <v>0</v>
      </c>
      <c r="CP179" s="445">
        <f>MAR!AT13</f>
        <v>0</v>
      </c>
      <c r="CQ179" s="446">
        <f>MAR!AU13</f>
        <v>0</v>
      </c>
      <c r="CR179" s="447">
        <f>MAR!AV13</f>
        <v>0</v>
      </c>
      <c r="CS179" s="448">
        <f>MAR!AW13</f>
        <v>0</v>
      </c>
      <c r="CT179" s="1100">
        <f>MAR!AY13</f>
        <v>0</v>
      </c>
      <c r="CU179" s="2"/>
    </row>
    <row r="180" spans="1:99" ht="14.25" hidden="1" customHeight="1" x14ac:dyDescent="0.2">
      <c r="A180" s="2"/>
      <c r="B180" s="151">
        <f t="shared" si="234"/>
        <v>45358</v>
      </c>
      <c r="C180" s="223">
        <f>IF(AND(E180&gt;(E$493-1),E180&lt;(I$493+1)),W$485,IF(ISERROR(HLOOKUP(E180,$E$486:$L$486,1,FALSE)),HLOOKUP(WEEKDAY(E180,2),IMPOSTAZIONI!$C$51:$P$56,6,FALSE),$W$484))</f>
        <v>0</v>
      </c>
      <c r="D180" s="103" t="str">
        <f t="shared" si="235"/>
        <v/>
      </c>
      <c r="E180" s="2380">
        <f t="shared" ref="E180:E243" si="246">E179+1</f>
        <v>45358</v>
      </c>
      <c r="F180" s="2381"/>
      <c r="G180" s="2325">
        <f>MAR!E14</f>
        <v>0</v>
      </c>
      <c r="H180" s="2326"/>
      <c r="I180" s="2327"/>
      <c r="J180" s="479" t="str">
        <f t="shared" si="231"/>
        <v/>
      </c>
      <c r="K180" s="480"/>
      <c r="L180" s="2319">
        <f t="shared" si="228"/>
        <v>10</v>
      </c>
      <c r="M180" s="2320"/>
      <c r="N180" s="478"/>
      <c r="O180" s="478"/>
      <c r="P180" s="478"/>
      <c r="Q180" s="2315">
        <f t="shared" si="236"/>
        <v>45358</v>
      </c>
      <c r="R180" s="2315"/>
      <c r="S180" s="478"/>
      <c r="T180" s="140">
        <f t="shared" si="237"/>
        <v>0</v>
      </c>
      <c r="U180" s="478"/>
      <c r="V180" s="478"/>
      <c r="W180" s="478"/>
      <c r="X180" s="478"/>
      <c r="Y180" s="478"/>
      <c r="Z180" s="478"/>
      <c r="AA180" s="478"/>
      <c r="AB180" s="478"/>
      <c r="AC180" s="478"/>
      <c r="AD180" s="478"/>
      <c r="AE180" s="478"/>
      <c r="AF180" s="478"/>
      <c r="AG180" s="140">
        <f t="shared" si="238"/>
        <v>0</v>
      </c>
      <c r="AH180" s="92" t="str">
        <f t="shared" si="239"/>
        <v/>
      </c>
      <c r="AI180" s="131">
        <f t="shared" si="240"/>
        <v>0</v>
      </c>
      <c r="AJ180" s="2"/>
      <c r="AK180" s="92">
        <f>IF(G180=G$481,0,IF(OR(G180&lt;&gt;0,CJ180&lt;&gt;0,C180="L"),COUNTIF(AK$114:AK179,"&gt;0")+1,0))</f>
        <v>0</v>
      </c>
      <c r="AL180" s="92" t="str">
        <f t="shared" si="241"/>
        <v/>
      </c>
      <c r="AM180" s="92" t="str">
        <f t="shared" si="242"/>
        <v/>
      </c>
      <c r="AN180" s="131">
        <f t="shared" si="232"/>
        <v>0</v>
      </c>
      <c r="AO180" s="447">
        <f>SUM(MAR!W14:Z14)</f>
        <v>0</v>
      </c>
      <c r="AP180" s="445">
        <f>SUMIF(MAR!$G$155:$J$155,AP$112,MAR!$R14:$U14)</f>
        <v>0</v>
      </c>
      <c r="AQ180" s="446">
        <f>SUMIF(MAR!$G$155:$J$155,AQ$112,MAR!$R14:$U14)</f>
        <v>0</v>
      </c>
      <c r="AR180" s="447">
        <f>SUMIF(MAR!$G$155:$J$155,AR$112,MAR!$R14:$U14)</f>
        <v>0</v>
      </c>
      <c r="AS180" s="448">
        <f>SUMIF(MAR!$G$155:$J$155,AS$112,MAR!$R14:$U14)</f>
        <v>0</v>
      </c>
      <c r="AT180" s="449">
        <f>MAR!AG14</f>
        <v>0</v>
      </c>
      <c r="AU180" s="445">
        <f>MAR!AH14</f>
        <v>0</v>
      </c>
      <c r="AV180" s="446">
        <f>MAR!AI14</f>
        <v>0</v>
      </c>
      <c r="AW180" s="447">
        <f>MAR!AJ14</f>
        <v>0</v>
      </c>
      <c r="AX180" s="448">
        <f>MAR!AK14</f>
        <v>0</v>
      </c>
      <c r="AY180" s="445">
        <f>SUMIF(MAR!$G$152:$J$152,"&gt;0",MAR!$W14:$Z14)</f>
        <v>0</v>
      </c>
      <c r="AZ180" s="1063">
        <f>SUM(MAR!AB14:AE14)</f>
        <v>0</v>
      </c>
      <c r="BA180" s="445">
        <f>SUMIF(MAR!$G$159:$J$159,BA$111,MAR!$R14:$U14)+SUMIF(MAR!$G$159:$J$159,BA$111,MAR!$W14:$Z14)</f>
        <v>0</v>
      </c>
      <c r="BB180" s="446">
        <f>SUMIF(MAR!$G$159:$J$159,BB$111,MAR!$R14:$U14)+SUMIF(MAR!$G$159:$J$159,BB$111,MAR!$W14:$Z14)</f>
        <v>0</v>
      </c>
      <c r="BC180" s="446">
        <f>SUMIF(MAR!$G$159:$J$159,BC$111,MAR!$R14:$U14)+SUMIF(MAR!$G$159:$J$159,BC$111,MAR!$W14:$Z14)</f>
        <v>0</v>
      </c>
      <c r="BD180" s="446">
        <f>SUMIF(MAR!$G$159:$J$159,BD$111,MAR!$R14:$U14)+SUMIF(MAR!$G$159:$J$159,BD$111,MAR!$W14:$Z14)</f>
        <v>0</v>
      </c>
      <c r="BE180" s="446">
        <f>SUMIF(MAR!$G$159:$J$159,BE$111,MAR!$R14:$U14)+SUMIF(MAR!$G$159:$J$159,BE$111,MAR!$W14:$Z14)</f>
        <v>0</v>
      </c>
      <c r="BF180" s="446">
        <f>SUMIF(MAR!$G$159:$J$159,BF$111,MAR!$R14:$U14)+SUMIF(MAR!$G$159:$J$159,BF$111,MAR!$W14:$Z14)</f>
        <v>0</v>
      </c>
      <c r="BG180" s="448">
        <f>SUMIF(MAR!$G$159:$J$159,BG$111,MAR!$R14:$U14)+SUMIF(MAR!$G$159:$J$159,BG$111,MAR!$W14:$Z14)</f>
        <v>0</v>
      </c>
      <c r="BH180" s="571"/>
      <c r="BI180" s="448"/>
      <c r="BJ180" s="470"/>
      <c r="BK180" s="445">
        <f>SUMIF(MAR!$G$157:$J$157,BK$111,MAR!$R14:$U14)+SUMIF(MAR!$G$157:$J$157,BK$111,MAR!$W14:$Z14)</f>
        <v>0</v>
      </c>
      <c r="BL180" s="446">
        <f>SUMIF(MAR!$G$157:$J$157,BL$111,MAR!$R14:$U14)+SUMIF(MAR!$G$157:$J$157,BL$111,MAR!$W14:$Z14)</f>
        <v>0</v>
      </c>
      <c r="BM180" s="446">
        <f>SUMIF(MAR!$G$157:$J$157,BM$111,MAR!$R14:$U14)+SUMIF(MAR!$G$157:$J$157,BM$111,MAR!$W14:$Z14)</f>
        <v>0</v>
      </c>
      <c r="BN180" s="446">
        <f>SUMIF(MAR!$G$157:$J$157,BN$111,MAR!$R14:$U14)+SUMIF(MAR!$G$157:$J$157,BN$111,MAR!$W14:$Z14)</f>
        <v>0</v>
      </c>
      <c r="BO180" s="446">
        <f>SUMIF(MAR!$G$157:$J$157,BO$111,MAR!$R14:$U14)+SUMIF(MAR!$G$157:$J$157,BO$111,MAR!$W14:$Z14)</f>
        <v>0</v>
      </c>
      <c r="BP180" s="446">
        <f>SUMIF(MAR!$G$157:$J$157,BP$111,MAR!$R14:$U14)+SUMIF(MAR!$G$157:$J$157,BP$111,MAR!$W14:$Z14)</f>
        <v>0</v>
      </c>
      <c r="BQ180" s="448">
        <f>SUMIF(MAR!$G$157:$J$157,BQ$111,MAR!$R14:$U14)+SUMIF(MAR!$G$157:$J$157,BQ$111,MAR!$W14:$Z14)</f>
        <v>0</v>
      </c>
      <c r="BR180" s="571"/>
      <c r="BS180" s="446"/>
      <c r="BT180" s="448"/>
      <c r="BU180" s="470"/>
      <c r="BV180" s="445">
        <f>SUMIF(MAR!$G$158:$J$158,BV$111,MAR!$R14:$U14)+SUMIF(MAR!$G$158:$J$158,BV$111,MAR!$W14:$Z14)</f>
        <v>0</v>
      </c>
      <c r="BW180" s="446">
        <f>SUMIF(MAR!$G$158:$J$158,BW$111,MAR!$R14:$U14)+SUMIF(MAR!$G$158:$J$158,BW$111,MAR!$W14:$Z14)</f>
        <v>0</v>
      </c>
      <c r="BX180" s="446">
        <f>SUMIF(MAR!$G$158:$J$158,BX$111,MAR!$R14:$U14)+SUMIF(MAR!$G$158:$J$158,BX$111,MAR!$W14:$Z14)</f>
        <v>0</v>
      </c>
      <c r="BY180" s="446">
        <f>SUMIF(MAR!$G$158:$J$158,BY$111,MAR!$R14:$U14)+SUMIF(MAR!$G$158:$J$158,BY$111,MAR!$W14:$Z14)</f>
        <v>0</v>
      </c>
      <c r="BZ180" s="446">
        <f>SUMIF(MAR!$G$158:$J$158,BZ$111,MAR!$R14:$U14)+SUMIF(MAR!$G$158:$J$158,BZ$111,MAR!$W14:$Z14)</f>
        <v>0</v>
      </c>
      <c r="CA180" s="446">
        <f>SUMIF(MAR!$G$158:$J$158,CA$111,MAR!$R14:$U14)+SUMIF(MAR!$G$158:$J$158,CA$111,MAR!$W14:$Z14)</f>
        <v>0</v>
      </c>
      <c r="CB180" s="448">
        <f>SUMIF(MAR!$G$158:$J$158,CB$111,MAR!$R14:$U14)+SUMIF(MAR!$G$158:$J$158,CB$111,MAR!$W14:$Z14)</f>
        <v>0</v>
      </c>
      <c r="CC180" s="571"/>
      <c r="CD180" s="448"/>
      <c r="CE180" s="92">
        <f t="shared" si="243"/>
        <v>0</v>
      </c>
      <c r="CF180" s="92">
        <f t="shared" si="244"/>
        <v>0</v>
      </c>
      <c r="CG180" s="151" t="str">
        <f t="shared" si="230"/>
        <v/>
      </c>
      <c r="CH180" s="92">
        <f t="shared" si="233"/>
        <v>0</v>
      </c>
      <c r="CI180" s="92" t="str">
        <f t="shared" si="245"/>
        <v/>
      </c>
      <c r="CJ180" s="1100">
        <f>MAR!AM14</f>
        <v>0</v>
      </c>
      <c r="CK180" s="445">
        <f>SUMIF(MAR!$G$155:$J$155,CK$112,MAR!$AN14:$AQ14)</f>
        <v>0</v>
      </c>
      <c r="CL180" s="446">
        <f>SUMIF(MAR!$G$155:$J$155,CL$112,MAR!$AN14:$AQ14)</f>
        <v>0</v>
      </c>
      <c r="CM180" s="447">
        <f>SUMIF(MAR!$G$155:$J$155,CM$112,MAR!$AN14:$AQ14)</f>
        <v>0</v>
      </c>
      <c r="CN180" s="448">
        <f>SUMIF(MAR!$G$155:$J$155,CN$112,MAR!$AN14:$AQ14)</f>
        <v>0</v>
      </c>
      <c r="CO180" s="1100">
        <f>MAR!AS14</f>
        <v>0</v>
      </c>
      <c r="CP180" s="445">
        <f>MAR!AT14</f>
        <v>0</v>
      </c>
      <c r="CQ180" s="446">
        <f>MAR!AU14</f>
        <v>0</v>
      </c>
      <c r="CR180" s="447">
        <f>MAR!AV14</f>
        <v>0</v>
      </c>
      <c r="CS180" s="448">
        <f>MAR!AW14</f>
        <v>0</v>
      </c>
      <c r="CT180" s="1100">
        <f>MAR!AY14</f>
        <v>0</v>
      </c>
      <c r="CU180" s="2"/>
    </row>
    <row r="181" spans="1:99" ht="14.25" hidden="1" customHeight="1" x14ac:dyDescent="0.2">
      <c r="A181" s="2"/>
      <c r="B181" s="151">
        <f t="shared" si="234"/>
        <v>45359</v>
      </c>
      <c r="C181" s="223">
        <f>IF(AND(E181&gt;(E$493-1),E181&lt;(I$493+1)),W$485,IF(ISERROR(HLOOKUP(E181,$E$486:$L$486,1,FALSE)),HLOOKUP(WEEKDAY(E181,2),IMPOSTAZIONI!$C$51:$P$56,6,FALSE),$W$484))</f>
        <v>0</v>
      </c>
      <c r="D181" s="103" t="str">
        <f t="shared" si="235"/>
        <v/>
      </c>
      <c r="E181" s="2380">
        <f t="shared" si="246"/>
        <v>45359</v>
      </c>
      <c r="F181" s="2381"/>
      <c r="G181" s="2325">
        <f>MAR!E15</f>
        <v>0</v>
      </c>
      <c r="H181" s="2326"/>
      <c r="I181" s="2327"/>
      <c r="J181" s="479" t="str">
        <f t="shared" si="231"/>
        <v/>
      </c>
      <c r="K181" s="480"/>
      <c r="L181" s="2319">
        <f t="shared" si="228"/>
        <v>10</v>
      </c>
      <c r="M181" s="2320"/>
      <c r="N181" s="478"/>
      <c r="O181" s="478"/>
      <c r="P181" s="478"/>
      <c r="Q181" s="2315">
        <f t="shared" si="236"/>
        <v>45359</v>
      </c>
      <c r="R181" s="2315"/>
      <c r="S181" s="478"/>
      <c r="T181" s="140">
        <f t="shared" si="237"/>
        <v>0</v>
      </c>
      <c r="U181" s="478"/>
      <c r="V181" s="478"/>
      <c r="W181" s="478"/>
      <c r="X181" s="478"/>
      <c r="Y181" s="478"/>
      <c r="Z181" s="478"/>
      <c r="AA181" s="478"/>
      <c r="AB181" s="478"/>
      <c r="AC181" s="478"/>
      <c r="AD181" s="478"/>
      <c r="AE181" s="478"/>
      <c r="AF181" s="478"/>
      <c r="AG181" s="140">
        <f t="shared" si="238"/>
        <v>0</v>
      </c>
      <c r="AH181" s="92" t="str">
        <f t="shared" si="239"/>
        <v/>
      </c>
      <c r="AI181" s="131">
        <f t="shared" si="240"/>
        <v>0</v>
      </c>
      <c r="AJ181" s="2"/>
      <c r="AK181" s="92">
        <f>IF(G181=G$481,0,IF(OR(G181&lt;&gt;0,CJ181&lt;&gt;0,C181="L"),COUNTIF(AK$114:AK180,"&gt;0")+1,0))</f>
        <v>0</v>
      </c>
      <c r="AL181" s="92" t="str">
        <f t="shared" si="241"/>
        <v/>
      </c>
      <c r="AM181" s="92" t="str">
        <f t="shared" si="242"/>
        <v/>
      </c>
      <c r="AN181" s="131">
        <f t="shared" si="232"/>
        <v>0</v>
      </c>
      <c r="AO181" s="447">
        <f>SUM(MAR!W15:Z15)</f>
        <v>0</v>
      </c>
      <c r="AP181" s="445">
        <f>SUMIF(MAR!$G$155:$J$155,AP$112,MAR!$R15:$U15)</f>
        <v>0</v>
      </c>
      <c r="AQ181" s="446">
        <f>SUMIF(MAR!$G$155:$J$155,AQ$112,MAR!$R15:$U15)</f>
        <v>0</v>
      </c>
      <c r="AR181" s="447">
        <f>SUMIF(MAR!$G$155:$J$155,AR$112,MAR!$R15:$U15)</f>
        <v>0</v>
      </c>
      <c r="AS181" s="448">
        <f>SUMIF(MAR!$G$155:$J$155,AS$112,MAR!$R15:$U15)</f>
        <v>0</v>
      </c>
      <c r="AT181" s="449">
        <f>MAR!AG15</f>
        <v>0</v>
      </c>
      <c r="AU181" s="445">
        <f>MAR!AH15</f>
        <v>0</v>
      </c>
      <c r="AV181" s="446">
        <f>MAR!AI15</f>
        <v>0</v>
      </c>
      <c r="AW181" s="447">
        <f>MAR!AJ15</f>
        <v>0</v>
      </c>
      <c r="AX181" s="448">
        <f>MAR!AK15</f>
        <v>0</v>
      </c>
      <c r="AY181" s="445">
        <f>SUMIF(MAR!$G$152:$J$152,"&gt;0",MAR!$W15:$Z15)</f>
        <v>0</v>
      </c>
      <c r="AZ181" s="1063">
        <f>SUM(MAR!AB15:AE15)</f>
        <v>0</v>
      </c>
      <c r="BA181" s="445">
        <f>SUMIF(MAR!$G$159:$J$159,BA$111,MAR!$R15:$U15)+SUMIF(MAR!$G$159:$J$159,BA$111,MAR!$W15:$Z15)</f>
        <v>0</v>
      </c>
      <c r="BB181" s="446">
        <f>SUMIF(MAR!$G$159:$J$159,BB$111,MAR!$R15:$U15)+SUMIF(MAR!$G$159:$J$159,BB$111,MAR!$W15:$Z15)</f>
        <v>0</v>
      </c>
      <c r="BC181" s="446">
        <f>SUMIF(MAR!$G$159:$J$159,BC$111,MAR!$R15:$U15)+SUMIF(MAR!$G$159:$J$159,BC$111,MAR!$W15:$Z15)</f>
        <v>0</v>
      </c>
      <c r="BD181" s="446">
        <f>SUMIF(MAR!$G$159:$J$159,BD$111,MAR!$R15:$U15)+SUMIF(MAR!$G$159:$J$159,BD$111,MAR!$W15:$Z15)</f>
        <v>0</v>
      </c>
      <c r="BE181" s="446">
        <f>SUMIF(MAR!$G$159:$J$159,BE$111,MAR!$R15:$U15)+SUMIF(MAR!$G$159:$J$159,BE$111,MAR!$W15:$Z15)</f>
        <v>0</v>
      </c>
      <c r="BF181" s="446">
        <f>SUMIF(MAR!$G$159:$J$159,BF$111,MAR!$R15:$U15)+SUMIF(MAR!$G$159:$J$159,BF$111,MAR!$W15:$Z15)</f>
        <v>0</v>
      </c>
      <c r="BG181" s="448">
        <f>SUMIF(MAR!$G$159:$J$159,BG$111,MAR!$R15:$U15)+SUMIF(MAR!$G$159:$J$159,BG$111,MAR!$W15:$Z15)</f>
        <v>0</v>
      </c>
      <c r="BH181" s="571"/>
      <c r="BI181" s="448"/>
      <c r="BJ181" s="470"/>
      <c r="BK181" s="445">
        <f>SUMIF(MAR!$G$157:$J$157,BK$111,MAR!$R15:$U15)+SUMIF(MAR!$G$157:$J$157,BK$111,MAR!$W15:$Z15)</f>
        <v>0</v>
      </c>
      <c r="BL181" s="446">
        <f>SUMIF(MAR!$G$157:$J$157,BL$111,MAR!$R15:$U15)+SUMIF(MAR!$G$157:$J$157,BL$111,MAR!$W15:$Z15)</f>
        <v>0</v>
      </c>
      <c r="BM181" s="446">
        <f>SUMIF(MAR!$G$157:$J$157,BM$111,MAR!$R15:$U15)+SUMIF(MAR!$G$157:$J$157,BM$111,MAR!$W15:$Z15)</f>
        <v>0</v>
      </c>
      <c r="BN181" s="446">
        <f>SUMIF(MAR!$G$157:$J$157,BN$111,MAR!$R15:$U15)+SUMIF(MAR!$G$157:$J$157,BN$111,MAR!$W15:$Z15)</f>
        <v>0</v>
      </c>
      <c r="BO181" s="446">
        <f>SUMIF(MAR!$G$157:$J$157,BO$111,MAR!$R15:$U15)+SUMIF(MAR!$G$157:$J$157,BO$111,MAR!$W15:$Z15)</f>
        <v>0</v>
      </c>
      <c r="BP181" s="446">
        <f>SUMIF(MAR!$G$157:$J$157,BP$111,MAR!$R15:$U15)+SUMIF(MAR!$G$157:$J$157,BP$111,MAR!$W15:$Z15)</f>
        <v>0</v>
      </c>
      <c r="BQ181" s="448">
        <f>SUMIF(MAR!$G$157:$J$157,BQ$111,MAR!$R15:$U15)+SUMIF(MAR!$G$157:$J$157,BQ$111,MAR!$W15:$Z15)</f>
        <v>0</v>
      </c>
      <c r="BR181" s="571"/>
      <c r="BS181" s="446"/>
      <c r="BT181" s="448"/>
      <c r="BU181" s="470"/>
      <c r="BV181" s="445">
        <f>SUMIF(MAR!$G$158:$J$158,BV$111,MAR!$R15:$U15)+SUMIF(MAR!$G$158:$J$158,BV$111,MAR!$W15:$Z15)</f>
        <v>0</v>
      </c>
      <c r="BW181" s="446">
        <f>SUMIF(MAR!$G$158:$J$158,BW$111,MAR!$R15:$U15)+SUMIF(MAR!$G$158:$J$158,BW$111,MAR!$W15:$Z15)</f>
        <v>0</v>
      </c>
      <c r="BX181" s="446">
        <f>SUMIF(MAR!$G$158:$J$158,BX$111,MAR!$R15:$U15)+SUMIF(MAR!$G$158:$J$158,BX$111,MAR!$W15:$Z15)</f>
        <v>0</v>
      </c>
      <c r="BY181" s="446">
        <f>SUMIF(MAR!$G$158:$J$158,BY$111,MAR!$R15:$U15)+SUMIF(MAR!$G$158:$J$158,BY$111,MAR!$W15:$Z15)</f>
        <v>0</v>
      </c>
      <c r="BZ181" s="446">
        <f>SUMIF(MAR!$G$158:$J$158,BZ$111,MAR!$R15:$U15)+SUMIF(MAR!$G$158:$J$158,BZ$111,MAR!$W15:$Z15)</f>
        <v>0</v>
      </c>
      <c r="CA181" s="446">
        <f>SUMIF(MAR!$G$158:$J$158,CA$111,MAR!$R15:$U15)+SUMIF(MAR!$G$158:$J$158,CA$111,MAR!$W15:$Z15)</f>
        <v>0</v>
      </c>
      <c r="CB181" s="448">
        <f>SUMIF(MAR!$G$158:$J$158,CB$111,MAR!$R15:$U15)+SUMIF(MAR!$G$158:$J$158,CB$111,MAR!$W15:$Z15)</f>
        <v>0</v>
      </c>
      <c r="CC181" s="571"/>
      <c r="CD181" s="448"/>
      <c r="CE181" s="92">
        <f t="shared" si="243"/>
        <v>0</v>
      </c>
      <c r="CF181" s="92">
        <f t="shared" si="244"/>
        <v>0</v>
      </c>
      <c r="CG181" s="151" t="str">
        <f t="shared" si="230"/>
        <v/>
      </c>
      <c r="CH181" s="92">
        <f t="shared" si="233"/>
        <v>0</v>
      </c>
      <c r="CI181" s="92" t="str">
        <f t="shared" si="245"/>
        <v/>
      </c>
      <c r="CJ181" s="1100">
        <f>MAR!AM15</f>
        <v>0</v>
      </c>
      <c r="CK181" s="445">
        <f>SUMIF(MAR!$G$155:$J$155,CK$112,MAR!$AN15:$AQ15)</f>
        <v>0</v>
      </c>
      <c r="CL181" s="446">
        <f>SUMIF(MAR!$G$155:$J$155,CL$112,MAR!$AN15:$AQ15)</f>
        <v>0</v>
      </c>
      <c r="CM181" s="447">
        <f>SUMIF(MAR!$G$155:$J$155,CM$112,MAR!$AN15:$AQ15)</f>
        <v>0</v>
      </c>
      <c r="CN181" s="448">
        <f>SUMIF(MAR!$G$155:$J$155,CN$112,MAR!$AN15:$AQ15)</f>
        <v>0</v>
      </c>
      <c r="CO181" s="1100">
        <f>MAR!AS15</f>
        <v>0</v>
      </c>
      <c r="CP181" s="445">
        <f>MAR!AT15</f>
        <v>0</v>
      </c>
      <c r="CQ181" s="446">
        <f>MAR!AU15</f>
        <v>0</v>
      </c>
      <c r="CR181" s="447">
        <f>MAR!AV15</f>
        <v>0</v>
      </c>
      <c r="CS181" s="448">
        <f>MAR!AW15</f>
        <v>0</v>
      </c>
      <c r="CT181" s="1100">
        <f>MAR!AY15</f>
        <v>0</v>
      </c>
      <c r="CU181" s="2"/>
    </row>
    <row r="182" spans="1:99" ht="14.25" hidden="1" customHeight="1" x14ac:dyDescent="0.2">
      <c r="A182" s="2"/>
      <c r="B182" s="151">
        <f t="shared" si="234"/>
        <v>45360</v>
      </c>
      <c r="C182" s="223">
        <f>IF(AND(E182&gt;(E$493-1),E182&lt;(I$493+1)),W$485,IF(ISERROR(HLOOKUP(E182,$E$486:$L$486,1,FALSE)),HLOOKUP(WEEKDAY(E182,2),IMPOSTAZIONI!$C$51:$P$56,6,FALSE),$W$484))</f>
        <v>0</v>
      </c>
      <c r="D182" s="103" t="str">
        <f t="shared" si="235"/>
        <v/>
      </c>
      <c r="E182" s="2380">
        <f t="shared" si="246"/>
        <v>45360</v>
      </c>
      <c r="F182" s="2381"/>
      <c r="G182" s="2325">
        <f>MAR!E16</f>
        <v>0</v>
      </c>
      <c r="H182" s="2326"/>
      <c r="I182" s="2327"/>
      <c r="J182" s="479" t="str">
        <f t="shared" si="231"/>
        <v/>
      </c>
      <c r="K182" s="480"/>
      <c r="L182" s="2319">
        <f t="shared" si="228"/>
        <v>10</v>
      </c>
      <c r="M182" s="2320"/>
      <c r="N182" s="478"/>
      <c r="O182" s="478"/>
      <c r="P182" s="478"/>
      <c r="Q182" s="2315">
        <f t="shared" si="236"/>
        <v>45360</v>
      </c>
      <c r="R182" s="2315"/>
      <c r="S182" s="478"/>
      <c r="T182" s="140">
        <f t="shared" si="237"/>
        <v>0</v>
      </c>
      <c r="U182" s="478"/>
      <c r="V182" s="478"/>
      <c r="W182" s="478"/>
      <c r="X182" s="478"/>
      <c r="Y182" s="478"/>
      <c r="Z182" s="478"/>
      <c r="AA182" s="478"/>
      <c r="AB182" s="478"/>
      <c r="AC182" s="478"/>
      <c r="AD182" s="478"/>
      <c r="AE182" s="478"/>
      <c r="AF182" s="478"/>
      <c r="AG182" s="140">
        <f t="shared" si="238"/>
        <v>0</v>
      </c>
      <c r="AH182" s="92" t="str">
        <f t="shared" si="239"/>
        <v/>
      </c>
      <c r="AI182" s="131">
        <f t="shared" si="240"/>
        <v>0</v>
      </c>
      <c r="AJ182" s="2"/>
      <c r="AK182" s="92">
        <f>IF(G182=G$481,0,IF(OR(G182&lt;&gt;0,CJ182&lt;&gt;0,C182="L"),COUNTIF(AK$114:AK181,"&gt;0")+1,0))</f>
        <v>0</v>
      </c>
      <c r="AL182" s="92" t="str">
        <f t="shared" si="241"/>
        <v/>
      </c>
      <c r="AM182" s="92" t="str">
        <f t="shared" si="242"/>
        <v/>
      </c>
      <c r="AN182" s="131">
        <f t="shared" si="232"/>
        <v>0</v>
      </c>
      <c r="AO182" s="447">
        <f>SUM(MAR!W16:Z16)</f>
        <v>0</v>
      </c>
      <c r="AP182" s="445">
        <f>SUMIF(MAR!$G$155:$J$155,AP$112,MAR!$R16:$U16)</f>
        <v>0</v>
      </c>
      <c r="AQ182" s="446">
        <f>SUMIF(MAR!$G$155:$J$155,AQ$112,MAR!$R16:$U16)</f>
        <v>0</v>
      </c>
      <c r="AR182" s="447">
        <f>SUMIF(MAR!$G$155:$J$155,AR$112,MAR!$R16:$U16)</f>
        <v>0</v>
      </c>
      <c r="AS182" s="448">
        <f>SUMIF(MAR!$G$155:$J$155,AS$112,MAR!$R16:$U16)</f>
        <v>0</v>
      </c>
      <c r="AT182" s="449">
        <f>MAR!AG16</f>
        <v>0</v>
      </c>
      <c r="AU182" s="445">
        <f>MAR!AH16</f>
        <v>0</v>
      </c>
      <c r="AV182" s="446">
        <f>MAR!AI16</f>
        <v>0</v>
      </c>
      <c r="AW182" s="447">
        <f>MAR!AJ16</f>
        <v>0</v>
      </c>
      <c r="AX182" s="448">
        <f>MAR!AK16</f>
        <v>0</v>
      </c>
      <c r="AY182" s="445">
        <f>SUMIF(MAR!$G$152:$J$152,"&gt;0",MAR!$W16:$Z16)</f>
        <v>0</v>
      </c>
      <c r="AZ182" s="1063">
        <f>SUM(MAR!AB16:AE16)</f>
        <v>0</v>
      </c>
      <c r="BA182" s="445">
        <f>SUMIF(MAR!$G$159:$J$159,BA$111,MAR!$R16:$U16)+SUMIF(MAR!$G$159:$J$159,BA$111,MAR!$W16:$Z16)</f>
        <v>0</v>
      </c>
      <c r="BB182" s="446">
        <f>SUMIF(MAR!$G$159:$J$159,BB$111,MAR!$R16:$U16)+SUMIF(MAR!$G$159:$J$159,BB$111,MAR!$W16:$Z16)</f>
        <v>0</v>
      </c>
      <c r="BC182" s="446">
        <f>SUMIF(MAR!$G$159:$J$159,BC$111,MAR!$R16:$U16)+SUMIF(MAR!$G$159:$J$159,BC$111,MAR!$W16:$Z16)</f>
        <v>0</v>
      </c>
      <c r="BD182" s="446">
        <f>SUMIF(MAR!$G$159:$J$159,BD$111,MAR!$R16:$U16)+SUMIF(MAR!$G$159:$J$159,BD$111,MAR!$W16:$Z16)</f>
        <v>0</v>
      </c>
      <c r="BE182" s="446">
        <f>SUMIF(MAR!$G$159:$J$159,BE$111,MAR!$R16:$U16)+SUMIF(MAR!$G$159:$J$159,BE$111,MAR!$W16:$Z16)</f>
        <v>0</v>
      </c>
      <c r="BF182" s="446">
        <f>SUMIF(MAR!$G$159:$J$159,BF$111,MAR!$R16:$U16)+SUMIF(MAR!$G$159:$J$159,BF$111,MAR!$W16:$Z16)</f>
        <v>0</v>
      </c>
      <c r="BG182" s="448">
        <f>SUMIF(MAR!$G$159:$J$159,BG$111,MAR!$R16:$U16)+SUMIF(MAR!$G$159:$J$159,BG$111,MAR!$W16:$Z16)</f>
        <v>0</v>
      </c>
      <c r="BH182" s="571"/>
      <c r="BI182" s="448"/>
      <c r="BJ182" s="470"/>
      <c r="BK182" s="445">
        <f>SUMIF(MAR!$G$157:$J$157,BK$111,MAR!$R16:$U16)+SUMIF(MAR!$G$157:$J$157,BK$111,MAR!$W16:$Z16)</f>
        <v>0</v>
      </c>
      <c r="BL182" s="446">
        <f>SUMIF(MAR!$G$157:$J$157,BL$111,MAR!$R16:$U16)+SUMIF(MAR!$G$157:$J$157,BL$111,MAR!$W16:$Z16)</f>
        <v>0</v>
      </c>
      <c r="BM182" s="446">
        <f>SUMIF(MAR!$G$157:$J$157,BM$111,MAR!$R16:$U16)+SUMIF(MAR!$G$157:$J$157,BM$111,MAR!$W16:$Z16)</f>
        <v>0</v>
      </c>
      <c r="BN182" s="446">
        <f>SUMIF(MAR!$G$157:$J$157,BN$111,MAR!$R16:$U16)+SUMIF(MAR!$G$157:$J$157,BN$111,MAR!$W16:$Z16)</f>
        <v>0</v>
      </c>
      <c r="BO182" s="446">
        <f>SUMIF(MAR!$G$157:$J$157,BO$111,MAR!$R16:$U16)+SUMIF(MAR!$G$157:$J$157,BO$111,MAR!$W16:$Z16)</f>
        <v>0</v>
      </c>
      <c r="BP182" s="446">
        <f>SUMIF(MAR!$G$157:$J$157,BP$111,MAR!$R16:$U16)+SUMIF(MAR!$G$157:$J$157,BP$111,MAR!$W16:$Z16)</f>
        <v>0</v>
      </c>
      <c r="BQ182" s="448">
        <f>SUMIF(MAR!$G$157:$J$157,BQ$111,MAR!$R16:$U16)+SUMIF(MAR!$G$157:$J$157,BQ$111,MAR!$W16:$Z16)</f>
        <v>0</v>
      </c>
      <c r="BR182" s="571"/>
      <c r="BS182" s="446"/>
      <c r="BT182" s="448"/>
      <c r="BU182" s="470"/>
      <c r="BV182" s="445">
        <f>SUMIF(MAR!$G$158:$J$158,BV$111,MAR!$R16:$U16)+SUMIF(MAR!$G$158:$J$158,BV$111,MAR!$W16:$Z16)</f>
        <v>0</v>
      </c>
      <c r="BW182" s="446">
        <f>SUMIF(MAR!$G$158:$J$158,BW$111,MAR!$R16:$U16)+SUMIF(MAR!$G$158:$J$158,BW$111,MAR!$W16:$Z16)</f>
        <v>0</v>
      </c>
      <c r="BX182" s="446">
        <f>SUMIF(MAR!$G$158:$J$158,BX$111,MAR!$R16:$U16)+SUMIF(MAR!$G$158:$J$158,BX$111,MAR!$W16:$Z16)</f>
        <v>0</v>
      </c>
      <c r="BY182" s="446">
        <f>SUMIF(MAR!$G$158:$J$158,BY$111,MAR!$R16:$U16)+SUMIF(MAR!$G$158:$J$158,BY$111,MAR!$W16:$Z16)</f>
        <v>0</v>
      </c>
      <c r="BZ182" s="446">
        <f>SUMIF(MAR!$G$158:$J$158,BZ$111,MAR!$R16:$U16)+SUMIF(MAR!$G$158:$J$158,BZ$111,MAR!$W16:$Z16)</f>
        <v>0</v>
      </c>
      <c r="CA182" s="446">
        <f>SUMIF(MAR!$G$158:$J$158,CA$111,MAR!$R16:$U16)+SUMIF(MAR!$G$158:$J$158,CA$111,MAR!$W16:$Z16)</f>
        <v>0</v>
      </c>
      <c r="CB182" s="448">
        <f>SUMIF(MAR!$G$158:$J$158,CB$111,MAR!$R16:$U16)+SUMIF(MAR!$G$158:$J$158,CB$111,MAR!$W16:$Z16)</f>
        <v>0</v>
      </c>
      <c r="CC182" s="571"/>
      <c r="CD182" s="448"/>
      <c r="CE182" s="92">
        <f t="shared" si="243"/>
        <v>0</v>
      </c>
      <c r="CF182" s="92">
        <f t="shared" si="244"/>
        <v>0</v>
      </c>
      <c r="CG182" s="151" t="str">
        <f t="shared" si="230"/>
        <v/>
      </c>
      <c r="CH182" s="92">
        <f t="shared" si="233"/>
        <v>0</v>
      </c>
      <c r="CI182" s="92" t="str">
        <f t="shared" si="245"/>
        <v/>
      </c>
      <c r="CJ182" s="1100">
        <f>MAR!AM16</f>
        <v>0</v>
      </c>
      <c r="CK182" s="445">
        <f>SUMIF(MAR!$G$155:$J$155,CK$112,MAR!$AN16:$AQ16)</f>
        <v>0</v>
      </c>
      <c r="CL182" s="446">
        <f>SUMIF(MAR!$G$155:$J$155,CL$112,MAR!$AN16:$AQ16)</f>
        <v>0</v>
      </c>
      <c r="CM182" s="447">
        <f>SUMIF(MAR!$G$155:$J$155,CM$112,MAR!$AN16:$AQ16)</f>
        <v>0</v>
      </c>
      <c r="CN182" s="448">
        <f>SUMIF(MAR!$G$155:$J$155,CN$112,MAR!$AN16:$AQ16)</f>
        <v>0</v>
      </c>
      <c r="CO182" s="1100">
        <f>MAR!AS16</f>
        <v>0</v>
      </c>
      <c r="CP182" s="445">
        <f>MAR!AT16</f>
        <v>0</v>
      </c>
      <c r="CQ182" s="446">
        <f>MAR!AU16</f>
        <v>0</v>
      </c>
      <c r="CR182" s="447">
        <f>MAR!AV16</f>
        <v>0</v>
      </c>
      <c r="CS182" s="448">
        <f>MAR!AW16</f>
        <v>0</v>
      </c>
      <c r="CT182" s="1100">
        <f>MAR!AY16</f>
        <v>0</v>
      </c>
      <c r="CU182" s="2"/>
    </row>
    <row r="183" spans="1:99" ht="14.25" hidden="1" customHeight="1" x14ac:dyDescent="0.2">
      <c r="A183" s="2"/>
      <c r="B183" s="151">
        <f t="shared" si="234"/>
        <v>45361</v>
      </c>
      <c r="C183" s="223">
        <f>IF(AND(E183&gt;(E$493-1),E183&lt;(I$493+1)),W$485,IF(ISERROR(HLOOKUP(E183,$E$486:$L$486,1,FALSE)),HLOOKUP(WEEKDAY(E183,2),IMPOSTAZIONI!$C$51:$P$56,6,FALSE),$W$484))</f>
        <v>0</v>
      </c>
      <c r="D183" s="103" t="str">
        <f t="shared" si="235"/>
        <v/>
      </c>
      <c r="E183" s="2380">
        <f t="shared" si="246"/>
        <v>45361</v>
      </c>
      <c r="F183" s="2381"/>
      <c r="G183" s="2325">
        <f>MAR!E17</f>
        <v>0</v>
      </c>
      <c r="H183" s="2326"/>
      <c r="I183" s="2327"/>
      <c r="J183" s="479" t="str">
        <f t="shared" si="231"/>
        <v/>
      </c>
      <c r="K183" s="480"/>
      <c r="L183" s="2321">
        <f t="shared" si="228"/>
        <v>10</v>
      </c>
      <c r="M183" s="2322"/>
      <c r="N183" s="478"/>
      <c r="O183" s="478"/>
      <c r="P183" s="478"/>
      <c r="Q183" s="2315">
        <f t="shared" si="236"/>
        <v>45361</v>
      </c>
      <c r="R183" s="2315"/>
      <c r="S183" s="478"/>
      <c r="T183" s="140">
        <f t="shared" si="237"/>
        <v>0</v>
      </c>
      <c r="U183" s="478"/>
      <c r="V183" s="478"/>
      <c r="W183" s="478"/>
      <c r="X183" s="478"/>
      <c r="Y183" s="478"/>
      <c r="Z183" s="478"/>
      <c r="AA183" s="478"/>
      <c r="AB183" s="478"/>
      <c r="AC183" s="478"/>
      <c r="AD183" s="478"/>
      <c r="AE183" s="478"/>
      <c r="AF183" s="478"/>
      <c r="AG183" s="140">
        <f t="shared" si="238"/>
        <v>0</v>
      </c>
      <c r="AH183" s="92" t="str">
        <f t="shared" si="239"/>
        <v/>
      </c>
      <c r="AI183" s="131">
        <f t="shared" si="240"/>
        <v>0</v>
      </c>
      <c r="AJ183" s="2"/>
      <c r="AK183" s="92">
        <f>IF(G183=G$481,0,IF(OR(G183&lt;&gt;0,CJ183&lt;&gt;0,C183="L"),COUNTIF(AK$114:AK182,"&gt;0")+1,0))</f>
        <v>0</v>
      </c>
      <c r="AL183" s="92" t="str">
        <f t="shared" si="241"/>
        <v/>
      </c>
      <c r="AM183" s="92" t="str">
        <f t="shared" si="242"/>
        <v/>
      </c>
      <c r="AN183" s="131">
        <f t="shared" si="232"/>
        <v>0</v>
      </c>
      <c r="AO183" s="447">
        <f>SUM(MAR!W17:Z17)</f>
        <v>0</v>
      </c>
      <c r="AP183" s="445">
        <f>SUMIF(MAR!$G$155:$J$155,AP$112,MAR!$R17:$U17)</f>
        <v>0</v>
      </c>
      <c r="AQ183" s="446">
        <f>SUMIF(MAR!$G$155:$J$155,AQ$112,MAR!$R17:$U17)</f>
        <v>0</v>
      </c>
      <c r="AR183" s="447">
        <f>SUMIF(MAR!$G$155:$J$155,AR$112,MAR!$R17:$U17)</f>
        <v>0</v>
      </c>
      <c r="AS183" s="448">
        <f>SUMIF(MAR!$G$155:$J$155,AS$112,MAR!$R17:$U17)</f>
        <v>0</v>
      </c>
      <c r="AT183" s="449">
        <f>MAR!AG17</f>
        <v>0</v>
      </c>
      <c r="AU183" s="445">
        <f>MAR!AH17</f>
        <v>0</v>
      </c>
      <c r="AV183" s="446">
        <f>MAR!AI17</f>
        <v>0</v>
      </c>
      <c r="AW183" s="447">
        <f>MAR!AJ17</f>
        <v>0</v>
      </c>
      <c r="AX183" s="448">
        <f>MAR!AK17</f>
        <v>0</v>
      </c>
      <c r="AY183" s="445">
        <f>SUMIF(MAR!$G$152:$J$152,"&gt;0",MAR!$W17:$Z17)</f>
        <v>0</v>
      </c>
      <c r="AZ183" s="1063">
        <f>SUM(MAR!AB17:AE17)</f>
        <v>0</v>
      </c>
      <c r="BA183" s="445">
        <f>SUMIF(MAR!$G$159:$J$159,BA$111,MAR!$R17:$U17)+SUMIF(MAR!$G$159:$J$159,BA$111,MAR!$W17:$Z17)</f>
        <v>0</v>
      </c>
      <c r="BB183" s="446">
        <f>SUMIF(MAR!$G$159:$J$159,BB$111,MAR!$R17:$U17)+SUMIF(MAR!$G$159:$J$159,BB$111,MAR!$W17:$Z17)</f>
        <v>0</v>
      </c>
      <c r="BC183" s="446">
        <f>SUMIF(MAR!$G$159:$J$159,BC$111,MAR!$R17:$U17)+SUMIF(MAR!$G$159:$J$159,BC$111,MAR!$W17:$Z17)</f>
        <v>0</v>
      </c>
      <c r="BD183" s="446">
        <f>SUMIF(MAR!$G$159:$J$159,BD$111,MAR!$R17:$U17)+SUMIF(MAR!$G$159:$J$159,BD$111,MAR!$W17:$Z17)</f>
        <v>0</v>
      </c>
      <c r="BE183" s="446">
        <f>SUMIF(MAR!$G$159:$J$159,BE$111,MAR!$R17:$U17)+SUMIF(MAR!$G$159:$J$159,BE$111,MAR!$W17:$Z17)</f>
        <v>0</v>
      </c>
      <c r="BF183" s="446">
        <f>SUMIF(MAR!$G$159:$J$159,BF$111,MAR!$R17:$U17)+SUMIF(MAR!$G$159:$J$159,BF$111,MAR!$W17:$Z17)</f>
        <v>0</v>
      </c>
      <c r="BG183" s="448">
        <f>SUMIF(MAR!$G$159:$J$159,BG$111,MAR!$R17:$U17)+SUMIF(MAR!$G$159:$J$159,BG$111,MAR!$W17:$Z17)</f>
        <v>0</v>
      </c>
      <c r="BH183" s="571"/>
      <c r="BI183" s="448"/>
      <c r="BJ183" s="470"/>
      <c r="BK183" s="445">
        <f>SUMIF(MAR!$G$157:$J$157,BK$111,MAR!$R17:$U17)+SUMIF(MAR!$G$157:$J$157,BK$111,MAR!$W17:$Z17)</f>
        <v>0</v>
      </c>
      <c r="BL183" s="446">
        <f>SUMIF(MAR!$G$157:$J$157,BL$111,MAR!$R17:$U17)+SUMIF(MAR!$G$157:$J$157,BL$111,MAR!$W17:$Z17)</f>
        <v>0</v>
      </c>
      <c r="BM183" s="446">
        <f>SUMIF(MAR!$G$157:$J$157,BM$111,MAR!$R17:$U17)+SUMIF(MAR!$G$157:$J$157,BM$111,MAR!$W17:$Z17)</f>
        <v>0</v>
      </c>
      <c r="BN183" s="446">
        <f>SUMIF(MAR!$G$157:$J$157,BN$111,MAR!$R17:$U17)+SUMIF(MAR!$G$157:$J$157,BN$111,MAR!$W17:$Z17)</f>
        <v>0</v>
      </c>
      <c r="BO183" s="446">
        <f>SUMIF(MAR!$G$157:$J$157,BO$111,MAR!$R17:$U17)+SUMIF(MAR!$G$157:$J$157,BO$111,MAR!$W17:$Z17)</f>
        <v>0</v>
      </c>
      <c r="BP183" s="446">
        <f>SUMIF(MAR!$G$157:$J$157,BP$111,MAR!$R17:$U17)+SUMIF(MAR!$G$157:$J$157,BP$111,MAR!$W17:$Z17)</f>
        <v>0</v>
      </c>
      <c r="BQ183" s="448">
        <f>SUMIF(MAR!$G$157:$J$157,BQ$111,MAR!$R17:$U17)+SUMIF(MAR!$G$157:$J$157,BQ$111,MAR!$W17:$Z17)</f>
        <v>0</v>
      </c>
      <c r="BR183" s="571"/>
      <c r="BS183" s="446"/>
      <c r="BT183" s="448"/>
      <c r="BU183" s="470"/>
      <c r="BV183" s="445">
        <f>SUMIF(MAR!$G$158:$J$158,BV$111,MAR!$R17:$U17)+SUMIF(MAR!$G$158:$J$158,BV$111,MAR!$W17:$Z17)</f>
        <v>0</v>
      </c>
      <c r="BW183" s="446">
        <f>SUMIF(MAR!$G$158:$J$158,BW$111,MAR!$R17:$U17)+SUMIF(MAR!$G$158:$J$158,BW$111,MAR!$W17:$Z17)</f>
        <v>0</v>
      </c>
      <c r="BX183" s="446">
        <f>SUMIF(MAR!$G$158:$J$158,BX$111,MAR!$R17:$U17)+SUMIF(MAR!$G$158:$J$158,BX$111,MAR!$W17:$Z17)</f>
        <v>0</v>
      </c>
      <c r="BY183" s="446">
        <f>SUMIF(MAR!$G$158:$J$158,BY$111,MAR!$R17:$U17)+SUMIF(MAR!$G$158:$J$158,BY$111,MAR!$W17:$Z17)</f>
        <v>0</v>
      </c>
      <c r="BZ183" s="446">
        <f>SUMIF(MAR!$G$158:$J$158,BZ$111,MAR!$R17:$U17)+SUMIF(MAR!$G$158:$J$158,BZ$111,MAR!$W17:$Z17)</f>
        <v>0</v>
      </c>
      <c r="CA183" s="446">
        <f>SUMIF(MAR!$G$158:$J$158,CA$111,MAR!$R17:$U17)+SUMIF(MAR!$G$158:$J$158,CA$111,MAR!$W17:$Z17)</f>
        <v>0</v>
      </c>
      <c r="CB183" s="448">
        <f>SUMIF(MAR!$G$158:$J$158,CB$111,MAR!$R17:$U17)+SUMIF(MAR!$G$158:$J$158,CB$111,MAR!$W17:$Z17)</f>
        <v>0</v>
      </c>
      <c r="CC183" s="571"/>
      <c r="CD183" s="448"/>
      <c r="CE183" s="92">
        <f t="shared" si="243"/>
        <v>0</v>
      </c>
      <c r="CF183" s="92">
        <f t="shared" si="244"/>
        <v>0</v>
      </c>
      <c r="CG183" s="151" t="str">
        <f t="shared" si="230"/>
        <v/>
      </c>
      <c r="CH183" s="92">
        <f t="shared" si="233"/>
        <v>0</v>
      </c>
      <c r="CI183" s="92" t="str">
        <f t="shared" si="245"/>
        <v/>
      </c>
      <c r="CJ183" s="1100">
        <f>MAR!AM17</f>
        <v>0</v>
      </c>
      <c r="CK183" s="445">
        <f>SUMIF(MAR!$G$155:$J$155,CK$112,MAR!$AN17:$AQ17)</f>
        <v>0</v>
      </c>
      <c r="CL183" s="446">
        <f>SUMIF(MAR!$G$155:$J$155,CL$112,MAR!$AN17:$AQ17)</f>
        <v>0</v>
      </c>
      <c r="CM183" s="447">
        <f>SUMIF(MAR!$G$155:$J$155,CM$112,MAR!$AN17:$AQ17)</f>
        <v>0</v>
      </c>
      <c r="CN183" s="448">
        <f>SUMIF(MAR!$G$155:$J$155,CN$112,MAR!$AN17:$AQ17)</f>
        <v>0</v>
      </c>
      <c r="CO183" s="1100">
        <f>MAR!AS17</f>
        <v>0</v>
      </c>
      <c r="CP183" s="445">
        <f>MAR!AT17</f>
        <v>0</v>
      </c>
      <c r="CQ183" s="446">
        <f>MAR!AU17</f>
        <v>0</v>
      </c>
      <c r="CR183" s="447">
        <f>MAR!AV17</f>
        <v>0</v>
      </c>
      <c r="CS183" s="448">
        <f>MAR!AW17</f>
        <v>0</v>
      </c>
      <c r="CT183" s="1100">
        <f>MAR!AY17</f>
        <v>0</v>
      </c>
      <c r="CU183" s="2"/>
    </row>
    <row r="184" spans="1:99" ht="14.25" hidden="1" customHeight="1" x14ac:dyDescent="0.2">
      <c r="A184" s="2"/>
      <c r="B184" s="151">
        <f t="shared" si="234"/>
        <v>45362</v>
      </c>
      <c r="C184" s="223">
        <f>IF(AND(E184&gt;(E$493-1),E184&lt;(I$493+1)),W$485,IF(ISERROR(HLOOKUP(E184,$E$486:$L$486,1,FALSE)),HLOOKUP(WEEKDAY(E184,2),IMPOSTAZIONI!$C$51:$P$56,6,FALSE),$W$484))</f>
        <v>0</v>
      </c>
      <c r="D184" s="103" t="str">
        <f t="shared" si="235"/>
        <v/>
      </c>
      <c r="E184" s="2380">
        <f t="shared" si="246"/>
        <v>45362</v>
      </c>
      <c r="F184" s="2381"/>
      <c r="G184" s="2325">
        <f>MAR!E18</f>
        <v>0</v>
      </c>
      <c r="H184" s="2326"/>
      <c r="I184" s="2327"/>
      <c r="J184" s="479" t="str">
        <f t="shared" si="231"/>
        <v/>
      </c>
      <c r="K184" s="480"/>
      <c r="L184" s="2323">
        <f t="shared" si="228"/>
        <v>11</v>
      </c>
      <c r="M184" s="2324"/>
      <c r="N184" s="478"/>
      <c r="O184" s="478"/>
      <c r="P184" s="478"/>
      <c r="Q184" s="2315">
        <f t="shared" si="236"/>
        <v>45362</v>
      </c>
      <c r="R184" s="2315"/>
      <c r="S184" s="478"/>
      <c r="T184" s="140">
        <f t="shared" si="237"/>
        <v>0</v>
      </c>
      <c r="U184" s="478"/>
      <c r="V184" s="478"/>
      <c r="W184" s="478"/>
      <c r="X184" s="478"/>
      <c r="Y184" s="478"/>
      <c r="Z184" s="478"/>
      <c r="AA184" s="478"/>
      <c r="AB184" s="478"/>
      <c r="AC184" s="478"/>
      <c r="AD184" s="478"/>
      <c r="AE184" s="478"/>
      <c r="AF184" s="478"/>
      <c r="AG184" s="140">
        <f t="shared" si="238"/>
        <v>0</v>
      </c>
      <c r="AH184" s="92" t="str">
        <f t="shared" si="239"/>
        <v/>
      </c>
      <c r="AI184" s="131">
        <f t="shared" si="240"/>
        <v>0</v>
      </c>
      <c r="AJ184" s="2"/>
      <c r="AK184" s="92">
        <f>IF(G184=G$481,0,IF(OR(G184&lt;&gt;0,CJ184&lt;&gt;0,C184="L"),COUNTIF(AK$114:AK183,"&gt;0")+1,0))</f>
        <v>0</v>
      </c>
      <c r="AL184" s="92" t="str">
        <f t="shared" si="241"/>
        <v/>
      </c>
      <c r="AM184" s="92" t="str">
        <f t="shared" si="242"/>
        <v/>
      </c>
      <c r="AN184" s="131">
        <f t="shared" si="232"/>
        <v>0</v>
      </c>
      <c r="AO184" s="447">
        <f>SUM(MAR!W18:Z18)</f>
        <v>0</v>
      </c>
      <c r="AP184" s="445">
        <f>SUMIF(MAR!$G$155:$J$155,AP$112,MAR!$R18:$U18)</f>
        <v>0</v>
      </c>
      <c r="AQ184" s="446">
        <f>SUMIF(MAR!$G$155:$J$155,AQ$112,MAR!$R18:$U18)</f>
        <v>0</v>
      </c>
      <c r="AR184" s="447">
        <f>SUMIF(MAR!$G$155:$J$155,AR$112,MAR!$R18:$U18)</f>
        <v>0</v>
      </c>
      <c r="AS184" s="448">
        <f>SUMIF(MAR!$G$155:$J$155,AS$112,MAR!$R18:$U18)</f>
        <v>0</v>
      </c>
      <c r="AT184" s="449">
        <f>MAR!AG18</f>
        <v>0</v>
      </c>
      <c r="AU184" s="445">
        <f>MAR!AH18</f>
        <v>0</v>
      </c>
      <c r="AV184" s="446">
        <f>MAR!AI18</f>
        <v>0</v>
      </c>
      <c r="AW184" s="447">
        <f>MAR!AJ18</f>
        <v>0</v>
      </c>
      <c r="AX184" s="448">
        <f>MAR!AK18</f>
        <v>0</v>
      </c>
      <c r="AY184" s="445">
        <f>SUMIF(MAR!$G$152:$J$152,"&gt;0",MAR!$W18:$Z18)</f>
        <v>0</v>
      </c>
      <c r="AZ184" s="1063">
        <f>SUM(MAR!AB18:AE18)</f>
        <v>0</v>
      </c>
      <c r="BA184" s="445">
        <f>SUMIF(MAR!$G$159:$J$159,BA$111,MAR!$R18:$U18)+SUMIF(MAR!$G$159:$J$159,BA$111,MAR!$W18:$Z18)</f>
        <v>0</v>
      </c>
      <c r="BB184" s="446">
        <f>SUMIF(MAR!$G$159:$J$159,BB$111,MAR!$R18:$U18)+SUMIF(MAR!$G$159:$J$159,BB$111,MAR!$W18:$Z18)</f>
        <v>0</v>
      </c>
      <c r="BC184" s="446">
        <f>SUMIF(MAR!$G$159:$J$159,BC$111,MAR!$R18:$U18)+SUMIF(MAR!$G$159:$J$159,BC$111,MAR!$W18:$Z18)</f>
        <v>0</v>
      </c>
      <c r="BD184" s="446">
        <f>SUMIF(MAR!$G$159:$J$159,BD$111,MAR!$R18:$U18)+SUMIF(MAR!$G$159:$J$159,BD$111,MAR!$W18:$Z18)</f>
        <v>0</v>
      </c>
      <c r="BE184" s="446">
        <f>SUMIF(MAR!$G$159:$J$159,BE$111,MAR!$R18:$U18)+SUMIF(MAR!$G$159:$J$159,BE$111,MAR!$W18:$Z18)</f>
        <v>0</v>
      </c>
      <c r="BF184" s="446">
        <f>SUMIF(MAR!$G$159:$J$159,BF$111,MAR!$R18:$U18)+SUMIF(MAR!$G$159:$J$159,BF$111,MAR!$W18:$Z18)</f>
        <v>0</v>
      </c>
      <c r="BG184" s="448">
        <f>SUMIF(MAR!$G$159:$J$159,BG$111,MAR!$R18:$U18)+SUMIF(MAR!$G$159:$J$159,BG$111,MAR!$W18:$Z18)</f>
        <v>0</v>
      </c>
      <c r="BH184" s="571"/>
      <c r="BI184" s="448"/>
      <c r="BJ184" s="470"/>
      <c r="BK184" s="445">
        <f>SUMIF(MAR!$G$157:$J$157,BK$111,MAR!$R18:$U18)+SUMIF(MAR!$G$157:$J$157,BK$111,MAR!$W18:$Z18)</f>
        <v>0</v>
      </c>
      <c r="BL184" s="446">
        <f>SUMIF(MAR!$G$157:$J$157,BL$111,MAR!$R18:$U18)+SUMIF(MAR!$G$157:$J$157,BL$111,MAR!$W18:$Z18)</f>
        <v>0</v>
      </c>
      <c r="BM184" s="446">
        <f>SUMIF(MAR!$G$157:$J$157,BM$111,MAR!$R18:$U18)+SUMIF(MAR!$G$157:$J$157,BM$111,MAR!$W18:$Z18)</f>
        <v>0</v>
      </c>
      <c r="BN184" s="446">
        <f>SUMIF(MAR!$G$157:$J$157,BN$111,MAR!$R18:$U18)+SUMIF(MAR!$G$157:$J$157,BN$111,MAR!$W18:$Z18)</f>
        <v>0</v>
      </c>
      <c r="BO184" s="446">
        <f>SUMIF(MAR!$G$157:$J$157,BO$111,MAR!$R18:$U18)+SUMIF(MAR!$G$157:$J$157,BO$111,MAR!$W18:$Z18)</f>
        <v>0</v>
      </c>
      <c r="BP184" s="446">
        <f>SUMIF(MAR!$G$157:$J$157,BP$111,MAR!$R18:$U18)+SUMIF(MAR!$G$157:$J$157,BP$111,MAR!$W18:$Z18)</f>
        <v>0</v>
      </c>
      <c r="BQ184" s="448">
        <f>SUMIF(MAR!$G$157:$J$157,BQ$111,MAR!$R18:$U18)+SUMIF(MAR!$G$157:$J$157,BQ$111,MAR!$W18:$Z18)</f>
        <v>0</v>
      </c>
      <c r="BR184" s="571"/>
      <c r="BS184" s="446"/>
      <c r="BT184" s="448"/>
      <c r="BU184" s="470"/>
      <c r="BV184" s="445">
        <f>SUMIF(MAR!$G$158:$J$158,BV$111,MAR!$R18:$U18)+SUMIF(MAR!$G$158:$J$158,BV$111,MAR!$W18:$Z18)</f>
        <v>0</v>
      </c>
      <c r="BW184" s="446">
        <f>SUMIF(MAR!$G$158:$J$158,BW$111,MAR!$R18:$U18)+SUMIF(MAR!$G$158:$J$158,BW$111,MAR!$W18:$Z18)</f>
        <v>0</v>
      </c>
      <c r="BX184" s="446">
        <f>SUMIF(MAR!$G$158:$J$158,BX$111,MAR!$R18:$U18)+SUMIF(MAR!$G$158:$J$158,BX$111,MAR!$W18:$Z18)</f>
        <v>0</v>
      </c>
      <c r="BY184" s="446">
        <f>SUMIF(MAR!$G$158:$J$158,BY$111,MAR!$R18:$U18)+SUMIF(MAR!$G$158:$J$158,BY$111,MAR!$W18:$Z18)</f>
        <v>0</v>
      </c>
      <c r="BZ184" s="446">
        <f>SUMIF(MAR!$G$158:$J$158,BZ$111,MAR!$R18:$U18)+SUMIF(MAR!$G$158:$J$158,BZ$111,MAR!$W18:$Z18)</f>
        <v>0</v>
      </c>
      <c r="CA184" s="446">
        <f>SUMIF(MAR!$G$158:$J$158,CA$111,MAR!$R18:$U18)+SUMIF(MAR!$G$158:$J$158,CA$111,MAR!$W18:$Z18)</f>
        <v>0</v>
      </c>
      <c r="CB184" s="448">
        <f>SUMIF(MAR!$G$158:$J$158,CB$111,MAR!$R18:$U18)+SUMIF(MAR!$G$158:$J$158,CB$111,MAR!$W18:$Z18)</f>
        <v>0</v>
      </c>
      <c r="CC184" s="571"/>
      <c r="CD184" s="448"/>
      <c r="CE184" s="92">
        <f t="shared" si="243"/>
        <v>0</v>
      </c>
      <c r="CF184" s="92">
        <f t="shared" si="244"/>
        <v>0</v>
      </c>
      <c r="CG184" s="151" t="str">
        <f t="shared" si="230"/>
        <v/>
      </c>
      <c r="CH184" s="92">
        <f t="shared" si="233"/>
        <v>0</v>
      </c>
      <c r="CI184" s="92" t="str">
        <f t="shared" si="245"/>
        <v/>
      </c>
      <c r="CJ184" s="1100">
        <f>MAR!AM18</f>
        <v>0</v>
      </c>
      <c r="CK184" s="445">
        <f>SUMIF(MAR!$G$155:$J$155,CK$112,MAR!$AN18:$AQ18)</f>
        <v>0</v>
      </c>
      <c r="CL184" s="446">
        <f>SUMIF(MAR!$G$155:$J$155,CL$112,MAR!$AN18:$AQ18)</f>
        <v>0</v>
      </c>
      <c r="CM184" s="447">
        <f>SUMIF(MAR!$G$155:$J$155,CM$112,MAR!$AN18:$AQ18)</f>
        <v>0</v>
      </c>
      <c r="CN184" s="448">
        <f>SUMIF(MAR!$G$155:$J$155,CN$112,MAR!$AN18:$AQ18)</f>
        <v>0</v>
      </c>
      <c r="CO184" s="1100">
        <f>MAR!AS18</f>
        <v>0</v>
      </c>
      <c r="CP184" s="445">
        <f>MAR!AT18</f>
        <v>0</v>
      </c>
      <c r="CQ184" s="446">
        <f>MAR!AU18</f>
        <v>0</v>
      </c>
      <c r="CR184" s="447">
        <f>MAR!AV18</f>
        <v>0</v>
      </c>
      <c r="CS184" s="448">
        <f>MAR!AW18</f>
        <v>0</v>
      </c>
      <c r="CT184" s="1100">
        <f>MAR!AY18</f>
        <v>0</v>
      </c>
      <c r="CU184" s="2"/>
    </row>
    <row r="185" spans="1:99" ht="14.25" hidden="1" customHeight="1" x14ac:dyDescent="0.2">
      <c r="A185" s="2"/>
      <c r="B185" s="151">
        <f t="shared" si="234"/>
        <v>45363</v>
      </c>
      <c r="C185" s="223">
        <f>IF(AND(E185&gt;(E$493-1),E185&lt;(I$493+1)),W$485,IF(ISERROR(HLOOKUP(E185,$E$486:$L$486,1,FALSE)),HLOOKUP(WEEKDAY(E185,2),IMPOSTAZIONI!$C$51:$P$56,6,FALSE),$W$484))</f>
        <v>0</v>
      </c>
      <c r="D185" s="103" t="str">
        <f t="shared" si="235"/>
        <v/>
      </c>
      <c r="E185" s="2380">
        <f t="shared" si="246"/>
        <v>45363</v>
      </c>
      <c r="F185" s="2381"/>
      <c r="G185" s="2325">
        <f>MAR!E19</f>
        <v>0</v>
      </c>
      <c r="H185" s="2326"/>
      <c r="I185" s="2327"/>
      <c r="J185" s="479" t="str">
        <f t="shared" si="231"/>
        <v/>
      </c>
      <c r="K185" s="480"/>
      <c r="L185" s="2319">
        <f t="shared" si="228"/>
        <v>11</v>
      </c>
      <c r="M185" s="2320"/>
      <c r="N185" s="478"/>
      <c r="O185" s="478"/>
      <c r="P185" s="478"/>
      <c r="Q185" s="2315">
        <f t="shared" si="236"/>
        <v>45363</v>
      </c>
      <c r="R185" s="2315"/>
      <c r="S185" s="478"/>
      <c r="T185" s="140">
        <f t="shared" si="237"/>
        <v>0</v>
      </c>
      <c r="U185" s="478"/>
      <c r="V185" s="478"/>
      <c r="W185" s="478"/>
      <c r="X185" s="478"/>
      <c r="Y185" s="478"/>
      <c r="Z185" s="478"/>
      <c r="AA185" s="478"/>
      <c r="AB185" s="478"/>
      <c r="AC185" s="478"/>
      <c r="AD185" s="478"/>
      <c r="AE185" s="478"/>
      <c r="AF185" s="478"/>
      <c r="AG185" s="140">
        <f t="shared" si="238"/>
        <v>0</v>
      </c>
      <c r="AH185" s="92" t="str">
        <f t="shared" si="239"/>
        <v/>
      </c>
      <c r="AI185" s="131">
        <f t="shared" si="240"/>
        <v>0</v>
      </c>
      <c r="AJ185" s="2"/>
      <c r="AK185" s="92">
        <f>IF(G185=G$481,0,IF(OR(G185&lt;&gt;0,CJ185&lt;&gt;0,C185="L"),COUNTIF(AK$114:AK184,"&gt;0")+1,0))</f>
        <v>0</v>
      </c>
      <c r="AL185" s="92" t="str">
        <f t="shared" si="241"/>
        <v/>
      </c>
      <c r="AM185" s="92" t="str">
        <f t="shared" si="242"/>
        <v/>
      </c>
      <c r="AN185" s="131">
        <f t="shared" si="232"/>
        <v>0</v>
      </c>
      <c r="AO185" s="447">
        <f>SUM(MAR!W19:Z19)</f>
        <v>0</v>
      </c>
      <c r="AP185" s="445">
        <f>SUMIF(MAR!$G$155:$J$155,AP$112,MAR!$R19:$U19)</f>
        <v>0</v>
      </c>
      <c r="AQ185" s="446">
        <f>SUMIF(MAR!$G$155:$J$155,AQ$112,MAR!$R19:$U19)</f>
        <v>0</v>
      </c>
      <c r="AR185" s="447">
        <f>SUMIF(MAR!$G$155:$J$155,AR$112,MAR!$R19:$U19)</f>
        <v>0</v>
      </c>
      <c r="AS185" s="448">
        <f>SUMIF(MAR!$G$155:$J$155,AS$112,MAR!$R19:$U19)</f>
        <v>0</v>
      </c>
      <c r="AT185" s="449">
        <f>MAR!AG19</f>
        <v>0</v>
      </c>
      <c r="AU185" s="445">
        <f>MAR!AH19</f>
        <v>0</v>
      </c>
      <c r="AV185" s="446">
        <f>MAR!AI19</f>
        <v>0</v>
      </c>
      <c r="AW185" s="447">
        <f>MAR!AJ19</f>
        <v>0</v>
      </c>
      <c r="AX185" s="448">
        <f>MAR!AK19</f>
        <v>0</v>
      </c>
      <c r="AY185" s="445">
        <f>SUMIF(MAR!$G$152:$J$152,"&gt;0",MAR!$W19:$Z19)</f>
        <v>0</v>
      </c>
      <c r="AZ185" s="1063">
        <f>SUM(MAR!AB19:AE19)</f>
        <v>0</v>
      </c>
      <c r="BA185" s="445">
        <f>SUMIF(MAR!$G$159:$J$159,BA$111,MAR!$R19:$U19)+SUMIF(MAR!$G$159:$J$159,BA$111,MAR!$W19:$Z19)</f>
        <v>0</v>
      </c>
      <c r="BB185" s="446">
        <f>SUMIF(MAR!$G$159:$J$159,BB$111,MAR!$R19:$U19)+SUMIF(MAR!$G$159:$J$159,BB$111,MAR!$W19:$Z19)</f>
        <v>0</v>
      </c>
      <c r="BC185" s="446">
        <f>SUMIF(MAR!$G$159:$J$159,BC$111,MAR!$R19:$U19)+SUMIF(MAR!$G$159:$J$159,BC$111,MAR!$W19:$Z19)</f>
        <v>0</v>
      </c>
      <c r="BD185" s="446">
        <f>SUMIF(MAR!$G$159:$J$159,BD$111,MAR!$R19:$U19)+SUMIF(MAR!$G$159:$J$159,BD$111,MAR!$W19:$Z19)</f>
        <v>0</v>
      </c>
      <c r="BE185" s="446">
        <f>SUMIF(MAR!$G$159:$J$159,BE$111,MAR!$R19:$U19)+SUMIF(MAR!$G$159:$J$159,BE$111,MAR!$W19:$Z19)</f>
        <v>0</v>
      </c>
      <c r="BF185" s="446">
        <f>SUMIF(MAR!$G$159:$J$159,BF$111,MAR!$R19:$U19)+SUMIF(MAR!$G$159:$J$159,BF$111,MAR!$W19:$Z19)</f>
        <v>0</v>
      </c>
      <c r="BG185" s="448">
        <f>SUMIF(MAR!$G$159:$J$159,BG$111,MAR!$R19:$U19)+SUMIF(MAR!$G$159:$J$159,BG$111,MAR!$W19:$Z19)</f>
        <v>0</v>
      </c>
      <c r="BH185" s="571"/>
      <c r="BI185" s="448"/>
      <c r="BJ185" s="470"/>
      <c r="BK185" s="445">
        <f>SUMIF(MAR!$G$157:$J$157,BK$111,MAR!$R19:$U19)+SUMIF(MAR!$G$157:$J$157,BK$111,MAR!$W19:$Z19)</f>
        <v>0</v>
      </c>
      <c r="BL185" s="446">
        <f>SUMIF(MAR!$G$157:$J$157,BL$111,MAR!$R19:$U19)+SUMIF(MAR!$G$157:$J$157,BL$111,MAR!$W19:$Z19)</f>
        <v>0</v>
      </c>
      <c r="BM185" s="446">
        <f>SUMIF(MAR!$G$157:$J$157,BM$111,MAR!$R19:$U19)+SUMIF(MAR!$G$157:$J$157,BM$111,MAR!$W19:$Z19)</f>
        <v>0</v>
      </c>
      <c r="BN185" s="446">
        <f>SUMIF(MAR!$G$157:$J$157,BN$111,MAR!$R19:$U19)+SUMIF(MAR!$G$157:$J$157,BN$111,MAR!$W19:$Z19)</f>
        <v>0</v>
      </c>
      <c r="BO185" s="446">
        <f>SUMIF(MAR!$G$157:$J$157,BO$111,MAR!$R19:$U19)+SUMIF(MAR!$G$157:$J$157,BO$111,MAR!$W19:$Z19)</f>
        <v>0</v>
      </c>
      <c r="BP185" s="446">
        <f>SUMIF(MAR!$G$157:$J$157,BP$111,MAR!$R19:$U19)+SUMIF(MAR!$G$157:$J$157,BP$111,MAR!$W19:$Z19)</f>
        <v>0</v>
      </c>
      <c r="BQ185" s="448">
        <f>SUMIF(MAR!$G$157:$J$157,BQ$111,MAR!$R19:$U19)+SUMIF(MAR!$G$157:$J$157,BQ$111,MAR!$W19:$Z19)</f>
        <v>0</v>
      </c>
      <c r="BR185" s="571"/>
      <c r="BS185" s="446"/>
      <c r="BT185" s="448"/>
      <c r="BU185" s="470"/>
      <c r="BV185" s="445">
        <f>SUMIF(MAR!$G$158:$J$158,BV$111,MAR!$R19:$U19)+SUMIF(MAR!$G$158:$J$158,BV$111,MAR!$W19:$Z19)</f>
        <v>0</v>
      </c>
      <c r="BW185" s="446">
        <f>SUMIF(MAR!$G$158:$J$158,BW$111,MAR!$R19:$U19)+SUMIF(MAR!$G$158:$J$158,BW$111,MAR!$W19:$Z19)</f>
        <v>0</v>
      </c>
      <c r="BX185" s="446">
        <f>SUMIF(MAR!$G$158:$J$158,BX$111,MAR!$R19:$U19)+SUMIF(MAR!$G$158:$J$158,BX$111,MAR!$W19:$Z19)</f>
        <v>0</v>
      </c>
      <c r="BY185" s="446">
        <f>SUMIF(MAR!$G$158:$J$158,BY$111,MAR!$R19:$U19)+SUMIF(MAR!$G$158:$J$158,BY$111,MAR!$W19:$Z19)</f>
        <v>0</v>
      </c>
      <c r="BZ185" s="446">
        <f>SUMIF(MAR!$G$158:$J$158,BZ$111,MAR!$R19:$U19)+SUMIF(MAR!$G$158:$J$158,BZ$111,MAR!$W19:$Z19)</f>
        <v>0</v>
      </c>
      <c r="CA185" s="446">
        <f>SUMIF(MAR!$G$158:$J$158,CA$111,MAR!$R19:$U19)+SUMIF(MAR!$G$158:$J$158,CA$111,MAR!$W19:$Z19)</f>
        <v>0</v>
      </c>
      <c r="CB185" s="448">
        <f>SUMIF(MAR!$G$158:$J$158,CB$111,MAR!$R19:$U19)+SUMIF(MAR!$G$158:$J$158,CB$111,MAR!$W19:$Z19)</f>
        <v>0</v>
      </c>
      <c r="CC185" s="571"/>
      <c r="CD185" s="448"/>
      <c r="CE185" s="92">
        <f t="shared" si="243"/>
        <v>0</v>
      </c>
      <c r="CF185" s="92">
        <f t="shared" si="244"/>
        <v>0</v>
      </c>
      <c r="CG185" s="151" t="str">
        <f t="shared" si="230"/>
        <v/>
      </c>
      <c r="CH185" s="92">
        <f t="shared" si="233"/>
        <v>0</v>
      </c>
      <c r="CI185" s="92" t="str">
        <f t="shared" si="245"/>
        <v/>
      </c>
      <c r="CJ185" s="1100">
        <f>MAR!AM19</f>
        <v>0</v>
      </c>
      <c r="CK185" s="445">
        <f>SUMIF(MAR!$G$155:$J$155,CK$112,MAR!$AN19:$AQ19)</f>
        <v>0</v>
      </c>
      <c r="CL185" s="446">
        <f>SUMIF(MAR!$G$155:$J$155,CL$112,MAR!$AN19:$AQ19)</f>
        <v>0</v>
      </c>
      <c r="CM185" s="447">
        <f>SUMIF(MAR!$G$155:$J$155,CM$112,MAR!$AN19:$AQ19)</f>
        <v>0</v>
      </c>
      <c r="CN185" s="448">
        <f>SUMIF(MAR!$G$155:$J$155,CN$112,MAR!$AN19:$AQ19)</f>
        <v>0</v>
      </c>
      <c r="CO185" s="1100">
        <f>MAR!AS19</f>
        <v>0</v>
      </c>
      <c r="CP185" s="445">
        <f>MAR!AT19</f>
        <v>0</v>
      </c>
      <c r="CQ185" s="446">
        <f>MAR!AU19</f>
        <v>0</v>
      </c>
      <c r="CR185" s="447">
        <f>MAR!AV19</f>
        <v>0</v>
      </c>
      <c r="CS185" s="448">
        <f>MAR!AW19</f>
        <v>0</v>
      </c>
      <c r="CT185" s="1100">
        <f>MAR!AY19</f>
        <v>0</v>
      </c>
      <c r="CU185" s="2"/>
    </row>
    <row r="186" spans="1:99" ht="14.25" hidden="1" customHeight="1" x14ac:dyDescent="0.2">
      <c r="A186" s="2"/>
      <c r="B186" s="151">
        <f t="shared" si="234"/>
        <v>45364</v>
      </c>
      <c r="C186" s="223">
        <f>IF(AND(E186&gt;(E$493-1),E186&lt;(I$493+1)),W$485,IF(ISERROR(HLOOKUP(E186,$E$486:$L$486,1,FALSE)),HLOOKUP(WEEKDAY(E186,2),IMPOSTAZIONI!$C$51:$P$56,6,FALSE),$W$484))</f>
        <v>0</v>
      </c>
      <c r="D186" s="103" t="str">
        <f t="shared" si="235"/>
        <v/>
      </c>
      <c r="E186" s="2380">
        <f t="shared" si="246"/>
        <v>45364</v>
      </c>
      <c r="F186" s="2381"/>
      <c r="G186" s="2325">
        <f>MAR!E20</f>
        <v>0</v>
      </c>
      <c r="H186" s="2326"/>
      <c r="I186" s="2327"/>
      <c r="J186" s="479" t="str">
        <f t="shared" si="231"/>
        <v/>
      </c>
      <c r="K186" s="480"/>
      <c r="L186" s="2319">
        <f t="shared" si="228"/>
        <v>11</v>
      </c>
      <c r="M186" s="2320"/>
      <c r="N186" s="478"/>
      <c r="O186" s="478"/>
      <c r="P186" s="478"/>
      <c r="Q186" s="2315">
        <f t="shared" si="236"/>
        <v>45364</v>
      </c>
      <c r="R186" s="2315"/>
      <c r="S186" s="478"/>
      <c r="T186" s="140">
        <f t="shared" si="237"/>
        <v>0</v>
      </c>
      <c r="U186" s="478"/>
      <c r="V186" s="478"/>
      <c r="W186" s="478"/>
      <c r="X186" s="478"/>
      <c r="Y186" s="478"/>
      <c r="Z186" s="478"/>
      <c r="AA186" s="478"/>
      <c r="AB186" s="478"/>
      <c r="AC186" s="478"/>
      <c r="AD186" s="478"/>
      <c r="AE186" s="478"/>
      <c r="AF186" s="478"/>
      <c r="AG186" s="140">
        <f t="shared" si="238"/>
        <v>0</v>
      </c>
      <c r="AH186" s="92" t="str">
        <f t="shared" si="239"/>
        <v/>
      </c>
      <c r="AI186" s="131">
        <f t="shared" si="240"/>
        <v>0</v>
      </c>
      <c r="AJ186" s="2"/>
      <c r="AK186" s="92">
        <f>IF(G186=G$481,0,IF(OR(G186&lt;&gt;0,CJ186&lt;&gt;0,C186="L"),COUNTIF(AK$114:AK185,"&gt;0")+1,0))</f>
        <v>0</v>
      </c>
      <c r="AL186" s="92" t="str">
        <f t="shared" si="241"/>
        <v/>
      </c>
      <c r="AM186" s="92" t="str">
        <f t="shared" si="242"/>
        <v/>
      </c>
      <c r="AN186" s="131">
        <f t="shared" si="232"/>
        <v>0</v>
      </c>
      <c r="AO186" s="447">
        <f>SUM(MAR!W20:Z20)</f>
        <v>0</v>
      </c>
      <c r="AP186" s="445">
        <f>SUMIF(MAR!$G$155:$J$155,AP$112,MAR!$R20:$U20)</f>
        <v>0</v>
      </c>
      <c r="AQ186" s="446">
        <f>SUMIF(MAR!$G$155:$J$155,AQ$112,MAR!$R20:$U20)</f>
        <v>0</v>
      </c>
      <c r="AR186" s="447">
        <f>SUMIF(MAR!$G$155:$J$155,AR$112,MAR!$R20:$U20)</f>
        <v>0</v>
      </c>
      <c r="AS186" s="448">
        <f>SUMIF(MAR!$G$155:$J$155,AS$112,MAR!$R20:$U20)</f>
        <v>0</v>
      </c>
      <c r="AT186" s="449">
        <f>MAR!AG20</f>
        <v>0</v>
      </c>
      <c r="AU186" s="445">
        <f>MAR!AH20</f>
        <v>0</v>
      </c>
      <c r="AV186" s="446">
        <f>MAR!AI20</f>
        <v>0</v>
      </c>
      <c r="AW186" s="447">
        <f>MAR!AJ20</f>
        <v>0</v>
      </c>
      <c r="AX186" s="448">
        <f>MAR!AK20</f>
        <v>0</v>
      </c>
      <c r="AY186" s="445">
        <f>SUMIF(MAR!$G$152:$J$152,"&gt;0",MAR!$W20:$Z20)</f>
        <v>0</v>
      </c>
      <c r="AZ186" s="1063">
        <f>SUM(MAR!AB20:AE20)</f>
        <v>0</v>
      </c>
      <c r="BA186" s="445">
        <f>SUMIF(MAR!$G$159:$J$159,BA$111,MAR!$R20:$U20)+SUMIF(MAR!$G$159:$J$159,BA$111,MAR!$W20:$Z20)</f>
        <v>0</v>
      </c>
      <c r="BB186" s="446">
        <f>SUMIF(MAR!$G$159:$J$159,BB$111,MAR!$R20:$U20)+SUMIF(MAR!$G$159:$J$159,BB$111,MAR!$W20:$Z20)</f>
        <v>0</v>
      </c>
      <c r="BC186" s="446">
        <f>SUMIF(MAR!$G$159:$J$159,BC$111,MAR!$R20:$U20)+SUMIF(MAR!$G$159:$J$159,BC$111,MAR!$W20:$Z20)</f>
        <v>0</v>
      </c>
      <c r="BD186" s="446">
        <f>SUMIF(MAR!$G$159:$J$159,BD$111,MAR!$R20:$U20)+SUMIF(MAR!$G$159:$J$159,BD$111,MAR!$W20:$Z20)</f>
        <v>0</v>
      </c>
      <c r="BE186" s="446">
        <f>SUMIF(MAR!$G$159:$J$159,BE$111,MAR!$R20:$U20)+SUMIF(MAR!$G$159:$J$159,BE$111,MAR!$W20:$Z20)</f>
        <v>0</v>
      </c>
      <c r="BF186" s="446">
        <f>SUMIF(MAR!$G$159:$J$159,BF$111,MAR!$R20:$U20)+SUMIF(MAR!$G$159:$J$159,BF$111,MAR!$W20:$Z20)</f>
        <v>0</v>
      </c>
      <c r="BG186" s="448">
        <f>SUMIF(MAR!$G$159:$J$159,BG$111,MAR!$R20:$U20)+SUMIF(MAR!$G$159:$J$159,BG$111,MAR!$W20:$Z20)</f>
        <v>0</v>
      </c>
      <c r="BH186" s="571"/>
      <c r="BI186" s="448"/>
      <c r="BJ186" s="470"/>
      <c r="BK186" s="445">
        <f>SUMIF(MAR!$G$157:$J$157,BK$111,MAR!$R20:$U20)+SUMIF(MAR!$G$157:$J$157,BK$111,MAR!$W20:$Z20)</f>
        <v>0</v>
      </c>
      <c r="BL186" s="446">
        <f>SUMIF(MAR!$G$157:$J$157,BL$111,MAR!$R20:$U20)+SUMIF(MAR!$G$157:$J$157,BL$111,MAR!$W20:$Z20)</f>
        <v>0</v>
      </c>
      <c r="BM186" s="446">
        <f>SUMIF(MAR!$G$157:$J$157,BM$111,MAR!$R20:$U20)+SUMIF(MAR!$G$157:$J$157,BM$111,MAR!$W20:$Z20)</f>
        <v>0</v>
      </c>
      <c r="BN186" s="446">
        <f>SUMIF(MAR!$G$157:$J$157,BN$111,MAR!$R20:$U20)+SUMIF(MAR!$G$157:$J$157,BN$111,MAR!$W20:$Z20)</f>
        <v>0</v>
      </c>
      <c r="BO186" s="446">
        <f>SUMIF(MAR!$G$157:$J$157,BO$111,MAR!$R20:$U20)+SUMIF(MAR!$G$157:$J$157,BO$111,MAR!$W20:$Z20)</f>
        <v>0</v>
      </c>
      <c r="BP186" s="446">
        <f>SUMIF(MAR!$G$157:$J$157,BP$111,MAR!$R20:$U20)+SUMIF(MAR!$G$157:$J$157,BP$111,MAR!$W20:$Z20)</f>
        <v>0</v>
      </c>
      <c r="BQ186" s="448">
        <f>SUMIF(MAR!$G$157:$J$157,BQ$111,MAR!$R20:$U20)+SUMIF(MAR!$G$157:$J$157,BQ$111,MAR!$W20:$Z20)</f>
        <v>0</v>
      </c>
      <c r="BR186" s="571"/>
      <c r="BS186" s="446"/>
      <c r="BT186" s="448"/>
      <c r="BU186" s="470"/>
      <c r="BV186" s="445">
        <f>SUMIF(MAR!$G$158:$J$158,BV$111,MAR!$R20:$U20)+SUMIF(MAR!$G$158:$J$158,BV$111,MAR!$W20:$Z20)</f>
        <v>0</v>
      </c>
      <c r="BW186" s="446">
        <f>SUMIF(MAR!$G$158:$J$158,BW$111,MAR!$R20:$U20)+SUMIF(MAR!$G$158:$J$158,BW$111,MAR!$W20:$Z20)</f>
        <v>0</v>
      </c>
      <c r="BX186" s="446">
        <f>SUMIF(MAR!$G$158:$J$158,BX$111,MAR!$R20:$U20)+SUMIF(MAR!$G$158:$J$158,BX$111,MAR!$W20:$Z20)</f>
        <v>0</v>
      </c>
      <c r="BY186" s="446">
        <f>SUMIF(MAR!$G$158:$J$158,BY$111,MAR!$R20:$U20)+SUMIF(MAR!$G$158:$J$158,BY$111,MAR!$W20:$Z20)</f>
        <v>0</v>
      </c>
      <c r="BZ186" s="446">
        <f>SUMIF(MAR!$G$158:$J$158,BZ$111,MAR!$R20:$U20)+SUMIF(MAR!$G$158:$J$158,BZ$111,MAR!$W20:$Z20)</f>
        <v>0</v>
      </c>
      <c r="CA186" s="446">
        <f>SUMIF(MAR!$G$158:$J$158,CA$111,MAR!$R20:$U20)+SUMIF(MAR!$G$158:$J$158,CA$111,MAR!$W20:$Z20)</f>
        <v>0</v>
      </c>
      <c r="CB186" s="448">
        <f>SUMIF(MAR!$G$158:$J$158,CB$111,MAR!$R20:$U20)+SUMIF(MAR!$G$158:$J$158,CB$111,MAR!$W20:$Z20)</f>
        <v>0</v>
      </c>
      <c r="CC186" s="571"/>
      <c r="CD186" s="448"/>
      <c r="CE186" s="92">
        <f t="shared" si="243"/>
        <v>0</v>
      </c>
      <c r="CF186" s="92">
        <f t="shared" si="244"/>
        <v>0</v>
      </c>
      <c r="CG186" s="151" t="str">
        <f t="shared" si="230"/>
        <v/>
      </c>
      <c r="CH186" s="92">
        <f t="shared" si="233"/>
        <v>0</v>
      </c>
      <c r="CI186" s="92" t="str">
        <f t="shared" si="245"/>
        <v/>
      </c>
      <c r="CJ186" s="1100">
        <f>MAR!AM20</f>
        <v>0</v>
      </c>
      <c r="CK186" s="445">
        <f>SUMIF(MAR!$G$155:$J$155,CK$112,MAR!$AN20:$AQ20)</f>
        <v>0</v>
      </c>
      <c r="CL186" s="446">
        <f>SUMIF(MAR!$G$155:$J$155,CL$112,MAR!$AN20:$AQ20)</f>
        <v>0</v>
      </c>
      <c r="CM186" s="447">
        <f>SUMIF(MAR!$G$155:$J$155,CM$112,MAR!$AN20:$AQ20)</f>
        <v>0</v>
      </c>
      <c r="CN186" s="448">
        <f>SUMIF(MAR!$G$155:$J$155,CN$112,MAR!$AN20:$AQ20)</f>
        <v>0</v>
      </c>
      <c r="CO186" s="1100">
        <f>MAR!AS20</f>
        <v>0</v>
      </c>
      <c r="CP186" s="445">
        <f>MAR!AT20</f>
        <v>0</v>
      </c>
      <c r="CQ186" s="446">
        <f>MAR!AU20</f>
        <v>0</v>
      </c>
      <c r="CR186" s="447">
        <f>MAR!AV20</f>
        <v>0</v>
      </c>
      <c r="CS186" s="448">
        <f>MAR!AW20</f>
        <v>0</v>
      </c>
      <c r="CT186" s="1100">
        <f>MAR!AY20</f>
        <v>0</v>
      </c>
      <c r="CU186" s="2"/>
    </row>
    <row r="187" spans="1:99" ht="14.25" hidden="1" customHeight="1" x14ac:dyDescent="0.2">
      <c r="A187" s="2"/>
      <c r="B187" s="151">
        <f t="shared" si="234"/>
        <v>45365</v>
      </c>
      <c r="C187" s="223">
        <f>IF(AND(E187&gt;(E$493-1),E187&lt;(I$493+1)),W$485,IF(ISERROR(HLOOKUP(E187,$E$486:$L$486,1,FALSE)),HLOOKUP(WEEKDAY(E187,2),IMPOSTAZIONI!$C$51:$P$56,6,FALSE),$W$484))</f>
        <v>0</v>
      </c>
      <c r="D187" s="103" t="str">
        <f t="shared" si="235"/>
        <v/>
      </c>
      <c r="E187" s="2380">
        <f t="shared" si="246"/>
        <v>45365</v>
      </c>
      <c r="F187" s="2381"/>
      <c r="G187" s="2325">
        <f>MAR!E21</f>
        <v>0</v>
      </c>
      <c r="H187" s="2326"/>
      <c r="I187" s="2327"/>
      <c r="J187" s="479" t="str">
        <f t="shared" si="231"/>
        <v/>
      </c>
      <c r="K187" s="480"/>
      <c r="L187" s="2319">
        <f t="shared" si="228"/>
        <v>11</v>
      </c>
      <c r="M187" s="2320"/>
      <c r="N187" s="478"/>
      <c r="O187" s="478"/>
      <c r="P187" s="478"/>
      <c r="Q187" s="2315">
        <f t="shared" si="236"/>
        <v>45365</v>
      </c>
      <c r="R187" s="2315"/>
      <c r="S187" s="478"/>
      <c r="T187" s="140">
        <f t="shared" si="237"/>
        <v>0</v>
      </c>
      <c r="U187" s="478"/>
      <c r="V187" s="478"/>
      <c r="W187" s="478"/>
      <c r="X187" s="478"/>
      <c r="Y187" s="478"/>
      <c r="Z187" s="478"/>
      <c r="AA187" s="478"/>
      <c r="AB187" s="478"/>
      <c r="AC187" s="478"/>
      <c r="AD187" s="478"/>
      <c r="AE187" s="478"/>
      <c r="AF187" s="478"/>
      <c r="AG187" s="140">
        <f t="shared" si="238"/>
        <v>0</v>
      </c>
      <c r="AH187" s="92" t="str">
        <f t="shared" si="239"/>
        <v/>
      </c>
      <c r="AI187" s="131">
        <f t="shared" si="240"/>
        <v>0</v>
      </c>
      <c r="AJ187" s="2"/>
      <c r="AK187" s="92">
        <f>IF(G187=G$481,0,IF(OR(G187&lt;&gt;0,CJ187&lt;&gt;0,C187="L"),COUNTIF(AK$114:AK186,"&gt;0")+1,0))</f>
        <v>0</v>
      </c>
      <c r="AL187" s="92" t="str">
        <f t="shared" si="241"/>
        <v/>
      </c>
      <c r="AM187" s="92" t="str">
        <f t="shared" si="242"/>
        <v/>
      </c>
      <c r="AN187" s="131">
        <f t="shared" si="232"/>
        <v>0</v>
      </c>
      <c r="AO187" s="447">
        <f>SUM(MAR!W21:Z21)</f>
        <v>0</v>
      </c>
      <c r="AP187" s="445">
        <f>SUMIF(MAR!$G$155:$J$155,AP$112,MAR!$R21:$U21)</f>
        <v>0</v>
      </c>
      <c r="AQ187" s="446">
        <f>SUMIF(MAR!$G$155:$J$155,AQ$112,MAR!$R21:$U21)</f>
        <v>0</v>
      </c>
      <c r="AR187" s="447">
        <f>SUMIF(MAR!$G$155:$J$155,AR$112,MAR!$R21:$U21)</f>
        <v>0</v>
      </c>
      <c r="AS187" s="448">
        <f>SUMIF(MAR!$G$155:$J$155,AS$112,MAR!$R21:$U21)</f>
        <v>0</v>
      </c>
      <c r="AT187" s="449">
        <f>MAR!AG21</f>
        <v>0</v>
      </c>
      <c r="AU187" s="445">
        <f>MAR!AH21</f>
        <v>0</v>
      </c>
      <c r="AV187" s="446">
        <f>MAR!AI21</f>
        <v>0</v>
      </c>
      <c r="AW187" s="447">
        <f>MAR!AJ21</f>
        <v>0</v>
      </c>
      <c r="AX187" s="448">
        <f>MAR!AK21</f>
        <v>0</v>
      </c>
      <c r="AY187" s="445">
        <f>SUMIF(MAR!$G$152:$J$152,"&gt;0",MAR!$W21:$Z21)</f>
        <v>0</v>
      </c>
      <c r="AZ187" s="1063">
        <f>SUM(MAR!AB21:AE21)</f>
        <v>0</v>
      </c>
      <c r="BA187" s="445">
        <f>SUMIF(MAR!$G$159:$J$159,BA$111,MAR!$R21:$U21)+SUMIF(MAR!$G$159:$J$159,BA$111,MAR!$W21:$Z21)</f>
        <v>0</v>
      </c>
      <c r="BB187" s="446">
        <f>SUMIF(MAR!$G$159:$J$159,BB$111,MAR!$R21:$U21)+SUMIF(MAR!$G$159:$J$159,BB$111,MAR!$W21:$Z21)</f>
        <v>0</v>
      </c>
      <c r="BC187" s="446">
        <f>SUMIF(MAR!$G$159:$J$159,BC$111,MAR!$R21:$U21)+SUMIF(MAR!$G$159:$J$159,BC$111,MAR!$W21:$Z21)</f>
        <v>0</v>
      </c>
      <c r="BD187" s="446">
        <f>SUMIF(MAR!$G$159:$J$159,BD$111,MAR!$R21:$U21)+SUMIF(MAR!$G$159:$J$159,BD$111,MAR!$W21:$Z21)</f>
        <v>0</v>
      </c>
      <c r="BE187" s="446">
        <f>SUMIF(MAR!$G$159:$J$159,BE$111,MAR!$R21:$U21)+SUMIF(MAR!$G$159:$J$159,BE$111,MAR!$W21:$Z21)</f>
        <v>0</v>
      </c>
      <c r="BF187" s="446">
        <f>SUMIF(MAR!$G$159:$J$159,BF$111,MAR!$R21:$U21)+SUMIF(MAR!$G$159:$J$159,BF$111,MAR!$W21:$Z21)</f>
        <v>0</v>
      </c>
      <c r="BG187" s="448">
        <f>SUMIF(MAR!$G$159:$J$159,BG$111,MAR!$R21:$U21)+SUMIF(MAR!$G$159:$J$159,BG$111,MAR!$W21:$Z21)</f>
        <v>0</v>
      </c>
      <c r="BH187" s="571"/>
      <c r="BI187" s="448"/>
      <c r="BJ187" s="470"/>
      <c r="BK187" s="445">
        <f>SUMIF(MAR!$G$157:$J$157,BK$111,MAR!$R21:$U21)+SUMIF(MAR!$G$157:$J$157,BK$111,MAR!$W21:$Z21)</f>
        <v>0</v>
      </c>
      <c r="BL187" s="446">
        <f>SUMIF(MAR!$G$157:$J$157,BL$111,MAR!$R21:$U21)+SUMIF(MAR!$G$157:$J$157,BL$111,MAR!$W21:$Z21)</f>
        <v>0</v>
      </c>
      <c r="BM187" s="446">
        <f>SUMIF(MAR!$G$157:$J$157,BM$111,MAR!$R21:$U21)+SUMIF(MAR!$G$157:$J$157,BM$111,MAR!$W21:$Z21)</f>
        <v>0</v>
      </c>
      <c r="BN187" s="446">
        <f>SUMIF(MAR!$G$157:$J$157,BN$111,MAR!$R21:$U21)+SUMIF(MAR!$G$157:$J$157,BN$111,MAR!$W21:$Z21)</f>
        <v>0</v>
      </c>
      <c r="BO187" s="446">
        <f>SUMIF(MAR!$G$157:$J$157,BO$111,MAR!$R21:$U21)+SUMIF(MAR!$G$157:$J$157,BO$111,MAR!$W21:$Z21)</f>
        <v>0</v>
      </c>
      <c r="BP187" s="446">
        <f>SUMIF(MAR!$G$157:$J$157,BP$111,MAR!$R21:$U21)+SUMIF(MAR!$G$157:$J$157,BP$111,MAR!$W21:$Z21)</f>
        <v>0</v>
      </c>
      <c r="BQ187" s="448">
        <f>SUMIF(MAR!$G$157:$J$157,BQ$111,MAR!$R21:$U21)+SUMIF(MAR!$G$157:$J$157,BQ$111,MAR!$W21:$Z21)</f>
        <v>0</v>
      </c>
      <c r="BR187" s="571"/>
      <c r="BS187" s="446"/>
      <c r="BT187" s="448"/>
      <c r="BU187" s="470"/>
      <c r="BV187" s="445">
        <f>SUMIF(MAR!$G$158:$J$158,BV$111,MAR!$R21:$U21)+SUMIF(MAR!$G$158:$J$158,BV$111,MAR!$W21:$Z21)</f>
        <v>0</v>
      </c>
      <c r="BW187" s="446">
        <f>SUMIF(MAR!$G$158:$J$158,BW$111,MAR!$R21:$U21)+SUMIF(MAR!$G$158:$J$158,BW$111,MAR!$W21:$Z21)</f>
        <v>0</v>
      </c>
      <c r="BX187" s="446">
        <f>SUMIF(MAR!$G$158:$J$158,BX$111,MAR!$R21:$U21)+SUMIF(MAR!$G$158:$J$158,BX$111,MAR!$W21:$Z21)</f>
        <v>0</v>
      </c>
      <c r="BY187" s="446">
        <f>SUMIF(MAR!$G$158:$J$158,BY$111,MAR!$R21:$U21)+SUMIF(MAR!$G$158:$J$158,BY$111,MAR!$W21:$Z21)</f>
        <v>0</v>
      </c>
      <c r="BZ187" s="446">
        <f>SUMIF(MAR!$G$158:$J$158,BZ$111,MAR!$R21:$U21)+SUMIF(MAR!$G$158:$J$158,BZ$111,MAR!$W21:$Z21)</f>
        <v>0</v>
      </c>
      <c r="CA187" s="446">
        <f>SUMIF(MAR!$G$158:$J$158,CA$111,MAR!$R21:$U21)+SUMIF(MAR!$G$158:$J$158,CA$111,MAR!$W21:$Z21)</f>
        <v>0</v>
      </c>
      <c r="CB187" s="448">
        <f>SUMIF(MAR!$G$158:$J$158,CB$111,MAR!$R21:$U21)+SUMIF(MAR!$G$158:$J$158,CB$111,MAR!$W21:$Z21)</f>
        <v>0</v>
      </c>
      <c r="CC187" s="571"/>
      <c r="CD187" s="448"/>
      <c r="CE187" s="92">
        <f t="shared" si="243"/>
        <v>0</v>
      </c>
      <c r="CF187" s="92">
        <f t="shared" si="244"/>
        <v>0</v>
      </c>
      <c r="CG187" s="151" t="str">
        <f t="shared" si="230"/>
        <v/>
      </c>
      <c r="CH187" s="92">
        <f t="shared" si="233"/>
        <v>0</v>
      </c>
      <c r="CI187" s="92" t="str">
        <f t="shared" si="245"/>
        <v/>
      </c>
      <c r="CJ187" s="1100">
        <f>MAR!AM21</f>
        <v>0</v>
      </c>
      <c r="CK187" s="445">
        <f>SUMIF(MAR!$G$155:$J$155,CK$112,MAR!$AN21:$AQ21)</f>
        <v>0</v>
      </c>
      <c r="CL187" s="446">
        <f>SUMIF(MAR!$G$155:$J$155,CL$112,MAR!$AN21:$AQ21)</f>
        <v>0</v>
      </c>
      <c r="CM187" s="447">
        <f>SUMIF(MAR!$G$155:$J$155,CM$112,MAR!$AN21:$AQ21)</f>
        <v>0</v>
      </c>
      <c r="CN187" s="448">
        <f>SUMIF(MAR!$G$155:$J$155,CN$112,MAR!$AN21:$AQ21)</f>
        <v>0</v>
      </c>
      <c r="CO187" s="1100">
        <f>MAR!AS21</f>
        <v>0</v>
      </c>
      <c r="CP187" s="445">
        <f>MAR!AT21</f>
        <v>0</v>
      </c>
      <c r="CQ187" s="446">
        <f>MAR!AU21</f>
        <v>0</v>
      </c>
      <c r="CR187" s="447">
        <f>MAR!AV21</f>
        <v>0</v>
      </c>
      <c r="CS187" s="448">
        <f>MAR!AW21</f>
        <v>0</v>
      </c>
      <c r="CT187" s="1100">
        <f>MAR!AY21</f>
        <v>0</v>
      </c>
      <c r="CU187" s="2"/>
    </row>
    <row r="188" spans="1:99" ht="14.25" hidden="1" customHeight="1" x14ac:dyDescent="0.2">
      <c r="A188" s="2"/>
      <c r="B188" s="151">
        <f t="shared" si="234"/>
        <v>45366</v>
      </c>
      <c r="C188" s="223">
        <f>IF(AND(E188&gt;(E$493-1),E188&lt;(I$493+1)),W$485,IF(ISERROR(HLOOKUP(E188,$E$486:$L$486,1,FALSE)),HLOOKUP(WEEKDAY(E188,2),IMPOSTAZIONI!$C$51:$P$56,6,FALSE),$W$484))</f>
        <v>0</v>
      </c>
      <c r="D188" s="103" t="str">
        <f t="shared" si="235"/>
        <v/>
      </c>
      <c r="E188" s="2380">
        <f t="shared" si="246"/>
        <v>45366</v>
      </c>
      <c r="F188" s="2381"/>
      <c r="G188" s="2325">
        <f>MAR!E22</f>
        <v>0</v>
      </c>
      <c r="H188" s="2326"/>
      <c r="I188" s="2327"/>
      <c r="J188" s="479" t="str">
        <f t="shared" si="231"/>
        <v/>
      </c>
      <c r="K188" s="480"/>
      <c r="L188" s="2319">
        <f t="shared" ref="L188:L251" si="247">L181+1</f>
        <v>11</v>
      </c>
      <c r="M188" s="2320"/>
      <c r="N188" s="478"/>
      <c r="O188" s="478"/>
      <c r="P188" s="478"/>
      <c r="Q188" s="2315">
        <f t="shared" si="236"/>
        <v>45366</v>
      </c>
      <c r="R188" s="2315"/>
      <c r="S188" s="478"/>
      <c r="T188" s="140">
        <f t="shared" si="237"/>
        <v>0</v>
      </c>
      <c r="U188" s="478"/>
      <c r="V188" s="478"/>
      <c r="W188" s="478"/>
      <c r="X188" s="478"/>
      <c r="Y188" s="478"/>
      <c r="Z188" s="478"/>
      <c r="AA188" s="478"/>
      <c r="AB188" s="478"/>
      <c r="AC188" s="478"/>
      <c r="AD188" s="478"/>
      <c r="AE188" s="478"/>
      <c r="AF188" s="478"/>
      <c r="AG188" s="140">
        <f t="shared" si="238"/>
        <v>0</v>
      </c>
      <c r="AH188" s="92" t="str">
        <f t="shared" si="239"/>
        <v/>
      </c>
      <c r="AI188" s="131">
        <f t="shared" si="240"/>
        <v>0</v>
      </c>
      <c r="AJ188" s="2"/>
      <c r="AK188" s="92">
        <f>IF(G188=G$481,0,IF(OR(G188&lt;&gt;0,CJ188&lt;&gt;0,C188="L"),COUNTIF(AK$114:AK187,"&gt;0")+1,0))</f>
        <v>0</v>
      </c>
      <c r="AL188" s="92" t="str">
        <f t="shared" si="241"/>
        <v/>
      </c>
      <c r="AM188" s="92" t="str">
        <f t="shared" si="242"/>
        <v/>
      </c>
      <c r="AN188" s="131">
        <f t="shared" si="232"/>
        <v>0</v>
      </c>
      <c r="AO188" s="447">
        <f>SUM(MAR!W22:Z22)</f>
        <v>0</v>
      </c>
      <c r="AP188" s="445">
        <f>SUMIF(MAR!$G$155:$J$155,AP$112,MAR!$R22:$U22)</f>
        <v>0</v>
      </c>
      <c r="AQ188" s="446">
        <f>SUMIF(MAR!$G$155:$J$155,AQ$112,MAR!$R22:$U22)</f>
        <v>0</v>
      </c>
      <c r="AR188" s="447">
        <f>SUMIF(MAR!$G$155:$J$155,AR$112,MAR!$R22:$U22)</f>
        <v>0</v>
      </c>
      <c r="AS188" s="448">
        <f>SUMIF(MAR!$G$155:$J$155,AS$112,MAR!$R22:$U22)</f>
        <v>0</v>
      </c>
      <c r="AT188" s="449">
        <f>MAR!AG22</f>
        <v>0</v>
      </c>
      <c r="AU188" s="445">
        <f>MAR!AH22</f>
        <v>0</v>
      </c>
      <c r="AV188" s="446">
        <f>MAR!AI22</f>
        <v>0</v>
      </c>
      <c r="AW188" s="447">
        <f>MAR!AJ22</f>
        <v>0</v>
      </c>
      <c r="AX188" s="448">
        <f>MAR!AK22</f>
        <v>0</v>
      </c>
      <c r="AY188" s="445">
        <f>SUMIF(MAR!$G$152:$J$152,"&gt;0",MAR!$W22:$Z22)</f>
        <v>0</v>
      </c>
      <c r="AZ188" s="1063">
        <f>SUM(MAR!AB22:AE22)</f>
        <v>0</v>
      </c>
      <c r="BA188" s="445">
        <f>SUMIF(MAR!$G$159:$J$159,BA$111,MAR!$R22:$U22)+SUMIF(MAR!$G$159:$J$159,BA$111,MAR!$W22:$Z22)</f>
        <v>0</v>
      </c>
      <c r="BB188" s="446">
        <f>SUMIF(MAR!$G$159:$J$159,BB$111,MAR!$R22:$U22)+SUMIF(MAR!$G$159:$J$159,BB$111,MAR!$W22:$Z22)</f>
        <v>0</v>
      </c>
      <c r="BC188" s="446">
        <f>SUMIF(MAR!$G$159:$J$159,BC$111,MAR!$R22:$U22)+SUMIF(MAR!$G$159:$J$159,BC$111,MAR!$W22:$Z22)</f>
        <v>0</v>
      </c>
      <c r="BD188" s="446">
        <f>SUMIF(MAR!$G$159:$J$159,BD$111,MAR!$R22:$U22)+SUMIF(MAR!$G$159:$J$159,BD$111,MAR!$W22:$Z22)</f>
        <v>0</v>
      </c>
      <c r="BE188" s="446">
        <f>SUMIF(MAR!$G$159:$J$159,BE$111,MAR!$R22:$U22)+SUMIF(MAR!$G$159:$J$159,BE$111,MAR!$W22:$Z22)</f>
        <v>0</v>
      </c>
      <c r="BF188" s="446">
        <f>SUMIF(MAR!$G$159:$J$159,BF$111,MAR!$R22:$U22)+SUMIF(MAR!$G$159:$J$159,BF$111,MAR!$W22:$Z22)</f>
        <v>0</v>
      </c>
      <c r="BG188" s="448">
        <f>SUMIF(MAR!$G$159:$J$159,BG$111,MAR!$R22:$U22)+SUMIF(MAR!$G$159:$J$159,BG$111,MAR!$W22:$Z22)</f>
        <v>0</v>
      </c>
      <c r="BH188" s="571"/>
      <c r="BI188" s="448"/>
      <c r="BJ188" s="470"/>
      <c r="BK188" s="445">
        <f>SUMIF(MAR!$G$157:$J$157,BK$111,MAR!$R22:$U22)+SUMIF(MAR!$G$157:$J$157,BK$111,MAR!$W22:$Z22)</f>
        <v>0</v>
      </c>
      <c r="BL188" s="446">
        <f>SUMIF(MAR!$G$157:$J$157,BL$111,MAR!$R22:$U22)+SUMIF(MAR!$G$157:$J$157,BL$111,MAR!$W22:$Z22)</f>
        <v>0</v>
      </c>
      <c r="BM188" s="446">
        <f>SUMIF(MAR!$G$157:$J$157,BM$111,MAR!$R22:$U22)+SUMIF(MAR!$G$157:$J$157,BM$111,MAR!$W22:$Z22)</f>
        <v>0</v>
      </c>
      <c r="BN188" s="446">
        <f>SUMIF(MAR!$G$157:$J$157,BN$111,MAR!$R22:$U22)+SUMIF(MAR!$G$157:$J$157,BN$111,MAR!$W22:$Z22)</f>
        <v>0</v>
      </c>
      <c r="BO188" s="446">
        <f>SUMIF(MAR!$G$157:$J$157,BO$111,MAR!$R22:$U22)+SUMIF(MAR!$G$157:$J$157,BO$111,MAR!$W22:$Z22)</f>
        <v>0</v>
      </c>
      <c r="BP188" s="446">
        <f>SUMIF(MAR!$G$157:$J$157,BP$111,MAR!$R22:$U22)+SUMIF(MAR!$G$157:$J$157,BP$111,MAR!$W22:$Z22)</f>
        <v>0</v>
      </c>
      <c r="BQ188" s="448">
        <f>SUMIF(MAR!$G$157:$J$157,BQ$111,MAR!$R22:$U22)+SUMIF(MAR!$G$157:$J$157,BQ$111,MAR!$W22:$Z22)</f>
        <v>0</v>
      </c>
      <c r="BR188" s="571"/>
      <c r="BS188" s="446"/>
      <c r="BT188" s="448"/>
      <c r="BU188" s="470"/>
      <c r="BV188" s="445">
        <f>SUMIF(MAR!$G$158:$J$158,BV$111,MAR!$R22:$U22)+SUMIF(MAR!$G$158:$J$158,BV$111,MAR!$W22:$Z22)</f>
        <v>0</v>
      </c>
      <c r="BW188" s="446">
        <f>SUMIF(MAR!$G$158:$J$158,BW$111,MAR!$R22:$U22)+SUMIF(MAR!$G$158:$J$158,BW$111,MAR!$W22:$Z22)</f>
        <v>0</v>
      </c>
      <c r="BX188" s="446">
        <f>SUMIF(MAR!$G$158:$J$158,BX$111,MAR!$R22:$U22)+SUMIF(MAR!$G$158:$J$158,BX$111,MAR!$W22:$Z22)</f>
        <v>0</v>
      </c>
      <c r="BY188" s="446">
        <f>SUMIF(MAR!$G$158:$J$158,BY$111,MAR!$R22:$U22)+SUMIF(MAR!$G$158:$J$158,BY$111,MAR!$W22:$Z22)</f>
        <v>0</v>
      </c>
      <c r="BZ188" s="446">
        <f>SUMIF(MAR!$G$158:$J$158,BZ$111,MAR!$R22:$U22)+SUMIF(MAR!$G$158:$J$158,BZ$111,MAR!$W22:$Z22)</f>
        <v>0</v>
      </c>
      <c r="CA188" s="446">
        <f>SUMIF(MAR!$G$158:$J$158,CA$111,MAR!$R22:$U22)+SUMIF(MAR!$G$158:$J$158,CA$111,MAR!$W22:$Z22)</f>
        <v>0</v>
      </c>
      <c r="CB188" s="448">
        <f>SUMIF(MAR!$G$158:$J$158,CB$111,MAR!$R22:$U22)+SUMIF(MAR!$G$158:$J$158,CB$111,MAR!$W22:$Z22)</f>
        <v>0</v>
      </c>
      <c r="CC188" s="571"/>
      <c r="CD188" s="448"/>
      <c r="CE188" s="92">
        <f t="shared" si="243"/>
        <v>0</v>
      </c>
      <c r="CF188" s="92">
        <f t="shared" si="244"/>
        <v>0</v>
      </c>
      <c r="CG188" s="151" t="str">
        <f t="shared" si="230"/>
        <v/>
      </c>
      <c r="CH188" s="92">
        <f t="shared" si="233"/>
        <v>0</v>
      </c>
      <c r="CI188" s="92" t="str">
        <f t="shared" si="245"/>
        <v/>
      </c>
      <c r="CJ188" s="1100">
        <f>MAR!AM22</f>
        <v>0</v>
      </c>
      <c r="CK188" s="445">
        <f>SUMIF(MAR!$G$155:$J$155,CK$112,MAR!$AN22:$AQ22)</f>
        <v>0</v>
      </c>
      <c r="CL188" s="446">
        <f>SUMIF(MAR!$G$155:$J$155,CL$112,MAR!$AN22:$AQ22)</f>
        <v>0</v>
      </c>
      <c r="CM188" s="447">
        <f>SUMIF(MAR!$G$155:$J$155,CM$112,MAR!$AN22:$AQ22)</f>
        <v>0</v>
      </c>
      <c r="CN188" s="448">
        <f>SUMIF(MAR!$G$155:$J$155,CN$112,MAR!$AN22:$AQ22)</f>
        <v>0</v>
      </c>
      <c r="CO188" s="1100">
        <f>MAR!AS22</f>
        <v>0</v>
      </c>
      <c r="CP188" s="445">
        <f>MAR!AT22</f>
        <v>0</v>
      </c>
      <c r="CQ188" s="446">
        <f>MAR!AU22</f>
        <v>0</v>
      </c>
      <c r="CR188" s="447">
        <f>MAR!AV22</f>
        <v>0</v>
      </c>
      <c r="CS188" s="448">
        <f>MAR!AW22</f>
        <v>0</v>
      </c>
      <c r="CT188" s="1100">
        <f>MAR!AY22</f>
        <v>0</v>
      </c>
      <c r="CU188" s="2"/>
    </row>
    <row r="189" spans="1:99" ht="14.25" hidden="1" customHeight="1" x14ac:dyDescent="0.2">
      <c r="A189" s="2"/>
      <c r="B189" s="151">
        <f t="shared" si="234"/>
        <v>45367</v>
      </c>
      <c r="C189" s="223">
        <f>IF(AND(E189&gt;(E$493-1),E189&lt;(I$493+1)),W$485,IF(ISERROR(HLOOKUP(E189,$E$486:$L$486,1,FALSE)),HLOOKUP(WEEKDAY(E189,2),IMPOSTAZIONI!$C$51:$P$56,6,FALSE),$W$484))</f>
        <v>0</v>
      </c>
      <c r="D189" s="103" t="str">
        <f t="shared" si="235"/>
        <v/>
      </c>
      <c r="E189" s="2380">
        <f t="shared" si="246"/>
        <v>45367</v>
      </c>
      <c r="F189" s="2381"/>
      <c r="G189" s="2325">
        <f>MAR!E23</f>
        <v>0</v>
      </c>
      <c r="H189" s="2326"/>
      <c r="I189" s="2327"/>
      <c r="J189" s="479" t="str">
        <f t="shared" si="231"/>
        <v/>
      </c>
      <c r="K189" s="480"/>
      <c r="L189" s="2319">
        <f t="shared" si="247"/>
        <v>11</v>
      </c>
      <c r="M189" s="2320"/>
      <c r="N189" s="478"/>
      <c r="O189" s="478"/>
      <c r="P189" s="478"/>
      <c r="Q189" s="2315">
        <f t="shared" si="236"/>
        <v>45367</v>
      </c>
      <c r="R189" s="2315"/>
      <c r="S189" s="478"/>
      <c r="T189" s="140">
        <f t="shared" si="237"/>
        <v>0</v>
      </c>
      <c r="U189" s="478"/>
      <c r="V189" s="478"/>
      <c r="W189" s="478"/>
      <c r="X189" s="478"/>
      <c r="Y189" s="478"/>
      <c r="Z189" s="478"/>
      <c r="AA189" s="478"/>
      <c r="AB189" s="478"/>
      <c r="AC189" s="478"/>
      <c r="AD189" s="478"/>
      <c r="AE189" s="478"/>
      <c r="AF189" s="478"/>
      <c r="AG189" s="140">
        <f t="shared" si="238"/>
        <v>0</v>
      </c>
      <c r="AH189" s="92" t="str">
        <f t="shared" si="239"/>
        <v/>
      </c>
      <c r="AI189" s="131">
        <f t="shared" si="240"/>
        <v>0</v>
      </c>
      <c r="AJ189" s="2"/>
      <c r="AK189" s="92">
        <f>IF(G189=G$481,0,IF(OR(G189&lt;&gt;0,CJ189&lt;&gt;0,C189="L"),COUNTIF(AK$114:AK188,"&gt;0")+1,0))</f>
        <v>0</v>
      </c>
      <c r="AL189" s="92" t="str">
        <f t="shared" si="241"/>
        <v/>
      </c>
      <c r="AM189" s="92" t="str">
        <f t="shared" si="242"/>
        <v/>
      </c>
      <c r="AN189" s="131">
        <f t="shared" si="232"/>
        <v>0</v>
      </c>
      <c r="AO189" s="447">
        <f>SUM(MAR!W23:Z23)</f>
        <v>0</v>
      </c>
      <c r="AP189" s="445">
        <f>SUMIF(MAR!$G$155:$J$155,AP$112,MAR!$R23:$U23)</f>
        <v>0</v>
      </c>
      <c r="AQ189" s="446">
        <f>SUMIF(MAR!$G$155:$J$155,AQ$112,MAR!$R23:$U23)</f>
        <v>0</v>
      </c>
      <c r="AR189" s="447">
        <f>SUMIF(MAR!$G$155:$J$155,AR$112,MAR!$R23:$U23)</f>
        <v>0</v>
      </c>
      <c r="AS189" s="448">
        <f>SUMIF(MAR!$G$155:$J$155,AS$112,MAR!$R23:$U23)</f>
        <v>0</v>
      </c>
      <c r="AT189" s="449">
        <f>MAR!AG23</f>
        <v>0</v>
      </c>
      <c r="AU189" s="445">
        <f>MAR!AH23</f>
        <v>0</v>
      </c>
      <c r="AV189" s="446">
        <f>MAR!AI23</f>
        <v>0</v>
      </c>
      <c r="AW189" s="447">
        <f>MAR!AJ23</f>
        <v>0</v>
      </c>
      <c r="AX189" s="448">
        <f>MAR!AK23</f>
        <v>0</v>
      </c>
      <c r="AY189" s="445">
        <f>SUMIF(MAR!$G$152:$J$152,"&gt;0",MAR!$W23:$Z23)</f>
        <v>0</v>
      </c>
      <c r="AZ189" s="1063">
        <f>SUM(MAR!AB23:AE23)</f>
        <v>0</v>
      </c>
      <c r="BA189" s="445">
        <f>SUMIF(MAR!$G$159:$J$159,BA$111,MAR!$R23:$U23)+SUMIF(MAR!$G$159:$J$159,BA$111,MAR!$W23:$Z23)</f>
        <v>0</v>
      </c>
      <c r="BB189" s="446">
        <f>SUMIF(MAR!$G$159:$J$159,BB$111,MAR!$R23:$U23)+SUMIF(MAR!$G$159:$J$159,BB$111,MAR!$W23:$Z23)</f>
        <v>0</v>
      </c>
      <c r="BC189" s="446">
        <f>SUMIF(MAR!$G$159:$J$159,BC$111,MAR!$R23:$U23)+SUMIF(MAR!$G$159:$J$159,BC$111,MAR!$W23:$Z23)</f>
        <v>0</v>
      </c>
      <c r="BD189" s="446">
        <f>SUMIF(MAR!$G$159:$J$159,BD$111,MAR!$R23:$U23)+SUMIF(MAR!$G$159:$J$159,BD$111,MAR!$W23:$Z23)</f>
        <v>0</v>
      </c>
      <c r="BE189" s="446">
        <f>SUMIF(MAR!$G$159:$J$159,BE$111,MAR!$R23:$U23)+SUMIF(MAR!$G$159:$J$159,BE$111,MAR!$W23:$Z23)</f>
        <v>0</v>
      </c>
      <c r="BF189" s="446">
        <f>SUMIF(MAR!$G$159:$J$159,BF$111,MAR!$R23:$U23)+SUMIF(MAR!$G$159:$J$159,BF$111,MAR!$W23:$Z23)</f>
        <v>0</v>
      </c>
      <c r="BG189" s="448">
        <f>SUMIF(MAR!$G$159:$J$159,BG$111,MAR!$R23:$U23)+SUMIF(MAR!$G$159:$J$159,BG$111,MAR!$W23:$Z23)</f>
        <v>0</v>
      </c>
      <c r="BH189" s="571"/>
      <c r="BI189" s="448"/>
      <c r="BJ189" s="470"/>
      <c r="BK189" s="445">
        <f>SUMIF(MAR!$G$157:$J$157,BK$111,MAR!$R23:$U23)+SUMIF(MAR!$G$157:$J$157,BK$111,MAR!$W23:$Z23)</f>
        <v>0</v>
      </c>
      <c r="BL189" s="446">
        <f>SUMIF(MAR!$G$157:$J$157,BL$111,MAR!$R23:$U23)+SUMIF(MAR!$G$157:$J$157,BL$111,MAR!$W23:$Z23)</f>
        <v>0</v>
      </c>
      <c r="BM189" s="446">
        <f>SUMIF(MAR!$G$157:$J$157,BM$111,MAR!$R23:$U23)+SUMIF(MAR!$G$157:$J$157,BM$111,MAR!$W23:$Z23)</f>
        <v>0</v>
      </c>
      <c r="BN189" s="446">
        <f>SUMIF(MAR!$G$157:$J$157,BN$111,MAR!$R23:$U23)+SUMIF(MAR!$G$157:$J$157,BN$111,MAR!$W23:$Z23)</f>
        <v>0</v>
      </c>
      <c r="BO189" s="446">
        <f>SUMIF(MAR!$G$157:$J$157,BO$111,MAR!$R23:$U23)+SUMIF(MAR!$G$157:$J$157,BO$111,MAR!$W23:$Z23)</f>
        <v>0</v>
      </c>
      <c r="BP189" s="446">
        <f>SUMIF(MAR!$G$157:$J$157,BP$111,MAR!$R23:$U23)+SUMIF(MAR!$G$157:$J$157,BP$111,MAR!$W23:$Z23)</f>
        <v>0</v>
      </c>
      <c r="BQ189" s="448">
        <f>SUMIF(MAR!$G$157:$J$157,BQ$111,MAR!$R23:$U23)+SUMIF(MAR!$G$157:$J$157,BQ$111,MAR!$W23:$Z23)</f>
        <v>0</v>
      </c>
      <c r="BR189" s="571"/>
      <c r="BS189" s="446"/>
      <c r="BT189" s="448"/>
      <c r="BU189" s="470"/>
      <c r="BV189" s="445">
        <f>SUMIF(MAR!$G$158:$J$158,BV$111,MAR!$R23:$U23)+SUMIF(MAR!$G$158:$J$158,BV$111,MAR!$W23:$Z23)</f>
        <v>0</v>
      </c>
      <c r="BW189" s="446">
        <f>SUMIF(MAR!$G$158:$J$158,BW$111,MAR!$R23:$U23)+SUMIF(MAR!$G$158:$J$158,BW$111,MAR!$W23:$Z23)</f>
        <v>0</v>
      </c>
      <c r="BX189" s="446">
        <f>SUMIF(MAR!$G$158:$J$158,BX$111,MAR!$R23:$U23)+SUMIF(MAR!$G$158:$J$158,BX$111,MAR!$W23:$Z23)</f>
        <v>0</v>
      </c>
      <c r="BY189" s="446">
        <f>SUMIF(MAR!$G$158:$J$158,BY$111,MAR!$R23:$U23)+SUMIF(MAR!$G$158:$J$158,BY$111,MAR!$W23:$Z23)</f>
        <v>0</v>
      </c>
      <c r="BZ189" s="446">
        <f>SUMIF(MAR!$G$158:$J$158,BZ$111,MAR!$R23:$U23)+SUMIF(MAR!$G$158:$J$158,BZ$111,MAR!$W23:$Z23)</f>
        <v>0</v>
      </c>
      <c r="CA189" s="446">
        <f>SUMIF(MAR!$G$158:$J$158,CA$111,MAR!$R23:$U23)+SUMIF(MAR!$G$158:$J$158,CA$111,MAR!$W23:$Z23)</f>
        <v>0</v>
      </c>
      <c r="CB189" s="448">
        <f>SUMIF(MAR!$G$158:$J$158,CB$111,MAR!$R23:$U23)+SUMIF(MAR!$G$158:$J$158,CB$111,MAR!$W23:$Z23)</f>
        <v>0</v>
      </c>
      <c r="CC189" s="571"/>
      <c r="CD189" s="448"/>
      <c r="CE189" s="92">
        <f t="shared" si="243"/>
        <v>0</v>
      </c>
      <c r="CF189" s="92">
        <f t="shared" si="244"/>
        <v>0</v>
      </c>
      <c r="CG189" s="151" t="str">
        <f t="shared" si="230"/>
        <v/>
      </c>
      <c r="CH189" s="92">
        <f t="shared" si="233"/>
        <v>0</v>
      </c>
      <c r="CI189" s="92" t="str">
        <f t="shared" si="245"/>
        <v/>
      </c>
      <c r="CJ189" s="1100">
        <f>MAR!AM23</f>
        <v>0</v>
      </c>
      <c r="CK189" s="445">
        <f>SUMIF(MAR!$G$155:$J$155,CK$112,MAR!$AN23:$AQ23)</f>
        <v>0</v>
      </c>
      <c r="CL189" s="446">
        <f>SUMIF(MAR!$G$155:$J$155,CL$112,MAR!$AN23:$AQ23)</f>
        <v>0</v>
      </c>
      <c r="CM189" s="447">
        <f>SUMIF(MAR!$G$155:$J$155,CM$112,MAR!$AN23:$AQ23)</f>
        <v>0</v>
      </c>
      <c r="CN189" s="448">
        <f>SUMIF(MAR!$G$155:$J$155,CN$112,MAR!$AN23:$AQ23)</f>
        <v>0</v>
      </c>
      <c r="CO189" s="1100">
        <f>MAR!AS23</f>
        <v>0</v>
      </c>
      <c r="CP189" s="445">
        <f>MAR!AT23</f>
        <v>0</v>
      </c>
      <c r="CQ189" s="446">
        <f>MAR!AU23</f>
        <v>0</v>
      </c>
      <c r="CR189" s="447">
        <f>MAR!AV23</f>
        <v>0</v>
      </c>
      <c r="CS189" s="448">
        <f>MAR!AW23</f>
        <v>0</v>
      </c>
      <c r="CT189" s="1100">
        <f>MAR!AY23</f>
        <v>0</v>
      </c>
      <c r="CU189" s="2"/>
    </row>
    <row r="190" spans="1:99" ht="14.25" hidden="1" customHeight="1" x14ac:dyDescent="0.2">
      <c r="A190" s="2"/>
      <c r="B190" s="151">
        <f t="shared" si="234"/>
        <v>45368</v>
      </c>
      <c r="C190" s="223">
        <f>IF(AND(E190&gt;(E$493-1),E190&lt;(I$493+1)),W$485,IF(ISERROR(HLOOKUP(E190,$E$486:$L$486,1,FALSE)),HLOOKUP(WEEKDAY(E190,2),IMPOSTAZIONI!$C$51:$P$56,6,FALSE),$W$484))</f>
        <v>0</v>
      </c>
      <c r="D190" s="103" t="str">
        <f t="shared" si="235"/>
        <v/>
      </c>
      <c r="E190" s="2380">
        <f t="shared" si="246"/>
        <v>45368</v>
      </c>
      <c r="F190" s="2381"/>
      <c r="G190" s="2325">
        <f>MAR!E24</f>
        <v>0</v>
      </c>
      <c r="H190" s="2326"/>
      <c r="I190" s="2327"/>
      <c r="J190" s="479" t="str">
        <f t="shared" si="231"/>
        <v/>
      </c>
      <c r="K190" s="480"/>
      <c r="L190" s="2321">
        <f t="shared" si="247"/>
        <v>11</v>
      </c>
      <c r="M190" s="2322"/>
      <c r="N190" s="478"/>
      <c r="O190" s="478"/>
      <c r="P190" s="478"/>
      <c r="Q190" s="2315">
        <f t="shared" si="236"/>
        <v>45368</v>
      </c>
      <c r="R190" s="2315"/>
      <c r="S190" s="478"/>
      <c r="T190" s="140">
        <f t="shared" si="237"/>
        <v>0</v>
      </c>
      <c r="U190" s="478"/>
      <c r="V190" s="478"/>
      <c r="W190" s="478"/>
      <c r="X190" s="478"/>
      <c r="Y190" s="478"/>
      <c r="Z190" s="478"/>
      <c r="AA190" s="478"/>
      <c r="AB190" s="478"/>
      <c r="AC190" s="478"/>
      <c r="AD190" s="478"/>
      <c r="AE190" s="478"/>
      <c r="AF190" s="478"/>
      <c r="AG190" s="140">
        <f t="shared" si="238"/>
        <v>0</v>
      </c>
      <c r="AH190" s="92" t="str">
        <f t="shared" si="239"/>
        <v/>
      </c>
      <c r="AI190" s="131">
        <f t="shared" si="240"/>
        <v>0</v>
      </c>
      <c r="AJ190" s="2"/>
      <c r="AK190" s="92">
        <f>IF(G190=G$481,0,IF(OR(G190&lt;&gt;0,CJ190&lt;&gt;0,C190="L"),COUNTIF(AK$114:AK189,"&gt;0")+1,0))</f>
        <v>0</v>
      </c>
      <c r="AL190" s="92" t="str">
        <f t="shared" si="241"/>
        <v/>
      </c>
      <c r="AM190" s="92" t="str">
        <f t="shared" si="242"/>
        <v/>
      </c>
      <c r="AN190" s="131">
        <f t="shared" si="232"/>
        <v>0</v>
      </c>
      <c r="AO190" s="447">
        <f>SUM(MAR!W24:Z24)</f>
        <v>0</v>
      </c>
      <c r="AP190" s="445">
        <f>SUMIF(MAR!$G$155:$J$155,AP$112,MAR!$R24:$U24)</f>
        <v>0</v>
      </c>
      <c r="AQ190" s="446">
        <f>SUMIF(MAR!$G$155:$J$155,AQ$112,MAR!$R24:$U24)</f>
        <v>0</v>
      </c>
      <c r="AR190" s="447">
        <f>SUMIF(MAR!$G$155:$J$155,AR$112,MAR!$R24:$U24)</f>
        <v>0</v>
      </c>
      <c r="AS190" s="448">
        <f>SUMIF(MAR!$G$155:$J$155,AS$112,MAR!$R24:$U24)</f>
        <v>0</v>
      </c>
      <c r="AT190" s="449">
        <f>MAR!AG24</f>
        <v>0</v>
      </c>
      <c r="AU190" s="445">
        <f>MAR!AH24</f>
        <v>0</v>
      </c>
      <c r="AV190" s="446">
        <f>MAR!AI24</f>
        <v>0</v>
      </c>
      <c r="AW190" s="447">
        <f>MAR!AJ24</f>
        <v>0</v>
      </c>
      <c r="AX190" s="448">
        <f>MAR!AK24</f>
        <v>0</v>
      </c>
      <c r="AY190" s="445">
        <f>SUMIF(MAR!$G$152:$J$152,"&gt;0",MAR!$W24:$Z24)</f>
        <v>0</v>
      </c>
      <c r="AZ190" s="1063">
        <f>SUM(MAR!AB24:AE24)</f>
        <v>0</v>
      </c>
      <c r="BA190" s="445">
        <f>SUMIF(MAR!$G$159:$J$159,BA$111,MAR!$R24:$U24)+SUMIF(MAR!$G$159:$J$159,BA$111,MAR!$W24:$Z24)</f>
        <v>0</v>
      </c>
      <c r="BB190" s="446">
        <f>SUMIF(MAR!$G$159:$J$159,BB$111,MAR!$R24:$U24)+SUMIF(MAR!$G$159:$J$159,BB$111,MAR!$W24:$Z24)</f>
        <v>0</v>
      </c>
      <c r="BC190" s="446">
        <f>SUMIF(MAR!$G$159:$J$159,BC$111,MAR!$R24:$U24)+SUMIF(MAR!$G$159:$J$159,BC$111,MAR!$W24:$Z24)</f>
        <v>0</v>
      </c>
      <c r="BD190" s="446">
        <f>SUMIF(MAR!$G$159:$J$159,BD$111,MAR!$R24:$U24)+SUMIF(MAR!$G$159:$J$159,BD$111,MAR!$W24:$Z24)</f>
        <v>0</v>
      </c>
      <c r="BE190" s="446">
        <f>SUMIF(MAR!$G$159:$J$159,BE$111,MAR!$R24:$U24)+SUMIF(MAR!$G$159:$J$159,BE$111,MAR!$W24:$Z24)</f>
        <v>0</v>
      </c>
      <c r="BF190" s="446">
        <f>SUMIF(MAR!$G$159:$J$159,BF$111,MAR!$R24:$U24)+SUMIF(MAR!$G$159:$J$159,BF$111,MAR!$W24:$Z24)</f>
        <v>0</v>
      </c>
      <c r="BG190" s="448">
        <f>SUMIF(MAR!$G$159:$J$159,BG$111,MAR!$R24:$U24)+SUMIF(MAR!$G$159:$J$159,BG$111,MAR!$W24:$Z24)</f>
        <v>0</v>
      </c>
      <c r="BH190" s="571"/>
      <c r="BI190" s="448"/>
      <c r="BJ190" s="470"/>
      <c r="BK190" s="445">
        <f>SUMIF(MAR!$G$157:$J$157,BK$111,MAR!$R24:$U24)+SUMIF(MAR!$G$157:$J$157,BK$111,MAR!$W24:$Z24)</f>
        <v>0</v>
      </c>
      <c r="BL190" s="446">
        <f>SUMIF(MAR!$G$157:$J$157,BL$111,MAR!$R24:$U24)+SUMIF(MAR!$G$157:$J$157,BL$111,MAR!$W24:$Z24)</f>
        <v>0</v>
      </c>
      <c r="BM190" s="446">
        <f>SUMIF(MAR!$G$157:$J$157,BM$111,MAR!$R24:$U24)+SUMIF(MAR!$G$157:$J$157,BM$111,MAR!$W24:$Z24)</f>
        <v>0</v>
      </c>
      <c r="BN190" s="446">
        <f>SUMIF(MAR!$G$157:$J$157,BN$111,MAR!$R24:$U24)+SUMIF(MAR!$G$157:$J$157,BN$111,MAR!$W24:$Z24)</f>
        <v>0</v>
      </c>
      <c r="BO190" s="446">
        <f>SUMIF(MAR!$G$157:$J$157,BO$111,MAR!$R24:$U24)+SUMIF(MAR!$G$157:$J$157,BO$111,MAR!$W24:$Z24)</f>
        <v>0</v>
      </c>
      <c r="BP190" s="446">
        <f>SUMIF(MAR!$G$157:$J$157,BP$111,MAR!$R24:$U24)+SUMIF(MAR!$G$157:$J$157,BP$111,MAR!$W24:$Z24)</f>
        <v>0</v>
      </c>
      <c r="BQ190" s="448">
        <f>SUMIF(MAR!$G$157:$J$157,BQ$111,MAR!$R24:$U24)+SUMIF(MAR!$G$157:$J$157,BQ$111,MAR!$W24:$Z24)</f>
        <v>0</v>
      </c>
      <c r="BR190" s="571"/>
      <c r="BS190" s="446"/>
      <c r="BT190" s="448"/>
      <c r="BU190" s="470"/>
      <c r="BV190" s="445">
        <f>SUMIF(MAR!$G$158:$J$158,BV$111,MAR!$R24:$U24)+SUMIF(MAR!$G$158:$J$158,BV$111,MAR!$W24:$Z24)</f>
        <v>0</v>
      </c>
      <c r="BW190" s="446">
        <f>SUMIF(MAR!$G$158:$J$158,BW$111,MAR!$R24:$U24)+SUMIF(MAR!$G$158:$J$158,BW$111,MAR!$W24:$Z24)</f>
        <v>0</v>
      </c>
      <c r="BX190" s="446">
        <f>SUMIF(MAR!$G$158:$J$158,BX$111,MAR!$R24:$U24)+SUMIF(MAR!$G$158:$J$158,BX$111,MAR!$W24:$Z24)</f>
        <v>0</v>
      </c>
      <c r="BY190" s="446">
        <f>SUMIF(MAR!$G$158:$J$158,BY$111,MAR!$R24:$U24)+SUMIF(MAR!$G$158:$J$158,BY$111,MAR!$W24:$Z24)</f>
        <v>0</v>
      </c>
      <c r="BZ190" s="446">
        <f>SUMIF(MAR!$G$158:$J$158,BZ$111,MAR!$R24:$U24)+SUMIF(MAR!$G$158:$J$158,BZ$111,MAR!$W24:$Z24)</f>
        <v>0</v>
      </c>
      <c r="CA190" s="446">
        <f>SUMIF(MAR!$G$158:$J$158,CA$111,MAR!$R24:$U24)+SUMIF(MAR!$G$158:$J$158,CA$111,MAR!$W24:$Z24)</f>
        <v>0</v>
      </c>
      <c r="CB190" s="448">
        <f>SUMIF(MAR!$G$158:$J$158,CB$111,MAR!$R24:$U24)+SUMIF(MAR!$G$158:$J$158,CB$111,MAR!$W24:$Z24)</f>
        <v>0</v>
      </c>
      <c r="CC190" s="571"/>
      <c r="CD190" s="448"/>
      <c r="CE190" s="92">
        <f t="shared" si="243"/>
        <v>0</v>
      </c>
      <c r="CF190" s="92">
        <f t="shared" si="244"/>
        <v>0</v>
      </c>
      <c r="CG190" s="151" t="str">
        <f t="shared" si="230"/>
        <v/>
      </c>
      <c r="CH190" s="92">
        <f t="shared" si="233"/>
        <v>0</v>
      </c>
      <c r="CI190" s="92" t="str">
        <f t="shared" si="245"/>
        <v/>
      </c>
      <c r="CJ190" s="1100">
        <f>MAR!AM24</f>
        <v>0</v>
      </c>
      <c r="CK190" s="445">
        <f>SUMIF(MAR!$G$155:$J$155,CK$112,MAR!$AN24:$AQ24)</f>
        <v>0</v>
      </c>
      <c r="CL190" s="446">
        <f>SUMIF(MAR!$G$155:$J$155,CL$112,MAR!$AN24:$AQ24)</f>
        <v>0</v>
      </c>
      <c r="CM190" s="447">
        <f>SUMIF(MAR!$G$155:$J$155,CM$112,MAR!$AN24:$AQ24)</f>
        <v>0</v>
      </c>
      <c r="CN190" s="448">
        <f>SUMIF(MAR!$G$155:$J$155,CN$112,MAR!$AN24:$AQ24)</f>
        <v>0</v>
      </c>
      <c r="CO190" s="1100">
        <f>MAR!AS24</f>
        <v>0</v>
      </c>
      <c r="CP190" s="445">
        <f>MAR!AT24</f>
        <v>0</v>
      </c>
      <c r="CQ190" s="446">
        <f>MAR!AU24</f>
        <v>0</v>
      </c>
      <c r="CR190" s="447">
        <f>MAR!AV24</f>
        <v>0</v>
      </c>
      <c r="CS190" s="448">
        <f>MAR!AW24</f>
        <v>0</v>
      </c>
      <c r="CT190" s="1100">
        <f>MAR!AY24</f>
        <v>0</v>
      </c>
      <c r="CU190" s="2"/>
    </row>
    <row r="191" spans="1:99" ht="14.25" hidden="1" customHeight="1" x14ac:dyDescent="0.2">
      <c r="A191" s="2"/>
      <c r="B191" s="151">
        <f t="shared" si="234"/>
        <v>45369</v>
      </c>
      <c r="C191" s="223">
        <f>IF(AND(E191&gt;(E$493-1),E191&lt;(I$493+1)),W$485,IF(ISERROR(HLOOKUP(E191,$E$486:$L$486,1,FALSE)),HLOOKUP(WEEKDAY(E191,2),IMPOSTAZIONI!$C$51:$P$56,6,FALSE),$W$484))</f>
        <v>0</v>
      </c>
      <c r="D191" s="103" t="str">
        <f t="shared" si="235"/>
        <v/>
      </c>
      <c r="E191" s="2380">
        <f t="shared" si="246"/>
        <v>45369</v>
      </c>
      <c r="F191" s="2381"/>
      <c r="G191" s="2325">
        <f>MAR!E25</f>
        <v>0</v>
      </c>
      <c r="H191" s="2326"/>
      <c r="I191" s="2327"/>
      <c r="J191" s="479" t="str">
        <f t="shared" si="231"/>
        <v/>
      </c>
      <c r="K191" s="480"/>
      <c r="L191" s="2323">
        <f t="shared" si="247"/>
        <v>12</v>
      </c>
      <c r="M191" s="2324"/>
      <c r="N191" s="478"/>
      <c r="O191" s="478"/>
      <c r="P191" s="478"/>
      <c r="Q191" s="2315">
        <f t="shared" si="236"/>
        <v>45369</v>
      </c>
      <c r="R191" s="2315"/>
      <c r="S191" s="478"/>
      <c r="T191" s="140">
        <f t="shared" si="237"/>
        <v>0</v>
      </c>
      <c r="U191" s="478"/>
      <c r="V191" s="478"/>
      <c r="W191" s="478"/>
      <c r="X191" s="478"/>
      <c r="Y191" s="478"/>
      <c r="Z191" s="478"/>
      <c r="AA191" s="478"/>
      <c r="AB191" s="478"/>
      <c r="AC191" s="478"/>
      <c r="AD191" s="478"/>
      <c r="AE191" s="478"/>
      <c r="AF191" s="478"/>
      <c r="AG191" s="140">
        <f t="shared" si="238"/>
        <v>0</v>
      </c>
      <c r="AH191" s="92" t="str">
        <f t="shared" si="239"/>
        <v/>
      </c>
      <c r="AI191" s="131">
        <f t="shared" si="240"/>
        <v>0</v>
      </c>
      <c r="AJ191" s="2"/>
      <c r="AK191" s="92">
        <f>IF(G191=G$481,0,IF(OR(G191&lt;&gt;0,CJ191&lt;&gt;0,C191="L"),COUNTIF(AK$114:AK190,"&gt;0")+1,0))</f>
        <v>0</v>
      </c>
      <c r="AL191" s="92" t="str">
        <f t="shared" si="241"/>
        <v/>
      </c>
      <c r="AM191" s="92" t="str">
        <f t="shared" si="242"/>
        <v/>
      </c>
      <c r="AN191" s="131">
        <f t="shared" si="232"/>
        <v>0</v>
      </c>
      <c r="AO191" s="447">
        <f>SUM(MAR!W25:Z25)</f>
        <v>0</v>
      </c>
      <c r="AP191" s="445">
        <f>SUMIF(MAR!$G$155:$J$155,AP$112,MAR!$R25:$U25)</f>
        <v>0</v>
      </c>
      <c r="AQ191" s="446">
        <f>SUMIF(MAR!$G$155:$J$155,AQ$112,MAR!$R25:$U25)</f>
        <v>0</v>
      </c>
      <c r="AR191" s="447">
        <f>SUMIF(MAR!$G$155:$J$155,AR$112,MAR!$R25:$U25)</f>
        <v>0</v>
      </c>
      <c r="AS191" s="448">
        <f>SUMIF(MAR!$G$155:$J$155,AS$112,MAR!$R25:$U25)</f>
        <v>0</v>
      </c>
      <c r="AT191" s="449">
        <f>MAR!AG25</f>
        <v>0</v>
      </c>
      <c r="AU191" s="445">
        <f>MAR!AH25</f>
        <v>0</v>
      </c>
      <c r="AV191" s="446">
        <f>MAR!AI25</f>
        <v>0</v>
      </c>
      <c r="AW191" s="447">
        <f>MAR!AJ25</f>
        <v>0</v>
      </c>
      <c r="AX191" s="448">
        <f>MAR!AK25</f>
        <v>0</v>
      </c>
      <c r="AY191" s="445">
        <f>SUMIF(MAR!$G$152:$J$152,"&gt;0",MAR!$W25:$Z25)</f>
        <v>0</v>
      </c>
      <c r="AZ191" s="1063">
        <f>SUM(MAR!AB25:AE25)</f>
        <v>0</v>
      </c>
      <c r="BA191" s="445">
        <f>SUMIF(MAR!$G$159:$J$159,BA$111,MAR!$R25:$U25)+SUMIF(MAR!$G$159:$J$159,BA$111,MAR!$W25:$Z25)</f>
        <v>0</v>
      </c>
      <c r="BB191" s="446">
        <f>SUMIF(MAR!$G$159:$J$159,BB$111,MAR!$R25:$U25)+SUMIF(MAR!$G$159:$J$159,BB$111,MAR!$W25:$Z25)</f>
        <v>0</v>
      </c>
      <c r="BC191" s="446">
        <f>SUMIF(MAR!$G$159:$J$159,BC$111,MAR!$R25:$U25)+SUMIF(MAR!$G$159:$J$159,BC$111,MAR!$W25:$Z25)</f>
        <v>0</v>
      </c>
      <c r="BD191" s="446">
        <f>SUMIF(MAR!$G$159:$J$159,BD$111,MAR!$R25:$U25)+SUMIF(MAR!$G$159:$J$159,BD$111,MAR!$W25:$Z25)</f>
        <v>0</v>
      </c>
      <c r="BE191" s="446">
        <f>SUMIF(MAR!$G$159:$J$159,BE$111,MAR!$R25:$U25)+SUMIF(MAR!$G$159:$J$159,BE$111,MAR!$W25:$Z25)</f>
        <v>0</v>
      </c>
      <c r="BF191" s="446">
        <f>SUMIF(MAR!$G$159:$J$159,BF$111,MAR!$R25:$U25)+SUMIF(MAR!$G$159:$J$159,BF$111,MAR!$W25:$Z25)</f>
        <v>0</v>
      </c>
      <c r="BG191" s="448">
        <f>SUMIF(MAR!$G$159:$J$159,BG$111,MAR!$R25:$U25)+SUMIF(MAR!$G$159:$J$159,BG$111,MAR!$W25:$Z25)</f>
        <v>0</v>
      </c>
      <c r="BH191" s="571"/>
      <c r="BI191" s="448"/>
      <c r="BJ191" s="470"/>
      <c r="BK191" s="445">
        <f>SUMIF(MAR!$G$157:$J$157,BK$111,MAR!$R25:$U25)+SUMIF(MAR!$G$157:$J$157,BK$111,MAR!$W25:$Z25)</f>
        <v>0</v>
      </c>
      <c r="BL191" s="446">
        <f>SUMIF(MAR!$G$157:$J$157,BL$111,MAR!$R25:$U25)+SUMIF(MAR!$G$157:$J$157,BL$111,MAR!$W25:$Z25)</f>
        <v>0</v>
      </c>
      <c r="BM191" s="446">
        <f>SUMIF(MAR!$G$157:$J$157,BM$111,MAR!$R25:$U25)+SUMIF(MAR!$G$157:$J$157,BM$111,MAR!$W25:$Z25)</f>
        <v>0</v>
      </c>
      <c r="BN191" s="446">
        <f>SUMIF(MAR!$G$157:$J$157,BN$111,MAR!$R25:$U25)+SUMIF(MAR!$G$157:$J$157,BN$111,MAR!$W25:$Z25)</f>
        <v>0</v>
      </c>
      <c r="BO191" s="446">
        <f>SUMIF(MAR!$G$157:$J$157,BO$111,MAR!$R25:$U25)+SUMIF(MAR!$G$157:$J$157,BO$111,MAR!$W25:$Z25)</f>
        <v>0</v>
      </c>
      <c r="BP191" s="446">
        <f>SUMIF(MAR!$G$157:$J$157,BP$111,MAR!$R25:$U25)+SUMIF(MAR!$G$157:$J$157,BP$111,MAR!$W25:$Z25)</f>
        <v>0</v>
      </c>
      <c r="BQ191" s="448">
        <f>SUMIF(MAR!$G$157:$J$157,BQ$111,MAR!$R25:$U25)+SUMIF(MAR!$G$157:$J$157,BQ$111,MAR!$W25:$Z25)</f>
        <v>0</v>
      </c>
      <c r="BR191" s="571"/>
      <c r="BS191" s="446"/>
      <c r="BT191" s="448"/>
      <c r="BU191" s="470"/>
      <c r="BV191" s="445">
        <f>SUMIF(MAR!$G$158:$J$158,BV$111,MAR!$R25:$U25)+SUMIF(MAR!$G$158:$J$158,BV$111,MAR!$W25:$Z25)</f>
        <v>0</v>
      </c>
      <c r="BW191" s="446">
        <f>SUMIF(MAR!$G$158:$J$158,BW$111,MAR!$R25:$U25)+SUMIF(MAR!$G$158:$J$158,BW$111,MAR!$W25:$Z25)</f>
        <v>0</v>
      </c>
      <c r="BX191" s="446">
        <f>SUMIF(MAR!$G$158:$J$158,BX$111,MAR!$R25:$U25)+SUMIF(MAR!$G$158:$J$158,BX$111,MAR!$W25:$Z25)</f>
        <v>0</v>
      </c>
      <c r="BY191" s="446">
        <f>SUMIF(MAR!$G$158:$J$158,BY$111,MAR!$R25:$U25)+SUMIF(MAR!$G$158:$J$158,BY$111,MAR!$W25:$Z25)</f>
        <v>0</v>
      </c>
      <c r="BZ191" s="446">
        <f>SUMIF(MAR!$G$158:$J$158,BZ$111,MAR!$R25:$U25)+SUMIF(MAR!$G$158:$J$158,BZ$111,MAR!$W25:$Z25)</f>
        <v>0</v>
      </c>
      <c r="CA191" s="446">
        <f>SUMIF(MAR!$G$158:$J$158,CA$111,MAR!$R25:$U25)+SUMIF(MAR!$G$158:$J$158,CA$111,MAR!$W25:$Z25)</f>
        <v>0</v>
      </c>
      <c r="CB191" s="448">
        <f>SUMIF(MAR!$G$158:$J$158,CB$111,MAR!$R25:$U25)+SUMIF(MAR!$G$158:$J$158,CB$111,MAR!$W25:$Z25)</f>
        <v>0</v>
      </c>
      <c r="CC191" s="571"/>
      <c r="CD191" s="448"/>
      <c r="CE191" s="92">
        <f t="shared" si="243"/>
        <v>0</v>
      </c>
      <c r="CF191" s="92">
        <f t="shared" si="244"/>
        <v>0</v>
      </c>
      <c r="CG191" s="151" t="str">
        <f t="shared" si="230"/>
        <v/>
      </c>
      <c r="CH191" s="92">
        <f t="shared" si="233"/>
        <v>0</v>
      </c>
      <c r="CI191" s="92" t="str">
        <f t="shared" si="245"/>
        <v/>
      </c>
      <c r="CJ191" s="1100">
        <f>MAR!AM25</f>
        <v>0</v>
      </c>
      <c r="CK191" s="445">
        <f>SUMIF(MAR!$G$155:$J$155,CK$112,MAR!$AN25:$AQ25)</f>
        <v>0</v>
      </c>
      <c r="CL191" s="446">
        <f>SUMIF(MAR!$G$155:$J$155,CL$112,MAR!$AN25:$AQ25)</f>
        <v>0</v>
      </c>
      <c r="CM191" s="447">
        <f>SUMIF(MAR!$G$155:$J$155,CM$112,MAR!$AN25:$AQ25)</f>
        <v>0</v>
      </c>
      <c r="CN191" s="448">
        <f>SUMIF(MAR!$G$155:$J$155,CN$112,MAR!$AN25:$AQ25)</f>
        <v>0</v>
      </c>
      <c r="CO191" s="1100">
        <f>MAR!AS25</f>
        <v>0</v>
      </c>
      <c r="CP191" s="445">
        <f>MAR!AT25</f>
        <v>0</v>
      </c>
      <c r="CQ191" s="446">
        <f>MAR!AU25</f>
        <v>0</v>
      </c>
      <c r="CR191" s="447">
        <f>MAR!AV25</f>
        <v>0</v>
      </c>
      <c r="CS191" s="448">
        <f>MAR!AW25</f>
        <v>0</v>
      </c>
      <c r="CT191" s="1100">
        <f>MAR!AY25</f>
        <v>0</v>
      </c>
      <c r="CU191" s="2"/>
    </row>
    <row r="192" spans="1:99" ht="14.25" hidden="1" customHeight="1" x14ac:dyDescent="0.2">
      <c r="A192" s="2"/>
      <c r="B192" s="151">
        <f t="shared" si="234"/>
        <v>45370</v>
      </c>
      <c r="C192" s="223">
        <f>IF(AND(E192&gt;(E$493-1),E192&lt;(I$493+1)),W$485,IF(ISERROR(HLOOKUP(E192,$E$486:$L$486,1,FALSE)),HLOOKUP(WEEKDAY(E192,2),IMPOSTAZIONI!$C$51:$P$56,6,FALSE),$W$484))</f>
        <v>0</v>
      </c>
      <c r="D192" s="103" t="str">
        <f t="shared" si="235"/>
        <v/>
      </c>
      <c r="E192" s="2380">
        <f t="shared" si="246"/>
        <v>45370</v>
      </c>
      <c r="F192" s="2381"/>
      <c r="G192" s="2325">
        <f>MAR!E26</f>
        <v>0</v>
      </c>
      <c r="H192" s="2326"/>
      <c r="I192" s="2327"/>
      <c r="J192" s="479" t="str">
        <f t="shared" si="231"/>
        <v/>
      </c>
      <c r="K192" s="480"/>
      <c r="L192" s="2319">
        <f t="shared" si="247"/>
        <v>12</v>
      </c>
      <c r="M192" s="2320"/>
      <c r="N192" s="478"/>
      <c r="O192" s="478"/>
      <c r="P192" s="478"/>
      <c r="Q192" s="2315">
        <f t="shared" si="236"/>
        <v>45370</v>
      </c>
      <c r="R192" s="2315"/>
      <c r="S192" s="478"/>
      <c r="T192" s="140">
        <f t="shared" si="237"/>
        <v>0</v>
      </c>
      <c r="U192" s="478"/>
      <c r="V192" s="478"/>
      <c r="W192" s="478"/>
      <c r="X192" s="478"/>
      <c r="Y192" s="478"/>
      <c r="Z192" s="478"/>
      <c r="AA192" s="478"/>
      <c r="AB192" s="478"/>
      <c r="AC192" s="478"/>
      <c r="AD192" s="478"/>
      <c r="AE192" s="478"/>
      <c r="AF192" s="478"/>
      <c r="AG192" s="140">
        <f t="shared" si="238"/>
        <v>0</v>
      </c>
      <c r="AH192" s="92" t="str">
        <f t="shared" si="239"/>
        <v/>
      </c>
      <c r="AI192" s="131">
        <f t="shared" si="240"/>
        <v>0</v>
      </c>
      <c r="AJ192" s="2"/>
      <c r="AK192" s="92">
        <f>IF(G192=G$481,0,IF(OR(G192&lt;&gt;0,CJ192&lt;&gt;0,C192="L"),COUNTIF(AK$114:AK191,"&gt;0")+1,0))</f>
        <v>0</v>
      </c>
      <c r="AL192" s="92" t="str">
        <f t="shared" si="241"/>
        <v/>
      </c>
      <c r="AM192" s="92" t="str">
        <f t="shared" si="242"/>
        <v/>
      </c>
      <c r="AN192" s="131">
        <f t="shared" si="232"/>
        <v>0</v>
      </c>
      <c r="AO192" s="447">
        <f>SUM(MAR!W26:Z26)</f>
        <v>0</v>
      </c>
      <c r="AP192" s="445">
        <f>SUMIF(MAR!$G$155:$J$155,AP$112,MAR!$R26:$U26)</f>
        <v>0</v>
      </c>
      <c r="AQ192" s="446">
        <f>SUMIF(MAR!$G$155:$J$155,AQ$112,MAR!$R26:$U26)</f>
        <v>0</v>
      </c>
      <c r="AR192" s="447">
        <f>SUMIF(MAR!$G$155:$J$155,AR$112,MAR!$R26:$U26)</f>
        <v>0</v>
      </c>
      <c r="AS192" s="448">
        <f>SUMIF(MAR!$G$155:$J$155,AS$112,MAR!$R26:$U26)</f>
        <v>0</v>
      </c>
      <c r="AT192" s="449">
        <f>MAR!AG26</f>
        <v>0</v>
      </c>
      <c r="AU192" s="445">
        <f>MAR!AH26</f>
        <v>0</v>
      </c>
      <c r="AV192" s="446">
        <f>MAR!AI26</f>
        <v>0</v>
      </c>
      <c r="AW192" s="447">
        <f>MAR!AJ26</f>
        <v>0</v>
      </c>
      <c r="AX192" s="448">
        <f>MAR!AK26</f>
        <v>0</v>
      </c>
      <c r="AY192" s="445">
        <f>SUMIF(MAR!$G$152:$J$152,"&gt;0",MAR!$W26:$Z26)</f>
        <v>0</v>
      </c>
      <c r="AZ192" s="1063">
        <f>SUM(MAR!AB26:AE26)</f>
        <v>0</v>
      </c>
      <c r="BA192" s="445">
        <f>SUMIF(MAR!$G$159:$J$159,BA$111,MAR!$R26:$U26)+SUMIF(MAR!$G$159:$J$159,BA$111,MAR!$W26:$Z26)</f>
        <v>0</v>
      </c>
      <c r="BB192" s="446">
        <f>SUMIF(MAR!$G$159:$J$159,BB$111,MAR!$R26:$U26)+SUMIF(MAR!$G$159:$J$159,BB$111,MAR!$W26:$Z26)</f>
        <v>0</v>
      </c>
      <c r="BC192" s="446">
        <f>SUMIF(MAR!$G$159:$J$159,BC$111,MAR!$R26:$U26)+SUMIF(MAR!$G$159:$J$159,BC$111,MAR!$W26:$Z26)</f>
        <v>0</v>
      </c>
      <c r="BD192" s="446">
        <f>SUMIF(MAR!$G$159:$J$159,BD$111,MAR!$R26:$U26)+SUMIF(MAR!$G$159:$J$159,BD$111,MAR!$W26:$Z26)</f>
        <v>0</v>
      </c>
      <c r="BE192" s="446">
        <f>SUMIF(MAR!$G$159:$J$159,BE$111,MAR!$R26:$U26)+SUMIF(MAR!$G$159:$J$159,BE$111,MAR!$W26:$Z26)</f>
        <v>0</v>
      </c>
      <c r="BF192" s="446">
        <f>SUMIF(MAR!$G$159:$J$159,BF$111,MAR!$R26:$U26)+SUMIF(MAR!$G$159:$J$159,BF$111,MAR!$W26:$Z26)</f>
        <v>0</v>
      </c>
      <c r="BG192" s="448">
        <f>SUMIF(MAR!$G$159:$J$159,BG$111,MAR!$R26:$U26)+SUMIF(MAR!$G$159:$J$159,BG$111,MAR!$W26:$Z26)</f>
        <v>0</v>
      </c>
      <c r="BH192" s="571"/>
      <c r="BI192" s="448"/>
      <c r="BJ192" s="470"/>
      <c r="BK192" s="445">
        <f>SUMIF(MAR!$G$157:$J$157,BK$111,MAR!$R26:$U26)+SUMIF(MAR!$G$157:$J$157,BK$111,MAR!$W26:$Z26)</f>
        <v>0</v>
      </c>
      <c r="BL192" s="446">
        <f>SUMIF(MAR!$G$157:$J$157,BL$111,MAR!$R26:$U26)+SUMIF(MAR!$G$157:$J$157,BL$111,MAR!$W26:$Z26)</f>
        <v>0</v>
      </c>
      <c r="BM192" s="446">
        <f>SUMIF(MAR!$G$157:$J$157,BM$111,MAR!$R26:$U26)+SUMIF(MAR!$G$157:$J$157,BM$111,MAR!$W26:$Z26)</f>
        <v>0</v>
      </c>
      <c r="BN192" s="446">
        <f>SUMIF(MAR!$G$157:$J$157,BN$111,MAR!$R26:$U26)+SUMIF(MAR!$G$157:$J$157,BN$111,MAR!$W26:$Z26)</f>
        <v>0</v>
      </c>
      <c r="BO192" s="446">
        <f>SUMIF(MAR!$G$157:$J$157,BO$111,MAR!$R26:$U26)+SUMIF(MAR!$G$157:$J$157,BO$111,MAR!$W26:$Z26)</f>
        <v>0</v>
      </c>
      <c r="BP192" s="446">
        <f>SUMIF(MAR!$G$157:$J$157,BP$111,MAR!$R26:$U26)+SUMIF(MAR!$G$157:$J$157,BP$111,MAR!$W26:$Z26)</f>
        <v>0</v>
      </c>
      <c r="BQ192" s="448">
        <f>SUMIF(MAR!$G$157:$J$157,BQ$111,MAR!$R26:$U26)+SUMIF(MAR!$G$157:$J$157,BQ$111,MAR!$W26:$Z26)</f>
        <v>0</v>
      </c>
      <c r="BR192" s="571"/>
      <c r="BS192" s="446"/>
      <c r="BT192" s="448"/>
      <c r="BU192" s="470"/>
      <c r="BV192" s="445">
        <f>SUMIF(MAR!$G$158:$J$158,BV$111,MAR!$R26:$U26)+SUMIF(MAR!$G$158:$J$158,BV$111,MAR!$W26:$Z26)</f>
        <v>0</v>
      </c>
      <c r="BW192" s="446">
        <f>SUMIF(MAR!$G$158:$J$158,BW$111,MAR!$R26:$U26)+SUMIF(MAR!$G$158:$J$158,BW$111,MAR!$W26:$Z26)</f>
        <v>0</v>
      </c>
      <c r="BX192" s="446">
        <f>SUMIF(MAR!$G$158:$J$158,BX$111,MAR!$R26:$U26)+SUMIF(MAR!$G$158:$J$158,BX$111,MAR!$W26:$Z26)</f>
        <v>0</v>
      </c>
      <c r="BY192" s="446">
        <f>SUMIF(MAR!$G$158:$J$158,BY$111,MAR!$R26:$U26)+SUMIF(MAR!$G$158:$J$158,BY$111,MAR!$W26:$Z26)</f>
        <v>0</v>
      </c>
      <c r="BZ192" s="446">
        <f>SUMIF(MAR!$G$158:$J$158,BZ$111,MAR!$R26:$U26)+SUMIF(MAR!$G$158:$J$158,BZ$111,MAR!$W26:$Z26)</f>
        <v>0</v>
      </c>
      <c r="CA192" s="446">
        <f>SUMIF(MAR!$G$158:$J$158,CA$111,MAR!$R26:$U26)+SUMIF(MAR!$G$158:$J$158,CA$111,MAR!$W26:$Z26)</f>
        <v>0</v>
      </c>
      <c r="CB192" s="448">
        <f>SUMIF(MAR!$G$158:$J$158,CB$111,MAR!$R26:$U26)+SUMIF(MAR!$G$158:$J$158,CB$111,MAR!$W26:$Z26)</f>
        <v>0</v>
      </c>
      <c r="CC192" s="571"/>
      <c r="CD192" s="448"/>
      <c r="CE192" s="92">
        <f t="shared" si="243"/>
        <v>0</v>
      </c>
      <c r="CF192" s="92">
        <f t="shared" si="244"/>
        <v>0</v>
      </c>
      <c r="CG192" s="151" t="str">
        <f t="shared" si="230"/>
        <v/>
      </c>
      <c r="CH192" s="92">
        <f t="shared" si="233"/>
        <v>0</v>
      </c>
      <c r="CI192" s="92" t="str">
        <f t="shared" si="245"/>
        <v/>
      </c>
      <c r="CJ192" s="1100">
        <f>MAR!AM26</f>
        <v>0</v>
      </c>
      <c r="CK192" s="445">
        <f>SUMIF(MAR!$G$155:$J$155,CK$112,MAR!$AN26:$AQ26)</f>
        <v>0</v>
      </c>
      <c r="CL192" s="446">
        <f>SUMIF(MAR!$G$155:$J$155,CL$112,MAR!$AN26:$AQ26)</f>
        <v>0</v>
      </c>
      <c r="CM192" s="447">
        <f>SUMIF(MAR!$G$155:$J$155,CM$112,MAR!$AN26:$AQ26)</f>
        <v>0</v>
      </c>
      <c r="CN192" s="448">
        <f>SUMIF(MAR!$G$155:$J$155,CN$112,MAR!$AN26:$AQ26)</f>
        <v>0</v>
      </c>
      <c r="CO192" s="1100">
        <f>MAR!AS26</f>
        <v>0</v>
      </c>
      <c r="CP192" s="445">
        <f>MAR!AT26</f>
        <v>0</v>
      </c>
      <c r="CQ192" s="446">
        <f>MAR!AU26</f>
        <v>0</v>
      </c>
      <c r="CR192" s="447">
        <f>MAR!AV26</f>
        <v>0</v>
      </c>
      <c r="CS192" s="448">
        <f>MAR!AW26</f>
        <v>0</v>
      </c>
      <c r="CT192" s="1100">
        <f>MAR!AY26</f>
        <v>0</v>
      </c>
      <c r="CU192" s="2"/>
    </row>
    <row r="193" spans="1:99" ht="14.25" hidden="1" customHeight="1" x14ac:dyDescent="0.2">
      <c r="A193" s="2"/>
      <c r="B193" s="151">
        <f t="shared" si="234"/>
        <v>45371</v>
      </c>
      <c r="C193" s="223">
        <f>IF(AND(E193&gt;(E$493-1),E193&lt;(I$493+1)),W$485,IF(ISERROR(HLOOKUP(E193,$E$486:$L$486,1,FALSE)),HLOOKUP(WEEKDAY(E193,2),IMPOSTAZIONI!$C$51:$P$56,6,FALSE),$W$484))</f>
        <v>0</v>
      </c>
      <c r="D193" s="103" t="str">
        <f t="shared" si="235"/>
        <v/>
      </c>
      <c r="E193" s="2380">
        <f t="shared" si="246"/>
        <v>45371</v>
      </c>
      <c r="F193" s="2381"/>
      <c r="G193" s="2325">
        <f>MAR!E27</f>
        <v>0</v>
      </c>
      <c r="H193" s="2326"/>
      <c r="I193" s="2327"/>
      <c r="J193" s="479" t="str">
        <f t="shared" si="231"/>
        <v/>
      </c>
      <c r="K193" s="480"/>
      <c r="L193" s="2319">
        <f t="shared" si="247"/>
        <v>12</v>
      </c>
      <c r="M193" s="2320"/>
      <c r="N193" s="478"/>
      <c r="O193" s="478"/>
      <c r="P193" s="478"/>
      <c r="Q193" s="2315">
        <f t="shared" si="236"/>
        <v>45371</v>
      </c>
      <c r="R193" s="2315"/>
      <c r="S193" s="478"/>
      <c r="T193" s="140">
        <f t="shared" si="237"/>
        <v>0</v>
      </c>
      <c r="U193" s="478"/>
      <c r="V193" s="478"/>
      <c r="W193" s="478"/>
      <c r="X193" s="478"/>
      <c r="Y193" s="478"/>
      <c r="Z193" s="478"/>
      <c r="AA193" s="478"/>
      <c r="AB193" s="478"/>
      <c r="AC193" s="478"/>
      <c r="AD193" s="478"/>
      <c r="AE193" s="478"/>
      <c r="AF193" s="478"/>
      <c r="AG193" s="140">
        <f t="shared" si="238"/>
        <v>0</v>
      </c>
      <c r="AH193" s="92" t="str">
        <f t="shared" si="239"/>
        <v/>
      </c>
      <c r="AI193" s="131">
        <f t="shared" si="240"/>
        <v>0</v>
      </c>
      <c r="AJ193" s="2"/>
      <c r="AK193" s="92">
        <f>IF(G193=G$481,0,IF(OR(G193&lt;&gt;0,CJ193&lt;&gt;0,C193="L"),COUNTIF(AK$114:AK192,"&gt;0")+1,0))</f>
        <v>0</v>
      </c>
      <c r="AL193" s="92" t="str">
        <f t="shared" si="241"/>
        <v/>
      </c>
      <c r="AM193" s="92" t="str">
        <f t="shared" si="242"/>
        <v/>
      </c>
      <c r="AN193" s="131">
        <f t="shared" si="232"/>
        <v>0</v>
      </c>
      <c r="AO193" s="447">
        <f>SUM(MAR!W27:Z27)</f>
        <v>0</v>
      </c>
      <c r="AP193" s="445">
        <f>SUMIF(MAR!$G$155:$J$155,AP$112,MAR!$R27:$U27)</f>
        <v>0</v>
      </c>
      <c r="AQ193" s="446">
        <f>SUMIF(MAR!$G$155:$J$155,AQ$112,MAR!$R27:$U27)</f>
        <v>0</v>
      </c>
      <c r="AR193" s="447">
        <f>SUMIF(MAR!$G$155:$J$155,AR$112,MAR!$R27:$U27)</f>
        <v>0</v>
      </c>
      <c r="AS193" s="448">
        <f>SUMIF(MAR!$G$155:$J$155,AS$112,MAR!$R27:$U27)</f>
        <v>0</v>
      </c>
      <c r="AT193" s="449">
        <f>MAR!AG27</f>
        <v>0</v>
      </c>
      <c r="AU193" s="445">
        <f>MAR!AH27</f>
        <v>0</v>
      </c>
      <c r="AV193" s="446">
        <f>MAR!AI27</f>
        <v>0</v>
      </c>
      <c r="AW193" s="447">
        <f>MAR!AJ27</f>
        <v>0</v>
      </c>
      <c r="AX193" s="448">
        <f>MAR!AK27</f>
        <v>0</v>
      </c>
      <c r="AY193" s="445">
        <f>SUMIF(MAR!$G$152:$J$152,"&gt;0",MAR!$W27:$Z27)</f>
        <v>0</v>
      </c>
      <c r="AZ193" s="1063">
        <f>SUM(MAR!AB27:AE27)</f>
        <v>0</v>
      </c>
      <c r="BA193" s="445">
        <f>SUMIF(MAR!$G$159:$J$159,BA$111,MAR!$R27:$U27)+SUMIF(MAR!$G$159:$J$159,BA$111,MAR!$W27:$Z27)</f>
        <v>0</v>
      </c>
      <c r="BB193" s="446">
        <f>SUMIF(MAR!$G$159:$J$159,BB$111,MAR!$R27:$U27)+SUMIF(MAR!$G$159:$J$159,BB$111,MAR!$W27:$Z27)</f>
        <v>0</v>
      </c>
      <c r="BC193" s="446">
        <f>SUMIF(MAR!$G$159:$J$159,BC$111,MAR!$R27:$U27)+SUMIF(MAR!$G$159:$J$159,BC$111,MAR!$W27:$Z27)</f>
        <v>0</v>
      </c>
      <c r="BD193" s="446">
        <f>SUMIF(MAR!$G$159:$J$159,BD$111,MAR!$R27:$U27)+SUMIF(MAR!$G$159:$J$159,BD$111,MAR!$W27:$Z27)</f>
        <v>0</v>
      </c>
      <c r="BE193" s="446">
        <f>SUMIF(MAR!$G$159:$J$159,BE$111,MAR!$R27:$U27)+SUMIF(MAR!$G$159:$J$159,BE$111,MAR!$W27:$Z27)</f>
        <v>0</v>
      </c>
      <c r="BF193" s="446">
        <f>SUMIF(MAR!$G$159:$J$159,BF$111,MAR!$R27:$U27)+SUMIF(MAR!$G$159:$J$159,BF$111,MAR!$W27:$Z27)</f>
        <v>0</v>
      </c>
      <c r="BG193" s="448">
        <f>SUMIF(MAR!$G$159:$J$159,BG$111,MAR!$R27:$U27)+SUMIF(MAR!$G$159:$J$159,BG$111,MAR!$W27:$Z27)</f>
        <v>0</v>
      </c>
      <c r="BH193" s="571"/>
      <c r="BI193" s="448"/>
      <c r="BJ193" s="470"/>
      <c r="BK193" s="445">
        <f>SUMIF(MAR!$G$157:$J$157,BK$111,MAR!$R27:$U27)+SUMIF(MAR!$G$157:$J$157,BK$111,MAR!$W27:$Z27)</f>
        <v>0</v>
      </c>
      <c r="BL193" s="446">
        <f>SUMIF(MAR!$G$157:$J$157,BL$111,MAR!$R27:$U27)+SUMIF(MAR!$G$157:$J$157,BL$111,MAR!$W27:$Z27)</f>
        <v>0</v>
      </c>
      <c r="BM193" s="446">
        <f>SUMIF(MAR!$G$157:$J$157,BM$111,MAR!$R27:$U27)+SUMIF(MAR!$G$157:$J$157,BM$111,MAR!$W27:$Z27)</f>
        <v>0</v>
      </c>
      <c r="BN193" s="446">
        <f>SUMIF(MAR!$G$157:$J$157,BN$111,MAR!$R27:$U27)+SUMIF(MAR!$G$157:$J$157,BN$111,MAR!$W27:$Z27)</f>
        <v>0</v>
      </c>
      <c r="BO193" s="446">
        <f>SUMIF(MAR!$G$157:$J$157,BO$111,MAR!$R27:$U27)+SUMIF(MAR!$G$157:$J$157,BO$111,MAR!$W27:$Z27)</f>
        <v>0</v>
      </c>
      <c r="BP193" s="446">
        <f>SUMIF(MAR!$G$157:$J$157,BP$111,MAR!$R27:$U27)+SUMIF(MAR!$G$157:$J$157,BP$111,MAR!$W27:$Z27)</f>
        <v>0</v>
      </c>
      <c r="BQ193" s="448">
        <f>SUMIF(MAR!$G$157:$J$157,BQ$111,MAR!$R27:$U27)+SUMIF(MAR!$G$157:$J$157,BQ$111,MAR!$W27:$Z27)</f>
        <v>0</v>
      </c>
      <c r="BR193" s="571"/>
      <c r="BS193" s="446"/>
      <c r="BT193" s="448"/>
      <c r="BU193" s="470"/>
      <c r="BV193" s="445">
        <f>SUMIF(MAR!$G$158:$J$158,BV$111,MAR!$R27:$U27)+SUMIF(MAR!$G$158:$J$158,BV$111,MAR!$W27:$Z27)</f>
        <v>0</v>
      </c>
      <c r="BW193" s="446">
        <f>SUMIF(MAR!$G$158:$J$158,BW$111,MAR!$R27:$U27)+SUMIF(MAR!$G$158:$J$158,BW$111,MAR!$W27:$Z27)</f>
        <v>0</v>
      </c>
      <c r="BX193" s="446">
        <f>SUMIF(MAR!$G$158:$J$158,BX$111,MAR!$R27:$U27)+SUMIF(MAR!$G$158:$J$158,BX$111,MAR!$W27:$Z27)</f>
        <v>0</v>
      </c>
      <c r="BY193" s="446">
        <f>SUMIF(MAR!$G$158:$J$158,BY$111,MAR!$R27:$U27)+SUMIF(MAR!$G$158:$J$158,BY$111,MAR!$W27:$Z27)</f>
        <v>0</v>
      </c>
      <c r="BZ193" s="446">
        <f>SUMIF(MAR!$G$158:$J$158,BZ$111,MAR!$R27:$U27)+SUMIF(MAR!$G$158:$J$158,BZ$111,MAR!$W27:$Z27)</f>
        <v>0</v>
      </c>
      <c r="CA193" s="446">
        <f>SUMIF(MAR!$G$158:$J$158,CA$111,MAR!$R27:$U27)+SUMIF(MAR!$G$158:$J$158,CA$111,MAR!$W27:$Z27)</f>
        <v>0</v>
      </c>
      <c r="CB193" s="448">
        <f>SUMIF(MAR!$G$158:$J$158,CB$111,MAR!$R27:$U27)+SUMIF(MAR!$G$158:$J$158,CB$111,MAR!$W27:$Z27)</f>
        <v>0</v>
      </c>
      <c r="CC193" s="571"/>
      <c r="CD193" s="448"/>
      <c r="CE193" s="92">
        <f t="shared" si="243"/>
        <v>0</v>
      </c>
      <c r="CF193" s="92">
        <f t="shared" si="244"/>
        <v>0</v>
      </c>
      <c r="CG193" s="151" t="str">
        <f t="shared" si="230"/>
        <v/>
      </c>
      <c r="CH193" s="92">
        <f t="shared" si="233"/>
        <v>0</v>
      </c>
      <c r="CI193" s="92" t="str">
        <f t="shared" si="245"/>
        <v/>
      </c>
      <c r="CJ193" s="1100">
        <f>MAR!AM27</f>
        <v>0</v>
      </c>
      <c r="CK193" s="445">
        <f>SUMIF(MAR!$G$155:$J$155,CK$112,MAR!$AN27:$AQ27)</f>
        <v>0</v>
      </c>
      <c r="CL193" s="446">
        <f>SUMIF(MAR!$G$155:$J$155,CL$112,MAR!$AN27:$AQ27)</f>
        <v>0</v>
      </c>
      <c r="CM193" s="447">
        <f>SUMIF(MAR!$G$155:$J$155,CM$112,MAR!$AN27:$AQ27)</f>
        <v>0</v>
      </c>
      <c r="CN193" s="448">
        <f>SUMIF(MAR!$G$155:$J$155,CN$112,MAR!$AN27:$AQ27)</f>
        <v>0</v>
      </c>
      <c r="CO193" s="1100">
        <f>MAR!AS27</f>
        <v>0</v>
      </c>
      <c r="CP193" s="445">
        <f>MAR!AT27</f>
        <v>0</v>
      </c>
      <c r="CQ193" s="446">
        <f>MAR!AU27</f>
        <v>0</v>
      </c>
      <c r="CR193" s="447">
        <f>MAR!AV27</f>
        <v>0</v>
      </c>
      <c r="CS193" s="448">
        <f>MAR!AW27</f>
        <v>0</v>
      </c>
      <c r="CT193" s="1100">
        <f>MAR!AY27</f>
        <v>0</v>
      </c>
      <c r="CU193" s="2"/>
    </row>
    <row r="194" spans="1:99" ht="14.25" hidden="1" customHeight="1" x14ac:dyDescent="0.2">
      <c r="A194" s="2"/>
      <c r="B194" s="151">
        <f t="shared" si="234"/>
        <v>45372</v>
      </c>
      <c r="C194" s="223">
        <f>IF(AND(E194&gt;(E$493-1),E194&lt;(I$493+1)),W$485,IF(ISERROR(HLOOKUP(E194,$E$486:$L$486,1,FALSE)),HLOOKUP(WEEKDAY(E194,2),IMPOSTAZIONI!$C$51:$P$56,6,FALSE),$W$484))</f>
        <v>0</v>
      </c>
      <c r="D194" s="103" t="str">
        <f t="shared" si="235"/>
        <v/>
      </c>
      <c r="E194" s="2380">
        <f t="shared" si="246"/>
        <v>45372</v>
      </c>
      <c r="F194" s="2381"/>
      <c r="G194" s="2325">
        <f>MAR!E28</f>
        <v>0</v>
      </c>
      <c r="H194" s="2326"/>
      <c r="I194" s="2327"/>
      <c r="J194" s="479" t="str">
        <f t="shared" si="231"/>
        <v/>
      </c>
      <c r="K194" s="480"/>
      <c r="L194" s="2319">
        <f t="shared" si="247"/>
        <v>12</v>
      </c>
      <c r="M194" s="2320"/>
      <c r="N194" s="478"/>
      <c r="O194" s="478"/>
      <c r="P194" s="478"/>
      <c r="Q194" s="2315">
        <f t="shared" si="236"/>
        <v>45372</v>
      </c>
      <c r="R194" s="2315"/>
      <c r="S194" s="478"/>
      <c r="T194" s="140">
        <f t="shared" si="237"/>
        <v>0</v>
      </c>
      <c r="U194" s="478"/>
      <c r="V194" s="478"/>
      <c r="W194" s="478"/>
      <c r="X194" s="478"/>
      <c r="Y194" s="478"/>
      <c r="Z194" s="478"/>
      <c r="AA194" s="478"/>
      <c r="AB194" s="478"/>
      <c r="AC194" s="478"/>
      <c r="AD194" s="478"/>
      <c r="AE194" s="478"/>
      <c r="AF194" s="478"/>
      <c r="AG194" s="140">
        <f t="shared" si="238"/>
        <v>0</v>
      </c>
      <c r="AH194" s="92" t="str">
        <f t="shared" si="239"/>
        <v/>
      </c>
      <c r="AI194" s="131">
        <f t="shared" si="240"/>
        <v>0</v>
      </c>
      <c r="AJ194" s="2"/>
      <c r="AK194" s="92">
        <f>IF(G194=G$481,0,IF(OR(G194&lt;&gt;0,CJ194&lt;&gt;0,C194="L"),COUNTIF(AK$114:AK193,"&gt;0")+1,0))</f>
        <v>0</v>
      </c>
      <c r="AL194" s="92" t="str">
        <f t="shared" si="241"/>
        <v/>
      </c>
      <c r="AM194" s="92" t="str">
        <f t="shared" si="242"/>
        <v/>
      </c>
      <c r="AN194" s="131">
        <f t="shared" si="232"/>
        <v>0</v>
      </c>
      <c r="AO194" s="447">
        <f>SUM(MAR!W28:Z28)</f>
        <v>0</v>
      </c>
      <c r="AP194" s="445">
        <f>SUMIF(MAR!$G$155:$J$155,AP$112,MAR!$R28:$U28)</f>
        <v>0</v>
      </c>
      <c r="AQ194" s="446">
        <f>SUMIF(MAR!$G$155:$J$155,AQ$112,MAR!$R28:$U28)</f>
        <v>0</v>
      </c>
      <c r="AR194" s="447">
        <f>SUMIF(MAR!$G$155:$J$155,AR$112,MAR!$R28:$U28)</f>
        <v>0</v>
      </c>
      <c r="AS194" s="448">
        <f>SUMIF(MAR!$G$155:$J$155,AS$112,MAR!$R28:$U28)</f>
        <v>0</v>
      </c>
      <c r="AT194" s="449">
        <f>MAR!AG28</f>
        <v>0</v>
      </c>
      <c r="AU194" s="445">
        <f>MAR!AH28</f>
        <v>0</v>
      </c>
      <c r="AV194" s="446">
        <f>MAR!AI28</f>
        <v>0</v>
      </c>
      <c r="AW194" s="447">
        <f>MAR!AJ28</f>
        <v>0</v>
      </c>
      <c r="AX194" s="448">
        <f>MAR!AK28</f>
        <v>0</v>
      </c>
      <c r="AY194" s="445">
        <f>SUMIF(MAR!$G$152:$J$152,"&gt;0",MAR!$W28:$Z28)</f>
        <v>0</v>
      </c>
      <c r="AZ194" s="1063">
        <f>SUM(MAR!AB28:AE28)</f>
        <v>0</v>
      </c>
      <c r="BA194" s="445">
        <f>SUMIF(MAR!$G$159:$J$159,BA$111,MAR!$R28:$U28)+SUMIF(MAR!$G$159:$J$159,BA$111,MAR!$W28:$Z28)</f>
        <v>0</v>
      </c>
      <c r="BB194" s="446">
        <f>SUMIF(MAR!$G$159:$J$159,BB$111,MAR!$R28:$U28)+SUMIF(MAR!$G$159:$J$159,BB$111,MAR!$W28:$Z28)</f>
        <v>0</v>
      </c>
      <c r="BC194" s="446">
        <f>SUMIF(MAR!$G$159:$J$159,BC$111,MAR!$R28:$U28)+SUMIF(MAR!$G$159:$J$159,BC$111,MAR!$W28:$Z28)</f>
        <v>0</v>
      </c>
      <c r="BD194" s="446">
        <f>SUMIF(MAR!$G$159:$J$159,BD$111,MAR!$R28:$U28)+SUMIF(MAR!$G$159:$J$159,BD$111,MAR!$W28:$Z28)</f>
        <v>0</v>
      </c>
      <c r="BE194" s="446">
        <f>SUMIF(MAR!$G$159:$J$159,BE$111,MAR!$R28:$U28)+SUMIF(MAR!$G$159:$J$159,BE$111,MAR!$W28:$Z28)</f>
        <v>0</v>
      </c>
      <c r="BF194" s="446">
        <f>SUMIF(MAR!$G$159:$J$159,BF$111,MAR!$R28:$U28)+SUMIF(MAR!$G$159:$J$159,BF$111,MAR!$W28:$Z28)</f>
        <v>0</v>
      </c>
      <c r="BG194" s="448">
        <f>SUMIF(MAR!$G$159:$J$159,BG$111,MAR!$R28:$U28)+SUMIF(MAR!$G$159:$J$159,BG$111,MAR!$W28:$Z28)</f>
        <v>0</v>
      </c>
      <c r="BH194" s="571"/>
      <c r="BI194" s="448"/>
      <c r="BJ194" s="470"/>
      <c r="BK194" s="445">
        <f>SUMIF(MAR!$G$157:$J$157,BK$111,MAR!$R28:$U28)+SUMIF(MAR!$G$157:$J$157,BK$111,MAR!$W28:$Z28)</f>
        <v>0</v>
      </c>
      <c r="BL194" s="446">
        <f>SUMIF(MAR!$G$157:$J$157,BL$111,MAR!$R28:$U28)+SUMIF(MAR!$G$157:$J$157,BL$111,MAR!$W28:$Z28)</f>
        <v>0</v>
      </c>
      <c r="BM194" s="446">
        <f>SUMIF(MAR!$G$157:$J$157,BM$111,MAR!$R28:$U28)+SUMIF(MAR!$G$157:$J$157,BM$111,MAR!$W28:$Z28)</f>
        <v>0</v>
      </c>
      <c r="BN194" s="446">
        <f>SUMIF(MAR!$G$157:$J$157,BN$111,MAR!$R28:$U28)+SUMIF(MAR!$G$157:$J$157,BN$111,MAR!$W28:$Z28)</f>
        <v>0</v>
      </c>
      <c r="BO194" s="446">
        <f>SUMIF(MAR!$G$157:$J$157,BO$111,MAR!$R28:$U28)+SUMIF(MAR!$G$157:$J$157,BO$111,MAR!$W28:$Z28)</f>
        <v>0</v>
      </c>
      <c r="BP194" s="446">
        <f>SUMIF(MAR!$G$157:$J$157,BP$111,MAR!$R28:$U28)+SUMIF(MAR!$G$157:$J$157,BP$111,MAR!$W28:$Z28)</f>
        <v>0</v>
      </c>
      <c r="BQ194" s="448">
        <f>SUMIF(MAR!$G$157:$J$157,BQ$111,MAR!$R28:$U28)+SUMIF(MAR!$G$157:$J$157,BQ$111,MAR!$W28:$Z28)</f>
        <v>0</v>
      </c>
      <c r="BR194" s="571"/>
      <c r="BS194" s="446"/>
      <c r="BT194" s="448"/>
      <c r="BU194" s="470"/>
      <c r="BV194" s="445">
        <f>SUMIF(MAR!$G$158:$J$158,BV$111,MAR!$R28:$U28)+SUMIF(MAR!$G$158:$J$158,BV$111,MAR!$W28:$Z28)</f>
        <v>0</v>
      </c>
      <c r="BW194" s="446">
        <f>SUMIF(MAR!$G$158:$J$158,BW$111,MAR!$R28:$U28)+SUMIF(MAR!$G$158:$J$158,BW$111,MAR!$W28:$Z28)</f>
        <v>0</v>
      </c>
      <c r="BX194" s="446">
        <f>SUMIF(MAR!$G$158:$J$158,BX$111,MAR!$R28:$U28)+SUMIF(MAR!$G$158:$J$158,BX$111,MAR!$W28:$Z28)</f>
        <v>0</v>
      </c>
      <c r="BY194" s="446">
        <f>SUMIF(MAR!$G$158:$J$158,BY$111,MAR!$R28:$U28)+SUMIF(MAR!$G$158:$J$158,BY$111,MAR!$W28:$Z28)</f>
        <v>0</v>
      </c>
      <c r="BZ194" s="446">
        <f>SUMIF(MAR!$G$158:$J$158,BZ$111,MAR!$R28:$U28)+SUMIF(MAR!$G$158:$J$158,BZ$111,MAR!$W28:$Z28)</f>
        <v>0</v>
      </c>
      <c r="CA194" s="446">
        <f>SUMIF(MAR!$G$158:$J$158,CA$111,MAR!$R28:$U28)+SUMIF(MAR!$G$158:$J$158,CA$111,MAR!$W28:$Z28)</f>
        <v>0</v>
      </c>
      <c r="CB194" s="448">
        <f>SUMIF(MAR!$G$158:$J$158,CB$111,MAR!$R28:$U28)+SUMIF(MAR!$G$158:$J$158,CB$111,MAR!$W28:$Z28)</f>
        <v>0</v>
      </c>
      <c r="CC194" s="571"/>
      <c r="CD194" s="448"/>
      <c r="CE194" s="92">
        <f t="shared" si="243"/>
        <v>0</v>
      </c>
      <c r="CF194" s="92">
        <f t="shared" si="244"/>
        <v>0</v>
      </c>
      <c r="CG194" s="151" t="str">
        <f t="shared" si="230"/>
        <v/>
      </c>
      <c r="CH194" s="92">
        <f t="shared" si="233"/>
        <v>0</v>
      </c>
      <c r="CI194" s="92" t="str">
        <f t="shared" si="245"/>
        <v/>
      </c>
      <c r="CJ194" s="1100">
        <f>MAR!AM28</f>
        <v>0</v>
      </c>
      <c r="CK194" s="445">
        <f>SUMIF(MAR!$G$155:$J$155,CK$112,MAR!$AN28:$AQ28)</f>
        <v>0</v>
      </c>
      <c r="CL194" s="446">
        <f>SUMIF(MAR!$G$155:$J$155,CL$112,MAR!$AN28:$AQ28)</f>
        <v>0</v>
      </c>
      <c r="CM194" s="447">
        <f>SUMIF(MAR!$G$155:$J$155,CM$112,MAR!$AN28:$AQ28)</f>
        <v>0</v>
      </c>
      <c r="CN194" s="448">
        <f>SUMIF(MAR!$G$155:$J$155,CN$112,MAR!$AN28:$AQ28)</f>
        <v>0</v>
      </c>
      <c r="CO194" s="1100">
        <f>MAR!AS28</f>
        <v>0</v>
      </c>
      <c r="CP194" s="445">
        <f>MAR!AT28</f>
        <v>0</v>
      </c>
      <c r="CQ194" s="446">
        <f>MAR!AU28</f>
        <v>0</v>
      </c>
      <c r="CR194" s="447">
        <f>MAR!AV28</f>
        <v>0</v>
      </c>
      <c r="CS194" s="448">
        <f>MAR!AW28</f>
        <v>0</v>
      </c>
      <c r="CT194" s="1100">
        <f>MAR!AY28</f>
        <v>0</v>
      </c>
      <c r="CU194" s="2"/>
    </row>
    <row r="195" spans="1:99" ht="14.25" hidden="1" customHeight="1" x14ac:dyDescent="0.2">
      <c r="A195" s="2"/>
      <c r="B195" s="151">
        <f t="shared" si="234"/>
        <v>45373</v>
      </c>
      <c r="C195" s="223">
        <f>IF(AND(E195&gt;(E$493-1),E195&lt;(I$493+1)),W$485,IF(ISERROR(HLOOKUP(E195,$E$486:$L$486,1,FALSE)),HLOOKUP(WEEKDAY(E195,2),IMPOSTAZIONI!$C$51:$P$56,6,FALSE),$W$484))</f>
        <v>0</v>
      </c>
      <c r="D195" s="103" t="str">
        <f t="shared" si="235"/>
        <v/>
      </c>
      <c r="E195" s="2380">
        <f t="shared" si="246"/>
        <v>45373</v>
      </c>
      <c r="F195" s="2381"/>
      <c r="G195" s="2325">
        <f>MAR!E29</f>
        <v>0</v>
      </c>
      <c r="H195" s="2326"/>
      <c r="I195" s="2327"/>
      <c r="J195" s="479" t="str">
        <f t="shared" si="231"/>
        <v/>
      </c>
      <c r="K195" s="480"/>
      <c r="L195" s="2319">
        <f t="shared" si="247"/>
        <v>12</v>
      </c>
      <c r="M195" s="2320"/>
      <c r="N195" s="478"/>
      <c r="O195" s="478"/>
      <c r="P195" s="478"/>
      <c r="Q195" s="2315">
        <f t="shared" si="236"/>
        <v>45373</v>
      </c>
      <c r="R195" s="2315"/>
      <c r="S195" s="478"/>
      <c r="T195" s="140">
        <f t="shared" si="237"/>
        <v>0</v>
      </c>
      <c r="U195" s="478"/>
      <c r="V195" s="478"/>
      <c r="W195" s="478"/>
      <c r="X195" s="478"/>
      <c r="Y195" s="478"/>
      <c r="Z195" s="478"/>
      <c r="AA195" s="478"/>
      <c r="AB195" s="478"/>
      <c r="AC195" s="478"/>
      <c r="AD195" s="478"/>
      <c r="AE195" s="478"/>
      <c r="AF195" s="478"/>
      <c r="AG195" s="140">
        <f t="shared" si="238"/>
        <v>0</v>
      </c>
      <c r="AH195" s="92" t="str">
        <f t="shared" si="239"/>
        <v/>
      </c>
      <c r="AI195" s="131">
        <f t="shared" si="240"/>
        <v>0</v>
      </c>
      <c r="AJ195" s="2"/>
      <c r="AK195" s="92">
        <f>IF(G195=G$481,0,IF(OR(G195&lt;&gt;0,CJ195&lt;&gt;0,C195="L"),COUNTIF(AK$114:AK194,"&gt;0")+1,0))</f>
        <v>0</v>
      </c>
      <c r="AL195" s="92" t="str">
        <f t="shared" si="241"/>
        <v/>
      </c>
      <c r="AM195" s="92" t="str">
        <f t="shared" si="242"/>
        <v/>
      </c>
      <c r="AN195" s="131">
        <f t="shared" si="232"/>
        <v>0</v>
      </c>
      <c r="AO195" s="447">
        <f>SUM(MAR!W29:Z29)</f>
        <v>0</v>
      </c>
      <c r="AP195" s="445">
        <f>SUMIF(MAR!$G$155:$J$155,AP$112,MAR!$R29:$U29)</f>
        <v>0</v>
      </c>
      <c r="AQ195" s="446">
        <f>SUMIF(MAR!$G$155:$J$155,AQ$112,MAR!$R29:$U29)</f>
        <v>0</v>
      </c>
      <c r="AR195" s="447">
        <f>SUMIF(MAR!$G$155:$J$155,AR$112,MAR!$R29:$U29)</f>
        <v>0</v>
      </c>
      <c r="AS195" s="448">
        <f>SUMIF(MAR!$G$155:$J$155,AS$112,MAR!$R29:$U29)</f>
        <v>0</v>
      </c>
      <c r="AT195" s="449">
        <f>MAR!AG29</f>
        <v>0</v>
      </c>
      <c r="AU195" s="445">
        <f>MAR!AH29</f>
        <v>0</v>
      </c>
      <c r="AV195" s="446">
        <f>MAR!AI29</f>
        <v>0</v>
      </c>
      <c r="AW195" s="447">
        <f>MAR!AJ29</f>
        <v>0</v>
      </c>
      <c r="AX195" s="448">
        <f>MAR!AK29</f>
        <v>0</v>
      </c>
      <c r="AY195" s="445">
        <f>SUMIF(MAR!$G$152:$J$152,"&gt;0",MAR!$W29:$Z29)</f>
        <v>0</v>
      </c>
      <c r="AZ195" s="1063">
        <f>SUM(MAR!AB29:AE29)</f>
        <v>0</v>
      </c>
      <c r="BA195" s="445">
        <f>SUMIF(MAR!$G$159:$J$159,BA$111,MAR!$R29:$U29)+SUMIF(MAR!$G$159:$J$159,BA$111,MAR!$W29:$Z29)</f>
        <v>0</v>
      </c>
      <c r="BB195" s="446">
        <f>SUMIF(MAR!$G$159:$J$159,BB$111,MAR!$R29:$U29)+SUMIF(MAR!$G$159:$J$159,BB$111,MAR!$W29:$Z29)</f>
        <v>0</v>
      </c>
      <c r="BC195" s="446">
        <f>SUMIF(MAR!$G$159:$J$159,BC$111,MAR!$R29:$U29)+SUMIF(MAR!$G$159:$J$159,BC$111,MAR!$W29:$Z29)</f>
        <v>0</v>
      </c>
      <c r="BD195" s="446">
        <f>SUMIF(MAR!$G$159:$J$159,BD$111,MAR!$R29:$U29)+SUMIF(MAR!$G$159:$J$159,BD$111,MAR!$W29:$Z29)</f>
        <v>0</v>
      </c>
      <c r="BE195" s="446">
        <f>SUMIF(MAR!$G$159:$J$159,BE$111,MAR!$R29:$U29)+SUMIF(MAR!$G$159:$J$159,BE$111,MAR!$W29:$Z29)</f>
        <v>0</v>
      </c>
      <c r="BF195" s="446">
        <f>SUMIF(MAR!$G$159:$J$159,BF$111,MAR!$R29:$U29)+SUMIF(MAR!$G$159:$J$159,BF$111,MAR!$W29:$Z29)</f>
        <v>0</v>
      </c>
      <c r="BG195" s="448">
        <f>SUMIF(MAR!$G$159:$J$159,BG$111,MAR!$R29:$U29)+SUMIF(MAR!$G$159:$J$159,BG$111,MAR!$W29:$Z29)</f>
        <v>0</v>
      </c>
      <c r="BH195" s="571"/>
      <c r="BI195" s="448"/>
      <c r="BJ195" s="470"/>
      <c r="BK195" s="445">
        <f>SUMIF(MAR!$G$157:$J$157,BK$111,MAR!$R29:$U29)+SUMIF(MAR!$G$157:$J$157,BK$111,MAR!$W29:$Z29)</f>
        <v>0</v>
      </c>
      <c r="BL195" s="446">
        <f>SUMIF(MAR!$G$157:$J$157,BL$111,MAR!$R29:$U29)+SUMIF(MAR!$G$157:$J$157,BL$111,MAR!$W29:$Z29)</f>
        <v>0</v>
      </c>
      <c r="BM195" s="446">
        <f>SUMIF(MAR!$G$157:$J$157,BM$111,MAR!$R29:$U29)+SUMIF(MAR!$G$157:$J$157,BM$111,MAR!$W29:$Z29)</f>
        <v>0</v>
      </c>
      <c r="BN195" s="446">
        <f>SUMIF(MAR!$G$157:$J$157,BN$111,MAR!$R29:$U29)+SUMIF(MAR!$G$157:$J$157,BN$111,MAR!$W29:$Z29)</f>
        <v>0</v>
      </c>
      <c r="BO195" s="446">
        <f>SUMIF(MAR!$G$157:$J$157,BO$111,MAR!$R29:$U29)+SUMIF(MAR!$G$157:$J$157,BO$111,MAR!$W29:$Z29)</f>
        <v>0</v>
      </c>
      <c r="BP195" s="446">
        <f>SUMIF(MAR!$G$157:$J$157,BP$111,MAR!$R29:$U29)+SUMIF(MAR!$G$157:$J$157,BP$111,MAR!$W29:$Z29)</f>
        <v>0</v>
      </c>
      <c r="BQ195" s="448">
        <f>SUMIF(MAR!$G$157:$J$157,BQ$111,MAR!$R29:$U29)+SUMIF(MAR!$G$157:$J$157,BQ$111,MAR!$W29:$Z29)</f>
        <v>0</v>
      </c>
      <c r="BR195" s="571"/>
      <c r="BS195" s="446"/>
      <c r="BT195" s="448"/>
      <c r="BU195" s="470"/>
      <c r="BV195" s="445">
        <f>SUMIF(MAR!$G$158:$J$158,BV$111,MAR!$R29:$U29)+SUMIF(MAR!$G$158:$J$158,BV$111,MAR!$W29:$Z29)</f>
        <v>0</v>
      </c>
      <c r="BW195" s="446">
        <f>SUMIF(MAR!$G$158:$J$158,BW$111,MAR!$R29:$U29)+SUMIF(MAR!$G$158:$J$158,BW$111,MAR!$W29:$Z29)</f>
        <v>0</v>
      </c>
      <c r="BX195" s="446">
        <f>SUMIF(MAR!$G$158:$J$158,BX$111,MAR!$R29:$U29)+SUMIF(MAR!$G$158:$J$158,BX$111,MAR!$W29:$Z29)</f>
        <v>0</v>
      </c>
      <c r="BY195" s="446">
        <f>SUMIF(MAR!$G$158:$J$158,BY$111,MAR!$R29:$U29)+SUMIF(MAR!$G$158:$J$158,BY$111,MAR!$W29:$Z29)</f>
        <v>0</v>
      </c>
      <c r="BZ195" s="446">
        <f>SUMIF(MAR!$G$158:$J$158,BZ$111,MAR!$R29:$U29)+SUMIF(MAR!$G$158:$J$158,BZ$111,MAR!$W29:$Z29)</f>
        <v>0</v>
      </c>
      <c r="CA195" s="446">
        <f>SUMIF(MAR!$G$158:$J$158,CA$111,MAR!$R29:$U29)+SUMIF(MAR!$G$158:$J$158,CA$111,MAR!$W29:$Z29)</f>
        <v>0</v>
      </c>
      <c r="CB195" s="448">
        <f>SUMIF(MAR!$G$158:$J$158,CB$111,MAR!$R29:$U29)+SUMIF(MAR!$G$158:$J$158,CB$111,MAR!$W29:$Z29)</f>
        <v>0</v>
      </c>
      <c r="CC195" s="571"/>
      <c r="CD195" s="448"/>
      <c r="CE195" s="92">
        <f t="shared" si="243"/>
        <v>0</v>
      </c>
      <c r="CF195" s="92">
        <f t="shared" si="244"/>
        <v>0</v>
      </c>
      <c r="CG195" s="151" t="str">
        <f t="shared" si="230"/>
        <v/>
      </c>
      <c r="CH195" s="92">
        <f t="shared" si="233"/>
        <v>0</v>
      </c>
      <c r="CI195" s="92" t="str">
        <f t="shared" si="245"/>
        <v/>
      </c>
      <c r="CJ195" s="1100">
        <f>MAR!AM29</f>
        <v>0</v>
      </c>
      <c r="CK195" s="445">
        <f>SUMIF(MAR!$G$155:$J$155,CK$112,MAR!$AN29:$AQ29)</f>
        <v>0</v>
      </c>
      <c r="CL195" s="446">
        <f>SUMIF(MAR!$G$155:$J$155,CL$112,MAR!$AN29:$AQ29)</f>
        <v>0</v>
      </c>
      <c r="CM195" s="447">
        <f>SUMIF(MAR!$G$155:$J$155,CM$112,MAR!$AN29:$AQ29)</f>
        <v>0</v>
      </c>
      <c r="CN195" s="448">
        <f>SUMIF(MAR!$G$155:$J$155,CN$112,MAR!$AN29:$AQ29)</f>
        <v>0</v>
      </c>
      <c r="CO195" s="1100">
        <f>MAR!AS29</f>
        <v>0</v>
      </c>
      <c r="CP195" s="445">
        <f>MAR!AT29</f>
        <v>0</v>
      </c>
      <c r="CQ195" s="446">
        <f>MAR!AU29</f>
        <v>0</v>
      </c>
      <c r="CR195" s="447">
        <f>MAR!AV29</f>
        <v>0</v>
      </c>
      <c r="CS195" s="448">
        <f>MAR!AW29</f>
        <v>0</v>
      </c>
      <c r="CT195" s="1100">
        <f>MAR!AY29</f>
        <v>0</v>
      </c>
      <c r="CU195" s="2"/>
    </row>
    <row r="196" spans="1:99" ht="14.25" hidden="1" customHeight="1" x14ac:dyDescent="0.2">
      <c r="A196" s="2"/>
      <c r="B196" s="151">
        <f t="shared" si="234"/>
        <v>45374</v>
      </c>
      <c r="C196" s="223">
        <f>IF(AND(E196&gt;(E$493-1),E196&lt;(I$493+1)),W$485,IF(ISERROR(HLOOKUP(E196,$E$486:$L$486,1,FALSE)),HLOOKUP(WEEKDAY(E196,2),IMPOSTAZIONI!$C$51:$P$56,6,FALSE),$W$484))</f>
        <v>0</v>
      </c>
      <c r="D196" s="103" t="str">
        <f t="shared" si="235"/>
        <v/>
      </c>
      <c r="E196" s="2380">
        <f t="shared" si="246"/>
        <v>45374</v>
      </c>
      <c r="F196" s="2381"/>
      <c r="G196" s="2325">
        <f>MAR!E30</f>
        <v>0</v>
      </c>
      <c r="H196" s="2326"/>
      <c r="I196" s="2327"/>
      <c r="J196" s="479" t="str">
        <f t="shared" si="231"/>
        <v/>
      </c>
      <c r="K196" s="480"/>
      <c r="L196" s="2319">
        <f t="shared" si="247"/>
        <v>12</v>
      </c>
      <c r="M196" s="2320"/>
      <c r="N196" s="478"/>
      <c r="O196" s="478"/>
      <c r="P196" s="478"/>
      <c r="Q196" s="2315">
        <f t="shared" si="236"/>
        <v>45374</v>
      </c>
      <c r="R196" s="2315"/>
      <c r="S196" s="478"/>
      <c r="T196" s="140">
        <f t="shared" si="237"/>
        <v>0</v>
      </c>
      <c r="U196" s="478"/>
      <c r="V196" s="478"/>
      <c r="W196" s="478"/>
      <c r="X196" s="478"/>
      <c r="Y196" s="478"/>
      <c r="Z196" s="478"/>
      <c r="AA196" s="478"/>
      <c r="AB196" s="478"/>
      <c r="AC196" s="478"/>
      <c r="AD196" s="478"/>
      <c r="AE196" s="478"/>
      <c r="AF196" s="478"/>
      <c r="AG196" s="140">
        <f t="shared" si="238"/>
        <v>0</v>
      </c>
      <c r="AH196" s="92" t="str">
        <f t="shared" si="239"/>
        <v/>
      </c>
      <c r="AI196" s="131">
        <f t="shared" si="240"/>
        <v>0</v>
      </c>
      <c r="AJ196" s="2"/>
      <c r="AK196" s="92">
        <f>IF(G196=G$481,0,IF(OR(G196&lt;&gt;0,CJ196&lt;&gt;0,C196="L"),COUNTIF(AK$114:AK195,"&gt;0")+1,0))</f>
        <v>0</v>
      </c>
      <c r="AL196" s="92" t="str">
        <f t="shared" si="241"/>
        <v/>
      </c>
      <c r="AM196" s="92" t="str">
        <f t="shared" si="242"/>
        <v/>
      </c>
      <c r="AN196" s="131">
        <f t="shared" si="232"/>
        <v>0</v>
      </c>
      <c r="AO196" s="447">
        <f>SUM(MAR!W30:Z30)</f>
        <v>0</v>
      </c>
      <c r="AP196" s="445">
        <f>SUMIF(MAR!$G$155:$J$155,AP$112,MAR!$R30:$U30)</f>
        <v>0</v>
      </c>
      <c r="AQ196" s="446">
        <f>SUMIF(MAR!$G$155:$J$155,AQ$112,MAR!$R30:$U30)</f>
        <v>0</v>
      </c>
      <c r="AR196" s="447">
        <f>SUMIF(MAR!$G$155:$J$155,AR$112,MAR!$R30:$U30)</f>
        <v>0</v>
      </c>
      <c r="AS196" s="448">
        <f>SUMIF(MAR!$G$155:$J$155,AS$112,MAR!$R30:$U30)</f>
        <v>0</v>
      </c>
      <c r="AT196" s="449">
        <f>MAR!AG30</f>
        <v>0</v>
      </c>
      <c r="AU196" s="445">
        <f>MAR!AH30</f>
        <v>0</v>
      </c>
      <c r="AV196" s="446">
        <f>MAR!AI30</f>
        <v>0</v>
      </c>
      <c r="AW196" s="447">
        <f>MAR!AJ30</f>
        <v>0</v>
      </c>
      <c r="AX196" s="448">
        <f>MAR!AK30</f>
        <v>0</v>
      </c>
      <c r="AY196" s="445">
        <f>SUMIF(MAR!$G$152:$J$152,"&gt;0",MAR!$W30:$Z30)</f>
        <v>0</v>
      </c>
      <c r="AZ196" s="1063">
        <f>SUM(MAR!AB30:AE30)</f>
        <v>0</v>
      </c>
      <c r="BA196" s="445">
        <f>SUMIF(MAR!$G$159:$J$159,BA$111,MAR!$R30:$U30)+SUMIF(MAR!$G$159:$J$159,BA$111,MAR!$W30:$Z30)</f>
        <v>0</v>
      </c>
      <c r="BB196" s="446">
        <f>SUMIF(MAR!$G$159:$J$159,BB$111,MAR!$R30:$U30)+SUMIF(MAR!$G$159:$J$159,BB$111,MAR!$W30:$Z30)</f>
        <v>0</v>
      </c>
      <c r="BC196" s="446">
        <f>SUMIF(MAR!$G$159:$J$159,BC$111,MAR!$R30:$U30)+SUMIF(MAR!$G$159:$J$159,BC$111,MAR!$W30:$Z30)</f>
        <v>0</v>
      </c>
      <c r="BD196" s="446">
        <f>SUMIF(MAR!$G$159:$J$159,BD$111,MAR!$R30:$U30)+SUMIF(MAR!$G$159:$J$159,BD$111,MAR!$W30:$Z30)</f>
        <v>0</v>
      </c>
      <c r="BE196" s="446">
        <f>SUMIF(MAR!$G$159:$J$159,BE$111,MAR!$R30:$U30)+SUMIF(MAR!$G$159:$J$159,BE$111,MAR!$W30:$Z30)</f>
        <v>0</v>
      </c>
      <c r="BF196" s="446">
        <f>SUMIF(MAR!$G$159:$J$159,BF$111,MAR!$R30:$U30)+SUMIF(MAR!$G$159:$J$159,BF$111,MAR!$W30:$Z30)</f>
        <v>0</v>
      </c>
      <c r="BG196" s="448">
        <f>SUMIF(MAR!$G$159:$J$159,BG$111,MAR!$R30:$U30)+SUMIF(MAR!$G$159:$J$159,BG$111,MAR!$W30:$Z30)</f>
        <v>0</v>
      </c>
      <c r="BH196" s="571"/>
      <c r="BI196" s="448"/>
      <c r="BJ196" s="470"/>
      <c r="BK196" s="445">
        <f>SUMIF(MAR!$G$157:$J$157,BK$111,MAR!$R30:$U30)+SUMIF(MAR!$G$157:$J$157,BK$111,MAR!$W30:$Z30)</f>
        <v>0</v>
      </c>
      <c r="BL196" s="446">
        <f>SUMIF(MAR!$G$157:$J$157,BL$111,MAR!$R30:$U30)+SUMIF(MAR!$G$157:$J$157,BL$111,MAR!$W30:$Z30)</f>
        <v>0</v>
      </c>
      <c r="BM196" s="446">
        <f>SUMIF(MAR!$G$157:$J$157,BM$111,MAR!$R30:$U30)+SUMIF(MAR!$G$157:$J$157,BM$111,MAR!$W30:$Z30)</f>
        <v>0</v>
      </c>
      <c r="BN196" s="446">
        <f>SUMIF(MAR!$G$157:$J$157,BN$111,MAR!$R30:$U30)+SUMIF(MAR!$G$157:$J$157,BN$111,MAR!$W30:$Z30)</f>
        <v>0</v>
      </c>
      <c r="BO196" s="446">
        <f>SUMIF(MAR!$G$157:$J$157,BO$111,MAR!$R30:$U30)+SUMIF(MAR!$G$157:$J$157,BO$111,MAR!$W30:$Z30)</f>
        <v>0</v>
      </c>
      <c r="BP196" s="446">
        <f>SUMIF(MAR!$G$157:$J$157,BP$111,MAR!$R30:$U30)+SUMIF(MAR!$G$157:$J$157,BP$111,MAR!$W30:$Z30)</f>
        <v>0</v>
      </c>
      <c r="BQ196" s="448">
        <f>SUMIF(MAR!$G$157:$J$157,BQ$111,MAR!$R30:$U30)+SUMIF(MAR!$G$157:$J$157,BQ$111,MAR!$W30:$Z30)</f>
        <v>0</v>
      </c>
      <c r="BR196" s="571"/>
      <c r="BS196" s="446"/>
      <c r="BT196" s="448"/>
      <c r="BU196" s="470"/>
      <c r="BV196" s="445">
        <f>SUMIF(MAR!$G$158:$J$158,BV$111,MAR!$R30:$U30)+SUMIF(MAR!$G$158:$J$158,BV$111,MAR!$W30:$Z30)</f>
        <v>0</v>
      </c>
      <c r="BW196" s="446">
        <f>SUMIF(MAR!$G$158:$J$158,BW$111,MAR!$R30:$U30)+SUMIF(MAR!$G$158:$J$158,BW$111,MAR!$W30:$Z30)</f>
        <v>0</v>
      </c>
      <c r="BX196" s="446">
        <f>SUMIF(MAR!$G$158:$J$158,BX$111,MAR!$R30:$U30)+SUMIF(MAR!$G$158:$J$158,BX$111,MAR!$W30:$Z30)</f>
        <v>0</v>
      </c>
      <c r="BY196" s="446">
        <f>SUMIF(MAR!$G$158:$J$158,BY$111,MAR!$R30:$U30)+SUMIF(MAR!$G$158:$J$158,BY$111,MAR!$W30:$Z30)</f>
        <v>0</v>
      </c>
      <c r="BZ196" s="446">
        <f>SUMIF(MAR!$G$158:$J$158,BZ$111,MAR!$R30:$U30)+SUMIF(MAR!$G$158:$J$158,BZ$111,MAR!$W30:$Z30)</f>
        <v>0</v>
      </c>
      <c r="CA196" s="446">
        <f>SUMIF(MAR!$G$158:$J$158,CA$111,MAR!$R30:$U30)+SUMIF(MAR!$G$158:$J$158,CA$111,MAR!$W30:$Z30)</f>
        <v>0</v>
      </c>
      <c r="CB196" s="448">
        <f>SUMIF(MAR!$G$158:$J$158,CB$111,MAR!$R30:$U30)+SUMIF(MAR!$G$158:$J$158,CB$111,MAR!$W30:$Z30)</f>
        <v>0</v>
      </c>
      <c r="CC196" s="571"/>
      <c r="CD196" s="448"/>
      <c r="CE196" s="92">
        <f t="shared" si="243"/>
        <v>0</v>
      </c>
      <c r="CF196" s="92">
        <f t="shared" si="244"/>
        <v>0</v>
      </c>
      <c r="CG196" s="151" t="str">
        <f t="shared" si="230"/>
        <v/>
      </c>
      <c r="CH196" s="92">
        <f t="shared" si="233"/>
        <v>0</v>
      </c>
      <c r="CI196" s="92" t="str">
        <f t="shared" si="245"/>
        <v/>
      </c>
      <c r="CJ196" s="1100">
        <f>MAR!AM30</f>
        <v>0</v>
      </c>
      <c r="CK196" s="445">
        <f>SUMIF(MAR!$G$155:$J$155,CK$112,MAR!$AN30:$AQ30)</f>
        <v>0</v>
      </c>
      <c r="CL196" s="446">
        <f>SUMIF(MAR!$G$155:$J$155,CL$112,MAR!$AN30:$AQ30)</f>
        <v>0</v>
      </c>
      <c r="CM196" s="447">
        <f>SUMIF(MAR!$G$155:$J$155,CM$112,MAR!$AN30:$AQ30)</f>
        <v>0</v>
      </c>
      <c r="CN196" s="448">
        <f>SUMIF(MAR!$G$155:$J$155,CN$112,MAR!$AN30:$AQ30)</f>
        <v>0</v>
      </c>
      <c r="CO196" s="1100">
        <f>MAR!AS30</f>
        <v>0</v>
      </c>
      <c r="CP196" s="445">
        <f>MAR!AT30</f>
        <v>0</v>
      </c>
      <c r="CQ196" s="446">
        <f>MAR!AU30</f>
        <v>0</v>
      </c>
      <c r="CR196" s="447">
        <f>MAR!AV30</f>
        <v>0</v>
      </c>
      <c r="CS196" s="448">
        <f>MAR!AW30</f>
        <v>0</v>
      </c>
      <c r="CT196" s="1100">
        <f>MAR!AY30</f>
        <v>0</v>
      </c>
      <c r="CU196" s="2"/>
    </row>
    <row r="197" spans="1:99" ht="14.25" hidden="1" customHeight="1" x14ac:dyDescent="0.2">
      <c r="A197" s="2"/>
      <c r="B197" s="151">
        <f t="shared" si="234"/>
        <v>45375</v>
      </c>
      <c r="C197" s="223">
        <f>IF(AND(E197&gt;(E$493-1),E197&lt;(I$493+1)),W$485,IF(ISERROR(HLOOKUP(E197,$E$486:$L$486,1,FALSE)),HLOOKUP(WEEKDAY(E197,2),IMPOSTAZIONI!$C$51:$P$56,6,FALSE),$W$484))</f>
        <v>0</v>
      </c>
      <c r="D197" s="103" t="str">
        <f t="shared" si="235"/>
        <v/>
      </c>
      <c r="E197" s="2380">
        <f t="shared" si="246"/>
        <v>45375</v>
      </c>
      <c r="F197" s="2381"/>
      <c r="G197" s="2325">
        <f>MAR!E31</f>
        <v>0</v>
      </c>
      <c r="H197" s="2326"/>
      <c r="I197" s="2327"/>
      <c r="J197" s="479" t="str">
        <f t="shared" si="231"/>
        <v/>
      </c>
      <c r="K197" s="480"/>
      <c r="L197" s="2321">
        <f t="shared" si="247"/>
        <v>12</v>
      </c>
      <c r="M197" s="2322"/>
      <c r="N197" s="478"/>
      <c r="O197" s="478"/>
      <c r="P197" s="478"/>
      <c r="Q197" s="2315">
        <f t="shared" si="236"/>
        <v>45375</v>
      </c>
      <c r="R197" s="2315"/>
      <c r="S197" s="478"/>
      <c r="T197" s="140">
        <f t="shared" si="237"/>
        <v>0</v>
      </c>
      <c r="U197" s="478"/>
      <c r="V197" s="478"/>
      <c r="W197" s="478"/>
      <c r="X197" s="478"/>
      <c r="Y197" s="478"/>
      <c r="Z197" s="478"/>
      <c r="AA197" s="478"/>
      <c r="AB197" s="478"/>
      <c r="AC197" s="478"/>
      <c r="AD197" s="478"/>
      <c r="AE197" s="478"/>
      <c r="AF197" s="478"/>
      <c r="AG197" s="140">
        <f t="shared" si="238"/>
        <v>0</v>
      </c>
      <c r="AH197" s="92" t="str">
        <f t="shared" si="239"/>
        <v/>
      </c>
      <c r="AI197" s="131">
        <f t="shared" si="240"/>
        <v>0</v>
      </c>
      <c r="AJ197" s="2"/>
      <c r="AK197" s="92">
        <f>IF(G197=G$481,0,IF(OR(G197&lt;&gt;0,CJ197&lt;&gt;0,C197="L"),COUNTIF(AK$114:AK196,"&gt;0")+1,0))</f>
        <v>0</v>
      </c>
      <c r="AL197" s="92" t="str">
        <f t="shared" si="241"/>
        <v/>
      </c>
      <c r="AM197" s="92" t="str">
        <f t="shared" si="242"/>
        <v/>
      </c>
      <c r="AN197" s="131">
        <f t="shared" si="232"/>
        <v>0</v>
      </c>
      <c r="AO197" s="447">
        <f>SUM(MAR!W31:Z31)</f>
        <v>0</v>
      </c>
      <c r="AP197" s="445">
        <f>SUMIF(MAR!$G$155:$J$155,AP$112,MAR!$R31:$U31)</f>
        <v>0</v>
      </c>
      <c r="AQ197" s="446">
        <f>SUMIF(MAR!$G$155:$J$155,AQ$112,MAR!$R31:$U31)</f>
        <v>0</v>
      </c>
      <c r="AR197" s="447">
        <f>SUMIF(MAR!$G$155:$J$155,AR$112,MAR!$R31:$U31)</f>
        <v>0</v>
      </c>
      <c r="AS197" s="448">
        <f>SUMIF(MAR!$G$155:$J$155,AS$112,MAR!$R31:$U31)</f>
        <v>0</v>
      </c>
      <c r="AT197" s="449">
        <f>MAR!AG31</f>
        <v>0</v>
      </c>
      <c r="AU197" s="445">
        <f>MAR!AH31</f>
        <v>0</v>
      </c>
      <c r="AV197" s="446">
        <f>MAR!AI31</f>
        <v>0</v>
      </c>
      <c r="AW197" s="447">
        <f>MAR!AJ31</f>
        <v>0</v>
      </c>
      <c r="AX197" s="448">
        <f>MAR!AK31</f>
        <v>0</v>
      </c>
      <c r="AY197" s="445">
        <f>SUMIF(MAR!$G$152:$J$152,"&gt;0",MAR!$W31:$Z31)</f>
        <v>0</v>
      </c>
      <c r="AZ197" s="1063">
        <f>SUM(MAR!AB31:AE31)</f>
        <v>0</v>
      </c>
      <c r="BA197" s="445">
        <f>SUMIF(MAR!$G$159:$J$159,BA$111,MAR!$R31:$U31)+SUMIF(MAR!$G$159:$J$159,BA$111,MAR!$W31:$Z31)</f>
        <v>0</v>
      </c>
      <c r="BB197" s="446">
        <f>SUMIF(MAR!$G$159:$J$159,BB$111,MAR!$R31:$U31)+SUMIF(MAR!$G$159:$J$159,BB$111,MAR!$W31:$Z31)</f>
        <v>0</v>
      </c>
      <c r="BC197" s="446">
        <f>SUMIF(MAR!$G$159:$J$159,BC$111,MAR!$R31:$U31)+SUMIF(MAR!$G$159:$J$159,BC$111,MAR!$W31:$Z31)</f>
        <v>0</v>
      </c>
      <c r="BD197" s="446">
        <f>SUMIF(MAR!$G$159:$J$159,BD$111,MAR!$R31:$U31)+SUMIF(MAR!$G$159:$J$159,BD$111,MAR!$W31:$Z31)</f>
        <v>0</v>
      </c>
      <c r="BE197" s="446">
        <f>SUMIF(MAR!$G$159:$J$159,BE$111,MAR!$R31:$U31)+SUMIF(MAR!$G$159:$J$159,BE$111,MAR!$W31:$Z31)</f>
        <v>0</v>
      </c>
      <c r="BF197" s="446">
        <f>SUMIF(MAR!$G$159:$J$159,BF$111,MAR!$R31:$U31)+SUMIF(MAR!$G$159:$J$159,BF$111,MAR!$W31:$Z31)</f>
        <v>0</v>
      </c>
      <c r="BG197" s="448">
        <f>SUMIF(MAR!$G$159:$J$159,BG$111,MAR!$R31:$U31)+SUMIF(MAR!$G$159:$J$159,BG$111,MAR!$W31:$Z31)</f>
        <v>0</v>
      </c>
      <c r="BH197" s="571"/>
      <c r="BI197" s="448"/>
      <c r="BJ197" s="470"/>
      <c r="BK197" s="445">
        <f>SUMIF(MAR!$G$157:$J$157,BK$111,MAR!$R31:$U31)+SUMIF(MAR!$G$157:$J$157,BK$111,MAR!$W31:$Z31)</f>
        <v>0</v>
      </c>
      <c r="BL197" s="446">
        <f>SUMIF(MAR!$G$157:$J$157,BL$111,MAR!$R31:$U31)+SUMIF(MAR!$G$157:$J$157,BL$111,MAR!$W31:$Z31)</f>
        <v>0</v>
      </c>
      <c r="BM197" s="446">
        <f>SUMIF(MAR!$G$157:$J$157,BM$111,MAR!$R31:$U31)+SUMIF(MAR!$G$157:$J$157,BM$111,MAR!$W31:$Z31)</f>
        <v>0</v>
      </c>
      <c r="BN197" s="446">
        <f>SUMIF(MAR!$G$157:$J$157,BN$111,MAR!$R31:$U31)+SUMIF(MAR!$G$157:$J$157,BN$111,MAR!$W31:$Z31)</f>
        <v>0</v>
      </c>
      <c r="BO197" s="446">
        <f>SUMIF(MAR!$G$157:$J$157,BO$111,MAR!$R31:$U31)+SUMIF(MAR!$G$157:$J$157,BO$111,MAR!$W31:$Z31)</f>
        <v>0</v>
      </c>
      <c r="BP197" s="446">
        <f>SUMIF(MAR!$G$157:$J$157,BP$111,MAR!$R31:$U31)+SUMIF(MAR!$G$157:$J$157,BP$111,MAR!$W31:$Z31)</f>
        <v>0</v>
      </c>
      <c r="BQ197" s="448">
        <f>SUMIF(MAR!$G$157:$J$157,BQ$111,MAR!$R31:$U31)+SUMIF(MAR!$G$157:$J$157,BQ$111,MAR!$W31:$Z31)</f>
        <v>0</v>
      </c>
      <c r="BR197" s="571"/>
      <c r="BS197" s="446"/>
      <c r="BT197" s="448"/>
      <c r="BU197" s="470"/>
      <c r="BV197" s="445">
        <f>SUMIF(MAR!$G$158:$J$158,BV$111,MAR!$R31:$U31)+SUMIF(MAR!$G$158:$J$158,BV$111,MAR!$W31:$Z31)</f>
        <v>0</v>
      </c>
      <c r="BW197" s="446">
        <f>SUMIF(MAR!$G$158:$J$158,BW$111,MAR!$R31:$U31)+SUMIF(MAR!$G$158:$J$158,BW$111,MAR!$W31:$Z31)</f>
        <v>0</v>
      </c>
      <c r="BX197" s="446">
        <f>SUMIF(MAR!$G$158:$J$158,BX$111,MAR!$R31:$U31)+SUMIF(MAR!$G$158:$J$158,BX$111,MAR!$W31:$Z31)</f>
        <v>0</v>
      </c>
      <c r="BY197" s="446">
        <f>SUMIF(MAR!$G$158:$J$158,BY$111,MAR!$R31:$U31)+SUMIF(MAR!$G$158:$J$158,BY$111,MAR!$W31:$Z31)</f>
        <v>0</v>
      </c>
      <c r="BZ197" s="446">
        <f>SUMIF(MAR!$G$158:$J$158,BZ$111,MAR!$R31:$U31)+SUMIF(MAR!$G$158:$J$158,BZ$111,MAR!$W31:$Z31)</f>
        <v>0</v>
      </c>
      <c r="CA197" s="446">
        <f>SUMIF(MAR!$G$158:$J$158,CA$111,MAR!$R31:$U31)+SUMIF(MAR!$G$158:$J$158,CA$111,MAR!$W31:$Z31)</f>
        <v>0</v>
      </c>
      <c r="CB197" s="448">
        <f>SUMIF(MAR!$G$158:$J$158,CB$111,MAR!$R31:$U31)+SUMIF(MAR!$G$158:$J$158,CB$111,MAR!$W31:$Z31)</f>
        <v>0</v>
      </c>
      <c r="CC197" s="571"/>
      <c r="CD197" s="448"/>
      <c r="CE197" s="92">
        <f t="shared" si="243"/>
        <v>0</v>
      </c>
      <c r="CF197" s="92">
        <f t="shared" si="244"/>
        <v>0</v>
      </c>
      <c r="CG197" s="151" t="str">
        <f t="shared" si="230"/>
        <v/>
      </c>
      <c r="CH197" s="92">
        <f t="shared" si="233"/>
        <v>0</v>
      </c>
      <c r="CI197" s="92" t="str">
        <f t="shared" si="245"/>
        <v/>
      </c>
      <c r="CJ197" s="1100">
        <f>MAR!AM31</f>
        <v>0</v>
      </c>
      <c r="CK197" s="445">
        <f>SUMIF(MAR!$G$155:$J$155,CK$112,MAR!$AN31:$AQ31)</f>
        <v>0</v>
      </c>
      <c r="CL197" s="446">
        <f>SUMIF(MAR!$G$155:$J$155,CL$112,MAR!$AN31:$AQ31)</f>
        <v>0</v>
      </c>
      <c r="CM197" s="447">
        <f>SUMIF(MAR!$G$155:$J$155,CM$112,MAR!$AN31:$AQ31)</f>
        <v>0</v>
      </c>
      <c r="CN197" s="448">
        <f>SUMIF(MAR!$G$155:$J$155,CN$112,MAR!$AN31:$AQ31)</f>
        <v>0</v>
      </c>
      <c r="CO197" s="1100">
        <f>MAR!AS31</f>
        <v>0</v>
      </c>
      <c r="CP197" s="445">
        <f>MAR!AT31</f>
        <v>0</v>
      </c>
      <c r="CQ197" s="446">
        <f>MAR!AU31</f>
        <v>0</v>
      </c>
      <c r="CR197" s="447">
        <f>MAR!AV31</f>
        <v>0</v>
      </c>
      <c r="CS197" s="448">
        <f>MAR!AW31</f>
        <v>0</v>
      </c>
      <c r="CT197" s="1100">
        <f>MAR!AY31</f>
        <v>0</v>
      </c>
      <c r="CU197" s="2"/>
    </row>
    <row r="198" spans="1:99" ht="14.25" hidden="1" customHeight="1" x14ac:dyDescent="0.2">
      <c r="A198" s="2"/>
      <c r="B198" s="151">
        <f t="shared" si="234"/>
        <v>45376</v>
      </c>
      <c r="C198" s="223">
        <f>IF(AND(E198&gt;(E$493-1),E198&lt;(I$493+1)),W$485,IF(ISERROR(HLOOKUP(E198,$E$486:$L$486,1,FALSE)),HLOOKUP(WEEKDAY(E198,2),IMPOSTAZIONI!$C$51:$P$56,6,FALSE),$W$484))</f>
        <v>0</v>
      </c>
      <c r="D198" s="103" t="str">
        <f t="shared" si="235"/>
        <v/>
      </c>
      <c r="E198" s="2380">
        <f t="shared" si="246"/>
        <v>45376</v>
      </c>
      <c r="F198" s="2381"/>
      <c r="G198" s="2325">
        <f>MAR!E32</f>
        <v>0</v>
      </c>
      <c r="H198" s="2326"/>
      <c r="I198" s="2327"/>
      <c r="J198" s="479" t="str">
        <f t="shared" si="231"/>
        <v/>
      </c>
      <c r="K198" s="480"/>
      <c r="L198" s="2323">
        <f t="shared" si="247"/>
        <v>13</v>
      </c>
      <c r="M198" s="2324"/>
      <c r="N198" s="478"/>
      <c r="O198" s="478"/>
      <c r="P198" s="478"/>
      <c r="Q198" s="2315">
        <f t="shared" si="236"/>
        <v>45376</v>
      </c>
      <c r="R198" s="2315"/>
      <c r="S198" s="478"/>
      <c r="T198" s="140">
        <f t="shared" si="237"/>
        <v>0</v>
      </c>
      <c r="U198" s="478"/>
      <c r="V198" s="478"/>
      <c r="W198" s="478"/>
      <c r="X198" s="478"/>
      <c r="Y198" s="478"/>
      <c r="Z198" s="478"/>
      <c r="AA198" s="478"/>
      <c r="AB198" s="478"/>
      <c r="AC198" s="478"/>
      <c r="AD198" s="478"/>
      <c r="AE198" s="478"/>
      <c r="AF198" s="478"/>
      <c r="AG198" s="140">
        <f t="shared" si="238"/>
        <v>0</v>
      </c>
      <c r="AH198" s="92" t="str">
        <f t="shared" si="239"/>
        <v/>
      </c>
      <c r="AI198" s="131">
        <f t="shared" si="240"/>
        <v>0</v>
      </c>
      <c r="AJ198" s="2"/>
      <c r="AK198" s="92">
        <f>IF(G198=G$481,0,IF(OR(G198&lt;&gt;0,CJ198&lt;&gt;0,C198="L"),COUNTIF(AK$114:AK197,"&gt;0")+1,0))</f>
        <v>0</v>
      </c>
      <c r="AL198" s="92" t="str">
        <f t="shared" si="241"/>
        <v/>
      </c>
      <c r="AM198" s="92" t="str">
        <f t="shared" si="242"/>
        <v/>
      </c>
      <c r="AN198" s="131">
        <f t="shared" si="232"/>
        <v>0</v>
      </c>
      <c r="AO198" s="447">
        <f>SUM(MAR!W32:Z32)</f>
        <v>0</v>
      </c>
      <c r="AP198" s="445">
        <f>SUMIF(MAR!$G$155:$J$155,AP$112,MAR!$R32:$U32)</f>
        <v>0</v>
      </c>
      <c r="AQ198" s="446">
        <f>SUMIF(MAR!$G$155:$J$155,AQ$112,MAR!$R32:$U32)</f>
        <v>0</v>
      </c>
      <c r="AR198" s="447">
        <f>SUMIF(MAR!$G$155:$J$155,AR$112,MAR!$R32:$U32)</f>
        <v>0</v>
      </c>
      <c r="AS198" s="448">
        <f>SUMIF(MAR!$G$155:$J$155,AS$112,MAR!$R32:$U32)</f>
        <v>0</v>
      </c>
      <c r="AT198" s="449">
        <f>MAR!AG32</f>
        <v>0</v>
      </c>
      <c r="AU198" s="445">
        <f>MAR!AH32</f>
        <v>0</v>
      </c>
      <c r="AV198" s="446">
        <f>MAR!AI32</f>
        <v>0</v>
      </c>
      <c r="AW198" s="447">
        <f>MAR!AJ32</f>
        <v>0</v>
      </c>
      <c r="AX198" s="448">
        <f>MAR!AK32</f>
        <v>0</v>
      </c>
      <c r="AY198" s="445">
        <f>SUMIF(MAR!$G$152:$J$152,"&gt;0",MAR!$W32:$Z32)</f>
        <v>0</v>
      </c>
      <c r="AZ198" s="1063">
        <f>SUM(MAR!AB32:AE32)</f>
        <v>0</v>
      </c>
      <c r="BA198" s="445">
        <f>SUMIF(MAR!$G$159:$J$159,BA$111,MAR!$R32:$U32)+SUMIF(MAR!$G$159:$J$159,BA$111,MAR!$W32:$Z32)</f>
        <v>0</v>
      </c>
      <c r="BB198" s="446">
        <f>SUMIF(MAR!$G$159:$J$159,BB$111,MAR!$R32:$U32)+SUMIF(MAR!$G$159:$J$159,BB$111,MAR!$W32:$Z32)</f>
        <v>0</v>
      </c>
      <c r="BC198" s="446">
        <f>SUMIF(MAR!$G$159:$J$159,BC$111,MAR!$R32:$U32)+SUMIF(MAR!$G$159:$J$159,BC$111,MAR!$W32:$Z32)</f>
        <v>0</v>
      </c>
      <c r="BD198" s="446">
        <f>SUMIF(MAR!$G$159:$J$159,BD$111,MAR!$R32:$U32)+SUMIF(MAR!$G$159:$J$159,BD$111,MAR!$W32:$Z32)</f>
        <v>0</v>
      </c>
      <c r="BE198" s="446">
        <f>SUMIF(MAR!$G$159:$J$159,BE$111,MAR!$R32:$U32)+SUMIF(MAR!$G$159:$J$159,BE$111,MAR!$W32:$Z32)</f>
        <v>0</v>
      </c>
      <c r="BF198" s="446">
        <f>SUMIF(MAR!$G$159:$J$159,BF$111,MAR!$R32:$U32)+SUMIF(MAR!$G$159:$J$159,BF$111,MAR!$W32:$Z32)</f>
        <v>0</v>
      </c>
      <c r="BG198" s="448">
        <f>SUMIF(MAR!$G$159:$J$159,BG$111,MAR!$R32:$U32)+SUMIF(MAR!$G$159:$J$159,BG$111,MAR!$W32:$Z32)</f>
        <v>0</v>
      </c>
      <c r="BH198" s="571"/>
      <c r="BI198" s="448"/>
      <c r="BJ198" s="470"/>
      <c r="BK198" s="445">
        <f>SUMIF(MAR!$G$157:$J$157,BK$111,MAR!$R32:$U32)+SUMIF(MAR!$G$157:$J$157,BK$111,MAR!$W32:$Z32)</f>
        <v>0</v>
      </c>
      <c r="BL198" s="446">
        <f>SUMIF(MAR!$G$157:$J$157,BL$111,MAR!$R32:$U32)+SUMIF(MAR!$G$157:$J$157,BL$111,MAR!$W32:$Z32)</f>
        <v>0</v>
      </c>
      <c r="BM198" s="446">
        <f>SUMIF(MAR!$G$157:$J$157,BM$111,MAR!$R32:$U32)+SUMIF(MAR!$G$157:$J$157,BM$111,MAR!$W32:$Z32)</f>
        <v>0</v>
      </c>
      <c r="BN198" s="446">
        <f>SUMIF(MAR!$G$157:$J$157,BN$111,MAR!$R32:$U32)+SUMIF(MAR!$G$157:$J$157,BN$111,MAR!$W32:$Z32)</f>
        <v>0</v>
      </c>
      <c r="BO198" s="446">
        <f>SUMIF(MAR!$G$157:$J$157,BO$111,MAR!$R32:$U32)+SUMIF(MAR!$G$157:$J$157,BO$111,MAR!$W32:$Z32)</f>
        <v>0</v>
      </c>
      <c r="BP198" s="446">
        <f>SUMIF(MAR!$G$157:$J$157,BP$111,MAR!$R32:$U32)+SUMIF(MAR!$G$157:$J$157,BP$111,MAR!$W32:$Z32)</f>
        <v>0</v>
      </c>
      <c r="BQ198" s="448">
        <f>SUMIF(MAR!$G$157:$J$157,BQ$111,MAR!$R32:$U32)+SUMIF(MAR!$G$157:$J$157,BQ$111,MAR!$W32:$Z32)</f>
        <v>0</v>
      </c>
      <c r="BR198" s="571"/>
      <c r="BS198" s="446"/>
      <c r="BT198" s="448"/>
      <c r="BU198" s="470"/>
      <c r="BV198" s="445">
        <f>SUMIF(MAR!$G$158:$J$158,BV$111,MAR!$R32:$U32)+SUMIF(MAR!$G$158:$J$158,BV$111,MAR!$W32:$Z32)</f>
        <v>0</v>
      </c>
      <c r="BW198" s="446">
        <f>SUMIF(MAR!$G$158:$J$158,BW$111,MAR!$R32:$U32)+SUMIF(MAR!$G$158:$J$158,BW$111,MAR!$W32:$Z32)</f>
        <v>0</v>
      </c>
      <c r="BX198" s="446">
        <f>SUMIF(MAR!$G$158:$J$158,BX$111,MAR!$R32:$U32)+SUMIF(MAR!$G$158:$J$158,BX$111,MAR!$W32:$Z32)</f>
        <v>0</v>
      </c>
      <c r="BY198" s="446">
        <f>SUMIF(MAR!$G$158:$J$158,BY$111,MAR!$R32:$U32)+SUMIF(MAR!$G$158:$J$158,BY$111,MAR!$W32:$Z32)</f>
        <v>0</v>
      </c>
      <c r="BZ198" s="446">
        <f>SUMIF(MAR!$G$158:$J$158,BZ$111,MAR!$R32:$U32)+SUMIF(MAR!$G$158:$J$158,BZ$111,MAR!$W32:$Z32)</f>
        <v>0</v>
      </c>
      <c r="CA198" s="446">
        <f>SUMIF(MAR!$G$158:$J$158,CA$111,MAR!$R32:$U32)+SUMIF(MAR!$G$158:$J$158,CA$111,MAR!$W32:$Z32)</f>
        <v>0</v>
      </c>
      <c r="CB198" s="448">
        <f>SUMIF(MAR!$G$158:$J$158,CB$111,MAR!$R32:$U32)+SUMIF(MAR!$G$158:$J$158,CB$111,MAR!$W32:$Z32)</f>
        <v>0</v>
      </c>
      <c r="CC198" s="571"/>
      <c r="CD198" s="448"/>
      <c r="CE198" s="92">
        <f t="shared" si="243"/>
        <v>0</v>
      </c>
      <c r="CF198" s="92">
        <f t="shared" si="244"/>
        <v>0</v>
      </c>
      <c r="CG198" s="151" t="str">
        <f t="shared" si="230"/>
        <v/>
      </c>
      <c r="CH198" s="92">
        <f t="shared" si="233"/>
        <v>0</v>
      </c>
      <c r="CI198" s="92" t="str">
        <f t="shared" si="245"/>
        <v/>
      </c>
      <c r="CJ198" s="1100">
        <f>MAR!AM32</f>
        <v>0</v>
      </c>
      <c r="CK198" s="445">
        <f>SUMIF(MAR!$G$155:$J$155,CK$112,MAR!$AN32:$AQ32)</f>
        <v>0</v>
      </c>
      <c r="CL198" s="446">
        <f>SUMIF(MAR!$G$155:$J$155,CL$112,MAR!$AN32:$AQ32)</f>
        <v>0</v>
      </c>
      <c r="CM198" s="447">
        <f>SUMIF(MAR!$G$155:$J$155,CM$112,MAR!$AN32:$AQ32)</f>
        <v>0</v>
      </c>
      <c r="CN198" s="448">
        <f>SUMIF(MAR!$G$155:$J$155,CN$112,MAR!$AN32:$AQ32)</f>
        <v>0</v>
      </c>
      <c r="CO198" s="1100">
        <f>MAR!AS32</f>
        <v>0</v>
      </c>
      <c r="CP198" s="445">
        <f>MAR!AT32</f>
        <v>0</v>
      </c>
      <c r="CQ198" s="446">
        <f>MAR!AU32</f>
        <v>0</v>
      </c>
      <c r="CR198" s="447">
        <f>MAR!AV32</f>
        <v>0</v>
      </c>
      <c r="CS198" s="448">
        <f>MAR!AW32</f>
        <v>0</v>
      </c>
      <c r="CT198" s="1100">
        <f>MAR!AY32</f>
        <v>0</v>
      </c>
      <c r="CU198" s="2"/>
    </row>
    <row r="199" spans="1:99" ht="14.25" hidden="1" customHeight="1" x14ac:dyDescent="0.2">
      <c r="A199" s="2"/>
      <c r="B199" s="151">
        <f t="shared" si="234"/>
        <v>45377</v>
      </c>
      <c r="C199" s="223">
        <f>IF(AND(E199&gt;(E$493-1),E199&lt;(I$493+1)),W$485,IF(ISERROR(HLOOKUP(E199,$E$486:$L$486,1,FALSE)),HLOOKUP(WEEKDAY(E199,2),IMPOSTAZIONI!$C$51:$P$56,6,FALSE),$W$484))</f>
        <v>0</v>
      </c>
      <c r="D199" s="103" t="str">
        <f t="shared" si="235"/>
        <v/>
      </c>
      <c r="E199" s="2380">
        <f t="shared" si="246"/>
        <v>45377</v>
      </c>
      <c r="F199" s="2381"/>
      <c r="G199" s="2325">
        <f>MAR!E33</f>
        <v>0</v>
      </c>
      <c r="H199" s="2326"/>
      <c r="I199" s="2327"/>
      <c r="J199" s="479" t="str">
        <f t="shared" si="231"/>
        <v/>
      </c>
      <c r="K199" s="480"/>
      <c r="L199" s="2319">
        <f t="shared" si="247"/>
        <v>13</v>
      </c>
      <c r="M199" s="2320"/>
      <c r="N199" s="478"/>
      <c r="O199" s="478"/>
      <c r="P199" s="478"/>
      <c r="Q199" s="2315">
        <f t="shared" si="236"/>
        <v>45377</v>
      </c>
      <c r="R199" s="2315"/>
      <c r="S199" s="478"/>
      <c r="T199" s="140">
        <f t="shared" si="237"/>
        <v>0</v>
      </c>
      <c r="U199" s="478"/>
      <c r="V199" s="478"/>
      <c r="W199" s="478"/>
      <c r="X199" s="478"/>
      <c r="Y199" s="478"/>
      <c r="Z199" s="478"/>
      <c r="AA199" s="478"/>
      <c r="AB199" s="478"/>
      <c r="AC199" s="478"/>
      <c r="AD199" s="478"/>
      <c r="AE199" s="478"/>
      <c r="AF199" s="478"/>
      <c r="AG199" s="140">
        <f t="shared" si="238"/>
        <v>0</v>
      </c>
      <c r="AH199" s="92" t="str">
        <f t="shared" si="239"/>
        <v/>
      </c>
      <c r="AI199" s="131">
        <f t="shared" si="240"/>
        <v>0</v>
      </c>
      <c r="AJ199" s="2"/>
      <c r="AK199" s="92">
        <f>IF(G199=G$481,0,IF(OR(G199&lt;&gt;0,CJ199&lt;&gt;0,C199="L"),COUNTIF(AK$114:AK198,"&gt;0")+1,0))</f>
        <v>0</v>
      </c>
      <c r="AL199" s="92" t="str">
        <f t="shared" si="241"/>
        <v/>
      </c>
      <c r="AM199" s="92" t="str">
        <f t="shared" si="242"/>
        <v/>
      </c>
      <c r="AN199" s="131">
        <f t="shared" si="232"/>
        <v>0</v>
      </c>
      <c r="AO199" s="447">
        <f>SUM(MAR!W33:Z33)</f>
        <v>0</v>
      </c>
      <c r="AP199" s="445">
        <f>SUMIF(MAR!$G$155:$J$155,AP$112,MAR!$R33:$U33)</f>
        <v>0</v>
      </c>
      <c r="AQ199" s="446">
        <f>SUMIF(MAR!$G$155:$J$155,AQ$112,MAR!$R33:$U33)</f>
        <v>0</v>
      </c>
      <c r="AR199" s="447">
        <f>SUMIF(MAR!$G$155:$J$155,AR$112,MAR!$R33:$U33)</f>
        <v>0</v>
      </c>
      <c r="AS199" s="448">
        <f>SUMIF(MAR!$G$155:$J$155,AS$112,MAR!$R33:$U33)</f>
        <v>0</v>
      </c>
      <c r="AT199" s="449">
        <f>MAR!AG33</f>
        <v>0</v>
      </c>
      <c r="AU199" s="445">
        <f>MAR!AH33</f>
        <v>0</v>
      </c>
      <c r="AV199" s="446">
        <f>MAR!AI33</f>
        <v>0</v>
      </c>
      <c r="AW199" s="447">
        <f>MAR!AJ33</f>
        <v>0</v>
      </c>
      <c r="AX199" s="448">
        <f>MAR!AK33</f>
        <v>0</v>
      </c>
      <c r="AY199" s="445">
        <f>SUMIF(MAR!$G$152:$J$152,"&gt;0",MAR!$W33:$Z33)</f>
        <v>0</v>
      </c>
      <c r="AZ199" s="1063">
        <f>SUM(MAR!AB33:AE33)</f>
        <v>0</v>
      </c>
      <c r="BA199" s="445">
        <f>SUMIF(MAR!$G$159:$J$159,BA$111,MAR!$R33:$U33)+SUMIF(MAR!$G$159:$J$159,BA$111,MAR!$W33:$Z33)</f>
        <v>0</v>
      </c>
      <c r="BB199" s="446">
        <f>SUMIF(MAR!$G$159:$J$159,BB$111,MAR!$R33:$U33)+SUMIF(MAR!$G$159:$J$159,BB$111,MAR!$W33:$Z33)</f>
        <v>0</v>
      </c>
      <c r="BC199" s="446">
        <f>SUMIF(MAR!$G$159:$J$159,BC$111,MAR!$R33:$U33)+SUMIF(MAR!$G$159:$J$159,BC$111,MAR!$W33:$Z33)</f>
        <v>0</v>
      </c>
      <c r="BD199" s="446">
        <f>SUMIF(MAR!$G$159:$J$159,BD$111,MAR!$R33:$U33)+SUMIF(MAR!$G$159:$J$159,BD$111,MAR!$W33:$Z33)</f>
        <v>0</v>
      </c>
      <c r="BE199" s="446">
        <f>SUMIF(MAR!$G$159:$J$159,BE$111,MAR!$R33:$U33)+SUMIF(MAR!$G$159:$J$159,BE$111,MAR!$W33:$Z33)</f>
        <v>0</v>
      </c>
      <c r="BF199" s="446">
        <f>SUMIF(MAR!$G$159:$J$159,BF$111,MAR!$R33:$U33)+SUMIF(MAR!$G$159:$J$159,BF$111,MAR!$W33:$Z33)</f>
        <v>0</v>
      </c>
      <c r="BG199" s="448">
        <f>SUMIF(MAR!$G$159:$J$159,BG$111,MAR!$R33:$U33)+SUMIF(MAR!$G$159:$J$159,BG$111,MAR!$W33:$Z33)</f>
        <v>0</v>
      </c>
      <c r="BH199" s="571"/>
      <c r="BI199" s="448"/>
      <c r="BJ199" s="470"/>
      <c r="BK199" s="445">
        <f>SUMIF(MAR!$G$157:$J$157,BK$111,MAR!$R33:$U33)+SUMIF(MAR!$G$157:$J$157,BK$111,MAR!$W33:$Z33)</f>
        <v>0</v>
      </c>
      <c r="BL199" s="446">
        <f>SUMIF(MAR!$G$157:$J$157,BL$111,MAR!$R33:$U33)+SUMIF(MAR!$G$157:$J$157,BL$111,MAR!$W33:$Z33)</f>
        <v>0</v>
      </c>
      <c r="BM199" s="446">
        <f>SUMIF(MAR!$G$157:$J$157,BM$111,MAR!$R33:$U33)+SUMIF(MAR!$G$157:$J$157,BM$111,MAR!$W33:$Z33)</f>
        <v>0</v>
      </c>
      <c r="BN199" s="446">
        <f>SUMIF(MAR!$G$157:$J$157,BN$111,MAR!$R33:$U33)+SUMIF(MAR!$G$157:$J$157,BN$111,MAR!$W33:$Z33)</f>
        <v>0</v>
      </c>
      <c r="BO199" s="446">
        <f>SUMIF(MAR!$G$157:$J$157,BO$111,MAR!$R33:$U33)+SUMIF(MAR!$G$157:$J$157,BO$111,MAR!$W33:$Z33)</f>
        <v>0</v>
      </c>
      <c r="BP199" s="446">
        <f>SUMIF(MAR!$G$157:$J$157,BP$111,MAR!$R33:$U33)+SUMIF(MAR!$G$157:$J$157,BP$111,MAR!$W33:$Z33)</f>
        <v>0</v>
      </c>
      <c r="BQ199" s="448">
        <f>SUMIF(MAR!$G$157:$J$157,BQ$111,MAR!$R33:$U33)+SUMIF(MAR!$G$157:$J$157,BQ$111,MAR!$W33:$Z33)</f>
        <v>0</v>
      </c>
      <c r="BR199" s="571"/>
      <c r="BS199" s="446"/>
      <c r="BT199" s="448"/>
      <c r="BU199" s="470"/>
      <c r="BV199" s="445">
        <f>SUMIF(MAR!$G$158:$J$158,BV$111,MAR!$R33:$U33)+SUMIF(MAR!$G$158:$J$158,BV$111,MAR!$W33:$Z33)</f>
        <v>0</v>
      </c>
      <c r="BW199" s="446">
        <f>SUMIF(MAR!$G$158:$J$158,BW$111,MAR!$R33:$U33)+SUMIF(MAR!$G$158:$J$158,BW$111,MAR!$W33:$Z33)</f>
        <v>0</v>
      </c>
      <c r="BX199" s="446">
        <f>SUMIF(MAR!$G$158:$J$158,BX$111,MAR!$R33:$U33)+SUMIF(MAR!$G$158:$J$158,BX$111,MAR!$W33:$Z33)</f>
        <v>0</v>
      </c>
      <c r="BY199" s="446">
        <f>SUMIF(MAR!$G$158:$J$158,BY$111,MAR!$R33:$U33)+SUMIF(MAR!$G$158:$J$158,BY$111,MAR!$W33:$Z33)</f>
        <v>0</v>
      </c>
      <c r="BZ199" s="446">
        <f>SUMIF(MAR!$G$158:$J$158,BZ$111,MAR!$R33:$U33)+SUMIF(MAR!$G$158:$J$158,BZ$111,MAR!$W33:$Z33)</f>
        <v>0</v>
      </c>
      <c r="CA199" s="446">
        <f>SUMIF(MAR!$G$158:$J$158,CA$111,MAR!$R33:$U33)+SUMIF(MAR!$G$158:$J$158,CA$111,MAR!$W33:$Z33)</f>
        <v>0</v>
      </c>
      <c r="CB199" s="448">
        <f>SUMIF(MAR!$G$158:$J$158,CB$111,MAR!$R33:$U33)+SUMIF(MAR!$G$158:$J$158,CB$111,MAR!$W33:$Z33)</f>
        <v>0</v>
      </c>
      <c r="CC199" s="571"/>
      <c r="CD199" s="448"/>
      <c r="CE199" s="92">
        <f t="shared" si="243"/>
        <v>0</v>
      </c>
      <c r="CF199" s="92">
        <f t="shared" si="244"/>
        <v>0</v>
      </c>
      <c r="CG199" s="151" t="str">
        <f t="shared" si="230"/>
        <v/>
      </c>
      <c r="CH199" s="92">
        <f t="shared" si="233"/>
        <v>0</v>
      </c>
      <c r="CI199" s="92" t="str">
        <f t="shared" si="245"/>
        <v/>
      </c>
      <c r="CJ199" s="1100">
        <f>MAR!AM33</f>
        <v>0</v>
      </c>
      <c r="CK199" s="445">
        <f>SUMIF(MAR!$G$155:$J$155,CK$112,MAR!$AN33:$AQ33)</f>
        <v>0</v>
      </c>
      <c r="CL199" s="446">
        <f>SUMIF(MAR!$G$155:$J$155,CL$112,MAR!$AN33:$AQ33)</f>
        <v>0</v>
      </c>
      <c r="CM199" s="447">
        <f>SUMIF(MAR!$G$155:$J$155,CM$112,MAR!$AN33:$AQ33)</f>
        <v>0</v>
      </c>
      <c r="CN199" s="448">
        <f>SUMIF(MAR!$G$155:$J$155,CN$112,MAR!$AN33:$AQ33)</f>
        <v>0</v>
      </c>
      <c r="CO199" s="1100">
        <f>MAR!AS33</f>
        <v>0</v>
      </c>
      <c r="CP199" s="445">
        <f>MAR!AT33</f>
        <v>0</v>
      </c>
      <c r="CQ199" s="446">
        <f>MAR!AU33</f>
        <v>0</v>
      </c>
      <c r="CR199" s="447">
        <f>MAR!AV33</f>
        <v>0</v>
      </c>
      <c r="CS199" s="448">
        <f>MAR!AW33</f>
        <v>0</v>
      </c>
      <c r="CT199" s="1100">
        <f>MAR!AY33</f>
        <v>0</v>
      </c>
      <c r="CU199" s="2"/>
    </row>
    <row r="200" spans="1:99" ht="14.25" hidden="1" customHeight="1" x14ac:dyDescent="0.2">
      <c r="A200" s="2"/>
      <c r="B200" s="151">
        <f t="shared" si="234"/>
        <v>45378</v>
      </c>
      <c r="C200" s="223">
        <f>IF(AND(E200&gt;(E$493-1),E200&lt;(I$493+1)),W$485,IF(ISERROR(HLOOKUP(E200,$E$486:$L$486,1,FALSE)),HLOOKUP(WEEKDAY(E200,2),IMPOSTAZIONI!$C$51:$P$56,6,FALSE),$W$484))</f>
        <v>0</v>
      </c>
      <c r="D200" s="103" t="str">
        <f t="shared" si="235"/>
        <v/>
      </c>
      <c r="E200" s="2380">
        <f t="shared" si="246"/>
        <v>45378</v>
      </c>
      <c r="F200" s="2381"/>
      <c r="G200" s="2325">
        <f>MAR!E34</f>
        <v>0</v>
      </c>
      <c r="H200" s="2326"/>
      <c r="I200" s="2327"/>
      <c r="J200" s="479" t="str">
        <f t="shared" si="231"/>
        <v/>
      </c>
      <c r="K200" s="480"/>
      <c r="L200" s="2319">
        <f t="shared" si="247"/>
        <v>13</v>
      </c>
      <c r="M200" s="2320"/>
      <c r="N200" s="478"/>
      <c r="O200" s="478"/>
      <c r="P200" s="478"/>
      <c r="Q200" s="2315">
        <f t="shared" si="236"/>
        <v>45378</v>
      </c>
      <c r="R200" s="2315"/>
      <c r="S200" s="478"/>
      <c r="T200" s="140">
        <f t="shared" si="237"/>
        <v>0</v>
      </c>
      <c r="U200" s="478"/>
      <c r="V200" s="478"/>
      <c r="W200" s="478"/>
      <c r="X200" s="478"/>
      <c r="Y200" s="478"/>
      <c r="Z200" s="478"/>
      <c r="AA200" s="478"/>
      <c r="AB200" s="478"/>
      <c r="AC200" s="478"/>
      <c r="AD200" s="478"/>
      <c r="AE200" s="478"/>
      <c r="AF200" s="478"/>
      <c r="AG200" s="140">
        <f t="shared" si="238"/>
        <v>0</v>
      </c>
      <c r="AH200" s="92" t="str">
        <f t="shared" si="239"/>
        <v/>
      </c>
      <c r="AI200" s="131">
        <f t="shared" si="240"/>
        <v>0</v>
      </c>
      <c r="AJ200" s="2"/>
      <c r="AK200" s="92">
        <f>IF(G200=G$481,0,IF(OR(G200&lt;&gt;0,CJ200&lt;&gt;0,C200="L"),COUNTIF(AK$114:AK199,"&gt;0")+1,0))</f>
        <v>0</v>
      </c>
      <c r="AL200" s="92" t="str">
        <f t="shared" si="241"/>
        <v/>
      </c>
      <c r="AM200" s="92" t="str">
        <f t="shared" si="242"/>
        <v/>
      </c>
      <c r="AN200" s="131">
        <f t="shared" si="232"/>
        <v>0</v>
      </c>
      <c r="AO200" s="447">
        <f>SUM(MAR!W34:Z34)</f>
        <v>0</v>
      </c>
      <c r="AP200" s="445">
        <f>SUMIF(MAR!$G$155:$J$155,AP$112,MAR!$R34:$U34)</f>
        <v>0</v>
      </c>
      <c r="AQ200" s="446">
        <f>SUMIF(MAR!$G$155:$J$155,AQ$112,MAR!$R34:$U34)</f>
        <v>0</v>
      </c>
      <c r="AR200" s="447">
        <f>SUMIF(MAR!$G$155:$J$155,AR$112,MAR!$R34:$U34)</f>
        <v>0</v>
      </c>
      <c r="AS200" s="448">
        <f>SUMIF(MAR!$G$155:$J$155,AS$112,MAR!$R34:$U34)</f>
        <v>0</v>
      </c>
      <c r="AT200" s="449">
        <f>MAR!AG34</f>
        <v>0</v>
      </c>
      <c r="AU200" s="445">
        <f>MAR!AH34</f>
        <v>0</v>
      </c>
      <c r="AV200" s="446">
        <f>MAR!AI34</f>
        <v>0</v>
      </c>
      <c r="AW200" s="447">
        <f>MAR!AJ34</f>
        <v>0</v>
      </c>
      <c r="AX200" s="448">
        <f>MAR!AK34</f>
        <v>0</v>
      </c>
      <c r="AY200" s="445">
        <f>SUMIF(MAR!$G$152:$J$152,"&gt;0",MAR!$W34:$Z34)</f>
        <v>0</v>
      </c>
      <c r="AZ200" s="1063">
        <f>SUM(MAR!AB34:AE34)</f>
        <v>0</v>
      </c>
      <c r="BA200" s="445">
        <f>SUMIF(MAR!$G$159:$J$159,BA$111,MAR!$R34:$U34)+SUMIF(MAR!$G$159:$J$159,BA$111,MAR!$W34:$Z34)</f>
        <v>0</v>
      </c>
      <c r="BB200" s="446">
        <f>SUMIF(MAR!$G$159:$J$159,BB$111,MAR!$R34:$U34)+SUMIF(MAR!$G$159:$J$159,BB$111,MAR!$W34:$Z34)</f>
        <v>0</v>
      </c>
      <c r="BC200" s="446">
        <f>SUMIF(MAR!$G$159:$J$159,BC$111,MAR!$R34:$U34)+SUMIF(MAR!$G$159:$J$159,BC$111,MAR!$W34:$Z34)</f>
        <v>0</v>
      </c>
      <c r="BD200" s="446">
        <f>SUMIF(MAR!$G$159:$J$159,BD$111,MAR!$R34:$U34)+SUMIF(MAR!$G$159:$J$159,BD$111,MAR!$W34:$Z34)</f>
        <v>0</v>
      </c>
      <c r="BE200" s="446">
        <f>SUMIF(MAR!$G$159:$J$159,BE$111,MAR!$R34:$U34)+SUMIF(MAR!$G$159:$J$159,BE$111,MAR!$W34:$Z34)</f>
        <v>0</v>
      </c>
      <c r="BF200" s="446">
        <f>SUMIF(MAR!$G$159:$J$159,BF$111,MAR!$R34:$U34)+SUMIF(MAR!$G$159:$J$159,BF$111,MAR!$W34:$Z34)</f>
        <v>0</v>
      </c>
      <c r="BG200" s="448">
        <f>SUMIF(MAR!$G$159:$J$159,BG$111,MAR!$R34:$U34)+SUMIF(MAR!$G$159:$J$159,BG$111,MAR!$W34:$Z34)</f>
        <v>0</v>
      </c>
      <c r="BH200" s="571"/>
      <c r="BI200" s="448"/>
      <c r="BJ200" s="470"/>
      <c r="BK200" s="445">
        <f>SUMIF(MAR!$G$157:$J$157,BK$111,MAR!$R34:$U34)+SUMIF(MAR!$G$157:$J$157,BK$111,MAR!$W34:$Z34)</f>
        <v>0</v>
      </c>
      <c r="BL200" s="446">
        <f>SUMIF(MAR!$G$157:$J$157,BL$111,MAR!$R34:$U34)+SUMIF(MAR!$G$157:$J$157,BL$111,MAR!$W34:$Z34)</f>
        <v>0</v>
      </c>
      <c r="BM200" s="446">
        <f>SUMIF(MAR!$G$157:$J$157,BM$111,MAR!$R34:$U34)+SUMIF(MAR!$G$157:$J$157,BM$111,MAR!$W34:$Z34)</f>
        <v>0</v>
      </c>
      <c r="BN200" s="446">
        <f>SUMIF(MAR!$G$157:$J$157,BN$111,MAR!$R34:$U34)+SUMIF(MAR!$G$157:$J$157,BN$111,MAR!$W34:$Z34)</f>
        <v>0</v>
      </c>
      <c r="BO200" s="446">
        <f>SUMIF(MAR!$G$157:$J$157,BO$111,MAR!$R34:$U34)+SUMIF(MAR!$G$157:$J$157,BO$111,MAR!$W34:$Z34)</f>
        <v>0</v>
      </c>
      <c r="BP200" s="446">
        <f>SUMIF(MAR!$G$157:$J$157,BP$111,MAR!$R34:$U34)+SUMIF(MAR!$G$157:$J$157,BP$111,MAR!$W34:$Z34)</f>
        <v>0</v>
      </c>
      <c r="BQ200" s="448">
        <f>SUMIF(MAR!$G$157:$J$157,BQ$111,MAR!$R34:$U34)+SUMIF(MAR!$G$157:$J$157,BQ$111,MAR!$W34:$Z34)</f>
        <v>0</v>
      </c>
      <c r="BR200" s="571"/>
      <c r="BS200" s="446"/>
      <c r="BT200" s="448"/>
      <c r="BU200" s="470"/>
      <c r="BV200" s="445">
        <f>SUMIF(MAR!$G$158:$J$158,BV$111,MAR!$R34:$U34)+SUMIF(MAR!$G$158:$J$158,BV$111,MAR!$W34:$Z34)</f>
        <v>0</v>
      </c>
      <c r="BW200" s="446">
        <f>SUMIF(MAR!$G$158:$J$158,BW$111,MAR!$R34:$U34)+SUMIF(MAR!$G$158:$J$158,BW$111,MAR!$W34:$Z34)</f>
        <v>0</v>
      </c>
      <c r="BX200" s="446">
        <f>SUMIF(MAR!$G$158:$J$158,BX$111,MAR!$R34:$U34)+SUMIF(MAR!$G$158:$J$158,BX$111,MAR!$W34:$Z34)</f>
        <v>0</v>
      </c>
      <c r="BY200" s="446">
        <f>SUMIF(MAR!$G$158:$J$158,BY$111,MAR!$R34:$U34)+SUMIF(MAR!$G$158:$J$158,BY$111,MAR!$W34:$Z34)</f>
        <v>0</v>
      </c>
      <c r="BZ200" s="446">
        <f>SUMIF(MAR!$G$158:$J$158,BZ$111,MAR!$R34:$U34)+SUMIF(MAR!$G$158:$J$158,BZ$111,MAR!$W34:$Z34)</f>
        <v>0</v>
      </c>
      <c r="CA200" s="446">
        <f>SUMIF(MAR!$G$158:$J$158,CA$111,MAR!$R34:$U34)+SUMIF(MAR!$G$158:$J$158,CA$111,MAR!$W34:$Z34)</f>
        <v>0</v>
      </c>
      <c r="CB200" s="448">
        <f>SUMIF(MAR!$G$158:$J$158,CB$111,MAR!$R34:$U34)+SUMIF(MAR!$G$158:$J$158,CB$111,MAR!$W34:$Z34)</f>
        <v>0</v>
      </c>
      <c r="CC200" s="571"/>
      <c r="CD200" s="448"/>
      <c r="CE200" s="92">
        <f t="shared" si="243"/>
        <v>0</v>
      </c>
      <c r="CF200" s="92">
        <f t="shared" si="244"/>
        <v>0</v>
      </c>
      <c r="CG200" s="151" t="str">
        <f t="shared" si="230"/>
        <v/>
      </c>
      <c r="CH200" s="92">
        <f t="shared" si="233"/>
        <v>0</v>
      </c>
      <c r="CI200" s="92" t="str">
        <f t="shared" si="245"/>
        <v/>
      </c>
      <c r="CJ200" s="1100">
        <f>MAR!AM34</f>
        <v>0</v>
      </c>
      <c r="CK200" s="445">
        <f>SUMIF(MAR!$G$155:$J$155,CK$112,MAR!$AN34:$AQ34)</f>
        <v>0</v>
      </c>
      <c r="CL200" s="446">
        <f>SUMIF(MAR!$G$155:$J$155,CL$112,MAR!$AN34:$AQ34)</f>
        <v>0</v>
      </c>
      <c r="CM200" s="447">
        <f>SUMIF(MAR!$G$155:$J$155,CM$112,MAR!$AN34:$AQ34)</f>
        <v>0</v>
      </c>
      <c r="CN200" s="448">
        <f>SUMIF(MAR!$G$155:$J$155,CN$112,MAR!$AN34:$AQ34)</f>
        <v>0</v>
      </c>
      <c r="CO200" s="1100">
        <f>MAR!AS34</f>
        <v>0</v>
      </c>
      <c r="CP200" s="445">
        <f>MAR!AT34</f>
        <v>0</v>
      </c>
      <c r="CQ200" s="446">
        <f>MAR!AU34</f>
        <v>0</v>
      </c>
      <c r="CR200" s="447">
        <f>MAR!AV34</f>
        <v>0</v>
      </c>
      <c r="CS200" s="448">
        <f>MAR!AW34</f>
        <v>0</v>
      </c>
      <c r="CT200" s="1100">
        <f>MAR!AY34</f>
        <v>0</v>
      </c>
      <c r="CU200" s="2"/>
    </row>
    <row r="201" spans="1:99" ht="14.25" hidden="1" customHeight="1" x14ac:dyDescent="0.2">
      <c r="A201" s="2"/>
      <c r="B201" s="151">
        <f t="shared" si="234"/>
        <v>45379</v>
      </c>
      <c r="C201" s="223">
        <f>IF(AND(E201&gt;(E$493-1),E201&lt;(I$493+1)),W$485,IF(ISERROR(HLOOKUP(E201,$E$486:$L$486,1,FALSE)),HLOOKUP(WEEKDAY(E201,2),IMPOSTAZIONI!$C$51:$P$56,6,FALSE),$W$484))</f>
        <v>0</v>
      </c>
      <c r="D201" s="103" t="str">
        <f t="shared" si="235"/>
        <v/>
      </c>
      <c r="E201" s="2380">
        <f t="shared" si="246"/>
        <v>45379</v>
      </c>
      <c r="F201" s="2381"/>
      <c r="G201" s="2325">
        <f>MAR!E35</f>
        <v>0</v>
      </c>
      <c r="H201" s="2326"/>
      <c r="I201" s="2327"/>
      <c r="J201" s="479" t="str">
        <f t="shared" si="231"/>
        <v/>
      </c>
      <c r="K201" s="480"/>
      <c r="L201" s="2319">
        <f t="shared" si="247"/>
        <v>13</v>
      </c>
      <c r="M201" s="2320"/>
      <c r="N201" s="478"/>
      <c r="O201" s="478"/>
      <c r="P201" s="478"/>
      <c r="Q201" s="2315">
        <f t="shared" si="236"/>
        <v>45379</v>
      </c>
      <c r="R201" s="2315"/>
      <c r="S201" s="478"/>
      <c r="T201" s="140">
        <f t="shared" si="237"/>
        <v>0</v>
      </c>
      <c r="U201" s="478"/>
      <c r="V201" s="478"/>
      <c r="W201" s="478"/>
      <c r="X201" s="478"/>
      <c r="Y201" s="478"/>
      <c r="Z201" s="478"/>
      <c r="AA201" s="478"/>
      <c r="AB201" s="478"/>
      <c r="AC201" s="478"/>
      <c r="AD201" s="478"/>
      <c r="AE201" s="478"/>
      <c r="AF201" s="478"/>
      <c r="AG201" s="140">
        <f t="shared" si="238"/>
        <v>0</v>
      </c>
      <c r="AH201" s="92" t="str">
        <f t="shared" si="239"/>
        <v/>
      </c>
      <c r="AI201" s="131">
        <f t="shared" si="240"/>
        <v>0</v>
      </c>
      <c r="AJ201" s="2"/>
      <c r="AK201" s="92">
        <f>IF(G201=G$481,0,IF(OR(G201&lt;&gt;0,CJ201&lt;&gt;0,C201="L"),COUNTIF(AK$114:AK200,"&gt;0")+1,0))</f>
        <v>0</v>
      </c>
      <c r="AL201" s="92" t="str">
        <f t="shared" si="241"/>
        <v/>
      </c>
      <c r="AM201" s="92" t="str">
        <f t="shared" si="242"/>
        <v/>
      </c>
      <c r="AN201" s="131">
        <f t="shared" si="232"/>
        <v>0</v>
      </c>
      <c r="AO201" s="447">
        <f>SUM(MAR!W35:Z35)</f>
        <v>0</v>
      </c>
      <c r="AP201" s="445">
        <f>SUMIF(MAR!$G$155:$J$155,AP$112,MAR!$R35:$U35)</f>
        <v>0</v>
      </c>
      <c r="AQ201" s="446">
        <f>SUMIF(MAR!$G$155:$J$155,AQ$112,MAR!$R35:$U35)</f>
        <v>0</v>
      </c>
      <c r="AR201" s="447">
        <f>SUMIF(MAR!$G$155:$J$155,AR$112,MAR!$R35:$U35)</f>
        <v>0</v>
      </c>
      <c r="AS201" s="448">
        <f>SUMIF(MAR!$G$155:$J$155,AS$112,MAR!$R35:$U35)</f>
        <v>0</v>
      </c>
      <c r="AT201" s="449">
        <f>MAR!AG35</f>
        <v>0</v>
      </c>
      <c r="AU201" s="445">
        <f>MAR!AH35</f>
        <v>0</v>
      </c>
      <c r="AV201" s="446">
        <f>MAR!AI35</f>
        <v>0</v>
      </c>
      <c r="AW201" s="447">
        <f>MAR!AJ35</f>
        <v>0</v>
      </c>
      <c r="AX201" s="448">
        <f>MAR!AK35</f>
        <v>0</v>
      </c>
      <c r="AY201" s="445">
        <f>SUMIF(MAR!$G$152:$J$152,"&gt;0",MAR!$W35:$Z35)</f>
        <v>0</v>
      </c>
      <c r="AZ201" s="1063">
        <f>SUM(MAR!AB35:AE35)</f>
        <v>0</v>
      </c>
      <c r="BA201" s="445">
        <f>SUMIF(MAR!$G$159:$J$159,BA$111,MAR!$R35:$U35)+SUMIF(MAR!$G$159:$J$159,BA$111,MAR!$W35:$Z35)</f>
        <v>0</v>
      </c>
      <c r="BB201" s="446">
        <f>SUMIF(MAR!$G$159:$J$159,BB$111,MAR!$R35:$U35)+SUMIF(MAR!$G$159:$J$159,BB$111,MAR!$W35:$Z35)</f>
        <v>0</v>
      </c>
      <c r="BC201" s="446">
        <f>SUMIF(MAR!$G$159:$J$159,BC$111,MAR!$R35:$U35)+SUMIF(MAR!$G$159:$J$159,BC$111,MAR!$W35:$Z35)</f>
        <v>0</v>
      </c>
      <c r="BD201" s="446">
        <f>SUMIF(MAR!$G$159:$J$159,BD$111,MAR!$R35:$U35)+SUMIF(MAR!$G$159:$J$159,BD$111,MAR!$W35:$Z35)</f>
        <v>0</v>
      </c>
      <c r="BE201" s="446">
        <f>SUMIF(MAR!$G$159:$J$159,BE$111,MAR!$R35:$U35)+SUMIF(MAR!$G$159:$J$159,BE$111,MAR!$W35:$Z35)</f>
        <v>0</v>
      </c>
      <c r="BF201" s="446">
        <f>SUMIF(MAR!$G$159:$J$159,BF$111,MAR!$R35:$U35)+SUMIF(MAR!$G$159:$J$159,BF$111,MAR!$W35:$Z35)</f>
        <v>0</v>
      </c>
      <c r="BG201" s="448">
        <f>SUMIF(MAR!$G$159:$J$159,BG$111,MAR!$R35:$U35)+SUMIF(MAR!$G$159:$J$159,BG$111,MAR!$W35:$Z35)</f>
        <v>0</v>
      </c>
      <c r="BH201" s="571"/>
      <c r="BI201" s="448"/>
      <c r="BJ201" s="470"/>
      <c r="BK201" s="445">
        <f>SUMIF(MAR!$G$157:$J$157,BK$111,MAR!$R35:$U35)+SUMIF(MAR!$G$157:$J$157,BK$111,MAR!$W35:$Z35)</f>
        <v>0</v>
      </c>
      <c r="BL201" s="446">
        <f>SUMIF(MAR!$G$157:$J$157,BL$111,MAR!$R35:$U35)+SUMIF(MAR!$G$157:$J$157,BL$111,MAR!$W35:$Z35)</f>
        <v>0</v>
      </c>
      <c r="BM201" s="446">
        <f>SUMIF(MAR!$G$157:$J$157,BM$111,MAR!$R35:$U35)+SUMIF(MAR!$G$157:$J$157,BM$111,MAR!$W35:$Z35)</f>
        <v>0</v>
      </c>
      <c r="BN201" s="446">
        <f>SUMIF(MAR!$G$157:$J$157,BN$111,MAR!$R35:$U35)+SUMIF(MAR!$G$157:$J$157,BN$111,MAR!$W35:$Z35)</f>
        <v>0</v>
      </c>
      <c r="BO201" s="446">
        <f>SUMIF(MAR!$G$157:$J$157,BO$111,MAR!$R35:$U35)+SUMIF(MAR!$G$157:$J$157,BO$111,MAR!$W35:$Z35)</f>
        <v>0</v>
      </c>
      <c r="BP201" s="446">
        <f>SUMIF(MAR!$G$157:$J$157,BP$111,MAR!$R35:$U35)+SUMIF(MAR!$G$157:$J$157,BP$111,MAR!$W35:$Z35)</f>
        <v>0</v>
      </c>
      <c r="BQ201" s="448">
        <f>SUMIF(MAR!$G$157:$J$157,BQ$111,MAR!$R35:$U35)+SUMIF(MAR!$G$157:$J$157,BQ$111,MAR!$W35:$Z35)</f>
        <v>0</v>
      </c>
      <c r="BR201" s="571"/>
      <c r="BS201" s="446"/>
      <c r="BT201" s="448"/>
      <c r="BU201" s="470"/>
      <c r="BV201" s="445">
        <f>SUMIF(MAR!$G$158:$J$158,BV$111,MAR!$R35:$U35)+SUMIF(MAR!$G$158:$J$158,BV$111,MAR!$W35:$Z35)</f>
        <v>0</v>
      </c>
      <c r="BW201" s="446">
        <f>SUMIF(MAR!$G$158:$J$158,BW$111,MAR!$R35:$U35)+SUMIF(MAR!$G$158:$J$158,BW$111,MAR!$W35:$Z35)</f>
        <v>0</v>
      </c>
      <c r="BX201" s="446">
        <f>SUMIF(MAR!$G$158:$J$158,BX$111,MAR!$R35:$U35)+SUMIF(MAR!$G$158:$J$158,BX$111,MAR!$W35:$Z35)</f>
        <v>0</v>
      </c>
      <c r="BY201" s="446">
        <f>SUMIF(MAR!$G$158:$J$158,BY$111,MAR!$R35:$U35)+SUMIF(MAR!$G$158:$J$158,BY$111,MAR!$W35:$Z35)</f>
        <v>0</v>
      </c>
      <c r="BZ201" s="446">
        <f>SUMIF(MAR!$G$158:$J$158,BZ$111,MAR!$R35:$U35)+SUMIF(MAR!$G$158:$J$158,BZ$111,MAR!$W35:$Z35)</f>
        <v>0</v>
      </c>
      <c r="CA201" s="446">
        <f>SUMIF(MAR!$G$158:$J$158,CA$111,MAR!$R35:$U35)+SUMIF(MAR!$G$158:$J$158,CA$111,MAR!$W35:$Z35)</f>
        <v>0</v>
      </c>
      <c r="CB201" s="448">
        <f>SUMIF(MAR!$G$158:$J$158,CB$111,MAR!$R35:$U35)+SUMIF(MAR!$G$158:$J$158,CB$111,MAR!$W35:$Z35)</f>
        <v>0</v>
      </c>
      <c r="CC201" s="571"/>
      <c r="CD201" s="448"/>
      <c r="CE201" s="92">
        <f t="shared" si="243"/>
        <v>0</v>
      </c>
      <c r="CF201" s="92">
        <f t="shared" si="244"/>
        <v>0</v>
      </c>
      <c r="CG201" s="151" t="str">
        <f t="shared" si="230"/>
        <v/>
      </c>
      <c r="CH201" s="92">
        <f t="shared" si="233"/>
        <v>0</v>
      </c>
      <c r="CI201" s="92" t="str">
        <f t="shared" si="245"/>
        <v/>
      </c>
      <c r="CJ201" s="1100">
        <f>MAR!AM35</f>
        <v>0</v>
      </c>
      <c r="CK201" s="445">
        <f>SUMIF(MAR!$G$155:$J$155,CK$112,MAR!$AN35:$AQ35)</f>
        <v>0</v>
      </c>
      <c r="CL201" s="446">
        <f>SUMIF(MAR!$G$155:$J$155,CL$112,MAR!$AN35:$AQ35)</f>
        <v>0</v>
      </c>
      <c r="CM201" s="447">
        <f>SUMIF(MAR!$G$155:$J$155,CM$112,MAR!$AN35:$AQ35)</f>
        <v>0</v>
      </c>
      <c r="CN201" s="448">
        <f>SUMIF(MAR!$G$155:$J$155,CN$112,MAR!$AN35:$AQ35)</f>
        <v>0</v>
      </c>
      <c r="CO201" s="1100">
        <f>MAR!AS35</f>
        <v>0</v>
      </c>
      <c r="CP201" s="445">
        <f>MAR!AT35</f>
        <v>0</v>
      </c>
      <c r="CQ201" s="446">
        <f>MAR!AU35</f>
        <v>0</v>
      </c>
      <c r="CR201" s="447">
        <f>MAR!AV35</f>
        <v>0</v>
      </c>
      <c r="CS201" s="448">
        <f>MAR!AW35</f>
        <v>0</v>
      </c>
      <c r="CT201" s="1100">
        <f>MAR!AY35</f>
        <v>0</v>
      </c>
      <c r="CU201" s="2"/>
    </row>
    <row r="202" spans="1:99" ht="14.25" hidden="1" customHeight="1" x14ac:dyDescent="0.2">
      <c r="A202" s="2"/>
      <c r="B202" s="151">
        <f t="shared" si="234"/>
        <v>45380</v>
      </c>
      <c r="C202" s="223">
        <f>IF(AND(E202&gt;(E$493-1),E202&lt;(I$493+1)),W$485,IF(ISERROR(HLOOKUP(E202,$E$486:$L$486,1,FALSE)),HLOOKUP(WEEKDAY(E202,2),IMPOSTAZIONI!$C$51:$P$56,6,FALSE),$W$484))</f>
        <v>0</v>
      </c>
      <c r="D202" s="103" t="str">
        <f t="shared" si="235"/>
        <v/>
      </c>
      <c r="E202" s="2380">
        <f t="shared" si="246"/>
        <v>45380</v>
      </c>
      <c r="F202" s="2381"/>
      <c r="G202" s="2325">
        <f>MAR!E36</f>
        <v>0</v>
      </c>
      <c r="H202" s="2326"/>
      <c r="I202" s="2327"/>
      <c r="J202" s="479" t="str">
        <f t="shared" si="231"/>
        <v/>
      </c>
      <c r="K202" s="480"/>
      <c r="L202" s="2319">
        <f t="shared" si="247"/>
        <v>13</v>
      </c>
      <c r="M202" s="2320"/>
      <c r="N202" s="478"/>
      <c r="O202" s="478"/>
      <c r="P202" s="478"/>
      <c r="Q202" s="2315">
        <f t="shared" si="236"/>
        <v>45380</v>
      </c>
      <c r="R202" s="2315"/>
      <c r="S202" s="478"/>
      <c r="T202" s="140">
        <f t="shared" si="237"/>
        <v>0</v>
      </c>
      <c r="U202" s="478"/>
      <c r="V202" s="478"/>
      <c r="W202" s="478"/>
      <c r="X202" s="478"/>
      <c r="Y202" s="478"/>
      <c r="Z202" s="478"/>
      <c r="AA202" s="478"/>
      <c r="AB202" s="478"/>
      <c r="AC202" s="478"/>
      <c r="AD202" s="478"/>
      <c r="AE202" s="478"/>
      <c r="AF202" s="478"/>
      <c r="AG202" s="140">
        <f t="shared" si="238"/>
        <v>0</v>
      </c>
      <c r="AH202" s="92" t="str">
        <f t="shared" si="239"/>
        <v/>
      </c>
      <c r="AI202" s="131">
        <f t="shared" si="240"/>
        <v>0</v>
      </c>
      <c r="AJ202" s="2"/>
      <c r="AK202" s="92">
        <f>IF(G202=G$481,0,IF(OR(G202&lt;&gt;0,CJ202&lt;&gt;0,C202="L"),COUNTIF(AK$114:AK201,"&gt;0")+1,0))</f>
        <v>0</v>
      </c>
      <c r="AL202" s="92" t="str">
        <f t="shared" si="241"/>
        <v/>
      </c>
      <c r="AM202" s="92" t="str">
        <f t="shared" si="242"/>
        <v/>
      </c>
      <c r="AN202" s="131">
        <f t="shared" si="232"/>
        <v>0</v>
      </c>
      <c r="AO202" s="447">
        <f>SUM(MAR!W36:Z36)</f>
        <v>0</v>
      </c>
      <c r="AP202" s="445">
        <f>SUMIF(MAR!$G$155:$J$155,AP$112,MAR!$R36:$U36)</f>
        <v>0</v>
      </c>
      <c r="AQ202" s="446">
        <f>SUMIF(MAR!$G$155:$J$155,AQ$112,MAR!$R36:$U36)</f>
        <v>0</v>
      </c>
      <c r="AR202" s="447">
        <f>SUMIF(MAR!$G$155:$J$155,AR$112,MAR!$R36:$U36)</f>
        <v>0</v>
      </c>
      <c r="AS202" s="448">
        <f>SUMIF(MAR!$G$155:$J$155,AS$112,MAR!$R36:$U36)</f>
        <v>0</v>
      </c>
      <c r="AT202" s="449">
        <f>MAR!AG36</f>
        <v>0</v>
      </c>
      <c r="AU202" s="445">
        <f>MAR!AH36</f>
        <v>0</v>
      </c>
      <c r="AV202" s="446">
        <f>MAR!AI36</f>
        <v>0</v>
      </c>
      <c r="AW202" s="447">
        <f>MAR!AJ36</f>
        <v>0</v>
      </c>
      <c r="AX202" s="448">
        <f>MAR!AK36</f>
        <v>0</v>
      </c>
      <c r="AY202" s="445">
        <f>SUMIF(MAR!$G$152:$J$152,"&gt;0",MAR!$W36:$Z36)</f>
        <v>0</v>
      </c>
      <c r="AZ202" s="1063">
        <f>SUM(MAR!AB36:AE36)</f>
        <v>0</v>
      </c>
      <c r="BA202" s="445">
        <f>SUMIF(MAR!$G$159:$J$159,BA$111,MAR!$R36:$U36)+SUMIF(MAR!$G$159:$J$159,BA$111,MAR!$W36:$Z36)</f>
        <v>0</v>
      </c>
      <c r="BB202" s="446">
        <f>SUMIF(MAR!$G$159:$J$159,BB$111,MAR!$R36:$U36)+SUMIF(MAR!$G$159:$J$159,BB$111,MAR!$W36:$Z36)</f>
        <v>0</v>
      </c>
      <c r="BC202" s="446">
        <f>SUMIF(MAR!$G$159:$J$159,BC$111,MAR!$R36:$U36)+SUMIF(MAR!$G$159:$J$159,BC$111,MAR!$W36:$Z36)</f>
        <v>0</v>
      </c>
      <c r="BD202" s="446">
        <f>SUMIF(MAR!$G$159:$J$159,BD$111,MAR!$R36:$U36)+SUMIF(MAR!$G$159:$J$159,BD$111,MAR!$W36:$Z36)</f>
        <v>0</v>
      </c>
      <c r="BE202" s="446">
        <f>SUMIF(MAR!$G$159:$J$159,BE$111,MAR!$R36:$U36)+SUMIF(MAR!$G$159:$J$159,BE$111,MAR!$W36:$Z36)</f>
        <v>0</v>
      </c>
      <c r="BF202" s="446">
        <f>SUMIF(MAR!$G$159:$J$159,BF$111,MAR!$R36:$U36)+SUMIF(MAR!$G$159:$J$159,BF$111,MAR!$W36:$Z36)</f>
        <v>0</v>
      </c>
      <c r="BG202" s="448">
        <f>SUMIF(MAR!$G$159:$J$159,BG$111,MAR!$R36:$U36)+SUMIF(MAR!$G$159:$J$159,BG$111,MAR!$W36:$Z36)</f>
        <v>0</v>
      </c>
      <c r="BH202" s="571"/>
      <c r="BI202" s="448"/>
      <c r="BJ202" s="470"/>
      <c r="BK202" s="445">
        <f>SUMIF(MAR!$G$157:$J$157,BK$111,MAR!$R36:$U36)+SUMIF(MAR!$G$157:$J$157,BK$111,MAR!$W36:$Z36)</f>
        <v>0</v>
      </c>
      <c r="BL202" s="446">
        <f>SUMIF(MAR!$G$157:$J$157,BL$111,MAR!$R36:$U36)+SUMIF(MAR!$G$157:$J$157,BL$111,MAR!$W36:$Z36)</f>
        <v>0</v>
      </c>
      <c r="BM202" s="446">
        <f>SUMIF(MAR!$G$157:$J$157,BM$111,MAR!$R36:$U36)+SUMIF(MAR!$G$157:$J$157,BM$111,MAR!$W36:$Z36)</f>
        <v>0</v>
      </c>
      <c r="BN202" s="446">
        <f>SUMIF(MAR!$G$157:$J$157,BN$111,MAR!$R36:$U36)+SUMIF(MAR!$G$157:$J$157,BN$111,MAR!$W36:$Z36)</f>
        <v>0</v>
      </c>
      <c r="BO202" s="446">
        <f>SUMIF(MAR!$G$157:$J$157,BO$111,MAR!$R36:$U36)+SUMIF(MAR!$G$157:$J$157,BO$111,MAR!$W36:$Z36)</f>
        <v>0</v>
      </c>
      <c r="BP202" s="446">
        <f>SUMIF(MAR!$G$157:$J$157,BP$111,MAR!$R36:$U36)+SUMIF(MAR!$G$157:$J$157,BP$111,MAR!$W36:$Z36)</f>
        <v>0</v>
      </c>
      <c r="BQ202" s="448">
        <f>SUMIF(MAR!$G$157:$J$157,BQ$111,MAR!$R36:$U36)+SUMIF(MAR!$G$157:$J$157,BQ$111,MAR!$W36:$Z36)</f>
        <v>0</v>
      </c>
      <c r="BR202" s="571"/>
      <c r="BS202" s="446"/>
      <c r="BT202" s="448"/>
      <c r="BU202" s="470"/>
      <c r="BV202" s="445">
        <f>SUMIF(MAR!$G$158:$J$158,BV$111,MAR!$R36:$U36)+SUMIF(MAR!$G$158:$J$158,BV$111,MAR!$W36:$Z36)</f>
        <v>0</v>
      </c>
      <c r="BW202" s="446">
        <f>SUMIF(MAR!$G$158:$J$158,BW$111,MAR!$R36:$U36)+SUMIF(MAR!$G$158:$J$158,BW$111,MAR!$W36:$Z36)</f>
        <v>0</v>
      </c>
      <c r="BX202" s="446">
        <f>SUMIF(MAR!$G$158:$J$158,BX$111,MAR!$R36:$U36)+SUMIF(MAR!$G$158:$J$158,BX$111,MAR!$W36:$Z36)</f>
        <v>0</v>
      </c>
      <c r="BY202" s="446">
        <f>SUMIF(MAR!$G$158:$J$158,BY$111,MAR!$R36:$U36)+SUMIF(MAR!$G$158:$J$158,BY$111,MAR!$W36:$Z36)</f>
        <v>0</v>
      </c>
      <c r="BZ202" s="446">
        <f>SUMIF(MAR!$G$158:$J$158,BZ$111,MAR!$R36:$U36)+SUMIF(MAR!$G$158:$J$158,BZ$111,MAR!$W36:$Z36)</f>
        <v>0</v>
      </c>
      <c r="CA202" s="446">
        <f>SUMIF(MAR!$G$158:$J$158,CA$111,MAR!$R36:$U36)+SUMIF(MAR!$G$158:$J$158,CA$111,MAR!$W36:$Z36)</f>
        <v>0</v>
      </c>
      <c r="CB202" s="448">
        <f>SUMIF(MAR!$G$158:$J$158,CB$111,MAR!$R36:$U36)+SUMIF(MAR!$G$158:$J$158,CB$111,MAR!$W36:$Z36)</f>
        <v>0</v>
      </c>
      <c r="CC202" s="571"/>
      <c r="CD202" s="448"/>
      <c r="CE202" s="92">
        <f t="shared" si="243"/>
        <v>0</v>
      </c>
      <c r="CF202" s="92">
        <f t="shared" si="244"/>
        <v>0</v>
      </c>
      <c r="CG202" s="151" t="str">
        <f t="shared" si="230"/>
        <v/>
      </c>
      <c r="CH202" s="92">
        <f t="shared" si="233"/>
        <v>0</v>
      </c>
      <c r="CI202" s="92" t="str">
        <f t="shared" si="245"/>
        <v/>
      </c>
      <c r="CJ202" s="1100">
        <f>MAR!AM36</f>
        <v>0</v>
      </c>
      <c r="CK202" s="445">
        <f>SUMIF(MAR!$G$155:$J$155,CK$112,MAR!$AN36:$AQ36)</f>
        <v>0</v>
      </c>
      <c r="CL202" s="446">
        <f>SUMIF(MAR!$G$155:$J$155,CL$112,MAR!$AN36:$AQ36)</f>
        <v>0</v>
      </c>
      <c r="CM202" s="447">
        <f>SUMIF(MAR!$G$155:$J$155,CM$112,MAR!$AN36:$AQ36)</f>
        <v>0</v>
      </c>
      <c r="CN202" s="448">
        <f>SUMIF(MAR!$G$155:$J$155,CN$112,MAR!$AN36:$AQ36)</f>
        <v>0</v>
      </c>
      <c r="CO202" s="1100">
        <f>MAR!AS36</f>
        <v>0</v>
      </c>
      <c r="CP202" s="445">
        <f>MAR!AT36</f>
        <v>0</v>
      </c>
      <c r="CQ202" s="446">
        <f>MAR!AU36</f>
        <v>0</v>
      </c>
      <c r="CR202" s="447">
        <f>MAR!AV36</f>
        <v>0</v>
      </c>
      <c r="CS202" s="448">
        <f>MAR!AW36</f>
        <v>0</v>
      </c>
      <c r="CT202" s="1100">
        <f>MAR!AY36</f>
        <v>0</v>
      </c>
      <c r="CU202" s="2"/>
    </row>
    <row r="203" spans="1:99" ht="14.25" hidden="1" customHeight="1" x14ac:dyDescent="0.2">
      <c r="A203" s="2"/>
      <c r="B203" s="151">
        <f t="shared" si="234"/>
        <v>45381</v>
      </c>
      <c r="C203" s="223">
        <f>IF(AND(E203&gt;(E$493-1),E203&lt;(I$493+1)),W$485,IF(ISERROR(HLOOKUP(E203,$E$486:$L$486,1,FALSE)),HLOOKUP(WEEKDAY(E203,2),IMPOSTAZIONI!$C$51:$P$56,6,FALSE),$W$484))</f>
        <v>0</v>
      </c>
      <c r="D203" s="103" t="str">
        <f t="shared" si="235"/>
        <v/>
      </c>
      <c r="E203" s="2380">
        <f t="shared" si="246"/>
        <v>45381</v>
      </c>
      <c r="F203" s="2381"/>
      <c r="G203" s="2325">
        <f>MAR!E37</f>
        <v>0</v>
      </c>
      <c r="H203" s="2326"/>
      <c r="I203" s="2327"/>
      <c r="J203" s="479" t="str">
        <f t="shared" si="231"/>
        <v/>
      </c>
      <c r="K203" s="480"/>
      <c r="L203" s="2319">
        <f t="shared" si="247"/>
        <v>13</v>
      </c>
      <c r="M203" s="2320"/>
      <c r="N203" s="478"/>
      <c r="O203" s="478"/>
      <c r="P203" s="478"/>
      <c r="Q203" s="2315">
        <f t="shared" si="236"/>
        <v>45381</v>
      </c>
      <c r="R203" s="2315"/>
      <c r="S203" s="478"/>
      <c r="T203" s="140">
        <f t="shared" si="237"/>
        <v>0</v>
      </c>
      <c r="U203" s="478"/>
      <c r="V203" s="478"/>
      <c r="W203" s="478"/>
      <c r="X203" s="478"/>
      <c r="Y203" s="478"/>
      <c r="Z203" s="478"/>
      <c r="AA203" s="478"/>
      <c r="AB203" s="478"/>
      <c r="AC203" s="478"/>
      <c r="AD203" s="478"/>
      <c r="AE203" s="478"/>
      <c r="AF203" s="478"/>
      <c r="AG203" s="140">
        <f t="shared" si="238"/>
        <v>0</v>
      </c>
      <c r="AH203" s="92" t="str">
        <f t="shared" si="239"/>
        <v/>
      </c>
      <c r="AI203" s="131">
        <f t="shared" si="240"/>
        <v>0</v>
      </c>
      <c r="AJ203" s="2"/>
      <c r="AK203" s="92">
        <f>IF(G203=G$481,0,IF(OR(G203&lt;&gt;0,CJ203&lt;&gt;0,C203="L"),COUNTIF(AK$114:AK202,"&gt;0")+1,0))</f>
        <v>0</v>
      </c>
      <c r="AL203" s="92" t="str">
        <f t="shared" si="241"/>
        <v/>
      </c>
      <c r="AM203" s="92" t="str">
        <f t="shared" si="242"/>
        <v/>
      </c>
      <c r="AN203" s="131">
        <f t="shared" si="232"/>
        <v>0</v>
      </c>
      <c r="AO203" s="447">
        <f>SUM(MAR!W37:Z37)</f>
        <v>0</v>
      </c>
      <c r="AP203" s="445">
        <f>SUMIF(MAR!$G$155:$J$155,AP$112,MAR!$R37:$U37)</f>
        <v>0</v>
      </c>
      <c r="AQ203" s="446">
        <f>SUMIF(MAR!$G$155:$J$155,AQ$112,MAR!$R37:$U37)</f>
        <v>0</v>
      </c>
      <c r="AR203" s="447">
        <f>SUMIF(MAR!$G$155:$J$155,AR$112,MAR!$R37:$U37)</f>
        <v>0</v>
      </c>
      <c r="AS203" s="448">
        <f>SUMIF(MAR!$G$155:$J$155,AS$112,MAR!$R37:$U37)</f>
        <v>0</v>
      </c>
      <c r="AT203" s="449">
        <f>MAR!AG37</f>
        <v>0</v>
      </c>
      <c r="AU203" s="445">
        <f>MAR!AH37</f>
        <v>0</v>
      </c>
      <c r="AV203" s="446">
        <f>MAR!AI37</f>
        <v>0</v>
      </c>
      <c r="AW203" s="447">
        <f>MAR!AJ37</f>
        <v>0</v>
      </c>
      <c r="AX203" s="448">
        <f>MAR!AK37</f>
        <v>0</v>
      </c>
      <c r="AY203" s="445">
        <f>SUMIF(MAR!$G$152:$J$152,"&gt;0",MAR!$W37:$Z37)</f>
        <v>0</v>
      </c>
      <c r="AZ203" s="1063">
        <f>SUM(MAR!AB37:AE37)</f>
        <v>0</v>
      </c>
      <c r="BA203" s="445">
        <f>SUMIF(MAR!$G$159:$J$159,BA$111,MAR!$R37:$U37)+SUMIF(MAR!$G$159:$J$159,BA$111,MAR!$W37:$Z37)</f>
        <v>0</v>
      </c>
      <c r="BB203" s="446">
        <f>SUMIF(MAR!$G$159:$J$159,BB$111,MAR!$R37:$U37)+SUMIF(MAR!$G$159:$J$159,BB$111,MAR!$W37:$Z37)</f>
        <v>0</v>
      </c>
      <c r="BC203" s="446">
        <f>SUMIF(MAR!$G$159:$J$159,BC$111,MAR!$R37:$U37)+SUMIF(MAR!$G$159:$J$159,BC$111,MAR!$W37:$Z37)</f>
        <v>0</v>
      </c>
      <c r="BD203" s="446">
        <f>SUMIF(MAR!$G$159:$J$159,BD$111,MAR!$R37:$U37)+SUMIF(MAR!$G$159:$J$159,BD$111,MAR!$W37:$Z37)</f>
        <v>0</v>
      </c>
      <c r="BE203" s="446">
        <f>SUMIF(MAR!$G$159:$J$159,BE$111,MAR!$R37:$U37)+SUMIF(MAR!$G$159:$J$159,BE$111,MAR!$W37:$Z37)</f>
        <v>0</v>
      </c>
      <c r="BF203" s="446">
        <f>SUMIF(MAR!$G$159:$J$159,BF$111,MAR!$R37:$U37)+SUMIF(MAR!$G$159:$J$159,BF$111,MAR!$W37:$Z37)</f>
        <v>0</v>
      </c>
      <c r="BG203" s="448">
        <f>SUMIF(MAR!$G$159:$J$159,BG$111,MAR!$R37:$U37)+SUMIF(MAR!$G$159:$J$159,BG$111,MAR!$W37:$Z37)</f>
        <v>0</v>
      </c>
      <c r="BH203" s="571"/>
      <c r="BI203" s="448"/>
      <c r="BJ203" s="470"/>
      <c r="BK203" s="445">
        <f>SUMIF(MAR!$G$157:$J$157,BK$111,MAR!$R37:$U37)+SUMIF(MAR!$G$157:$J$157,BK$111,MAR!$W37:$Z37)</f>
        <v>0</v>
      </c>
      <c r="BL203" s="446">
        <f>SUMIF(MAR!$G$157:$J$157,BL$111,MAR!$R37:$U37)+SUMIF(MAR!$G$157:$J$157,BL$111,MAR!$W37:$Z37)</f>
        <v>0</v>
      </c>
      <c r="BM203" s="446">
        <f>SUMIF(MAR!$G$157:$J$157,BM$111,MAR!$R37:$U37)+SUMIF(MAR!$G$157:$J$157,BM$111,MAR!$W37:$Z37)</f>
        <v>0</v>
      </c>
      <c r="BN203" s="446">
        <f>SUMIF(MAR!$G$157:$J$157,BN$111,MAR!$R37:$U37)+SUMIF(MAR!$G$157:$J$157,BN$111,MAR!$W37:$Z37)</f>
        <v>0</v>
      </c>
      <c r="BO203" s="446">
        <f>SUMIF(MAR!$G$157:$J$157,BO$111,MAR!$R37:$U37)+SUMIF(MAR!$G$157:$J$157,BO$111,MAR!$W37:$Z37)</f>
        <v>0</v>
      </c>
      <c r="BP203" s="446">
        <f>SUMIF(MAR!$G$157:$J$157,BP$111,MAR!$R37:$U37)+SUMIF(MAR!$G$157:$J$157,BP$111,MAR!$W37:$Z37)</f>
        <v>0</v>
      </c>
      <c r="BQ203" s="448">
        <f>SUMIF(MAR!$G$157:$J$157,BQ$111,MAR!$R37:$U37)+SUMIF(MAR!$G$157:$J$157,BQ$111,MAR!$W37:$Z37)</f>
        <v>0</v>
      </c>
      <c r="BR203" s="571"/>
      <c r="BS203" s="446"/>
      <c r="BT203" s="448"/>
      <c r="BU203" s="470"/>
      <c r="BV203" s="445">
        <f>SUMIF(MAR!$G$158:$J$158,BV$111,MAR!$R37:$U37)+SUMIF(MAR!$G$158:$J$158,BV$111,MAR!$W37:$Z37)</f>
        <v>0</v>
      </c>
      <c r="BW203" s="446">
        <f>SUMIF(MAR!$G$158:$J$158,BW$111,MAR!$R37:$U37)+SUMIF(MAR!$G$158:$J$158,BW$111,MAR!$W37:$Z37)</f>
        <v>0</v>
      </c>
      <c r="BX203" s="446">
        <f>SUMIF(MAR!$G$158:$J$158,BX$111,MAR!$R37:$U37)+SUMIF(MAR!$G$158:$J$158,BX$111,MAR!$W37:$Z37)</f>
        <v>0</v>
      </c>
      <c r="BY203" s="446">
        <f>SUMIF(MAR!$G$158:$J$158,BY$111,MAR!$R37:$U37)+SUMIF(MAR!$G$158:$J$158,BY$111,MAR!$W37:$Z37)</f>
        <v>0</v>
      </c>
      <c r="BZ203" s="446">
        <f>SUMIF(MAR!$G$158:$J$158,BZ$111,MAR!$R37:$U37)+SUMIF(MAR!$G$158:$J$158,BZ$111,MAR!$W37:$Z37)</f>
        <v>0</v>
      </c>
      <c r="CA203" s="446">
        <f>SUMIF(MAR!$G$158:$J$158,CA$111,MAR!$R37:$U37)+SUMIF(MAR!$G$158:$J$158,CA$111,MAR!$W37:$Z37)</f>
        <v>0</v>
      </c>
      <c r="CB203" s="448">
        <f>SUMIF(MAR!$G$158:$J$158,CB$111,MAR!$R37:$U37)+SUMIF(MAR!$G$158:$J$158,CB$111,MAR!$W37:$Z37)</f>
        <v>0</v>
      </c>
      <c r="CC203" s="571"/>
      <c r="CD203" s="448"/>
      <c r="CE203" s="92">
        <f t="shared" si="243"/>
        <v>0</v>
      </c>
      <c r="CF203" s="92">
        <f t="shared" si="244"/>
        <v>0</v>
      </c>
      <c r="CG203" s="151" t="str">
        <f t="shared" si="230"/>
        <v/>
      </c>
      <c r="CH203" s="92">
        <f t="shared" si="233"/>
        <v>0</v>
      </c>
      <c r="CI203" s="92" t="str">
        <f t="shared" si="245"/>
        <v/>
      </c>
      <c r="CJ203" s="1100">
        <f>MAR!AM37</f>
        <v>0</v>
      </c>
      <c r="CK203" s="445">
        <f>SUMIF(MAR!$G$155:$J$155,CK$112,MAR!$AN37:$AQ37)</f>
        <v>0</v>
      </c>
      <c r="CL203" s="446">
        <f>SUMIF(MAR!$G$155:$J$155,CL$112,MAR!$AN37:$AQ37)</f>
        <v>0</v>
      </c>
      <c r="CM203" s="447">
        <f>SUMIF(MAR!$G$155:$J$155,CM$112,MAR!$AN37:$AQ37)</f>
        <v>0</v>
      </c>
      <c r="CN203" s="448">
        <f>SUMIF(MAR!$G$155:$J$155,CN$112,MAR!$AN37:$AQ37)</f>
        <v>0</v>
      </c>
      <c r="CO203" s="1100">
        <f>MAR!AS37</f>
        <v>0</v>
      </c>
      <c r="CP203" s="445">
        <f>MAR!AT37</f>
        <v>0</v>
      </c>
      <c r="CQ203" s="446">
        <f>MAR!AU37</f>
        <v>0</v>
      </c>
      <c r="CR203" s="447">
        <f>MAR!AV37</f>
        <v>0</v>
      </c>
      <c r="CS203" s="448">
        <f>MAR!AW37</f>
        <v>0</v>
      </c>
      <c r="CT203" s="1100">
        <f>MAR!AY37</f>
        <v>0</v>
      </c>
      <c r="CU203" s="2"/>
    </row>
    <row r="204" spans="1:99" ht="14.25" hidden="1" customHeight="1" x14ac:dyDescent="0.2">
      <c r="A204" s="2"/>
      <c r="B204" s="151">
        <f t="shared" si="234"/>
        <v>45382</v>
      </c>
      <c r="C204" s="223">
        <f>IF(AND(E204&gt;(E$493-1),E204&lt;(I$493+1)),W$485,IF(ISERROR(HLOOKUP(E204,$E$486:$L$486,1,FALSE)),HLOOKUP(WEEKDAY(E204,2),IMPOSTAZIONI!$C$51:$P$56,6,FALSE),$W$484))</f>
        <v>0</v>
      </c>
      <c r="D204" s="103" t="str">
        <f t="shared" si="235"/>
        <v/>
      </c>
      <c r="E204" s="2445">
        <f t="shared" si="246"/>
        <v>45382</v>
      </c>
      <c r="F204" s="2446"/>
      <c r="G204" s="2316">
        <f>MAR!E38</f>
        <v>0</v>
      </c>
      <c r="H204" s="2317"/>
      <c r="I204" s="2318"/>
      <c r="J204" s="479" t="str">
        <f t="shared" si="231"/>
        <v/>
      </c>
      <c r="K204" s="480"/>
      <c r="L204" s="2321">
        <f t="shared" si="247"/>
        <v>13</v>
      </c>
      <c r="M204" s="2322"/>
      <c r="N204" s="478"/>
      <c r="O204" s="478"/>
      <c r="P204" s="478"/>
      <c r="Q204" s="2315">
        <f t="shared" si="236"/>
        <v>45382</v>
      </c>
      <c r="R204" s="2315"/>
      <c r="S204" s="478"/>
      <c r="T204" s="140">
        <f t="shared" si="237"/>
        <v>0</v>
      </c>
      <c r="U204" s="478"/>
      <c r="V204" s="478"/>
      <c r="W204" s="478"/>
      <c r="X204" s="478"/>
      <c r="Y204" s="478"/>
      <c r="Z204" s="478"/>
      <c r="AA204" s="478"/>
      <c r="AB204" s="478"/>
      <c r="AC204" s="478"/>
      <c r="AD204" s="478"/>
      <c r="AE204" s="478"/>
      <c r="AF204" s="478"/>
      <c r="AG204" s="140">
        <f t="shared" si="238"/>
        <v>0</v>
      </c>
      <c r="AH204" s="92" t="str">
        <f t="shared" si="239"/>
        <v/>
      </c>
      <c r="AI204" s="131">
        <f t="shared" si="240"/>
        <v>0</v>
      </c>
      <c r="AJ204" s="2"/>
      <c r="AK204" s="92">
        <f>IF(G204=G$481,0,IF(OR(G204&lt;&gt;0,CJ204&lt;&gt;0,C204="L"),COUNTIF(AK$114:AK203,"&gt;0")+1,0))</f>
        <v>0</v>
      </c>
      <c r="AL204" s="92" t="str">
        <f t="shared" si="241"/>
        <v/>
      </c>
      <c r="AM204" s="92" t="str">
        <f t="shared" si="242"/>
        <v/>
      </c>
      <c r="AN204" s="131">
        <f t="shared" si="232"/>
        <v>0</v>
      </c>
      <c r="AO204" s="452">
        <f>SUM(MAR!W38:Z38)</f>
        <v>0</v>
      </c>
      <c r="AP204" s="450">
        <f>SUMIF(MAR!$G$155:$J$155,AP$112,MAR!$R38:$U38)</f>
        <v>0</v>
      </c>
      <c r="AQ204" s="451">
        <f>SUMIF(MAR!$G$155:$J$155,AQ$112,MAR!$R38:$U38)</f>
        <v>0</v>
      </c>
      <c r="AR204" s="452">
        <f>SUMIF(MAR!$G$155:$J$155,AR$112,MAR!$R38:$U38)</f>
        <v>0</v>
      </c>
      <c r="AS204" s="453">
        <f>SUMIF(MAR!$G$155:$J$155,AS$112,MAR!$R38:$U38)</f>
        <v>0</v>
      </c>
      <c r="AT204" s="454">
        <f>MAR!AG38</f>
        <v>0</v>
      </c>
      <c r="AU204" s="450">
        <f>MAR!AH38</f>
        <v>0</v>
      </c>
      <c r="AV204" s="451">
        <f>MAR!AI38</f>
        <v>0</v>
      </c>
      <c r="AW204" s="452">
        <f>MAR!AJ38</f>
        <v>0</v>
      </c>
      <c r="AX204" s="453">
        <f>MAR!AK38</f>
        <v>0</v>
      </c>
      <c r="AY204" s="450">
        <f>SUMIF(MAR!$G$152:$J$152,"&gt;0",MAR!$W38:$Z38)</f>
        <v>0</v>
      </c>
      <c r="AZ204" s="1064">
        <f>SUM(MAR!AB38:AE38)</f>
        <v>0</v>
      </c>
      <c r="BA204" s="450">
        <f>SUMIF(MAR!$G$159:$J$159,BA$111,MAR!$R38:$U38)+SUMIF(MAR!$G$159:$J$159,BA$111,MAR!$W38:$Z38)</f>
        <v>0</v>
      </c>
      <c r="BB204" s="451">
        <f>SUMIF(MAR!$G$159:$J$159,BB$111,MAR!$R38:$U38)+SUMIF(MAR!$G$159:$J$159,BB$111,MAR!$W38:$Z38)</f>
        <v>0</v>
      </c>
      <c r="BC204" s="451">
        <f>SUMIF(MAR!$G$159:$J$159,BC$111,MAR!$R38:$U38)+SUMIF(MAR!$G$159:$J$159,BC$111,MAR!$W38:$Z38)</f>
        <v>0</v>
      </c>
      <c r="BD204" s="451">
        <f>SUMIF(MAR!$G$159:$J$159,BD$111,MAR!$R38:$U38)+SUMIF(MAR!$G$159:$J$159,BD$111,MAR!$W38:$Z38)</f>
        <v>0</v>
      </c>
      <c r="BE204" s="451">
        <f>SUMIF(MAR!$G$159:$J$159,BE$111,MAR!$R38:$U38)+SUMIF(MAR!$G$159:$J$159,BE$111,MAR!$W38:$Z38)</f>
        <v>0</v>
      </c>
      <c r="BF204" s="451">
        <f>SUMIF(MAR!$G$159:$J$159,BF$111,MAR!$R38:$U38)+SUMIF(MAR!$G$159:$J$159,BF$111,MAR!$W38:$Z38)</f>
        <v>0</v>
      </c>
      <c r="BG204" s="453">
        <f>SUMIF(MAR!$G$159:$J$159,BG$111,MAR!$R38:$U38)+SUMIF(MAR!$G$159:$J$159,BG$111,MAR!$W38:$Z38)</f>
        <v>0</v>
      </c>
      <c r="BH204" s="572"/>
      <c r="BI204" s="453"/>
      <c r="BJ204" s="470"/>
      <c r="BK204" s="450">
        <f>SUMIF(MAR!$G$157:$J$157,BK$111,MAR!$R38:$U38)+SUMIF(MAR!$G$157:$J$157,BK$111,MAR!$W38:$Z38)</f>
        <v>0</v>
      </c>
      <c r="BL204" s="451">
        <f>SUMIF(MAR!$G$157:$J$157,BL$111,MAR!$R38:$U38)+SUMIF(MAR!$G$157:$J$157,BL$111,MAR!$W38:$Z38)</f>
        <v>0</v>
      </c>
      <c r="BM204" s="451">
        <f>SUMIF(MAR!$G$157:$J$157,BM$111,MAR!$R38:$U38)+SUMIF(MAR!$G$157:$J$157,BM$111,MAR!$W38:$Z38)</f>
        <v>0</v>
      </c>
      <c r="BN204" s="451">
        <f>SUMIF(MAR!$G$157:$J$157,BN$111,MAR!$R38:$U38)+SUMIF(MAR!$G$157:$J$157,BN$111,MAR!$W38:$Z38)</f>
        <v>0</v>
      </c>
      <c r="BO204" s="451">
        <f>SUMIF(MAR!$G$157:$J$157,BO$111,MAR!$R38:$U38)+SUMIF(MAR!$G$157:$J$157,BO$111,MAR!$W38:$Z38)</f>
        <v>0</v>
      </c>
      <c r="BP204" s="451">
        <f>SUMIF(MAR!$G$157:$J$157,BP$111,MAR!$R38:$U38)+SUMIF(MAR!$G$157:$J$157,BP$111,MAR!$W38:$Z38)</f>
        <v>0</v>
      </c>
      <c r="BQ204" s="453">
        <f>SUMIF(MAR!$G$157:$J$157,BQ$111,MAR!$R38:$U38)+SUMIF(MAR!$G$157:$J$157,BQ$111,MAR!$W38:$Z38)</f>
        <v>0</v>
      </c>
      <c r="BR204" s="572"/>
      <c r="BS204" s="451"/>
      <c r="BT204" s="453"/>
      <c r="BU204" s="470"/>
      <c r="BV204" s="450">
        <f>SUMIF(MAR!$G$158:$J$158,BV$111,MAR!$R38:$U38)+SUMIF(MAR!$G$158:$J$158,BV$111,MAR!$W38:$Z38)</f>
        <v>0</v>
      </c>
      <c r="BW204" s="451">
        <f>SUMIF(MAR!$G$158:$J$158,BW$111,MAR!$R38:$U38)+SUMIF(MAR!$G$158:$J$158,BW$111,MAR!$W38:$Z38)</f>
        <v>0</v>
      </c>
      <c r="BX204" s="451">
        <f>SUMIF(MAR!$G$158:$J$158,BX$111,MAR!$R38:$U38)+SUMIF(MAR!$G$158:$J$158,BX$111,MAR!$W38:$Z38)</f>
        <v>0</v>
      </c>
      <c r="BY204" s="451">
        <f>SUMIF(MAR!$G$158:$J$158,BY$111,MAR!$R38:$U38)+SUMIF(MAR!$G$158:$J$158,BY$111,MAR!$W38:$Z38)</f>
        <v>0</v>
      </c>
      <c r="BZ204" s="451">
        <f>SUMIF(MAR!$G$158:$J$158,BZ$111,MAR!$R38:$U38)+SUMIF(MAR!$G$158:$J$158,BZ$111,MAR!$W38:$Z38)</f>
        <v>0</v>
      </c>
      <c r="CA204" s="451">
        <f>SUMIF(MAR!$G$158:$J$158,CA$111,MAR!$R38:$U38)+SUMIF(MAR!$G$158:$J$158,CA$111,MAR!$W38:$Z38)</f>
        <v>0</v>
      </c>
      <c r="CB204" s="453">
        <f>SUMIF(MAR!$G$158:$J$158,CB$111,MAR!$R38:$U38)+SUMIF(MAR!$G$158:$J$158,CB$111,MAR!$W38:$Z38)</f>
        <v>0</v>
      </c>
      <c r="CC204" s="572"/>
      <c r="CD204" s="453"/>
      <c r="CE204" s="92">
        <f t="shared" si="243"/>
        <v>0</v>
      </c>
      <c r="CF204" s="92">
        <f t="shared" si="244"/>
        <v>0</v>
      </c>
      <c r="CG204" s="151" t="str">
        <f t="shared" si="230"/>
        <v/>
      </c>
      <c r="CH204" s="92">
        <f t="shared" si="233"/>
        <v>0</v>
      </c>
      <c r="CI204" s="92" t="str">
        <f t="shared" si="245"/>
        <v/>
      </c>
      <c r="CJ204" s="1101">
        <f>MAR!AM38</f>
        <v>0</v>
      </c>
      <c r="CK204" s="450">
        <f>SUMIF(MAR!$G$155:$J$155,CK$112,MAR!$AN38:$AQ38)</f>
        <v>0</v>
      </c>
      <c r="CL204" s="451">
        <f>SUMIF(MAR!$G$155:$J$155,CL$112,MAR!$AN38:$AQ38)</f>
        <v>0</v>
      </c>
      <c r="CM204" s="452">
        <f>SUMIF(MAR!$G$155:$J$155,CM$112,MAR!$AN38:$AQ38)</f>
        <v>0</v>
      </c>
      <c r="CN204" s="453">
        <f>SUMIF(MAR!$G$155:$J$155,CN$112,MAR!$AN38:$AQ38)</f>
        <v>0</v>
      </c>
      <c r="CO204" s="1101">
        <f>MAR!AS38</f>
        <v>0</v>
      </c>
      <c r="CP204" s="450">
        <f>MAR!AT38</f>
        <v>0</v>
      </c>
      <c r="CQ204" s="451">
        <f>MAR!AU38</f>
        <v>0</v>
      </c>
      <c r="CR204" s="452">
        <f>MAR!AV38</f>
        <v>0</v>
      </c>
      <c r="CS204" s="453">
        <f>MAR!AW38</f>
        <v>0</v>
      </c>
      <c r="CT204" s="1101">
        <f>MAR!AY38</f>
        <v>0</v>
      </c>
      <c r="CU204" s="2"/>
    </row>
    <row r="205" spans="1:99" ht="14.25" hidden="1" customHeight="1" x14ac:dyDescent="0.2">
      <c r="A205" s="2"/>
      <c r="B205" s="151">
        <f t="shared" si="234"/>
        <v>45383</v>
      </c>
      <c r="C205" s="223">
        <f>IF(AND(E205&gt;(E$494-1),E205&lt;(I$494+1)),W$485,IF(ISERROR(HLOOKUP(E205,$E$487:$L$487,1,FALSE)),HLOOKUP(WEEKDAY(E205,2),IMPOSTAZIONI!$C$51:$P$56,6,FALSE),$W$484))</f>
        <v>0</v>
      </c>
      <c r="D205" s="103" t="str">
        <f t="shared" si="235"/>
        <v/>
      </c>
      <c r="E205" s="2447">
        <f t="shared" si="246"/>
        <v>45383</v>
      </c>
      <c r="F205" s="2448"/>
      <c r="G205" s="2449" t="str">
        <f>APR!E8</f>
        <v xml:space="preserve">attiva trim.  </v>
      </c>
      <c r="H205" s="2450"/>
      <c r="I205" s="2451"/>
      <c r="J205" s="479" t="str">
        <f t="shared" si="231"/>
        <v/>
      </c>
      <c r="K205" s="480"/>
      <c r="L205" s="2323">
        <f t="shared" si="247"/>
        <v>14</v>
      </c>
      <c r="M205" s="2324"/>
      <c r="N205" s="478"/>
      <c r="O205" s="478"/>
      <c r="P205" s="478"/>
      <c r="Q205" s="2315">
        <f t="shared" si="236"/>
        <v>45383</v>
      </c>
      <c r="R205" s="2315"/>
      <c r="S205" s="478"/>
      <c r="T205" s="140">
        <f t="shared" si="237"/>
        <v>1</v>
      </c>
      <c r="U205" s="478"/>
      <c r="V205" s="478"/>
      <c r="W205" s="478"/>
      <c r="X205" s="478"/>
      <c r="Y205" s="478"/>
      <c r="Z205" s="478"/>
      <c r="AA205" s="478"/>
      <c r="AB205" s="478"/>
      <c r="AC205" s="478"/>
      <c r="AD205" s="478"/>
      <c r="AE205" s="478"/>
      <c r="AF205" s="478"/>
      <c r="AG205" s="140">
        <f t="shared" si="238"/>
        <v>0</v>
      </c>
      <c r="AH205" s="92" t="str">
        <f t="shared" si="239"/>
        <v/>
      </c>
      <c r="AI205" s="131">
        <f t="shared" si="240"/>
        <v>0</v>
      </c>
      <c r="AJ205" s="131">
        <f>IF(G205=G481,0,COUNTIF(T205:T234,"&gt;0"))</f>
        <v>0</v>
      </c>
      <c r="AK205" s="92">
        <f>IF(G205=G$481,0,IF(OR(G205&lt;&gt;0,CJ205&lt;&gt;0,C205="L"),COUNTIF(AK$114:AK204,"&gt;0")+1,0))</f>
        <v>0</v>
      </c>
      <c r="AL205" s="92" t="str">
        <f t="shared" si="241"/>
        <v/>
      </c>
      <c r="AM205" s="92" t="str">
        <f t="shared" si="242"/>
        <v/>
      </c>
      <c r="AN205" s="131">
        <f t="shared" si="232"/>
        <v>0</v>
      </c>
      <c r="AO205" s="447">
        <f>SUM(APR!W8:Z8)</f>
        <v>0</v>
      </c>
      <c r="AP205" s="445">
        <f>SUMIF(APR!$G$155:$J$155,AP$112,APR!$R8:$U8)</f>
        <v>0</v>
      </c>
      <c r="AQ205" s="446">
        <f>SUMIF(APR!$G$155:$J$155,AQ$112,APR!$R8:$U8)</f>
        <v>0</v>
      </c>
      <c r="AR205" s="447">
        <f>SUMIF(APR!$G$155:$J$155,AR$112,APR!$R8:$U8)</f>
        <v>0</v>
      </c>
      <c r="AS205" s="448">
        <f>SUMIF(APR!$G$155:$J$155,AS$112,APR!$R8:$U8)</f>
        <v>0</v>
      </c>
      <c r="AT205" s="449">
        <f>APR!AG8</f>
        <v>0</v>
      </c>
      <c r="AU205" s="445">
        <f>APR!AH8</f>
        <v>0</v>
      </c>
      <c r="AV205" s="446">
        <f>APR!AI8</f>
        <v>0</v>
      </c>
      <c r="AW205" s="447">
        <f>APR!AJ8</f>
        <v>0</v>
      </c>
      <c r="AX205" s="448">
        <f>APR!AK8</f>
        <v>0</v>
      </c>
      <c r="AY205" s="445">
        <f>SUMIF(APR!$G$152:$J$152,"&gt;0",APR!$W8:$Z8)</f>
        <v>0</v>
      </c>
      <c r="AZ205" s="1062">
        <f>SUM(APR!AB8:AE8)</f>
        <v>0</v>
      </c>
      <c r="BA205" s="472">
        <f>SUMIF(APR!$G$159:$J$159,BA$111,APR!$R8:$U8)+SUMIF(APR!$G$159:$J$159,BA$111,APR!$W8:$Z8)</f>
        <v>0</v>
      </c>
      <c r="BB205" s="473">
        <f>SUMIF(APR!$G$159:$J$159,BB$111,APR!$R8:$U8)+SUMIF(APR!$G$159:$J$159,BB$111,APR!$W8:$Z8)</f>
        <v>0</v>
      </c>
      <c r="BC205" s="473">
        <f>SUMIF(APR!$G$159:$J$159,BC$111,APR!$R8:$U8)+SUMIF(APR!$G$159:$J$159,BC$111,APR!$W8:$Z8)</f>
        <v>0</v>
      </c>
      <c r="BD205" s="473">
        <f>SUMIF(APR!$G$159:$J$159,BD$111,APR!$R8:$U8)+SUMIF(APR!$G$159:$J$159,BD$111,APR!$W8:$Z8)</f>
        <v>0</v>
      </c>
      <c r="BE205" s="473">
        <f>SUMIF(APR!$G$159:$J$159,BE$111,APR!$R8:$U8)+SUMIF(APR!$G$159:$J$159,BE$111,APR!$W8:$Z8)</f>
        <v>0</v>
      </c>
      <c r="BF205" s="473">
        <f>SUMIF(APR!$G$159:$J$159,BF$111,APR!$R8:$U8)+SUMIF(APR!$G$159:$J$159,BF$111,APR!$W8:$Z8)</f>
        <v>0</v>
      </c>
      <c r="BG205" s="474">
        <f>SUMIF(APR!$G$159:$J$159,BG$111,APR!$R8:$U8)+SUMIF(APR!$G$159:$J$159,BG$111,APR!$W8:$Z8)</f>
        <v>0</v>
      </c>
      <c r="BH205" s="570"/>
      <c r="BI205" s="474"/>
      <c r="BJ205" s="470"/>
      <c r="BK205" s="472">
        <f>SUMIF(APR!$G$157:$J$157,BK$111,APR!$R8:$U8)+SUMIF(APR!$G$157:$J$157,BK$111,APR!$W8:$Z8)</f>
        <v>0</v>
      </c>
      <c r="BL205" s="473">
        <f>SUMIF(APR!$G$157:$J$157,BL$111,APR!$R8:$U8)+SUMIF(APR!$G$157:$J$157,BL$111,APR!$W8:$Z8)</f>
        <v>0</v>
      </c>
      <c r="BM205" s="473">
        <f>SUMIF(APR!$G$157:$J$157,BM$111,APR!$R8:$U8)+SUMIF(APR!$G$157:$J$157,BM$111,APR!$W8:$Z8)</f>
        <v>0</v>
      </c>
      <c r="BN205" s="473">
        <f>SUMIF(APR!$G$157:$J$157,BN$111,APR!$R8:$U8)+SUMIF(APR!$G$157:$J$157,BN$111,APR!$W8:$Z8)</f>
        <v>0</v>
      </c>
      <c r="BO205" s="473">
        <f>SUMIF(APR!$G$157:$J$157,BO$111,APR!$R8:$U8)+SUMIF(APR!$G$157:$J$157,BO$111,APR!$W8:$Z8)</f>
        <v>0</v>
      </c>
      <c r="BP205" s="473">
        <f>SUMIF(APR!$G$157:$J$157,BP$111,APR!$R8:$U8)+SUMIF(APR!$G$157:$J$157,BP$111,APR!$W8:$Z8)</f>
        <v>0</v>
      </c>
      <c r="BQ205" s="474">
        <f>SUMIF(APR!$G$157:$J$157,BQ$111,APR!$R8:$U8)+SUMIF(APR!$G$157:$J$157,BQ$111,APR!$W8:$Z8)</f>
        <v>0</v>
      </c>
      <c r="BR205" s="570"/>
      <c r="BS205" s="473"/>
      <c r="BT205" s="474"/>
      <c r="BU205" s="470"/>
      <c r="BV205" s="472">
        <f>SUMIF(APR!$G$158:$J$158,BV$111,APR!$R8:$U8)+SUMIF(APR!$G$158:$J$158,BV$111,APR!$W8:$Z8)</f>
        <v>0</v>
      </c>
      <c r="BW205" s="473">
        <f>SUMIF(APR!$G$158:$J$158,BW$111,APR!$R8:$U8)+SUMIF(APR!$G$158:$J$158,BW$111,APR!$W8:$Z8)</f>
        <v>0</v>
      </c>
      <c r="BX205" s="473">
        <f>SUMIF(APR!$G$158:$J$158,BX$111,APR!$R8:$U8)+SUMIF(APR!$G$158:$J$158,BX$111,APR!$W8:$Z8)</f>
        <v>0</v>
      </c>
      <c r="BY205" s="473">
        <f>SUMIF(APR!$G$158:$J$158,BY$111,APR!$R8:$U8)+SUMIF(APR!$G$158:$J$158,BY$111,APR!$W8:$Z8)</f>
        <v>0</v>
      </c>
      <c r="BZ205" s="473">
        <f>SUMIF(APR!$G$158:$J$158,BZ$111,APR!$R8:$U8)+SUMIF(APR!$G$158:$J$158,BZ$111,APR!$W8:$Z8)</f>
        <v>0</v>
      </c>
      <c r="CA205" s="473">
        <f>SUMIF(APR!$G$158:$J$158,CA$111,APR!$R8:$U8)+SUMIF(APR!$G$158:$J$158,CA$111,APR!$W8:$Z8)</f>
        <v>0</v>
      </c>
      <c r="CB205" s="474">
        <f>SUMIF(APR!$G$158:$J$158,CB$111,APR!$R8:$U8)+SUMIF(APR!$G$158:$J$158,CB$111,APR!$W8:$Z8)</f>
        <v>0</v>
      </c>
      <c r="CC205" s="570"/>
      <c r="CD205" s="474"/>
      <c r="CE205" s="92">
        <f t="shared" si="243"/>
        <v>0</v>
      </c>
      <c r="CF205" s="92">
        <f t="shared" si="244"/>
        <v>0</v>
      </c>
      <c r="CG205" s="151" t="str">
        <f t="shared" si="230"/>
        <v/>
      </c>
      <c r="CH205" s="92">
        <f t="shared" si="233"/>
        <v>0</v>
      </c>
      <c r="CI205" s="92" t="str">
        <f t="shared" si="245"/>
        <v/>
      </c>
      <c r="CJ205" s="1102">
        <f>APR!AM8</f>
        <v>0</v>
      </c>
      <c r="CK205" s="445">
        <f>SUMIF(APR!$G$155:$J$155,CK$112,APR!$AN8:$AQ8)</f>
        <v>0</v>
      </c>
      <c r="CL205" s="446">
        <f>SUMIF(APR!$G$155:$J$155,CL$112,APR!$AN8:$AQ8)</f>
        <v>0</v>
      </c>
      <c r="CM205" s="447">
        <f>SUMIF(APR!$G$155:$J$155,CM$112,APR!$AN8:$AQ8)</f>
        <v>0</v>
      </c>
      <c r="CN205" s="448">
        <f>SUMIF(APR!$G$155:$J$155,CN$112,APR!$AN8:$AQ8)</f>
        <v>0</v>
      </c>
      <c r="CO205" s="1102">
        <f>APR!AS8</f>
        <v>0</v>
      </c>
      <c r="CP205" s="445">
        <f>APR!AT8</f>
        <v>0</v>
      </c>
      <c r="CQ205" s="446">
        <f>APR!AU8</f>
        <v>0</v>
      </c>
      <c r="CR205" s="447">
        <f>APR!AV8</f>
        <v>0</v>
      </c>
      <c r="CS205" s="448">
        <f>APR!AW8</f>
        <v>0</v>
      </c>
      <c r="CT205" s="1102">
        <f>APR!AY8</f>
        <v>0</v>
      </c>
      <c r="CU205" s="2"/>
    </row>
    <row r="206" spans="1:99" ht="14.25" hidden="1" customHeight="1" x14ac:dyDescent="0.2">
      <c r="A206" s="2"/>
      <c r="B206" s="151">
        <f t="shared" si="234"/>
        <v>45384</v>
      </c>
      <c r="C206" s="223">
        <f>IF(AND(E206&gt;(E$494-1),E206&lt;(I$494+1)),W$485,IF(ISERROR(HLOOKUP(E206,$E$487:$L$487,1,FALSE)),HLOOKUP(WEEKDAY(E206,2),IMPOSTAZIONI!$C$51:$P$56,6,FALSE),$W$484))</f>
        <v>0</v>
      </c>
      <c r="D206" s="103" t="str">
        <f t="shared" si="235"/>
        <v/>
      </c>
      <c r="E206" s="2380">
        <f t="shared" si="246"/>
        <v>45384</v>
      </c>
      <c r="F206" s="2381"/>
      <c r="G206" s="2325" t="str">
        <f>APR!E9</f>
        <v xml:space="preserve">attiva trim.  </v>
      </c>
      <c r="H206" s="2326"/>
      <c r="I206" s="2327"/>
      <c r="J206" s="479" t="str">
        <f t="shared" si="231"/>
        <v/>
      </c>
      <c r="K206" s="480"/>
      <c r="L206" s="2319">
        <f t="shared" si="247"/>
        <v>14</v>
      </c>
      <c r="M206" s="2320"/>
      <c r="N206" s="478"/>
      <c r="O206" s="478"/>
      <c r="P206" s="478"/>
      <c r="Q206" s="2315">
        <f t="shared" si="236"/>
        <v>45384</v>
      </c>
      <c r="R206" s="2315"/>
      <c r="S206" s="478"/>
      <c r="T206" s="140">
        <f t="shared" si="237"/>
        <v>1</v>
      </c>
      <c r="U206" s="478"/>
      <c r="V206" s="478"/>
      <c r="W206" s="478"/>
      <c r="X206" s="478"/>
      <c r="Y206" s="478"/>
      <c r="Z206" s="478"/>
      <c r="AA206" s="478"/>
      <c r="AB206" s="478"/>
      <c r="AC206" s="478"/>
      <c r="AD206" s="478"/>
      <c r="AE206" s="478"/>
      <c r="AF206" s="478"/>
      <c r="AG206" s="140">
        <f t="shared" si="238"/>
        <v>0</v>
      </c>
      <c r="AH206" s="92" t="str">
        <f t="shared" si="239"/>
        <v/>
      </c>
      <c r="AI206" s="131">
        <f t="shared" si="240"/>
        <v>0</v>
      </c>
      <c r="AJ206" s="2"/>
      <c r="AK206" s="92">
        <f>IF(G206=G$481,0,IF(OR(G206&lt;&gt;0,CJ206&lt;&gt;0,C206="L"),COUNTIF(AK$114:AK205,"&gt;0")+1,0))</f>
        <v>0</v>
      </c>
      <c r="AL206" s="92" t="str">
        <f t="shared" si="241"/>
        <v/>
      </c>
      <c r="AM206" s="92" t="str">
        <f t="shared" si="242"/>
        <v/>
      </c>
      <c r="AN206" s="131">
        <f t="shared" si="232"/>
        <v>0</v>
      </c>
      <c r="AO206" s="447">
        <f>SUM(APR!W9:Z9)</f>
        <v>0</v>
      </c>
      <c r="AP206" s="445">
        <f>SUMIF(APR!$G$155:$J$155,AP$112,APR!$R9:$U9)</f>
        <v>0</v>
      </c>
      <c r="AQ206" s="446">
        <f>SUMIF(APR!$G$155:$J$155,AQ$112,APR!$R9:$U9)</f>
        <v>0</v>
      </c>
      <c r="AR206" s="447">
        <f>SUMIF(APR!$G$155:$J$155,AR$112,APR!$R9:$U9)</f>
        <v>0</v>
      </c>
      <c r="AS206" s="448">
        <f>SUMIF(APR!$G$155:$J$155,AS$112,APR!$R9:$U9)</f>
        <v>0</v>
      </c>
      <c r="AT206" s="449">
        <f>APR!AG9</f>
        <v>0</v>
      </c>
      <c r="AU206" s="445">
        <f>APR!AH9</f>
        <v>0</v>
      </c>
      <c r="AV206" s="446">
        <f>APR!AI9</f>
        <v>0</v>
      </c>
      <c r="AW206" s="447">
        <f>APR!AJ9</f>
        <v>0</v>
      </c>
      <c r="AX206" s="448">
        <f>APR!AK9</f>
        <v>0</v>
      </c>
      <c r="AY206" s="445">
        <f>SUMIF(APR!$G$152:$J$152,"&gt;0",APR!$W9:$Z9)</f>
        <v>0</v>
      </c>
      <c r="AZ206" s="1063">
        <f>SUM(APR!AB9:AE9)</f>
        <v>0</v>
      </c>
      <c r="BA206" s="445">
        <f>SUMIF(APR!$G$159:$J$159,BA$111,APR!$R9:$U9)+SUMIF(APR!$G$159:$J$159,BA$111,APR!$W9:$Z9)</f>
        <v>0</v>
      </c>
      <c r="BB206" s="446">
        <f>SUMIF(APR!$G$159:$J$159,BB$111,APR!$R9:$U9)+SUMIF(APR!$G$159:$J$159,BB$111,APR!$W9:$Z9)</f>
        <v>0</v>
      </c>
      <c r="BC206" s="446">
        <f>SUMIF(APR!$G$159:$J$159,BC$111,APR!$R9:$U9)+SUMIF(APR!$G$159:$J$159,BC$111,APR!$W9:$Z9)</f>
        <v>0</v>
      </c>
      <c r="BD206" s="446">
        <f>SUMIF(APR!$G$159:$J$159,BD$111,APR!$R9:$U9)+SUMIF(APR!$G$159:$J$159,BD$111,APR!$W9:$Z9)</f>
        <v>0</v>
      </c>
      <c r="BE206" s="446">
        <f>SUMIF(APR!$G$159:$J$159,BE$111,APR!$R9:$U9)+SUMIF(APR!$G$159:$J$159,BE$111,APR!$W9:$Z9)</f>
        <v>0</v>
      </c>
      <c r="BF206" s="446">
        <f>SUMIF(APR!$G$159:$J$159,BF$111,APR!$R9:$U9)+SUMIF(APR!$G$159:$J$159,BF$111,APR!$W9:$Z9)</f>
        <v>0</v>
      </c>
      <c r="BG206" s="448">
        <f>SUMIF(APR!$G$159:$J$159,BG$111,APR!$R9:$U9)+SUMIF(APR!$G$159:$J$159,BG$111,APR!$W9:$Z9)</f>
        <v>0</v>
      </c>
      <c r="BH206" s="571"/>
      <c r="BI206" s="448"/>
      <c r="BJ206" s="470"/>
      <c r="BK206" s="445">
        <f>SUMIF(APR!$G$157:$J$157,BK$111,APR!$R9:$U9)+SUMIF(APR!$G$157:$J$157,BK$111,APR!$W9:$Z9)</f>
        <v>0</v>
      </c>
      <c r="BL206" s="446">
        <f>SUMIF(APR!$G$157:$J$157,BL$111,APR!$R9:$U9)+SUMIF(APR!$G$157:$J$157,BL$111,APR!$W9:$Z9)</f>
        <v>0</v>
      </c>
      <c r="BM206" s="446">
        <f>SUMIF(APR!$G$157:$J$157,BM$111,APR!$R9:$U9)+SUMIF(APR!$G$157:$J$157,BM$111,APR!$W9:$Z9)</f>
        <v>0</v>
      </c>
      <c r="BN206" s="446">
        <f>SUMIF(APR!$G$157:$J$157,BN$111,APR!$R9:$U9)+SUMIF(APR!$G$157:$J$157,BN$111,APR!$W9:$Z9)</f>
        <v>0</v>
      </c>
      <c r="BO206" s="446">
        <f>SUMIF(APR!$G$157:$J$157,BO$111,APR!$R9:$U9)+SUMIF(APR!$G$157:$J$157,BO$111,APR!$W9:$Z9)</f>
        <v>0</v>
      </c>
      <c r="BP206" s="446">
        <f>SUMIF(APR!$G$157:$J$157,BP$111,APR!$R9:$U9)+SUMIF(APR!$G$157:$J$157,BP$111,APR!$W9:$Z9)</f>
        <v>0</v>
      </c>
      <c r="BQ206" s="448">
        <f>SUMIF(APR!$G$157:$J$157,BQ$111,APR!$R9:$U9)+SUMIF(APR!$G$157:$J$157,BQ$111,APR!$W9:$Z9)</f>
        <v>0</v>
      </c>
      <c r="BR206" s="571"/>
      <c r="BS206" s="446"/>
      <c r="BT206" s="448"/>
      <c r="BU206" s="470"/>
      <c r="BV206" s="445">
        <f>SUMIF(APR!$G$158:$J$158,BV$111,APR!$R9:$U9)+SUMIF(APR!$G$158:$J$158,BV$111,APR!$W9:$Z9)</f>
        <v>0</v>
      </c>
      <c r="BW206" s="446">
        <f>SUMIF(APR!$G$158:$J$158,BW$111,APR!$R9:$U9)+SUMIF(APR!$G$158:$J$158,BW$111,APR!$W9:$Z9)</f>
        <v>0</v>
      </c>
      <c r="BX206" s="446">
        <f>SUMIF(APR!$G$158:$J$158,BX$111,APR!$R9:$U9)+SUMIF(APR!$G$158:$J$158,BX$111,APR!$W9:$Z9)</f>
        <v>0</v>
      </c>
      <c r="BY206" s="446">
        <f>SUMIF(APR!$G$158:$J$158,BY$111,APR!$R9:$U9)+SUMIF(APR!$G$158:$J$158,BY$111,APR!$W9:$Z9)</f>
        <v>0</v>
      </c>
      <c r="BZ206" s="446">
        <f>SUMIF(APR!$G$158:$J$158,BZ$111,APR!$R9:$U9)+SUMIF(APR!$G$158:$J$158,BZ$111,APR!$W9:$Z9)</f>
        <v>0</v>
      </c>
      <c r="CA206" s="446">
        <f>SUMIF(APR!$G$158:$J$158,CA$111,APR!$R9:$U9)+SUMIF(APR!$G$158:$J$158,CA$111,APR!$W9:$Z9)</f>
        <v>0</v>
      </c>
      <c r="CB206" s="448">
        <f>SUMIF(APR!$G$158:$J$158,CB$111,APR!$R9:$U9)+SUMIF(APR!$G$158:$J$158,CB$111,APR!$W9:$Z9)</f>
        <v>0</v>
      </c>
      <c r="CC206" s="571"/>
      <c r="CD206" s="448"/>
      <c r="CE206" s="92">
        <f t="shared" si="243"/>
        <v>0</v>
      </c>
      <c r="CF206" s="92">
        <f t="shared" si="244"/>
        <v>0</v>
      </c>
      <c r="CG206" s="151" t="str">
        <f t="shared" si="230"/>
        <v/>
      </c>
      <c r="CH206" s="92">
        <f t="shared" si="233"/>
        <v>0</v>
      </c>
      <c r="CI206" s="92" t="str">
        <f t="shared" si="245"/>
        <v/>
      </c>
      <c r="CJ206" s="1100">
        <f>APR!AM9</f>
        <v>0</v>
      </c>
      <c r="CK206" s="445">
        <f>SUMIF(APR!$G$155:$J$155,CK$112,APR!$AN9:$AQ9)</f>
        <v>0</v>
      </c>
      <c r="CL206" s="446">
        <f>SUMIF(APR!$G$155:$J$155,CL$112,APR!$AN9:$AQ9)</f>
        <v>0</v>
      </c>
      <c r="CM206" s="447">
        <f>SUMIF(APR!$G$155:$J$155,CM$112,APR!$AN9:$AQ9)</f>
        <v>0</v>
      </c>
      <c r="CN206" s="448">
        <f>SUMIF(APR!$G$155:$J$155,CN$112,APR!$AN9:$AQ9)</f>
        <v>0</v>
      </c>
      <c r="CO206" s="1100">
        <f>APR!AS9</f>
        <v>0</v>
      </c>
      <c r="CP206" s="445">
        <f>APR!AT9</f>
        <v>0</v>
      </c>
      <c r="CQ206" s="446">
        <f>APR!AU9</f>
        <v>0</v>
      </c>
      <c r="CR206" s="447">
        <f>APR!AV9</f>
        <v>0</v>
      </c>
      <c r="CS206" s="448">
        <f>APR!AW9</f>
        <v>0</v>
      </c>
      <c r="CT206" s="1100">
        <f>APR!AY9</f>
        <v>0</v>
      </c>
      <c r="CU206" s="2"/>
    </row>
    <row r="207" spans="1:99" ht="14.25" hidden="1" customHeight="1" x14ac:dyDescent="0.2">
      <c r="A207" s="2"/>
      <c r="B207" s="151">
        <f t="shared" si="234"/>
        <v>45385</v>
      </c>
      <c r="C207" s="223">
        <f>IF(AND(E207&gt;(E$494-1),E207&lt;(I$494+1)),W$485,IF(ISERROR(HLOOKUP(E207,$E$487:$L$487,1,FALSE)),HLOOKUP(WEEKDAY(E207,2),IMPOSTAZIONI!$C$51:$P$56,6,FALSE),$W$484))</f>
        <v>0</v>
      </c>
      <c r="D207" s="103" t="str">
        <f t="shared" si="235"/>
        <v/>
      </c>
      <c r="E207" s="2380">
        <f t="shared" si="246"/>
        <v>45385</v>
      </c>
      <c r="F207" s="2381"/>
      <c r="G207" s="2325" t="str">
        <f>APR!E10</f>
        <v xml:space="preserve">attiva trim.  </v>
      </c>
      <c r="H207" s="2326"/>
      <c r="I207" s="2327"/>
      <c r="J207" s="479" t="str">
        <f t="shared" si="231"/>
        <v/>
      </c>
      <c r="K207" s="480"/>
      <c r="L207" s="2319">
        <f t="shared" si="247"/>
        <v>14</v>
      </c>
      <c r="M207" s="2320"/>
      <c r="N207" s="478"/>
      <c r="O207" s="478"/>
      <c r="P207" s="478"/>
      <c r="Q207" s="2315">
        <f t="shared" si="236"/>
        <v>45385</v>
      </c>
      <c r="R207" s="2315"/>
      <c r="S207" s="478"/>
      <c r="T207" s="140">
        <f t="shared" si="237"/>
        <v>1</v>
      </c>
      <c r="U207" s="478"/>
      <c r="V207" s="478"/>
      <c r="W207" s="478"/>
      <c r="X207" s="478"/>
      <c r="Y207" s="478"/>
      <c r="Z207" s="478"/>
      <c r="AA207" s="478"/>
      <c r="AB207" s="478"/>
      <c r="AC207" s="478"/>
      <c r="AD207" s="478"/>
      <c r="AE207" s="478"/>
      <c r="AF207" s="478"/>
      <c r="AG207" s="140">
        <f t="shared" si="238"/>
        <v>0</v>
      </c>
      <c r="AH207" s="92" t="str">
        <f t="shared" si="239"/>
        <v/>
      </c>
      <c r="AI207" s="131">
        <f t="shared" si="240"/>
        <v>0</v>
      </c>
      <c r="AJ207" s="2"/>
      <c r="AK207" s="92">
        <f>IF(G207=G$481,0,IF(OR(G207&lt;&gt;0,CJ207&lt;&gt;0,C207="L"),COUNTIF(AK$114:AK206,"&gt;0")+1,0))</f>
        <v>0</v>
      </c>
      <c r="AL207" s="92" t="str">
        <f t="shared" si="241"/>
        <v/>
      </c>
      <c r="AM207" s="92" t="str">
        <f t="shared" si="242"/>
        <v/>
      </c>
      <c r="AN207" s="131">
        <f t="shared" si="232"/>
        <v>0</v>
      </c>
      <c r="AO207" s="447">
        <f>SUM(APR!W10:Z10)</f>
        <v>0</v>
      </c>
      <c r="AP207" s="445">
        <f>SUMIF(APR!$G$155:$J$155,AP$112,APR!$R10:$U10)</f>
        <v>0</v>
      </c>
      <c r="AQ207" s="446">
        <f>SUMIF(APR!$G$155:$J$155,AQ$112,APR!$R10:$U10)</f>
        <v>0</v>
      </c>
      <c r="AR207" s="447">
        <f>SUMIF(APR!$G$155:$J$155,AR$112,APR!$R10:$U10)</f>
        <v>0</v>
      </c>
      <c r="AS207" s="448">
        <f>SUMIF(APR!$G$155:$J$155,AS$112,APR!$R10:$U10)</f>
        <v>0</v>
      </c>
      <c r="AT207" s="449">
        <f>APR!AG10</f>
        <v>0</v>
      </c>
      <c r="AU207" s="445">
        <f>APR!AH10</f>
        <v>0</v>
      </c>
      <c r="AV207" s="446">
        <f>APR!AI10</f>
        <v>0</v>
      </c>
      <c r="AW207" s="447">
        <f>APR!AJ10</f>
        <v>0</v>
      </c>
      <c r="AX207" s="448">
        <f>APR!AK10</f>
        <v>0</v>
      </c>
      <c r="AY207" s="445">
        <f>SUMIF(APR!$G$152:$J$152,"&gt;0",APR!$W10:$Z10)</f>
        <v>0</v>
      </c>
      <c r="AZ207" s="1063">
        <f>SUM(APR!AB10:AE10)</f>
        <v>0</v>
      </c>
      <c r="BA207" s="445">
        <f>SUMIF(APR!$G$159:$J$159,BA$111,APR!$R10:$U10)+SUMIF(APR!$G$159:$J$159,BA$111,APR!$W10:$Z10)</f>
        <v>0</v>
      </c>
      <c r="BB207" s="446">
        <f>SUMIF(APR!$G$159:$J$159,BB$111,APR!$R10:$U10)+SUMIF(APR!$G$159:$J$159,BB$111,APR!$W10:$Z10)</f>
        <v>0</v>
      </c>
      <c r="BC207" s="446">
        <f>SUMIF(APR!$G$159:$J$159,BC$111,APR!$R10:$U10)+SUMIF(APR!$G$159:$J$159,BC$111,APR!$W10:$Z10)</f>
        <v>0</v>
      </c>
      <c r="BD207" s="446">
        <f>SUMIF(APR!$G$159:$J$159,BD$111,APR!$R10:$U10)+SUMIF(APR!$G$159:$J$159,BD$111,APR!$W10:$Z10)</f>
        <v>0</v>
      </c>
      <c r="BE207" s="446">
        <f>SUMIF(APR!$G$159:$J$159,BE$111,APR!$R10:$U10)+SUMIF(APR!$G$159:$J$159,BE$111,APR!$W10:$Z10)</f>
        <v>0</v>
      </c>
      <c r="BF207" s="446">
        <f>SUMIF(APR!$G$159:$J$159,BF$111,APR!$R10:$U10)+SUMIF(APR!$G$159:$J$159,BF$111,APR!$W10:$Z10)</f>
        <v>0</v>
      </c>
      <c r="BG207" s="448">
        <f>SUMIF(APR!$G$159:$J$159,BG$111,APR!$R10:$U10)+SUMIF(APR!$G$159:$J$159,BG$111,APR!$W10:$Z10)</f>
        <v>0</v>
      </c>
      <c r="BH207" s="571"/>
      <c r="BI207" s="448"/>
      <c r="BJ207" s="470"/>
      <c r="BK207" s="445">
        <f>SUMIF(APR!$G$157:$J$157,BK$111,APR!$R10:$U10)+SUMIF(APR!$G$157:$J$157,BK$111,APR!$W10:$Z10)</f>
        <v>0</v>
      </c>
      <c r="BL207" s="446">
        <f>SUMIF(APR!$G$157:$J$157,BL$111,APR!$R10:$U10)+SUMIF(APR!$G$157:$J$157,BL$111,APR!$W10:$Z10)</f>
        <v>0</v>
      </c>
      <c r="BM207" s="446">
        <f>SUMIF(APR!$G$157:$J$157,BM$111,APR!$R10:$U10)+SUMIF(APR!$G$157:$J$157,BM$111,APR!$W10:$Z10)</f>
        <v>0</v>
      </c>
      <c r="BN207" s="446">
        <f>SUMIF(APR!$G$157:$J$157,BN$111,APR!$R10:$U10)+SUMIF(APR!$G$157:$J$157,BN$111,APR!$W10:$Z10)</f>
        <v>0</v>
      </c>
      <c r="BO207" s="446">
        <f>SUMIF(APR!$G$157:$J$157,BO$111,APR!$R10:$U10)+SUMIF(APR!$G$157:$J$157,BO$111,APR!$W10:$Z10)</f>
        <v>0</v>
      </c>
      <c r="BP207" s="446">
        <f>SUMIF(APR!$G$157:$J$157,BP$111,APR!$R10:$U10)+SUMIF(APR!$G$157:$J$157,BP$111,APR!$W10:$Z10)</f>
        <v>0</v>
      </c>
      <c r="BQ207" s="448">
        <f>SUMIF(APR!$G$157:$J$157,BQ$111,APR!$R10:$U10)+SUMIF(APR!$G$157:$J$157,BQ$111,APR!$W10:$Z10)</f>
        <v>0</v>
      </c>
      <c r="BR207" s="571"/>
      <c r="BS207" s="446"/>
      <c r="BT207" s="448"/>
      <c r="BU207" s="470"/>
      <c r="BV207" s="445">
        <f>SUMIF(APR!$G$158:$J$158,BV$111,APR!$R10:$U10)+SUMIF(APR!$G$158:$J$158,BV$111,APR!$W10:$Z10)</f>
        <v>0</v>
      </c>
      <c r="BW207" s="446">
        <f>SUMIF(APR!$G$158:$J$158,BW$111,APR!$R10:$U10)+SUMIF(APR!$G$158:$J$158,BW$111,APR!$W10:$Z10)</f>
        <v>0</v>
      </c>
      <c r="BX207" s="446">
        <f>SUMIF(APR!$G$158:$J$158,BX$111,APR!$R10:$U10)+SUMIF(APR!$G$158:$J$158,BX$111,APR!$W10:$Z10)</f>
        <v>0</v>
      </c>
      <c r="BY207" s="446">
        <f>SUMIF(APR!$G$158:$J$158,BY$111,APR!$R10:$U10)+SUMIF(APR!$G$158:$J$158,BY$111,APR!$W10:$Z10)</f>
        <v>0</v>
      </c>
      <c r="BZ207" s="446">
        <f>SUMIF(APR!$G$158:$J$158,BZ$111,APR!$R10:$U10)+SUMIF(APR!$G$158:$J$158,BZ$111,APR!$W10:$Z10)</f>
        <v>0</v>
      </c>
      <c r="CA207" s="446">
        <f>SUMIF(APR!$G$158:$J$158,CA$111,APR!$R10:$U10)+SUMIF(APR!$G$158:$J$158,CA$111,APR!$W10:$Z10)</f>
        <v>0</v>
      </c>
      <c r="CB207" s="448">
        <f>SUMIF(APR!$G$158:$J$158,CB$111,APR!$R10:$U10)+SUMIF(APR!$G$158:$J$158,CB$111,APR!$W10:$Z10)</f>
        <v>0</v>
      </c>
      <c r="CC207" s="571"/>
      <c r="CD207" s="448"/>
      <c r="CE207" s="92">
        <f t="shared" si="243"/>
        <v>0</v>
      </c>
      <c r="CF207" s="92">
        <f t="shared" si="244"/>
        <v>0</v>
      </c>
      <c r="CG207" s="151" t="str">
        <f t="shared" si="230"/>
        <v/>
      </c>
      <c r="CH207" s="92">
        <f t="shared" si="233"/>
        <v>0</v>
      </c>
      <c r="CI207" s="92" t="str">
        <f t="shared" si="245"/>
        <v/>
      </c>
      <c r="CJ207" s="1100">
        <f>APR!AM10</f>
        <v>0</v>
      </c>
      <c r="CK207" s="445">
        <f>SUMIF(APR!$G$155:$J$155,CK$112,APR!$AN10:$AQ10)</f>
        <v>0</v>
      </c>
      <c r="CL207" s="446">
        <f>SUMIF(APR!$G$155:$J$155,CL$112,APR!$AN10:$AQ10)</f>
        <v>0</v>
      </c>
      <c r="CM207" s="447">
        <f>SUMIF(APR!$G$155:$J$155,CM$112,APR!$AN10:$AQ10)</f>
        <v>0</v>
      </c>
      <c r="CN207" s="448">
        <f>SUMIF(APR!$G$155:$J$155,CN$112,APR!$AN10:$AQ10)</f>
        <v>0</v>
      </c>
      <c r="CO207" s="1100">
        <f>APR!AS10</f>
        <v>0</v>
      </c>
      <c r="CP207" s="445">
        <f>APR!AT10</f>
        <v>0</v>
      </c>
      <c r="CQ207" s="446">
        <f>APR!AU10</f>
        <v>0</v>
      </c>
      <c r="CR207" s="447">
        <f>APR!AV10</f>
        <v>0</v>
      </c>
      <c r="CS207" s="448">
        <f>APR!AW10</f>
        <v>0</v>
      </c>
      <c r="CT207" s="1100">
        <f>APR!AY10</f>
        <v>0</v>
      </c>
      <c r="CU207" s="2"/>
    </row>
    <row r="208" spans="1:99" ht="14.25" hidden="1" customHeight="1" x14ac:dyDescent="0.2">
      <c r="A208" s="2"/>
      <c r="B208" s="151">
        <f t="shared" si="234"/>
        <v>45386</v>
      </c>
      <c r="C208" s="223">
        <f>IF(AND(E208&gt;(E$494-1),E208&lt;(I$494+1)),W$485,IF(ISERROR(HLOOKUP(E208,$E$487:$L$487,1,FALSE)),HLOOKUP(WEEKDAY(E208,2),IMPOSTAZIONI!$C$51:$P$56,6,FALSE),$W$484))</f>
        <v>0</v>
      </c>
      <c r="D208" s="103" t="str">
        <f t="shared" si="235"/>
        <v/>
      </c>
      <c r="E208" s="2380">
        <f t="shared" si="246"/>
        <v>45386</v>
      </c>
      <c r="F208" s="2381"/>
      <c r="G208" s="2325" t="str">
        <f>APR!E11</f>
        <v xml:space="preserve">attiva trim.  </v>
      </c>
      <c r="H208" s="2326"/>
      <c r="I208" s="2327"/>
      <c r="J208" s="479" t="str">
        <f t="shared" si="231"/>
        <v/>
      </c>
      <c r="K208" s="480"/>
      <c r="L208" s="2319">
        <f t="shared" si="247"/>
        <v>14</v>
      </c>
      <c r="M208" s="2320"/>
      <c r="N208" s="478"/>
      <c r="O208" s="478"/>
      <c r="P208" s="478"/>
      <c r="Q208" s="2315">
        <f t="shared" si="236"/>
        <v>45386</v>
      </c>
      <c r="R208" s="2315"/>
      <c r="S208" s="478"/>
      <c r="T208" s="140">
        <f t="shared" si="237"/>
        <v>1</v>
      </c>
      <c r="U208" s="478"/>
      <c r="V208" s="478"/>
      <c r="W208" s="478"/>
      <c r="X208" s="478"/>
      <c r="Y208" s="478"/>
      <c r="Z208" s="478"/>
      <c r="AA208" s="478"/>
      <c r="AB208" s="478"/>
      <c r="AC208" s="478"/>
      <c r="AD208" s="478"/>
      <c r="AE208" s="478"/>
      <c r="AF208" s="478"/>
      <c r="AG208" s="140">
        <f t="shared" si="238"/>
        <v>0</v>
      </c>
      <c r="AH208" s="92" t="str">
        <f t="shared" si="239"/>
        <v/>
      </c>
      <c r="AI208" s="131">
        <f t="shared" si="240"/>
        <v>0</v>
      </c>
      <c r="AJ208" s="2"/>
      <c r="AK208" s="92">
        <f>IF(G208=G$481,0,IF(OR(G208&lt;&gt;0,CJ208&lt;&gt;0,C208="L"),COUNTIF(AK$114:AK207,"&gt;0")+1,0))</f>
        <v>0</v>
      </c>
      <c r="AL208" s="92" t="str">
        <f t="shared" si="241"/>
        <v/>
      </c>
      <c r="AM208" s="92" t="str">
        <f t="shared" si="242"/>
        <v/>
      </c>
      <c r="AN208" s="131">
        <f t="shared" si="232"/>
        <v>0</v>
      </c>
      <c r="AO208" s="447">
        <f>SUM(APR!W11:Z11)</f>
        <v>0</v>
      </c>
      <c r="AP208" s="445">
        <f>SUMIF(APR!$G$155:$J$155,AP$112,APR!$R11:$U11)</f>
        <v>0</v>
      </c>
      <c r="AQ208" s="446">
        <f>SUMIF(APR!$G$155:$J$155,AQ$112,APR!$R11:$U11)</f>
        <v>0</v>
      </c>
      <c r="AR208" s="447">
        <f>SUMIF(APR!$G$155:$J$155,AR$112,APR!$R11:$U11)</f>
        <v>0</v>
      </c>
      <c r="AS208" s="448">
        <f>SUMIF(APR!$G$155:$J$155,AS$112,APR!$R11:$U11)</f>
        <v>0</v>
      </c>
      <c r="AT208" s="449">
        <f>APR!AG11</f>
        <v>0</v>
      </c>
      <c r="AU208" s="445">
        <f>APR!AH11</f>
        <v>0</v>
      </c>
      <c r="AV208" s="446">
        <f>APR!AI11</f>
        <v>0</v>
      </c>
      <c r="AW208" s="447">
        <f>APR!AJ11</f>
        <v>0</v>
      </c>
      <c r="AX208" s="448">
        <f>APR!AK11</f>
        <v>0</v>
      </c>
      <c r="AY208" s="445">
        <f>SUMIF(APR!$G$152:$J$152,"&gt;0",APR!$W11:$Z11)</f>
        <v>0</v>
      </c>
      <c r="AZ208" s="1063">
        <f>SUM(APR!AB11:AE11)</f>
        <v>0</v>
      </c>
      <c r="BA208" s="445">
        <f>SUMIF(APR!$G$159:$J$159,BA$111,APR!$R11:$U11)+SUMIF(APR!$G$159:$J$159,BA$111,APR!$W11:$Z11)</f>
        <v>0</v>
      </c>
      <c r="BB208" s="446">
        <f>SUMIF(APR!$G$159:$J$159,BB$111,APR!$R11:$U11)+SUMIF(APR!$G$159:$J$159,BB$111,APR!$W11:$Z11)</f>
        <v>0</v>
      </c>
      <c r="BC208" s="446">
        <f>SUMIF(APR!$G$159:$J$159,BC$111,APR!$R11:$U11)+SUMIF(APR!$G$159:$J$159,BC$111,APR!$W11:$Z11)</f>
        <v>0</v>
      </c>
      <c r="BD208" s="446">
        <f>SUMIF(APR!$G$159:$J$159,BD$111,APR!$R11:$U11)+SUMIF(APR!$G$159:$J$159,BD$111,APR!$W11:$Z11)</f>
        <v>0</v>
      </c>
      <c r="BE208" s="446">
        <f>SUMIF(APR!$G$159:$J$159,BE$111,APR!$R11:$U11)+SUMIF(APR!$G$159:$J$159,BE$111,APR!$W11:$Z11)</f>
        <v>0</v>
      </c>
      <c r="BF208" s="446">
        <f>SUMIF(APR!$G$159:$J$159,BF$111,APR!$R11:$U11)+SUMIF(APR!$G$159:$J$159,BF$111,APR!$W11:$Z11)</f>
        <v>0</v>
      </c>
      <c r="BG208" s="448">
        <f>SUMIF(APR!$G$159:$J$159,BG$111,APR!$R11:$U11)+SUMIF(APR!$G$159:$J$159,BG$111,APR!$W11:$Z11)</f>
        <v>0</v>
      </c>
      <c r="BH208" s="571"/>
      <c r="BI208" s="448"/>
      <c r="BJ208" s="470"/>
      <c r="BK208" s="445">
        <f>SUMIF(APR!$G$157:$J$157,BK$111,APR!$R11:$U11)+SUMIF(APR!$G$157:$J$157,BK$111,APR!$W11:$Z11)</f>
        <v>0</v>
      </c>
      <c r="BL208" s="446">
        <f>SUMIF(APR!$G$157:$J$157,BL$111,APR!$R11:$U11)+SUMIF(APR!$G$157:$J$157,BL$111,APR!$W11:$Z11)</f>
        <v>0</v>
      </c>
      <c r="BM208" s="446">
        <f>SUMIF(APR!$G$157:$J$157,BM$111,APR!$R11:$U11)+SUMIF(APR!$G$157:$J$157,BM$111,APR!$W11:$Z11)</f>
        <v>0</v>
      </c>
      <c r="BN208" s="446">
        <f>SUMIF(APR!$G$157:$J$157,BN$111,APR!$R11:$U11)+SUMIF(APR!$G$157:$J$157,BN$111,APR!$W11:$Z11)</f>
        <v>0</v>
      </c>
      <c r="BO208" s="446">
        <f>SUMIF(APR!$G$157:$J$157,BO$111,APR!$R11:$U11)+SUMIF(APR!$G$157:$J$157,BO$111,APR!$W11:$Z11)</f>
        <v>0</v>
      </c>
      <c r="BP208" s="446">
        <f>SUMIF(APR!$G$157:$J$157,BP$111,APR!$R11:$U11)+SUMIF(APR!$G$157:$J$157,BP$111,APR!$W11:$Z11)</f>
        <v>0</v>
      </c>
      <c r="BQ208" s="448">
        <f>SUMIF(APR!$G$157:$J$157,BQ$111,APR!$R11:$U11)+SUMIF(APR!$G$157:$J$157,BQ$111,APR!$W11:$Z11)</f>
        <v>0</v>
      </c>
      <c r="BR208" s="571"/>
      <c r="BS208" s="446"/>
      <c r="BT208" s="448"/>
      <c r="BU208" s="470"/>
      <c r="BV208" s="445">
        <f>SUMIF(APR!$G$158:$J$158,BV$111,APR!$R11:$U11)+SUMIF(APR!$G$158:$J$158,BV$111,APR!$W11:$Z11)</f>
        <v>0</v>
      </c>
      <c r="BW208" s="446">
        <f>SUMIF(APR!$G$158:$J$158,BW$111,APR!$R11:$U11)+SUMIF(APR!$G$158:$J$158,BW$111,APR!$W11:$Z11)</f>
        <v>0</v>
      </c>
      <c r="BX208" s="446">
        <f>SUMIF(APR!$G$158:$J$158,BX$111,APR!$R11:$U11)+SUMIF(APR!$G$158:$J$158,BX$111,APR!$W11:$Z11)</f>
        <v>0</v>
      </c>
      <c r="BY208" s="446">
        <f>SUMIF(APR!$G$158:$J$158,BY$111,APR!$R11:$U11)+SUMIF(APR!$G$158:$J$158,BY$111,APR!$W11:$Z11)</f>
        <v>0</v>
      </c>
      <c r="BZ208" s="446">
        <f>SUMIF(APR!$G$158:$J$158,BZ$111,APR!$R11:$U11)+SUMIF(APR!$G$158:$J$158,BZ$111,APR!$W11:$Z11)</f>
        <v>0</v>
      </c>
      <c r="CA208" s="446">
        <f>SUMIF(APR!$G$158:$J$158,CA$111,APR!$R11:$U11)+SUMIF(APR!$G$158:$J$158,CA$111,APR!$W11:$Z11)</f>
        <v>0</v>
      </c>
      <c r="CB208" s="448">
        <f>SUMIF(APR!$G$158:$J$158,CB$111,APR!$R11:$U11)+SUMIF(APR!$G$158:$J$158,CB$111,APR!$W11:$Z11)</f>
        <v>0</v>
      </c>
      <c r="CC208" s="571"/>
      <c r="CD208" s="448"/>
      <c r="CE208" s="92">
        <f t="shared" si="243"/>
        <v>0</v>
      </c>
      <c r="CF208" s="92">
        <f t="shared" si="244"/>
        <v>0</v>
      </c>
      <c r="CG208" s="151" t="str">
        <f t="shared" si="230"/>
        <v/>
      </c>
      <c r="CH208" s="92">
        <f t="shared" si="233"/>
        <v>0</v>
      </c>
      <c r="CI208" s="92" t="str">
        <f t="shared" si="245"/>
        <v/>
      </c>
      <c r="CJ208" s="1100">
        <f>APR!AM11</f>
        <v>0</v>
      </c>
      <c r="CK208" s="445">
        <f>SUMIF(APR!$G$155:$J$155,CK$112,APR!$AN11:$AQ11)</f>
        <v>0</v>
      </c>
      <c r="CL208" s="446">
        <f>SUMIF(APR!$G$155:$J$155,CL$112,APR!$AN11:$AQ11)</f>
        <v>0</v>
      </c>
      <c r="CM208" s="447">
        <f>SUMIF(APR!$G$155:$J$155,CM$112,APR!$AN11:$AQ11)</f>
        <v>0</v>
      </c>
      <c r="CN208" s="448">
        <f>SUMIF(APR!$G$155:$J$155,CN$112,APR!$AN11:$AQ11)</f>
        <v>0</v>
      </c>
      <c r="CO208" s="1100">
        <f>APR!AS11</f>
        <v>0</v>
      </c>
      <c r="CP208" s="445">
        <f>APR!AT11</f>
        <v>0</v>
      </c>
      <c r="CQ208" s="446">
        <f>APR!AU11</f>
        <v>0</v>
      </c>
      <c r="CR208" s="447">
        <f>APR!AV11</f>
        <v>0</v>
      </c>
      <c r="CS208" s="448">
        <f>APR!AW11</f>
        <v>0</v>
      </c>
      <c r="CT208" s="1100">
        <f>APR!AY11</f>
        <v>0</v>
      </c>
      <c r="CU208" s="2"/>
    </row>
    <row r="209" spans="1:99" ht="14.25" hidden="1" customHeight="1" x14ac:dyDescent="0.2">
      <c r="A209" s="2"/>
      <c r="B209" s="151">
        <f t="shared" si="234"/>
        <v>45387</v>
      </c>
      <c r="C209" s="223">
        <f>IF(AND(E209&gt;(E$494-1),E209&lt;(I$494+1)),W$485,IF(ISERROR(HLOOKUP(E209,$E$487:$L$487,1,FALSE)),HLOOKUP(WEEKDAY(E209,2),IMPOSTAZIONI!$C$51:$P$56,6,FALSE),$W$484))</f>
        <v>0</v>
      </c>
      <c r="D209" s="103" t="str">
        <f t="shared" si="235"/>
        <v/>
      </c>
      <c r="E209" s="2380">
        <f t="shared" si="246"/>
        <v>45387</v>
      </c>
      <c r="F209" s="2381"/>
      <c r="G209" s="2325" t="str">
        <f>APR!E12</f>
        <v xml:space="preserve">attiva trim.  </v>
      </c>
      <c r="H209" s="2326"/>
      <c r="I209" s="2327"/>
      <c r="J209" s="479" t="str">
        <f t="shared" si="231"/>
        <v/>
      </c>
      <c r="K209" s="480"/>
      <c r="L209" s="2319">
        <f t="shared" si="247"/>
        <v>14</v>
      </c>
      <c r="M209" s="2320"/>
      <c r="N209" s="478"/>
      <c r="O209" s="478"/>
      <c r="P209" s="478"/>
      <c r="Q209" s="2315">
        <f t="shared" si="236"/>
        <v>45387</v>
      </c>
      <c r="R209" s="2315"/>
      <c r="S209" s="478"/>
      <c r="T209" s="140">
        <f t="shared" si="237"/>
        <v>1</v>
      </c>
      <c r="U209" s="478"/>
      <c r="V209" s="478"/>
      <c r="W209" s="478"/>
      <c r="X209" s="478"/>
      <c r="Y209" s="478"/>
      <c r="Z209" s="478"/>
      <c r="AA209" s="478"/>
      <c r="AB209" s="478"/>
      <c r="AC209" s="478"/>
      <c r="AD209" s="478"/>
      <c r="AE209" s="478"/>
      <c r="AF209" s="478"/>
      <c r="AG209" s="140">
        <f t="shared" si="238"/>
        <v>0</v>
      </c>
      <c r="AH209" s="92" t="str">
        <f t="shared" si="239"/>
        <v/>
      </c>
      <c r="AI209" s="131">
        <f t="shared" si="240"/>
        <v>0</v>
      </c>
      <c r="AJ209" s="2"/>
      <c r="AK209" s="92">
        <f>IF(G209=G$481,0,IF(OR(G209&lt;&gt;0,CJ209&lt;&gt;0,C209="L"),COUNTIF(AK$114:AK208,"&gt;0")+1,0))</f>
        <v>0</v>
      </c>
      <c r="AL209" s="92" t="str">
        <f t="shared" si="241"/>
        <v/>
      </c>
      <c r="AM209" s="92" t="str">
        <f t="shared" si="242"/>
        <v/>
      </c>
      <c r="AN209" s="131">
        <f t="shared" si="232"/>
        <v>0</v>
      </c>
      <c r="AO209" s="447">
        <f>SUM(APR!W12:Z12)</f>
        <v>0</v>
      </c>
      <c r="AP209" s="445">
        <f>SUMIF(APR!$G$155:$J$155,AP$112,APR!$R12:$U12)</f>
        <v>0</v>
      </c>
      <c r="AQ209" s="446">
        <f>SUMIF(APR!$G$155:$J$155,AQ$112,APR!$R12:$U12)</f>
        <v>0</v>
      </c>
      <c r="AR209" s="447">
        <f>SUMIF(APR!$G$155:$J$155,AR$112,APR!$R12:$U12)</f>
        <v>0</v>
      </c>
      <c r="AS209" s="448">
        <f>SUMIF(APR!$G$155:$J$155,AS$112,APR!$R12:$U12)</f>
        <v>0</v>
      </c>
      <c r="AT209" s="449">
        <f>APR!AG12</f>
        <v>0</v>
      </c>
      <c r="AU209" s="445">
        <f>APR!AH12</f>
        <v>0</v>
      </c>
      <c r="AV209" s="446">
        <f>APR!AI12</f>
        <v>0</v>
      </c>
      <c r="AW209" s="447">
        <f>APR!AJ12</f>
        <v>0</v>
      </c>
      <c r="AX209" s="448">
        <f>APR!AK12</f>
        <v>0</v>
      </c>
      <c r="AY209" s="445">
        <f>SUMIF(APR!$G$152:$J$152,"&gt;0",APR!$W12:$Z12)</f>
        <v>0</v>
      </c>
      <c r="AZ209" s="1063">
        <f>SUM(APR!AB12:AE12)</f>
        <v>0</v>
      </c>
      <c r="BA209" s="445">
        <f>SUMIF(APR!$G$159:$J$159,BA$111,APR!$R12:$U12)+SUMIF(APR!$G$159:$J$159,BA$111,APR!$W12:$Z12)</f>
        <v>0</v>
      </c>
      <c r="BB209" s="446">
        <f>SUMIF(APR!$G$159:$J$159,BB$111,APR!$R12:$U12)+SUMIF(APR!$G$159:$J$159,BB$111,APR!$W12:$Z12)</f>
        <v>0</v>
      </c>
      <c r="BC209" s="446">
        <f>SUMIF(APR!$G$159:$J$159,BC$111,APR!$R12:$U12)+SUMIF(APR!$G$159:$J$159,BC$111,APR!$W12:$Z12)</f>
        <v>0</v>
      </c>
      <c r="BD209" s="446">
        <f>SUMIF(APR!$G$159:$J$159,BD$111,APR!$R12:$U12)+SUMIF(APR!$G$159:$J$159,BD$111,APR!$W12:$Z12)</f>
        <v>0</v>
      </c>
      <c r="BE209" s="446">
        <f>SUMIF(APR!$G$159:$J$159,BE$111,APR!$R12:$U12)+SUMIF(APR!$G$159:$J$159,BE$111,APR!$W12:$Z12)</f>
        <v>0</v>
      </c>
      <c r="BF209" s="446">
        <f>SUMIF(APR!$G$159:$J$159,BF$111,APR!$R12:$U12)+SUMIF(APR!$G$159:$J$159,BF$111,APR!$W12:$Z12)</f>
        <v>0</v>
      </c>
      <c r="BG209" s="448">
        <f>SUMIF(APR!$G$159:$J$159,BG$111,APR!$R12:$U12)+SUMIF(APR!$G$159:$J$159,BG$111,APR!$W12:$Z12)</f>
        <v>0</v>
      </c>
      <c r="BH209" s="571"/>
      <c r="BI209" s="448"/>
      <c r="BJ209" s="470"/>
      <c r="BK209" s="445">
        <f>SUMIF(APR!$G$157:$J$157,BK$111,APR!$R12:$U12)+SUMIF(APR!$G$157:$J$157,BK$111,APR!$W12:$Z12)</f>
        <v>0</v>
      </c>
      <c r="BL209" s="446">
        <f>SUMIF(APR!$G$157:$J$157,BL$111,APR!$R12:$U12)+SUMIF(APR!$G$157:$J$157,BL$111,APR!$W12:$Z12)</f>
        <v>0</v>
      </c>
      <c r="BM209" s="446">
        <f>SUMIF(APR!$G$157:$J$157,BM$111,APR!$R12:$U12)+SUMIF(APR!$G$157:$J$157,BM$111,APR!$W12:$Z12)</f>
        <v>0</v>
      </c>
      <c r="BN209" s="446">
        <f>SUMIF(APR!$G$157:$J$157,BN$111,APR!$R12:$U12)+SUMIF(APR!$G$157:$J$157,BN$111,APR!$W12:$Z12)</f>
        <v>0</v>
      </c>
      <c r="BO209" s="446">
        <f>SUMIF(APR!$G$157:$J$157,BO$111,APR!$R12:$U12)+SUMIF(APR!$G$157:$J$157,BO$111,APR!$W12:$Z12)</f>
        <v>0</v>
      </c>
      <c r="BP209" s="446">
        <f>SUMIF(APR!$G$157:$J$157,BP$111,APR!$R12:$U12)+SUMIF(APR!$G$157:$J$157,BP$111,APR!$W12:$Z12)</f>
        <v>0</v>
      </c>
      <c r="BQ209" s="448">
        <f>SUMIF(APR!$G$157:$J$157,BQ$111,APR!$R12:$U12)+SUMIF(APR!$G$157:$J$157,BQ$111,APR!$W12:$Z12)</f>
        <v>0</v>
      </c>
      <c r="BR209" s="571"/>
      <c r="BS209" s="446"/>
      <c r="BT209" s="448"/>
      <c r="BU209" s="470"/>
      <c r="BV209" s="445">
        <f>SUMIF(APR!$G$158:$J$158,BV$111,APR!$R12:$U12)+SUMIF(APR!$G$158:$J$158,BV$111,APR!$W12:$Z12)</f>
        <v>0</v>
      </c>
      <c r="BW209" s="446">
        <f>SUMIF(APR!$G$158:$J$158,BW$111,APR!$R12:$U12)+SUMIF(APR!$G$158:$J$158,BW$111,APR!$W12:$Z12)</f>
        <v>0</v>
      </c>
      <c r="BX209" s="446">
        <f>SUMIF(APR!$G$158:$J$158,BX$111,APR!$R12:$U12)+SUMIF(APR!$G$158:$J$158,BX$111,APR!$W12:$Z12)</f>
        <v>0</v>
      </c>
      <c r="BY209" s="446">
        <f>SUMIF(APR!$G$158:$J$158,BY$111,APR!$R12:$U12)+SUMIF(APR!$G$158:$J$158,BY$111,APR!$W12:$Z12)</f>
        <v>0</v>
      </c>
      <c r="BZ209" s="446">
        <f>SUMIF(APR!$G$158:$J$158,BZ$111,APR!$R12:$U12)+SUMIF(APR!$G$158:$J$158,BZ$111,APR!$W12:$Z12)</f>
        <v>0</v>
      </c>
      <c r="CA209" s="446">
        <f>SUMIF(APR!$G$158:$J$158,CA$111,APR!$R12:$U12)+SUMIF(APR!$G$158:$J$158,CA$111,APR!$W12:$Z12)</f>
        <v>0</v>
      </c>
      <c r="CB209" s="448">
        <f>SUMIF(APR!$G$158:$J$158,CB$111,APR!$R12:$U12)+SUMIF(APR!$G$158:$J$158,CB$111,APR!$W12:$Z12)</f>
        <v>0</v>
      </c>
      <c r="CC209" s="571"/>
      <c r="CD209" s="448"/>
      <c r="CE209" s="92">
        <f t="shared" si="243"/>
        <v>0</v>
      </c>
      <c r="CF209" s="92">
        <f t="shared" si="244"/>
        <v>0</v>
      </c>
      <c r="CG209" s="151" t="str">
        <f t="shared" si="230"/>
        <v/>
      </c>
      <c r="CH209" s="92">
        <f t="shared" si="233"/>
        <v>0</v>
      </c>
      <c r="CI209" s="92" t="str">
        <f t="shared" si="245"/>
        <v/>
      </c>
      <c r="CJ209" s="1100">
        <f>APR!AM12</f>
        <v>0</v>
      </c>
      <c r="CK209" s="445">
        <f>SUMIF(APR!$G$155:$J$155,CK$112,APR!$AN12:$AQ12)</f>
        <v>0</v>
      </c>
      <c r="CL209" s="446">
        <f>SUMIF(APR!$G$155:$J$155,CL$112,APR!$AN12:$AQ12)</f>
        <v>0</v>
      </c>
      <c r="CM209" s="447">
        <f>SUMIF(APR!$G$155:$J$155,CM$112,APR!$AN12:$AQ12)</f>
        <v>0</v>
      </c>
      <c r="CN209" s="448">
        <f>SUMIF(APR!$G$155:$J$155,CN$112,APR!$AN12:$AQ12)</f>
        <v>0</v>
      </c>
      <c r="CO209" s="1100">
        <f>APR!AS12</f>
        <v>0</v>
      </c>
      <c r="CP209" s="445">
        <f>APR!AT12</f>
        <v>0</v>
      </c>
      <c r="CQ209" s="446">
        <f>APR!AU12</f>
        <v>0</v>
      </c>
      <c r="CR209" s="447">
        <f>APR!AV12</f>
        <v>0</v>
      </c>
      <c r="CS209" s="448">
        <f>APR!AW12</f>
        <v>0</v>
      </c>
      <c r="CT209" s="1100">
        <f>APR!AY12</f>
        <v>0</v>
      </c>
      <c r="CU209" s="2"/>
    </row>
    <row r="210" spans="1:99" ht="14.25" hidden="1" customHeight="1" x14ac:dyDescent="0.2">
      <c r="A210" s="2"/>
      <c r="B210" s="151">
        <f t="shared" si="234"/>
        <v>45388</v>
      </c>
      <c r="C210" s="223">
        <f>IF(AND(E210&gt;(E$494-1),E210&lt;(I$494+1)),W$485,IF(ISERROR(HLOOKUP(E210,$E$487:$L$487,1,FALSE)),HLOOKUP(WEEKDAY(E210,2),IMPOSTAZIONI!$C$51:$P$56,6,FALSE),$W$484))</f>
        <v>0</v>
      </c>
      <c r="D210" s="103" t="str">
        <f t="shared" si="235"/>
        <v/>
      </c>
      <c r="E210" s="2380">
        <f t="shared" si="246"/>
        <v>45388</v>
      </c>
      <c r="F210" s="2381"/>
      <c r="G210" s="2325" t="str">
        <f>APR!E13</f>
        <v xml:space="preserve">attiva trim.  </v>
      </c>
      <c r="H210" s="2326"/>
      <c r="I210" s="2327"/>
      <c r="J210" s="479" t="str">
        <f t="shared" si="231"/>
        <v/>
      </c>
      <c r="K210" s="480"/>
      <c r="L210" s="2319">
        <f t="shared" si="247"/>
        <v>14</v>
      </c>
      <c r="M210" s="2320"/>
      <c r="N210" s="478"/>
      <c r="O210" s="478"/>
      <c r="P210" s="478"/>
      <c r="Q210" s="2315">
        <f t="shared" si="236"/>
        <v>45388</v>
      </c>
      <c r="R210" s="2315"/>
      <c r="S210" s="478"/>
      <c r="T210" s="140">
        <f t="shared" si="237"/>
        <v>1</v>
      </c>
      <c r="U210" s="478"/>
      <c r="V210" s="478"/>
      <c r="W210" s="478"/>
      <c r="X210" s="478"/>
      <c r="Y210" s="478"/>
      <c r="Z210" s="478"/>
      <c r="AA210" s="478"/>
      <c r="AB210" s="478"/>
      <c r="AC210" s="478"/>
      <c r="AD210" s="478"/>
      <c r="AE210" s="478"/>
      <c r="AF210" s="478"/>
      <c r="AG210" s="140">
        <f t="shared" si="238"/>
        <v>0</v>
      </c>
      <c r="AH210" s="92" t="str">
        <f t="shared" si="239"/>
        <v/>
      </c>
      <c r="AI210" s="131">
        <f t="shared" si="240"/>
        <v>0</v>
      </c>
      <c r="AJ210" s="2"/>
      <c r="AK210" s="92">
        <f>IF(G210=G$481,0,IF(OR(G210&lt;&gt;0,CJ210&lt;&gt;0,C210="L"),COUNTIF(AK$114:AK209,"&gt;0")+1,0))</f>
        <v>0</v>
      </c>
      <c r="AL210" s="92" t="str">
        <f t="shared" si="241"/>
        <v/>
      </c>
      <c r="AM210" s="92" t="str">
        <f t="shared" si="242"/>
        <v/>
      </c>
      <c r="AN210" s="131">
        <f t="shared" si="232"/>
        <v>0</v>
      </c>
      <c r="AO210" s="447">
        <f>SUM(APR!W13:Z13)</f>
        <v>0</v>
      </c>
      <c r="AP210" s="445">
        <f>SUMIF(APR!$G$155:$J$155,AP$112,APR!$R13:$U13)</f>
        <v>0</v>
      </c>
      <c r="AQ210" s="446">
        <f>SUMIF(APR!$G$155:$J$155,AQ$112,APR!$R13:$U13)</f>
        <v>0</v>
      </c>
      <c r="AR210" s="447">
        <f>SUMIF(APR!$G$155:$J$155,AR$112,APR!$R13:$U13)</f>
        <v>0</v>
      </c>
      <c r="AS210" s="448">
        <f>SUMIF(APR!$G$155:$J$155,AS$112,APR!$R13:$U13)</f>
        <v>0</v>
      </c>
      <c r="AT210" s="449">
        <f>APR!AG13</f>
        <v>0</v>
      </c>
      <c r="AU210" s="445">
        <f>APR!AH13</f>
        <v>0</v>
      </c>
      <c r="AV210" s="446">
        <f>APR!AI13</f>
        <v>0</v>
      </c>
      <c r="AW210" s="447">
        <f>APR!AJ13</f>
        <v>0</v>
      </c>
      <c r="AX210" s="448">
        <f>APR!AK13</f>
        <v>0</v>
      </c>
      <c r="AY210" s="445">
        <f>SUMIF(APR!$G$152:$J$152,"&gt;0",APR!$W13:$Z13)</f>
        <v>0</v>
      </c>
      <c r="AZ210" s="1063">
        <f>SUM(APR!AB13:AE13)</f>
        <v>0</v>
      </c>
      <c r="BA210" s="445">
        <f>SUMIF(APR!$G$159:$J$159,BA$111,APR!$R13:$U13)+SUMIF(APR!$G$159:$J$159,BA$111,APR!$W13:$Z13)</f>
        <v>0</v>
      </c>
      <c r="BB210" s="446">
        <f>SUMIF(APR!$G$159:$J$159,BB$111,APR!$R13:$U13)+SUMIF(APR!$G$159:$J$159,BB$111,APR!$W13:$Z13)</f>
        <v>0</v>
      </c>
      <c r="BC210" s="446">
        <f>SUMIF(APR!$G$159:$J$159,BC$111,APR!$R13:$U13)+SUMIF(APR!$G$159:$J$159,BC$111,APR!$W13:$Z13)</f>
        <v>0</v>
      </c>
      <c r="BD210" s="446">
        <f>SUMIF(APR!$G$159:$J$159,BD$111,APR!$R13:$U13)+SUMIF(APR!$G$159:$J$159,BD$111,APR!$W13:$Z13)</f>
        <v>0</v>
      </c>
      <c r="BE210" s="446">
        <f>SUMIF(APR!$G$159:$J$159,BE$111,APR!$R13:$U13)+SUMIF(APR!$G$159:$J$159,BE$111,APR!$W13:$Z13)</f>
        <v>0</v>
      </c>
      <c r="BF210" s="446">
        <f>SUMIF(APR!$G$159:$J$159,BF$111,APR!$R13:$U13)+SUMIF(APR!$G$159:$J$159,BF$111,APR!$W13:$Z13)</f>
        <v>0</v>
      </c>
      <c r="BG210" s="448">
        <f>SUMIF(APR!$G$159:$J$159,BG$111,APR!$R13:$U13)+SUMIF(APR!$G$159:$J$159,BG$111,APR!$W13:$Z13)</f>
        <v>0</v>
      </c>
      <c r="BH210" s="571"/>
      <c r="BI210" s="448"/>
      <c r="BJ210" s="470"/>
      <c r="BK210" s="445">
        <f>SUMIF(APR!$G$157:$J$157,BK$111,APR!$R13:$U13)+SUMIF(APR!$G$157:$J$157,BK$111,APR!$W13:$Z13)</f>
        <v>0</v>
      </c>
      <c r="BL210" s="446">
        <f>SUMIF(APR!$G$157:$J$157,BL$111,APR!$R13:$U13)+SUMIF(APR!$G$157:$J$157,BL$111,APR!$W13:$Z13)</f>
        <v>0</v>
      </c>
      <c r="BM210" s="446">
        <f>SUMIF(APR!$G$157:$J$157,BM$111,APR!$R13:$U13)+SUMIF(APR!$G$157:$J$157,BM$111,APR!$W13:$Z13)</f>
        <v>0</v>
      </c>
      <c r="BN210" s="446">
        <f>SUMIF(APR!$G$157:$J$157,BN$111,APR!$R13:$U13)+SUMIF(APR!$G$157:$J$157,BN$111,APR!$W13:$Z13)</f>
        <v>0</v>
      </c>
      <c r="BO210" s="446">
        <f>SUMIF(APR!$G$157:$J$157,BO$111,APR!$R13:$U13)+SUMIF(APR!$G$157:$J$157,BO$111,APR!$W13:$Z13)</f>
        <v>0</v>
      </c>
      <c r="BP210" s="446">
        <f>SUMIF(APR!$G$157:$J$157,BP$111,APR!$R13:$U13)+SUMIF(APR!$G$157:$J$157,BP$111,APR!$W13:$Z13)</f>
        <v>0</v>
      </c>
      <c r="BQ210" s="448">
        <f>SUMIF(APR!$G$157:$J$157,BQ$111,APR!$R13:$U13)+SUMIF(APR!$G$157:$J$157,BQ$111,APR!$W13:$Z13)</f>
        <v>0</v>
      </c>
      <c r="BR210" s="571"/>
      <c r="BS210" s="446"/>
      <c r="BT210" s="448"/>
      <c r="BU210" s="470"/>
      <c r="BV210" s="445">
        <f>SUMIF(APR!$G$158:$J$158,BV$111,APR!$R13:$U13)+SUMIF(APR!$G$158:$J$158,BV$111,APR!$W13:$Z13)</f>
        <v>0</v>
      </c>
      <c r="BW210" s="446">
        <f>SUMIF(APR!$G$158:$J$158,BW$111,APR!$R13:$U13)+SUMIF(APR!$G$158:$J$158,BW$111,APR!$W13:$Z13)</f>
        <v>0</v>
      </c>
      <c r="BX210" s="446">
        <f>SUMIF(APR!$G$158:$J$158,BX$111,APR!$R13:$U13)+SUMIF(APR!$G$158:$J$158,BX$111,APR!$W13:$Z13)</f>
        <v>0</v>
      </c>
      <c r="BY210" s="446">
        <f>SUMIF(APR!$G$158:$J$158,BY$111,APR!$R13:$U13)+SUMIF(APR!$G$158:$J$158,BY$111,APR!$W13:$Z13)</f>
        <v>0</v>
      </c>
      <c r="BZ210" s="446">
        <f>SUMIF(APR!$G$158:$J$158,BZ$111,APR!$R13:$U13)+SUMIF(APR!$G$158:$J$158,BZ$111,APR!$W13:$Z13)</f>
        <v>0</v>
      </c>
      <c r="CA210" s="446">
        <f>SUMIF(APR!$G$158:$J$158,CA$111,APR!$R13:$U13)+SUMIF(APR!$G$158:$J$158,CA$111,APR!$W13:$Z13)</f>
        <v>0</v>
      </c>
      <c r="CB210" s="448">
        <f>SUMIF(APR!$G$158:$J$158,CB$111,APR!$R13:$U13)+SUMIF(APR!$G$158:$J$158,CB$111,APR!$W13:$Z13)</f>
        <v>0</v>
      </c>
      <c r="CC210" s="571"/>
      <c r="CD210" s="448"/>
      <c r="CE210" s="92">
        <f t="shared" si="243"/>
        <v>0</v>
      </c>
      <c r="CF210" s="92">
        <f t="shared" si="244"/>
        <v>0</v>
      </c>
      <c r="CG210" s="151" t="str">
        <f t="shared" si="230"/>
        <v/>
      </c>
      <c r="CH210" s="92">
        <f t="shared" si="233"/>
        <v>0</v>
      </c>
      <c r="CI210" s="92" t="str">
        <f t="shared" si="245"/>
        <v/>
      </c>
      <c r="CJ210" s="1100">
        <f>APR!AM13</f>
        <v>0</v>
      </c>
      <c r="CK210" s="445">
        <f>SUMIF(APR!$G$155:$J$155,CK$112,APR!$AN13:$AQ13)</f>
        <v>0</v>
      </c>
      <c r="CL210" s="446">
        <f>SUMIF(APR!$G$155:$J$155,CL$112,APR!$AN13:$AQ13)</f>
        <v>0</v>
      </c>
      <c r="CM210" s="447">
        <f>SUMIF(APR!$G$155:$J$155,CM$112,APR!$AN13:$AQ13)</f>
        <v>0</v>
      </c>
      <c r="CN210" s="448">
        <f>SUMIF(APR!$G$155:$J$155,CN$112,APR!$AN13:$AQ13)</f>
        <v>0</v>
      </c>
      <c r="CO210" s="1100">
        <f>APR!AS13</f>
        <v>0</v>
      </c>
      <c r="CP210" s="445">
        <f>APR!AT13</f>
        <v>0</v>
      </c>
      <c r="CQ210" s="446">
        <f>APR!AU13</f>
        <v>0</v>
      </c>
      <c r="CR210" s="447">
        <f>APR!AV13</f>
        <v>0</v>
      </c>
      <c r="CS210" s="448">
        <f>APR!AW13</f>
        <v>0</v>
      </c>
      <c r="CT210" s="1100">
        <f>APR!AY13</f>
        <v>0</v>
      </c>
      <c r="CU210" s="2"/>
    </row>
    <row r="211" spans="1:99" ht="14.25" hidden="1" customHeight="1" x14ac:dyDescent="0.2">
      <c r="A211" s="2"/>
      <c r="B211" s="151">
        <f t="shared" si="234"/>
        <v>45389</v>
      </c>
      <c r="C211" s="223">
        <f>IF(AND(E211&gt;(E$494-1),E211&lt;(I$494+1)),W$485,IF(ISERROR(HLOOKUP(E211,$E$487:$L$487,1,FALSE)),HLOOKUP(WEEKDAY(E211,2),IMPOSTAZIONI!$C$51:$P$56,6,FALSE),$W$484))</f>
        <v>0</v>
      </c>
      <c r="D211" s="103" t="str">
        <f t="shared" si="235"/>
        <v/>
      </c>
      <c r="E211" s="2380">
        <f t="shared" si="246"/>
        <v>45389</v>
      </c>
      <c r="F211" s="2381"/>
      <c r="G211" s="2325" t="str">
        <f>APR!E14</f>
        <v xml:space="preserve">attiva trim.  </v>
      </c>
      <c r="H211" s="2326"/>
      <c r="I211" s="2327"/>
      <c r="J211" s="479" t="str">
        <f t="shared" si="231"/>
        <v/>
      </c>
      <c r="K211" s="480"/>
      <c r="L211" s="2321">
        <f t="shared" si="247"/>
        <v>14</v>
      </c>
      <c r="M211" s="2322"/>
      <c r="N211" s="478"/>
      <c r="O211" s="478"/>
      <c r="P211" s="478"/>
      <c r="Q211" s="2315">
        <f t="shared" si="236"/>
        <v>45389</v>
      </c>
      <c r="R211" s="2315"/>
      <c r="S211" s="478"/>
      <c r="T211" s="140">
        <f t="shared" si="237"/>
        <v>1</v>
      </c>
      <c r="U211" s="478"/>
      <c r="V211" s="478"/>
      <c r="W211" s="478"/>
      <c r="X211" s="478"/>
      <c r="Y211" s="478"/>
      <c r="Z211" s="478"/>
      <c r="AA211" s="478"/>
      <c r="AB211" s="478"/>
      <c r="AC211" s="478"/>
      <c r="AD211" s="478"/>
      <c r="AE211" s="478"/>
      <c r="AF211" s="478"/>
      <c r="AG211" s="140">
        <f t="shared" si="238"/>
        <v>0</v>
      </c>
      <c r="AH211" s="92" t="str">
        <f t="shared" si="239"/>
        <v/>
      </c>
      <c r="AI211" s="131">
        <f t="shared" si="240"/>
        <v>0</v>
      </c>
      <c r="AJ211" s="2"/>
      <c r="AK211" s="92">
        <f>IF(G211=G$481,0,IF(OR(G211&lt;&gt;0,CJ211&lt;&gt;0,C211="L"),COUNTIF(AK$114:AK210,"&gt;0")+1,0))</f>
        <v>0</v>
      </c>
      <c r="AL211" s="92" t="str">
        <f t="shared" si="241"/>
        <v/>
      </c>
      <c r="AM211" s="92" t="str">
        <f t="shared" si="242"/>
        <v/>
      </c>
      <c r="AN211" s="131">
        <f t="shared" si="232"/>
        <v>0</v>
      </c>
      <c r="AO211" s="447">
        <f>SUM(APR!W14:Z14)</f>
        <v>0</v>
      </c>
      <c r="AP211" s="445">
        <f>SUMIF(APR!$G$155:$J$155,AP$112,APR!$R14:$U14)</f>
        <v>0</v>
      </c>
      <c r="AQ211" s="446">
        <f>SUMIF(APR!$G$155:$J$155,AQ$112,APR!$R14:$U14)</f>
        <v>0</v>
      </c>
      <c r="AR211" s="447">
        <f>SUMIF(APR!$G$155:$J$155,AR$112,APR!$R14:$U14)</f>
        <v>0</v>
      </c>
      <c r="AS211" s="448">
        <f>SUMIF(APR!$G$155:$J$155,AS$112,APR!$R14:$U14)</f>
        <v>0</v>
      </c>
      <c r="AT211" s="449">
        <f>APR!AG14</f>
        <v>0</v>
      </c>
      <c r="AU211" s="445">
        <f>APR!AH14</f>
        <v>0</v>
      </c>
      <c r="AV211" s="446">
        <f>APR!AI14</f>
        <v>0</v>
      </c>
      <c r="AW211" s="447">
        <f>APR!AJ14</f>
        <v>0</v>
      </c>
      <c r="AX211" s="448">
        <f>APR!AK14</f>
        <v>0</v>
      </c>
      <c r="AY211" s="445">
        <f>SUMIF(APR!$G$152:$J$152,"&gt;0",APR!$W14:$Z14)</f>
        <v>0</v>
      </c>
      <c r="AZ211" s="1063">
        <f>SUM(APR!AB14:AE14)</f>
        <v>0</v>
      </c>
      <c r="BA211" s="445">
        <f>SUMIF(APR!$G$159:$J$159,BA$111,APR!$R14:$U14)+SUMIF(APR!$G$159:$J$159,BA$111,APR!$W14:$Z14)</f>
        <v>0</v>
      </c>
      <c r="BB211" s="446">
        <f>SUMIF(APR!$G$159:$J$159,BB$111,APR!$R14:$U14)+SUMIF(APR!$G$159:$J$159,BB$111,APR!$W14:$Z14)</f>
        <v>0</v>
      </c>
      <c r="BC211" s="446">
        <f>SUMIF(APR!$G$159:$J$159,BC$111,APR!$R14:$U14)+SUMIF(APR!$G$159:$J$159,BC$111,APR!$W14:$Z14)</f>
        <v>0</v>
      </c>
      <c r="BD211" s="446">
        <f>SUMIF(APR!$G$159:$J$159,BD$111,APR!$R14:$U14)+SUMIF(APR!$G$159:$J$159,BD$111,APR!$W14:$Z14)</f>
        <v>0</v>
      </c>
      <c r="BE211" s="446">
        <f>SUMIF(APR!$G$159:$J$159,BE$111,APR!$R14:$U14)+SUMIF(APR!$G$159:$J$159,BE$111,APR!$W14:$Z14)</f>
        <v>0</v>
      </c>
      <c r="BF211" s="446">
        <f>SUMIF(APR!$G$159:$J$159,BF$111,APR!$R14:$U14)+SUMIF(APR!$G$159:$J$159,BF$111,APR!$W14:$Z14)</f>
        <v>0</v>
      </c>
      <c r="BG211" s="448">
        <f>SUMIF(APR!$G$159:$J$159,BG$111,APR!$R14:$U14)+SUMIF(APR!$G$159:$J$159,BG$111,APR!$W14:$Z14)</f>
        <v>0</v>
      </c>
      <c r="BH211" s="571"/>
      <c r="BI211" s="448"/>
      <c r="BJ211" s="470"/>
      <c r="BK211" s="445">
        <f>SUMIF(APR!$G$157:$J$157,BK$111,APR!$R14:$U14)+SUMIF(APR!$G$157:$J$157,BK$111,APR!$W14:$Z14)</f>
        <v>0</v>
      </c>
      <c r="BL211" s="446">
        <f>SUMIF(APR!$G$157:$J$157,BL$111,APR!$R14:$U14)+SUMIF(APR!$G$157:$J$157,BL$111,APR!$W14:$Z14)</f>
        <v>0</v>
      </c>
      <c r="BM211" s="446">
        <f>SUMIF(APR!$G$157:$J$157,BM$111,APR!$R14:$U14)+SUMIF(APR!$G$157:$J$157,BM$111,APR!$W14:$Z14)</f>
        <v>0</v>
      </c>
      <c r="BN211" s="446">
        <f>SUMIF(APR!$G$157:$J$157,BN$111,APR!$R14:$U14)+SUMIF(APR!$G$157:$J$157,BN$111,APR!$W14:$Z14)</f>
        <v>0</v>
      </c>
      <c r="BO211" s="446">
        <f>SUMIF(APR!$G$157:$J$157,BO$111,APR!$R14:$U14)+SUMIF(APR!$G$157:$J$157,BO$111,APR!$W14:$Z14)</f>
        <v>0</v>
      </c>
      <c r="BP211" s="446">
        <f>SUMIF(APR!$G$157:$J$157,BP$111,APR!$R14:$U14)+SUMIF(APR!$G$157:$J$157,BP$111,APR!$W14:$Z14)</f>
        <v>0</v>
      </c>
      <c r="BQ211" s="448">
        <f>SUMIF(APR!$G$157:$J$157,BQ$111,APR!$R14:$U14)+SUMIF(APR!$G$157:$J$157,BQ$111,APR!$W14:$Z14)</f>
        <v>0</v>
      </c>
      <c r="BR211" s="571"/>
      <c r="BS211" s="446"/>
      <c r="BT211" s="448"/>
      <c r="BU211" s="470"/>
      <c r="BV211" s="445">
        <f>SUMIF(APR!$G$158:$J$158,BV$111,APR!$R14:$U14)+SUMIF(APR!$G$158:$J$158,BV$111,APR!$W14:$Z14)</f>
        <v>0</v>
      </c>
      <c r="BW211" s="446">
        <f>SUMIF(APR!$G$158:$J$158,BW$111,APR!$R14:$U14)+SUMIF(APR!$G$158:$J$158,BW$111,APR!$W14:$Z14)</f>
        <v>0</v>
      </c>
      <c r="BX211" s="446">
        <f>SUMIF(APR!$G$158:$J$158,BX$111,APR!$R14:$U14)+SUMIF(APR!$G$158:$J$158,BX$111,APR!$W14:$Z14)</f>
        <v>0</v>
      </c>
      <c r="BY211" s="446">
        <f>SUMIF(APR!$G$158:$J$158,BY$111,APR!$R14:$U14)+SUMIF(APR!$G$158:$J$158,BY$111,APR!$W14:$Z14)</f>
        <v>0</v>
      </c>
      <c r="BZ211" s="446">
        <f>SUMIF(APR!$G$158:$J$158,BZ$111,APR!$R14:$U14)+SUMIF(APR!$G$158:$J$158,BZ$111,APR!$W14:$Z14)</f>
        <v>0</v>
      </c>
      <c r="CA211" s="446">
        <f>SUMIF(APR!$G$158:$J$158,CA$111,APR!$R14:$U14)+SUMIF(APR!$G$158:$J$158,CA$111,APR!$W14:$Z14)</f>
        <v>0</v>
      </c>
      <c r="CB211" s="448">
        <f>SUMIF(APR!$G$158:$J$158,CB$111,APR!$R14:$U14)+SUMIF(APR!$G$158:$J$158,CB$111,APR!$W14:$Z14)</f>
        <v>0</v>
      </c>
      <c r="CC211" s="571"/>
      <c r="CD211" s="448"/>
      <c r="CE211" s="92">
        <f t="shared" si="243"/>
        <v>0</v>
      </c>
      <c r="CF211" s="92">
        <f t="shared" si="244"/>
        <v>0</v>
      </c>
      <c r="CG211" s="151" t="str">
        <f t="shared" si="230"/>
        <v/>
      </c>
      <c r="CH211" s="92">
        <f t="shared" si="233"/>
        <v>0</v>
      </c>
      <c r="CI211" s="92" t="str">
        <f t="shared" si="245"/>
        <v/>
      </c>
      <c r="CJ211" s="1100">
        <f>APR!AM14</f>
        <v>0</v>
      </c>
      <c r="CK211" s="445">
        <f>SUMIF(APR!$G$155:$J$155,CK$112,APR!$AN14:$AQ14)</f>
        <v>0</v>
      </c>
      <c r="CL211" s="446">
        <f>SUMIF(APR!$G$155:$J$155,CL$112,APR!$AN14:$AQ14)</f>
        <v>0</v>
      </c>
      <c r="CM211" s="447">
        <f>SUMIF(APR!$G$155:$J$155,CM$112,APR!$AN14:$AQ14)</f>
        <v>0</v>
      </c>
      <c r="CN211" s="448">
        <f>SUMIF(APR!$G$155:$J$155,CN$112,APR!$AN14:$AQ14)</f>
        <v>0</v>
      </c>
      <c r="CO211" s="1100">
        <f>APR!AS14</f>
        <v>0</v>
      </c>
      <c r="CP211" s="445">
        <f>APR!AT14</f>
        <v>0</v>
      </c>
      <c r="CQ211" s="446">
        <f>APR!AU14</f>
        <v>0</v>
      </c>
      <c r="CR211" s="447">
        <f>APR!AV14</f>
        <v>0</v>
      </c>
      <c r="CS211" s="448">
        <f>APR!AW14</f>
        <v>0</v>
      </c>
      <c r="CT211" s="1100">
        <f>APR!AY14</f>
        <v>0</v>
      </c>
      <c r="CU211" s="2"/>
    </row>
    <row r="212" spans="1:99" ht="14.25" hidden="1" customHeight="1" x14ac:dyDescent="0.2">
      <c r="A212" s="2"/>
      <c r="B212" s="151">
        <f t="shared" si="234"/>
        <v>45390</v>
      </c>
      <c r="C212" s="223">
        <f>IF(AND(E212&gt;(E$494-1),E212&lt;(I$494+1)),W$485,IF(ISERROR(HLOOKUP(E212,$E$487:$L$487,1,FALSE)),HLOOKUP(WEEKDAY(E212,2),IMPOSTAZIONI!$C$51:$P$56,6,FALSE),$W$484))</f>
        <v>0</v>
      </c>
      <c r="D212" s="103" t="str">
        <f t="shared" si="235"/>
        <v/>
      </c>
      <c r="E212" s="2380">
        <f t="shared" si="246"/>
        <v>45390</v>
      </c>
      <c r="F212" s="2381"/>
      <c r="G212" s="2325" t="str">
        <f>APR!E15</f>
        <v xml:space="preserve">attiva trim.  </v>
      </c>
      <c r="H212" s="2326"/>
      <c r="I212" s="2327"/>
      <c r="J212" s="479" t="str">
        <f t="shared" si="231"/>
        <v/>
      </c>
      <c r="K212" s="480"/>
      <c r="L212" s="2323">
        <f t="shared" si="247"/>
        <v>15</v>
      </c>
      <c r="M212" s="2324"/>
      <c r="N212" s="478"/>
      <c r="O212" s="478"/>
      <c r="P212" s="478"/>
      <c r="Q212" s="2315">
        <f t="shared" si="236"/>
        <v>45390</v>
      </c>
      <c r="R212" s="2315"/>
      <c r="S212" s="478"/>
      <c r="T212" s="140">
        <f t="shared" si="237"/>
        <v>1</v>
      </c>
      <c r="U212" s="478"/>
      <c r="V212" s="478"/>
      <c r="W212" s="478"/>
      <c r="X212" s="478"/>
      <c r="Y212" s="478"/>
      <c r="Z212" s="478"/>
      <c r="AA212" s="478"/>
      <c r="AB212" s="478"/>
      <c r="AC212" s="478"/>
      <c r="AD212" s="478"/>
      <c r="AE212" s="478"/>
      <c r="AF212" s="478"/>
      <c r="AG212" s="140">
        <f t="shared" si="238"/>
        <v>0</v>
      </c>
      <c r="AH212" s="92" t="str">
        <f t="shared" si="239"/>
        <v/>
      </c>
      <c r="AI212" s="131">
        <f t="shared" si="240"/>
        <v>0</v>
      </c>
      <c r="AJ212" s="2"/>
      <c r="AK212" s="92">
        <f>IF(G212=G$481,0,IF(OR(G212&lt;&gt;0,CJ212&lt;&gt;0,C212="L"),COUNTIF(AK$114:AK211,"&gt;0")+1,0))</f>
        <v>0</v>
      </c>
      <c r="AL212" s="92" t="str">
        <f t="shared" si="241"/>
        <v/>
      </c>
      <c r="AM212" s="92" t="str">
        <f t="shared" si="242"/>
        <v/>
      </c>
      <c r="AN212" s="131">
        <f t="shared" si="232"/>
        <v>0</v>
      </c>
      <c r="AO212" s="447">
        <f>SUM(APR!W15:Z15)</f>
        <v>0</v>
      </c>
      <c r="AP212" s="445">
        <f>SUMIF(APR!$G$155:$J$155,AP$112,APR!$R15:$U15)</f>
        <v>0</v>
      </c>
      <c r="AQ212" s="446">
        <f>SUMIF(APR!$G$155:$J$155,AQ$112,APR!$R15:$U15)</f>
        <v>0</v>
      </c>
      <c r="AR212" s="447">
        <f>SUMIF(APR!$G$155:$J$155,AR$112,APR!$R15:$U15)</f>
        <v>0</v>
      </c>
      <c r="AS212" s="448">
        <f>SUMIF(APR!$G$155:$J$155,AS$112,APR!$R15:$U15)</f>
        <v>0</v>
      </c>
      <c r="AT212" s="449">
        <f>APR!AG15</f>
        <v>0</v>
      </c>
      <c r="AU212" s="445">
        <f>APR!AH15</f>
        <v>0</v>
      </c>
      <c r="AV212" s="446">
        <f>APR!AI15</f>
        <v>0</v>
      </c>
      <c r="AW212" s="447">
        <f>APR!AJ15</f>
        <v>0</v>
      </c>
      <c r="AX212" s="448">
        <f>APR!AK15</f>
        <v>0</v>
      </c>
      <c r="AY212" s="445">
        <f>SUMIF(APR!$G$152:$J$152,"&gt;0",APR!$W15:$Z15)</f>
        <v>0</v>
      </c>
      <c r="AZ212" s="1063">
        <f>SUM(APR!AB15:AE15)</f>
        <v>0</v>
      </c>
      <c r="BA212" s="445">
        <f>SUMIF(APR!$G$159:$J$159,BA$111,APR!$R15:$U15)+SUMIF(APR!$G$159:$J$159,BA$111,APR!$W15:$Z15)</f>
        <v>0</v>
      </c>
      <c r="BB212" s="446">
        <f>SUMIF(APR!$G$159:$J$159,BB$111,APR!$R15:$U15)+SUMIF(APR!$G$159:$J$159,BB$111,APR!$W15:$Z15)</f>
        <v>0</v>
      </c>
      <c r="BC212" s="446">
        <f>SUMIF(APR!$G$159:$J$159,BC$111,APR!$R15:$U15)+SUMIF(APR!$G$159:$J$159,BC$111,APR!$W15:$Z15)</f>
        <v>0</v>
      </c>
      <c r="BD212" s="446">
        <f>SUMIF(APR!$G$159:$J$159,BD$111,APR!$R15:$U15)+SUMIF(APR!$G$159:$J$159,BD$111,APR!$W15:$Z15)</f>
        <v>0</v>
      </c>
      <c r="BE212" s="446">
        <f>SUMIF(APR!$G$159:$J$159,BE$111,APR!$R15:$U15)+SUMIF(APR!$G$159:$J$159,BE$111,APR!$W15:$Z15)</f>
        <v>0</v>
      </c>
      <c r="BF212" s="446">
        <f>SUMIF(APR!$G$159:$J$159,BF$111,APR!$R15:$U15)+SUMIF(APR!$G$159:$J$159,BF$111,APR!$W15:$Z15)</f>
        <v>0</v>
      </c>
      <c r="BG212" s="448">
        <f>SUMIF(APR!$G$159:$J$159,BG$111,APR!$R15:$U15)+SUMIF(APR!$G$159:$J$159,BG$111,APR!$W15:$Z15)</f>
        <v>0</v>
      </c>
      <c r="BH212" s="571"/>
      <c r="BI212" s="448"/>
      <c r="BJ212" s="470"/>
      <c r="BK212" s="445">
        <f>SUMIF(APR!$G$157:$J$157,BK$111,APR!$R15:$U15)+SUMIF(APR!$G$157:$J$157,BK$111,APR!$W15:$Z15)</f>
        <v>0</v>
      </c>
      <c r="BL212" s="446">
        <f>SUMIF(APR!$G$157:$J$157,BL$111,APR!$R15:$U15)+SUMIF(APR!$G$157:$J$157,BL$111,APR!$W15:$Z15)</f>
        <v>0</v>
      </c>
      <c r="BM212" s="446">
        <f>SUMIF(APR!$G$157:$J$157,BM$111,APR!$R15:$U15)+SUMIF(APR!$G$157:$J$157,BM$111,APR!$W15:$Z15)</f>
        <v>0</v>
      </c>
      <c r="BN212" s="446">
        <f>SUMIF(APR!$G$157:$J$157,BN$111,APR!$R15:$U15)+SUMIF(APR!$G$157:$J$157,BN$111,APR!$W15:$Z15)</f>
        <v>0</v>
      </c>
      <c r="BO212" s="446">
        <f>SUMIF(APR!$G$157:$J$157,BO$111,APR!$R15:$U15)+SUMIF(APR!$G$157:$J$157,BO$111,APR!$W15:$Z15)</f>
        <v>0</v>
      </c>
      <c r="BP212" s="446">
        <f>SUMIF(APR!$G$157:$J$157,BP$111,APR!$R15:$U15)+SUMIF(APR!$G$157:$J$157,BP$111,APR!$W15:$Z15)</f>
        <v>0</v>
      </c>
      <c r="BQ212" s="448">
        <f>SUMIF(APR!$G$157:$J$157,BQ$111,APR!$R15:$U15)+SUMIF(APR!$G$157:$J$157,BQ$111,APR!$W15:$Z15)</f>
        <v>0</v>
      </c>
      <c r="BR212" s="571"/>
      <c r="BS212" s="446"/>
      <c r="BT212" s="448"/>
      <c r="BU212" s="470"/>
      <c r="BV212" s="445">
        <f>SUMIF(APR!$G$158:$J$158,BV$111,APR!$R15:$U15)+SUMIF(APR!$G$158:$J$158,BV$111,APR!$W15:$Z15)</f>
        <v>0</v>
      </c>
      <c r="BW212" s="446">
        <f>SUMIF(APR!$G$158:$J$158,BW$111,APR!$R15:$U15)+SUMIF(APR!$G$158:$J$158,BW$111,APR!$W15:$Z15)</f>
        <v>0</v>
      </c>
      <c r="BX212" s="446">
        <f>SUMIF(APR!$G$158:$J$158,BX$111,APR!$R15:$U15)+SUMIF(APR!$G$158:$J$158,BX$111,APR!$W15:$Z15)</f>
        <v>0</v>
      </c>
      <c r="BY212" s="446">
        <f>SUMIF(APR!$G$158:$J$158,BY$111,APR!$R15:$U15)+SUMIF(APR!$G$158:$J$158,BY$111,APR!$W15:$Z15)</f>
        <v>0</v>
      </c>
      <c r="BZ212" s="446">
        <f>SUMIF(APR!$G$158:$J$158,BZ$111,APR!$R15:$U15)+SUMIF(APR!$G$158:$J$158,BZ$111,APR!$W15:$Z15)</f>
        <v>0</v>
      </c>
      <c r="CA212" s="446">
        <f>SUMIF(APR!$G$158:$J$158,CA$111,APR!$R15:$U15)+SUMIF(APR!$G$158:$J$158,CA$111,APR!$W15:$Z15)</f>
        <v>0</v>
      </c>
      <c r="CB212" s="448">
        <f>SUMIF(APR!$G$158:$J$158,CB$111,APR!$R15:$U15)+SUMIF(APR!$G$158:$J$158,CB$111,APR!$W15:$Z15)</f>
        <v>0</v>
      </c>
      <c r="CC212" s="571"/>
      <c r="CD212" s="448"/>
      <c r="CE212" s="92">
        <f t="shared" si="243"/>
        <v>0</v>
      </c>
      <c r="CF212" s="92">
        <f t="shared" si="244"/>
        <v>0</v>
      </c>
      <c r="CG212" s="151" t="str">
        <f t="shared" si="230"/>
        <v/>
      </c>
      <c r="CH212" s="92">
        <f t="shared" si="233"/>
        <v>0</v>
      </c>
      <c r="CI212" s="92" t="str">
        <f t="shared" si="245"/>
        <v/>
      </c>
      <c r="CJ212" s="1100">
        <f>APR!AM15</f>
        <v>0</v>
      </c>
      <c r="CK212" s="445">
        <f>SUMIF(APR!$G$155:$J$155,CK$112,APR!$AN15:$AQ15)</f>
        <v>0</v>
      </c>
      <c r="CL212" s="446">
        <f>SUMIF(APR!$G$155:$J$155,CL$112,APR!$AN15:$AQ15)</f>
        <v>0</v>
      </c>
      <c r="CM212" s="447">
        <f>SUMIF(APR!$G$155:$J$155,CM$112,APR!$AN15:$AQ15)</f>
        <v>0</v>
      </c>
      <c r="CN212" s="448">
        <f>SUMIF(APR!$G$155:$J$155,CN$112,APR!$AN15:$AQ15)</f>
        <v>0</v>
      </c>
      <c r="CO212" s="1100">
        <f>APR!AS15</f>
        <v>0</v>
      </c>
      <c r="CP212" s="445">
        <f>APR!AT15</f>
        <v>0</v>
      </c>
      <c r="CQ212" s="446">
        <f>APR!AU15</f>
        <v>0</v>
      </c>
      <c r="CR212" s="447">
        <f>APR!AV15</f>
        <v>0</v>
      </c>
      <c r="CS212" s="448">
        <f>APR!AW15</f>
        <v>0</v>
      </c>
      <c r="CT212" s="1100">
        <f>APR!AY15</f>
        <v>0</v>
      </c>
      <c r="CU212" s="2"/>
    </row>
    <row r="213" spans="1:99" ht="14.25" hidden="1" customHeight="1" x14ac:dyDescent="0.2">
      <c r="A213" s="2"/>
      <c r="B213" s="151">
        <f t="shared" si="234"/>
        <v>45391</v>
      </c>
      <c r="C213" s="223">
        <f>IF(AND(E213&gt;(E$494-1),E213&lt;(I$494+1)),W$485,IF(ISERROR(HLOOKUP(E213,$E$487:$L$487,1,FALSE)),HLOOKUP(WEEKDAY(E213,2),IMPOSTAZIONI!$C$51:$P$56,6,FALSE),$W$484))</f>
        <v>0</v>
      </c>
      <c r="D213" s="103" t="str">
        <f t="shared" si="235"/>
        <v/>
      </c>
      <c r="E213" s="2380">
        <f t="shared" si="246"/>
        <v>45391</v>
      </c>
      <c r="F213" s="2381"/>
      <c r="G213" s="2325" t="str">
        <f>APR!E16</f>
        <v xml:space="preserve">attiva trim.  </v>
      </c>
      <c r="H213" s="2326"/>
      <c r="I213" s="2327"/>
      <c r="J213" s="479" t="str">
        <f t="shared" si="231"/>
        <v/>
      </c>
      <c r="K213" s="480"/>
      <c r="L213" s="2319">
        <f t="shared" si="247"/>
        <v>15</v>
      </c>
      <c r="M213" s="2320"/>
      <c r="N213" s="478"/>
      <c r="O213" s="478"/>
      <c r="P213" s="478"/>
      <c r="Q213" s="2315">
        <f t="shared" si="236"/>
        <v>45391</v>
      </c>
      <c r="R213" s="2315"/>
      <c r="S213" s="478"/>
      <c r="T213" s="140">
        <f t="shared" si="237"/>
        <v>1</v>
      </c>
      <c r="U213" s="478"/>
      <c r="V213" s="478"/>
      <c r="W213" s="478"/>
      <c r="X213" s="478"/>
      <c r="Y213" s="478"/>
      <c r="Z213" s="478"/>
      <c r="AA213" s="478"/>
      <c r="AB213" s="478"/>
      <c r="AC213" s="478"/>
      <c r="AD213" s="478"/>
      <c r="AE213" s="478"/>
      <c r="AF213" s="478"/>
      <c r="AG213" s="140">
        <f t="shared" si="238"/>
        <v>0</v>
      </c>
      <c r="AH213" s="92" t="str">
        <f t="shared" si="239"/>
        <v/>
      </c>
      <c r="AI213" s="131">
        <f t="shared" si="240"/>
        <v>0</v>
      </c>
      <c r="AJ213" s="2"/>
      <c r="AK213" s="92">
        <f>IF(G213=G$481,0,IF(OR(G213&lt;&gt;0,CJ213&lt;&gt;0,C213="L"),COUNTIF(AK$114:AK212,"&gt;0")+1,0))</f>
        <v>0</v>
      </c>
      <c r="AL213" s="92" t="str">
        <f t="shared" si="241"/>
        <v/>
      </c>
      <c r="AM213" s="92" t="str">
        <f t="shared" si="242"/>
        <v/>
      </c>
      <c r="AN213" s="131">
        <f t="shared" si="232"/>
        <v>0</v>
      </c>
      <c r="AO213" s="447">
        <f>SUM(APR!W16:Z16)</f>
        <v>0</v>
      </c>
      <c r="AP213" s="445">
        <f>SUMIF(APR!$G$155:$J$155,AP$112,APR!$R16:$U16)</f>
        <v>0</v>
      </c>
      <c r="AQ213" s="446">
        <f>SUMIF(APR!$G$155:$J$155,AQ$112,APR!$R16:$U16)</f>
        <v>0</v>
      </c>
      <c r="AR213" s="447">
        <f>SUMIF(APR!$G$155:$J$155,AR$112,APR!$R16:$U16)</f>
        <v>0</v>
      </c>
      <c r="AS213" s="448">
        <f>SUMIF(APR!$G$155:$J$155,AS$112,APR!$R16:$U16)</f>
        <v>0</v>
      </c>
      <c r="AT213" s="449">
        <f>APR!AG16</f>
        <v>0</v>
      </c>
      <c r="AU213" s="445">
        <f>APR!AH16</f>
        <v>0</v>
      </c>
      <c r="AV213" s="446">
        <f>APR!AI16</f>
        <v>0</v>
      </c>
      <c r="AW213" s="447">
        <f>APR!AJ16</f>
        <v>0</v>
      </c>
      <c r="AX213" s="448">
        <f>APR!AK16</f>
        <v>0</v>
      </c>
      <c r="AY213" s="445">
        <f>SUMIF(APR!$G$152:$J$152,"&gt;0",APR!$W16:$Z16)</f>
        <v>0</v>
      </c>
      <c r="AZ213" s="1063">
        <f>SUM(APR!AB16:AE16)</f>
        <v>0</v>
      </c>
      <c r="BA213" s="445">
        <f>SUMIF(APR!$G$159:$J$159,BA$111,APR!$R16:$U16)+SUMIF(APR!$G$159:$J$159,BA$111,APR!$W16:$Z16)</f>
        <v>0</v>
      </c>
      <c r="BB213" s="446">
        <f>SUMIF(APR!$G$159:$J$159,BB$111,APR!$R16:$U16)+SUMIF(APR!$G$159:$J$159,BB$111,APR!$W16:$Z16)</f>
        <v>0</v>
      </c>
      <c r="BC213" s="446">
        <f>SUMIF(APR!$G$159:$J$159,BC$111,APR!$R16:$U16)+SUMIF(APR!$G$159:$J$159,BC$111,APR!$W16:$Z16)</f>
        <v>0</v>
      </c>
      <c r="BD213" s="446">
        <f>SUMIF(APR!$G$159:$J$159,BD$111,APR!$R16:$U16)+SUMIF(APR!$G$159:$J$159,BD$111,APR!$W16:$Z16)</f>
        <v>0</v>
      </c>
      <c r="BE213" s="446">
        <f>SUMIF(APR!$G$159:$J$159,BE$111,APR!$R16:$U16)+SUMIF(APR!$G$159:$J$159,BE$111,APR!$W16:$Z16)</f>
        <v>0</v>
      </c>
      <c r="BF213" s="446">
        <f>SUMIF(APR!$G$159:$J$159,BF$111,APR!$R16:$U16)+SUMIF(APR!$G$159:$J$159,BF$111,APR!$W16:$Z16)</f>
        <v>0</v>
      </c>
      <c r="BG213" s="448">
        <f>SUMIF(APR!$G$159:$J$159,BG$111,APR!$R16:$U16)+SUMIF(APR!$G$159:$J$159,BG$111,APR!$W16:$Z16)</f>
        <v>0</v>
      </c>
      <c r="BH213" s="571"/>
      <c r="BI213" s="448"/>
      <c r="BJ213" s="470"/>
      <c r="BK213" s="445">
        <f>SUMIF(APR!$G$157:$J$157,BK$111,APR!$R16:$U16)+SUMIF(APR!$G$157:$J$157,BK$111,APR!$W16:$Z16)</f>
        <v>0</v>
      </c>
      <c r="BL213" s="446">
        <f>SUMIF(APR!$G$157:$J$157,BL$111,APR!$R16:$U16)+SUMIF(APR!$G$157:$J$157,BL$111,APR!$W16:$Z16)</f>
        <v>0</v>
      </c>
      <c r="BM213" s="446">
        <f>SUMIF(APR!$G$157:$J$157,BM$111,APR!$R16:$U16)+SUMIF(APR!$G$157:$J$157,BM$111,APR!$W16:$Z16)</f>
        <v>0</v>
      </c>
      <c r="BN213" s="446">
        <f>SUMIF(APR!$G$157:$J$157,BN$111,APR!$R16:$U16)+SUMIF(APR!$G$157:$J$157,BN$111,APR!$W16:$Z16)</f>
        <v>0</v>
      </c>
      <c r="BO213" s="446">
        <f>SUMIF(APR!$G$157:$J$157,BO$111,APR!$R16:$U16)+SUMIF(APR!$G$157:$J$157,BO$111,APR!$W16:$Z16)</f>
        <v>0</v>
      </c>
      <c r="BP213" s="446">
        <f>SUMIF(APR!$G$157:$J$157,BP$111,APR!$R16:$U16)+SUMIF(APR!$G$157:$J$157,BP$111,APR!$W16:$Z16)</f>
        <v>0</v>
      </c>
      <c r="BQ213" s="448">
        <f>SUMIF(APR!$G$157:$J$157,BQ$111,APR!$R16:$U16)+SUMIF(APR!$G$157:$J$157,BQ$111,APR!$W16:$Z16)</f>
        <v>0</v>
      </c>
      <c r="BR213" s="571"/>
      <c r="BS213" s="446"/>
      <c r="BT213" s="448"/>
      <c r="BU213" s="470"/>
      <c r="BV213" s="445">
        <f>SUMIF(APR!$G$158:$J$158,BV$111,APR!$R16:$U16)+SUMIF(APR!$G$158:$J$158,BV$111,APR!$W16:$Z16)</f>
        <v>0</v>
      </c>
      <c r="BW213" s="446">
        <f>SUMIF(APR!$G$158:$J$158,BW$111,APR!$R16:$U16)+SUMIF(APR!$G$158:$J$158,BW$111,APR!$W16:$Z16)</f>
        <v>0</v>
      </c>
      <c r="BX213" s="446">
        <f>SUMIF(APR!$G$158:$J$158,BX$111,APR!$R16:$U16)+SUMIF(APR!$G$158:$J$158,BX$111,APR!$W16:$Z16)</f>
        <v>0</v>
      </c>
      <c r="BY213" s="446">
        <f>SUMIF(APR!$G$158:$J$158,BY$111,APR!$R16:$U16)+SUMIF(APR!$G$158:$J$158,BY$111,APR!$W16:$Z16)</f>
        <v>0</v>
      </c>
      <c r="BZ213" s="446">
        <f>SUMIF(APR!$G$158:$J$158,BZ$111,APR!$R16:$U16)+SUMIF(APR!$G$158:$J$158,BZ$111,APR!$W16:$Z16)</f>
        <v>0</v>
      </c>
      <c r="CA213" s="446">
        <f>SUMIF(APR!$G$158:$J$158,CA$111,APR!$R16:$U16)+SUMIF(APR!$G$158:$J$158,CA$111,APR!$W16:$Z16)</f>
        <v>0</v>
      </c>
      <c r="CB213" s="448">
        <f>SUMIF(APR!$G$158:$J$158,CB$111,APR!$R16:$U16)+SUMIF(APR!$G$158:$J$158,CB$111,APR!$W16:$Z16)</f>
        <v>0</v>
      </c>
      <c r="CC213" s="571"/>
      <c r="CD213" s="448"/>
      <c r="CE213" s="92">
        <f t="shared" si="243"/>
        <v>0</v>
      </c>
      <c r="CF213" s="92">
        <f t="shared" si="244"/>
        <v>0</v>
      </c>
      <c r="CG213" s="151" t="str">
        <f t="shared" si="230"/>
        <v/>
      </c>
      <c r="CH213" s="92">
        <f t="shared" si="233"/>
        <v>0</v>
      </c>
      <c r="CI213" s="92" t="str">
        <f t="shared" si="245"/>
        <v/>
      </c>
      <c r="CJ213" s="1100">
        <f>APR!AM16</f>
        <v>0</v>
      </c>
      <c r="CK213" s="445">
        <f>SUMIF(APR!$G$155:$J$155,CK$112,APR!$AN16:$AQ16)</f>
        <v>0</v>
      </c>
      <c r="CL213" s="446">
        <f>SUMIF(APR!$G$155:$J$155,CL$112,APR!$AN16:$AQ16)</f>
        <v>0</v>
      </c>
      <c r="CM213" s="447">
        <f>SUMIF(APR!$G$155:$J$155,CM$112,APR!$AN16:$AQ16)</f>
        <v>0</v>
      </c>
      <c r="CN213" s="448">
        <f>SUMIF(APR!$G$155:$J$155,CN$112,APR!$AN16:$AQ16)</f>
        <v>0</v>
      </c>
      <c r="CO213" s="1100">
        <f>APR!AS16</f>
        <v>0</v>
      </c>
      <c r="CP213" s="445">
        <f>APR!AT16</f>
        <v>0</v>
      </c>
      <c r="CQ213" s="446">
        <f>APR!AU16</f>
        <v>0</v>
      </c>
      <c r="CR213" s="447">
        <f>APR!AV16</f>
        <v>0</v>
      </c>
      <c r="CS213" s="448">
        <f>APR!AW16</f>
        <v>0</v>
      </c>
      <c r="CT213" s="1100">
        <f>APR!AY16</f>
        <v>0</v>
      </c>
      <c r="CU213" s="2"/>
    </row>
    <row r="214" spans="1:99" ht="14.25" hidden="1" customHeight="1" x14ac:dyDescent="0.2">
      <c r="A214" s="2"/>
      <c r="B214" s="151">
        <f t="shared" si="234"/>
        <v>45392</v>
      </c>
      <c r="C214" s="223">
        <f>IF(AND(E214&gt;(E$494-1),E214&lt;(I$494+1)),W$485,IF(ISERROR(HLOOKUP(E214,$E$487:$L$487,1,FALSE)),HLOOKUP(WEEKDAY(E214,2),IMPOSTAZIONI!$C$51:$P$56,6,FALSE),$W$484))</f>
        <v>0</v>
      </c>
      <c r="D214" s="103" t="str">
        <f t="shared" si="235"/>
        <v/>
      </c>
      <c r="E214" s="2380">
        <f t="shared" si="246"/>
        <v>45392</v>
      </c>
      <c r="F214" s="2381"/>
      <c r="G214" s="2325" t="str">
        <f>APR!E17</f>
        <v xml:space="preserve">attiva trim.  </v>
      </c>
      <c r="H214" s="2326"/>
      <c r="I214" s="2327"/>
      <c r="J214" s="479" t="str">
        <f t="shared" si="231"/>
        <v/>
      </c>
      <c r="K214" s="480"/>
      <c r="L214" s="2319">
        <f t="shared" si="247"/>
        <v>15</v>
      </c>
      <c r="M214" s="2320"/>
      <c r="N214" s="478"/>
      <c r="O214" s="478"/>
      <c r="P214" s="478"/>
      <c r="Q214" s="2315">
        <f t="shared" si="236"/>
        <v>45392</v>
      </c>
      <c r="R214" s="2315"/>
      <c r="S214" s="478"/>
      <c r="T214" s="140">
        <f t="shared" si="237"/>
        <v>1</v>
      </c>
      <c r="U214" s="478"/>
      <c r="V214" s="478"/>
      <c r="W214" s="478"/>
      <c r="X214" s="478"/>
      <c r="Y214" s="478"/>
      <c r="Z214" s="478"/>
      <c r="AA214" s="478"/>
      <c r="AB214" s="478"/>
      <c r="AC214" s="478"/>
      <c r="AD214" s="478"/>
      <c r="AE214" s="478"/>
      <c r="AF214" s="478"/>
      <c r="AG214" s="140">
        <f t="shared" si="238"/>
        <v>0</v>
      </c>
      <c r="AH214" s="92" t="str">
        <f t="shared" si="239"/>
        <v/>
      </c>
      <c r="AI214" s="131">
        <f t="shared" si="240"/>
        <v>0</v>
      </c>
      <c r="AJ214" s="2"/>
      <c r="AK214" s="92">
        <f>IF(G214=G$481,0,IF(OR(G214&lt;&gt;0,CJ214&lt;&gt;0,C214="L"),COUNTIF(AK$114:AK213,"&gt;0")+1,0))</f>
        <v>0</v>
      </c>
      <c r="AL214" s="92" t="str">
        <f t="shared" si="241"/>
        <v/>
      </c>
      <c r="AM214" s="92" t="str">
        <f t="shared" si="242"/>
        <v/>
      </c>
      <c r="AN214" s="131">
        <f t="shared" si="232"/>
        <v>0</v>
      </c>
      <c r="AO214" s="447">
        <f>SUM(APR!W17:Z17)</f>
        <v>0</v>
      </c>
      <c r="AP214" s="445">
        <f>SUMIF(APR!$G$155:$J$155,AP$112,APR!$R17:$U17)</f>
        <v>0</v>
      </c>
      <c r="AQ214" s="446">
        <f>SUMIF(APR!$G$155:$J$155,AQ$112,APR!$R17:$U17)</f>
        <v>0</v>
      </c>
      <c r="AR214" s="447">
        <f>SUMIF(APR!$G$155:$J$155,AR$112,APR!$R17:$U17)</f>
        <v>0</v>
      </c>
      <c r="AS214" s="448">
        <f>SUMIF(APR!$G$155:$J$155,AS$112,APR!$R17:$U17)</f>
        <v>0</v>
      </c>
      <c r="AT214" s="449">
        <f>APR!AG17</f>
        <v>0</v>
      </c>
      <c r="AU214" s="445">
        <f>APR!AH17</f>
        <v>0</v>
      </c>
      <c r="AV214" s="446">
        <f>APR!AI17</f>
        <v>0</v>
      </c>
      <c r="AW214" s="447">
        <f>APR!AJ17</f>
        <v>0</v>
      </c>
      <c r="AX214" s="448">
        <f>APR!AK17</f>
        <v>0</v>
      </c>
      <c r="AY214" s="445">
        <f>SUMIF(APR!$G$152:$J$152,"&gt;0",APR!$W17:$Z17)</f>
        <v>0</v>
      </c>
      <c r="AZ214" s="1063">
        <f>SUM(APR!AB17:AE17)</f>
        <v>0</v>
      </c>
      <c r="BA214" s="445">
        <f>SUMIF(APR!$G$159:$J$159,BA$111,APR!$R17:$U17)+SUMIF(APR!$G$159:$J$159,BA$111,APR!$W17:$Z17)</f>
        <v>0</v>
      </c>
      <c r="BB214" s="446">
        <f>SUMIF(APR!$G$159:$J$159,BB$111,APR!$R17:$U17)+SUMIF(APR!$G$159:$J$159,BB$111,APR!$W17:$Z17)</f>
        <v>0</v>
      </c>
      <c r="BC214" s="446">
        <f>SUMIF(APR!$G$159:$J$159,BC$111,APR!$R17:$U17)+SUMIF(APR!$G$159:$J$159,BC$111,APR!$W17:$Z17)</f>
        <v>0</v>
      </c>
      <c r="BD214" s="446">
        <f>SUMIF(APR!$G$159:$J$159,BD$111,APR!$R17:$U17)+SUMIF(APR!$G$159:$J$159,BD$111,APR!$W17:$Z17)</f>
        <v>0</v>
      </c>
      <c r="BE214" s="446">
        <f>SUMIF(APR!$G$159:$J$159,BE$111,APR!$R17:$U17)+SUMIF(APR!$G$159:$J$159,BE$111,APR!$W17:$Z17)</f>
        <v>0</v>
      </c>
      <c r="BF214" s="446">
        <f>SUMIF(APR!$G$159:$J$159,BF$111,APR!$R17:$U17)+SUMIF(APR!$G$159:$J$159,BF$111,APR!$W17:$Z17)</f>
        <v>0</v>
      </c>
      <c r="BG214" s="448">
        <f>SUMIF(APR!$G$159:$J$159,BG$111,APR!$R17:$U17)+SUMIF(APR!$G$159:$J$159,BG$111,APR!$W17:$Z17)</f>
        <v>0</v>
      </c>
      <c r="BH214" s="571"/>
      <c r="BI214" s="448"/>
      <c r="BJ214" s="470"/>
      <c r="BK214" s="445">
        <f>SUMIF(APR!$G$157:$J$157,BK$111,APR!$R17:$U17)+SUMIF(APR!$G$157:$J$157,BK$111,APR!$W17:$Z17)</f>
        <v>0</v>
      </c>
      <c r="BL214" s="446">
        <f>SUMIF(APR!$G$157:$J$157,BL$111,APR!$R17:$U17)+SUMIF(APR!$G$157:$J$157,BL$111,APR!$W17:$Z17)</f>
        <v>0</v>
      </c>
      <c r="BM214" s="446">
        <f>SUMIF(APR!$G$157:$J$157,BM$111,APR!$R17:$U17)+SUMIF(APR!$G$157:$J$157,BM$111,APR!$W17:$Z17)</f>
        <v>0</v>
      </c>
      <c r="BN214" s="446">
        <f>SUMIF(APR!$G$157:$J$157,BN$111,APR!$R17:$U17)+SUMIF(APR!$G$157:$J$157,BN$111,APR!$W17:$Z17)</f>
        <v>0</v>
      </c>
      <c r="BO214" s="446">
        <f>SUMIF(APR!$G$157:$J$157,BO$111,APR!$R17:$U17)+SUMIF(APR!$G$157:$J$157,BO$111,APR!$W17:$Z17)</f>
        <v>0</v>
      </c>
      <c r="BP214" s="446">
        <f>SUMIF(APR!$G$157:$J$157,BP$111,APR!$R17:$U17)+SUMIF(APR!$G$157:$J$157,BP$111,APR!$W17:$Z17)</f>
        <v>0</v>
      </c>
      <c r="BQ214" s="448">
        <f>SUMIF(APR!$G$157:$J$157,BQ$111,APR!$R17:$U17)+SUMIF(APR!$G$157:$J$157,BQ$111,APR!$W17:$Z17)</f>
        <v>0</v>
      </c>
      <c r="BR214" s="571"/>
      <c r="BS214" s="446"/>
      <c r="BT214" s="448"/>
      <c r="BU214" s="470"/>
      <c r="BV214" s="445">
        <f>SUMIF(APR!$G$158:$J$158,BV$111,APR!$R17:$U17)+SUMIF(APR!$G$158:$J$158,BV$111,APR!$W17:$Z17)</f>
        <v>0</v>
      </c>
      <c r="BW214" s="446">
        <f>SUMIF(APR!$G$158:$J$158,BW$111,APR!$R17:$U17)+SUMIF(APR!$G$158:$J$158,BW$111,APR!$W17:$Z17)</f>
        <v>0</v>
      </c>
      <c r="BX214" s="446">
        <f>SUMIF(APR!$G$158:$J$158,BX$111,APR!$R17:$U17)+SUMIF(APR!$G$158:$J$158,BX$111,APR!$W17:$Z17)</f>
        <v>0</v>
      </c>
      <c r="BY214" s="446">
        <f>SUMIF(APR!$G$158:$J$158,BY$111,APR!$R17:$U17)+SUMIF(APR!$G$158:$J$158,BY$111,APR!$W17:$Z17)</f>
        <v>0</v>
      </c>
      <c r="BZ214" s="446">
        <f>SUMIF(APR!$G$158:$J$158,BZ$111,APR!$R17:$U17)+SUMIF(APR!$G$158:$J$158,BZ$111,APR!$W17:$Z17)</f>
        <v>0</v>
      </c>
      <c r="CA214" s="446">
        <f>SUMIF(APR!$G$158:$J$158,CA$111,APR!$R17:$U17)+SUMIF(APR!$G$158:$J$158,CA$111,APR!$W17:$Z17)</f>
        <v>0</v>
      </c>
      <c r="CB214" s="448">
        <f>SUMIF(APR!$G$158:$J$158,CB$111,APR!$R17:$U17)+SUMIF(APR!$G$158:$J$158,CB$111,APR!$W17:$Z17)</f>
        <v>0</v>
      </c>
      <c r="CC214" s="571"/>
      <c r="CD214" s="448"/>
      <c r="CE214" s="92">
        <f t="shared" si="243"/>
        <v>0</v>
      </c>
      <c r="CF214" s="92">
        <f t="shared" si="244"/>
        <v>0</v>
      </c>
      <c r="CG214" s="151" t="str">
        <f t="shared" si="230"/>
        <v/>
      </c>
      <c r="CH214" s="92">
        <f t="shared" si="233"/>
        <v>0</v>
      </c>
      <c r="CI214" s="92" t="str">
        <f t="shared" si="245"/>
        <v/>
      </c>
      <c r="CJ214" s="1100">
        <f>APR!AM17</f>
        <v>0</v>
      </c>
      <c r="CK214" s="445">
        <f>SUMIF(APR!$G$155:$J$155,CK$112,APR!$AN17:$AQ17)</f>
        <v>0</v>
      </c>
      <c r="CL214" s="446">
        <f>SUMIF(APR!$G$155:$J$155,CL$112,APR!$AN17:$AQ17)</f>
        <v>0</v>
      </c>
      <c r="CM214" s="447">
        <f>SUMIF(APR!$G$155:$J$155,CM$112,APR!$AN17:$AQ17)</f>
        <v>0</v>
      </c>
      <c r="CN214" s="448">
        <f>SUMIF(APR!$G$155:$J$155,CN$112,APR!$AN17:$AQ17)</f>
        <v>0</v>
      </c>
      <c r="CO214" s="1100">
        <f>APR!AS17</f>
        <v>0</v>
      </c>
      <c r="CP214" s="445">
        <f>APR!AT17</f>
        <v>0</v>
      </c>
      <c r="CQ214" s="446">
        <f>APR!AU17</f>
        <v>0</v>
      </c>
      <c r="CR214" s="447">
        <f>APR!AV17</f>
        <v>0</v>
      </c>
      <c r="CS214" s="448">
        <f>APR!AW17</f>
        <v>0</v>
      </c>
      <c r="CT214" s="1100">
        <f>APR!AY17</f>
        <v>0</v>
      </c>
      <c r="CU214" s="2"/>
    </row>
    <row r="215" spans="1:99" ht="14.25" hidden="1" customHeight="1" x14ac:dyDescent="0.2">
      <c r="A215" s="2"/>
      <c r="B215" s="151">
        <f t="shared" si="234"/>
        <v>45393</v>
      </c>
      <c r="C215" s="223">
        <f>IF(AND(E215&gt;(E$494-1),E215&lt;(I$494+1)),W$485,IF(ISERROR(HLOOKUP(E215,$E$487:$L$487,1,FALSE)),HLOOKUP(WEEKDAY(E215,2),IMPOSTAZIONI!$C$51:$P$56,6,FALSE),$W$484))</f>
        <v>0</v>
      </c>
      <c r="D215" s="103" t="str">
        <f t="shared" si="235"/>
        <v/>
      </c>
      <c r="E215" s="2380">
        <f t="shared" si="246"/>
        <v>45393</v>
      </c>
      <c r="F215" s="2381"/>
      <c r="G215" s="2325" t="str">
        <f>APR!E18</f>
        <v xml:space="preserve">attiva trim.  </v>
      </c>
      <c r="H215" s="2326"/>
      <c r="I215" s="2327"/>
      <c r="J215" s="479" t="str">
        <f t="shared" si="231"/>
        <v/>
      </c>
      <c r="K215" s="480"/>
      <c r="L215" s="2319">
        <f t="shared" si="247"/>
        <v>15</v>
      </c>
      <c r="M215" s="2320"/>
      <c r="N215" s="478"/>
      <c r="O215" s="478"/>
      <c r="P215" s="478"/>
      <c r="Q215" s="2315">
        <f t="shared" si="236"/>
        <v>45393</v>
      </c>
      <c r="R215" s="2315"/>
      <c r="S215" s="478"/>
      <c r="T215" s="140">
        <f t="shared" si="237"/>
        <v>1</v>
      </c>
      <c r="U215" s="478"/>
      <c r="V215" s="478"/>
      <c r="W215" s="478"/>
      <c r="X215" s="478"/>
      <c r="Y215" s="478"/>
      <c r="Z215" s="478"/>
      <c r="AA215" s="478"/>
      <c r="AB215" s="478"/>
      <c r="AC215" s="478"/>
      <c r="AD215" s="478"/>
      <c r="AE215" s="478"/>
      <c r="AF215" s="478"/>
      <c r="AG215" s="140">
        <f t="shared" si="238"/>
        <v>0</v>
      </c>
      <c r="AH215" s="92" t="str">
        <f t="shared" si="239"/>
        <v/>
      </c>
      <c r="AI215" s="131">
        <f t="shared" si="240"/>
        <v>0</v>
      </c>
      <c r="AJ215" s="2"/>
      <c r="AK215" s="92">
        <f>IF(G215=G$481,0,IF(OR(G215&lt;&gt;0,CJ215&lt;&gt;0,C215="L"),COUNTIF(AK$114:AK214,"&gt;0")+1,0))</f>
        <v>0</v>
      </c>
      <c r="AL215" s="92" t="str">
        <f t="shared" si="241"/>
        <v/>
      </c>
      <c r="AM215" s="92" t="str">
        <f t="shared" si="242"/>
        <v/>
      </c>
      <c r="AN215" s="131">
        <f t="shared" si="232"/>
        <v>0</v>
      </c>
      <c r="AO215" s="447">
        <f>SUM(APR!W18:Z18)</f>
        <v>0</v>
      </c>
      <c r="AP215" s="445">
        <f>SUMIF(APR!$G$155:$J$155,AP$112,APR!$R18:$U18)</f>
        <v>0</v>
      </c>
      <c r="AQ215" s="446">
        <f>SUMIF(APR!$G$155:$J$155,AQ$112,APR!$R18:$U18)</f>
        <v>0</v>
      </c>
      <c r="AR215" s="447">
        <f>SUMIF(APR!$G$155:$J$155,AR$112,APR!$R18:$U18)</f>
        <v>0</v>
      </c>
      <c r="AS215" s="448">
        <f>SUMIF(APR!$G$155:$J$155,AS$112,APR!$R18:$U18)</f>
        <v>0</v>
      </c>
      <c r="AT215" s="449">
        <f>APR!AG18</f>
        <v>0</v>
      </c>
      <c r="AU215" s="445">
        <f>APR!AH18</f>
        <v>0</v>
      </c>
      <c r="AV215" s="446">
        <f>APR!AI18</f>
        <v>0</v>
      </c>
      <c r="AW215" s="447">
        <f>APR!AJ18</f>
        <v>0</v>
      </c>
      <c r="AX215" s="448">
        <f>APR!AK18</f>
        <v>0</v>
      </c>
      <c r="AY215" s="445">
        <f>SUMIF(APR!$G$152:$J$152,"&gt;0",APR!$W18:$Z18)</f>
        <v>0</v>
      </c>
      <c r="AZ215" s="1063">
        <f>SUM(APR!AB18:AE18)</f>
        <v>0</v>
      </c>
      <c r="BA215" s="445">
        <f>SUMIF(APR!$G$159:$J$159,BA$111,APR!$R18:$U18)+SUMIF(APR!$G$159:$J$159,BA$111,APR!$W18:$Z18)</f>
        <v>0</v>
      </c>
      <c r="BB215" s="446">
        <f>SUMIF(APR!$G$159:$J$159,BB$111,APR!$R18:$U18)+SUMIF(APR!$G$159:$J$159,BB$111,APR!$W18:$Z18)</f>
        <v>0</v>
      </c>
      <c r="BC215" s="446">
        <f>SUMIF(APR!$G$159:$J$159,BC$111,APR!$R18:$U18)+SUMIF(APR!$G$159:$J$159,BC$111,APR!$W18:$Z18)</f>
        <v>0</v>
      </c>
      <c r="BD215" s="446">
        <f>SUMIF(APR!$G$159:$J$159,BD$111,APR!$R18:$U18)+SUMIF(APR!$G$159:$J$159,BD$111,APR!$W18:$Z18)</f>
        <v>0</v>
      </c>
      <c r="BE215" s="446">
        <f>SUMIF(APR!$G$159:$J$159,BE$111,APR!$R18:$U18)+SUMIF(APR!$G$159:$J$159,BE$111,APR!$W18:$Z18)</f>
        <v>0</v>
      </c>
      <c r="BF215" s="446">
        <f>SUMIF(APR!$G$159:$J$159,BF$111,APR!$R18:$U18)+SUMIF(APR!$G$159:$J$159,BF$111,APR!$W18:$Z18)</f>
        <v>0</v>
      </c>
      <c r="BG215" s="448">
        <f>SUMIF(APR!$G$159:$J$159,BG$111,APR!$R18:$U18)+SUMIF(APR!$G$159:$J$159,BG$111,APR!$W18:$Z18)</f>
        <v>0</v>
      </c>
      <c r="BH215" s="571"/>
      <c r="BI215" s="448"/>
      <c r="BJ215" s="470"/>
      <c r="BK215" s="445">
        <f>SUMIF(APR!$G$157:$J$157,BK$111,APR!$R18:$U18)+SUMIF(APR!$G$157:$J$157,BK$111,APR!$W18:$Z18)</f>
        <v>0</v>
      </c>
      <c r="BL215" s="446">
        <f>SUMIF(APR!$G$157:$J$157,BL$111,APR!$R18:$U18)+SUMIF(APR!$G$157:$J$157,BL$111,APR!$W18:$Z18)</f>
        <v>0</v>
      </c>
      <c r="BM215" s="446">
        <f>SUMIF(APR!$G$157:$J$157,BM$111,APR!$R18:$U18)+SUMIF(APR!$G$157:$J$157,BM$111,APR!$W18:$Z18)</f>
        <v>0</v>
      </c>
      <c r="BN215" s="446">
        <f>SUMIF(APR!$G$157:$J$157,BN$111,APR!$R18:$U18)+SUMIF(APR!$G$157:$J$157,BN$111,APR!$W18:$Z18)</f>
        <v>0</v>
      </c>
      <c r="BO215" s="446">
        <f>SUMIF(APR!$G$157:$J$157,BO$111,APR!$R18:$U18)+SUMIF(APR!$G$157:$J$157,BO$111,APR!$W18:$Z18)</f>
        <v>0</v>
      </c>
      <c r="BP215" s="446">
        <f>SUMIF(APR!$G$157:$J$157,BP$111,APR!$R18:$U18)+SUMIF(APR!$G$157:$J$157,BP$111,APR!$W18:$Z18)</f>
        <v>0</v>
      </c>
      <c r="BQ215" s="448">
        <f>SUMIF(APR!$G$157:$J$157,BQ$111,APR!$R18:$U18)+SUMIF(APR!$G$157:$J$157,BQ$111,APR!$W18:$Z18)</f>
        <v>0</v>
      </c>
      <c r="BR215" s="571"/>
      <c r="BS215" s="446"/>
      <c r="BT215" s="448"/>
      <c r="BU215" s="470"/>
      <c r="BV215" s="445">
        <f>SUMIF(APR!$G$158:$J$158,BV$111,APR!$R18:$U18)+SUMIF(APR!$G$158:$J$158,BV$111,APR!$W18:$Z18)</f>
        <v>0</v>
      </c>
      <c r="BW215" s="446">
        <f>SUMIF(APR!$G$158:$J$158,BW$111,APR!$R18:$U18)+SUMIF(APR!$G$158:$J$158,BW$111,APR!$W18:$Z18)</f>
        <v>0</v>
      </c>
      <c r="BX215" s="446">
        <f>SUMIF(APR!$G$158:$J$158,BX$111,APR!$R18:$U18)+SUMIF(APR!$G$158:$J$158,BX$111,APR!$W18:$Z18)</f>
        <v>0</v>
      </c>
      <c r="BY215" s="446">
        <f>SUMIF(APR!$G$158:$J$158,BY$111,APR!$R18:$U18)+SUMIF(APR!$G$158:$J$158,BY$111,APR!$W18:$Z18)</f>
        <v>0</v>
      </c>
      <c r="BZ215" s="446">
        <f>SUMIF(APR!$G$158:$J$158,BZ$111,APR!$R18:$U18)+SUMIF(APR!$G$158:$J$158,BZ$111,APR!$W18:$Z18)</f>
        <v>0</v>
      </c>
      <c r="CA215" s="446">
        <f>SUMIF(APR!$G$158:$J$158,CA$111,APR!$R18:$U18)+SUMIF(APR!$G$158:$J$158,CA$111,APR!$W18:$Z18)</f>
        <v>0</v>
      </c>
      <c r="CB215" s="448">
        <f>SUMIF(APR!$G$158:$J$158,CB$111,APR!$R18:$U18)+SUMIF(APR!$G$158:$J$158,CB$111,APR!$W18:$Z18)</f>
        <v>0</v>
      </c>
      <c r="CC215" s="571"/>
      <c r="CD215" s="448"/>
      <c r="CE215" s="92">
        <f t="shared" si="243"/>
        <v>0</v>
      </c>
      <c r="CF215" s="92">
        <f t="shared" si="244"/>
        <v>0</v>
      </c>
      <c r="CG215" s="151" t="str">
        <f t="shared" si="230"/>
        <v/>
      </c>
      <c r="CH215" s="92">
        <f t="shared" si="233"/>
        <v>0</v>
      </c>
      <c r="CI215" s="92" t="str">
        <f t="shared" si="245"/>
        <v/>
      </c>
      <c r="CJ215" s="1100">
        <f>APR!AM18</f>
        <v>0</v>
      </c>
      <c r="CK215" s="445">
        <f>SUMIF(APR!$G$155:$J$155,CK$112,APR!$AN18:$AQ18)</f>
        <v>0</v>
      </c>
      <c r="CL215" s="446">
        <f>SUMIF(APR!$G$155:$J$155,CL$112,APR!$AN18:$AQ18)</f>
        <v>0</v>
      </c>
      <c r="CM215" s="447">
        <f>SUMIF(APR!$G$155:$J$155,CM$112,APR!$AN18:$AQ18)</f>
        <v>0</v>
      </c>
      <c r="CN215" s="448">
        <f>SUMIF(APR!$G$155:$J$155,CN$112,APR!$AN18:$AQ18)</f>
        <v>0</v>
      </c>
      <c r="CO215" s="1100">
        <f>APR!AS18</f>
        <v>0</v>
      </c>
      <c r="CP215" s="445">
        <f>APR!AT18</f>
        <v>0</v>
      </c>
      <c r="CQ215" s="446">
        <f>APR!AU18</f>
        <v>0</v>
      </c>
      <c r="CR215" s="447">
        <f>APR!AV18</f>
        <v>0</v>
      </c>
      <c r="CS215" s="448">
        <f>APR!AW18</f>
        <v>0</v>
      </c>
      <c r="CT215" s="1100">
        <f>APR!AY18</f>
        <v>0</v>
      </c>
      <c r="CU215" s="2"/>
    </row>
    <row r="216" spans="1:99" ht="14.25" hidden="1" customHeight="1" x14ac:dyDescent="0.2">
      <c r="A216" s="2"/>
      <c r="B216" s="151">
        <f t="shared" si="234"/>
        <v>45394</v>
      </c>
      <c r="C216" s="223">
        <f>IF(AND(E216&gt;(E$494-1),E216&lt;(I$494+1)),W$485,IF(ISERROR(HLOOKUP(E216,$E$487:$L$487,1,FALSE)),HLOOKUP(WEEKDAY(E216,2),IMPOSTAZIONI!$C$51:$P$56,6,FALSE),$W$484))</f>
        <v>0</v>
      </c>
      <c r="D216" s="103" t="str">
        <f t="shared" si="235"/>
        <v/>
      </c>
      <c r="E216" s="2380">
        <f t="shared" si="246"/>
        <v>45394</v>
      </c>
      <c r="F216" s="2381"/>
      <c r="G216" s="2325" t="str">
        <f>APR!E19</f>
        <v xml:space="preserve">attiva trim.  </v>
      </c>
      <c r="H216" s="2326"/>
      <c r="I216" s="2327"/>
      <c r="J216" s="479" t="str">
        <f t="shared" si="231"/>
        <v/>
      </c>
      <c r="K216" s="480"/>
      <c r="L216" s="2319">
        <f t="shared" si="247"/>
        <v>15</v>
      </c>
      <c r="M216" s="2320"/>
      <c r="N216" s="478"/>
      <c r="O216" s="478"/>
      <c r="P216" s="478"/>
      <c r="Q216" s="2315">
        <f t="shared" si="236"/>
        <v>45394</v>
      </c>
      <c r="R216" s="2315"/>
      <c r="S216" s="478"/>
      <c r="T216" s="140">
        <f t="shared" si="237"/>
        <v>1</v>
      </c>
      <c r="U216" s="478"/>
      <c r="V216" s="478"/>
      <c r="W216" s="478"/>
      <c r="X216" s="478"/>
      <c r="Y216" s="478"/>
      <c r="Z216" s="478"/>
      <c r="AA216" s="478"/>
      <c r="AB216" s="478"/>
      <c r="AC216" s="478"/>
      <c r="AD216" s="478"/>
      <c r="AE216" s="478"/>
      <c r="AF216" s="478"/>
      <c r="AG216" s="140">
        <f t="shared" si="238"/>
        <v>0</v>
      </c>
      <c r="AH216" s="92" t="str">
        <f t="shared" si="239"/>
        <v/>
      </c>
      <c r="AI216" s="131">
        <f t="shared" si="240"/>
        <v>0</v>
      </c>
      <c r="AJ216" s="2"/>
      <c r="AK216" s="92">
        <f>IF(G216=G$481,0,IF(OR(G216&lt;&gt;0,CJ216&lt;&gt;0,C216="L"),COUNTIF(AK$114:AK215,"&gt;0")+1,0))</f>
        <v>0</v>
      </c>
      <c r="AL216" s="92" t="str">
        <f t="shared" si="241"/>
        <v/>
      </c>
      <c r="AM216" s="92" t="str">
        <f t="shared" si="242"/>
        <v/>
      </c>
      <c r="AN216" s="131">
        <f t="shared" si="232"/>
        <v>0</v>
      </c>
      <c r="AO216" s="447">
        <f>SUM(APR!W19:Z19)</f>
        <v>0</v>
      </c>
      <c r="AP216" s="445">
        <f>SUMIF(APR!$G$155:$J$155,AP$112,APR!$R19:$U19)</f>
        <v>0</v>
      </c>
      <c r="AQ216" s="446">
        <f>SUMIF(APR!$G$155:$J$155,AQ$112,APR!$R19:$U19)</f>
        <v>0</v>
      </c>
      <c r="AR216" s="447">
        <f>SUMIF(APR!$G$155:$J$155,AR$112,APR!$R19:$U19)</f>
        <v>0</v>
      </c>
      <c r="AS216" s="448">
        <f>SUMIF(APR!$G$155:$J$155,AS$112,APR!$R19:$U19)</f>
        <v>0</v>
      </c>
      <c r="AT216" s="449">
        <f>APR!AG19</f>
        <v>0</v>
      </c>
      <c r="AU216" s="445">
        <f>APR!AH19</f>
        <v>0</v>
      </c>
      <c r="AV216" s="446">
        <f>APR!AI19</f>
        <v>0</v>
      </c>
      <c r="AW216" s="447">
        <f>APR!AJ19</f>
        <v>0</v>
      </c>
      <c r="AX216" s="448">
        <f>APR!AK19</f>
        <v>0</v>
      </c>
      <c r="AY216" s="445">
        <f>SUMIF(APR!$G$152:$J$152,"&gt;0",APR!$W19:$Z19)</f>
        <v>0</v>
      </c>
      <c r="AZ216" s="1063">
        <f>SUM(APR!AB19:AE19)</f>
        <v>0</v>
      </c>
      <c r="BA216" s="445">
        <f>SUMIF(APR!$G$159:$J$159,BA$111,APR!$R19:$U19)+SUMIF(APR!$G$159:$J$159,BA$111,APR!$W19:$Z19)</f>
        <v>0</v>
      </c>
      <c r="BB216" s="446">
        <f>SUMIF(APR!$G$159:$J$159,BB$111,APR!$R19:$U19)+SUMIF(APR!$G$159:$J$159,BB$111,APR!$W19:$Z19)</f>
        <v>0</v>
      </c>
      <c r="BC216" s="446">
        <f>SUMIF(APR!$G$159:$J$159,BC$111,APR!$R19:$U19)+SUMIF(APR!$G$159:$J$159,BC$111,APR!$W19:$Z19)</f>
        <v>0</v>
      </c>
      <c r="BD216" s="446">
        <f>SUMIF(APR!$G$159:$J$159,BD$111,APR!$R19:$U19)+SUMIF(APR!$G$159:$J$159,BD$111,APR!$W19:$Z19)</f>
        <v>0</v>
      </c>
      <c r="BE216" s="446">
        <f>SUMIF(APR!$G$159:$J$159,BE$111,APR!$R19:$U19)+SUMIF(APR!$G$159:$J$159,BE$111,APR!$W19:$Z19)</f>
        <v>0</v>
      </c>
      <c r="BF216" s="446">
        <f>SUMIF(APR!$G$159:$J$159,BF$111,APR!$R19:$U19)+SUMIF(APR!$G$159:$J$159,BF$111,APR!$W19:$Z19)</f>
        <v>0</v>
      </c>
      <c r="BG216" s="448">
        <f>SUMIF(APR!$G$159:$J$159,BG$111,APR!$R19:$U19)+SUMIF(APR!$G$159:$J$159,BG$111,APR!$W19:$Z19)</f>
        <v>0</v>
      </c>
      <c r="BH216" s="571"/>
      <c r="BI216" s="448"/>
      <c r="BJ216" s="470"/>
      <c r="BK216" s="445">
        <f>SUMIF(APR!$G$157:$J$157,BK$111,APR!$R19:$U19)+SUMIF(APR!$G$157:$J$157,BK$111,APR!$W19:$Z19)</f>
        <v>0</v>
      </c>
      <c r="BL216" s="446">
        <f>SUMIF(APR!$G$157:$J$157,BL$111,APR!$R19:$U19)+SUMIF(APR!$G$157:$J$157,BL$111,APR!$W19:$Z19)</f>
        <v>0</v>
      </c>
      <c r="BM216" s="446">
        <f>SUMIF(APR!$G$157:$J$157,BM$111,APR!$R19:$U19)+SUMIF(APR!$G$157:$J$157,BM$111,APR!$W19:$Z19)</f>
        <v>0</v>
      </c>
      <c r="BN216" s="446">
        <f>SUMIF(APR!$G$157:$J$157,BN$111,APR!$R19:$U19)+SUMIF(APR!$G$157:$J$157,BN$111,APR!$W19:$Z19)</f>
        <v>0</v>
      </c>
      <c r="BO216" s="446">
        <f>SUMIF(APR!$G$157:$J$157,BO$111,APR!$R19:$U19)+SUMIF(APR!$G$157:$J$157,BO$111,APR!$W19:$Z19)</f>
        <v>0</v>
      </c>
      <c r="BP216" s="446">
        <f>SUMIF(APR!$G$157:$J$157,BP$111,APR!$R19:$U19)+SUMIF(APR!$G$157:$J$157,BP$111,APR!$W19:$Z19)</f>
        <v>0</v>
      </c>
      <c r="BQ216" s="448">
        <f>SUMIF(APR!$G$157:$J$157,BQ$111,APR!$R19:$U19)+SUMIF(APR!$G$157:$J$157,BQ$111,APR!$W19:$Z19)</f>
        <v>0</v>
      </c>
      <c r="BR216" s="571"/>
      <c r="BS216" s="446"/>
      <c r="BT216" s="448"/>
      <c r="BU216" s="470"/>
      <c r="BV216" s="445">
        <f>SUMIF(APR!$G$158:$J$158,BV$111,APR!$R19:$U19)+SUMIF(APR!$G$158:$J$158,BV$111,APR!$W19:$Z19)</f>
        <v>0</v>
      </c>
      <c r="BW216" s="446">
        <f>SUMIF(APR!$G$158:$J$158,BW$111,APR!$R19:$U19)+SUMIF(APR!$G$158:$J$158,BW$111,APR!$W19:$Z19)</f>
        <v>0</v>
      </c>
      <c r="BX216" s="446">
        <f>SUMIF(APR!$G$158:$J$158,BX$111,APR!$R19:$U19)+SUMIF(APR!$G$158:$J$158,BX$111,APR!$W19:$Z19)</f>
        <v>0</v>
      </c>
      <c r="BY216" s="446">
        <f>SUMIF(APR!$G$158:$J$158,BY$111,APR!$R19:$U19)+SUMIF(APR!$G$158:$J$158,BY$111,APR!$W19:$Z19)</f>
        <v>0</v>
      </c>
      <c r="BZ216" s="446">
        <f>SUMIF(APR!$G$158:$J$158,BZ$111,APR!$R19:$U19)+SUMIF(APR!$G$158:$J$158,BZ$111,APR!$W19:$Z19)</f>
        <v>0</v>
      </c>
      <c r="CA216" s="446">
        <f>SUMIF(APR!$G$158:$J$158,CA$111,APR!$R19:$U19)+SUMIF(APR!$G$158:$J$158,CA$111,APR!$W19:$Z19)</f>
        <v>0</v>
      </c>
      <c r="CB216" s="448">
        <f>SUMIF(APR!$G$158:$J$158,CB$111,APR!$R19:$U19)+SUMIF(APR!$G$158:$J$158,CB$111,APR!$W19:$Z19)</f>
        <v>0</v>
      </c>
      <c r="CC216" s="571"/>
      <c r="CD216" s="448"/>
      <c r="CE216" s="92">
        <f t="shared" si="243"/>
        <v>0</v>
      </c>
      <c r="CF216" s="92">
        <f t="shared" si="244"/>
        <v>0</v>
      </c>
      <c r="CG216" s="151" t="str">
        <f t="shared" si="230"/>
        <v/>
      </c>
      <c r="CH216" s="92">
        <f t="shared" si="233"/>
        <v>0</v>
      </c>
      <c r="CI216" s="92" t="str">
        <f t="shared" si="245"/>
        <v/>
      </c>
      <c r="CJ216" s="1100">
        <f>APR!AM19</f>
        <v>0</v>
      </c>
      <c r="CK216" s="445">
        <f>SUMIF(APR!$G$155:$J$155,CK$112,APR!$AN19:$AQ19)</f>
        <v>0</v>
      </c>
      <c r="CL216" s="446">
        <f>SUMIF(APR!$G$155:$J$155,CL$112,APR!$AN19:$AQ19)</f>
        <v>0</v>
      </c>
      <c r="CM216" s="447">
        <f>SUMIF(APR!$G$155:$J$155,CM$112,APR!$AN19:$AQ19)</f>
        <v>0</v>
      </c>
      <c r="CN216" s="448">
        <f>SUMIF(APR!$G$155:$J$155,CN$112,APR!$AN19:$AQ19)</f>
        <v>0</v>
      </c>
      <c r="CO216" s="1100">
        <f>APR!AS19</f>
        <v>0</v>
      </c>
      <c r="CP216" s="445">
        <f>APR!AT19</f>
        <v>0</v>
      </c>
      <c r="CQ216" s="446">
        <f>APR!AU19</f>
        <v>0</v>
      </c>
      <c r="CR216" s="447">
        <f>APR!AV19</f>
        <v>0</v>
      </c>
      <c r="CS216" s="448">
        <f>APR!AW19</f>
        <v>0</v>
      </c>
      <c r="CT216" s="1100">
        <f>APR!AY19</f>
        <v>0</v>
      </c>
      <c r="CU216" s="2"/>
    </row>
    <row r="217" spans="1:99" ht="14.25" hidden="1" customHeight="1" x14ac:dyDescent="0.2">
      <c r="A217" s="2"/>
      <c r="B217" s="151">
        <f t="shared" si="234"/>
        <v>45395</v>
      </c>
      <c r="C217" s="223">
        <f>IF(AND(E217&gt;(E$494-1),E217&lt;(I$494+1)),W$485,IF(ISERROR(HLOOKUP(E217,$E$487:$L$487,1,FALSE)),HLOOKUP(WEEKDAY(E217,2),IMPOSTAZIONI!$C$51:$P$56,6,FALSE),$W$484))</f>
        <v>0</v>
      </c>
      <c r="D217" s="103" t="str">
        <f t="shared" si="235"/>
        <v/>
      </c>
      <c r="E217" s="2380">
        <f t="shared" si="246"/>
        <v>45395</v>
      </c>
      <c r="F217" s="2381"/>
      <c r="G217" s="2325" t="str">
        <f>APR!E20</f>
        <v xml:space="preserve">attiva trim.  </v>
      </c>
      <c r="H217" s="2326"/>
      <c r="I217" s="2327"/>
      <c r="J217" s="479" t="str">
        <f t="shared" si="231"/>
        <v/>
      </c>
      <c r="K217" s="480"/>
      <c r="L217" s="2319">
        <f t="shared" si="247"/>
        <v>15</v>
      </c>
      <c r="M217" s="2320"/>
      <c r="N217" s="478"/>
      <c r="O217" s="478"/>
      <c r="P217" s="478"/>
      <c r="Q217" s="2315">
        <f t="shared" si="236"/>
        <v>45395</v>
      </c>
      <c r="R217" s="2315"/>
      <c r="S217" s="478"/>
      <c r="T217" s="140">
        <f t="shared" si="237"/>
        <v>1</v>
      </c>
      <c r="U217" s="478"/>
      <c r="V217" s="478"/>
      <c r="W217" s="478"/>
      <c r="X217" s="478"/>
      <c r="Y217" s="478"/>
      <c r="Z217" s="478"/>
      <c r="AA217" s="478"/>
      <c r="AB217" s="478"/>
      <c r="AC217" s="478"/>
      <c r="AD217" s="478"/>
      <c r="AE217" s="478"/>
      <c r="AF217" s="478"/>
      <c r="AG217" s="140">
        <f t="shared" si="238"/>
        <v>0</v>
      </c>
      <c r="AH217" s="92" t="str">
        <f t="shared" si="239"/>
        <v/>
      </c>
      <c r="AI217" s="131">
        <f t="shared" si="240"/>
        <v>0</v>
      </c>
      <c r="AJ217" s="2"/>
      <c r="AK217" s="92">
        <f>IF(G217=G$481,0,IF(OR(G217&lt;&gt;0,CJ217&lt;&gt;0,C217="L"),COUNTIF(AK$114:AK216,"&gt;0")+1,0))</f>
        <v>0</v>
      </c>
      <c r="AL217" s="92" t="str">
        <f t="shared" si="241"/>
        <v/>
      </c>
      <c r="AM217" s="92" t="str">
        <f t="shared" si="242"/>
        <v/>
      </c>
      <c r="AN217" s="131">
        <f t="shared" si="232"/>
        <v>0</v>
      </c>
      <c r="AO217" s="447">
        <f>SUM(APR!W20:Z20)</f>
        <v>0</v>
      </c>
      <c r="AP217" s="445">
        <f>SUMIF(APR!$G$155:$J$155,AP$112,APR!$R20:$U20)</f>
        <v>0</v>
      </c>
      <c r="AQ217" s="446">
        <f>SUMIF(APR!$G$155:$J$155,AQ$112,APR!$R20:$U20)</f>
        <v>0</v>
      </c>
      <c r="AR217" s="447">
        <f>SUMIF(APR!$G$155:$J$155,AR$112,APR!$R20:$U20)</f>
        <v>0</v>
      </c>
      <c r="AS217" s="448">
        <f>SUMIF(APR!$G$155:$J$155,AS$112,APR!$R20:$U20)</f>
        <v>0</v>
      </c>
      <c r="AT217" s="449">
        <f>APR!AG20</f>
        <v>0</v>
      </c>
      <c r="AU217" s="445">
        <f>APR!AH20</f>
        <v>0</v>
      </c>
      <c r="AV217" s="446">
        <f>APR!AI20</f>
        <v>0</v>
      </c>
      <c r="AW217" s="447">
        <f>APR!AJ20</f>
        <v>0</v>
      </c>
      <c r="AX217" s="448">
        <f>APR!AK20</f>
        <v>0</v>
      </c>
      <c r="AY217" s="445">
        <f>SUMIF(APR!$G$152:$J$152,"&gt;0",APR!$W20:$Z20)</f>
        <v>0</v>
      </c>
      <c r="AZ217" s="1063">
        <f>SUM(APR!AB20:AE20)</f>
        <v>0</v>
      </c>
      <c r="BA217" s="445">
        <f>SUMIF(APR!$G$159:$J$159,BA$111,APR!$R20:$U20)+SUMIF(APR!$G$159:$J$159,BA$111,APR!$W20:$Z20)</f>
        <v>0</v>
      </c>
      <c r="BB217" s="446">
        <f>SUMIF(APR!$G$159:$J$159,BB$111,APR!$R20:$U20)+SUMIF(APR!$G$159:$J$159,BB$111,APR!$W20:$Z20)</f>
        <v>0</v>
      </c>
      <c r="BC217" s="446">
        <f>SUMIF(APR!$G$159:$J$159,BC$111,APR!$R20:$U20)+SUMIF(APR!$G$159:$J$159,BC$111,APR!$W20:$Z20)</f>
        <v>0</v>
      </c>
      <c r="BD217" s="446">
        <f>SUMIF(APR!$G$159:$J$159,BD$111,APR!$R20:$U20)+SUMIF(APR!$G$159:$J$159,BD$111,APR!$W20:$Z20)</f>
        <v>0</v>
      </c>
      <c r="BE217" s="446">
        <f>SUMIF(APR!$G$159:$J$159,BE$111,APR!$R20:$U20)+SUMIF(APR!$G$159:$J$159,BE$111,APR!$W20:$Z20)</f>
        <v>0</v>
      </c>
      <c r="BF217" s="446">
        <f>SUMIF(APR!$G$159:$J$159,BF$111,APR!$R20:$U20)+SUMIF(APR!$G$159:$J$159,BF$111,APR!$W20:$Z20)</f>
        <v>0</v>
      </c>
      <c r="BG217" s="448">
        <f>SUMIF(APR!$G$159:$J$159,BG$111,APR!$R20:$U20)+SUMIF(APR!$G$159:$J$159,BG$111,APR!$W20:$Z20)</f>
        <v>0</v>
      </c>
      <c r="BH217" s="571"/>
      <c r="BI217" s="448"/>
      <c r="BJ217" s="470"/>
      <c r="BK217" s="445">
        <f>SUMIF(APR!$G$157:$J$157,BK$111,APR!$R20:$U20)+SUMIF(APR!$G$157:$J$157,BK$111,APR!$W20:$Z20)</f>
        <v>0</v>
      </c>
      <c r="BL217" s="446">
        <f>SUMIF(APR!$G$157:$J$157,BL$111,APR!$R20:$U20)+SUMIF(APR!$G$157:$J$157,BL$111,APR!$W20:$Z20)</f>
        <v>0</v>
      </c>
      <c r="BM217" s="446">
        <f>SUMIF(APR!$G$157:$J$157,BM$111,APR!$R20:$U20)+SUMIF(APR!$G$157:$J$157,BM$111,APR!$W20:$Z20)</f>
        <v>0</v>
      </c>
      <c r="BN217" s="446">
        <f>SUMIF(APR!$G$157:$J$157,BN$111,APR!$R20:$U20)+SUMIF(APR!$G$157:$J$157,BN$111,APR!$W20:$Z20)</f>
        <v>0</v>
      </c>
      <c r="BO217" s="446">
        <f>SUMIF(APR!$G$157:$J$157,BO$111,APR!$R20:$U20)+SUMIF(APR!$G$157:$J$157,BO$111,APR!$W20:$Z20)</f>
        <v>0</v>
      </c>
      <c r="BP217" s="446">
        <f>SUMIF(APR!$G$157:$J$157,BP$111,APR!$R20:$U20)+SUMIF(APR!$G$157:$J$157,BP$111,APR!$W20:$Z20)</f>
        <v>0</v>
      </c>
      <c r="BQ217" s="448">
        <f>SUMIF(APR!$G$157:$J$157,BQ$111,APR!$R20:$U20)+SUMIF(APR!$G$157:$J$157,BQ$111,APR!$W20:$Z20)</f>
        <v>0</v>
      </c>
      <c r="BR217" s="571"/>
      <c r="BS217" s="446"/>
      <c r="BT217" s="448"/>
      <c r="BU217" s="470"/>
      <c r="BV217" s="445">
        <f>SUMIF(APR!$G$158:$J$158,BV$111,APR!$R20:$U20)+SUMIF(APR!$G$158:$J$158,BV$111,APR!$W20:$Z20)</f>
        <v>0</v>
      </c>
      <c r="BW217" s="446">
        <f>SUMIF(APR!$G$158:$J$158,BW$111,APR!$R20:$U20)+SUMIF(APR!$G$158:$J$158,BW$111,APR!$W20:$Z20)</f>
        <v>0</v>
      </c>
      <c r="BX217" s="446">
        <f>SUMIF(APR!$G$158:$J$158,BX$111,APR!$R20:$U20)+SUMIF(APR!$G$158:$J$158,BX$111,APR!$W20:$Z20)</f>
        <v>0</v>
      </c>
      <c r="BY217" s="446">
        <f>SUMIF(APR!$G$158:$J$158,BY$111,APR!$R20:$U20)+SUMIF(APR!$G$158:$J$158,BY$111,APR!$W20:$Z20)</f>
        <v>0</v>
      </c>
      <c r="BZ217" s="446">
        <f>SUMIF(APR!$G$158:$J$158,BZ$111,APR!$R20:$U20)+SUMIF(APR!$G$158:$J$158,BZ$111,APR!$W20:$Z20)</f>
        <v>0</v>
      </c>
      <c r="CA217" s="446">
        <f>SUMIF(APR!$G$158:$J$158,CA$111,APR!$R20:$U20)+SUMIF(APR!$G$158:$J$158,CA$111,APR!$W20:$Z20)</f>
        <v>0</v>
      </c>
      <c r="CB217" s="448">
        <f>SUMIF(APR!$G$158:$J$158,CB$111,APR!$R20:$U20)+SUMIF(APR!$G$158:$J$158,CB$111,APR!$W20:$Z20)</f>
        <v>0</v>
      </c>
      <c r="CC217" s="571"/>
      <c r="CD217" s="448"/>
      <c r="CE217" s="92">
        <f t="shared" si="243"/>
        <v>0</v>
      </c>
      <c r="CF217" s="92">
        <f t="shared" si="244"/>
        <v>0</v>
      </c>
      <c r="CG217" s="151" t="str">
        <f t="shared" si="230"/>
        <v/>
      </c>
      <c r="CH217" s="92">
        <f t="shared" si="233"/>
        <v>0</v>
      </c>
      <c r="CI217" s="92" t="str">
        <f t="shared" si="245"/>
        <v/>
      </c>
      <c r="CJ217" s="1100">
        <f>APR!AM20</f>
        <v>0</v>
      </c>
      <c r="CK217" s="445">
        <f>SUMIF(APR!$G$155:$J$155,CK$112,APR!$AN20:$AQ20)</f>
        <v>0</v>
      </c>
      <c r="CL217" s="446">
        <f>SUMIF(APR!$G$155:$J$155,CL$112,APR!$AN20:$AQ20)</f>
        <v>0</v>
      </c>
      <c r="CM217" s="447">
        <f>SUMIF(APR!$G$155:$J$155,CM$112,APR!$AN20:$AQ20)</f>
        <v>0</v>
      </c>
      <c r="CN217" s="448">
        <f>SUMIF(APR!$G$155:$J$155,CN$112,APR!$AN20:$AQ20)</f>
        <v>0</v>
      </c>
      <c r="CO217" s="1100">
        <f>APR!AS20</f>
        <v>0</v>
      </c>
      <c r="CP217" s="445">
        <f>APR!AT20</f>
        <v>0</v>
      </c>
      <c r="CQ217" s="446">
        <f>APR!AU20</f>
        <v>0</v>
      </c>
      <c r="CR217" s="447">
        <f>APR!AV20</f>
        <v>0</v>
      </c>
      <c r="CS217" s="448">
        <f>APR!AW20</f>
        <v>0</v>
      </c>
      <c r="CT217" s="1100">
        <f>APR!AY20</f>
        <v>0</v>
      </c>
      <c r="CU217" s="2"/>
    </row>
    <row r="218" spans="1:99" ht="14.25" hidden="1" customHeight="1" x14ac:dyDescent="0.2">
      <c r="A218" s="2"/>
      <c r="B218" s="151">
        <f t="shared" si="234"/>
        <v>45396</v>
      </c>
      <c r="C218" s="223">
        <f>IF(AND(E218&gt;(E$494-1),E218&lt;(I$494+1)),W$485,IF(ISERROR(HLOOKUP(E218,$E$487:$L$487,1,FALSE)),HLOOKUP(WEEKDAY(E218,2),IMPOSTAZIONI!$C$51:$P$56,6,FALSE),$W$484))</f>
        <v>0</v>
      </c>
      <c r="D218" s="103" t="str">
        <f t="shared" si="235"/>
        <v/>
      </c>
      <c r="E218" s="2380">
        <f t="shared" si="246"/>
        <v>45396</v>
      </c>
      <c r="F218" s="2381"/>
      <c r="G218" s="2325" t="str">
        <f>APR!E21</f>
        <v xml:space="preserve">attiva trim.  </v>
      </c>
      <c r="H218" s="2326"/>
      <c r="I218" s="2327"/>
      <c r="J218" s="479" t="str">
        <f t="shared" si="231"/>
        <v/>
      </c>
      <c r="K218" s="480"/>
      <c r="L218" s="2321">
        <f t="shared" si="247"/>
        <v>15</v>
      </c>
      <c r="M218" s="2322"/>
      <c r="N218" s="478"/>
      <c r="O218" s="478"/>
      <c r="P218" s="478"/>
      <c r="Q218" s="2315">
        <f t="shared" si="236"/>
        <v>45396</v>
      </c>
      <c r="R218" s="2315"/>
      <c r="S218" s="478"/>
      <c r="T218" s="140">
        <f t="shared" si="237"/>
        <v>1</v>
      </c>
      <c r="U218" s="478"/>
      <c r="V218" s="478"/>
      <c r="W218" s="478"/>
      <c r="X218" s="478"/>
      <c r="Y218" s="478"/>
      <c r="Z218" s="478"/>
      <c r="AA218" s="478"/>
      <c r="AB218" s="478"/>
      <c r="AC218" s="478"/>
      <c r="AD218" s="478"/>
      <c r="AE218" s="478"/>
      <c r="AF218" s="478"/>
      <c r="AG218" s="140">
        <f t="shared" si="238"/>
        <v>0</v>
      </c>
      <c r="AH218" s="92" t="str">
        <f t="shared" si="239"/>
        <v/>
      </c>
      <c r="AI218" s="131">
        <f t="shared" si="240"/>
        <v>0</v>
      </c>
      <c r="AJ218" s="2"/>
      <c r="AK218" s="92">
        <f>IF(G218=G$481,0,IF(OR(G218&lt;&gt;0,CJ218&lt;&gt;0,C218="L"),COUNTIF(AK$114:AK217,"&gt;0")+1,0))</f>
        <v>0</v>
      </c>
      <c r="AL218" s="92" t="str">
        <f t="shared" si="241"/>
        <v/>
      </c>
      <c r="AM218" s="92" t="str">
        <f t="shared" si="242"/>
        <v/>
      </c>
      <c r="AN218" s="131">
        <f t="shared" si="232"/>
        <v>0</v>
      </c>
      <c r="AO218" s="447">
        <f>SUM(APR!W21:Z21)</f>
        <v>0</v>
      </c>
      <c r="AP218" s="445">
        <f>SUMIF(APR!$G$155:$J$155,AP$112,APR!$R21:$U21)</f>
        <v>0</v>
      </c>
      <c r="AQ218" s="446">
        <f>SUMIF(APR!$G$155:$J$155,AQ$112,APR!$R21:$U21)</f>
        <v>0</v>
      </c>
      <c r="AR218" s="447">
        <f>SUMIF(APR!$G$155:$J$155,AR$112,APR!$R21:$U21)</f>
        <v>0</v>
      </c>
      <c r="AS218" s="448">
        <f>SUMIF(APR!$G$155:$J$155,AS$112,APR!$R21:$U21)</f>
        <v>0</v>
      </c>
      <c r="AT218" s="449">
        <f>APR!AG21</f>
        <v>0</v>
      </c>
      <c r="AU218" s="445">
        <f>APR!AH21</f>
        <v>0</v>
      </c>
      <c r="AV218" s="446">
        <f>APR!AI21</f>
        <v>0</v>
      </c>
      <c r="AW218" s="447">
        <f>APR!AJ21</f>
        <v>0</v>
      </c>
      <c r="AX218" s="448">
        <f>APR!AK21</f>
        <v>0</v>
      </c>
      <c r="AY218" s="445">
        <f>SUMIF(APR!$G$152:$J$152,"&gt;0",APR!$W21:$Z21)</f>
        <v>0</v>
      </c>
      <c r="AZ218" s="1063">
        <f>SUM(APR!AB21:AE21)</f>
        <v>0</v>
      </c>
      <c r="BA218" s="445">
        <f>SUMIF(APR!$G$159:$J$159,BA$111,APR!$R21:$U21)+SUMIF(APR!$G$159:$J$159,BA$111,APR!$W21:$Z21)</f>
        <v>0</v>
      </c>
      <c r="BB218" s="446">
        <f>SUMIF(APR!$G$159:$J$159,BB$111,APR!$R21:$U21)+SUMIF(APR!$G$159:$J$159,BB$111,APR!$W21:$Z21)</f>
        <v>0</v>
      </c>
      <c r="BC218" s="446">
        <f>SUMIF(APR!$G$159:$J$159,BC$111,APR!$R21:$U21)+SUMIF(APR!$G$159:$J$159,BC$111,APR!$W21:$Z21)</f>
        <v>0</v>
      </c>
      <c r="BD218" s="446">
        <f>SUMIF(APR!$G$159:$J$159,BD$111,APR!$R21:$U21)+SUMIF(APR!$G$159:$J$159,BD$111,APR!$W21:$Z21)</f>
        <v>0</v>
      </c>
      <c r="BE218" s="446">
        <f>SUMIF(APR!$G$159:$J$159,BE$111,APR!$R21:$U21)+SUMIF(APR!$G$159:$J$159,BE$111,APR!$W21:$Z21)</f>
        <v>0</v>
      </c>
      <c r="BF218" s="446">
        <f>SUMIF(APR!$G$159:$J$159,BF$111,APR!$R21:$U21)+SUMIF(APR!$G$159:$J$159,BF$111,APR!$W21:$Z21)</f>
        <v>0</v>
      </c>
      <c r="BG218" s="448">
        <f>SUMIF(APR!$G$159:$J$159,BG$111,APR!$R21:$U21)+SUMIF(APR!$G$159:$J$159,BG$111,APR!$W21:$Z21)</f>
        <v>0</v>
      </c>
      <c r="BH218" s="571"/>
      <c r="BI218" s="448"/>
      <c r="BJ218" s="470"/>
      <c r="BK218" s="445">
        <f>SUMIF(APR!$G$157:$J$157,BK$111,APR!$R21:$U21)+SUMIF(APR!$G$157:$J$157,BK$111,APR!$W21:$Z21)</f>
        <v>0</v>
      </c>
      <c r="BL218" s="446">
        <f>SUMIF(APR!$G$157:$J$157,BL$111,APR!$R21:$U21)+SUMIF(APR!$G$157:$J$157,BL$111,APR!$W21:$Z21)</f>
        <v>0</v>
      </c>
      <c r="BM218" s="446">
        <f>SUMIF(APR!$G$157:$J$157,BM$111,APR!$R21:$U21)+SUMIF(APR!$G$157:$J$157,BM$111,APR!$W21:$Z21)</f>
        <v>0</v>
      </c>
      <c r="BN218" s="446">
        <f>SUMIF(APR!$G$157:$J$157,BN$111,APR!$R21:$U21)+SUMIF(APR!$G$157:$J$157,BN$111,APR!$W21:$Z21)</f>
        <v>0</v>
      </c>
      <c r="BO218" s="446">
        <f>SUMIF(APR!$G$157:$J$157,BO$111,APR!$R21:$U21)+SUMIF(APR!$G$157:$J$157,BO$111,APR!$W21:$Z21)</f>
        <v>0</v>
      </c>
      <c r="BP218" s="446">
        <f>SUMIF(APR!$G$157:$J$157,BP$111,APR!$R21:$U21)+SUMIF(APR!$G$157:$J$157,BP$111,APR!$W21:$Z21)</f>
        <v>0</v>
      </c>
      <c r="BQ218" s="448">
        <f>SUMIF(APR!$G$157:$J$157,BQ$111,APR!$R21:$U21)+SUMIF(APR!$G$157:$J$157,BQ$111,APR!$W21:$Z21)</f>
        <v>0</v>
      </c>
      <c r="BR218" s="571"/>
      <c r="BS218" s="446"/>
      <c r="BT218" s="448"/>
      <c r="BU218" s="470"/>
      <c r="BV218" s="445">
        <f>SUMIF(APR!$G$158:$J$158,BV$111,APR!$R21:$U21)+SUMIF(APR!$G$158:$J$158,BV$111,APR!$W21:$Z21)</f>
        <v>0</v>
      </c>
      <c r="BW218" s="446">
        <f>SUMIF(APR!$G$158:$J$158,BW$111,APR!$R21:$U21)+SUMIF(APR!$G$158:$J$158,BW$111,APR!$W21:$Z21)</f>
        <v>0</v>
      </c>
      <c r="BX218" s="446">
        <f>SUMIF(APR!$G$158:$J$158,BX$111,APR!$R21:$U21)+SUMIF(APR!$G$158:$J$158,BX$111,APR!$W21:$Z21)</f>
        <v>0</v>
      </c>
      <c r="BY218" s="446">
        <f>SUMIF(APR!$G$158:$J$158,BY$111,APR!$R21:$U21)+SUMIF(APR!$G$158:$J$158,BY$111,APR!$W21:$Z21)</f>
        <v>0</v>
      </c>
      <c r="BZ218" s="446">
        <f>SUMIF(APR!$G$158:$J$158,BZ$111,APR!$R21:$U21)+SUMIF(APR!$G$158:$J$158,BZ$111,APR!$W21:$Z21)</f>
        <v>0</v>
      </c>
      <c r="CA218" s="446">
        <f>SUMIF(APR!$G$158:$J$158,CA$111,APR!$R21:$U21)+SUMIF(APR!$G$158:$J$158,CA$111,APR!$W21:$Z21)</f>
        <v>0</v>
      </c>
      <c r="CB218" s="448">
        <f>SUMIF(APR!$G$158:$J$158,CB$111,APR!$R21:$U21)+SUMIF(APR!$G$158:$J$158,CB$111,APR!$W21:$Z21)</f>
        <v>0</v>
      </c>
      <c r="CC218" s="571"/>
      <c r="CD218" s="448"/>
      <c r="CE218" s="92">
        <f t="shared" si="243"/>
        <v>0</v>
      </c>
      <c r="CF218" s="92">
        <f t="shared" si="244"/>
        <v>0</v>
      </c>
      <c r="CG218" s="151" t="str">
        <f t="shared" si="230"/>
        <v/>
      </c>
      <c r="CH218" s="92">
        <f t="shared" si="233"/>
        <v>0</v>
      </c>
      <c r="CI218" s="92" t="str">
        <f t="shared" si="245"/>
        <v/>
      </c>
      <c r="CJ218" s="1100">
        <f>APR!AM21</f>
        <v>0</v>
      </c>
      <c r="CK218" s="445">
        <f>SUMIF(APR!$G$155:$J$155,CK$112,APR!$AN21:$AQ21)</f>
        <v>0</v>
      </c>
      <c r="CL218" s="446">
        <f>SUMIF(APR!$G$155:$J$155,CL$112,APR!$AN21:$AQ21)</f>
        <v>0</v>
      </c>
      <c r="CM218" s="447">
        <f>SUMIF(APR!$G$155:$J$155,CM$112,APR!$AN21:$AQ21)</f>
        <v>0</v>
      </c>
      <c r="CN218" s="448">
        <f>SUMIF(APR!$G$155:$J$155,CN$112,APR!$AN21:$AQ21)</f>
        <v>0</v>
      </c>
      <c r="CO218" s="1100">
        <f>APR!AS21</f>
        <v>0</v>
      </c>
      <c r="CP218" s="445">
        <f>APR!AT21</f>
        <v>0</v>
      </c>
      <c r="CQ218" s="446">
        <f>APR!AU21</f>
        <v>0</v>
      </c>
      <c r="CR218" s="447">
        <f>APR!AV21</f>
        <v>0</v>
      </c>
      <c r="CS218" s="448">
        <f>APR!AW21</f>
        <v>0</v>
      </c>
      <c r="CT218" s="1100">
        <f>APR!AY21</f>
        <v>0</v>
      </c>
      <c r="CU218" s="2"/>
    </row>
    <row r="219" spans="1:99" ht="14.25" hidden="1" customHeight="1" x14ac:dyDescent="0.2">
      <c r="A219" s="2"/>
      <c r="B219" s="151">
        <f t="shared" si="234"/>
        <v>45397</v>
      </c>
      <c r="C219" s="223">
        <f>IF(AND(E219&gt;(E$494-1),E219&lt;(I$494+1)),W$485,IF(ISERROR(HLOOKUP(E219,$E$487:$L$487,1,FALSE)),HLOOKUP(WEEKDAY(E219,2),IMPOSTAZIONI!$C$51:$P$56,6,FALSE),$W$484))</f>
        <v>0</v>
      </c>
      <c r="D219" s="103" t="str">
        <f t="shared" si="235"/>
        <v/>
      </c>
      <c r="E219" s="2380">
        <f t="shared" si="246"/>
        <v>45397</v>
      </c>
      <c r="F219" s="2381"/>
      <c r="G219" s="2325" t="str">
        <f>APR!E22</f>
        <v xml:space="preserve">attiva trim.  </v>
      </c>
      <c r="H219" s="2326"/>
      <c r="I219" s="2327"/>
      <c r="J219" s="479" t="str">
        <f t="shared" si="231"/>
        <v/>
      </c>
      <c r="K219" s="480"/>
      <c r="L219" s="2323">
        <f t="shared" si="247"/>
        <v>16</v>
      </c>
      <c r="M219" s="2324"/>
      <c r="N219" s="478"/>
      <c r="O219" s="478"/>
      <c r="P219" s="478"/>
      <c r="Q219" s="2315">
        <f t="shared" si="236"/>
        <v>45397</v>
      </c>
      <c r="R219" s="2315"/>
      <c r="S219" s="478"/>
      <c r="T219" s="140">
        <f t="shared" si="237"/>
        <v>1</v>
      </c>
      <c r="U219" s="478"/>
      <c r="V219" s="478"/>
      <c r="W219" s="478"/>
      <c r="X219" s="478"/>
      <c r="Y219" s="478"/>
      <c r="Z219" s="478"/>
      <c r="AA219" s="478"/>
      <c r="AB219" s="478"/>
      <c r="AC219" s="478"/>
      <c r="AD219" s="478"/>
      <c r="AE219" s="478"/>
      <c r="AF219" s="478"/>
      <c r="AG219" s="140">
        <f t="shared" si="238"/>
        <v>0</v>
      </c>
      <c r="AH219" s="92" t="str">
        <f t="shared" si="239"/>
        <v/>
      </c>
      <c r="AI219" s="131">
        <f t="shared" si="240"/>
        <v>0</v>
      </c>
      <c r="AJ219" s="2"/>
      <c r="AK219" s="92">
        <f>IF(G219=G$481,0,IF(OR(G219&lt;&gt;0,CJ219&lt;&gt;0,C219="L"),COUNTIF(AK$114:AK218,"&gt;0")+1,0))</f>
        <v>0</v>
      </c>
      <c r="AL219" s="92" t="str">
        <f t="shared" si="241"/>
        <v/>
      </c>
      <c r="AM219" s="92" t="str">
        <f t="shared" si="242"/>
        <v/>
      </c>
      <c r="AN219" s="131">
        <f t="shared" si="232"/>
        <v>0</v>
      </c>
      <c r="AO219" s="447">
        <f>SUM(APR!W22:Z22)</f>
        <v>0</v>
      </c>
      <c r="AP219" s="445">
        <f>SUMIF(APR!$G$155:$J$155,AP$112,APR!$R22:$U22)</f>
        <v>0</v>
      </c>
      <c r="AQ219" s="446">
        <f>SUMIF(APR!$G$155:$J$155,AQ$112,APR!$R22:$U22)</f>
        <v>0</v>
      </c>
      <c r="AR219" s="447">
        <f>SUMIF(APR!$G$155:$J$155,AR$112,APR!$R22:$U22)</f>
        <v>0</v>
      </c>
      <c r="AS219" s="448">
        <f>SUMIF(APR!$G$155:$J$155,AS$112,APR!$R22:$U22)</f>
        <v>0</v>
      </c>
      <c r="AT219" s="449">
        <f>APR!AG22</f>
        <v>0</v>
      </c>
      <c r="AU219" s="445">
        <f>APR!AH22</f>
        <v>0</v>
      </c>
      <c r="AV219" s="446">
        <f>APR!AI22</f>
        <v>0</v>
      </c>
      <c r="AW219" s="447">
        <f>APR!AJ22</f>
        <v>0</v>
      </c>
      <c r="AX219" s="448">
        <f>APR!AK22</f>
        <v>0</v>
      </c>
      <c r="AY219" s="445">
        <f>SUMIF(APR!$G$152:$J$152,"&gt;0",APR!$W22:$Z22)</f>
        <v>0</v>
      </c>
      <c r="AZ219" s="1063">
        <f>SUM(APR!AB22:AE22)</f>
        <v>0</v>
      </c>
      <c r="BA219" s="445">
        <f>SUMIF(APR!$G$159:$J$159,BA$111,APR!$R22:$U22)+SUMIF(APR!$G$159:$J$159,BA$111,APR!$W22:$Z22)</f>
        <v>0</v>
      </c>
      <c r="BB219" s="446">
        <f>SUMIF(APR!$G$159:$J$159,BB$111,APR!$R22:$U22)+SUMIF(APR!$G$159:$J$159,BB$111,APR!$W22:$Z22)</f>
        <v>0</v>
      </c>
      <c r="BC219" s="446">
        <f>SUMIF(APR!$G$159:$J$159,BC$111,APR!$R22:$U22)+SUMIF(APR!$G$159:$J$159,BC$111,APR!$W22:$Z22)</f>
        <v>0</v>
      </c>
      <c r="BD219" s="446">
        <f>SUMIF(APR!$G$159:$J$159,BD$111,APR!$R22:$U22)+SUMIF(APR!$G$159:$J$159,BD$111,APR!$W22:$Z22)</f>
        <v>0</v>
      </c>
      <c r="BE219" s="446">
        <f>SUMIF(APR!$G$159:$J$159,BE$111,APR!$R22:$U22)+SUMIF(APR!$G$159:$J$159,BE$111,APR!$W22:$Z22)</f>
        <v>0</v>
      </c>
      <c r="BF219" s="446">
        <f>SUMIF(APR!$G$159:$J$159,BF$111,APR!$R22:$U22)+SUMIF(APR!$G$159:$J$159,BF$111,APR!$W22:$Z22)</f>
        <v>0</v>
      </c>
      <c r="BG219" s="448">
        <f>SUMIF(APR!$G$159:$J$159,BG$111,APR!$R22:$U22)+SUMIF(APR!$G$159:$J$159,BG$111,APR!$W22:$Z22)</f>
        <v>0</v>
      </c>
      <c r="BH219" s="571"/>
      <c r="BI219" s="448"/>
      <c r="BJ219" s="470"/>
      <c r="BK219" s="445">
        <f>SUMIF(APR!$G$157:$J$157,BK$111,APR!$R22:$U22)+SUMIF(APR!$G$157:$J$157,BK$111,APR!$W22:$Z22)</f>
        <v>0</v>
      </c>
      <c r="BL219" s="446">
        <f>SUMIF(APR!$G$157:$J$157,BL$111,APR!$R22:$U22)+SUMIF(APR!$G$157:$J$157,BL$111,APR!$W22:$Z22)</f>
        <v>0</v>
      </c>
      <c r="BM219" s="446">
        <f>SUMIF(APR!$G$157:$J$157,BM$111,APR!$R22:$U22)+SUMIF(APR!$G$157:$J$157,BM$111,APR!$W22:$Z22)</f>
        <v>0</v>
      </c>
      <c r="BN219" s="446">
        <f>SUMIF(APR!$G$157:$J$157,BN$111,APR!$R22:$U22)+SUMIF(APR!$G$157:$J$157,BN$111,APR!$W22:$Z22)</f>
        <v>0</v>
      </c>
      <c r="BO219" s="446">
        <f>SUMIF(APR!$G$157:$J$157,BO$111,APR!$R22:$U22)+SUMIF(APR!$G$157:$J$157,BO$111,APR!$W22:$Z22)</f>
        <v>0</v>
      </c>
      <c r="BP219" s="446">
        <f>SUMIF(APR!$G$157:$J$157,BP$111,APR!$R22:$U22)+SUMIF(APR!$G$157:$J$157,BP$111,APR!$W22:$Z22)</f>
        <v>0</v>
      </c>
      <c r="BQ219" s="448">
        <f>SUMIF(APR!$G$157:$J$157,BQ$111,APR!$R22:$U22)+SUMIF(APR!$G$157:$J$157,BQ$111,APR!$W22:$Z22)</f>
        <v>0</v>
      </c>
      <c r="BR219" s="571"/>
      <c r="BS219" s="446"/>
      <c r="BT219" s="448"/>
      <c r="BU219" s="470"/>
      <c r="BV219" s="445">
        <f>SUMIF(APR!$G$158:$J$158,BV$111,APR!$R22:$U22)+SUMIF(APR!$G$158:$J$158,BV$111,APR!$W22:$Z22)</f>
        <v>0</v>
      </c>
      <c r="BW219" s="446">
        <f>SUMIF(APR!$G$158:$J$158,BW$111,APR!$R22:$U22)+SUMIF(APR!$G$158:$J$158,BW$111,APR!$W22:$Z22)</f>
        <v>0</v>
      </c>
      <c r="BX219" s="446">
        <f>SUMIF(APR!$G$158:$J$158,BX$111,APR!$R22:$U22)+SUMIF(APR!$G$158:$J$158,BX$111,APR!$W22:$Z22)</f>
        <v>0</v>
      </c>
      <c r="BY219" s="446">
        <f>SUMIF(APR!$G$158:$J$158,BY$111,APR!$R22:$U22)+SUMIF(APR!$G$158:$J$158,BY$111,APR!$W22:$Z22)</f>
        <v>0</v>
      </c>
      <c r="BZ219" s="446">
        <f>SUMIF(APR!$G$158:$J$158,BZ$111,APR!$R22:$U22)+SUMIF(APR!$G$158:$J$158,BZ$111,APR!$W22:$Z22)</f>
        <v>0</v>
      </c>
      <c r="CA219" s="446">
        <f>SUMIF(APR!$G$158:$J$158,CA$111,APR!$R22:$U22)+SUMIF(APR!$G$158:$J$158,CA$111,APR!$W22:$Z22)</f>
        <v>0</v>
      </c>
      <c r="CB219" s="448">
        <f>SUMIF(APR!$G$158:$J$158,CB$111,APR!$R22:$U22)+SUMIF(APR!$G$158:$J$158,CB$111,APR!$W22:$Z22)</f>
        <v>0</v>
      </c>
      <c r="CC219" s="571"/>
      <c r="CD219" s="448"/>
      <c r="CE219" s="92">
        <f t="shared" si="243"/>
        <v>0</v>
      </c>
      <c r="CF219" s="92">
        <f t="shared" si="244"/>
        <v>0</v>
      </c>
      <c r="CG219" s="151" t="str">
        <f t="shared" si="230"/>
        <v/>
      </c>
      <c r="CH219" s="92">
        <f t="shared" si="233"/>
        <v>0</v>
      </c>
      <c r="CI219" s="92" t="str">
        <f t="shared" si="245"/>
        <v/>
      </c>
      <c r="CJ219" s="1100">
        <f>APR!AM22</f>
        <v>0</v>
      </c>
      <c r="CK219" s="445">
        <f>SUMIF(APR!$G$155:$J$155,CK$112,APR!$AN22:$AQ22)</f>
        <v>0</v>
      </c>
      <c r="CL219" s="446">
        <f>SUMIF(APR!$G$155:$J$155,CL$112,APR!$AN22:$AQ22)</f>
        <v>0</v>
      </c>
      <c r="CM219" s="447">
        <f>SUMIF(APR!$G$155:$J$155,CM$112,APR!$AN22:$AQ22)</f>
        <v>0</v>
      </c>
      <c r="CN219" s="448">
        <f>SUMIF(APR!$G$155:$J$155,CN$112,APR!$AN22:$AQ22)</f>
        <v>0</v>
      </c>
      <c r="CO219" s="1100">
        <f>APR!AS22</f>
        <v>0</v>
      </c>
      <c r="CP219" s="445">
        <f>APR!AT22</f>
        <v>0</v>
      </c>
      <c r="CQ219" s="446">
        <f>APR!AU22</f>
        <v>0</v>
      </c>
      <c r="CR219" s="447">
        <f>APR!AV22</f>
        <v>0</v>
      </c>
      <c r="CS219" s="448">
        <f>APR!AW22</f>
        <v>0</v>
      </c>
      <c r="CT219" s="1100">
        <f>APR!AY22</f>
        <v>0</v>
      </c>
      <c r="CU219" s="2"/>
    </row>
    <row r="220" spans="1:99" ht="14.25" hidden="1" customHeight="1" x14ac:dyDescent="0.2">
      <c r="A220" s="2"/>
      <c r="B220" s="151">
        <f t="shared" si="234"/>
        <v>45398</v>
      </c>
      <c r="C220" s="223">
        <f>IF(AND(E220&gt;(E$494-1),E220&lt;(I$494+1)),W$485,IF(ISERROR(HLOOKUP(E220,$E$487:$L$487,1,FALSE)),HLOOKUP(WEEKDAY(E220,2),IMPOSTAZIONI!$C$51:$P$56,6,FALSE),$W$484))</f>
        <v>0</v>
      </c>
      <c r="D220" s="103" t="str">
        <f t="shared" si="235"/>
        <v/>
      </c>
      <c r="E220" s="2380">
        <f t="shared" si="246"/>
        <v>45398</v>
      </c>
      <c r="F220" s="2381"/>
      <c r="G220" s="2325" t="str">
        <f>APR!E23</f>
        <v xml:space="preserve">attiva trim.  </v>
      </c>
      <c r="H220" s="2326"/>
      <c r="I220" s="2327"/>
      <c r="J220" s="479" t="str">
        <f t="shared" si="231"/>
        <v/>
      </c>
      <c r="K220" s="480"/>
      <c r="L220" s="2319">
        <f t="shared" si="247"/>
        <v>16</v>
      </c>
      <c r="M220" s="2320"/>
      <c r="N220" s="478"/>
      <c r="O220" s="478"/>
      <c r="P220" s="478"/>
      <c r="Q220" s="2315">
        <f t="shared" si="236"/>
        <v>45398</v>
      </c>
      <c r="R220" s="2315"/>
      <c r="S220" s="478"/>
      <c r="T220" s="140">
        <f t="shared" si="237"/>
        <v>1</v>
      </c>
      <c r="U220" s="478"/>
      <c r="V220" s="478"/>
      <c r="W220" s="478"/>
      <c r="X220" s="478"/>
      <c r="Y220" s="478"/>
      <c r="Z220" s="478"/>
      <c r="AA220" s="478"/>
      <c r="AB220" s="478"/>
      <c r="AC220" s="478"/>
      <c r="AD220" s="478"/>
      <c r="AE220" s="478"/>
      <c r="AF220" s="478"/>
      <c r="AG220" s="140">
        <f t="shared" si="238"/>
        <v>0</v>
      </c>
      <c r="AH220" s="92" t="str">
        <f t="shared" si="239"/>
        <v/>
      </c>
      <c r="AI220" s="131">
        <f t="shared" si="240"/>
        <v>0</v>
      </c>
      <c r="AJ220" s="2"/>
      <c r="AK220" s="92">
        <f>IF(G220=G$481,0,IF(OR(G220&lt;&gt;0,CJ220&lt;&gt;0,C220="L"),COUNTIF(AK$114:AK219,"&gt;0")+1,0))</f>
        <v>0</v>
      </c>
      <c r="AL220" s="92" t="str">
        <f t="shared" si="241"/>
        <v/>
      </c>
      <c r="AM220" s="92" t="str">
        <f t="shared" si="242"/>
        <v/>
      </c>
      <c r="AN220" s="131">
        <f t="shared" si="232"/>
        <v>0</v>
      </c>
      <c r="AO220" s="447">
        <f>SUM(APR!W23:Z23)</f>
        <v>0</v>
      </c>
      <c r="AP220" s="445">
        <f>SUMIF(APR!$G$155:$J$155,AP$112,APR!$R23:$U23)</f>
        <v>0</v>
      </c>
      <c r="AQ220" s="446">
        <f>SUMIF(APR!$G$155:$J$155,AQ$112,APR!$R23:$U23)</f>
        <v>0</v>
      </c>
      <c r="AR220" s="447">
        <f>SUMIF(APR!$G$155:$J$155,AR$112,APR!$R23:$U23)</f>
        <v>0</v>
      </c>
      <c r="AS220" s="448">
        <f>SUMIF(APR!$G$155:$J$155,AS$112,APR!$R23:$U23)</f>
        <v>0</v>
      </c>
      <c r="AT220" s="449">
        <f>APR!AG23</f>
        <v>0</v>
      </c>
      <c r="AU220" s="445">
        <f>APR!AH23</f>
        <v>0</v>
      </c>
      <c r="AV220" s="446">
        <f>APR!AI23</f>
        <v>0</v>
      </c>
      <c r="AW220" s="447">
        <f>APR!AJ23</f>
        <v>0</v>
      </c>
      <c r="AX220" s="448">
        <f>APR!AK23</f>
        <v>0</v>
      </c>
      <c r="AY220" s="445">
        <f>SUMIF(APR!$G$152:$J$152,"&gt;0",APR!$W23:$Z23)</f>
        <v>0</v>
      </c>
      <c r="AZ220" s="1063">
        <f>SUM(APR!AB23:AE23)</f>
        <v>0</v>
      </c>
      <c r="BA220" s="445">
        <f>SUMIF(APR!$G$159:$J$159,BA$111,APR!$R23:$U23)+SUMIF(APR!$G$159:$J$159,BA$111,APR!$W23:$Z23)</f>
        <v>0</v>
      </c>
      <c r="BB220" s="446">
        <f>SUMIF(APR!$G$159:$J$159,BB$111,APR!$R23:$U23)+SUMIF(APR!$G$159:$J$159,BB$111,APR!$W23:$Z23)</f>
        <v>0</v>
      </c>
      <c r="BC220" s="446">
        <f>SUMIF(APR!$G$159:$J$159,BC$111,APR!$R23:$U23)+SUMIF(APR!$G$159:$J$159,BC$111,APR!$W23:$Z23)</f>
        <v>0</v>
      </c>
      <c r="BD220" s="446">
        <f>SUMIF(APR!$G$159:$J$159,BD$111,APR!$R23:$U23)+SUMIF(APR!$G$159:$J$159,BD$111,APR!$W23:$Z23)</f>
        <v>0</v>
      </c>
      <c r="BE220" s="446">
        <f>SUMIF(APR!$G$159:$J$159,BE$111,APR!$R23:$U23)+SUMIF(APR!$G$159:$J$159,BE$111,APR!$W23:$Z23)</f>
        <v>0</v>
      </c>
      <c r="BF220" s="446">
        <f>SUMIF(APR!$G$159:$J$159,BF$111,APR!$R23:$U23)+SUMIF(APR!$G$159:$J$159,BF$111,APR!$W23:$Z23)</f>
        <v>0</v>
      </c>
      <c r="BG220" s="448">
        <f>SUMIF(APR!$G$159:$J$159,BG$111,APR!$R23:$U23)+SUMIF(APR!$G$159:$J$159,BG$111,APR!$W23:$Z23)</f>
        <v>0</v>
      </c>
      <c r="BH220" s="571"/>
      <c r="BI220" s="448"/>
      <c r="BJ220" s="470"/>
      <c r="BK220" s="445">
        <f>SUMIF(APR!$G$157:$J$157,BK$111,APR!$R23:$U23)+SUMIF(APR!$G$157:$J$157,BK$111,APR!$W23:$Z23)</f>
        <v>0</v>
      </c>
      <c r="BL220" s="446">
        <f>SUMIF(APR!$G$157:$J$157,BL$111,APR!$R23:$U23)+SUMIF(APR!$G$157:$J$157,BL$111,APR!$W23:$Z23)</f>
        <v>0</v>
      </c>
      <c r="BM220" s="446">
        <f>SUMIF(APR!$G$157:$J$157,BM$111,APR!$R23:$U23)+SUMIF(APR!$G$157:$J$157,BM$111,APR!$W23:$Z23)</f>
        <v>0</v>
      </c>
      <c r="BN220" s="446">
        <f>SUMIF(APR!$G$157:$J$157,BN$111,APR!$R23:$U23)+SUMIF(APR!$G$157:$J$157,BN$111,APR!$W23:$Z23)</f>
        <v>0</v>
      </c>
      <c r="BO220" s="446">
        <f>SUMIF(APR!$G$157:$J$157,BO$111,APR!$R23:$U23)+SUMIF(APR!$G$157:$J$157,BO$111,APR!$W23:$Z23)</f>
        <v>0</v>
      </c>
      <c r="BP220" s="446">
        <f>SUMIF(APR!$G$157:$J$157,BP$111,APR!$R23:$U23)+SUMIF(APR!$G$157:$J$157,BP$111,APR!$W23:$Z23)</f>
        <v>0</v>
      </c>
      <c r="BQ220" s="448">
        <f>SUMIF(APR!$G$157:$J$157,BQ$111,APR!$R23:$U23)+SUMIF(APR!$G$157:$J$157,BQ$111,APR!$W23:$Z23)</f>
        <v>0</v>
      </c>
      <c r="BR220" s="571"/>
      <c r="BS220" s="446"/>
      <c r="BT220" s="448"/>
      <c r="BU220" s="470"/>
      <c r="BV220" s="445">
        <f>SUMIF(APR!$G$158:$J$158,BV$111,APR!$R23:$U23)+SUMIF(APR!$G$158:$J$158,BV$111,APR!$W23:$Z23)</f>
        <v>0</v>
      </c>
      <c r="BW220" s="446">
        <f>SUMIF(APR!$G$158:$J$158,BW$111,APR!$R23:$U23)+SUMIF(APR!$G$158:$J$158,BW$111,APR!$W23:$Z23)</f>
        <v>0</v>
      </c>
      <c r="BX220" s="446">
        <f>SUMIF(APR!$G$158:$J$158,BX$111,APR!$R23:$U23)+SUMIF(APR!$G$158:$J$158,BX$111,APR!$W23:$Z23)</f>
        <v>0</v>
      </c>
      <c r="BY220" s="446">
        <f>SUMIF(APR!$G$158:$J$158,BY$111,APR!$R23:$U23)+SUMIF(APR!$G$158:$J$158,BY$111,APR!$W23:$Z23)</f>
        <v>0</v>
      </c>
      <c r="BZ220" s="446">
        <f>SUMIF(APR!$G$158:$J$158,BZ$111,APR!$R23:$U23)+SUMIF(APR!$G$158:$J$158,BZ$111,APR!$W23:$Z23)</f>
        <v>0</v>
      </c>
      <c r="CA220" s="446">
        <f>SUMIF(APR!$G$158:$J$158,CA$111,APR!$R23:$U23)+SUMIF(APR!$G$158:$J$158,CA$111,APR!$W23:$Z23)</f>
        <v>0</v>
      </c>
      <c r="CB220" s="448">
        <f>SUMIF(APR!$G$158:$J$158,CB$111,APR!$R23:$U23)+SUMIF(APR!$G$158:$J$158,CB$111,APR!$W23:$Z23)</f>
        <v>0</v>
      </c>
      <c r="CC220" s="571"/>
      <c r="CD220" s="448"/>
      <c r="CE220" s="92">
        <f t="shared" si="243"/>
        <v>0</v>
      </c>
      <c r="CF220" s="92">
        <f t="shared" si="244"/>
        <v>0</v>
      </c>
      <c r="CG220" s="151" t="str">
        <f t="shared" si="230"/>
        <v/>
      </c>
      <c r="CH220" s="92">
        <f t="shared" si="233"/>
        <v>0</v>
      </c>
      <c r="CI220" s="92" t="str">
        <f t="shared" si="245"/>
        <v/>
      </c>
      <c r="CJ220" s="1100">
        <f>APR!AM23</f>
        <v>0</v>
      </c>
      <c r="CK220" s="445">
        <f>SUMIF(APR!$G$155:$J$155,CK$112,APR!$AN23:$AQ23)</f>
        <v>0</v>
      </c>
      <c r="CL220" s="446">
        <f>SUMIF(APR!$G$155:$J$155,CL$112,APR!$AN23:$AQ23)</f>
        <v>0</v>
      </c>
      <c r="CM220" s="447">
        <f>SUMIF(APR!$G$155:$J$155,CM$112,APR!$AN23:$AQ23)</f>
        <v>0</v>
      </c>
      <c r="CN220" s="448">
        <f>SUMIF(APR!$G$155:$J$155,CN$112,APR!$AN23:$AQ23)</f>
        <v>0</v>
      </c>
      <c r="CO220" s="1100">
        <f>APR!AS23</f>
        <v>0</v>
      </c>
      <c r="CP220" s="445">
        <f>APR!AT23</f>
        <v>0</v>
      </c>
      <c r="CQ220" s="446">
        <f>APR!AU23</f>
        <v>0</v>
      </c>
      <c r="CR220" s="447">
        <f>APR!AV23</f>
        <v>0</v>
      </c>
      <c r="CS220" s="448">
        <f>APR!AW23</f>
        <v>0</v>
      </c>
      <c r="CT220" s="1100">
        <f>APR!AY23</f>
        <v>0</v>
      </c>
      <c r="CU220" s="2"/>
    </row>
    <row r="221" spans="1:99" ht="14.25" hidden="1" customHeight="1" x14ac:dyDescent="0.2">
      <c r="A221" s="2"/>
      <c r="B221" s="151">
        <f t="shared" si="234"/>
        <v>45399</v>
      </c>
      <c r="C221" s="223">
        <f>IF(AND(E221&gt;(E$494-1),E221&lt;(I$494+1)),W$485,IF(ISERROR(HLOOKUP(E221,$E$487:$L$487,1,FALSE)),HLOOKUP(WEEKDAY(E221,2),IMPOSTAZIONI!$C$51:$P$56,6,FALSE),$W$484))</f>
        <v>0</v>
      </c>
      <c r="D221" s="103" t="str">
        <f t="shared" si="235"/>
        <v/>
      </c>
      <c r="E221" s="2380">
        <f t="shared" si="246"/>
        <v>45399</v>
      </c>
      <c r="F221" s="2381"/>
      <c r="G221" s="2325" t="str">
        <f>APR!E24</f>
        <v xml:space="preserve">attiva trim.  </v>
      </c>
      <c r="H221" s="2326"/>
      <c r="I221" s="2327"/>
      <c r="J221" s="479" t="str">
        <f t="shared" si="231"/>
        <v/>
      </c>
      <c r="K221" s="480"/>
      <c r="L221" s="2319">
        <f t="shared" si="247"/>
        <v>16</v>
      </c>
      <c r="M221" s="2320"/>
      <c r="N221" s="478"/>
      <c r="O221" s="478"/>
      <c r="P221" s="478"/>
      <c r="Q221" s="2315">
        <f t="shared" si="236"/>
        <v>45399</v>
      </c>
      <c r="R221" s="2315"/>
      <c r="S221" s="478"/>
      <c r="T221" s="140">
        <f t="shared" si="237"/>
        <v>1</v>
      </c>
      <c r="U221" s="478"/>
      <c r="V221" s="478"/>
      <c r="W221" s="478"/>
      <c r="X221" s="478"/>
      <c r="Y221" s="478"/>
      <c r="Z221" s="478"/>
      <c r="AA221" s="478"/>
      <c r="AB221" s="478"/>
      <c r="AC221" s="478"/>
      <c r="AD221" s="478"/>
      <c r="AE221" s="478"/>
      <c r="AF221" s="478"/>
      <c r="AG221" s="140">
        <f t="shared" si="238"/>
        <v>0</v>
      </c>
      <c r="AH221" s="92" t="str">
        <f t="shared" si="239"/>
        <v/>
      </c>
      <c r="AI221" s="131">
        <f t="shared" si="240"/>
        <v>0</v>
      </c>
      <c r="AJ221" s="2"/>
      <c r="AK221" s="92">
        <f>IF(G221=G$481,0,IF(OR(G221&lt;&gt;0,CJ221&lt;&gt;0,C221="L"),COUNTIF(AK$114:AK220,"&gt;0")+1,0))</f>
        <v>0</v>
      </c>
      <c r="AL221" s="92" t="str">
        <f t="shared" si="241"/>
        <v/>
      </c>
      <c r="AM221" s="92" t="str">
        <f t="shared" si="242"/>
        <v/>
      </c>
      <c r="AN221" s="131">
        <f t="shared" si="232"/>
        <v>0</v>
      </c>
      <c r="AO221" s="447">
        <f>SUM(APR!W24:Z24)</f>
        <v>0</v>
      </c>
      <c r="AP221" s="445">
        <f>SUMIF(APR!$G$155:$J$155,AP$112,APR!$R24:$U24)</f>
        <v>0</v>
      </c>
      <c r="AQ221" s="446">
        <f>SUMIF(APR!$G$155:$J$155,AQ$112,APR!$R24:$U24)</f>
        <v>0</v>
      </c>
      <c r="AR221" s="447">
        <f>SUMIF(APR!$G$155:$J$155,AR$112,APR!$R24:$U24)</f>
        <v>0</v>
      </c>
      <c r="AS221" s="448">
        <f>SUMIF(APR!$G$155:$J$155,AS$112,APR!$R24:$U24)</f>
        <v>0</v>
      </c>
      <c r="AT221" s="449">
        <f>APR!AG24</f>
        <v>0</v>
      </c>
      <c r="AU221" s="445">
        <f>APR!AH24</f>
        <v>0</v>
      </c>
      <c r="AV221" s="446">
        <f>APR!AI24</f>
        <v>0</v>
      </c>
      <c r="AW221" s="447">
        <f>APR!AJ24</f>
        <v>0</v>
      </c>
      <c r="AX221" s="448">
        <f>APR!AK24</f>
        <v>0</v>
      </c>
      <c r="AY221" s="445">
        <f>SUMIF(APR!$G$152:$J$152,"&gt;0",APR!$W24:$Z24)</f>
        <v>0</v>
      </c>
      <c r="AZ221" s="1063">
        <f>SUM(APR!AB24:AE24)</f>
        <v>0</v>
      </c>
      <c r="BA221" s="445">
        <f>SUMIF(APR!$G$159:$J$159,BA$111,APR!$R24:$U24)+SUMIF(APR!$G$159:$J$159,BA$111,APR!$W24:$Z24)</f>
        <v>0</v>
      </c>
      <c r="BB221" s="446">
        <f>SUMIF(APR!$G$159:$J$159,BB$111,APR!$R24:$U24)+SUMIF(APR!$G$159:$J$159,BB$111,APR!$W24:$Z24)</f>
        <v>0</v>
      </c>
      <c r="BC221" s="446">
        <f>SUMIF(APR!$G$159:$J$159,BC$111,APR!$R24:$U24)+SUMIF(APR!$G$159:$J$159,BC$111,APR!$W24:$Z24)</f>
        <v>0</v>
      </c>
      <c r="BD221" s="446">
        <f>SUMIF(APR!$G$159:$J$159,BD$111,APR!$R24:$U24)+SUMIF(APR!$G$159:$J$159,BD$111,APR!$W24:$Z24)</f>
        <v>0</v>
      </c>
      <c r="BE221" s="446">
        <f>SUMIF(APR!$G$159:$J$159,BE$111,APR!$R24:$U24)+SUMIF(APR!$G$159:$J$159,BE$111,APR!$W24:$Z24)</f>
        <v>0</v>
      </c>
      <c r="BF221" s="446">
        <f>SUMIF(APR!$G$159:$J$159,BF$111,APR!$R24:$U24)+SUMIF(APR!$G$159:$J$159,BF$111,APR!$W24:$Z24)</f>
        <v>0</v>
      </c>
      <c r="BG221" s="448">
        <f>SUMIF(APR!$G$159:$J$159,BG$111,APR!$R24:$U24)+SUMIF(APR!$G$159:$J$159,BG$111,APR!$W24:$Z24)</f>
        <v>0</v>
      </c>
      <c r="BH221" s="571"/>
      <c r="BI221" s="448"/>
      <c r="BJ221" s="470"/>
      <c r="BK221" s="445">
        <f>SUMIF(APR!$G$157:$J$157,BK$111,APR!$R24:$U24)+SUMIF(APR!$G$157:$J$157,BK$111,APR!$W24:$Z24)</f>
        <v>0</v>
      </c>
      <c r="BL221" s="446">
        <f>SUMIF(APR!$G$157:$J$157,BL$111,APR!$R24:$U24)+SUMIF(APR!$G$157:$J$157,BL$111,APR!$W24:$Z24)</f>
        <v>0</v>
      </c>
      <c r="BM221" s="446">
        <f>SUMIF(APR!$G$157:$J$157,BM$111,APR!$R24:$U24)+SUMIF(APR!$G$157:$J$157,BM$111,APR!$W24:$Z24)</f>
        <v>0</v>
      </c>
      <c r="BN221" s="446">
        <f>SUMIF(APR!$G$157:$J$157,BN$111,APR!$R24:$U24)+SUMIF(APR!$G$157:$J$157,BN$111,APR!$W24:$Z24)</f>
        <v>0</v>
      </c>
      <c r="BO221" s="446">
        <f>SUMIF(APR!$G$157:$J$157,BO$111,APR!$R24:$U24)+SUMIF(APR!$G$157:$J$157,BO$111,APR!$W24:$Z24)</f>
        <v>0</v>
      </c>
      <c r="BP221" s="446">
        <f>SUMIF(APR!$G$157:$J$157,BP$111,APR!$R24:$U24)+SUMIF(APR!$G$157:$J$157,BP$111,APR!$W24:$Z24)</f>
        <v>0</v>
      </c>
      <c r="BQ221" s="448">
        <f>SUMIF(APR!$G$157:$J$157,BQ$111,APR!$R24:$U24)+SUMIF(APR!$G$157:$J$157,BQ$111,APR!$W24:$Z24)</f>
        <v>0</v>
      </c>
      <c r="BR221" s="571"/>
      <c r="BS221" s="446"/>
      <c r="BT221" s="448"/>
      <c r="BU221" s="470"/>
      <c r="BV221" s="445">
        <f>SUMIF(APR!$G$158:$J$158,BV$111,APR!$R24:$U24)+SUMIF(APR!$G$158:$J$158,BV$111,APR!$W24:$Z24)</f>
        <v>0</v>
      </c>
      <c r="BW221" s="446">
        <f>SUMIF(APR!$G$158:$J$158,BW$111,APR!$R24:$U24)+SUMIF(APR!$G$158:$J$158,BW$111,APR!$W24:$Z24)</f>
        <v>0</v>
      </c>
      <c r="BX221" s="446">
        <f>SUMIF(APR!$G$158:$J$158,BX$111,APR!$R24:$U24)+SUMIF(APR!$G$158:$J$158,BX$111,APR!$W24:$Z24)</f>
        <v>0</v>
      </c>
      <c r="BY221" s="446">
        <f>SUMIF(APR!$G$158:$J$158,BY$111,APR!$R24:$U24)+SUMIF(APR!$G$158:$J$158,BY$111,APR!$W24:$Z24)</f>
        <v>0</v>
      </c>
      <c r="BZ221" s="446">
        <f>SUMIF(APR!$G$158:$J$158,BZ$111,APR!$R24:$U24)+SUMIF(APR!$G$158:$J$158,BZ$111,APR!$W24:$Z24)</f>
        <v>0</v>
      </c>
      <c r="CA221" s="446">
        <f>SUMIF(APR!$G$158:$J$158,CA$111,APR!$R24:$U24)+SUMIF(APR!$G$158:$J$158,CA$111,APR!$W24:$Z24)</f>
        <v>0</v>
      </c>
      <c r="CB221" s="448">
        <f>SUMIF(APR!$G$158:$J$158,CB$111,APR!$R24:$U24)+SUMIF(APR!$G$158:$J$158,CB$111,APR!$W24:$Z24)</f>
        <v>0</v>
      </c>
      <c r="CC221" s="571"/>
      <c r="CD221" s="448"/>
      <c r="CE221" s="92">
        <f t="shared" si="243"/>
        <v>0</v>
      </c>
      <c r="CF221" s="92">
        <f t="shared" si="244"/>
        <v>0</v>
      </c>
      <c r="CG221" s="151" t="str">
        <f t="shared" si="230"/>
        <v/>
      </c>
      <c r="CH221" s="92">
        <f t="shared" si="233"/>
        <v>0</v>
      </c>
      <c r="CI221" s="92" t="str">
        <f t="shared" si="245"/>
        <v/>
      </c>
      <c r="CJ221" s="1100">
        <f>APR!AM24</f>
        <v>0</v>
      </c>
      <c r="CK221" s="445">
        <f>SUMIF(APR!$G$155:$J$155,CK$112,APR!$AN24:$AQ24)</f>
        <v>0</v>
      </c>
      <c r="CL221" s="446">
        <f>SUMIF(APR!$G$155:$J$155,CL$112,APR!$AN24:$AQ24)</f>
        <v>0</v>
      </c>
      <c r="CM221" s="447">
        <f>SUMIF(APR!$G$155:$J$155,CM$112,APR!$AN24:$AQ24)</f>
        <v>0</v>
      </c>
      <c r="CN221" s="448">
        <f>SUMIF(APR!$G$155:$J$155,CN$112,APR!$AN24:$AQ24)</f>
        <v>0</v>
      </c>
      <c r="CO221" s="1100">
        <f>APR!AS24</f>
        <v>0</v>
      </c>
      <c r="CP221" s="445">
        <f>APR!AT24</f>
        <v>0</v>
      </c>
      <c r="CQ221" s="446">
        <f>APR!AU24</f>
        <v>0</v>
      </c>
      <c r="CR221" s="447">
        <f>APR!AV24</f>
        <v>0</v>
      </c>
      <c r="CS221" s="448">
        <f>APR!AW24</f>
        <v>0</v>
      </c>
      <c r="CT221" s="1100">
        <f>APR!AY24</f>
        <v>0</v>
      </c>
      <c r="CU221" s="2"/>
    </row>
    <row r="222" spans="1:99" ht="14.25" hidden="1" customHeight="1" x14ac:dyDescent="0.2">
      <c r="A222" s="2"/>
      <c r="B222" s="151">
        <f t="shared" si="234"/>
        <v>45400</v>
      </c>
      <c r="C222" s="223">
        <f>IF(AND(E222&gt;(E$494-1),E222&lt;(I$494+1)),W$485,IF(ISERROR(HLOOKUP(E222,$E$487:$L$487,1,FALSE)),HLOOKUP(WEEKDAY(E222,2),IMPOSTAZIONI!$C$51:$P$56,6,FALSE),$W$484))</f>
        <v>0</v>
      </c>
      <c r="D222" s="103" t="str">
        <f t="shared" si="235"/>
        <v/>
      </c>
      <c r="E222" s="2380">
        <f t="shared" si="246"/>
        <v>45400</v>
      </c>
      <c r="F222" s="2381"/>
      <c r="G222" s="2325" t="str">
        <f>APR!E25</f>
        <v xml:space="preserve">attiva trim.  </v>
      </c>
      <c r="H222" s="2326"/>
      <c r="I222" s="2327"/>
      <c r="J222" s="479" t="str">
        <f t="shared" si="231"/>
        <v/>
      </c>
      <c r="K222" s="480"/>
      <c r="L222" s="2319">
        <f t="shared" si="247"/>
        <v>16</v>
      </c>
      <c r="M222" s="2320"/>
      <c r="N222" s="478"/>
      <c r="O222" s="478"/>
      <c r="P222" s="478"/>
      <c r="Q222" s="2315">
        <f t="shared" si="236"/>
        <v>45400</v>
      </c>
      <c r="R222" s="2315"/>
      <c r="S222" s="478"/>
      <c r="T222" s="140">
        <f t="shared" si="237"/>
        <v>1</v>
      </c>
      <c r="U222" s="478"/>
      <c r="V222" s="478"/>
      <c r="W222" s="478"/>
      <c r="X222" s="478"/>
      <c r="Y222" s="478"/>
      <c r="Z222" s="478"/>
      <c r="AA222" s="478"/>
      <c r="AB222" s="478"/>
      <c r="AC222" s="478"/>
      <c r="AD222" s="478"/>
      <c r="AE222" s="478"/>
      <c r="AF222" s="478"/>
      <c r="AG222" s="140">
        <f t="shared" si="238"/>
        <v>0</v>
      </c>
      <c r="AH222" s="92" t="str">
        <f t="shared" si="239"/>
        <v/>
      </c>
      <c r="AI222" s="131">
        <f t="shared" si="240"/>
        <v>0</v>
      </c>
      <c r="AJ222" s="2"/>
      <c r="AK222" s="92">
        <f>IF(G222=G$481,0,IF(OR(G222&lt;&gt;0,CJ222&lt;&gt;0,C222="L"),COUNTIF(AK$114:AK221,"&gt;0")+1,0))</f>
        <v>0</v>
      </c>
      <c r="AL222" s="92" t="str">
        <f t="shared" si="241"/>
        <v/>
      </c>
      <c r="AM222" s="92" t="str">
        <f t="shared" si="242"/>
        <v/>
      </c>
      <c r="AN222" s="131">
        <f t="shared" si="232"/>
        <v>0</v>
      </c>
      <c r="AO222" s="447">
        <f>SUM(APR!W25:Z25)</f>
        <v>0</v>
      </c>
      <c r="AP222" s="445">
        <f>SUMIF(APR!$G$155:$J$155,AP$112,APR!$R25:$U25)</f>
        <v>0</v>
      </c>
      <c r="AQ222" s="446">
        <f>SUMIF(APR!$G$155:$J$155,AQ$112,APR!$R25:$U25)</f>
        <v>0</v>
      </c>
      <c r="AR222" s="447">
        <f>SUMIF(APR!$G$155:$J$155,AR$112,APR!$R25:$U25)</f>
        <v>0</v>
      </c>
      <c r="AS222" s="448">
        <f>SUMIF(APR!$G$155:$J$155,AS$112,APR!$R25:$U25)</f>
        <v>0</v>
      </c>
      <c r="AT222" s="449">
        <f>APR!AG25</f>
        <v>0</v>
      </c>
      <c r="AU222" s="445">
        <f>APR!AH25</f>
        <v>0</v>
      </c>
      <c r="AV222" s="446">
        <f>APR!AI25</f>
        <v>0</v>
      </c>
      <c r="AW222" s="447">
        <f>APR!AJ25</f>
        <v>0</v>
      </c>
      <c r="AX222" s="448">
        <f>APR!AK25</f>
        <v>0</v>
      </c>
      <c r="AY222" s="445">
        <f>SUMIF(APR!$G$152:$J$152,"&gt;0",APR!$W25:$Z25)</f>
        <v>0</v>
      </c>
      <c r="AZ222" s="1063">
        <f>SUM(APR!AB25:AE25)</f>
        <v>0</v>
      </c>
      <c r="BA222" s="445">
        <f>SUMIF(APR!$G$159:$J$159,BA$111,APR!$R25:$U25)+SUMIF(APR!$G$159:$J$159,BA$111,APR!$W25:$Z25)</f>
        <v>0</v>
      </c>
      <c r="BB222" s="446">
        <f>SUMIF(APR!$G$159:$J$159,BB$111,APR!$R25:$U25)+SUMIF(APR!$G$159:$J$159,BB$111,APR!$W25:$Z25)</f>
        <v>0</v>
      </c>
      <c r="BC222" s="446">
        <f>SUMIF(APR!$G$159:$J$159,BC$111,APR!$R25:$U25)+SUMIF(APR!$G$159:$J$159,BC$111,APR!$W25:$Z25)</f>
        <v>0</v>
      </c>
      <c r="BD222" s="446">
        <f>SUMIF(APR!$G$159:$J$159,BD$111,APR!$R25:$U25)+SUMIF(APR!$G$159:$J$159,BD$111,APR!$W25:$Z25)</f>
        <v>0</v>
      </c>
      <c r="BE222" s="446">
        <f>SUMIF(APR!$G$159:$J$159,BE$111,APR!$R25:$U25)+SUMIF(APR!$G$159:$J$159,BE$111,APR!$W25:$Z25)</f>
        <v>0</v>
      </c>
      <c r="BF222" s="446">
        <f>SUMIF(APR!$G$159:$J$159,BF$111,APR!$R25:$U25)+SUMIF(APR!$G$159:$J$159,BF$111,APR!$W25:$Z25)</f>
        <v>0</v>
      </c>
      <c r="BG222" s="448">
        <f>SUMIF(APR!$G$159:$J$159,BG$111,APR!$R25:$U25)+SUMIF(APR!$G$159:$J$159,BG$111,APR!$W25:$Z25)</f>
        <v>0</v>
      </c>
      <c r="BH222" s="571"/>
      <c r="BI222" s="448"/>
      <c r="BJ222" s="470"/>
      <c r="BK222" s="445">
        <f>SUMIF(APR!$G$157:$J$157,BK$111,APR!$R25:$U25)+SUMIF(APR!$G$157:$J$157,BK$111,APR!$W25:$Z25)</f>
        <v>0</v>
      </c>
      <c r="BL222" s="446">
        <f>SUMIF(APR!$G$157:$J$157,BL$111,APR!$R25:$U25)+SUMIF(APR!$G$157:$J$157,BL$111,APR!$W25:$Z25)</f>
        <v>0</v>
      </c>
      <c r="BM222" s="446">
        <f>SUMIF(APR!$G$157:$J$157,BM$111,APR!$R25:$U25)+SUMIF(APR!$G$157:$J$157,BM$111,APR!$W25:$Z25)</f>
        <v>0</v>
      </c>
      <c r="BN222" s="446">
        <f>SUMIF(APR!$G$157:$J$157,BN$111,APR!$R25:$U25)+SUMIF(APR!$G$157:$J$157,BN$111,APR!$W25:$Z25)</f>
        <v>0</v>
      </c>
      <c r="BO222" s="446">
        <f>SUMIF(APR!$G$157:$J$157,BO$111,APR!$R25:$U25)+SUMIF(APR!$G$157:$J$157,BO$111,APR!$W25:$Z25)</f>
        <v>0</v>
      </c>
      <c r="BP222" s="446">
        <f>SUMIF(APR!$G$157:$J$157,BP$111,APR!$R25:$U25)+SUMIF(APR!$G$157:$J$157,BP$111,APR!$W25:$Z25)</f>
        <v>0</v>
      </c>
      <c r="BQ222" s="448">
        <f>SUMIF(APR!$G$157:$J$157,BQ$111,APR!$R25:$U25)+SUMIF(APR!$G$157:$J$157,BQ$111,APR!$W25:$Z25)</f>
        <v>0</v>
      </c>
      <c r="BR222" s="571"/>
      <c r="BS222" s="446"/>
      <c r="BT222" s="448"/>
      <c r="BU222" s="470"/>
      <c r="BV222" s="445">
        <f>SUMIF(APR!$G$158:$J$158,BV$111,APR!$R25:$U25)+SUMIF(APR!$G$158:$J$158,BV$111,APR!$W25:$Z25)</f>
        <v>0</v>
      </c>
      <c r="BW222" s="446">
        <f>SUMIF(APR!$G$158:$J$158,BW$111,APR!$R25:$U25)+SUMIF(APR!$G$158:$J$158,BW$111,APR!$W25:$Z25)</f>
        <v>0</v>
      </c>
      <c r="BX222" s="446">
        <f>SUMIF(APR!$G$158:$J$158,BX$111,APR!$R25:$U25)+SUMIF(APR!$G$158:$J$158,BX$111,APR!$W25:$Z25)</f>
        <v>0</v>
      </c>
      <c r="BY222" s="446">
        <f>SUMIF(APR!$G$158:$J$158,BY$111,APR!$R25:$U25)+SUMIF(APR!$G$158:$J$158,BY$111,APR!$W25:$Z25)</f>
        <v>0</v>
      </c>
      <c r="BZ222" s="446">
        <f>SUMIF(APR!$G$158:$J$158,BZ$111,APR!$R25:$U25)+SUMIF(APR!$G$158:$J$158,BZ$111,APR!$W25:$Z25)</f>
        <v>0</v>
      </c>
      <c r="CA222" s="446">
        <f>SUMIF(APR!$G$158:$J$158,CA$111,APR!$R25:$U25)+SUMIF(APR!$G$158:$J$158,CA$111,APR!$W25:$Z25)</f>
        <v>0</v>
      </c>
      <c r="CB222" s="448">
        <f>SUMIF(APR!$G$158:$J$158,CB$111,APR!$R25:$U25)+SUMIF(APR!$G$158:$J$158,CB$111,APR!$W25:$Z25)</f>
        <v>0</v>
      </c>
      <c r="CC222" s="571"/>
      <c r="CD222" s="448"/>
      <c r="CE222" s="92">
        <f t="shared" si="243"/>
        <v>0</v>
      </c>
      <c r="CF222" s="92">
        <f t="shared" si="244"/>
        <v>0</v>
      </c>
      <c r="CG222" s="151" t="str">
        <f t="shared" si="230"/>
        <v/>
      </c>
      <c r="CH222" s="92">
        <f t="shared" si="233"/>
        <v>0</v>
      </c>
      <c r="CI222" s="92" t="str">
        <f t="shared" si="245"/>
        <v/>
      </c>
      <c r="CJ222" s="1100">
        <f>APR!AM25</f>
        <v>0</v>
      </c>
      <c r="CK222" s="445">
        <f>SUMIF(APR!$G$155:$J$155,CK$112,APR!$AN25:$AQ25)</f>
        <v>0</v>
      </c>
      <c r="CL222" s="446">
        <f>SUMIF(APR!$G$155:$J$155,CL$112,APR!$AN25:$AQ25)</f>
        <v>0</v>
      </c>
      <c r="CM222" s="447">
        <f>SUMIF(APR!$G$155:$J$155,CM$112,APR!$AN25:$AQ25)</f>
        <v>0</v>
      </c>
      <c r="CN222" s="448">
        <f>SUMIF(APR!$G$155:$J$155,CN$112,APR!$AN25:$AQ25)</f>
        <v>0</v>
      </c>
      <c r="CO222" s="1100">
        <f>APR!AS25</f>
        <v>0</v>
      </c>
      <c r="CP222" s="445">
        <f>APR!AT25</f>
        <v>0</v>
      </c>
      <c r="CQ222" s="446">
        <f>APR!AU25</f>
        <v>0</v>
      </c>
      <c r="CR222" s="447">
        <f>APR!AV25</f>
        <v>0</v>
      </c>
      <c r="CS222" s="448">
        <f>APR!AW25</f>
        <v>0</v>
      </c>
      <c r="CT222" s="1100">
        <f>APR!AY25</f>
        <v>0</v>
      </c>
      <c r="CU222" s="2"/>
    </row>
    <row r="223" spans="1:99" ht="14.25" hidden="1" customHeight="1" x14ac:dyDescent="0.2">
      <c r="A223" s="2"/>
      <c r="B223" s="151">
        <f t="shared" si="234"/>
        <v>45401</v>
      </c>
      <c r="C223" s="223">
        <f>IF(AND(E223&gt;(E$494-1),E223&lt;(I$494+1)),W$485,IF(ISERROR(HLOOKUP(E223,$E$487:$L$487,1,FALSE)),HLOOKUP(WEEKDAY(E223,2),IMPOSTAZIONI!$C$51:$P$56,6,FALSE),$W$484))</f>
        <v>0</v>
      </c>
      <c r="D223" s="103" t="str">
        <f t="shared" si="235"/>
        <v/>
      </c>
      <c r="E223" s="2380">
        <f t="shared" si="246"/>
        <v>45401</v>
      </c>
      <c r="F223" s="2381"/>
      <c r="G223" s="2325" t="str">
        <f>APR!E26</f>
        <v xml:space="preserve">attiva trim.  </v>
      </c>
      <c r="H223" s="2326"/>
      <c r="I223" s="2327"/>
      <c r="J223" s="479" t="str">
        <f t="shared" si="231"/>
        <v/>
      </c>
      <c r="K223" s="480"/>
      <c r="L223" s="2319">
        <f t="shared" si="247"/>
        <v>16</v>
      </c>
      <c r="M223" s="2320"/>
      <c r="N223" s="478"/>
      <c r="O223" s="478"/>
      <c r="P223" s="478"/>
      <c r="Q223" s="2315">
        <f t="shared" si="236"/>
        <v>45401</v>
      </c>
      <c r="R223" s="2315"/>
      <c r="S223" s="478"/>
      <c r="T223" s="140">
        <f t="shared" si="237"/>
        <v>1</v>
      </c>
      <c r="U223" s="478"/>
      <c r="V223" s="478"/>
      <c r="W223" s="478"/>
      <c r="X223" s="478"/>
      <c r="Y223" s="478"/>
      <c r="Z223" s="478"/>
      <c r="AA223" s="478"/>
      <c r="AB223" s="478"/>
      <c r="AC223" s="478"/>
      <c r="AD223" s="478"/>
      <c r="AE223" s="478"/>
      <c r="AF223" s="478"/>
      <c r="AG223" s="140">
        <f t="shared" si="238"/>
        <v>0</v>
      </c>
      <c r="AH223" s="92" t="str">
        <f t="shared" si="239"/>
        <v/>
      </c>
      <c r="AI223" s="131">
        <f t="shared" si="240"/>
        <v>0</v>
      </c>
      <c r="AJ223" s="2"/>
      <c r="AK223" s="92">
        <f>IF(G223=G$481,0,IF(OR(G223&lt;&gt;0,CJ223&lt;&gt;0,C223="L"),COUNTIF(AK$114:AK222,"&gt;0")+1,0))</f>
        <v>0</v>
      </c>
      <c r="AL223" s="92" t="str">
        <f t="shared" si="241"/>
        <v/>
      </c>
      <c r="AM223" s="92" t="str">
        <f t="shared" si="242"/>
        <v/>
      </c>
      <c r="AN223" s="131">
        <f t="shared" si="232"/>
        <v>0</v>
      </c>
      <c r="AO223" s="447">
        <f>SUM(APR!W26:Z26)</f>
        <v>0</v>
      </c>
      <c r="AP223" s="445">
        <f>SUMIF(APR!$G$155:$J$155,AP$112,APR!$R26:$U26)</f>
        <v>0</v>
      </c>
      <c r="AQ223" s="446">
        <f>SUMIF(APR!$G$155:$J$155,AQ$112,APR!$R26:$U26)</f>
        <v>0</v>
      </c>
      <c r="AR223" s="447">
        <f>SUMIF(APR!$G$155:$J$155,AR$112,APR!$R26:$U26)</f>
        <v>0</v>
      </c>
      <c r="AS223" s="448">
        <f>SUMIF(APR!$G$155:$J$155,AS$112,APR!$R26:$U26)</f>
        <v>0</v>
      </c>
      <c r="AT223" s="449">
        <f>APR!AG26</f>
        <v>0</v>
      </c>
      <c r="AU223" s="445">
        <f>APR!AH26</f>
        <v>0</v>
      </c>
      <c r="AV223" s="446">
        <f>APR!AI26</f>
        <v>0</v>
      </c>
      <c r="AW223" s="447">
        <f>APR!AJ26</f>
        <v>0</v>
      </c>
      <c r="AX223" s="448">
        <f>APR!AK26</f>
        <v>0</v>
      </c>
      <c r="AY223" s="445">
        <f>SUMIF(APR!$G$152:$J$152,"&gt;0",APR!$W26:$Z26)</f>
        <v>0</v>
      </c>
      <c r="AZ223" s="1063">
        <f>SUM(APR!AB26:AE26)</f>
        <v>0</v>
      </c>
      <c r="BA223" s="445">
        <f>SUMIF(APR!$G$159:$J$159,BA$111,APR!$R26:$U26)+SUMIF(APR!$G$159:$J$159,BA$111,APR!$W26:$Z26)</f>
        <v>0</v>
      </c>
      <c r="BB223" s="446">
        <f>SUMIF(APR!$G$159:$J$159,BB$111,APR!$R26:$U26)+SUMIF(APR!$G$159:$J$159,BB$111,APR!$W26:$Z26)</f>
        <v>0</v>
      </c>
      <c r="BC223" s="446">
        <f>SUMIF(APR!$G$159:$J$159,BC$111,APR!$R26:$U26)+SUMIF(APR!$G$159:$J$159,BC$111,APR!$W26:$Z26)</f>
        <v>0</v>
      </c>
      <c r="BD223" s="446">
        <f>SUMIF(APR!$G$159:$J$159,BD$111,APR!$R26:$U26)+SUMIF(APR!$G$159:$J$159,BD$111,APR!$W26:$Z26)</f>
        <v>0</v>
      </c>
      <c r="BE223" s="446">
        <f>SUMIF(APR!$G$159:$J$159,BE$111,APR!$R26:$U26)+SUMIF(APR!$G$159:$J$159,BE$111,APR!$W26:$Z26)</f>
        <v>0</v>
      </c>
      <c r="BF223" s="446">
        <f>SUMIF(APR!$G$159:$J$159,BF$111,APR!$R26:$U26)+SUMIF(APR!$G$159:$J$159,BF$111,APR!$W26:$Z26)</f>
        <v>0</v>
      </c>
      <c r="BG223" s="448">
        <f>SUMIF(APR!$G$159:$J$159,BG$111,APR!$R26:$U26)+SUMIF(APR!$G$159:$J$159,BG$111,APR!$W26:$Z26)</f>
        <v>0</v>
      </c>
      <c r="BH223" s="571"/>
      <c r="BI223" s="448"/>
      <c r="BJ223" s="470"/>
      <c r="BK223" s="445">
        <f>SUMIF(APR!$G$157:$J$157,BK$111,APR!$R26:$U26)+SUMIF(APR!$G$157:$J$157,BK$111,APR!$W26:$Z26)</f>
        <v>0</v>
      </c>
      <c r="BL223" s="446">
        <f>SUMIF(APR!$G$157:$J$157,BL$111,APR!$R26:$U26)+SUMIF(APR!$G$157:$J$157,BL$111,APR!$W26:$Z26)</f>
        <v>0</v>
      </c>
      <c r="BM223" s="446">
        <f>SUMIF(APR!$G$157:$J$157,BM$111,APR!$R26:$U26)+SUMIF(APR!$G$157:$J$157,BM$111,APR!$W26:$Z26)</f>
        <v>0</v>
      </c>
      <c r="BN223" s="446">
        <f>SUMIF(APR!$G$157:$J$157,BN$111,APR!$R26:$U26)+SUMIF(APR!$G$157:$J$157,BN$111,APR!$W26:$Z26)</f>
        <v>0</v>
      </c>
      <c r="BO223" s="446">
        <f>SUMIF(APR!$G$157:$J$157,BO$111,APR!$R26:$U26)+SUMIF(APR!$G$157:$J$157,BO$111,APR!$W26:$Z26)</f>
        <v>0</v>
      </c>
      <c r="BP223" s="446">
        <f>SUMIF(APR!$G$157:$J$157,BP$111,APR!$R26:$U26)+SUMIF(APR!$G$157:$J$157,BP$111,APR!$W26:$Z26)</f>
        <v>0</v>
      </c>
      <c r="BQ223" s="448">
        <f>SUMIF(APR!$G$157:$J$157,BQ$111,APR!$R26:$U26)+SUMIF(APR!$G$157:$J$157,BQ$111,APR!$W26:$Z26)</f>
        <v>0</v>
      </c>
      <c r="BR223" s="571"/>
      <c r="BS223" s="446"/>
      <c r="BT223" s="448"/>
      <c r="BU223" s="470"/>
      <c r="BV223" s="445">
        <f>SUMIF(APR!$G$158:$J$158,BV$111,APR!$R26:$U26)+SUMIF(APR!$G$158:$J$158,BV$111,APR!$W26:$Z26)</f>
        <v>0</v>
      </c>
      <c r="BW223" s="446">
        <f>SUMIF(APR!$G$158:$J$158,BW$111,APR!$R26:$U26)+SUMIF(APR!$G$158:$J$158,BW$111,APR!$W26:$Z26)</f>
        <v>0</v>
      </c>
      <c r="BX223" s="446">
        <f>SUMIF(APR!$G$158:$J$158,BX$111,APR!$R26:$U26)+SUMIF(APR!$G$158:$J$158,BX$111,APR!$W26:$Z26)</f>
        <v>0</v>
      </c>
      <c r="BY223" s="446">
        <f>SUMIF(APR!$G$158:$J$158,BY$111,APR!$R26:$U26)+SUMIF(APR!$G$158:$J$158,BY$111,APR!$W26:$Z26)</f>
        <v>0</v>
      </c>
      <c r="BZ223" s="446">
        <f>SUMIF(APR!$G$158:$J$158,BZ$111,APR!$R26:$U26)+SUMIF(APR!$G$158:$J$158,BZ$111,APR!$W26:$Z26)</f>
        <v>0</v>
      </c>
      <c r="CA223" s="446">
        <f>SUMIF(APR!$G$158:$J$158,CA$111,APR!$R26:$U26)+SUMIF(APR!$G$158:$J$158,CA$111,APR!$W26:$Z26)</f>
        <v>0</v>
      </c>
      <c r="CB223" s="448">
        <f>SUMIF(APR!$G$158:$J$158,CB$111,APR!$R26:$U26)+SUMIF(APR!$G$158:$J$158,CB$111,APR!$W26:$Z26)</f>
        <v>0</v>
      </c>
      <c r="CC223" s="571"/>
      <c r="CD223" s="448"/>
      <c r="CE223" s="92">
        <f t="shared" si="243"/>
        <v>0</v>
      </c>
      <c r="CF223" s="92">
        <f t="shared" si="244"/>
        <v>0</v>
      </c>
      <c r="CG223" s="151" t="str">
        <f t="shared" si="230"/>
        <v/>
      </c>
      <c r="CH223" s="92">
        <f t="shared" si="233"/>
        <v>0</v>
      </c>
      <c r="CI223" s="92" t="str">
        <f t="shared" si="245"/>
        <v/>
      </c>
      <c r="CJ223" s="1100">
        <f>APR!AM26</f>
        <v>0</v>
      </c>
      <c r="CK223" s="445">
        <f>SUMIF(APR!$G$155:$J$155,CK$112,APR!$AN26:$AQ26)</f>
        <v>0</v>
      </c>
      <c r="CL223" s="446">
        <f>SUMIF(APR!$G$155:$J$155,CL$112,APR!$AN26:$AQ26)</f>
        <v>0</v>
      </c>
      <c r="CM223" s="447">
        <f>SUMIF(APR!$G$155:$J$155,CM$112,APR!$AN26:$AQ26)</f>
        <v>0</v>
      </c>
      <c r="CN223" s="448">
        <f>SUMIF(APR!$G$155:$J$155,CN$112,APR!$AN26:$AQ26)</f>
        <v>0</v>
      </c>
      <c r="CO223" s="1100">
        <f>APR!AS26</f>
        <v>0</v>
      </c>
      <c r="CP223" s="445">
        <f>APR!AT26</f>
        <v>0</v>
      </c>
      <c r="CQ223" s="446">
        <f>APR!AU26</f>
        <v>0</v>
      </c>
      <c r="CR223" s="447">
        <f>APR!AV26</f>
        <v>0</v>
      </c>
      <c r="CS223" s="448">
        <f>APR!AW26</f>
        <v>0</v>
      </c>
      <c r="CT223" s="1100">
        <f>APR!AY26</f>
        <v>0</v>
      </c>
      <c r="CU223" s="2"/>
    </row>
    <row r="224" spans="1:99" ht="14.25" hidden="1" customHeight="1" x14ac:dyDescent="0.2">
      <c r="A224" s="2"/>
      <c r="B224" s="151">
        <f t="shared" si="234"/>
        <v>45402</v>
      </c>
      <c r="C224" s="223">
        <f>IF(AND(E224&gt;(E$494-1),E224&lt;(I$494+1)),W$485,IF(ISERROR(HLOOKUP(E224,$E$487:$L$487,1,FALSE)),HLOOKUP(WEEKDAY(E224,2),IMPOSTAZIONI!$C$51:$P$56,6,FALSE),$W$484))</f>
        <v>0</v>
      </c>
      <c r="D224" s="103" t="str">
        <f t="shared" si="235"/>
        <v/>
      </c>
      <c r="E224" s="2380">
        <f t="shared" si="246"/>
        <v>45402</v>
      </c>
      <c r="F224" s="2381"/>
      <c r="G224" s="2325" t="str">
        <f>APR!E27</f>
        <v xml:space="preserve">attiva trim.  </v>
      </c>
      <c r="H224" s="2326"/>
      <c r="I224" s="2327"/>
      <c r="J224" s="479" t="str">
        <f t="shared" si="231"/>
        <v/>
      </c>
      <c r="K224" s="480"/>
      <c r="L224" s="2319">
        <f t="shared" si="247"/>
        <v>16</v>
      </c>
      <c r="M224" s="2320"/>
      <c r="N224" s="478"/>
      <c r="O224" s="478"/>
      <c r="P224" s="478"/>
      <c r="Q224" s="2315">
        <f t="shared" si="236"/>
        <v>45402</v>
      </c>
      <c r="R224" s="2315"/>
      <c r="S224" s="478"/>
      <c r="T224" s="140">
        <f t="shared" si="237"/>
        <v>1</v>
      </c>
      <c r="U224" s="478"/>
      <c r="V224" s="478"/>
      <c r="W224" s="478"/>
      <c r="X224" s="478"/>
      <c r="Y224" s="478"/>
      <c r="Z224" s="478"/>
      <c r="AA224" s="478"/>
      <c r="AB224" s="478"/>
      <c r="AC224" s="478"/>
      <c r="AD224" s="478"/>
      <c r="AE224" s="478"/>
      <c r="AF224" s="478"/>
      <c r="AG224" s="140">
        <f t="shared" si="238"/>
        <v>0</v>
      </c>
      <c r="AH224" s="92" t="str">
        <f t="shared" si="239"/>
        <v/>
      </c>
      <c r="AI224" s="131">
        <f t="shared" si="240"/>
        <v>0</v>
      </c>
      <c r="AJ224" s="2"/>
      <c r="AK224" s="92">
        <f>IF(G224=G$481,0,IF(OR(G224&lt;&gt;0,CJ224&lt;&gt;0,C224="L"),COUNTIF(AK$114:AK223,"&gt;0")+1,0))</f>
        <v>0</v>
      </c>
      <c r="AL224" s="92" t="str">
        <f t="shared" si="241"/>
        <v/>
      </c>
      <c r="AM224" s="92" t="str">
        <f t="shared" si="242"/>
        <v/>
      </c>
      <c r="AN224" s="131">
        <f t="shared" si="232"/>
        <v>0</v>
      </c>
      <c r="AO224" s="447">
        <f>SUM(APR!W27:Z27)</f>
        <v>0</v>
      </c>
      <c r="AP224" s="445">
        <f>SUMIF(APR!$G$155:$J$155,AP$112,APR!$R27:$U27)</f>
        <v>0</v>
      </c>
      <c r="AQ224" s="446">
        <f>SUMIF(APR!$G$155:$J$155,AQ$112,APR!$R27:$U27)</f>
        <v>0</v>
      </c>
      <c r="AR224" s="447">
        <f>SUMIF(APR!$G$155:$J$155,AR$112,APR!$R27:$U27)</f>
        <v>0</v>
      </c>
      <c r="AS224" s="448">
        <f>SUMIF(APR!$G$155:$J$155,AS$112,APR!$R27:$U27)</f>
        <v>0</v>
      </c>
      <c r="AT224" s="449">
        <f>APR!AG27</f>
        <v>0</v>
      </c>
      <c r="AU224" s="445">
        <f>APR!AH27</f>
        <v>0</v>
      </c>
      <c r="AV224" s="446">
        <f>APR!AI27</f>
        <v>0</v>
      </c>
      <c r="AW224" s="447">
        <f>APR!AJ27</f>
        <v>0</v>
      </c>
      <c r="AX224" s="448">
        <f>APR!AK27</f>
        <v>0</v>
      </c>
      <c r="AY224" s="445">
        <f>SUMIF(APR!$G$152:$J$152,"&gt;0",APR!$W27:$Z27)</f>
        <v>0</v>
      </c>
      <c r="AZ224" s="1063">
        <f>SUM(APR!AB27:AE27)</f>
        <v>0</v>
      </c>
      <c r="BA224" s="445">
        <f>SUMIF(APR!$G$159:$J$159,BA$111,APR!$R27:$U27)+SUMIF(APR!$G$159:$J$159,BA$111,APR!$W27:$Z27)</f>
        <v>0</v>
      </c>
      <c r="BB224" s="446">
        <f>SUMIF(APR!$G$159:$J$159,BB$111,APR!$R27:$U27)+SUMIF(APR!$G$159:$J$159,BB$111,APR!$W27:$Z27)</f>
        <v>0</v>
      </c>
      <c r="BC224" s="446">
        <f>SUMIF(APR!$G$159:$J$159,BC$111,APR!$R27:$U27)+SUMIF(APR!$G$159:$J$159,BC$111,APR!$W27:$Z27)</f>
        <v>0</v>
      </c>
      <c r="BD224" s="446">
        <f>SUMIF(APR!$G$159:$J$159,BD$111,APR!$R27:$U27)+SUMIF(APR!$G$159:$J$159,BD$111,APR!$W27:$Z27)</f>
        <v>0</v>
      </c>
      <c r="BE224" s="446">
        <f>SUMIF(APR!$G$159:$J$159,BE$111,APR!$R27:$U27)+SUMIF(APR!$G$159:$J$159,BE$111,APR!$W27:$Z27)</f>
        <v>0</v>
      </c>
      <c r="BF224" s="446">
        <f>SUMIF(APR!$G$159:$J$159,BF$111,APR!$R27:$U27)+SUMIF(APR!$G$159:$J$159,BF$111,APR!$W27:$Z27)</f>
        <v>0</v>
      </c>
      <c r="BG224" s="448">
        <f>SUMIF(APR!$G$159:$J$159,BG$111,APR!$R27:$U27)+SUMIF(APR!$G$159:$J$159,BG$111,APR!$W27:$Z27)</f>
        <v>0</v>
      </c>
      <c r="BH224" s="571"/>
      <c r="BI224" s="448"/>
      <c r="BJ224" s="470"/>
      <c r="BK224" s="445">
        <f>SUMIF(APR!$G$157:$J$157,BK$111,APR!$R27:$U27)+SUMIF(APR!$G$157:$J$157,BK$111,APR!$W27:$Z27)</f>
        <v>0</v>
      </c>
      <c r="BL224" s="446">
        <f>SUMIF(APR!$G$157:$J$157,BL$111,APR!$R27:$U27)+SUMIF(APR!$G$157:$J$157,BL$111,APR!$W27:$Z27)</f>
        <v>0</v>
      </c>
      <c r="BM224" s="446">
        <f>SUMIF(APR!$G$157:$J$157,BM$111,APR!$R27:$U27)+SUMIF(APR!$G$157:$J$157,BM$111,APR!$W27:$Z27)</f>
        <v>0</v>
      </c>
      <c r="BN224" s="446">
        <f>SUMIF(APR!$G$157:$J$157,BN$111,APR!$R27:$U27)+SUMIF(APR!$G$157:$J$157,BN$111,APR!$W27:$Z27)</f>
        <v>0</v>
      </c>
      <c r="BO224" s="446">
        <f>SUMIF(APR!$G$157:$J$157,BO$111,APR!$R27:$U27)+SUMIF(APR!$G$157:$J$157,BO$111,APR!$W27:$Z27)</f>
        <v>0</v>
      </c>
      <c r="BP224" s="446">
        <f>SUMIF(APR!$G$157:$J$157,BP$111,APR!$R27:$U27)+SUMIF(APR!$G$157:$J$157,BP$111,APR!$W27:$Z27)</f>
        <v>0</v>
      </c>
      <c r="BQ224" s="448">
        <f>SUMIF(APR!$G$157:$J$157,BQ$111,APR!$R27:$U27)+SUMIF(APR!$G$157:$J$157,BQ$111,APR!$W27:$Z27)</f>
        <v>0</v>
      </c>
      <c r="BR224" s="571"/>
      <c r="BS224" s="446"/>
      <c r="BT224" s="448"/>
      <c r="BU224" s="470"/>
      <c r="BV224" s="445">
        <f>SUMIF(APR!$G$158:$J$158,BV$111,APR!$R27:$U27)+SUMIF(APR!$G$158:$J$158,BV$111,APR!$W27:$Z27)</f>
        <v>0</v>
      </c>
      <c r="BW224" s="446">
        <f>SUMIF(APR!$G$158:$J$158,BW$111,APR!$R27:$U27)+SUMIF(APR!$G$158:$J$158,BW$111,APR!$W27:$Z27)</f>
        <v>0</v>
      </c>
      <c r="BX224" s="446">
        <f>SUMIF(APR!$G$158:$J$158,BX$111,APR!$R27:$U27)+SUMIF(APR!$G$158:$J$158,BX$111,APR!$W27:$Z27)</f>
        <v>0</v>
      </c>
      <c r="BY224" s="446">
        <f>SUMIF(APR!$G$158:$J$158,BY$111,APR!$R27:$U27)+SUMIF(APR!$G$158:$J$158,BY$111,APR!$W27:$Z27)</f>
        <v>0</v>
      </c>
      <c r="BZ224" s="446">
        <f>SUMIF(APR!$G$158:$J$158,BZ$111,APR!$R27:$U27)+SUMIF(APR!$G$158:$J$158,BZ$111,APR!$W27:$Z27)</f>
        <v>0</v>
      </c>
      <c r="CA224" s="446">
        <f>SUMIF(APR!$G$158:$J$158,CA$111,APR!$R27:$U27)+SUMIF(APR!$G$158:$J$158,CA$111,APR!$W27:$Z27)</f>
        <v>0</v>
      </c>
      <c r="CB224" s="448">
        <f>SUMIF(APR!$G$158:$J$158,CB$111,APR!$R27:$U27)+SUMIF(APR!$G$158:$J$158,CB$111,APR!$W27:$Z27)</f>
        <v>0</v>
      </c>
      <c r="CC224" s="571"/>
      <c r="CD224" s="448"/>
      <c r="CE224" s="92">
        <f t="shared" si="243"/>
        <v>0</v>
      </c>
      <c r="CF224" s="92">
        <f t="shared" si="244"/>
        <v>0</v>
      </c>
      <c r="CG224" s="151" t="str">
        <f t="shared" si="230"/>
        <v/>
      </c>
      <c r="CH224" s="92">
        <f t="shared" si="233"/>
        <v>0</v>
      </c>
      <c r="CI224" s="92" t="str">
        <f t="shared" si="245"/>
        <v/>
      </c>
      <c r="CJ224" s="1100">
        <f>APR!AM27</f>
        <v>0</v>
      </c>
      <c r="CK224" s="445">
        <f>SUMIF(APR!$G$155:$J$155,CK$112,APR!$AN27:$AQ27)</f>
        <v>0</v>
      </c>
      <c r="CL224" s="446">
        <f>SUMIF(APR!$G$155:$J$155,CL$112,APR!$AN27:$AQ27)</f>
        <v>0</v>
      </c>
      <c r="CM224" s="447">
        <f>SUMIF(APR!$G$155:$J$155,CM$112,APR!$AN27:$AQ27)</f>
        <v>0</v>
      </c>
      <c r="CN224" s="448">
        <f>SUMIF(APR!$G$155:$J$155,CN$112,APR!$AN27:$AQ27)</f>
        <v>0</v>
      </c>
      <c r="CO224" s="1100">
        <f>APR!AS27</f>
        <v>0</v>
      </c>
      <c r="CP224" s="445">
        <f>APR!AT27</f>
        <v>0</v>
      </c>
      <c r="CQ224" s="446">
        <f>APR!AU27</f>
        <v>0</v>
      </c>
      <c r="CR224" s="447">
        <f>APR!AV27</f>
        <v>0</v>
      </c>
      <c r="CS224" s="448">
        <f>APR!AW27</f>
        <v>0</v>
      </c>
      <c r="CT224" s="1100">
        <f>APR!AY27</f>
        <v>0</v>
      </c>
      <c r="CU224" s="2"/>
    </row>
    <row r="225" spans="1:99" ht="14.25" hidden="1" customHeight="1" x14ac:dyDescent="0.2">
      <c r="A225" s="2"/>
      <c r="B225" s="151">
        <f t="shared" si="234"/>
        <v>45403</v>
      </c>
      <c r="C225" s="223">
        <f>IF(AND(E225&gt;(E$494-1),E225&lt;(I$494+1)),W$485,IF(ISERROR(HLOOKUP(E225,$E$487:$L$487,1,FALSE)),HLOOKUP(WEEKDAY(E225,2),IMPOSTAZIONI!$C$51:$P$56,6,FALSE),$W$484))</f>
        <v>0</v>
      </c>
      <c r="D225" s="103" t="str">
        <f t="shared" si="235"/>
        <v/>
      </c>
      <c r="E225" s="2380">
        <f t="shared" si="246"/>
        <v>45403</v>
      </c>
      <c r="F225" s="2381"/>
      <c r="G225" s="2325" t="str">
        <f>APR!E28</f>
        <v xml:space="preserve">attiva trim.  </v>
      </c>
      <c r="H225" s="2326"/>
      <c r="I225" s="2327"/>
      <c r="J225" s="479" t="str">
        <f t="shared" si="231"/>
        <v/>
      </c>
      <c r="K225" s="480"/>
      <c r="L225" s="2321">
        <f t="shared" si="247"/>
        <v>16</v>
      </c>
      <c r="M225" s="2322"/>
      <c r="N225" s="478"/>
      <c r="O225" s="478"/>
      <c r="P225" s="478"/>
      <c r="Q225" s="2315">
        <f t="shared" si="236"/>
        <v>45403</v>
      </c>
      <c r="R225" s="2315"/>
      <c r="S225" s="478"/>
      <c r="T225" s="140">
        <f t="shared" si="237"/>
        <v>1</v>
      </c>
      <c r="U225" s="478"/>
      <c r="V225" s="478"/>
      <c r="W225" s="478"/>
      <c r="X225" s="478"/>
      <c r="Y225" s="478"/>
      <c r="Z225" s="478"/>
      <c r="AA225" s="478"/>
      <c r="AB225" s="478"/>
      <c r="AC225" s="478"/>
      <c r="AD225" s="478"/>
      <c r="AE225" s="478"/>
      <c r="AF225" s="478"/>
      <c r="AG225" s="140">
        <f t="shared" si="238"/>
        <v>0</v>
      </c>
      <c r="AH225" s="92" t="str">
        <f t="shared" si="239"/>
        <v/>
      </c>
      <c r="AI225" s="131">
        <f t="shared" si="240"/>
        <v>0</v>
      </c>
      <c r="AJ225" s="2"/>
      <c r="AK225" s="92">
        <f>IF(G225=G$481,0,IF(OR(G225&lt;&gt;0,CJ225&lt;&gt;0,C225="L"),COUNTIF(AK$114:AK224,"&gt;0")+1,0))</f>
        <v>0</v>
      </c>
      <c r="AL225" s="92" t="str">
        <f t="shared" si="241"/>
        <v/>
      </c>
      <c r="AM225" s="92" t="str">
        <f t="shared" si="242"/>
        <v/>
      </c>
      <c r="AN225" s="131">
        <f t="shared" si="232"/>
        <v>0</v>
      </c>
      <c r="AO225" s="447">
        <f>SUM(APR!W28:Z28)</f>
        <v>0</v>
      </c>
      <c r="AP225" s="445">
        <f>SUMIF(APR!$G$155:$J$155,AP$112,APR!$R28:$U28)</f>
        <v>0</v>
      </c>
      <c r="AQ225" s="446">
        <f>SUMIF(APR!$G$155:$J$155,AQ$112,APR!$R28:$U28)</f>
        <v>0</v>
      </c>
      <c r="AR225" s="447">
        <f>SUMIF(APR!$G$155:$J$155,AR$112,APR!$R28:$U28)</f>
        <v>0</v>
      </c>
      <c r="AS225" s="448">
        <f>SUMIF(APR!$G$155:$J$155,AS$112,APR!$R28:$U28)</f>
        <v>0</v>
      </c>
      <c r="AT225" s="449">
        <f>APR!AG28</f>
        <v>0</v>
      </c>
      <c r="AU225" s="445">
        <f>APR!AH28</f>
        <v>0</v>
      </c>
      <c r="AV225" s="446">
        <f>APR!AI28</f>
        <v>0</v>
      </c>
      <c r="AW225" s="447">
        <f>APR!AJ28</f>
        <v>0</v>
      </c>
      <c r="AX225" s="448">
        <f>APR!AK28</f>
        <v>0</v>
      </c>
      <c r="AY225" s="445">
        <f>SUMIF(APR!$G$152:$J$152,"&gt;0",APR!$W28:$Z28)</f>
        <v>0</v>
      </c>
      <c r="AZ225" s="1063">
        <f>SUM(APR!AB28:AE28)</f>
        <v>0</v>
      </c>
      <c r="BA225" s="445">
        <f>SUMIF(APR!$G$159:$J$159,BA$111,APR!$R28:$U28)+SUMIF(APR!$G$159:$J$159,BA$111,APR!$W28:$Z28)</f>
        <v>0</v>
      </c>
      <c r="BB225" s="446">
        <f>SUMIF(APR!$G$159:$J$159,BB$111,APR!$R28:$U28)+SUMIF(APR!$G$159:$J$159,BB$111,APR!$W28:$Z28)</f>
        <v>0</v>
      </c>
      <c r="BC225" s="446">
        <f>SUMIF(APR!$G$159:$J$159,BC$111,APR!$R28:$U28)+SUMIF(APR!$G$159:$J$159,BC$111,APR!$W28:$Z28)</f>
        <v>0</v>
      </c>
      <c r="BD225" s="446">
        <f>SUMIF(APR!$G$159:$J$159,BD$111,APR!$R28:$U28)+SUMIF(APR!$G$159:$J$159,BD$111,APR!$W28:$Z28)</f>
        <v>0</v>
      </c>
      <c r="BE225" s="446">
        <f>SUMIF(APR!$G$159:$J$159,BE$111,APR!$R28:$U28)+SUMIF(APR!$G$159:$J$159,BE$111,APR!$W28:$Z28)</f>
        <v>0</v>
      </c>
      <c r="BF225" s="446">
        <f>SUMIF(APR!$G$159:$J$159,BF$111,APR!$R28:$U28)+SUMIF(APR!$G$159:$J$159,BF$111,APR!$W28:$Z28)</f>
        <v>0</v>
      </c>
      <c r="BG225" s="448">
        <f>SUMIF(APR!$G$159:$J$159,BG$111,APR!$R28:$U28)+SUMIF(APR!$G$159:$J$159,BG$111,APR!$W28:$Z28)</f>
        <v>0</v>
      </c>
      <c r="BH225" s="571"/>
      <c r="BI225" s="448"/>
      <c r="BJ225" s="470"/>
      <c r="BK225" s="445">
        <f>SUMIF(APR!$G$157:$J$157,BK$111,APR!$R28:$U28)+SUMIF(APR!$G$157:$J$157,BK$111,APR!$W28:$Z28)</f>
        <v>0</v>
      </c>
      <c r="BL225" s="446">
        <f>SUMIF(APR!$G$157:$J$157,BL$111,APR!$R28:$U28)+SUMIF(APR!$G$157:$J$157,BL$111,APR!$W28:$Z28)</f>
        <v>0</v>
      </c>
      <c r="BM225" s="446">
        <f>SUMIF(APR!$G$157:$J$157,BM$111,APR!$R28:$U28)+SUMIF(APR!$G$157:$J$157,BM$111,APR!$W28:$Z28)</f>
        <v>0</v>
      </c>
      <c r="BN225" s="446">
        <f>SUMIF(APR!$G$157:$J$157,BN$111,APR!$R28:$U28)+SUMIF(APR!$G$157:$J$157,BN$111,APR!$W28:$Z28)</f>
        <v>0</v>
      </c>
      <c r="BO225" s="446">
        <f>SUMIF(APR!$G$157:$J$157,BO$111,APR!$R28:$U28)+SUMIF(APR!$G$157:$J$157,BO$111,APR!$W28:$Z28)</f>
        <v>0</v>
      </c>
      <c r="BP225" s="446">
        <f>SUMIF(APR!$G$157:$J$157,BP$111,APR!$R28:$U28)+SUMIF(APR!$G$157:$J$157,BP$111,APR!$W28:$Z28)</f>
        <v>0</v>
      </c>
      <c r="BQ225" s="448">
        <f>SUMIF(APR!$G$157:$J$157,BQ$111,APR!$R28:$U28)+SUMIF(APR!$G$157:$J$157,BQ$111,APR!$W28:$Z28)</f>
        <v>0</v>
      </c>
      <c r="BR225" s="571"/>
      <c r="BS225" s="446"/>
      <c r="BT225" s="448"/>
      <c r="BU225" s="470"/>
      <c r="BV225" s="445">
        <f>SUMIF(APR!$G$158:$J$158,BV$111,APR!$R28:$U28)+SUMIF(APR!$G$158:$J$158,BV$111,APR!$W28:$Z28)</f>
        <v>0</v>
      </c>
      <c r="BW225" s="446">
        <f>SUMIF(APR!$G$158:$J$158,BW$111,APR!$R28:$U28)+SUMIF(APR!$G$158:$J$158,BW$111,APR!$W28:$Z28)</f>
        <v>0</v>
      </c>
      <c r="BX225" s="446">
        <f>SUMIF(APR!$G$158:$J$158,BX$111,APR!$R28:$U28)+SUMIF(APR!$G$158:$J$158,BX$111,APR!$W28:$Z28)</f>
        <v>0</v>
      </c>
      <c r="BY225" s="446">
        <f>SUMIF(APR!$G$158:$J$158,BY$111,APR!$R28:$U28)+SUMIF(APR!$G$158:$J$158,BY$111,APR!$W28:$Z28)</f>
        <v>0</v>
      </c>
      <c r="BZ225" s="446">
        <f>SUMIF(APR!$G$158:$J$158,BZ$111,APR!$R28:$U28)+SUMIF(APR!$G$158:$J$158,BZ$111,APR!$W28:$Z28)</f>
        <v>0</v>
      </c>
      <c r="CA225" s="446">
        <f>SUMIF(APR!$G$158:$J$158,CA$111,APR!$R28:$U28)+SUMIF(APR!$G$158:$J$158,CA$111,APR!$W28:$Z28)</f>
        <v>0</v>
      </c>
      <c r="CB225" s="448">
        <f>SUMIF(APR!$G$158:$J$158,CB$111,APR!$R28:$U28)+SUMIF(APR!$G$158:$J$158,CB$111,APR!$W28:$Z28)</f>
        <v>0</v>
      </c>
      <c r="CC225" s="571"/>
      <c r="CD225" s="448"/>
      <c r="CE225" s="92">
        <f t="shared" si="243"/>
        <v>0</v>
      </c>
      <c r="CF225" s="92">
        <f t="shared" si="244"/>
        <v>0</v>
      </c>
      <c r="CG225" s="151" t="str">
        <f t="shared" si="230"/>
        <v/>
      </c>
      <c r="CH225" s="92">
        <f t="shared" si="233"/>
        <v>0</v>
      </c>
      <c r="CI225" s="92" t="str">
        <f t="shared" si="245"/>
        <v/>
      </c>
      <c r="CJ225" s="1100">
        <f>APR!AM28</f>
        <v>0</v>
      </c>
      <c r="CK225" s="445">
        <f>SUMIF(APR!$G$155:$J$155,CK$112,APR!$AN28:$AQ28)</f>
        <v>0</v>
      </c>
      <c r="CL225" s="446">
        <f>SUMIF(APR!$G$155:$J$155,CL$112,APR!$AN28:$AQ28)</f>
        <v>0</v>
      </c>
      <c r="CM225" s="447">
        <f>SUMIF(APR!$G$155:$J$155,CM$112,APR!$AN28:$AQ28)</f>
        <v>0</v>
      </c>
      <c r="CN225" s="448">
        <f>SUMIF(APR!$G$155:$J$155,CN$112,APR!$AN28:$AQ28)</f>
        <v>0</v>
      </c>
      <c r="CO225" s="1100">
        <f>APR!AS28</f>
        <v>0</v>
      </c>
      <c r="CP225" s="445">
        <f>APR!AT28</f>
        <v>0</v>
      </c>
      <c r="CQ225" s="446">
        <f>APR!AU28</f>
        <v>0</v>
      </c>
      <c r="CR225" s="447">
        <f>APR!AV28</f>
        <v>0</v>
      </c>
      <c r="CS225" s="448">
        <f>APR!AW28</f>
        <v>0</v>
      </c>
      <c r="CT225" s="1100">
        <f>APR!AY28</f>
        <v>0</v>
      </c>
      <c r="CU225" s="2"/>
    </row>
    <row r="226" spans="1:99" ht="14.25" hidden="1" customHeight="1" x14ac:dyDescent="0.2">
      <c r="A226" s="2"/>
      <c r="B226" s="151">
        <f t="shared" si="234"/>
        <v>45404</v>
      </c>
      <c r="C226" s="223">
        <f>IF(AND(E226&gt;(E$494-1),E226&lt;(I$494+1)),W$485,IF(ISERROR(HLOOKUP(E226,$E$487:$L$487,1,FALSE)),HLOOKUP(WEEKDAY(E226,2),IMPOSTAZIONI!$C$51:$P$56,6,FALSE),$W$484))</f>
        <v>0</v>
      </c>
      <c r="D226" s="103" t="str">
        <f t="shared" si="235"/>
        <v/>
      </c>
      <c r="E226" s="2380">
        <f t="shared" si="246"/>
        <v>45404</v>
      </c>
      <c r="F226" s="2381"/>
      <c r="G226" s="2325" t="str">
        <f>APR!E29</f>
        <v xml:space="preserve">attiva trim.  </v>
      </c>
      <c r="H226" s="2326"/>
      <c r="I226" s="2327"/>
      <c r="J226" s="479" t="str">
        <f t="shared" si="231"/>
        <v/>
      </c>
      <c r="K226" s="480"/>
      <c r="L226" s="2323">
        <f t="shared" si="247"/>
        <v>17</v>
      </c>
      <c r="M226" s="2324"/>
      <c r="N226" s="478"/>
      <c r="O226" s="478"/>
      <c r="P226" s="478"/>
      <c r="Q226" s="2315">
        <f t="shared" si="236"/>
        <v>45404</v>
      </c>
      <c r="R226" s="2315"/>
      <c r="S226" s="478"/>
      <c r="T226" s="140">
        <f t="shared" si="237"/>
        <v>1</v>
      </c>
      <c r="U226" s="478"/>
      <c r="V226" s="478"/>
      <c r="W226" s="478"/>
      <c r="X226" s="478"/>
      <c r="Y226" s="478"/>
      <c r="Z226" s="478"/>
      <c r="AA226" s="478"/>
      <c r="AB226" s="478"/>
      <c r="AC226" s="478"/>
      <c r="AD226" s="478"/>
      <c r="AE226" s="478"/>
      <c r="AF226" s="478"/>
      <c r="AG226" s="140">
        <f t="shared" si="238"/>
        <v>0</v>
      </c>
      <c r="AH226" s="92" t="str">
        <f t="shared" si="239"/>
        <v/>
      </c>
      <c r="AI226" s="131">
        <f t="shared" si="240"/>
        <v>0</v>
      </c>
      <c r="AJ226" s="2"/>
      <c r="AK226" s="92">
        <f>IF(G226=G$481,0,IF(OR(G226&lt;&gt;0,CJ226&lt;&gt;0,C226="L"),COUNTIF(AK$114:AK225,"&gt;0")+1,0))</f>
        <v>0</v>
      </c>
      <c r="AL226" s="92" t="str">
        <f t="shared" si="241"/>
        <v/>
      </c>
      <c r="AM226" s="92" t="str">
        <f t="shared" si="242"/>
        <v/>
      </c>
      <c r="AN226" s="131">
        <f t="shared" si="232"/>
        <v>0</v>
      </c>
      <c r="AO226" s="447">
        <f>SUM(APR!W29:Z29)</f>
        <v>0</v>
      </c>
      <c r="AP226" s="445">
        <f>SUMIF(APR!$G$155:$J$155,AP$112,APR!$R29:$U29)</f>
        <v>0</v>
      </c>
      <c r="AQ226" s="446">
        <f>SUMIF(APR!$G$155:$J$155,AQ$112,APR!$R29:$U29)</f>
        <v>0</v>
      </c>
      <c r="AR226" s="447">
        <f>SUMIF(APR!$G$155:$J$155,AR$112,APR!$R29:$U29)</f>
        <v>0</v>
      </c>
      <c r="AS226" s="448">
        <f>SUMIF(APR!$G$155:$J$155,AS$112,APR!$R29:$U29)</f>
        <v>0</v>
      </c>
      <c r="AT226" s="449">
        <f>APR!AG29</f>
        <v>0</v>
      </c>
      <c r="AU226" s="445">
        <f>APR!AH29</f>
        <v>0</v>
      </c>
      <c r="AV226" s="446">
        <f>APR!AI29</f>
        <v>0</v>
      </c>
      <c r="AW226" s="447">
        <f>APR!AJ29</f>
        <v>0</v>
      </c>
      <c r="AX226" s="448">
        <f>APR!AK29</f>
        <v>0</v>
      </c>
      <c r="AY226" s="445">
        <f>SUMIF(APR!$G$152:$J$152,"&gt;0",APR!$W29:$Z29)</f>
        <v>0</v>
      </c>
      <c r="AZ226" s="1063">
        <f>SUM(APR!AB29:AE29)</f>
        <v>0</v>
      </c>
      <c r="BA226" s="445">
        <f>SUMIF(APR!$G$159:$J$159,BA$111,APR!$R29:$U29)+SUMIF(APR!$G$159:$J$159,BA$111,APR!$W29:$Z29)</f>
        <v>0</v>
      </c>
      <c r="BB226" s="446">
        <f>SUMIF(APR!$G$159:$J$159,BB$111,APR!$R29:$U29)+SUMIF(APR!$G$159:$J$159,BB$111,APR!$W29:$Z29)</f>
        <v>0</v>
      </c>
      <c r="BC226" s="446">
        <f>SUMIF(APR!$G$159:$J$159,BC$111,APR!$R29:$U29)+SUMIF(APR!$G$159:$J$159,BC$111,APR!$W29:$Z29)</f>
        <v>0</v>
      </c>
      <c r="BD226" s="446">
        <f>SUMIF(APR!$G$159:$J$159,BD$111,APR!$R29:$U29)+SUMIF(APR!$G$159:$J$159,BD$111,APR!$W29:$Z29)</f>
        <v>0</v>
      </c>
      <c r="BE226" s="446">
        <f>SUMIF(APR!$G$159:$J$159,BE$111,APR!$R29:$U29)+SUMIF(APR!$G$159:$J$159,BE$111,APR!$W29:$Z29)</f>
        <v>0</v>
      </c>
      <c r="BF226" s="446">
        <f>SUMIF(APR!$G$159:$J$159,BF$111,APR!$R29:$U29)+SUMIF(APR!$G$159:$J$159,BF$111,APR!$W29:$Z29)</f>
        <v>0</v>
      </c>
      <c r="BG226" s="448">
        <f>SUMIF(APR!$G$159:$J$159,BG$111,APR!$R29:$U29)+SUMIF(APR!$G$159:$J$159,BG$111,APR!$W29:$Z29)</f>
        <v>0</v>
      </c>
      <c r="BH226" s="571"/>
      <c r="BI226" s="448"/>
      <c r="BJ226" s="470"/>
      <c r="BK226" s="445">
        <f>SUMIF(APR!$G$157:$J$157,BK$111,APR!$R29:$U29)+SUMIF(APR!$G$157:$J$157,BK$111,APR!$W29:$Z29)</f>
        <v>0</v>
      </c>
      <c r="BL226" s="446">
        <f>SUMIF(APR!$G$157:$J$157,BL$111,APR!$R29:$U29)+SUMIF(APR!$G$157:$J$157,BL$111,APR!$W29:$Z29)</f>
        <v>0</v>
      </c>
      <c r="BM226" s="446">
        <f>SUMIF(APR!$G$157:$J$157,BM$111,APR!$R29:$U29)+SUMIF(APR!$G$157:$J$157,BM$111,APR!$W29:$Z29)</f>
        <v>0</v>
      </c>
      <c r="BN226" s="446">
        <f>SUMIF(APR!$G$157:$J$157,BN$111,APR!$R29:$U29)+SUMIF(APR!$G$157:$J$157,BN$111,APR!$W29:$Z29)</f>
        <v>0</v>
      </c>
      <c r="BO226" s="446">
        <f>SUMIF(APR!$G$157:$J$157,BO$111,APR!$R29:$U29)+SUMIF(APR!$G$157:$J$157,BO$111,APR!$W29:$Z29)</f>
        <v>0</v>
      </c>
      <c r="BP226" s="446">
        <f>SUMIF(APR!$G$157:$J$157,BP$111,APR!$R29:$U29)+SUMIF(APR!$G$157:$J$157,BP$111,APR!$W29:$Z29)</f>
        <v>0</v>
      </c>
      <c r="BQ226" s="448">
        <f>SUMIF(APR!$G$157:$J$157,BQ$111,APR!$R29:$U29)+SUMIF(APR!$G$157:$J$157,BQ$111,APR!$W29:$Z29)</f>
        <v>0</v>
      </c>
      <c r="BR226" s="571"/>
      <c r="BS226" s="446"/>
      <c r="BT226" s="448"/>
      <c r="BU226" s="470"/>
      <c r="BV226" s="445">
        <f>SUMIF(APR!$G$158:$J$158,BV$111,APR!$R29:$U29)+SUMIF(APR!$G$158:$J$158,BV$111,APR!$W29:$Z29)</f>
        <v>0</v>
      </c>
      <c r="BW226" s="446">
        <f>SUMIF(APR!$G$158:$J$158,BW$111,APR!$R29:$U29)+SUMIF(APR!$G$158:$J$158,BW$111,APR!$W29:$Z29)</f>
        <v>0</v>
      </c>
      <c r="BX226" s="446">
        <f>SUMIF(APR!$G$158:$J$158,BX$111,APR!$R29:$U29)+SUMIF(APR!$G$158:$J$158,BX$111,APR!$W29:$Z29)</f>
        <v>0</v>
      </c>
      <c r="BY226" s="446">
        <f>SUMIF(APR!$G$158:$J$158,BY$111,APR!$R29:$U29)+SUMIF(APR!$G$158:$J$158,BY$111,APR!$W29:$Z29)</f>
        <v>0</v>
      </c>
      <c r="BZ226" s="446">
        <f>SUMIF(APR!$G$158:$J$158,BZ$111,APR!$R29:$U29)+SUMIF(APR!$G$158:$J$158,BZ$111,APR!$W29:$Z29)</f>
        <v>0</v>
      </c>
      <c r="CA226" s="446">
        <f>SUMIF(APR!$G$158:$J$158,CA$111,APR!$R29:$U29)+SUMIF(APR!$G$158:$J$158,CA$111,APR!$W29:$Z29)</f>
        <v>0</v>
      </c>
      <c r="CB226" s="448">
        <f>SUMIF(APR!$G$158:$J$158,CB$111,APR!$R29:$U29)+SUMIF(APR!$G$158:$J$158,CB$111,APR!$W29:$Z29)</f>
        <v>0</v>
      </c>
      <c r="CC226" s="571"/>
      <c r="CD226" s="448"/>
      <c r="CE226" s="92">
        <f t="shared" si="243"/>
        <v>0</v>
      </c>
      <c r="CF226" s="92">
        <f t="shared" si="244"/>
        <v>0</v>
      </c>
      <c r="CG226" s="151" t="str">
        <f t="shared" si="230"/>
        <v/>
      </c>
      <c r="CH226" s="92">
        <f t="shared" si="233"/>
        <v>0</v>
      </c>
      <c r="CI226" s="92" t="str">
        <f t="shared" si="245"/>
        <v/>
      </c>
      <c r="CJ226" s="1100">
        <f>APR!AM29</f>
        <v>0</v>
      </c>
      <c r="CK226" s="445">
        <f>SUMIF(APR!$G$155:$J$155,CK$112,APR!$AN29:$AQ29)</f>
        <v>0</v>
      </c>
      <c r="CL226" s="446">
        <f>SUMIF(APR!$G$155:$J$155,CL$112,APR!$AN29:$AQ29)</f>
        <v>0</v>
      </c>
      <c r="CM226" s="447">
        <f>SUMIF(APR!$G$155:$J$155,CM$112,APR!$AN29:$AQ29)</f>
        <v>0</v>
      </c>
      <c r="CN226" s="448">
        <f>SUMIF(APR!$G$155:$J$155,CN$112,APR!$AN29:$AQ29)</f>
        <v>0</v>
      </c>
      <c r="CO226" s="1100">
        <f>APR!AS29</f>
        <v>0</v>
      </c>
      <c r="CP226" s="445">
        <f>APR!AT29</f>
        <v>0</v>
      </c>
      <c r="CQ226" s="446">
        <f>APR!AU29</f>
        <v>0</v>
      </c>
      <c r="CR226" s="447">
        <f>APR!AV29</f>
        <v>0</v>
      </c>
      <c r="CS226" s="448">
        <f>APR!AW29</f>
        <v>0</v>
      </c>
      <c r="CT226" s="1100">
        <f>APR!AY29</f>
        <v>0</v>
      </c>
      <c r="CU226" s="2"/>
    </row>
    <row r="227" spans="1:99" ht="14.25" hidden="1" customHeight="1" x14ac:dyDescent="0.2">
      <c r="A227" s="2"/>
      <c r="B227" s="151">
        <f t="shared" si="234"/>
        <v>45405</v>
      </c>
      <c r="C227" s="223">
        <f>IF(AND(E227&gt;(E$494-1),E227&lt;(I$494+1)),W$485,IF(ISERROR(HLOOKUP(E227,$E$487:$L$487,1,FALSE)),HLOOKUP(WEEKDAY(E227,2),IMPOSTAZIONI!$C$51:$P$56,6,FALSE),$W$484))</f>
        <v>0</v>
      </c>
      <c r="D227" s="103" t="str">
        <f t="shared" si="235"/>
        <v/>
      </c>
      <c r="E227" s="2380">
        <f t="shared" si="246"/>
        <v>45405</v>
      </c>
      <c r="F227" s="2381"/>
      <c r="G227" s="2325" t="str">
        <f>APR!E30</f>
        <v xml:space="preserve">attiva trim.  </v>
      </c>
      <c r="H227" s="2326"/>
      <c r="I227" s="2327"/>
      <c r="J227" s="479" t="str">
        <f t="shared" si="231"/>
        <v/>
      </c>
      <c r="K227" s="480"/>
      <c r="L227" s="2319">
        <f t="shared" si="247"/>
        <v>17</v>
      </c>
      <c r="M227" s="2320"/>
      <c r="N227" s="478"/>
      <c r="O227" s="478"/>
      <c r="P227" s="478"/>
      <c r="Q227" s="2315">
        <f t="shared" si="236"/>
        <v>45405</v>
      </c>
      <c r="R227" s="2315"/>
      <c r="S227" s="478"/>
      <c r="T227" s="140">
        <f t="shared" si="237"/>
        <v>1</v>
      </c>
      <c r="U227" s="478"/>
      <c r="V227" s="478"/>
      <c r="W227" s="478"/>
      <c r="X227" s="478"/>
      <c r="Y227" s="478"/>
      <c r="Z227" s="478"/>
      <c r="AA227" s="478"/>
      <c r="AB227" s="478"/>
      <c r="AC227" s="478"/>
      <c r="AD227" s="478"/>
      <c r="AE227" s="478"/>
      <c r="AF227" s="478"/>
      <c r="AG227" s="140">
        <f t="shared" si="238"/>
        <v>0</v>
      </c>
      <c r="AH227" s="92" t="str">
        <f t="shared" si="239"/>
        <v/>
      </c>
      <c r="AI227" s="131">
        <f t="shared" si="240"/>
        <v>0</v>
      </c>
      <c r="AJ227" s="2"/>
      <c r="AK227" s="92">
        <f>IF(G227=G$481,0,IF(OR(G227&lt;&gt;0,CJ227&lt;&gt;0,C227="L"),COUNTIF(AK$114:AK226,"&gt;0")+1,0))</f>
        <v>0</v>
      </c>
      <c r="AL227" s="92" t="str">
        <f t="shared" si="241"/>
        <v/>
      </c>
      <c r="AM227" s="92" t="str">
        <f t="shared" si="242"/>
        <v/>
      </c>
      <c r="AN227" s="131">
        <f t="shared" si="232"/>
        <v>0</v>
      </c>
      <c r="AO227" s="447">
        <f>SUM(APR!W30:Z30)</f>
        <v>0</v>
      </c>
      <c r="AP227" s="445">
        <f>SUMIF(APR!$G$155:$J$155,AP$112,APR!$R30:$U30)</f>
        <v>0</v>
      </c>
      <c r="AQ227" s="446">
        <f>SUMIF(APR!$G$155:$J$155,AQ$112,APR!$R30:$U30)</f>
        <v>0</v>
      </c>
      <c r="AR227" s="447">
        <f>SUMIF(APR!$G$155:$J$155,AR$112,APR!$R30:$U30)</f>
        <v>0</v>
      </c>
      <c r="AS227" s="448">
        <f>SUMIF(APR!$G$155:$J$155,AS$112,APR!$R30:$U30)</f>
        <v>0</v>
      </c>
      <c r="AT227" s="449">
        <f>APR!AG30</f>
        <v>0</v>
      </c>
      <c r="AU227" s="445">
        <f>APR!AH30</f>
        <v>0</v>
      </c>
      <c r="AV227" s="446">
        <f>APR!AI30</f>
        <v>0</v>
      </c>
      <c r="AW227" s="447">
        <f>APR!AJ30</f>
        <v>0</v>
      </c>
      <c r="AX227" s="448">
        <f>APR!AK30</f>
        <v>0</v>
      </c>
      <c r="AY227" s="445">
        <f>SUMIF(APR!$G$152:$J$152,"&gt;0",APR!$W30:$Z30)</f>
        <v>0</v>
      </c>
      <c r="AZ227" s="1063">
        <f>SUM(APR!AB30:AE30)</f>
        <v>0</v>
      </c>
      <c r="BA227" s="445">
        <f>SUMIF(APR!$G$159:$J$159,BA$111,APR!$R30:$U30)+SUMIF(APR!$G$159:$J$159,BA$111,APR!$W30:$Z30)</f>
        <v>0</v>
      </c>
      <c r="BB227" s="446">
        <f>SUMIF(APR!$G$159:$J$159,BB$111,APR!$R30:$U30)+SUMIF(APR!$G$159:$J$159,BB$111,APR!$W30:$Z30)</f>
        <v>0</v>
      </c>
      <c r="BC227" s="446">
        <f>SUMIF(APR!$G$159:$J$159,BC$111,APR!$R30:$U30)+SUMIF(APR!$G$159:$J$159,BC$111,APR!$W30:$Z30)</f>
        <v>0</v>
      </c>
      <c r="BD227" s="446">
        <f>SUMIF(APR!$G$159:$J$159,BD$111,APR!$R30:$U30)+SUMIF(APR!$G$159:$J$159,BD$111,APR!$W30:$Z30)</f>
        <v>0</v>
      </c>
      <c r="BE227" s="446">
        <f>SUMIF(APR!$G$159:$J$159,BE$111,APR!$R30:$U30)+SUMIF(APR!$G$159:$J$159,BE$111,APR!$W30:$Z30)</f>
        <v>0</v>
      </c>
      <c r="BF227" s="446">
        <f>SUMIF(APR!$G$159:$J$159,BF$111,APR!$R30:$U30)+SUMIF(APR!$G$159:$J$159,BF$111,APR!$W30:$Z30)</f>
        <v>0</v>
      </c>
      <c r="BG227" s="448">
        <f>SUMIF(APR!$G$159:$J$159,BG$111,APR!$R30:$U30)+SUMIF(APR!$G$159:$J$159,BG$111,APR!$W30:$Z30)</f>
        <v>0</v>
      </c>
      <c r="BH227" s="571"/>
      <c r="BI227" s="448"/>
      <c r="BJ227" s="470"/>
      <c r="BK227" s="445">
        <f>SUMIF(APR!$G$157:$J$157,BK$111,APR!$R30:$U30)+SUMIF(APR!$G$157:$J$157,BK$111,APR!$W30:$Z30)</f>
        <v>0</v>
      </c>
      <c r="BL227" s="446">
        <f>SUMIF(APR!$G$157:$J$157,BL$111,APR!$R30:$U30)+SUMIF(APR!$G$157:$J$157,BL$111,APR!$W30:$Z30)</f>
        <v>0</v>
      </c>
      <c r="BM227" s="446">
        <f>SUMIF(APR!$G$157:$J$157,BM$111,APR!$R30:$U30)+SUMIF(APR!$G$157:$J$157,BM$111,APR!$W30:$Z30)</f>
        <v>0</v>
      </c>
      <c r="BN227" s="446">
        <f>SUMIF(APR!$G$157:$J$157,BN$111,APR!$R30:$U30)+SUMIF(APR!$G$157:$J$157,BN$111,APR!$W30:$Z30)</f>
        <v>0</v>
      </c>
      <c r="BO227" s="446">
        <f>SUMIF(APR!$G$157:$J$157,BO$111,APR!$R30:$U30)+SUMIF(APR!$G$157:$J$157,BO$111,APR!$W30:$Z30)</f>
        <v>0</v>
      </c>
      <c r="BP227" s="446">
        <f>SUMIF(APR!$G$157:$J$157,BP$111,APR!$R30:$U30)+SUMIF(APR!$G$157:$J$157,BP$111,APR!$W30:$Z30)</f>
        <v>0</v>
      </c>
      <c r="BQ227" s="448">
        <f>SUMIF(APR!$G$157:$J$157,BQ$111,APR!$R30:$U30)+SUMIF(APR!$G$157:$J$157,BQ$111,APR!$W30:$Z30)</f>
        <v>0</v>
      </c>
      <c r="BR227" s="571"/>
      <c r="BS227" s="446"/>
      <c r="BT227" s="448"/>
      <c r="BU227" s="470"/>
      <c r="BV227" s="445">
        <f>SUMIF(APR!$G$158:$J$158,BV$111,APR!$R30:$U30)+SUMIF(APR!$G$158:$J$158,BV$111,APR!$W30:$Z30)</f>
        <v>0</v>
      </c>
      <c r="BW227" s="446">
        <f>SUMIF(APR!$G$158:$J$158,BW$111,APR!$R30:$U30)+SUMIF(APR!$G$158:$J$158,BW$111,APR!$W30:$Z30)</f>
        <v>0</v>
      </c>
      <c r="BX227" s="446">
        <f>SUMIF(APR!$G$158:$J$158,BX$111,APR!$R30:$U30)+SUMIF(APR!$G$158:$J$158,BX$111,APR!$W30:$Z30)</f>
        <v>0</v>
      </c>
      <c r="BY227" s="446">
        <f>SUMIF(APR!$G$158:$J$158,BY$111,APR!$R30:$U30)+SUMIF(APR!$G$158:$J$158,BY$111,APR!$W30:$Z30)</f>
        <v>0</v>
      </c>
      <c r="BZ227" s="446">
        <f>SUMIF(APR!$G$158:$J$158,BZ$111,APR!$R30:$U30)+SUMIF(APR!$G$158:$J$158,BZ$111,APR!$W30:$Z30)</f>
        <v>0</v>
      </c>
      <c r="CA227" s="446">
        <f>SUMIF(APR!$G$158:$J$158,CA$111,APR!$R30:$U30)+SUMIF(APR!$G$158:$J$158,CA$111,APR!$W30:$Z30)</f>
        <v>0</v>
      </c>
      <c r="CB227" s="448">
        <f>SUMIF(APR!$G$158:$J$158,CB$111,APR!$R30:$U30)+SUMIF(APR!$G$158:$J$158,CB$111,APR!$W30:$Z30)</f>
        <v>0</v>
      </c>
      <c r="CC227" s="571"/>
      <c r="CD227" s="448"/>
      <c r="CE227" s="92">
        <f t="shared" si="243"/>
        <v>0</v>
      </c>
      <c r="CF227" s="92">
        <f t="shared" si="244"/>
        <v>0</v>
      </c>
      <c r="CG227" s="151" t="str">
        <f t="shared" si="230"/>
        <v/>
      </c>
      <c r="CH227" s="92">
        <f t="shared" si="233"/>
        <v>0</v>
      </c>
      <c r="CI227" s="92" t="str">
        <f t="shared" si="245"/>
        <v/>
      </c>
      <c r="CJ227" s="1100">
        <f>APR!AM30</f>
        <v>0</v>
      </c>
      <c r="CK227" s="445">
        <f>SUMIF(APR!$G$155:$J$155,CK$112,APR!$AN30:$AQ30)</f>
        <v>0</v>
      </c>
      <c r="CL227" s="446">
        <f>SUMIF(APR!$G$155:$J$155,CL$112,APR!$AN30:$AQ30)</f>
        <v>0</v>
      </c>
      <c r="CM227" s="447">
        <f>SUMIF(APR!$G$155:$J$155,CM$112,APR!$AN30:$AQ30)</f>
        <v>0</v>
      </c>
      <c r="CN227" s="448">
        <f>SUMIF(APR!$G$155:$J$155,CN$112,APR!$AN30:$AQ30)</f>
        <v>0</v>
      </c>
      <c r="CO227" s="1100">
        <f>APR!AS30</f>
        <v>0</v>
      </c>
      <c r="CP227" s="445">
        <f>APR!AT30</f>
        <v>0</v>
      </c>
      <c r="CQ227" s="446">
        <f>APR!AU30</f>
        <v>0</v>
      </c>
      <c r="CR227" s="447">
        <f>APR!AV30</f>
        <v>0</v>
      </c>
      <c r="CS227" s="448">
        <f>APR!AW30</f>
        <v>0</v>
      </c>
      <c r="CT227" s="1100">
        <f>APR!AY30</f>
        <v>0</v>
      </c>
      <c r="CU227" s="2"/>
    </row>
    <row r="228" spans="1:99" ht="14.25" hidden="1" customHeight="1" x14ac:dyDescent="0.2">
      <c r="A228" s="2"/>
      <c r="B228" s="151">
        <f t="shared" si="234"/>
        <v>45406</v>
      </c>
      <c r="C228" s="223">
        <f>IF(AND(E228&gt;(E$494-1),E228&lt;(I$494+1)),W$485,IF(ISERROR(HLOOKUP(E228,$E$487:$L$487,1,FALSE)),HLOOKUP(WEEKDAY(E228,2),IMPOSTAZIONI!$C$51:$P$56,6,FALSE),$W$484))</f>
        <v>0</v>
      </c>
      <c r="D228" s="103" t="str">
        <f t="shared" si="235"/>
        <v/>
      </c>
      <c r="E228" s="2380">
        <f t="shared" si="246"/>
        <v>45406</v>
      </c>
      <c r="F228" s="2381"/>
      <c r="G228" s="2325" t="str">
        <f>APR!E31</f>
        <v xml:space="preserve">attiva trim.  </v>
      </c>
      <c r="H228" s="2326"/>
      <c r="I228" s="2327"/>
      <c r="J228" s="479" t="str">
        <f t="shared" si="231"/>
        <v/>
      </c>
      <c r="K228" s="480"/>
      <c r="L228" s="2319">
        <f t="shared" si="247"/>
        <v>17</v>
      </c>
      <c r="M228" s="2320"/>
      <c r="N228" s="478"/>
      <c r="O228" s="478"/>
      <c r="P228" s="478"/>
      <c r="Q228" s="2315">
        <f t="shared" si="236"/>
        <v>45406</v>
      </c>
      <c r="R228" s="2315"/>
      <c r="S228" s="478"/>
      <c r="T228" s="140">
        <f t="shared" si="237"/>
        <v>1</v>
      </c>
      <c r="U228" s="478"/>
      <c r="V228" s="478"/>
      <c r="W228" s="478"/>
      <c r="X228" s="478"/>
      <c r="Y228" s="478"/>
      <c r="Z228" s="478"/>
      <c r="AA228" s="478"/>
      <c r="AB228" s="478"/>
      <c r="AC228" s="478"/>
      <c r="AD228" s="478"/>
      <c r="AE228" s="478"/>
      <c r="AF228" s="478"/>
      <c r="AG228" s="140">
        <f t="shared" si="238"/>
        <v>0</v>
      </c>
      <c r="AH228" s="92" t="str">
        <f t="shared" si="239"/>
        <v/>
      </c>
      <c r="AI228" s="131">
        <f t="shared" si="240"/>
        <v>0</v>
      </c>
      <c r="AJ228" s="2"/>
      <c r="AK228" s="92">
        <f>IF(G228=G$481,0,IF(OR(G228&lt;&gt;0,CJ228&lt;&gt;0,C228="L"),COUNTIF(AK$114:AK227,"&gt;0")+1,0))</f>
        <v>0</v>
      </c>
      <c r="AL228" s="92" t="str">
        <f t="shared" si="241"/>
        <v/>
      </c>
      <c r="AM228" s="92" t="str">
        <f t="shared" si="242"/>
        <v/>
      </c>
      <c r="AN228" s="131">
        <f t="shared" si="232"/>
        <v>0</v>
      </c>
      <c r="AO228" s="447">
        <f>SUM(APR!W31:Z31)</f>
        <v>0</v>
      </c>
      <c r="AP228" s="445">
        <f>SUMIF(APR!$G$155:$J$155,AP$112,APR!$R31:$U31)</f>
        <v>0</v>
      </c>
      <c r="AQ228" s="446">
        <f>SUMIF(APR!$G$155:$J$155,AQ$112,APR!$R31:$U31)</f>
        <v>0</v>
      </c>
      <c r="AR228" s="447">
        <f>SUMIF(APR!$G$155:$J$155,AR$112,APR!$R31:$U31)</f>
        <v>0</v>
      </c>
      <c r="AS228" s="448">
        <f>SUMIF(APR!$G$155:$J$155,AS$112,APR!$R31:$U31)</f>
        <v>0</v>
      </c>
      <c r="AT228" s="449">
        <f>APR!AG31</f>
        <v>0</v>
      </c>
      <c r="AU228" s="445">
        <f>APR!AH31</f>
        <v>0</v>
      </c>
      <c r="AV228" s="446">
        <f>APR!AI31</f>
        <v>0</v>
      </c>
      <c r="AW228" s="447">
        <f>APR!AJ31</f>
        <v>0</v>
      </c>
      <c r="AX228" s="448">
        <f>APR!AK31</f>
        <v>0</v>
      </c>
      <c r="AY228" s="445">
        <f>SUMIF(APR!$G$152:$J$152,"&gt;0",APR!$W31:$Z31)</f>
        <v>0</v>
      </c>
      <c r="AZ228" s="1063">
        <f>SUM(APR!AB31:AE31)</f>
        <v>0</v>
      </c>
      <c r="BA228" s="445">
        <f>SUMIF(APR!$G$159:$J$159,BA$111,APR!$R31:$U31)+SUMIF(APR!$G$159:$J$159,BA$111,APR!$W31:$Z31)</f>
        <v>0</v>
      </c>
      <c r="BB228" s="446">
        <f>SUMIF(APR!$G$159:$J$159,BB$111,APR!$R31:$U31)+SUMIF(APR!$G$159:$J$159,BB$111,APR!$W31:$Z31)</f>
        <v>0</v>
      </c>
      <c r="BC228" s="446">
        <f>SUMIF(APR!$G$159:$J$159,BC$111,APR!$R31:$U31)+SUMIF(APR!$G$159:$J$159,BC$111,APR!$W31:$Z31)</f>
        <v>0</v>
      </c>
      <c r="BD228" s="446">
        <f>SUMIF(APR!$G$159:$J$159,BD$111,APR!$R31:$U31)+SUMIF(APR!$G$159:$J$159,BD$111,APR!$W31:$Z31)</f>
        <v>0</v>
      </c>
      <c r="BE228" s="446">
        <f>SUMIF(APR!$G$159:$J$159,BE$111,APR!$R31:$U31)+SUMIF(APR!$G$159:$J$159,BE$111,APR!$W31:$Z31)</f>
        <v>0</v>
      </c>
      <c r="BF228" s="446">
        <f>SUMIF(APR!$G$159:$J$159,BF$111,APR!$R31:$U31)+SUMIF(APR!$G$159:$J$159,BF$111,APR!$W31:$Z31)</f>
        <v>0</v>
      </c>
      <c r="BG228" s="448">
        <f>SUMIF(APR!$G$159:$J$159,BG$111,APR!$R31:$U31)+SUMIF(APR!$G$159:$J$159,BG$111,APR!$W31:$Z31)</f>
        <v>0</v>
      </c>
      <c r="BH228" s="571"/>
      <c r="BI228" s="448"/>
      <c r="BJ228" s="470"/>
      <c r="BK228" s="445">
        <f>SUMIF(APR!$G$157:$J$157,BK$111,APR!$R31:$U31)+SUMIF(APR!$G$157:$J$157,BK$111,APR!$W31:$Z31)</f>
        <v>0</v>
      </c>
      <c r="BL228" s="446">
        <f>SUMIF(APR!$G$157:$J$157,BL$111,APR!$R31:$U31)+SUMIF(APR!$G$157:$J$157,BL$111,APR!$W31:$Z31)</f>
        <v>0</v>
      </c>
      <c r="BM228" s="446">
        <f>SUMIF(APR!$G$157:$J$157,BM$111,APR!$R31:$U31)+SUMIF(APR!$G$157:$J$157,BM$111,APR!$W31:$Z31)</f>
        <v>0</v>
      </c>
      <c r="BN228" s="446">
        <f>SUMIF(APR!$G$157:$J$157,BN$111,APR!$R31:$U31)+SUMIF(APR!$G$157:$J$157,BN$111,APR!$W31:$Z31)</f>
        <v>0</v>
      </c>
      <c r="BO228" s="446">
        <f>SUMIF(APR!$G$157:$J$157,BO$111,APR!$R31:$U31)+SUMIF(APR!$G$157:$J$157,BO$111,APR!$W31:$Z31)</f>
        <v>0</v>
      </c>
      <c r="BP228" s="446">
        <f>SUMIF(APR!$G$157:$J$157,BP$111,APR!$R31:$U31)+SUMIF(APR!$G$157:$J$157,BP$111,APR!$W31:$Z31)</f>
        <v>0</v>
      </c>
      <c r="BQ228" s="448">
        <f>SUMIF(APR!$G$157:$J$157,BQ$111,APR!$R31:$U31)+SUMIF(APR!$G$157:$J$157,BQ$111,APR!$W31:$Z31)</f>
        <v>0</v>
      </c>
      <c r="BR228" s="571"/>
      <c r="BS228" s="446"/>
      <c r="BT228" s="448"/>
      <c r="BU228" s="470"/>
      <c r="BV228" s="445">
        <f>SUMIF(APR!$G$158:$J$158,BV$111,APR!$R31:$U31)+SUMIF(APR!$G$158:$J$158,BV$111,APR!$W31:$Z31)</f>
        <v>0</v>
      </c>
      <c r="BW228" s="446">
        <f>SUMIF(APR!$G$158:$J$158,BW$111,APR!$R31:$U31)+SUMIF(APR!$G$158:$J$158,BW$111,APR!$W31:$Z31)</f>
        <v>0</v>
      </c>
      <c r="BX228" s="446">
        <f>SUMIF(APR!$G$158:$J$158,BX$111,APR!$R31:$U31)+SUMIF(APR!$G$158:$J$158,BX$111,APR!$W31:$Z31)</f>
        <v>0</v>
      </c>
      <c r="BY228" s="446">
        <f>SUMIF(APR!$G$158:$J$158,BY$111,APR!$R31:$U31)+SUMIF(APR!$G$158:$J$158,BY$111,APR!$W31:$Z31)</f>
        <v>0</v>
      </c>
      <c r="BZ228" s="446">
        <f>SUMIF(APR!$G$158:$J$158,BZ$111,APR!$R31:$U31)+SUMIF(APR!$G$158:$J$158,BZ$111,APR!$W31:$Z31)</f>
        <v>0</v>
      </c>
      <c r="CA228" s="446">
        <f>SUMIF(APR!$G$158:$J$158,CA$111,APR!$R31:$U31)+SUMIF(APR!$G$158:$J$158,CA$111,APR!$W31:$Z31)</f>
        <v>0</v>
      </c>
      <c r="CB228" s="448">
        <f>SUMIF(APR!$G$158:$J$158,CB$111,APR!$R31:$U31)+SUMIF(APR!$G$158:$J$158,CB$111,APR!$W31:$Z31)</f>
        <v>0</v>
      </c>
      <c r="CC228" s="571"/>
      <c r="CD228" s="448"/>
      <c r="CE228" s="92">
        <f t="shared" si="243"/>
        <v>0</v>
      </c>
      <c r="CF228" s="92">
        <f t="shared" si="244"/>
        <v>0</v>
      </c>
      <c r="CG228" s="151" t="str">
        <f t="shared" si="230"/>
        <v/>
      </c>
      <c r="CH228" s="92">
        <f t="shared" si="233"/>
        <v>0</v>
      </c>
      <c r="CI228" s="92" t="str">
        <f t="shared" si="245"/>
        <v/>
      </c>
      <c r="CJ228" s="1100">
        <f>APR!AM31</f>
        <v>0</v>
      </c>
      <c r="CK228" s="445">
        <f>SUMIF(APR!$G$155:$J$155,CK$112,APR!$AN31:$AQ31)</f>
        <v>0</v>
      </c>
      <c r="CL228" s="446">
        <f>SUMIF(APR!$G$155:$J$155,CL$112,APR!$AN31:$AQ31)</f>
        <v>0</v>
      </c>
      <c r="CM228" s="447">
        <f>SUMIF(APR!$G$155:$J$155,CM$112,APR!$AN31:$AQ31)</f>
        <v>0</v>
      </c>
      <c r="CN228" s="448">
        <f>SUMIF(APR!$G$155:$J$155,CN$112,APR!$AN31:$AQ31)</f>
        <v>0</v>
      </c>
      <c r="CO228" s="1100">
        <f>APR!AS31</f>
        <v>0</v>
      </c>
      <c r="CP228" s="445">
        <f>APR!AT31</f>
        <v>0</v>
      </c>
      <c r="CQ228" s="446">
        <f>APR!AU31</f>
        <v>0</v>
      </c>
      <c r="CR228" s="447">
        <f>APR!AV31</f>
        <v>0</v>
      </c>
      <c r="CS228" s="448">
        <f>APR!AW31</f>
        <v>0</v>
      </c>
      <c r="CT228" s="1100">
        <f>APR!AY31</f>
        <v>0</v>
      </c>
      <c r="CU228" s="2"/>
    </row>
    <row r="229" spans="1:99" ht="14.25" hidden="1" customHeight="1" x14ac:dyDescent="0.2">
      <c r="A229" s="2"/>
      <c r="B229" s="151">
        <f t="shared" si="234"/>
        <v>45407</v>
      </c>
      <c r="C229" s="223">
        <f>IF(AND(E229&gt;(E$494-1),E229&lt;(I$494+1)),W$485,IF(ISERROR(HLOOKUP(E229,$E$487:$L$487,1,FALSE)),HLOOKUP(WEEKDAY(E229,2),IMPOSTAZIONI!$C$51:$P$56,6,FALSE),$W$484))</f>
        <v>0</v>
      </c>
      <c r="D229" s="103" t="str">
        <f t="shared" si="235"/>
        <v/>
      </c>
      <c r="E229" s="2380">
        <f t="shared" si="246"/>
        <v>45407</v>
      </c>
      <c r="F229" s="2381"/>
      <c r="G229" s="2325" t="str">
        <f>APR!E32</f>
        <v xml:space="preserve">attiva trim.  </v>
      </c>
      <c r="H229" s="2326"/>
      <c r="I229" s="2327"/>
      <c r="J229" s="479" t="str">
        <f t="shared" si="231"/>
        <v/>
      </c>
      <c r="K229" s="480"/>
      <c r="L229" s="2319">
        <f t="shared" si="247"/>
        <v>17</v>
      </c>
      <c r="M229" s="2320"/>
      <c r="N229" s="478"/>
      <c r="O229" s="478"/>
      <c r="P229" s="478"/>
      <c r="Q229" s="2315">
        <f t="shared" si="236"/>
        <v>45407</v>
      </c>
      <c r="R229" s="2315"/>
      <c r="S229" s="478"/>
      <c r="T229" s="140">
        <f t="shared" si="237"/>
        <v>1</v>
      </c>
      <c r="U229" s="478"/>
      <c r="V229" s="478"/>
      <c r="W229" s="478"/>
      <c r="X229" s="478"/>
      <c r="Y229" s="478"/>
      <c r="Z229" s="478"/>
      <c r="AA229" s="478"/>
      <c r="AB229" s="478"/>
      <c r="AC229" s="478"/>
      <c r="AD229" s="478"/>
      <c r="AE229" s="478"/>
      <c r="AF229" s="478"/>
      <c r="AG229" s="140">
        <f t="shared" si="238"/>
        <v>0</v>
      </c>
      <c r="AH229" s="92" t="str">
        <f t="shared" si="239"/>
        <v/>
      </c>
      <c r="AI229" s="131">
        <f t="shared" si="240"/>
        <v>0</v>
      </c>
      <c r="AJ229" s="2"/>
      <c r="AK229" s="92">
        <f>IF(G229=G$481,0,IF(OR(G229&lt;&gt;0,CJ229&lt;&gt;0,C229="L"),COUNTIF(AK$114:AK228,"&gt;0")+1,0))</f>
        <v>0</v>
      </c>
      <c r="AL229" s="92" t="str">
        <f t="shared" si="241"/>
        <v/>
      </c>
      <c r="AM229" s="92" t="str">
        <f t="shared" si="242"/>
        <v/>
      </c>
      <c r="AN229" s="131">
        <f t="shared" si="232"/>
        <v>0</v>
      </c>
      <c r="AO229" s="447">
        <f>SUM(APR!W32:Z32)</f>
        <v>0</v>
      </c>
      <c r="AP229" s="445">
        <f>SUMIF(APR!$G$155:$J$155,AP$112,APR!$R32:$U32)</f>
        <v>0</v>
      </c>
      <c r="AQ229" s="446">
        <f>SUMIF(APR!$G$155:$J$155,AQ$112,APR!$R32:$U32)</f>
        <v>0</v>
      </c>
      <c r="AR229" s="447">
        <f>SUMIF(APR!$G$155:$J$155,AR$112,APR!$R32:$U32)</f>
        <v>0</v>
      </c>
      <c r="AS229" s="448">
        <f>SUMIF(APR!$G$155:$J$155,AS$112,APR!$R32:$U32)</f>
        <v>0</v>
      </c>
      <c r="AT229" s="449">
        <f>APR!AG32</f>
        <v>0</v>
      </c>
      <c r="AU229" s="445">
        <f>APR!AH32</f>
        <v>0</v>
      </c>
      <c r="AV229" s="446">
        <f>APR!AI32</f>
        <v>0</v>
      </c>
      <c r="AW229" s="447">
        <f>APR!AJ32</f>
        <v>0</v>
      </c>
      <c r="AX229" s="448">
        <f>APR!AK32</f>
        <v>0</v>
      </c>
      <c r="AY229" s="445">
        <f>SUMIF(APR!$G$152:$J$152,"&gt;0",APR!$W32:$Z32)</f>
        <v>0</v>
      </c>
      <c r="AZ229" s="1063">
        <f>SUM(APR!AB32:AE32)</f>
        <v>0</v>
      </c>
      <c r="BA229" s="445">
        <f>SUMIF(APR!$G$159:$J$159,BA$111,APR!$R32:$U32)+SUMIF(APR!$G$159:$J$159,BA$111,APR!$W32:$Z32)</f>
        <v>0</v>
      </c>
      <c r="BB229" s="446">
        <f>SUMIF(APR!$G$159:$J$159,BB$111,APR!$R32:$U32)+SUMIF(APR!$G$159:$J$159,BB$111,APR!$W32:$Z32)</f>
        <v>0</v>
      </c>
      <c r="BC229" s="446">
        <f>SUMIF(APR!$G$159:$J$159,BC$111,APR!$R32:$U32)+SUMIF(APR!$G$159:$J$159,BC$111,APR!$W32:$Z32)</f>
        <v>0</v>
      </c>
      <c r="BD229" s="446">
        <f>SUMIF(APR!$G$159:$J$159,BD$111,APR!$R32:$U32)+SUMIF(APR!$G$159:$J$159,BD$111,APR!$W32:$Z32)</f>
        <v>0</v>
      </c>
      <c r="BE229" s="446">
        <f>SUMIF(APR!$G$159:$J$159,BE$111,APR!$R32:$U32)+SUMIF(APR!$G$159:$J$159,BE$111,APR!$W32:$Z32)</f>
        <v>0</v>
      </c>
      <c r="BF229" s="446">
        <f>SUMIF(APR!$G$159:$J$159,BF$111,APR!$R32:$U32)+SUMIF(APR!$G$159:$J$159,BF$111,APR!$W32:$Z32)</f>
        <v>0</v>
      </c>
      <c r="BG229" s="448">
        <f>SUMIF(APR!$G$159:$J$159,BG$111,APR!$R32:$U32)+SUMIF(APR!$G$159:$J$159,BG$111,APR!$W32:$Z32)</f>
        <v>0</v>
      </c>
      <c r="BH229" s="571"/>
      <c r="BI229" s="448"/>
      <c r="BJ229" s="470"/>
      <c r="BK229" s="445">
        <f>SUMIF(APR!$G$157:$J$157,BK$111,APR!$R32:$U32)+SUMIF(APR!$G$157:$J$157,BK$111,APR!$W32:$Z32)</f>
        <v>0</v>
      </c>
      <c r="BL229" s="446">
        <f>SUMIF(APR!$G$157:$J$157,BL$111,APR!$R32:$U32)+SUMIF(APR!$G$157:$J$157,BL$111,APR!$W32:$Z32)</f>
        <v>0</v>
      </c>
      <c r="BM229" s="446">
        <f>SUMIF(APR!$G$157:$J$157,BM$111,APR!$R32:$U32)+SUMIF(APR!$G$157:$J$157,BM$111,APR!$W32:$Z32)</f>
        <v>0</v>
      </c>
      <c r="BN229" s="446">
        <f>SUMIF(APR!$G$157:$J$157,BN$111,APR!$R32:$U32)+SUMIF(APR!$G$157:$J$157,BN$111,APR!$W32:$Z32)</f>
        <v>0</v>
      </c>
      <c r="BO229" s="446">
        <f>SUMIF(APR!$G$157:$J$157,BO$111,APR!$R32:$U32)+SUMIF(APR!$G$157:$J$157,BO$111,APR!$W32:$Z32)</f>
        <v>0</v>
      </c>
      <c r="BP229" s="446">
        <f>SUMIF(APR!$G$157:$J$157,BP$111,APR!$R32:$U32)+SUMIF(APR!$G$157:$J$157,BP$111,APR!$W32:$Z32)</f>
        <v>0</v>
      </c>
      <c r="BQ229" s="448">
        <f>SUMIF(APR!$G$157:$J$157,BQ$111,APR!$R32:$U32)+SUMIF(APR!$G$157:$J$157,BQ$111,APR!$W32:$Z32)</f>
        <v>0</v>
      </c>
      <c r="BR229" s="571"/>
      <c r="BS229" s="446"/>
      <c r="BT229" s="448"/>
      <c r="BU229" s="470"/>
      <c r="BV229" s="445">
        <f>SUMIF(APR!$G$158:$J$158,BV$111,APR!$R32:$U32)+SUMIF(APR!$G$158:$J$158,BV$111,APR!$W32:$Z32)</f>
        <v>0</v>
      </c>
      <c r="BW229" s="446">
        <f>SUMIF(APR!$G$158:$J$158,BW$111,APR!$R32:$U32)+SUMIF(APR!$G$158:$J$158,BW$111,APR!$W32:$Z32)</f>
        <v>0</v>
      </c>
      <c r="BX229" s="446">
        <f>SUMIF(APR!$G$158:$J$158,BX$111,APR!$R32:$U32)+SUMIF(APR!$G$158:$J$158,BX$111,APR!$W32:$Z32)</f>
        <v>0</v>
      </c>
      <c r="BY229" s="446">
        <f>SUMIF(APR!$G$158:$J$158,BY$111,APR!$R32:$U32)+SUMIF(APR!$G$158:$J$158,BY$111,APR!$W32:$Z32)</f>
        <v>0</v>
      </c>
      <c r="BZ229" s="446">
        <f>SUMIF(APR!$G$158:$J$158,BZ$111,APR!$R32:$U32)+SUMIF(APR!$G$158:$J$158,BZ$111,APR!$W32:$Z32)</f>
        <v>0</v>
      </c>
      <c r="CA229" s="446">
        <f>SUMIF(APR!$G$158:$J$158,CA$111,APR!$R32:$U32)+SUMIF(APR!$G$158:$J$158,CA$111,APR!$W32:$Z32)</f>
        <v>0</v>
      </c>
      <c r="CB229" s="448">
        <f>SUMIF(APR!$G$158:$J$158,CB$111,APR!$R32:$U32)+SUMIF(APR!$G$158:$J$158,CB$111,APR!$W32:$Z32)</f>
        <v>0</v>
      </c>
      <c r="CC229" s="571"/>
      <c r="CD229" s="448"/>
      <c r="CE229" s="92">
        <f t="shared" si="243"/>
        <v>0</v>
      </c>
      <c r="CF229" s="92">
        <f t="shared" si="244"/>
        <v>0</v>
      </c>
      <c r="CG229" s="151" t="str">
        <f t="shared" si="230"/>
        <v/>
      </c>
      <c r="CH229" s="92">
        <f t="shared" si="233"/>
        <v>0</v>
      </c>
      <c r="CI229" s="92" t="str">
        <f t="shared" si="245"/>
        <v/>
      </c>
      <c r="CJ229" s="1100">
        <f>APR!AM32</f>
        <v>0</v>
      </c>
      <c r="CK229" s="445">
        <f>SUMIF(APR!$G$155:$J$155,CK$112,APR!$AN32:$AQ32)</f>
        <v>0</v>
      </c>
      <c r="CL229" s="446">
        <f>SUMIF(APR!$G$155:$J$155,CL$112,APR!$AN32:$AQ32)</f>
        <v>0</v>
      </c>
      <c r="CM229" s="447">
        <f>SUMIF(APR!$G$155:$J$155,CM$112,APR!$AN32:$AQ32)</f>
        <v>0</v>
      </c>
      <c r="CN229" s="448">
        <f>SUMIF(APR!$G$155:$J$155,CN$112,APR!$AN32:$AQ32)</f>
        <v>0</v>
      </c>
      <c r="CO229" s="1100">
        <f>APR!AS32</f>
        <v>0</v>
      </c>
      <c r="CP229" s="445">
        <f>APR!AT32</f>
        <v>0</v>
      </c>
      <c r="CQ229" s="446">
        <f>APR!AU32</f>
        <v>0</v>
      </c>
      <c r="CR229" s="447">
        <f>APR!AV32</f>
        <v>0</v>
      </c>
      <c r="CS229" s="448">
        <f>APR!AW32</f>
        <v>0</v>
      </c>
      <c r="CT229" s="1100">
        <f>APR!AY32</f>
        <v>0</v>
      </c>
      <c r="CU229" s="2"/>
    </row>
    <row r="230" spans="1:99" ht="14.25" hidden="1" customHeight="1" x14ac:dyDescent="0.2">
      <c r="A230" s="2"/>
      <c r="B230" s="151">
        <f t="shared" si="234"/>
        <v>45408</v>
      </c>
      <c r="C230" s="223">
        <f>IF(AND(E230&gt;(E$494-1),E230&lt;(I$494+1)),W$485,IF(ISERROR(HLOOKUP(E230,$E$487:$L$487,1,FALSE)),HLOOKUP(WEEKDAY(E230,2),IMPOSTAZIONI!$C$51:$P$56,6,FALSE),$W$484))</f>
        <v>0</v>
      </c>
      <c r="D230" s="103" t="str">
        <f t="shared" si="235"/>
        <v/>
      </c>
      <c r="E230" s="2380">
        <f t="shared" si="246"/>
        <v>45408</v>
      </c>
      <c r="F230" s="2381"/>
      <c r="G230" s="2325" t="str">
        <f>APR!E33</f>
        <v xml:space="preserve">attiva trim.  </v>
      </c>
      <c r="H230" s="2326"/>
      <c r="I230" s="2327"/>
      <c r="J230" s="479" t="str">
        <f t="shared" si="231"/>
        <v/>
      </c>
      <c r="K230" s="480"/>
      <c r="L230" s="2319">
        <f t="shared" si="247"/>
        <v>17</v>
      </c>
      <c r="M230" s="2320"/>
      <c r="N230" s="478"/>
      <c r="O230" s="478"/>
      <c r="P230" s="478"/>
      <c r="Q230" s="2315">
        <f t="shared" si="236"/>
        <v>45408</v>
      </c>
      <c r="R230" s="2315"/>
      <c r="S230" s="478"/>
      <c r="T230" s="140">
        <f t="shared" si="237"/>
        <v>1</v>
      </c>
      <c r="U230" s="478"/>
      <c r="V230" s="478"/>
      <c r="W230" s="478"/>
      <c r="X230" s="478"/>
      <c r="Y230" s="478"/>
      <c r="Z230" s="478"/>
      <c r="AA230" s="478"/>
      <c r="AB230" s="478"/>
      <c r="AC230" s="478"/>
      <c r="AD230" s="478"/>
      <c r="AE230" s="478"/>
      <c r="AF230" s="478"/>
      <c r="AG230" s="140">
        <f t="shared" si="238"/>
        <v>0</v>
      </c>
      <c r="AH230" s="92" t="str">
        <f t="shared" si="239"/>
        <v/>
      </c>
      <c r="AI230" s="131">
        <f t="shared" si="240"/>
        <v>0</v>
      </c>
      <c r="AJ230" s="2"/>
      <c r="AK230" s="92">
        <f>IF(G230=G$481,0,IF(OR(G230&lt;&gt;0,CJ230&lt;&gt;0,C230="L"),COUNTIF(AK$114:AK229,"&gt;0")+1,0))</f>
        <v>0</v>
      </c>
      <c r="AL230" s="92" t="str">
        <f t="shared" si="241"/>
        <v/>
      </c>
      <c r="AM230" s="92" t="str">
        <f t="shared" si="242"/>
        <v/>
      </c>
      <c r="AN230" s="131">
        <f t="shared" si="232"/>
        <v>0</v>
      </c>
      <c r="AO230" s="447">
        <f>SUM(APR!W33:Z33)</f>
        <v>0</v>
      </c>
      <c r="AP230" s="445">
        <f>SUMIF(APR!$G$155:$J$155,AP$112,APR!$R33:$U33)</f>
        <v>0</v>
      </c>
      <c r="AQ230" s="446">
        <f>SUMIF(APR!$G$155:$J$155,AQ$112,APR!$R33:$U33)</f>
        <v>0</v>
      </c>
      <c r="AR230" s="447">
        <f>SUMIF(APR!$G$155:$J$155,AR$112,APR!$R33:$U33)</f>
        <v>0</v>
      </c>
      <c r="AS230" s="448">
        <f>SUMIF(APR!$G$155:$J$155,AS$112,APR!$R33:$U33)</f>
        <v>0</v>
      </c>
      <c r="AT230" s="449">
        <f>APR!AG33</f>
        <v>0</v>
      </c>
      <c r="AU230" s="445">
        <f>APR!AH33</f>
        <v>0</v>
      </c>
      <c r="AV230" s="446">
        <f>APR!AI33</f>
        <v>0</v>
      </c>
      <c r="AW230" s="447">
        <f>APR!AJ33</f>
        <v>0</v>
      </c>
      <c r="AX230" s="448">
        <f>APR!AK33</f>
        <v>0</v>
      </c>
      <c r="AY230" s="445">
        <f>SUMIF(APR!$G$152:$J$152,"&gt;0",APR!$W33:$Z33)</f>
        <v>0</v>
      </c>
      <c r="AZ230" s="1063">
        <f>SUM(APR!AB33:AE33)</f>
        <v>0</v>
      </c>
      <c r="BA230" s="445">
        <f>SUMIF(APR!$G$159:$J$159,BA$111,APR!$R33:$U33)+SUMIF(APR!$G$159:$J$159,BA$111,APR!$W33:$Z33)</f>
        <v>0</v>
      </c>
      <c r="BB230" s="446">
        <f>SUMIF(APR!$G$159:$J$159,BB$111,APR!$R33:$U33)+SUMIF(APR!$G$159:$J$159,BB$111,APR!$W33:$Z33)</f>
        <v>0</v>
      </c>
      <c r="BC230" s="446">
        <f>SUMIF(APR!$G$159:$J$159,BC$111,APR!$R33:$U33)+SUMIF(APR!$G$159:$J$159,BC$111,APR!$W33:$Z33)</f>
        <v>0</v>
      </c>
      <c r="BD230" s="446">
        <f>SUMIF(APR!$G$159:$J$159,BD$111,APR!$R33:$U33)+SUMIF(APR!$G$159:$J$159,BD$111,APR!$W33:$Z33)</f>
        <v>0</v>
      </c>
      <c r="BE230" s="446">
        <f>SUMIF(APR!$G$159:$J$159,BE$111,APR!$R33:$U33)+SUMIF(APR!$G$159:$J$159,BE$111,APR!$W33:$Z33)</f>
        <v>0</v>
      </c>
      <c r="BF230" s="446">
        <f>SUMIF(APR!$G$159:$J$159,BF$111,APR!$R33:$U33)+SUMIF(APR!$G$159:$J$159,BF$111,APR!$W33:$Z33)</f>
        <v>0</v>
      </c>
      <c r="BG230" s="448">
        <f>SUMIF(APR!$G$159:$J$159,BG$111,APR!$R33:$U33)+SUMIF(APR!$G$159:$J$159,BG$111,APR!$W33:$Z33)</f>
        <v>0</v>
      </c>
      <c r="BH230" s="571"/>
      <c r="BI230" s="448"/>
      <c r="BJ230" s="470"/>
      <c r="BK230" s="445">
        <f>SUMIF(APR!$G$157:$J$157,BK$111,APR!$R33:$U33)+SUMIF(APR!$G$157:$J$157,BK$111,APR!$W33:$Z33)</f>
        <v>0</v>
      </c>
      <c r="BL230" s="446">
        <f>SUMIF(APR!$G$157:$J$157,BL$111,APR!$R33:$U33)+SUMIF(APR!$G$157:$J$157,BL$111,APR!$W33:$Z33)</f>
        <v>0</v>
      </c>
      <c r="BM230" s="446">
        <f>SUMIF(APR!$G$157:$J$157,BM$111,APR!$R33:$U33)+SUMIF(APR!$G$157:$J$157,BM$111,APR!$W33:$Z33)</f>
        <v>0</v>
      </c>
      <c r="BN230" s="446">
        <f>SUMIF(APR!$G$157:$J$157,BN$111,APR!$R33:$U33)+SUMIF(APR!$G$157:$J$157,BN$111,APR!$W33:$Z33)</f>
        <v>0</v>
      </c>
      <c r="BO230" s="446">
        <f>SUMIF(APR!$G$157:$J$157,BO$111,APR!$R33:$U33)+SUMIF(APR!$G$157:$J$157,BO$111,APR!$W33:$Z33)</f>
        <v>0</v>
      </c>
      <c r="BP230" s="446">
        <f>SUMIF(APR!$G$157:$J$157,BP$111,APR!$R33:$U33)+SUMIF(APR!$G$157:$J$157,BP$111,APR!$W33:$Z33)</f>
        <v>0</v>
      </c>
      <c r="BQ230" s="448">
        <f>SUMIF(APR!$G$157:$J$157,BQ$111,APR!$R33:$U33)+SUMIF(APR!$G$157:$J$157,BQ$111,APR!$W33:$Z33)</f>
        <v>0</v>
      </c>
      <c r="BR230" s="571"/>
      <c r="BS230" s="446"/>
      <c r="BT230" s="448"/>
      <c r="BU230" s="470"/>
      <c r="BV230" s="445">
        <f>SUMIF(APR!$G$158:$J$158,BV$111,APR!$R33:$U33)+SUMIF(APR!$G$158:$J$158,BV$111,APR!$W33:$Z33)</f>
        <v>0</v>
      </c>
      <c r="BW230" s="446">
        <f>SUMIF(APR!$G$158:$J$158,BW$111,APR!$R33:$U33)+SUMIF(APR!$G$158:$J$158,BW$111,APR!$W33:$Z33)</f>
        <v>0</v>
      </c>
      <c r="BX230" s="446">
        <f>SUMIF(APR!$G$158:$J$158,BX$111,APR!$R33:$U33)+SUMIF(APR!$G$158:$J$158,BX$111,APR!$W33:$Z33)</f>
        <v>0</v>
      </c>
      <c r="BY230" s="446">
        <f>SUMIF(APR!$G$158:$J$158,BY$111,APR!$R33:$U33)+SUMIF(APR!$G$158:$J$158,BY$111,APR!$W33:$Z33)</f>
        <v>0</v>
      </c>
      <c r="BZ230" s="446">
        <f>SUMIF(APR!$G$158:$J$158,BZ$111,APR!$R33:$U33)+SUMIF(APR!$G$158:$J$158,BZ$111,APR!$W33:$Z33)</f>
        <v>0</v>
      </c>
      <c r="CA230" s="446">
        <f>SUMIF(APR!$G$158:$J$158,CA$111,APR!$R33:$U33)+SUMIF(APR!$G$158:$J$158,CA$111,APR!$W33:$Z33)</f>
        <v>0</v>
      </c>
      <c r="CB230" s="448">
        <f>SUMIF(APR!$G$158:$J$158,CB$111,APR!$R33:$U33)+SUMIF(APR!$G$158:$J$158,CB$111,APR!$W33:$Z33)</f>
        <v>0</v>
      </c>
      <c r="CC230" s="571"/>
      <c r="CD230" s="448"/>
      <c r="CE230" s="92">
        <f t="shared" si="243"/>
        <v>0</v>
      </c>
      <c r="CF230" s="92">
        <f t="shared" si="244"/>
        <v>0</v>
      </c>
      <c r="CG230" s="151" t="str">
        <f t="shared" si="230"/>
        <v/>
      </c>
      <c r="CH230" s="92">
        <f t="shared" si="233"/>
        <v>0</v>
      </c>
      <c r="CI230" s="92" t="str">
        <f t="shared" si="245"/>
        <v/>
      </c>
      <c r="CJ230" s="1100">
        <f>APR!AM33</f>
        <v>0</v>
      </c>
      <c r="CK230" s="445">
        <f>SUMIF(APR!$G$155:$J$155,CK$112,APR!$AN33:$AQ33)</f>
        <v>0</v>
      </c>
      <c r="CL230" s="446">
        <f>SUMIF(APR!$G$155:$J$155,CL$112,APR!$AN33:$AQ33)</f>
        <v>0</v>
      </c>
      <c r="CM230" s="447">
        <f>SUMIF(APR!$G$155:$J$155,CM$112,APR!$AN33:$AQ33)</f>
        <v>0</v>
      </c>
      <c r="CN230" s="448">
        <f>SUMIF(APR!$G$155:$J$155,CN$112,APR!$AN33:$AQ33)</f>
        <v>0</v>
      </c>
      <c r="CO230" s="1100">
        <f>APR!AS33</f>
        <v>0</v>
      </c>
      <c r="CP230" s="445">
        <f>APR!AT33</f>
        <v>0</v>
      </c>
      <c r="CQ230" s="446">
        <f>APR!AU33</f>
        <v>0</v>
      </c>
      <c r="CR230" s="447">
        <f>APR!AV33</f>
        <v>0</v>
      </c>
      <c r="CS230" s="448">
        <f>APR!AW33</f>
        <v>0</v>
      </c>
      <c r="CT230" s="1100">
        <f>APR!AY33</f>
        <v>0</v>
      </c>
      <c r="CU230" s="2"/>
    </row>
    <row r="231" spans="1:99" ht="14.25" hidden="1" customHeight="1" x14ac:dyDescent="0.2">
      <c r="A231" s="2"/>
      <c r="B231" s="151">
        <f t="shared" si="234"/>
        <v>45409</v>
      </c>
      <c r="C231" s="223">
        <f>IF(AND(E231&gt;(E$494-1),E231&lt;(I$494+1)),W$485,IF(ISERROR(HLOOKUP(E231,$E$487:$L$487,1,FALSE)),HLOOKUP(WEEKDAY(E231,2),IMPOSTAZIONI!$C$51:$P$56,6,FALSE),$W$484))</f>
        <v>0</v>
      </c>
      <c r="D231" s="103" t="str">
        <f t="shared" si="235"/>
        <v/>
      </c>
      <c r="E231" s="2380">
        <f t="shared" si="246"/>
        <v>45409</v>
      </c>
      <c r="F231" s="2381"/>
      <c r="G231" s="2325" t="str">
        <f>APR!E34</f>
        <v xml:space="preserve">attiva trim.  </v>
      </c>
      <c r="H231" s="2326"/>
      <c r="I231" s="2327"/>
      <c r="J231" s="479" t="str">
        <f t="shared" si="231"/>
        <v/>
      </c>
      <c r="K231" s="480"/>
      <c r="L231" s="2319">
        <f t="shared" si="247"/>
        <v>17</v>
      </c>
      <c r="M231" s="2320"/>
      <c r="N231" s="478"/>
      <c r="O231" s="478"/>
      <c r="P231" s="478"/>
      <c r="Q231" s="2315">
        <f t="shared" si="236"/>
        <v>45409</v>
      </c>
      <c r="R231" s="2315"/>
      <c r="S231" s="478"/>
      <c r="T231" s="140">
        <f t="shared" si="237"/>
        <v>1</v>
      </c>
      <c r="U231" s="478"/>
      <c r="V231" s="478"/>
      <c r="W231" s="478"/>
      <c r="X231" s="478"/>
      <c r="Y231" s="478"/>
      <c r="Z231" s="478"/>
      <c r="AA231" s="478"/>
      <c r="AB231" s="478"/>
      <c r="AC231" s="478"/>
      <c r="AD231" s="478"/>
      <c r="AE231" s="478"/>
      <c r="AF231" s="478"/>
      <c r="AG231" s="140">
        <f t="shared" si="238"/>
        <v>0</v>
      </c>
      <c r="AH231" s="92" t="str">
        <f t="shared" si="239"/>
        <v/>
      </c>
      <c r="AI231" s="131">
        <f t="shared" si="240"/>
        <v>0</v>
      </c>
      <c r="AJ231" s="2"/>
      <c r="AK231" s="92">
        <f>IF(G231=G$481,0,IF(OR(G231&lt;&gt;0,CJ231&lt;&gt;0,C231="L"),COUNTIF(AK$114:AK230,"&gt;0")+1,0))</f>
        <v>0</v>
      </c>
      <c r="AL231" s="92" t="str">
        <f t="shared" si="241"/>
        <v/>
      </c>
      <c r="AM231" s="92" t="str">
        <f t="shared" si="242"/>
        <v/>
      </c>
      <c r="AN231" s="131">
        <f t="shared" si="232"/>
        <v>0</v>
      </c>
      <c r="AO231" s="447">
        <f>SUM(APR!W34:Z34)</f>
        <v>0</v>
      </c>
      <c r="AP231" s="445">
        <f>SUMIF(APR!$G$155:$J$155,AP$112,APR!$R34:$U34)</f>
        <v>0</v>
      </c>
      <c r="AQ231" s="446">
        <f>SUMIF(APR!$G$155:$J$155,AQ$112,APR!$R34:$U34)</f>
        <v>0</v>
      </c>
      <c r="AR231" s="447">
        <f>SUMIF(APR!$G$155:$J$155,AR$112,APR!$R34:$U34)</f>
        <v>0</v>
      </c>
      <c r="AS231" s="448">
        <f>SUMIF(APR!$G$155:$J$155,AS$112,APR!$R34:$U34)</f>
        <v>0</v>
      </c>
      <c r="AT231" s="449">
        <f>APR!AG34</f>
        <v>0</v>
      </c>
      <c r="AU231" s="445">
        <f>APR!AH34</f>
        <v>0</v>
      </c>
      <c r="AV231" s="446">
        <f>APR!AI34</f>
        <v>0</v>
      </c>
      <c r="AW231" s="447">
        <f>APR!AJ34</f>
        <v>0</v>
      </c>
      <c r="AX231" s="448">
        <f>APR!AK34</f>
        <v>0</v>
      </c>
      <c r="AY231" s="445">
        <f>SUMIF(APR!$G$152:$J$152,"&gt;0",APR!$W34:$Z34)</f>
        <v>0</v>
      </c>
      <c r="AZ231" s="1063">
        <f>SUM(APR!AB34:AE34)</f>
        <v>0</v>
      </c>
      <c r="BA231" s="445">
        <f>SUMIF(APR!$G$159:$J$159,BA$111,APR!$R34:$U34)+SUMIF(APR!$G$159:$J$159,BA$111,APR!$W34:$Z34)</f>
        <v>0</v>
      </c>
      <c r="BB231" s="446">
        <f>SUMIF(APR!$G$159:$J$159,BB$111,APR!$R34:$U34)+SUMIF(APR!$G$159:$J$159,BB$111,APR!$W34:$Z34)</f>
        <v>0</v>
      </c>
      <c r="BC231" s="446">
        <f>SUMIF(APR!$G$159:$J$159,BC$111,APR!$R34:$U34)+SUMIF(APR!$G$159:$J$159,BC$111,APR!$W34:$Z34)</f>
        <v>0</v>
      </c>
      <c r="BD231" s="446">
        <f>SUMIF(APR!$G$159:$J$159,BD$111,APR!$R34:$U34)+SUMIF(APR!$G$159:$J$159,BD$111,APR!$W34:$Z34)</f>
        <v>0</v>
      </c>
      <c r="BE231" s="446">
        <f>SUMIF(APR!$G$159:$J$159,BE$111,APR!$R34:$U34)+SUMIF(APR!$G$159:$J$159,BE$111,APR!$W34:$Z34)</f>
        <v>0</v>
      </c>
      <c r="BF231" s="446">
        <f>SUMIF(APR!$G$159:$J$159,BF$111,APR!$R34:$U34)+SUMIF(APR!$G$159:$J$159,BF$111,APR!$W34:$Z34)</f>
        <v>0</v>
      </c>
      <c r="BG231" s="448">
        <f>SUMIF(APR!$G$159:$J$159,BG$111,APR!$R34:$U34)+SUMIF(APR!$G$159:$J$159,BG$111,APR!$W34:$Z34)</f>
        <v>0</v>
      </c>
      <c r="BH231" s="571"/>
      <c r="BI231" s="448"/>
      <c r="BJ231" s="470"/>
      <c r="BK231" s="445">
        <f>SUMIF(APR!$G$157:$J$157,BK$111,APR!$R34:$U34)+SUMIF(APR!$G$157:$J$157,BK$111,APR!$W34:$Z34)</f>
        <v>0</v>
      </c>
      <c r="BL231" s="446">
        <f>SUMIF(APR!$G$157:$J$157,BL$111,APR!$R34:$U34)+SUMIF(APR!$G$157:$J$157,BL$111,APR!$W34:$Z34)</f>
        <v>0</v>
      </c>
      <c r="BM231" s="446">
        <f>SUMIF(APR!$G$157:$J$157,BM$111,APR!$R34:$U34)+SUMIF(APR!$G$157:$J$157,BM$111,APR!$W34:$Z34)</f>
        <v>0</v>
      </c>
      <c r="BN231" s="446">
        <f>SUMIF(APR!$G$157:$J$157,BN$111,APR!$R34:$U34)+SUMIF(APR!$G$157:$J$157,BN$111,APR!$W34:$Z34)</f>
        <v>0</v>
      </c>
      <c r="BO231" s="446">
        <f>SUMIF(APR!$G$157:$J$157,BO$111,APR!$R34:$U34)+SUMIF(APR!$G$157:$J$157,BO$111,APR!$W34:$Z34)</f>
        <v>0</v>
      </c>
      <c r="BP231" s="446">
        <f>SUMIF(APR!$G$157:$J$157,BP$111,APR!$R34:$U34)+SUMIF(APR!$G$157:$J$157,BP$111,APR!$W34:$Z34)</f>
        <v>0</v>
      </c>
      <c r="BQ231" s="448">
        <f>SUMIF(APR!$G$157:$J$157,BQ$111,APR!$R34:$U34)+SUMIF(APR!$G$157:$J$157,BQ$111,APR!$W34:$Z34)</f>
        <v>0</v>
      </c>
      <c r="BR231" s="571"/>
      <c r="BS231" s="446"/>
      <c r="BT231" s="448"/>
      <c r="BU231" s="470"/>
      <c r="BV231" s="445">
        <f>SUMIF(APR!$G$158:$J$158,BV$111,APR!$R34:$U34)+SUMIF(APR!$G$158:$J$158,BV$111,APR!$W34:$Z34)</f>
        <v>0</v>
      </c>
      <c r="BW231" s="446">
        <f>SUMIF(APR!$G$158:$J$158,BW$111,APR!$R34:$U34)+SUMIF(APR!$G$158:$J$158,BW$111,APR!$W34:$Z34)</f>
        <v>0</v>
      </c>
      <c r="BX231" s="446">
        <f>SUMIF(APR!$G$158:$J$158,BX$111,APR!$R34:$U34)+SUMIF(APR!$G$158:$J$158,BX$111,APR!$W34:$Z34)</f>
        <v>0</v>
      </c>
      <c r="BY231" s="446">
        <f>SUMIF(APR!$G$158:$J$158,BY$111,APR!$R34:$U34)+SUMIF(APR!$G$158:$J$158,BY$111,APR!$W34:$Z34)</f>
        <v>0</v>
      </c>
      <c r="BZ231" s="446">
        <f>SUMIF(APR!$G$158:$J$158,BZ$111,APR!$R34:$U34)+SUMIF(APR!$G$158:$J$158,BZ$111,APR!$W34:$Z34)</f>
        <v>0</v>
      </c>
      <c r="CA231" s="446">
        <f>SUMIF(APR!$G$158:$J$158,CA$111,APR!$R34:$U34)+SUMIF(APR!$G$158:$J$158,CA$111,APR!$W34:$Z34)</f>
        <v>0</v>
      </c>
      <c r="CB231" s="448">
        <f>SUMIF(APR!$G$158:$J$158,CB$111,APR!$R34:$U34)+SUMIF(APR!$G$158:$J$158,CB$111,APR!$W34:$Z34)</f>
        <v>0</v>
      </c>
      <c r="CC231" s="571"/>
      <c r="CD231" s="448"/>
      <c r="CE231" s="92">
        <f t="shared" si="243"/>
        <v>0</v>
      </c>
      <c r="CF231" s="92">
        <f t="shared" si="244"/>
        <v>0</v>
      </c>
      <c r="CG231" s="151" t="str">
        <f t="shared" si="230"/>
        <v/>
      </c>
      <c r="CH231" s="92">
        <f t="shared" si="233"/>
        <v>0</v>
      </c>
      <c r="CI231" s="92" t="str">
        <f t="shared" si="245"/>
        <v/>
      </c>
      <c r="CJ231" s="1100">
        <f>APR!AM34</f>
        <v>0</v>
      </c>
      <c r="CK231" s="445">
        <f>SUMIF(APR!$G$155:$J$155,CK$112,APR!$AN34:$AQ34)</f>
        <v>0</v>
      </c>
      <c r="CL231" s="446">
        <f>SUMIF(APR!$G$155:$J$155,CL$112,APR!$AN34:$AQ34)</f>
        <v>0</v>
      </c>
      <c r="CM231" s="447">
        <f>SUMIF(APR!$G$155:$J$155,CM$112,APR!$AN34:$AQ34)</f>
        <v>0</v>
      </c>
      <c r="CN231" s="448">
        <f>SUMIF(APR!$G$155:$J$155,CN$112,APR!$AN34:$AQ34)</f>
        <v>0</v>
      </c>
      <c r="CO231" s="1100">
        <f>APR!AS34</f>
        <v>0</v>
      </c>
      <c r="CP231" s="445">
        <f>APR!AT34</f>
        <v>0</v>
      </c>
      <c r="CQ231" s="446">
        <f>APR!AU34</f>
        <v>0</v>
      </c>
      <c r="CR231" s="447">
        <f>APR!AV34</f>
        <v>0</v>
      </c>
      <c r="CS231" s="448">
        <f>APR!AW34</f>
        <v>0</v>
      </c>
      <c r="CT231" s="1100">
        <f>APR!AY34</f>
        <v>0</v>
      </c>
      <c r="CU231" s="2"/>
    </row>
    <row r="232" spans="1:99" ht="14.25" hidden="1" customHeight="1" x14ac:dyDescent="0.2">
      <c r="A232" s="2"/>
      <c r="B232" s="151">
        <f t="shared" si="234"/>
        <v>45410</v>
      </c>
      <c r="C232" s="223">
        <f>IF(AND(E232&gt;(E$494-1),E232&lt;(I$494+1)),W$485,IF(ISERROR(HLOOKUP(E232,$E$487:$L$487,1,FALSE)),HLOOKUP(WEEKDAY(E232,2),IMPOSTAZIONI!$C$51:$P$56,6,FALSE),$W$484))</f>
        <v>0</v>
      </c>
      <c r="D232" s="103" t="str">
        <f t="shared" si="235"/>
        <v/>
      </c>
      <c r="E232" s="2380">
        <f t="shared" si="246"/>
        <v>45410</v>
      </c>
      <c r="F232" s="2381"/>
      <c r="G232" s="2325" t="str">
        <f>APR!E35</f>
        <v xml:space="preserve">attiva trim.  </v>
      </c>
      <c r="H232" s="2326"/>
      <c r="I232" s="2327"/>
      <c r="J232" s="479" t="str">
        <f t="shared" si="231"/>
        <v/>
      </c>
      <c r="K232" s="480"/>
      <c r="L232" s="2321">
        <f t="shared" si="247"/>
        <v>17</v>
      </c>
      <c r="M232" s="2322"/>
      <c r="N232" s="478"/>
      <c r="O232" s="478"/>
      <c r="P232" s="478"/>
      <c r="Q232" s="2315">
        <f t="shared" si="236"/>
        <v>45410</v>
      </c>
      <c r="R232" s="2315"/>
      <c r="S232" s="478"/>
      <c r="T232" s="140">
        <f t="shared" si="237"/>
        <v>1</v>
      </c>
      <c r="U232" s="478"/>
      <c r="V232" s="478"/>
      <c r="W232" s="478"/>
      <c r="X232" s="478"/>
      <c r="Y232" s="478"/>
      <c r="Z232" s="478"/>
      <c r="AA232" s="478"/>
      <c r="AB232" s="478"/>
      <c r="AC232" s="478"/>
      <c r="AD232" s="478"/>
      <c r="AE232" s="478"/>
      <c r="AF232" s="478"/>
      <c r="AG232" s="140">
        <f t="shared" si="238"/>
        <v>0</v>
      </c>
      <c r="AH232" s="92" t="str">
        <f t="shared" si="239"/>
        <v/>
      </c>
      <c r="AI232" s="131">
        <f t="shared" si="240"/>
        <v>0</v>
      </c>
      <c r="AJ232" s="2"/>
      <c r="AK232" s="92">
        <f>IF(G232=G$481,0,IF(OR(G232&lt;&gt;0,CJ232&lt;&gt;0,C232="L"),COUNTIF(AK$114:AK231,"&gt;0")+1,0))</f>
        <v>0</v>
      </c>
      <c r="AL232" s="92" t="str">
        <f t="shared" si="241"/>
        <v/>
      </c>
      <c r="AM232" s="92" t="str">
        <f t="shared" si="242"/>
        <v/>
      </c>
      <c r="AN232" s="131">
        <f t="shared" si="232"/>
        <v>0</v>
      </c>
      <c r="AO232" s="447">
        <f>SUM(APR!W35:Z35)</f>
        <v>0</v>
      </c>
      <c r="AP232" s="445">
        <f>SUMIF(APR!$G$155:$J$155,AP$112,APR!$R35:$U35)</f>
        <v>0</v>
      </c>
      <c r="AQ232" s="446">
        <f>SUMIF(APR!$G$155:$J$155,AQ$112,APR!$R35:$U35)</f>
        <v>0</v>
      </c>
      <c r="AR232" s="447">
        <f>SUMIF(APR!$G$155:$J$155,AR$112,APR!$R35:$U35)</f>
        <v>0</v>
      </c>
      <c r="AS232" s="448">
        <f>SUMIF(APR!$G$155:$J$155,AS$112,APR!$R35:$U35)</f>
        <v>0</v>
      </c>
      <c r="AT232" s="449">
        <f>APR!AG35</f>
        <v>0</v>
      </c>
      <c r="AU232" s="445">
        <f>APR!AH35</f>
        <v>0</v>
      </c>
      <c r="AV232" s="446">
        <f>APR!AI35</f>
        <v>0</v>
      </c>
      <c r="AW232" s="447">
        <f>APR!AJ35</f>
        <v>0</v>
      </c>
      <c r="AX232" s="448">
        <f>APR!AK35</f>
        <v>0</v>
      </c>
      <c r="AY232" s="445">
        <f>SUMIF(APR!$G$152:$J$152,"&gt;0",APR!$W35:$Z35)</f>
        <v>0</v>
      </c>
      <c r="AZ232" s="1063">
        <f>SUM(APR!AB35:AE35)</f>
        <v>0</v>
      </c>
      <c r="BA232" s="445">
        <f>SUMIF(APR!$G$159:$J$159,BA$111,APR!$R35:$U35)+SUMIF(APR!$G$159:$J$159,BA$111,APR!$W35:$Z35)</f>
        <v>0</v>
      </c>
      <c r="BB232" s="446">
        <f>SUMIF(APR!$G$159:$J$159,BB$111,APR!$R35:$U35)+SUMIF(APR!$G$159:$J$159,BB$111,APR!$W35:$Z35)</f>
        <v>0</v>
      </c>
      <c r="BC232" s="446">
        <f>SUMIF(APR!$G$159:$J$159,BC$111,APR!$R35:$U35)+SUMIF(APR!$G$159:$J$159,BC$111,APR!$W35:$Z35)</f>
        <v>0</v>
      </c>
      <c r="BD232" s="446">
        <f>SUMIF(APR!$G$159:$J$159,BD$111,APR!$R35:$U35)+SUMIF(APR!$G$159:$J$159,BD$111,APR!$W35:$Z35)</f>
        <v>0</v>
      </c>
      <c r="BE232" s="446">
        <f>SUMIF(APR!$G$159:$J$159,BE$111,APR!$R35:$U35)+SUMIF(APR!$G$159:$J$159,BE$111,APR!$W35:$Z35)</f>
        <v>0</v>
      </c>
      <c r="BF232" s="446">
        <f>SUMIF(APR!$G$159:$J$159,BF$111,APR!$R35:$U35)+SUMIF(APR!$G$159:$J$159,BF$111,APR!$W35:$Z35)</f>
        <v>0</v>
      </c>
      <c r="BG232" s="448">
        <f>SUMIF(APR!$G$159:$J$159,BG$111,APR!$R35:$U35)+SUMIF(APR!$G$159:$J$159,BG$111,APR!$W35:$Z35)</f>
        <v>0</v>
      </c>
      <c r="BH232" s="571"/>
      <c r="BI232" s="448"/>
      <c r="BJ232" s="470"/>
      <c r="BK232" s="445">
        <f>SUMIF(APR!$G$157:$J$157,BK$111,APR!$R35:$U35)+SUMIF(APR!$G$157:$J$157,BK$111,APR!$W35:$Z35)</f>
        <v>0</v>
      </c>
      <c r="BL232" s="446">
        <f>SUMIF(APR!$G$157:$J$157,BL$111,APR!$R35:$U35)+SUMIF(APR!$G$157:$J$157,BL$111,APR!$W35:$Z35)</f>
        <v>0</v>
      </c>
      <c r="BM232" s="446">
        <f>SUMIF(APR!$G$157:$J$157,BM$111,APR!$R35:$U35)+SUMIF(APR!$G$157:$J$157,BM$111,APR!$W35:$Z35)</f>
        <v>0</v>
      </c>
      <c r="BN232" s="446">
        <f>SUMIF(APR!$G$157:$J$157,BN$111,APR!$R35:$U35)+SUMIF(APR!$G$157:$J$157,BN$111,APR!$W35:$Z35)</f>
        <v>0</v>
      </c>
      <c r="BO232" s="446">
        <f>SUMIF(APR!$G$157:$J$157,BO$111,APR!$R35:$U35)+SUMIF(APR!$G$157:$J$157,BO$111,APR!$W35:$Z35)</f>
        <v>0</v>
      </c>
      <c r="BP232" s="446">
        <f>SUMIF(APR!$G$157:$J$157,BP$111,APR!$R35:$U35)+SUMIF(APR!$G$157:$J$157,BP$111,APR!$W35:$Z35)</f>
        <v>0</v>
      </c>
      <c r="BQ232" s="448">
        <f>SUMIF(APR!$G$157:$J$157,BQ$111,APR!$R35:$U35)+SUMIF(APR!$G$157:$J$157,BQ$111,APR!$W35:$Z35)</f>
        <v>0</v>
      </c>
      <c r="BR232" s="571"/>
      <c r="BS232" s="446"/>
      <c r="BT232" s="448"/>
      <c r="BU232" s="470"/>
      <c r="BV232" s="445">
        <f>SUMIF(APR!$G$158:$J$158,BV$111,APR!$R35:$U35)+SUMIF(APR!$G$158:$J$158,BV$111,APR!$W35:$Z35)</f>
        <v>0</v>
      </c>
      <c r="BW232" s="446">
        <f>SUMIF(APR!$G$158:$J$158,BW$111,APR!$R35:$U35)+SUMIF(APR!$G$158:$J$158,BW$111,APR!$W35:$Z35)</f>
        <v>0</v>
      </c>
      <c r="BX232" s="446">
        <f>SUMIF(APR!$G$158:$J$158,BX$111,APR!$R35:$U35)+SUMIF(APR!$G$158:$J$158,BX$111,APR!$W35:$Z35)</f>
        <v>0</v>
      </c>
      <c r="BY232" s="446">
        <f>SUMIF(APR!$G$158:$J$158,BY$111,APR!$R35:$U35)+SUMIF(APR!$G$158:$J$158,BY$111,APR!$W35:$Z35)</f>
        <v>0</v>
      </c>
      <c r="BZ232" s="446">
        <f>SUMIF(APR!$G$158:$J$158,BZ$111,APR!$R35:$U35)+SUMIF(APR!$G$158:$J$158,BZ$111,APR!$W35:$Z35)</f>
        <v>0</v>
      </c>
      <c r="CA232" s="446">
        <f>SUMIF(APR!$G$158:$J$158,CA$111,APR!$R35:$U35)+SUMIF(APR!$G$158:$J$158,CA$111,APR!$W35:$Z35)</f>
        <v>0</v>
      </c>
      <c r="CB232" s="448">
        <f>SUMIF(APR!$G$158:$J$158,CB$111,APR!$R35:$U35)+SUMIF(APR!$G$158:$J$158,CB$111,APR!$W35:$Z35)</f>
        <v>0</v>
      </c>
      <c r="CC232" s="571"/>
      <c r="CD232" s="448"/>
      <c r="CE232" s="92">
        <f t="shared" si="243"/>
        <v>0</v>
      </c>
      <c r="CF232" s="92">
        <f t="shared" si="244"/>
        <v>0</v>
      </c>
      <c r="CG232" s="151" t="str">
        <f t="shared" si="230"/>
        <v/>
      </c>
      <c r="CH232" s="92">
        <f t="shared" si="233"/>
        <v>0</v>
      </c>
      <c r="CI232" s="92" t="str">
        <f t="shared" si="245"/>
        <v/>
      </c>
      <c r="CJ232" s="1100">
        <f>APR!AM35</f>
        <v>0</v>
      </c>
      <c r="CK232" s="445">
        <f>SUMIF(APR!$G$155:$J$155,CK$112,APR!$AN35:$AQ35)</f>
        <v>0</v>
      </c>
      <c r="CL232" s="446">
        <f>SUMIF(APR!$G$155:$J$155,CL$112,APR!$AN35:$AQ35)</f>
        <v>0</v>
      </c>
      <c r="CM232" s="447">
        <f>SUMIF(APR!$G$155:$J$155,CM$112,APR!$AN35:$AQ35)</f>
        <v>0</v>
      </c>
      <c r="CN232" s="448">
        <f>SUMIF(APR!$G$155:$J$155,CN$112,APR!$AN35:$AQ35)</f>
        <v>0</v>
      </c>
      <c r="CO232" s="1100">
        <f>APR!AS35</f>
        <v>0</v>
      </c>
      <c r="CP232" s="445">
        <f>APR!AT35</f>
        <v>0</v>
      </c>
      <c r="CQ232" s="446">
        <f>APR!AU35</f>
        <v>0</v>
      </c>
      <c r="CR232" s="447">
        <f>APR!AV35</f>
        <v>0</v>
      </c>
      <c r="CS232" s="448">
        <f>APR!AW35</f>
        <v>0</v>
      </c>
      <c r="CT232" s="1100">
        <f>APR!AY35</f>
        <v>0</v>
      </c>
      <c r="CU232" s="2"/>
    </row>
    <row r="233" spans="1:99" ht="14.25" hidden="1" customHeight="1" x14ac:dyDescent="0.2">
      <c r="A233" s="2"/>
      <c r="B233" s="151">
        <f t="shared" si="234"/>
        <v>45411</v>
      </c>
      <c r="C233" s="223">
        <f>IF(AND(E233&gt;(E$494-1),E233&lt;(I$494+1)),W$485,IF(ISERROR(HLOOKUP(E233,$E$487:$L$487,1,FALSE)),HLOOKUP(WEEKDAY(E233,2),IMPOSTAZIONI!$C$51:$P$56,6,FALSE),$W$484))</f>
        <v>0</v>
      </c>
      <c r="D233" s="103" t="str">
        <f t="shared" si="235"/>
        <v/>
      </c>
      <c r="E233" s="2380">
        <f t="shared" si="246"/>
        <v>45411</v>
      </c>
      <c r="F233" s="2381"/>
      <c r="G233" s="2325" t="str">
        <f>APR!E36</f>
        <v xml:space="preserve">attiva trim.  </v>
      </c>
      <c r="H233" s="2326"/>
      <c r="I233" s="2327"/>
      <c r="J233" s="479" t="str">
        <f t="shared" si="231"/>
        <v/>
      </c>
      <c r="K233" s="480"/>
      <c r="L233" s="2323">
        <f t="shared" si="247"/>
        <v>18</v>
      </c>
      <c r="M233" s="2324"/>
      <c r="N233" s="478"/>
      <c r="O233" s="478"/>
      <c r="P233" s="478"/>
      <c r="Q233" s="2315">
        <f t="shared" si="236"/>
        <v>45411</v>
      </c>
      <c r="R233" s="2315"/>
      <c r="S233" s="478"/>
      <c r="T233" s="140">
        <f t="shared" si="237"/>
        <v>1</v>
      </c>
      <c r="U233" s="478"/>
      <c r="V233" s="478"/>
      <c r="W233" s="478"/>
      <c r="X233" s="478"/>
      <c r="Y233" s="478"/>
      <c r="Z233" s="478"/>
      <c r="AA233" s="478"/>
      <c r="AB233" s="478"/>
      <c r="AC233" s="478"/>
      <c r="AD233" s="478"/>
      <c r="AE233" s="478"/>
      <c r="AF233" s="478"/>
      <c r="AG233" s="140">
        <f t="shared" si="238"/>
        <v>0</v>
      </c>
      <c r="AH233" s="92" t="str">
        <f t="shared" si="239"/>
        <v/>
      </c>
      <c r="AI233" s="131">
        <f t="shared" si="240"/>
        <v>0</v>
      </c>
      <c r="AJ233" s="2"/>
      <c r="AK233" s="92">
        <f>IF(G233=G$481,0,IF(OR(G233&lt;&gt;0,CJ233&lt;&gt;0,C233="L"),COUNTIF(AK$114:AK232,"&gt;0")+1,0))</f>
        <v>0</v>
      </c>
      <c r="AL233" s="92" t="str">
        <f t="shared" si="241"/>
        <v/>
      </c>
      <c r="AM233" s="92" t="str">
        <f t="shared" si="242"/>
        <v/>
      </c>
      <c r="AN233" s="131">
        <f t="shared" si="232"/>
        <v>0</v>
      </c>
      <c r="AO233" s="447">
        <f>SUM(APR!W36:Z36)</f>
        <v>0</v>
      </c>
      <c r="AP233" s="445">
        <f>SUMIF(APR!$G$155:$J$155,AP$112,APR!$R36:$U36)</f>
        <v>0</v>
      </c>
      <c r="AQ233" s="446">
        <f>SUMIF(APR!$G$155:$J$155,AQ$112,APR!$R36:$U36)</f>
        <v>0</v>
      </c>
      <c r="AR233" s="447">
        <f>SUMIF(APR!$G$155:$J$155,AR$112,APR!$R36:$U36)</f>
        <v>0</v>
      </c>
      <c r="AS233" s="448">
        <f>SUMIF(APR!$G$155:$J$155,AS$112,APR!$R36:$U36)</f>
        <v>0</v>
      </c>
      <c r="AT233" s="449">
        <f>APR!AG36</f>
        <v>0</v>
      </c>
      <c r="AU233" s="445">
        <f>APR!AH36</f>
        <v>0</v>
      </c>
      <c r="AV233" s="446">
        <f>APR!AI36</f>
        <v>0</v>
      </c>
      <c r="AW233" s="447">
        <f>APR!AJ36</f>
        <v>0</v>
      </c>
      <c r="AX233" s="448">
        <f>APR!AK36</f>
        <v>0</v>
      </c>
      <c r="AY233" s="445">
        <f>SUMIF(APR!$G$152:$J$152,"&gt;0",APR!$W36:$Z36)</f>
        <v>0</v>
      </c>
      <c r="AZ233" s="1063">
        <f>SUM(APR!AB36:AE36)</f>
        <v>0</v>
      </c>
      <c r="BA233" s="445">
        <f>SUMIF(APR!$G$159:$J$159,BA$111,APR!$R36:$U36)+SUMIF(APR!$G$159:$J$159,BA$111,APR!$W36:$Z36)</f>
        <v>0</v>
      </c>
      <c r="BB233" s="446">
        <f>SUMIF(APR!$G$159:$J$159,BB$111,APR!$R36:$U36)+SUMIF(APR!$G$159:$J$159,BB$111,APR!$W36:$Z36)</f>
        <v>0</v>
      </c>
      <c r="BC233" s="446">
        <f>SUMIF(APR!$G$159:$J$159,BC$111,APR!$R36:$U36)+SUMIF(APR!$G$159:$J$159,BC$111,APR!$W36:$Z36)</f>
        <v>0</v>
      </c>
      <c r="BD233" s="446">
        <f>SUMIF(APR!$G$159:$J$159,BD$111,APR!$R36:$U36)+SUMIF(APR!$G$159:$J$159,BD$111,APR!$W36:$Z36)</f>
        <v>0</v>
      </c>
      <c r="BE233" s="446">
        <f>SUMIF(APR!$G$159:$J$159,BE$111,APR!$R36:$U36)+SUMIF(APR!$G$159:$J$159,BE$111,APR!$W36:$Z36)</f>
        <v>0</v>
      </c>
      <c r="BF233" s="446">
        <f>SUMIF(APR!$G$159:$J$159,BF$111,APR!$R36:$U36)+SUMIF(APR!$G$159:$J$159,BF$111,APR!$W36:$Z36)</f>
        <v>0</v>
      </c>
      <c r="BG233" s="448">
        <f>SUMIF(APR!$G$159:$J$159,BG$111,APR!$R36:$U36)+SUMIF(APR!$G$159:$J$159,BG$111,APR!$W36:$Z36)</f>
        <v>0</v>
      </c>
      <c r="BH233" s="571"/>
      <c r="BI233" s="448"/>
      <c r="BJ233" s="470"/>
      <c r="BK233" s="445">
        <f>SUMIF(APR!$G$157:$J$157,BK$111,APR!$R36:$U36)+SUMIF(APR!$G$157:$J$157,BK$111,APR!$W36:$Z36)</f>
        <v>0</v>
      </c>
      <c r="BL233" s="446">
        <f>SUMIF(APR!$G$157:$J$157,BL$111,APR!$R36:$U36)+SUMIF(APR!$G$157:$J$157,BL$111,APR!$W36:$Z36)</f>
        <v>0</v>
      </c>
      <c r="BM233" s="446">
        <f>SUMIF(APR!$G$157:$J$157,BM$111,APR!$R36:$U36)+SUMIF(APR!$G$157:$J$157,BM$111,APR!$W36:$Z36)</f>
        <v>0</v>
      </c>
      <c r="BN233" s="446">
        <f>SUMIF(APR!$G$157:$J$157,BN$111,APR!$R36:$U36)+SUMIF(APR!$G$157:$J$157,BN$111,APR!$W36:$Z36)</f>
        <v>0</v>
      </c>
      <c r="BO233" s="446">
        <f>SUMIF(APR!$G$157:$J$157,BO$111,APR!$R36:$U36)+SUMIF(APR!$G$157:$J$157,BO$111,APR!$W36:$Z36)</f>
        <v>0</v>
      </c>
      <c r="BP233" s="446">
        <f>SUMIF(APR!$G$157:$J$157,BP$111,APR!$R36:$U36)+SUMIF(APR!$G$157:$J$157,BP$111,APR!$W36:$Z36)</f>
        <v>0</v>
      </c>
      <c r="BQ233" s="448">
        <f>SUMIF(APR!$G$157:$J$157,BQ$111,APR!$R36:$U36)+SUMIF(APR!$G$157:$J$157,BQ$111,APR!$W36:$Z36)</f>
        <v>0</v>
      </c>
      <c r="BR233" s="571"/>
      <c r="BS233" s="446"/>
      <c r="BT233" s="448"/>
      <c r="BU233" s="470"/>
      <c r="BV233" s="445">
        <f>SUMIF(APR!$G$158:$J$158,BV$111,APR!$R36:$U36)+SUMIF(APR!$G$158:$J$158,BV$111,APR!$W36:$Z36)</f>
        <v>0</v>
      </c>
      <c r="BW233" s="446">
        <f>SUMIF(APR!$G$158:$J$158,BW$111,APR!$R36:$U36)+SUMIF(APR!$G$158:$J$158,BW$111,APR!$W36:$Z36)</f>
        <v>0</v>
      </c>
      <c r="BX233" s="446">
        <f>SUMIF(APR!$G$158:$J$158,BX$111,APR!$R36:$U36)+SUMIF(APR!$G$158:$J$158,BX$111,APR!$W36:$Z36)</f>
        <v>0</v>
      </c>
      <c r="BY233" s="446">
        <f>SUMIF(APR!$G$158:$J$158,BY$111,APR!$R36:$U36)+SUMIF(APR!$G$158:$J$158,BY$111,APR!$W36:$Z36)</f>
        <v>0</v>
      </c>
      <c r="BZ233" s="446">
        <f>SUMIF(APR!$G$158:$J$158,BZ$111,APR!$R36:$U36)+SUMIF(APR!$G$158:$J$158,BZ$111,APR!$W36:$Z36)</f>
        <v>0</v>
      </c>
      <c r="CA233" s="446">
        <f>SUMIF(APR!$G$158:$J$158,CA$111,APR!$R36:$U36)+SUMIF(APR!$G$158:$J$158,CA$111,APR!$W36:$Z36)</f>
        <v>0</v>
      </c>
      <c r="CB233" s="448">
        <f>SUMIF(APR!$G$158:$J$158,CB$111,APR!$R36:$U36)+SUMIF(APR!$G$158:$J$158,CB$111,APR!$W36:$Z36)</f>
        <v>0</v>
      </c>
      <c r="CC233" s="571"/>
      <c r="CD233" s="448"/>
      <c r="CE233" s="92">
        <f t="shared" si="243"/>
        <v>0</v>
      </c>
      <c r="CF233" s="92">
        <f t="shared" si="244"/>
        <v>0</v>
      </c>
      <c r="CG233" s="151" t="str">
        <f t="shared" si="230"/>
        <v/>
      </c>
      <c r="CH233" s="92">
        <f t="shared" si="233"/>
        <v>0</v>
      </c>
      <c r="CI233" s="92" t="str">
        <f t="shared" si="245"/>
        <v/>
      </c>
      <c r="CJ233" s="1100">
        <f>APR!AM36</f>
        <v>0</v>
      </c>
      <c r="CK233" s="445">
        <f>SUMIF(APR!$G$155:$J$155,CK$112,APR!$AN36:$AQ36)</f>
        <v>0</v>
      </c>
      <c r="CL233" s="446">
        <f>SUMIF(APR!$G$155:$J$155,CL$112,APR!$AN36:$AQ36)</f>
        <v>0</v>
      </c>
      <c r="CM233" s="447">
        <f>SUMIF(APR!$G$155:$J$155,CM$112,APR!$AN36:$AQ36)</f>
        <v>0</v>
      </c>
      <c r="CN233" s="448">
        <f>SUMIF(APR!$G$155:$J$155,CN$112,APR!$AN36:$AQ36)</f>
        <v>0</v>
      </c>
      <c r="CO233" s="1100">
        <f>APR!AS36</f>
        <v>0</v>
      </c>
      <c r="CP233" s="445">
        <f>APR!AT36</f>
        <v>0</v>
      </c>
      <c r="CQ233" s="446">
        <f>APR!AU36</f>
        <v>0</v>
      </c>
      <c r="CR233" s="447">
        <f>APR!AV36</f>
        <v>0</v>
      </c>
      <c r="CS233" s="448">
        <f>APR!AW36</f>
        <v>0</v>
      </c>
      <c r="CT233" s="1100">
        <f>APR!AY36</f>
        <v>0</v>
      </c>
      <c r="CU233" s="2"/>
    </row>
    <row r="234" spans="1:99" ht="14.25" hidden="1" customHeight="1" x14ac:dyDescent="0.2">
      <c r="A234" s="2"/>
      <c r="B234" s="151">
        <f t="shared" si="234"/>
        <v>45412</v>
      </c>
      <c r="C234" s="223">
        <f>IF(AND(E234&gt;(E$494-1),E234&lt;(I$494+1)),W$485,IF(ISERROR(HLOOKUP(E234,$E$487:$L$487,1,FALSE)),HLOOKUP(WEEKDAY(E234,2),IMPOSTAZIONI!$C$51:$P$56,6,FALSE),$W$484))</f>
        <v>0</v>
      </c>
      <c r="D234" s="103" t="str">
        <f t="shared" si="235"/>
        <v/>
      </c>
      <c r="E234" s="2445">
        <f t="shared" si="246"/>
        <v>45412</v>
      </c>
      <c r="F234" s="2446"/>
      <c r="G234" s="2316" t="str">
        <f>APR!E37</f>
        <v xml:space="preserve">attiva trim.  </v>
      </c>
      <c r="H234" s="2317"/>
      <c r="I234" s="2318"/>
      <c r="J234" s="479" t="str">
        <f t="shared" si="231"/>
        <v/>
      </c>
      <c r="K234" s="480"/>
      <c r="L234" s="2319">
        <f t="shared" si="247"/>
        <v>18</v>
      </c>
      <c r="M234" s="2320"/>
      <c r="N234" s="478"/>
      <c r="O234" s="478"/>
      <c r="P234" s="478"/>
      <c r="Q234" s="2315">
        <f t="shared" si="236"/>
        <v>45412</v>
      </c>
      <c r="R234" s="2315"/>
      <c r="S234" s="478"/>
      <c r="T234" s="140">
        <f t="shared" si="237"/>
        <v>1</v>
      </c>
      <c r="U234" s="478"/>
      <c r="V234" s="478"/>
      <c r="W234" s="478"/>
      <c r="X234" s="478"/>
      <c r="Y234" s="478"/>
      <c r="Z234" s="478"/>
      <c r="AA234" s="478"/>
      <c r="AB234" s="478"/>
      <c r="AC234" s="478"/>
      <c r="AD234" s="478"/>
      <c r="AE234" s="478"/>
      <c r="AF234" s="478"/>
      <c r="AG234" s="140">
        <f t="shared" si="238"/>
        <v>0</v>
      </c>
      <c r="AH234" s="92" t="str">
        <f t="shared" si="239"/>
        <v/>
      </c>
      <c r="AI234" s="131">
        <f t="shared" si="240"/>
        <v>0</v>
      </c>
      <c r="AJ234" s="2"/>
      <c r="AK234" s="92">
        <f>IF(G234=G$481,0,IF(OR(G234&lt;&gt;0,CJ234&lt;&gt;0,C234="L"),COUNTIF(AK$114:AK233,"&gt;0")+1,0))</f>
        <v>0</v>
      </c>
      <c r="AL234" s="92" t="str">
        <f t="shared" si="241"/>
        <v/>
      </c>
      <c r="AM234" s="92" t="str">
        <f t="shared" si="242"/>
        <v/>
      </c>
      <c r="AN234" s="131">
        <f t="shared" si="232"/>
        <v>0</v>
      </c>
      <c r="AO234" s="452">
        <f>SUM(APR!W37:Z37)</f>
        <v>0</v>
      </c>
      <c r="AP234" s="450">
        <f>SUMIF(APR!$G$155:$J$155,AP$112,APR!$R37:$U37)</f>
        <v>0</v>
      </c>
      <c r="AQ234" s="451">
        <f>SUMIF(APR!$G$155:$J$155,AQ$112,APR!$R37:$U37)</f>
        <v>0</v>
      </c>
      <c r="AR234" s="452">
        <f>SUMIF(APR!$G$155:$J$155,AR$112,APR!$R37:$U37)</f>
        <v>0</v>
      </c>
      <c r="AS234" s="453">
        <f>SUMIF(APR!$G$155:$J$155,AS$112,APR!$R37:$U37)</f>
        <v>0</v>
      </c>
      <c r="AT234" s="454">
        <f>APR!AG37</f>
        <v>0</v>
      </c>
      <c r="AU234" s="450">
        <f>APR!AH37</f>
        <v>0</v>
      </c>
      <c r="AV234" s="451">
        <f>APR!AI37</f>
        <v>0</v>
      </c>
      <c r="AW234" s="452">
        <f>APR!AJ37</f>
        <v>0</v>
      </c>
      <c r="AX234" s="453">
        <f>APR!AK37</f>
        <v>0</v>
      </c>
      <c r="AY234" s="450">
        <f>SUMIF(APR!$G$152:$J$152,"&gt;0",APR!$W37:$Z37)</f>
        <v>0</v>
      </c>
      <c r="AZ234" s="1064">
        <f>SUM(APR!AB37:AE37)</f>
        <v>0</v>
      </c>
      <c r="BA234" s="450">
        <f>SUMIF(APR!$G$159:$J$159,BA$111,APR!$R37:$U37)+SUMIF(APR!$G$159:$J$159,BA$111,APR!$W37:$Z37)</f>
        <v>0</v>
      </c>
      <c r="BB234" s="451">
        <f>SUMIF(APR!$G$159:$J$159,BB$111,APR!$R37:$U37)+SUMIF(APR!$G$159:$J$159,BB$111,APR!$W37:$Z37)</f>
        <v>0</v>
      </c>
      <c r="BC234" s="451">
        <f>SUMIF(APR!$G$159:$J$159,BC$111,APR!$R37:$U37)+SUMIF(APR!$G$159:$J$159,BC$111,APR!$W37:$Z37)</f>
        <v>0</v>
      </c>
      <c r="BD234" s="451">
        <f>SUMIF(APR!$G$159:$J$159,BD$111,APR!$R37:$U37)+SUMIF(APR!$G$159:$J$159,BD$111,APR!$W37:$Z37)</f>
        <v>0</v>
      </c>
      <c r="BE234" s="451">
        <f>SUMIF(APR!$G$159:$J$159,BE$111,APR!$R37:$U37)+SUMIF(APR!$G$159:$J$159,BE$111,APR!$W37:$Z37)</f>
        <v>0</v>
      </c>
      <c r="BF234" s="451">
        <f>SUMIF(APR!$G$159:$J$159,BF$111,APR!$R37:$U37)+SUMIF(APR!$G$159:$J$159,BF$111,APR!$W37:$Z37)</f>
        <v>0</v>
      </c>
      <c r="BG234" s="453">
        <f>SUMIF(APR!$G$159:$J$159,BG$111,APR!$R37:$U37)+SUMIF(APR!$G$159:$J$159,BG$111,APR!$W37:$Z37)</f>
        <v>0</v>
      </c>
      <c r="BH234" s="572"/>
      <c r="BI234" s="453"/>
      <c r="BJ234" s="470"/>
      <c r="BK234" s="450">
        <f>SUMIF(APR!$G$157:$J$157,BK$111,APR!$R37:$U37)+SUMIF(APR!$G$157:$J$157,BK$111,APR!$W37:$Z37)</f>
        <v>0</v>
      </c>
      <c r="BL234" s="451">
        <f>SUMIF(APR!$G$157:$J$157,BL$111,APR!$R37:$U37)+SUMIF(APR!$G$157:$J$157,BL$111,APR!$W37:$Z37)</f>
        <v>0</v>
      </c>
      <c r="BM234" s="451">
        <f>SUMIF(APR!$G$157:$J$157,BM$111,APR!$R37:$U37)+SUMIF(APR!$G$157:$J$157,BM$111,APR!$W37:$Z37)</f>
        <v>0</v>
      </c>
      <c r="BN234" s="451">
        <f>SUMIF(APR!$G$157:$J$157,BN$111,APR!$R37:$U37)+SUMIF(APR!$G$157:$J$157,BN$111,APR!$W37:$Z37)</f>
        <v>0</v>
      </c>
      <c r="BO234" s="451">
        <f>SUMIF(APR!$G$157:$J$157,BO$111,APR!$R37:$U37)+SUMIF(APR!$G$157:$J$157,BO$111,APR!$W37:$Z37)</f>
        <v>0</v>
      </c>
      <c r="BP234" s="451">
        <f>SUMIF(APR!$G$157:$J$157,BP$111,APR!$R37:$U37)+SUMIF(APR!$G$157:$J$157,BP$111,APR!$W37:$Z37)</f>
        <v>0</v>
      </c>
      <c r="BQ234" s="453">
        <f>SUMIF(APR!$G$157:$J$157,BQ$111,APR!$R37:$U37)+SUMIF(APR!$G$157:$J$157,BQ$111,APR!$W37:$Z37)</f>
        <v>0</v>
      </c>
      <c r="BR234" s="572"/>
      <c r="BS234" s="451"/>
      <c r="BT234" s="453"/>
      <c r="BU234" s="470"/>
      <c r="BV234" s="450">
        <f>SUMIF(APR!$G$158:$J$158,BV$111,APR!$R37:$U37)+SUMIF(APR!$G$158:$J$158,BV$111,APR!$W37:$Z37)</f>
        <v>0</v>
      </c>
      <c r="BW234" s="451">
        <f>SUMIF(APR!$G$158:$J$158,BW$111,APR!$R37:$U37)+SUMIF(APR!$G$158:$J$158,BW$111,APR!$W37:$Z37)</f>
        <v>0</v>
      </c>
      <c r="BX234" s="451">
        <f>SUMIF(APR!$G$158:$J$158,BX$111,APR!$R37:$U37)+SUMIF(APR!$G$158:$J$158,BX$111,APR!$W37:$Z37)</f>
        <v>0</v>
      </c>
      <c r="BY234" s="451">
        <f>SUMIF(APR!$G$158:$J$158,BY$111,APR!$R37:$U37)+SUMIF(APR!$G$158:$J$158,BY$111,APR!$W37:$Z37)</f>
        <v>0</v>
      </c>
      <c r="BZ234" s="451">
        <f>SUMIF(APR!$G$158:$J$158,BZ$111,APR!$R37:$U37)+SUMIF(APR!$G$158:$J$158,BZ$111,APR!$W37:$Z37)</f>
        <v>0</v>
      </c>
      <c r="CA234" s="451">
        <f>SUMIF(APR!$G$158:$J$158,CA$111,APR!$R37:$U37)+SUMIF(APR!$G$158:$J$158,CA$111,APR!$W37:$Z37)</f>
        <v>0</v>
      </c>
      <c r="CB234" s="453">
        <f>SUMIF(APR!$G$158:$J$158,CB$111,APR!$R37:$U37)+SUMIF(APR!$G$158:$J$158,CB$111,APR!$W37:$Z37)</f>
        <v>0</v>
      </c>
      <c r="CC234" s="572"/>
      <c r="CD234" s="453"/>
      <c r="CE234" s="92">
        <f t="shared" si="243"/>
        <v>0</v>
      </c>
      <c r="CF234" s="92">
        <f t="shared" si="244"/>
        <v>0</v>
      </c>
      <c r="CG234" s="151" t="str">
        <f t="shared" si="230"/>
        <v/>
      </c>
      <c r="CH234" s="92">
        <f t="shared" si="233"/>
        <v>0</v>
      </c>
      <c r="CI234" s="92" t="str">
        <f t="shared" si="245"/>
        <v/>
      </c>
      <c r="CJ234" s="1101">
        <f>APR!AM37</f>
        <v>0</v>
      </c>
      <c r="CK234" s="450">
        <f>SUMIF(APR!$G$155:$J$155,CK$112,APR!$AN37:$AQ37)</f>
        <v>0</v>
      </c>
      <c r="CL234" s="451">
        <f>SUMIF(APR!$G$155:$J$155,CL$112,APR!$AN37:$AQ37)</f>
        <v>0</v>
      </c>
      <c r="CM234" s="452">
        <f>SUMIF(APR!$G$155:$J$155,CM$112,APR!$AN37:$AQ37)</f>
        <v>0</v>
      </c>
      <c r="CN234" s="453">
        <f>SUMIF(APR!$G$155:$J$155,CN$112,APR!$AN37:$AQ37)</f>
        <v>0</v>
      </c>
      <c r="CO234" s="1101">
        <f>APR!AS37</f>
        <v>0</v>
      </c>
      <c r="CP234" s="450">
        <f>APR!AT37</f>
        <v>0</v>
      </c>
      <c r="CQ234" s="451">
        <f>APR!AU37</f>
        <v>0</v>
      </c>
      <c r="CR234" s="452">
        <f>APR!AV37</f>
        <v>0</v>
      </c>
      <c r="CS234" s="453">
        <f>APR!AW37</f>
        <v>0</v>
      </c>
      <c r="CT234" s="1101">
        <f>APR!AY37</f>
        <v>0</v>
      </c>
      <c r="CU234" s="2"/>
    </row>
    <row r="235" spans="1:99" ht="14.25" hidden="1" customHeight="1" x14ac:dyDescent="0.2">
      <c r="A235" s="2"/>
      <c r="B235" s="151">
        <f t="shared" si="234"/>
        <v>45413</v>
      </c>
      <c r="C235" s="223">
        <f>IF(AND(E235&gt;(E$495-1),E235&lt;(I$495+1)),W$485,IF(ISERROR(HLOOKUP(E235,$E$488:$L$488,1,FALSE)),HLOOKUP(WEEKDAY(E235,2),IMPOSTAZIONI!$C$51:$P$56,6,FALSE),$W$484))</f>
        <v>0</v>
      </c>
      <c r="D235" s="103" t="str">
        <f t="shared" si="235"/>
        <v/>
      </c>
      <c r="E235" s="2447">
        <f t="shared" si="246"/>
        <v>45413</v>
      </c>
      <c r="F235" s="2448"/>
      <c r="G235" s="2449" t="str">
        <f>MAG!E8</f>
        <v xml:space="preserve">attiva trim.  </v>
      </c>
      <c r="H235" s="2450"/>
      <c r="I235" s="2451"/>
      <c r="J235" s="479" t="str">
        <f t="shared" si="231"/>
        <v/>
      </c>
      <c r="K235" s="480"/>
      <c r="L235" s="2319">
        <f t="shared" si="247"/>
        <v>18</v>
      </c>
      <c r="M235" s="2320"/>
      <c r="N235" s="478"/>
      <c r="O235" s="478"/>
      <c r="P235" s="478"/>
      <c r="Q235" s="2315">
        <f t="shared" si="236"/>
        <v>45413</v>
      </c>
      <c r="R235" s="2315"/>
      <c r="S235" s="478"/>
      <c r="T235" s="140">
        <f t="shared" si="237"/>
        <v>1</v>
      </c>
      <c r="U235" s="478"/>
      <c r="V235" s="478"/>
      <c r="W235" s="478"/>
      <c r="X235" s="478"/>
      <c r="Y235" s="478"/>
      <c r="Z235" s="478"/>
      <c r="AA235" s="478"/>
      <c r="AB235" s="478"/>
      <c r="AC235" s="478"/>
      <c r="AD235" s="478"/>
      <c r="AE235" s="478"/>
      <c r="AF235" s="478"/>
      <c r="AG235" s="140">
        <f t="shared" si="238"/>
        <v>0</v>
      </c>
      <c r="AH235" s="92" t="str">
        <f t="shared" si="239"/>
        <v/>
      </c>
      <c r="AI235" s="131">
        <f t="shared" si="240"/>
        <v>0</v>
      </c>
      <c r="AJ235" s="131">
        <f>IF(G235=G481,0,COUNTIF(T235:T265,"&gt;0"))</f>
        <v>0</v>
      </c>
      <c r="AK235" s="92">
        <f>IF(G235=G$481,0,IF(OR(G235&lt;&gt;0,CJ235&lt;&gt;0,C235="L"),COUNTIF(AK$114:AK234,"&gt;0")+1,0))</f>
        <v>0</v>
      </c>
      <c r="AL235" s="92" t="str">
        <f t="shared" si="241"/>
        <v/>
      </c>
      <c r="AM235" s="92" t="str">
        <f t="shared" si="242"/>
        <v/>
      </c>
      <c r="AN235" s="131">
        <f t="shared" si="232"/>
        <v>0</v>
      </c>
      <c r="AO235" s="447">
        <f>SUM(MAG!W8:Z8)</f>
        <v>0</v>
      </c>
      <c r="AP235" s="445">
        <f>SUMIF(MAG!$G$155:$J$155,AP$112,MAG!$R8:$U8)</f>
        <v>0</v>
      </c>
      <c r="AQ235" s="446">
        <f>SUMIF(MAG!$G$155:$J$155,AQ$112,MAG!$R8:$U8)</f>
        <v>0</v>
      </c>
      <c r="AR235" s="447">
        <f>SUMIF(MAG!$G$155:$J$155,AR$112,MAG!$R8:$U8)</f>
        <v>0</v>
      </c>
      <c r="AS235" s="448">
        <f>SUMIF(MAG!$G$155:$J$155,AS$112,MAG!$R8:$U8)</f>
        <v>0</v>
      </c>
      <c r="AT235" s="449">
        <f>MAG!AG8</f>
        <v>0</v>
      </c>
      <c r="AU235" s="445">
        <f>MAG!AH8</f>
        <v>0</v>
      </c>
      <c r="AV235" s="446">
        <f>MAG!AI8</f>
        <v>0</v>
      </c>
      <c r="AW235" s="447">
        <f>MAG!AJ8</f>
        <v>0</v>
      </c>
      <c r="AX235" s="448">
        <f>MAG!AK8</f>
        <v>0</v>
      </c>
      <c r="AY235" s="445">
        <f>SUMIF(MAG!$G$152:$J$152,"&gt;0",MAG!$W8:$Z8)</f>
        <v>0</v>
      </c>
      <c r="AZ235" s="1062">
        <f>SUM(MAG!AB8:AE8)</f>
        <v>0</v>
      </c>
      <c r="BA235" s="472">
        <f>SUMIF(MAG!$G$159:$J$159,BA$111,MAG!$R8:$U8)+SUMIF(MAG!$G$159:$J$159,BA$111,MAG!$W8:$Z8)</f>
        <v>0</v>
      </c>
      <c r="BB235" s="473">
        <f>SUMIF(MAG!$G$159:$J$159,BB$111,MAG!$R8:$U8)+SUMIF(MAG!$G$159:$J$159,BB$111,MAG!$W8:$Z8)</f>
        <v>0</v>
      </c>
      <c r="BC235" s="473">
        <f>SUMIF(MAG!$G$159:$J$159,BC$111,MAG!$R8:$U8)+SUMIF(MAG!$G$159:$J$159,BC$111,MAG!$W8:$Z8)</f>
        <v>0</v>
      </c>
      <c r="BD235" s="473">
        <f>SUMIF(MAG!$G$159:$J$159,BD$111,MAG!$R8:$U8)+SUMIF(MAG!$G$159:$J$159,BD$111,MAG!$W8:$Z8)</f>
        <v>0</v>
      </c>
      <c r="BE235" s="473">
        <f>SUMIF(MAG!$G$159:$J$159,BE$111,MAG!$R8:$U8)+SUMIF(MAG!$G$159:$J$159,BE$111,MAG!$W8:$Z8)</f>
        <v>0</v>
      </c>
      <c r="BF235" s="473">
        <f>SUMIF(MAG!$G$159:$J$159,BF$111,MAG!$R8:$U8)+SUMIF(MAG!$G$159:$J$159,BF$111,MAG!$W8:$Z8)</f>
        <v>0</v>
      </c>
      <c r="BG235" s="474">
        <f>SUMIF(MAG!$G$159:$J$159,BG$111,MAG!$R8:$U8)+SUMIF(MAG!$G$159:$J$159,BG$111,MAG!$W8:$Z8)</f>
        <v>0</v>
      </c>
      <c r="BH235" s="570"/>
      <c r="BI235" s="474"/>
      <c r="BJ235" s="470"/>
      <c r="BK235" s="472">
        <f>SUMIF(MAG!$G$157:$J$157,BK$111,MAG!$R8:$U8)+SUMIF(MAG!$G$157:$J$157,BK$111,MAG!$W8:$Z8)</f>
        <v>0</v>
      </c>
      <c r="BL235" s="473">
        <f>SUMIF(MAG!$G$157:$J$157,BL$111,MAG!$R8:$U8)+SUMIF(MAG!$G$157:$J$157,BL$111,MAG!$W8:$Z8)</f>
        <v>0</v>
      </c>
      <c r="BM235" s="473">
        <f>SUMIF(MAG!$G$157:$J$157,BM$111,MAG!$R8:$U8)+SUMIF(MAG!$G$157:$J$157,BM$111,MAG!$W8:$Z8)</f>
        <v>0</v>
      </c>
      <c r="BN235" s="473">
        <f>SUMIF(MAG!$G$157:$J$157,BN$111,MAG!$R8:$U8)+SUMIF(MAG!$G$157:$J$157,BN$111,MAG!$W8:$Z8)</f>
        <v>0</v>
      </c>
      <c r="BO235" s="473">
        <f>SUMIF(MAG!$G$157:$J$157,BO$111,MAG!$R8:$U8)+SUMIF(MAG!$G$157:$J$157,BO$111,MAG!$W8:$Z8)</f>
        <v>0</v>
      </c>
      <c r="BP235" s="473">
        <f>SUMIF(MAG!$G$157:$J$157,BP$111,MAG!$R8:$U8)+SUMIF(MAG!$G$157:$J$157,BP$111,MAG!$W8:$Z8)</f>
        <v>0</v>
      </c>
      <c r="BQ235" s="474">
        <f>SUMIF(MAG!$G$157:$J$157,BQ$111,MAG!$R8:$U8)+SUMIF(MAG!$G$157:$J$157,BQ$111,MAG!$W8:$Z8)</f>
        <v>0</v>
      </c>
      <c r="BR235" s="570"/>
      <c r="BS235" s="473"/>
      <c r="BT235" s="474"/>
      <c r="BU235" s="470"/>
      <c r="BV235" s="472">
        <f>SUMIF(MAG!$G$158:$J$158,BV$111,MAG!$R8:$U8)+SUMIF(MAG!$G$158:$J$158,BV$111,MAG!$W8:$Z8)</f>
        <v>0</v>
      </c>
      <c r="BW235" s="473">
        <f>SUMIF(MAG!$G$158:$J$158,BW$111,MAG!$R8:$U8)+SUMIF(MAG!$G$158:$J$158,BW$111,MAG!$W8:$Z8)</f>
        <v>0</v>
      </c>
      <c r="BX235" s="473">
        <f>SUMIF(MAG!$G$158:$J$158,BX$111,MAG!$R8:$U8)+SUMIF(MAG!$G$158:$J$158,BX$111,MAG!$W8:$Z8)</f>
        <v>0</v>
      </c>
      <c r="BY235" s="473">
        <f>SUMIF(MAG!$G$158:$J$158,BY$111,MAG!$R8:$U8)+SUMIF(MAG!$G$158:$J$158,BY$111,MAG!$W8:$Z8)</f>
        <v>0</v>
      </c>
      <c r="BZ235" s="473">
        <f>SUMIF(MAG!$G$158:$J$158,BZ$111,MAG!$R8:$U8)+SUMIF(MAG!$G$158:$J$158,BZ$111,MAG!$W8:$Z8)</f>
        <v>0</v>
      </c>
      <c r="CA235" s="473">
        <f>SUMIF(MAG!$G$158:$J$158,CA$111,MAG!$R8:$U8)+SUMIF(MAG!$G$158:$J$158,CA$111,MAG!$W8:$Z8)</f>
        <v>0</v>
      </c>
      <c r="CB235" s="474">
        <f>SUMIF(MAG!$G$158:$J$158,CB$111,MAG!$R8:$U8)+SUMIF(MAG!$G$158:$J$158,CB$111,MAG!$W8:$Z8)</f>
        <v>0</v>
      </c>
      <c r="CC235" s="570"/>
      <c r="CD235" s="474"/>
      <c r="CE235" s="92">
        <f t="shared" si="243"/>
        <v>0</v>
      </c>
      <c r="CF235" s="92">
        <f t="shared" si="244"/>
        <v>0</v>
      </c>
      <c r="CG235" s="151" t="str">
        <f t="shared" si="230"/>
        <v/>
      </c>
      <c r="CH235" s="92">
        <f t="shared" si="233"/>
        <v>0</v>
      </c>
      <c r="CI235" s="92" t="str">
        <f t="shared" si="245"/>
        <v/>
      </c>
      <c r="CJ235" s="1102">
        <f>MAG!AM8</f>
        <v>0</v>
      </c>
      <c r="CK235" s="445">
        <f>SUMIF(MAG!$G$155:$J$155,CK$112,MAG!$AN8:$AQ8)</f>
        <v>0</v>
      </c>
      <c r="CL235" s="446">
        <f>SUMIF(MAG!$G$155:$J$155,CL$112,MAG!$AN8:$AQ8)</f>
        <v>0</v>
      </c>
      <c r="CM235" s="447">
        <f>SUMIF(MAG!$G$155:$J$155,CM$112,MAG!$AN8:$AQ8)</f>
        <v>0</v>
      </c>
      <c r="CN235" s="448">
        <f>SUMIF(MAG!$G$155:$J$155,CN$112,MAG!$AN8:$AQ8)</f>
        <v>0</v>
      </c>
      <c r="CO235" s="1102">
        <f>MAG!AS8</f>
        <v>0</v>
      </c>
      <c r="CP235" s="445">
        <f>MAG!AT8</f>
        <v>0</v>
      </c>
      <c r="CQ235" s="446">
        <f>MAG!AU8</f>
        <v>0</v>
      </c>
      <c r="CR235" s="447">
        <f>MAG!AV8</f>
        <v>0</v>
      </c>
      <c r="CS235" s="448">
        <f>MAG!AW8</f>
        <v>0</v>
      </c>
      <c r="CT235" s="1102">
        <f>MAG!AY8</f>
        <v>0</v>
      </c>
      <c r="CU235" s="2"/>
    </row>
    <row r="236" spans="1:99" ht="14.25" hidden="1" customHeight="1" x14ac:dyDescent="0.2">
      <c r="A236" s="2"/>
      <c r="B236" s="151">
        <f t="shared" si="234"/>
        <v>45414</v>
      </c>
      <c r="C236" s="223">
        <f>IF(AND(E236&gt;(E$495-1),E236&lt;(I$495+1)),W$485,IF(ISERROR(HLOOKUP(E236,$E$488:$L$488,1,FALSE)),HLOOKUP(WEEKDAY(E236,2),IMPOSTAZIONI!$C$51:$P$56,6,FALSE),$W$484))</f>
        <v>0</v>
      </c>
      <c r="D236" s="103" t="str">
        <f t="shared" si="235"/>
        <v/>
      </c>
      <c r="E236" s="2380">
        <f t="shared" si="246"/>
        <v>45414</v>
      </c>
      <c r="F236" s="2381"/>
      <c r="G236" s="2325" t="str">
        <f>MAG!E9</f>
        <v xml:space="preserve">attiva trim.  </v>
      </c>
      <c r="H236" s="2326"/>
      <c r="I236" s="2327"/>
      <c r="J236" s="479" t="str">
        <f t="shared" si="231"/>
        <v/>
      </c>
      <c r="K236" s="480"/>
      <c r="L236" s="2319">
        <f t="shared" si="247"/>
        <v>18</v>
      </c>
      <c r="M236" s="2320"/>
      <c r="N236" s="478"/>
      <c r="O236" s="478"/>
      <c r="P236" s="478"/>
      <c r="Q236" s="2315">
        <f t="shared" si="236"/>
        <v>45414</v>
      </c>
      <c r="R236" s="2315"/>
      <c r="S236" s="478"/>
      <c r="T236" s="140">
        <f t="shared" si="237"/>
        <v>1</v>
      </c>
      <c r="U236" s="478"/>
      <c r="V236" s="478"/>
      <c r="W236" s="478"/>
      <c r="X236" s="478"/>
      <c r="Y236" s="478"/>
      <c r="Z236" s="478"/>
      <c r="AA236" s="478"/>
      <c r="AB236" s="478"/>
      <c r="AC236" s="478"/>
      <c r="AD236" s="478"/>
      <c r="AE236" s="478"/>
      <c r="AF236" s="478"/>
      <c r="AG236" s="140">
        <f t="shared" si="238"/>
        <v>0</v>
      </c>
      <c r="AH236" s="92" t="str">
        <f t="shared" si="239"/>
        <v/>
      </c>
      <c r="AI236" s="131">
        <f t="shared" si="240"/>
        <v>0</v>
      </c>
      <c r="AJ236" s="2"/>
      <c r="AK236" s="92">
        <f>IF(G236=G$481,0,IF(OR(G236&lt;&gt;0,CJ236&lt;&gt;0,C236="L"),COUNTIF(AK$114:AK235,"&gt;0")+1,0))</f>
        <v>0</v>
      </c>
      <c r="AL236" s="92" t="str">
        <f t="shared" si="241"/>
        <v/>
      </c>
      <c r="AM236" s="92" t="str">
        <f t="shared" si="242"/>
        <v/>
      </c>
      <c r="AN236" s="131">
        <f t="shared" si="232"/>
        <v>0</v>
      </c>
      <c r="AO236" s="447">
        <f>SUM(MAG!W9:Z9)</f>
        <v>0</v>
      </c>
      <c r="AP236" s="445">
        <f>SUMIF(MAG!$G$155:$J$155,AP$112,MAG!$R9:$U9)</f>
        <v>0</v>
      </c>
      <c r="AQ236" s="446">
        <f>SUMIF(MAG!$G$155:$J$155,AQ$112,MAG!$R9:$U9)</f>
        <v>0</v>
      </c>
      <c r="AR236" s="447">
        <f>SUMIF(MAG!$G$155:$J$155,AR$112,MAG!$R9:$U9)</f>
        <v>0</v>
      </c>
      <c r="AS236" s="448">
        <f>SUMIF(MAG!$G$155:$J$155,AS$112,MAG!$R9:$U9)</f>
        <v>0</v>
      </c>
      <c r="AT236" s="449">
        <f>MAG!AG9</f>
        <v>0</v>
      </c>
      <c r="AU236" s="445">
        <f>MAG!AH9</f>
        <v>0</v>
      </c>
      <c r="AV236" s="446">
        <f>MAG!AI9</f>
        <v>0</v>
      </c>
      <c r="AW236" s="447">
        <f>MAG!AJ9</f>
        <v>0</v>
      </c>
      <c r="AX236" s="448">
        <f>MAG!AK9</f>
        <v>0</v>
      </c>
      <c r="AY236" s="445">
        <f>SUMIF(MAG!$G$152:$J$152,"&gt;0",MAG!$W9:$Z9)</f>
        <v>0</v>
      </c>
      <c r="AZ236" s="1063">
        <f>SUM(MAG!AB9:AE9)</f>
        <v>0</v>
      </c>
      <c r="BA236" s="445">
        <f>SUMIF(MAG!$G$159:$J$159,BA$111,MAG!$R9:$U9)+SUMIF(MAG!$G$159:$J$159,BA$111,MAG!$W9:$Z9)</f>
        <v>0</v>
      </c>
      <c r="BB236" s="446">
        <f>SUMIF(MAG!$G$159:$J$159,BB$111,MAG!$R9:$U9)+SUMIF(MAG!$G$159:$J$159,BB$111,MAG!$W9:$Z9)</f>
        <v>0</v>
      </c>
      <c r="BC236" s="446">
        <f>SUMIF(MAG!$G$159:$J$159,BC$111,MAG!$R9:$U9)+SUMIF(MAG!$G$159:$J$159,BC$111,MAG!$W9:$Z9)</f>
        <v>0</v>
      </c>
      <c r="BD236" s="446">
        <f>SUMIF(MAG!$G$159:$J$159,BD$111,MAG!$R9:$U9)+SUMIF(MAG!$G$159:$J$159,BD$111,MAG!$W9:$Z9)</f>
        <v>0</v>
      </c>
      <c r="BE236" s="446">
        <f>SUMIF(MAG!$G$159:$J$159,BE$111,MAG!$R9:$U9)+SUMIF(MAG!$G$159:$J$159,BE$111,MAG!$W9:$Z9)</f>
        <v>0</v>
      </c>
      <c r="BF236" s="446">
        <f>SUMIF(MAG!$G$159:$J$159,BF$111,MAG!$R9:$U9)+SUMIF(MAG!$G$159:$J$159,BF$111,MAG!$W9:$Z9)</f>
        <v>0</v>
      </c>
      <c r="BG236" s="448">
        <f>SUMIF(MAG!$G$159:$J$159,BG$111,MAG!$R9:$U9)+SUMIF(MAG!$G$159:$J$159,BG$111,MAG!$W9:$Z9)</f>
        <v>0</v>
      </c>
      <c r="BH236" s="571"/>
      <c r="BI236" s="448"/>
      <c r="BJ236" s="470"/>
      <c r="BK236" s="445">
        <f>SUMIF(MAG!$G$157:$J$157,BK$111,MAG!$R9:$U9)+SUMIF(MAG!$G$157:$J$157,BK$111,MAG!$W9:$Z9)</f>
        <v>0</v>
      </c>
      <c r="BL236" s="446">
        <f>SUMIF(MAG!$G$157:$J$157,BL$111,MAG!$R9:$U9)+SUMIF(MAG!$G$157:$J$157,BL$111,MAG!$W9:$Z9)</f>
        <v>0</v>
      </c>
      <c r="BM236" s="446">
        <f>SUMIF(MAG!$G$157:$J$157,BM$111,MAG!$R9:$U9)+SUMIF(MAG!$G$157:$J$157,BM$111,MAG!$W9:$Z9)</f>
        <v>0</v>
      </c>
      <c r="BN236" s="446">
        <f>SUMIF(MAG!$G$157:$J$157,BN$111,MAG!$R9:$U9)+SUMIF(MAG!$G$157:$J$157,BN$111,MAG!$W9:$Z9)</f>
        <v>0</v>
      </c>
      <c r="BO236" s="446">
        <f>SUMIF(MAG!$G$157:$J$157,BO$111,MAG!$R9:$U9)+SUMIF(MAG!$G$157:$J$157,BO$111,MAG!$W9:$Z9)</f>
        <v>0</v>
      </c>
      <c r="BP236" s="446">
        <f>SUMIF(MAG!$G$157:$J$157,BP$111,MAG!$R9:$U9)+SUMIF(MAG!$G$157:$J$157,BP$111,MAG!$W9:$Z9)</f>
        <v>0</v>
      </c>
      <c r="BQ236" s="448">
        <f>SUMIF(MAG!$G$157:$J$157,BQ$111,MAG!$R9:$U9)+SUMIF(MAG!$G$157:$J$157,BQ$111,MAG!$W9:$Z9)</f>
        <v>0</v>
      </c>
      <c r="BR236" s="571"/>
      <c r="BS236" s="446"/>
      <c r="BT236" s="448"/>
      <c r="BU236" s="470"/>
      <c r="BV236" s="445">
        <f>SUMIF(MAG!$G$158:$J$158,BV$111,MAG!$R9:$U9)+SUMIF(MAG!$G$158:$J$158,BV$111,MAG!$W9:$Z9)</f>
        <v>0</v>
      </c>
      <c r="BW236" s="446">
        <f>SUMIF(MAG!$G$158:$J$158,BW$111,MAG!$R9:$U9)+SUMIF(MAG!$G$158:$J$158,BW$111,MAG!$W9:$Z9)</f>
        <v>0</v>
      </c>
      <c r="BX236" s="446">
        <f>SUMIF(MAG!$G$158:$J$158,BX$111,MAG!$R9:$U9)+SUMIF(MAG!$G$158:$J$158,BX$111,MAG!$W9:$Z9)</f>
        <v>0</v>
      </c>
      <c r="BY236" s="446">
        <f>SUMIF(MAG!$G$158:$J$158,BY$111,MAG!$R9:$U9)+SUMIF(MAG!$G$158:$J$158,BY$111,MAG!$W9:$Z9)</f>
        <v>0</v>
      </c>
      <c r="BZ236" s="446">
        <f>SUMIF(MAG!$G$158:$J$158,BZ$111,MAG!$R9:$U9)+SUMIF(MAG!$G$158:$J$158,BZ$111,MAG!$W9:$Z9)</f>
        <v>0</v>
      </c>
      <c r="CA236" s="446">
        <f>SUMIF(MAG!$G$158:$J$158,CA$111,MAG!$R9:$U9)+SUMIF(MAG!$G$158:$J$158,CA$111,MAG!$W9:$Z9)</f>
        <v>0</v>
      </c>
      <c r="CB236" s="448">
        <f>SUMIF(MAG!$G$158:$J$158,CB$111,MAG!$R9:$U9)+SUMIF(MAG!$G$158:$J$158,CB$111,MAG!$W9:$Z9)</f>
        <v>0</v>
      </c>
      <c r="CC236" s="571"/>
      <c r="CD236" s="448"/>
      <c r="CE236" s="92">
        <f t="shared" si="243"/>
        <v>0</v>
      </c>
      <c r="CF236" s="92">
        <f t="shared" si="244"/>
        <v>0</v>
      </c>
      <c r="CG236" s="151" t="str">
        <f t="shared" si="230"/>
        <v/>
      </c>
      <c r="CH236" s="92">
        <f t="shared" si="233"/>
        <v>0</v>
      </c>
      <c r="CI236" s="92" t="str">
        <f t="shared" si="245"/>
        <v/>
      </c>
      <c r="CJ236" s="1100">
        <f>MAG!AM9</f>
        <v>0</v>
      </c>
      <c r="CK236" s="445">
        <f>SUMIF(MAG!$G$155:$J$155,CK$112,MAG!$AN9:$AQ9)</f>
        <v>0</v>
      </c>
      <c r="CL236" s="446">
        <f>SUMIF(MAG!$G$155:$J$155,CL$112,MAG!$AN9:$AQ9)</f>
        <v>0</v>
      </c>
      <c r="CM236" s="447">
        <f>SUMIF(MAG!$G$155:$J$155,CM$112,MAG!$AN9:$AQ9)</f>
        <v>0</v>
      </c>
      <c r="CN236" s="448">
        <f>SUMIF(MAG!$G$155:$J$155,CN$112,MAG!$AN9:$AQ9)</f>
        <v>0</v>
      </c>
      <c r="CO236" s="1100">
        <f>MAG!AS9</f>
        <v>0</v>
      </c>
      <c r="CP236" s="445">
        <f>MAG!AT9</f>
        <v>0</v>
      </c>
      <c r="CQ236" s="446">
        <f>MAG!AU9</f>
        <v>0</v>
      </c>
      <c r="CR236" s="447">
        <f>MAG!AV9</f>
        <v>0</v>
      </c>
      <c r="CS236" s="448">
        <f>MAG!AW9</f>
        <v>0</v>
      </c>
      <c r="CT236" s="1100">
        <f>MAG!AY9</f>
        <v>0</v>
      </c>
      <c r="CU236" s="2"/>
    </row>
    <row r="237" spans="1:99" ht="14.25" hidden="1" customHeight="1" x14ac:dyDescent="0.2">
      <c r="A237" s="2"/>
      <c r="B237" s="151">
        <f t="shared" si="234"/>
        <v>45415</v>
      </c>
      <c r="C237" s="223">
        <f>IF(AND(E237&gt;(E$495-1),E237&lt;(I$495+1)),W$485,IF(ISERROR(HLOOKUP(E237,$E$488:$L$488,1,FALSE)),HLOOKUP(WEEKDAY(E237,2),IMPOSTAZIONI!$C$51:$P$56,6,FALSE),$W$484))</f>
        <v>0</v>
      </c>
      <c r="D237" s="103" t="str">
        <f t="shared" si="235"/>
        <v/>
      </c>
      <c r="E237" s="2380">
        <f t="shared" si="246"/>
        <v>45415</v>
      </c>
      <c r="F237" s="2381"/>
      <c r="G237" s="2325" t="str">
        <f>MAG!E10</f>
        <v xml:space="preserve">attiva trim.  </v>
      </c>
      <c r="H237" s="2326"/>
      <c r="I237" s="2327"/>
      <c r="J237" s="479" t="str">
        <f t="shared" si="231"/>
        <v/>
      </c>
      <c r="K237" s="480"/>
      <c r="L237" s="2319">
        <f t="shared" si="247"/>
        <v>18</v>
      </c>
      <c r="M237" s="2320"/>
      <c r="N237" s="478"/>
      <c r="O237" s="478"/>
      <c r="P237" s="478"/>
      <c r="Q237" s="2315">
        <f t="shared" si="236"/>
        <v>45415</v>
      </c>
      <c r="R237" s="2315"/>
      <c r="S237" s="478"/>
      <c r="T237" s="140">
        <f t="shared" si="237"/>
        <v>1</v>
      </c>
      <c r="U237" s="478"/>
      <c r="V237" s="478"/>
      <c r="W237" s="478"/>
      <c r="X237" s="478"/>
      <c r="Y237" s="478"/>
      <c r="Z237" s="478"/>
      <c r="AA237" s="478"/>
      <c r="AB237" s="478"/>
      <c r="AC237" s="478"/>
      <c r="AD237" s="478"/>
      <c r="AE237" s="478"/>
      <c r="AF237" s="478"/>
      <c r="AG237" s="140">
        <f t="shared" si="238"/>
        <v>0</v>
      </c>
      <c r="AH237" s="92" t="str">
        <f t="shared" si="239"/>
        <v/>
      </c>
      <c r="AI237" s="131">
        <f t="shared" si="240"/>
        <v>0</v>
      </c>
      <c r="AJ237" s="2"/>
      <c r="AK237" s="92">
        <f>IF(G237=G$481,0,IF(OR(G237&lt;&gt;0,CJ237&lt;&gt;0,C237="L"),COUNTIF(AK$114:AK236,"&gt;0")+1,0))</f>
        <v>0</v>
      </c>
      <c r="AL237" s="92" t="str">
        <f t="shared" si="241"/>
        <v/>
      </c>
      <c r="AM237" s="92" t="str">
        <f t="shared" si="242"/>
        <v/>
      </c>
      <c r="AN237" s="131">
        <f t="shared" si="232"/>
        <v>0</v>
      </c>
      <c r="AO237" s="447">
        <f>SUM(MAG!W10:Z10)</f>
        <v>0</v>
      </c>
      <c r="AP237" s="445">
        <f>SUMIF(MAG!$G$155:$J$155,AP$112,MAG!$R10:$U10)</f>
        <v>0</v>
      </c>
      <c r="AQ237" s="446">
        <f>SUMIF(MAG!$G$155:$J$155,AQ$112,MAG!$R10:$U10)</f>
        <v>0</v>
      </c>
      <c r="AR237" s="447">
        <f>SUMIF(MAG!$G$155:$J$155,AR$112,MAG!$R10:$U10)</f>
        <v>0</v>
      </c>
      <c r="AS237" s="448">
        <f>SUMIF(MAG!$G$155:$J$155,AS$112,MAG!$R10:$U10)</f>
        <v>0</v>
      </c>
      <c r="AT237" s="449">
        <f>MAG!AG10</f>
        <v>0</v>
      </c>
      <c r="AU237" s="445">
        <f>MAG!AH10</f>
        <v>0</v>
      </c>
      <c r="AV237" s="446">
        <f>MAG!AI10</f>
        <v>0</v>
      </c>
      <c r="AW237" s="447">
        <f>MAG!AJ10</f>
        <v>0</v>
      </c>
      <c r="AX237" s="448">
        <f>MAG!AK10</f>
        <v>0</v>
      </c>
      <c r="AY237" s="445">
        <f>SUMIF(MAG!$G$152:$J$152,"&gt;0",MAG!$W10:$Z10)</f>
        <v>0</v>
      </c>
      <c r="AZ237" s="1063">
        <f>SUM(MAG!AB10:AE10)</f>
        <v>0</v>
      </c>
      <c r="BA237" s="445">
        <f>SUMIF(MAG!$G$159:$J$159,BA$111,MAG!$R10:$U10)+SUMIF(MAG!$G$159:$J$159,BA$111,MAG!$W10:$Z10)</f>
        <v>0</v>
      </c>
      <c r="BB237" s="446">
        <f>SUMIF(MAG!$G$159:$J$159,BB$111,MAG!$R10:$U10)+SUMIF(MAG!$G$159:$J$159,BB$111,MAG!$W10:$Z10)</f>
        <v>0</v>
      </c>
      <c r="BC237" s="446">
        <f>SUMIF(MAG!$G$159:$J$159,BC$111,MAG!$R10:$U10)+SUMIF(MAG!$G$159:$J$159,BC$111,MAG!$W10:$Z10)</f>
        <v>0</v>
      </c>
      <c r="BD237" s="446">
        <f>SUMIF(MAG!$G$159:$J$159,BD$111,MAG!$R10:$U10)+SUMIF(MAG!$G$159:$J$159,BD$111,MAG!$W10:$Z10)</f>
        <v>0</v>
      </c>
      <c r="BE237" s="446">
        <f>SUMIF(MAG!$G$159:$J$159,BE$111,MAG!$R10:$U10)+SUMIF(MAG!$G$159:$J$159,BE$111,MAG!$W10:$Z10)</f>
        <v>0</v>
      </c>
      <c r="BF237" s="446">
        <f>SUMIF(MAG!$G$159:$J$159,BF$111,MAG!$R10:$U10)+SUMIF(MAG!$G$159:$J$159,BF$111,MAG!$W10:$Z10)</f>
        <v>0</v>
      </c>
      <c r="BG237" s="448">
        <f>SUMIF(MAG!$G$159:$J$159,BG$111,MAG!$R10:$U10)+SUMIF(MAG!$G$159:$J$159,BG$111,MAG!$W10:$Z10)</f>
        <v>0</v>
      </c>
      <c r="BH237" s="571"/>
      <c r="BI237" s="448"/>
      <c r="BJ237" s="470"/>
      <c r="BK237" s="445">
        <f>SUMIF(MAG!$G$157:$J$157,BK$111,MAG!$R10:$U10)+SUMIF(MAG!$G$157:$J$157,BK$111,MAG!$W10:$Z10)</f>
        <v>0</v>
      </c>
      <c r="BL237" s="446">
        <f>SUMIF(MAG!$G$157:$J$157,BL$111,MAG!$R10:$U10)+SUMIF(MAG!$G$157:$J$157,BL$111,MAG!$W10:$Z10)</f>
        <v>0</v>
      </c>
      <c r="BM237" s="446">
        <f>SUMIF(MAG!$G$157:$J$157,BM$111,MAG!$R10:$U10)+SUMIF(MAG!$G$157:$J$157,BM$111,MAG!$W10:$Z10)</f>
        <v>0</v>
      </c>
      <c r="BN237" s="446">
        <f>SUMIF(MAG!$G$157:$J$157,BN$111,MAG!$R10:$U10)+SUMIF(MAG!$G$157:$J$157,BN$111,MAG!$W10:$Z10)</f>
        <v>0</v>
      </c>
      <c r="BO237" s="446">
        <f>SUMIF(MAG!$G$157:$J$157,BO$111,MAG!$R10:$U10)+SUMIF(MAG!$G$157:$J$157,BO$111,MAG!$W10:$Z10)</f>
        <v>0</v>
      </c>
      <c r="BP237" s="446">
        <f>SUMIF(MAG!$G$157:$J$157,BP$111,MAG!$R10:$U10)+SUMIF(MAG!$G$157:$J$157,BP$111,MAG!$W10:$Z10)</f>
        <v>0</v>
      </c>
      <c r="BQ237" s="448">
        <f>SUMIF(MAG!$G$157:$J$157,BQ$111,MAG!$R10:$U10)+SUMIF(MAG!$G$157:$J$157,BQ$111,MAG!$W10:$Z10)</f>
        <v>0</v>
      </c>
      <c r="BR237" s="571"/>
      <c r="BS237" s="446"/>
      <c r="BT237" s="448"/>
      <c r="BU237" s="470"/>
      <c r="BV237" s="445">
        <f>SUMIF(MAG!$G$158:$J$158,BV$111,MAG!$R10:$U10)+SUMIF(MAG!$G$158:$J$158,BV$111,MAG!$W10:$Z10)</f>
        <v>0</v>
      </c>
      <c r="BW237" s="446">
        <f>SUMIF(MAG!$G$158:$J$158,BW$111,MAG!$R10:$U10)+SUMIF(MAG!$G$158:$J$158,BW$111,MAG!$W10:$Z10)</f>
        <v>0</v>
      </c>
      <c r="BX237" s="446">
        <f>SUMIF(MAG!$G$158:$J$158,BX$111,MAG!$R10:$U10)+SUMIF(MAG!$G$158:$J$158,BX$111,MAG!$W10:$Z10)</f>
        <v>0</v>
      </c>
      <c r="BY237" s="446">
        <f>SUMIF(MAG!$G$158:$J$158,BY$111,MAG!$R10:$U10)+SUMIF(MAG!$G$158:$J$158,BY$111,MAG!$W10:$Z10)</f>
        <v>0</v>
      </c>
      <c r="BZ237" s="446">
        <f>SUMIF(MAG!$G$158:$J$158,BZ$111,MAG!$R10:$U10)+SUMIF(MAG!$G$158:$J$158,BZ$111,MAG!$W10:$Z10)</f>
        <v>0</v>
      </c>
      <c r="CA237" s="446">
        <f>SUMIF(MAG!$G$158:$J$158,CA$111,MAG!$R10:$U10)+SUMIF(MAG!$G$158:$J$158,CA$111,MAG!$W10:$Z10)</f>
        <v>0</v>
      </c>
      <c r="CB237" s="448">
        <f>SUMIF(MAG!$G$158:$J$158,CB$111,MAG!$R10:$U10)+SUMIF(MAG!$G$158:$J$158,CB$111,MAG!$W10:$Z10)</f>
        <v>0</v>
      </c>
      <c r="CC237" s="571"/>
      <c r="CD237" s="448"/>
      <c r="CE237" s="92">
        <f t="shared" si="243"/>
        <v>0</v>
      </c>
      <c r="CF237" s="92">
        <f t="shared" si="244"/>
        <v>0</v>
      </c>
      <c r="CG237" s="151" t="str">
        <f t="shared" si="230"/>
        <v/>
      </c>
      <c r="CH237" s="92">
        <f t="shared" si="233"/>
        <v>0</v>
      </c>
      <c r="CI237" s="92" t="str">
        <f t="shared" si="245"/>
        <v/>
      </c>
      <c r="CJ237" s="1100">
        <f>MAG!AM10</f>
        <v>0</v>
      </c>
      <c r="CK237" s="445">
        <f>SUMIF(MAG!$G$155:$J$155,CK$112,MAG!$AN10:$AQ10)</f>
        <v>0</v>
      </c>
      <c r="CL237" s="446">
        <f>SUMIF(MAG!$G$155:$J$155,CL$112,MAG!$AN10:$AQ10)</f>
        <v>0</v>
      </c>
      <c r="CM237" s="447">
        <f>SUMIF(MAG!$G$155:$J$155,CM$112,MAG!$AN10:$AQ10)</f>
        <v>0</v>
      </c>
      <c r="CN237" s="448">
        <f>SUMIF(MAG!$G$155:$J$155,CN$112,MAG!$AN10:$AQ10)</f>
        <v>0</v>
      </c>
      <c r="CO237" s="1100">
        <f>MAG!AS10</f>
        <v>0</v>
      </c>
      <c r="CP237" s="445">
        <f>MAG!AT10</f>
        <v>0</v>
      </c>
      <c r="CQ237" s="446">
        <f>MAG!AU10</f>
        <v>0</v>
      </c>
      <c r="CR237" s="447">
        <f>MAG!AV10</f>
        <v>0</v>
      </c>
      <c r="CS237" s="448">
        <f>MAG!AW10</f>
        <v>0</v>
      </c>
      <c r="CT237" s="1100">
        <f>MAG!AY10</f>
        <v>0</v>
      </c>
      <c r="CU237" s="2"/>
    </row>
    <row r="238" spans="1:99" ht="14.25" hidden="1" customHeight="1" x14ac:dyDescent="0.2">
      <c r="A238" s="2"/>
      <c r="B238" s="151">
        <f t="shared" si="234"/>
        <v>45416</v>
      </c>
      <c r="C238" s="223">
        <f>IF(AND(E238&gt;(E$495-1),E238&lt;(I$495+1)),W$485,IF(ISERROR(HLOOKUP(E238,$E$488:$L$488,1,FALSE)),HLOOKUP(WEEKDAY(E238,2),IMPOSTAZIONI!$C$51:$P$56,6,FALSE),$W$484))</f>
        <v>0</v>
      </c>
      <c r="D238" s="103" t="str">
        <f t="shared" si="235"/>
        <v/>
      </c>
      <c r="E238" s="2380">
        <f t="shared" si="246"/>
        <v>45416</v>
      </c>
      <c r="F238" s="2381"/>
      <c r="G238" s="2325" t="str">
        <f>MAG!E11</f>
        <v xml:space="preserve">attiva trim.  </v>
      </c>
      <c r="H238" s="2326"/>
      <c r="I238" s="2327"/>
      <c r="J238" s="479" t="str">
        <f t="shared" si="231"/>
        <v/>
      </c>
      <c r="K238" s="480"/>
      <c r="L238" s="2319">
        <f t="shared" si="247"/>
        <v>18</v>
      </c>
      <c r="M238" s="2320"/>
      <c r="N238" s="478"/>
      <c r="O238" s="478"/>
      <c r="P238" s="478"/>
      <c r="Q238" s="2315">
        <f t="shared" si="236"/>
        <v>45416</v>
      </c>
      <c r="R238" s="2315"/>
      <c r="S238" s="478"/>
      <c r="T238" s="140">
        <f t="shared" si="237"/>
        <v>1</v>
      </c>
      <c r="U238" s="478"/>
      <c r="V238" s="478"/>
      <c r="W238" s="478"/>
      <c r="X238" s="478"/>
      <c r="Y238" s="478"/>
      <c r="Z238" s="478"/>
      <c r="AA238" s="478"/>
      <c r="AB238" s="478"/>
      <c r="AC238" s="478"/>
      <c r="AD238" s="478"/>
      <c r="AE238" s="478"/>
      <c r="AF238" s="478"/>
      <c r="AG238" s="140">
        <f t="shared" si="238"/>
        <v>0</v>
      </c>
      <c r="AH238" s="92" t="str">
        <f t="shared" si="239"/>
        <v/>
      </c>
      <c r="AI238" s="131">
        <f t="shared" si="240"/>
        <v>0</v>
      </c>
      <c r="AJ238" s="2"/>
      <c r="AK238" s="92">
        <f>IF(G238=G$481,0,IF(OR(G238&lt;&gt;0,CJ238&lt;&gt;0,C238="L"),COUNTIF(AK$114:AK237,"&gt;0")+1,0))</f>
        <v>0</v>
      </c>
      <c r="AL238" s="92" t="str">
        <f t="shared" si="241"/>
        <v/>
      </c>
      <c r="AM238" s="92" t="str">
        <f t="shared" si="242"/>
        <v/>
      </c>
      <c r="AN238" s="131">
        <f t="shared" si="232"/>
        <v>0</v>
      </c>
      <c r="AO238" s="447">
        <f>SUM(MAG!W11:Z11)</f>
        <v>0</v>
      </c>
      <c r="AP238" s="445">
        <f>SUMIF(MAG!$G$155:$J$155,AP$112,MAG!$R11:$U11)</f>
        <v>0</v>
      </c>
      <c r="AQ238" s="446">
        <f>SUMIF(MAG!$G$155:$J$155,AQ$112,MAG!$R11:$U11)</f>
        <v>0</v>
      </c>
      <c r="AR238" s="447">
        <f>SUMIF(MAG!$G$155:$J$155,AR$112,MAG!$R11:$U11)</f>
        <v>0</v>
      </c>
      <c r="AS238" s="448">
        <f>SUMIF(MAG!$G$155:$J$155,AS$112,MAG!$R11:$U11)</f>
        <v>0</v>
      </c>
      <c r="AT238" s="449">
        <f>MAG!AG11</f>
        <v>0</v>
      </c>
      <c r="AU238" s="445">
        <f>MAG!AH11</f>
        <v>0</v>
      </c>
      <c r="AV238" s="446">
        <f>MAG!AI11</f>
        <v>0</v>
      </c>
      <c r="AW238" s="447">
        <f>MAG!AJ11</f>
        <v>0</v>
      </c>
      <c r="AX238" s="448">
        <f>MAG!AK11</f>
        <v>0</v>
      </c>
      <c r="AY238" s="445">
        <f>SUMIF(MAG!$G$152:$J$152,"&gt;0",MAG!$W11:$Z11)</f>
        <v>0</v>
      </c>
      <c r="AZ238" s="1063">
        <f>SUM(MAG!AB11:AE11)</f>
        <v>0</v>
      </c>
      <c r="BA238" s="445">
        <f>SUMIF(MAG!$G$159:$J$159,BA$111,MAG!$R11:$U11)+SUMIF(MAG!$G$159:$J$159,BA$111,MAG!$W11:$Z11)</f>
        <v>0</v>
      </c>
      <c r="BB238" s="446">
        <f>SUMIF(MAG!$G$159:$J$159,BB$111,MAG!$R11:$U11)+SUMIF(MAG!$G$159:$J$159,BB$111,MAG!$W11:$Z11)</f>
        <v>0</v>
      </c>
      <c r="BC238" s="446">
        <f>SUMIF(MAG!$G$159:$J$159,BC$111,MAG!$R11:$U11)+SUMIF(MAG!$G$159:$J$159,BC$111,MAG!$W11:$Z11)</f>
        <v>0</v>
      </c>
      <c r="BD238" s="446">
        <f>SUMIF(MAG!$G$159:$J$159,BD$111,MAG!$R11:$U11)+SUMIF(MAG!$G$159:$J$159,BD$111,MAG!$W11:$Z11)</f>
        <v>0</v>
      </c>
      <c r="BE238" s="446">
        <f>SUMIF(MAG!$G$159:$J$159,BE$111,MAG!$R11:$U11)+SUMIF(MAG!$G$159:$J$159,BE$111,MAG!$W11:$Z11)</f>
        <v>0</v>
      </c>
      <c r="BF238" s="446">
        <f>SUMIF(MAG!$G$159:$J$159,BF$111,MAG!$R11:$U11)+SUMIF(MAG!$G$159:$J$159,BF$111,MAG!$W11:$Z11)</f>
        <v>0</v>
      </c>
      <c r="BG238" s="448">
        <f>SUMIF(MAG!$G$159:$J$159,BG$111,MAG!$R11:$U11)+SUMIF(MAG!$G$159:$J$159,BG$111,MAG!$W11:$Z11)</f>
        <v>0</v>
      </c>
      <c r="BH238" s="571"/>
      <c r="BI238" s="448"/>
      <c r="BJ238" s="470"/>
      <c r="BK238" s="445">
        <f>SUMIF(MAG!$G$157:$J$157,BK$111,MAG!$R11:$U11)+SUMIF(MAG!$G$157:$J$157,BK$111,MAG!$W11:$Z11)</f>
        <v>0</v>
      </c>
      <c r="BL238" s="446">
        <f>SUMIF(MAG!$G$157:$J$157,BL$111,MAG!$R11:$U11)+SUMIF(MAG!$G$157:$J$157,BL$111,MAG!$W11:$Z11)</f>
        <v>0</v>
      </c>
      <c r="BM238" s="446">
        <f>SUMIF(MAG!$G$157:$J$157,BM$111,MAG!$R11:$U11)+SUMIF(MAG!$G$157:$J$157,BM$111,MAG!$W11:$Z11)</f>
        <v>0</v>
      </c>
      <c r="BN238" s="446">
        <f>SUMIF(MAG!$G$157:$J$157,BN$111,MAG!$R11:$U11)+SUMIF(MAG!$G$157:$J$157,BN$111,MAG!$W11:$Z11)</f>
        <v>0</v>
      </c>
      <c r="BO238" s="446">
        <f>SUMIF(MAG!$G$157:$J$157,BO$111,MAG!$R11:$U11)+SUMIF(MAG!$G$157:$J$157,BO$111,MAG!$W11:$Z11)</f>
        <v>0</v>
      </c>
      <c r="BP238" s="446">
        <f>SUMIF(MAG!$G$157:$J$157,BP$111,MAG!$R11:$U11)+SUMIF(MAG!$G$157:$J$157,BP$111,MAG!$W11:$Z11)</f>
        <v>0</v>
      </c>
      <c r="BQ238" s="448">
        <f>SUMIF(MAG!$G$157:$J$157,BQ$111,MAG!$R11:$U11)+SUMIF(MAG!$G$157:$J$157,BQ$111,MAG!$W11:$Z11)</f>
        <v>0</v>
      </c>
      <c r="BR238" s="571"/>
      <c r="BS238" s="446"/>
      <c r="BT238" s="448"/>
      <c r="BU238" s="470"/>
      <c r="BV238" s="445">
        <f>SUMIF(MAG!$G$158:$J$158,BV$111,MAG!$R11:$U11)+SUMIF(MAG!$G$158:$J$158,BV$111,MAG!$W11:$Z11)</f>
        <v>0</v>
      </c>
      <c r="BW238" s="446">
        <f>SUMIF(MAG!$G$158:$J$158,BW$111,MAG!$R11:$U11)+SUMIF(MAG!$G$158:$J$158,BW$111,MAG!$W11:$Z11)</f>
        <v>0</v>
      </c>
      <c r="BX238" s="446">
        <f>SUMIF(MAG!$G$158:$J$158,BX$111,MAG!$R11:$U11)+SUMIF(MAG!$G$158:$J$158,BX$111,MAG!$W11:$Z11)</f>
        <v>0</v>
      </c>
      <c r="BY238" s="446">
        <f>SUMIF(MAG!$G$158:$J$158,BY$111,MAG!$R11:$U11)+SUMIF(MAG!$G$158:$J$158,BY$111,MAG!$W11:$Z11)</f>
        <v>0</v>
      </c>
      <c r="BZ238" s="446">
        <f>SUMIF(MAG!$G$158:$J$158,BZ$111,MAG!$R11:$U11)+SUMIF(MAG!$G$158:$J$158,BZ$111,MAG!$W11:$Z11)</f>
        <v>0</v>
      </c>
      <c r="CA238" s="446">
        <f>SUMIF(MAG!$G$158:$J$158,CA$111,MAG!$R11:$U11)+SUMIF(MAG!$G$158:$J$158,CA$111,MAG!$W11:$Z11)</f>
        <v>0</v>
      </c>
      <c r="CB238" s="448">
        <f>SUMIF(MAG!$G$158:$J$158,CB$111,MAG!$R11:$U11)+SUMIF(MAG!$G$158:$J$158,CB$111,MAG!$W11:$Z11)</f>
        <v>0</v>
      </c>
      <c r="CC238" s="571"/>
      <c r="CD238" s="448"/>
      <c r="CE238" s="92">
        <f t="shared" si="243"/>
        <v>0</v>
      </c>
      <c r="CF238" s="92">
        <f t="shared" si="244"/>
        <v>0</v>
      </c>
      <c r="CG238" s="151" t="str">
        <f t="shared" ref="CG238:CG301" si="248">IF(AL238="Y",E238,"")</f>
        <v/>
      </c>
      <c r="CH238" s="92">
        <f t="shared" si="233"/>
        <v>0</v>
      </c>
      <c r="CI238" s="92" t="str">
        <f t="shared" si="245"/>
        <v/>
      </c>
      <c r="CJ238" s="1100">
        <f>MAG!AM11</f>
        <v>0</v>
      </c>
      <c r="CK238" s="445">
        <f>SUMIF(MAG!$G$155:$J$155,CK$112,MAG!$AN11:$AQ11)</f>
        <v>0</v>
      </c>
      <c r="CL238" s="446">
        <f>SUMIF(MAG!$G$155:$J$155,CL$112,MAG!$AN11:$AQ11)</f>
        <v>0</v>
      </c>
      <c r="CM238" s="447">
        <f>SUMIF(MAG!$G$155:$J$155,CM$112,MAG!$AN11:$AQ11)</f>
        <v>0</v>
      </c>
      <c r="CN238" s="448">
        <f>SUMIF(MAG!$G$155:$J$155,CN$112,MAG!$AN11:$AQ11)</f>
        <v>0</v>
      </c>
      <c r="CO238" s="1100">
        <f>MAG!AS11</f>
        <v>0</v>
      </c>
      <c r="CP238" s="445">
        <f>MAG!AT11</f>
        <v>0</v>
      </c>
      <c r="CQ238" s="446">
        <f>MAG!AU11</f>
        <v>0</v>
      </c>
      <c r="CR238" s="447">
        <f>MAG!AV11</f>
        <v>0</v>
      </c>
      <c r="CS238" s="448">
        <f>MAG!AW11</f>
        <v>0</v>
      </c>
      <c r="CT238" s="1100">
        <f>MAG!AY11</f>
        <v>0</v>
      </c>
      <c r="CU238" s="2"/>
    </row>
    <row r="239" spans="1:99" ht="14.25" hidden="1" customHeight="1" x14ac:dyDescent="0.2">
      <c r="A239" s="2"/>
      <c r="B239" s="151">
        <f t="shared" si="234"/>
        <v>45417</v>
      </c>
      <c r="C239" s="223">
        <f>IF(AND(E239&gt;(E$495-1),E239&lt;(I$495+1)),W$485,IF(ISERROR(HLOOKUP(E239,$E$488:$L$488,1,FALSE)),HLOOKUP(WEEKDAY(E239,2),IMPOSTAZIONI!$C$51:$P$56,6,FALSE),$W$484))</f>
        <v>0</v>
      </c>
      <c r="D239" s="103" t="str">
        <f t="shared" si="235"/>
        <v/>
      </c>
      <c r="E239" s="2380">
        <f t="shared" si="246"/>
        <v>45417</v>
      </c>
      <c r="F239" s="2381"/>
      <c r="G239" s="2325" t="str">
        <f>MAG!E12</f>
        <v xml:space="preserve">attiva trim.  </v>
      </c>
      <c r="H239" s="2326"/>
      <c r="I239" s="2327"/>
      <c r="J239" s="479" t="str">
        <f t="shared" si="231"/>
        <v/>
      </c>
      <c r="K239" s="480"/>
      <c r="L239" s="2321">
        <f t="shared" si="247"/>
        <v>18</v>
      </c>
      <c r="M239" s="2322"/>
      <c r="N239" s="478"/>
      <c r="O239" s="478"/>
      <c r="P239" s="478"/>
      <c r="Q239" s="2315">
        <f t="shared" si="236"/>
        <v>45417</v>
      </c>
      <c r="R239" s="2315"/>
      <c r="S239" s="478"/>
      <c r="T239" s="140">
        <f t="shared" si="237"/>
        <v>1</v>
      </c>
      <c r="U239" s="478"/>
      <c r="V239" s="478"/>
      <c r="W239" s="478"/>
      <c r="X239" s="478"/>
      <c r="Y239" s="478"/>
      <c r="Z239" s="478"/>
      <c r="AA239" s="478"/>
      <c r="AB239" s="478"/>
      <c r="AC239" s="478"/>
      <c r="AD239" s="478"/>
      <c r="AE239" s="478"/>
      <c r="AF239" s="478"/>
      <c r="AG239" s="140">
        <f t="shared" si="238"/>
        <v>0</v>
      </c>
      <c r="AH239" s="92" t="str">
        <f t="shared" si="239"/>
        <v/>
      </c>
      <c r="AI239" s="131">
        <f t="shared" si="240"/>
        <v>0</v>
      </c>
      <c r="AJ239" s="2"/>
      <c r="AK239" s="92">
        <f>IF(G239=G$481,0,IF(OR(G239&lt;&gt;0,CJ239&lt;&gt;0,C239="L"),COUNTIF(AK$114:AK238,"&gt;0")+1,0))</f>
        <v>0</v>
      </c>
      <c r="AL239" s="92" t="str">
        <f t="shared" si="241"/>
        <v/>
      </c>
      <c r="AM239" s="92" t="str">
        <f t="shared" si="242"/>
        <v/>
      </c>
      <c r="AN239" s="131">
        <f t="shared" si="232"/>
        <v>0</v>
      </c>
      <c r="AO239" s="447">
        <f>SUM(MAG!W12:Z12)</f>
        <v>0</v>
      </c>
      <c r="AP239" s="445">
        <f>SUMIF(MAG!$G$155:$J$155,AP$112,MAG!$R12:$U12)</f>
        <v>0</v>
      </c>
      <c r="AQ239" s="446">
        <f>SUMIF(MAG!$G$155:$J$155,AQ$112,MAG!$R12:$U12)</f>
        <v>0</v>
      </c>
      <c r="AR239" s="447">
        <f>SUMIF(MAG!$G$155:$J$155,AR$112,MAG!$R12:$U12)</f>
        <v>0</v>
      </c>
      <c r="AS239" s="448">
        <f>SUMIF(MAG!$G$155:$J$155,AS$112,MAG!$R12:$U12)</f>
        <v>0</v>
      </c>
      <c r="AT239" s="449">
        <f>MAG!AG12</f>
        <v>0</v>
      </c>
      <c r="AU239" s="445">
        <f>MAG!AH12</f>
        <v>0</v>
      </c>
      <c r="AV239" s="446">
        <f>MAG!AI12</f>
        <v>0</v>
      </c>
      <c r="AW239" s="447">
        <f>MAG!AJ12</f>
        <v>0</v>
      </c>
      <c r="AX239" s="448">
        <f>MAG!AK12</f>
        <v>0</v>
      </c>
      <c r="AY239" s="445">
        <f>SUMIF(MAG!$G$152:$J$152,"&gt;0",MAG!$W12:$Z12)</f>
        <v>0</v>
      </c>
      <c r="AZ239" s="1063">
        <f>SUM(MAG!AB12:AE12)</f>
        <v>0</v>
      </c>
      <c r="BA239" s="445">
        <f>SUMIF(MAG!$G$159:$J$159,BA$111,MAG!$R12:$U12)+SUMIF(MAG!$G$159:$J$159,BA$111,MAG!$W12:$Z12)</f>
        <v>0</v>
      </c>
      <c r="BB239" s="446">
        <f>SUMIF(MAG!$G$159:$J$159,BB$111,MAG!$R12:$U12)+SUMIF(MAG!$G$159:$J$159,BB$111,MAG!$W12:$Z12)</f>
        <v>0</v>
      </c>
      <c r="BC239" s="446">
        <f>SUMIF(MAG!$G$159:$J$159,BC$111,MAG!$R12:$U12)+SUMIF(MAG!$G$159:$J$159,BC$111,MAG!$W12:$Z12)</f>
        <v>0</v>
      </c>
      <c r="BD239" s="446">
        <f>SUMIF(MAG!$G$159:$J$159,BD$111,MAG!$R12:$U12)+SUMIF(MAG!$G$159:$J$159,BD$111,MAG!$W12:$Z12)</f>
        <v>0</v>
      </c>
      <c r="BE239" s="446">
        <f>SUMIF(MAG!$G$159:$J$159,BE$111,MAG!$R12:$U12)+SUMIF(MAG!$G$159:$J$159,BE$111,MAG!$W12:$Z12)</f>
        <v>0</v>
      </c>
      <c r="BF239" s="446">
        <f>SUMIF(MAG!$G$159:$J$159,BF$111,MAG!$R12:$U12)+SUMIF(MAG!$G$159:$J$159,BF$111,MAG!$W12:$Z12)</f>
        <v>0</v>
      </c>
      <c r="BG239" s="448">
        <f>SUMIF(MAG!$G$159:$J$159,BG$111,MAG!$R12:$U12)+SUMIF(MAG!$G$159:$J$159,BG$111,MAG!$W12:$Z12)</f>
        <v>0</v>
      </c>
      <c r="BH239" s="571"/>
      <c r="BI239" s="448"/>
      <c r="BJ239" s="470"/>
      <c r="BK239" s="445">
        <f>SUMIF(MAG!$G$157:$J$157,BK$111,MAG!$R12:$U12)+SUMIF(MAG!$G$157:$J$157,BK$111,MAG!$W12:$Z12)</f>
        <v>0</v>
      </c>
      <c r="BL239" s="446">
        <f>SUMIF(MAG!$G$157:$J$157,BL$111,MAG!$R12:$U12)+SUMIF(MAG!$G$157:$J$157,BL$111,MAG!$W12:$Z12)</f>
        <v>0</v>
      </c>
      <c r="BM239" s="446">
        <f>SUMIF(MAG!$G$157:$J$157,BM$111,MAG!$R12:$U12)+SUMIF(MAG!$G$157:$J$157,BM$111,MAG!$W12:$Z12)</f>
        <v>0</v>
      </c>
      <c r="BN239" s="446">
        <f>SUMIF(MAG!$G$157:$J$157,BN$111,MAG!$R12:$U12)+SUMIF(MAG!$G$157:$J$157,BN$111,MAG!$W12:$Z12)</f>
        <v>0</v>
      </c>
      <c r="BO239" s="446">
        <f>SUMIF(MAG!$G$157:$J$157,BO$111,MAG!$R12:$U12)+SUMIF(MAG!$G$157:$J$157,BO$111,MAG!$W12:$Z12)</f>
        <v>0</v>
      </c>
      <c r="BP239" s="446">
        <f>SUMIF(MAG!$G$157:$J$157,BP$111,MAG!$R12:$U12)+SUMIF(MAG!$G$157:$J$157,BP$111,MAG!$W12:$Z12)</f>
        <v>0</v>
      </c>
      <c r="BQ239" s="448">
        <f>SUMIF(MAG!$G$157:$J$157,BQ$111,MAG!$R12:$U12)+SUMIF(MAG!$G$157:$J$157,BQ$111,MAG!$W12:$Z12)</f>
        <v>0</v>
      </c>
      <c r="BR239" s="571"/>
      <c r="BS239" s="446"/>
      <c r="BT239" s="448"/>
      <c r="BU239" s="470"/>
      <c r="BV239" s="445">
        <f>SUMIF(MAG!$G$158:$J$158,BV$111,MAG!$R12:$U12)+SUMIF(MAG!$G$158:$J$158,BV$111,MAG!$W12:$Z12)</f>
        <v>0</v>
      </c>
      <c r="BW239" s="446">
        <f>SUMIF(MAG!$G$158:$J$158,BW$111,MAG!$R12:$U12)+SUMIF(MAG!$G$158:$J$158,BW$111,MAG!$W12:$Z12)</f>
        <v>0</v>
      </c>
      <c r="BX239" s="446">
        <f>SUMIF(MAG!$G$158:$J$158,BX$111,MAG!$R12:$U12)+SUMIF(MAG!$G$158:$J$158,BX$111,MAG!$W12:$Z12)</f>
        <v>0</v>
      </c>
      <c r="BY239" s="446">
        <f>SUMIF(MAG!$G$158:$J$158,BY$111,MAG!$R12:$U12)+SUMIF(MAG!$G$158:$J$158,BY$111,MAG!$W12:$Z12)</f>
        <v>0</v>
      </c>
      <c r="BZ239" s="446">
        <f>SUMIF(MAG!$G$158:$J$158,BZ$111,MAG!$R12:$U12)+SUMIF(MAG!$G$158:$J$158,BZ$111,MAG!$W12:$Z12)</f>
        <v>0</v>
      </c>
      <c r="CA239" s="446">
        <f>SUMIF(MAG!$G$158:$J$158,CA$111,MAG!$R12:$U12)+SUMIF(MAG!$G$158:$J$158,CA$111,MAG!$W12:$Z12)</f>
        <v>0</v>
      </c>
      <c r="CB239" s="448">
        <f>SUMIF(MAG!$G$158:$J$158,CB$111,MAG!$R12:$U12)+SUMIF(MAG!$G$158:$J$158,CB$111,MAG!$W12:$Z12)</f>
        <v>0</v>
      </c>
      <c r="CC239" s="571"/>
      <c r="CD239" s="448"/>
      <c r="CE239" s="92">
        <f t="shared" si="243"/>
        <v>0</v>
      </c>
      <c r="CF239" s="92">
        <f t="shared" si="244"/>
        <v>0</v>
      </c>
      <c r="CG239" s="151" t="str">
        <f t="shared" si="248"/>
        <v/>
      </c>
      <c r="CH239" s="92">
        <f t="shared" si="233"/>
        <v>0</v>
      </c>
      <c r="CI239" s="92" t="str">
        <f t="shared" si="245"/>
        <v/>
      </c>
      <c r="CJ239" s="1100">
        <f>MAG!AM12</f>
        <v>0</v>
      </c>
      <c r="CK239" s="445">
        <f>SUMIF(MAG!$G$155:$J$155,CK$112,MAG!$AN12:$AQ12)</f>
        <v>0</v>
      </c>
      <c r="CL239" s="446">
        <f>SUMIF(MAG!$G$155:$J$155,CL$112,MAG!$AN12:$AQ12)</f>
        <v>0</v>
      </c>
      <c r="CM239" s="447">
        <f>SUMIF(MAG!$G$155:$J$155,CM$112,MAG!$AN12:$AQ12)</f>
        <v>0</v>
      </c>
      <c r="CN239" s="448">
        <f>SUMIF(MAG!$G$155:$J$155,CN$112,MAG!$AN12:$AQ12)</f>
        <v>0</v>
      </c>
      <c r="CO239" s="1100">
        <f>MAG!AS12</f>
        <v>0</v>
      </c>
      <c r="CP239" s="445">
        <f>MAG!AT12</f>
        <v>0</v>
      </c>
      <c r="CQ239" s="446">
        <f>MAG!AU12</f>
        <v>0</v>
      </c>
      <c r="CR239" s="447">
        <f>MAG!AV12</f>
        <v>0</v>
      </c>
      <c r="CS239" s="448">
        <f>MAG!AW12</f>
        <v>0</v>
      </c>
      <c r="CT239" s="1100">
        <f>MAG!AY12</f>
        <v>0</v>
      </c>
      <c r="CU239" s="2"/>
    </row>
    <row r="240" spans="1:99" ht="14.25" hidden="1" customHeight="1" x14ac:dyDescent="0.2">
      <c r="A240" s="2"/>
      <c r="B240" s="151">
        <f t="shared" si="234"/>
        <v>45418</v>
      </c>
      <c r="C240" s="223">
        <f>IF(AND(E240&gt;(E$495-1),E240&lt;(I$495+1)),W$485,IF(ISERROR(HLOOKUP(E240,$E$488:$L$488,1,FALSE)),HLOOKUP(WEEKDAY(E240,2),IMPOSTAZIONI!$C$51:$P$56,6,FALSE),$W$484))</f>
        <v>0</v>
      </c>
      <c r="D240" s="103" t="str">
        <f t="shared" si="235"/>
        <v/>
      </c>
      <c r="E240" s="2380">
        <f t="shared" si="246"/>
        <v>45418</v>
      </c>
      <c r="F240" s="2381"/>
      <c r="G240" s="2325" t="str">
        <f>MAG!E13</f>
        <v xml:space="preserve">attiva trim.  </v>
      </c>
      <c r="H240" s="2326"/>
      <c r="I240" s="2327"/>
      <c r="J240" s="479" t="str">
        <f t="shared" si="231"/>
        <v/>
      </c>
      <c r="K240" s="480"/>
      <c r="L240" s="2323">
        <f t="shared" si="247"/>
        <v>19</v>
      </c>
      <c r="M240" s="2324"/>
      <c r="N240" s="478"/>
      <c r="O240" s="478"/>
      <c r="P240" s="478"/>
      <c r="Q240" s="2315">
        <f t="shared" si="236"/>
        <v>45418</v>
      </c>
      <c r="R240" s="2315"/>
      <c r="S240" s="478"/>
      <c r="T240" s="140">
        <f t="shared" si="237"/>
        <v>1</v>
      </c>
      <c r="U240" s="478"/>
      <c r="V240" s="478"/>
      <c r="W240" s="478"/>
      <c r="X240" s="478"/>
      <c r="Y240" s="478"/>
      <c r="Z240" s="478"/>
      <c r="AA240" s="478"/>
      <c r="AB240" s="478"/>
      <c r="AC240" s="478"/>
      <c r="AD240" s="478"/>
      <c r="AE240" s="478"/>
      <c r="AF240" s="478"/>
      <c r="AG240" s="140">
        <f t="shared" si="238"/>
        <v>0</v>
      </c>
      <c r="AH240" s="92" t="str">
        <f t="shared" si="239"/>
        <v/>
      </c>
      <c r="AI240" s="131">
        <f t="shared" si="240"/>
        <v>0</v>
      </c>
      <c r="AJ240" s="2"/>
      <c r="AK240" s="92">
        <f>IF(G240=G$481,0,IF(OR(G240&lt;&gt;0,CJ240&lt;&gt;0,C240="L"),COUNTIF(AK$114:AK239,"&gt;0")+1,0))</f>
        <v>0</v>
      </c>
      <c r="AL240" s="92" t="str">
        <f t="shared" si="241"/>
        <v/>
      </c>
      <c r="AM240" s="92" t="str">
        <f t="shared" si="242"/>
        <v/>
      </c>
      <c r="AN240" s="131">
        <f t="shared" si="232"/>
        <v>0</v>
      </c>
      <c r="AO240" s="447">
        <f>SUM(MAG!W13:Z13)</f>
        <v>0</v>
      </c>
      <c r="AP240" s="445">
        <f>SUMIF(MAG!$G$155:$J$155,AP$112,MAG!$R13:$U13)</f>
        <v>0</v>
      </c>
      <c r="AQ240" s="446">
        <f>SUMIF(MAG!$G$155:$J$155,AQ$112,MAG!$R13:$U13)</f>
        <v>0</v>
      </c>
      <c r="AR240" s="447">
        <f>SUMIF(MAG!$G$155:$J$155,AR$112,MAG!$R13:$U13)</f>
        <v>0</v>
      </c>
      <c r="AS240" s="448">
        <f>SUMIF(MAG!$G$155:$J$155,AS$112,MAG!$R13:$U13)</f>
        <v>0</v>
      </c>
      <c r="AT240" s="449">
        <f>MAG!AG13</f>
        <v>0</v>
      </c>
      <c r="AU240" s="445">
        <f>MAG!AH13</f>
        <v>0</v>
      </c>
      <c r="AV240" s="446">
        <f>MAG!AI13</f>
        <v>0</v>
      </c>
      <c r="AW240" s="447">
        <f>MAG!AJ13</f>
        <v>0</v>
      </c>
      <c r="AX240" s="448">
        <f>MAG!AK13</f>
        <v>0</v>
      </c>
      <c r="AY240" s="445">
        <f>SUMIF(MAG!$G$152:$J$152,"&gt;0",MAG!$W13:$Z13)</f>
        <v>0</v>
      </c>
      <c r="AZ240" s="1063">
        <f>SUM(MAG!AB13:AE13)</f>
        <v>0</v>
      </c>
      <c r="BA240" s="445">
        <f>SUMIF(MAG!$G$159:$J$159,BA$111,MAG!$R13:$U13)+SUMIF(MAG!$G$159:$J$159,BA$111,MAG!$W13:$Z13)</f>
        <v>0</v>
      </c>
      <c r="BB240" s="446">
        <f>SUMIF(MAG!$G$159:$J$159,BB$111,MAG!$R13:$U13)+SUMIF(MAG!$G$159:$J$159,BB$111,MAG!$W13:$Z13)</f>
        <v>0</v>
      </c>
      <c r="BC240" s="446">
        <f>SUMIF(MAG!$G$159:$J$159,BC$111,MAG!$R13:$U13)+SUMIF(MAG!$G$159:$J$159,BC$111,MAG!$W13:$Z13)</f>
        <v>0</v>
      </c>
      <c r="BD240" s="446">
        <f>SUMIF(MAG!$G$159:$J$159,BD$111,MAG!$R13:$U13)+SUMIF(MAG!$G$159:$J$159,BD$111,MAG!$W13:$Z13)</f>
        <v>0</v>
      </c>
      <c r="BE240" s="446">
        <f>SUMIF(MAG!$G$159:$J$159,BE$111,MAG!$R13:$U13)+SUMIF(MAG!$G$159:$J$159,BE$111,MAG!$W13:$Z13)</f>
        <v>0</v>
      </c>
      <c r="BF240" s="446">
        <f>SUMIF(MAG!$G$159:$J$159,BF$111,MAG!$R13:$U13)+SUMIF(MAG!$G$159:$J$159,BF$111,MAG!$W13:$Z13)</f>
        <v>0</v>
      </c>
      <c r="BG240" s="448">
        <f>SUMIF(MAG!$G$159:$J$159,BG$111,MAG!$R13:$U13)+SUMIF(MAG!$G$159:$J$159,BG$111,MAG!$W13:$Z13)</f>
        <v>0</v>
      </c>
      <c r="BH240" s="571"/>
      <c r="BI240" s="448"/>
      <c r="BJ240" s="470"/>
      <c r="BK240" s="445">
        <f>SUMIF(MAG!$G$157:$J$157,BK$111,MAG!$R13:$U13)+SUMIF(MAG!$G$157:$J$157,BK$111,MAG!$W13:$Z13)</f>
        <v>0</v>
      </c>
      <c r="BL240" s="446">
        <f>SUMIF(MAG!$G$157:$J$157,BL$111,MAG!$R13:$U13)+SUMIF(MAG!$G$157:$J$157,BL$111,MAG!$W13:$Z13)</f>
        <v>0</v>
      </c>
      <c r="BM240" s="446">
        <f>SUMIF(MAG!$G$157:$J$157,BM$111,MAG!$R13:$U13)+SUMIF(MAG!$G$157:$J$157,BM$111,MAG!$W13:$Z13)</f>
        <v>0</v>
      </c>
      <c r="BN240" s="446">
        <f>SUMIF(MAG!$G$157:$J$157,BN$111,MAG!$R13:$U13)+SUMIF(MAG!$G$157:$J$157,BN$111,MAG!$W13:$Z13)</f>
        <v>0</v>
      </c>
      <c r="BO240" s="446">
        <f>SUMIF(MAG!$G$157:$J$157,BO$111,MAG!$R13:$U13)+SUMIF(MAG!$G$157:$J$157,BO$111,MAG!$W13:$Z13)</f>
        <v>0</v>
      </c>
      <c r="BP240" s="446">
        <f>SUMIF(MAG!$G$157:$J$157,BP$111,MAG!$R13:$U13)+SUMIF(MAG!$G$157:$J$157,BP$111,MAG!$W13:$Z13)</f>
        <v>0</v>
      </c>
      <c r="BQ240" s="448">
        <f>SUMIF(MAG!$G$157:$J$157,BQ$111,MAG!$R13:$U13)+SUMIF(MAG!$G$157:$J$157,BQ$111,MAG!$W13:$Z13)</f>
        <v>0</v>
      </c>
      <c r="BR240" s="571"/>
      <c r="BS240" s="446"/>
      <c r="BT240" s="448"/>
      <c r="BU240" s="470"/>
      <c r="BV240" s="445">
        <f>SUMIF(MAG!$G$158:$J$158,BV$111,MAG!$R13:$U13)+SUMIF(MAG!$G$158:$J$158,BV$111,MAG!$W13:$Z13)</f>
        <v>0</v>
      </c>
      <c r="BW240" s="446">
        <f>SUMIF(MAG!$G$158:$J$158,BW$111,MAG!$R13:$U13)+SUMIF(MAG!$G$158:$J$158,BW$111,MAG!$W13:$Z13)</f>
        <v>0</v>
      </c>
      <c r="BX240" s="446">
        <f>SUMIF(MAG!$G$158:$J$158,BX$111,MAG!$R13:$U13)+SUMIF(MAG!$G$158:$J$158,BX$111,MAG!$W13:$Z13)</f>
        <v>0</v>
      </c>
      <c r="BY240" s="446">
        <f>SUMIF(MAG!$G$158:$J$158,BY$111,MAG!$R13:$U13)+SUMIF(MAG!$G$158:$J$158,BY$111,MAG!$W13:$Z13)</f>
        <v>0</v>
      </c>
      <c r="BZ240" s="446">
        <f>SUMIF(MAG!$G$158:$J$158,BZ$111,MAG!$R13:$U13)+SUMIF(MAG!$G$158:$J$158,BZ$111,MAG!$W13:$Z13)</f>
        <v>0</v>
      </c>
      <c r="CA240" s="446">
        <f>SUMIF(MAG!$G$158:$J$158,CA$111,MAG!$R13:$U13)+SUMIF(MAG!$G$158:$J$158,CA$111,MAG!$W13:$Z13)</f>
        <v>0</v>
      </c>
      <c r="CB240" s="448">
        <f>SUMIF(MAG!$G$158:$J$158,CB$111,MAG!$R13:$U13)+SUMIF(MAG!$G$158:$J$158,CB$111,MAG!$W13:$Z13)</f>
        <v>0</v>
      </c>
      <c r="CC240" s="571"/>
      <c r="CD240" s="448"/>
      <c r="CE240" s="92">
        <f t="shared" si="243"/>
        <v>0</v>
      </c>
      <c r="CF240" s="92">
        <f t="shared" si="244"/>
        <v>0</v>
      </c>
      <c r="CG240" s="151" t="str">
        <f t="shared" si="248"/>
        <v/>
      </c>
      <c r="CH240" s="92">
        <f t="shared" si="233"/>
        <v>0</v>
      </c>
      <c r="CI240" s="92" t="str">
        <f t="shared" si="245"/>
        <v/>
      </c>
      <c r="CJ240" s="1100">
        <f>MAG!AM13</f>
        <v>0</v>
      </c>
      <c r="CK240" s="445">
        <f>SUMIF(MAG!$G$155:$J$155,CK$112,MAG!$AN13:$AQ13)</f>
        <v>0</v>
      </c>
      <c r="CL240" s="446">
        <f>SUMIF(MAG!$G$155:$J$155,CL$112,MAG!$AN13:$AQ13)</f>
        <v>0</v>
      </c>
      <c r="CM240" s="447">
        <f>SUMIF(MAG!$G$155:$J$155,CM$112,MAG!$AN13:$AQ13)</f>
        <v>0</v>
      </c>
      <c r="CN240" s="448">
        <f>SUMIF(MAG!$G$155:$J$155,CN$112,MAG!$AN13:$AQ13)</f>
        <v>0</v>
      </c>
      <c r="CO240" s="1100">
        <f>MAG!AS13</f>
        <v>0</v>
      </c>
      <c r="CP240" s="445">
        <f>MAG!AT13</f>
        <v>0</v>
      </c>
      <c r="CQ240" s="446">
        <f>MAG!AU13</f>
        <v>0</v>
      </c>
      <c r="CR240" s="447">
        <f>MAG!AV13</f>
        <v>0</v>
      </c>
      <c r="CS240" s="448">
        <f>MAG!AW13</f>
        <v>0</v>
      </c>
      <c r="CT240" s="1100">
        <f>MAG!AY13</f>
        <v>0</v>
      </c>
      <c r="CU240" s="2"/>
    </row>
    <row r="241" spans="1:99" ht="14.25" hidden="1" customHeight="1" x14ac:dyDescent="0.2">
      <c r="A241" s="2"/>
      <c r="B241" s="151">
        <f t="shared" si="234"/>
        <v>45419</v>
      </c>
      <c r="C241" s="223">
        <f>IF(AND(E241&gt;(E$495-1),E241&lt;(I$495+1)),W$485,IF(ISERROR(HLOOKUP(E241,$E$488:$L$488,1,FALSE)),HLOOKUP(WEEKDAY(E241,2),IMPOSTAZIONI!$C$51:$P$56,6,FALSE),$W$484))</f>
        <v>0</v>
      </c>
      <c r="D241" s="103" t="str">
        <f t="shared" si="235"/>
        <v/>
      </c>
      <c r="E241" s="2380">
        <f t="shared" si="246"/>
        <v>45419</v>
      </c>
      <c r="F241" s="2381"/>
      <c r="G241" s="2325" t="str">
        <f>MAG!E14</f>
        <v xml:space="preserve">attiva trim.  </v>
      </c>
      <c r="H241" s="2326"/>
      <c r="I241" s="2327"/>
      <c r="J241" s="479" t="str">
        <f t="shared" si="231"/>
        <v/>
      </c>
      <c r="K241" s="480"/>
      <c r="L241" s="2319">
        <f t="shared" si="247"/>
        <v>19</v>
      </c>
      <c r="M241" s="2320"/>
      <c r="N241" s="478"/>
      <c r="O241" s="478"/>
      <c r="P241" s="478"/>
      <c r="Q241" s="2315">
        <f t="shared" si="236"/>
        <v>45419</v>
      </c>
      <c r="R241" s="2315"/>
      <c r="S241" s="478"/>
      <c r="T241" s="140">
        <f t="shared" si="237"/>
        <v>1</v>
      </c>
      <c r="U241" s="478"/>
      <c r="V241" s="478"/>
      <c r="W241" s="478"/>
      <c r="X241" s="478"/>
      <c r="Y241" s="478"/>
      <c r="Z241" s="478"/>
      <c r="AA241" s="478"/>
      <c r="AB241" s="478"/>
      <c r="AC241" s="478"/>
      <c r="AD241" s="478"/>
      <c r="AE241" s="478"/>
      <c r="AF241" s="478"/>
      <c r="AG241" s="140">
        <f t="shared" si="238"/>
        <v>0</v>
      </c>
      <c r="AH241" s="92" t="str">
        <f t="shared" si="239"/>
        <v/>
      </c>
      <c r="AI241" s="131">
        <f t="shared" si="240"/>
        <v>0</v>
      </c>
      <c r="AJ241" s="2"/>
      <c r="AK241" s="92">
        <f>IF(G241=G$481,0,IF(OR(G241&lt;&gt;0,CJ241&lt;&gt;0,C241="L"),COUNTIF(AK$114:AK240,"&gt;0")+1,0))</f>
        <v>0</v>
      </c>
      <c r="AL241" s="92" t="str">
        <f t="shared" si="241"/>
        <v/>
      </c>
      <c r="AM241" s="92" t="str">
        <f t="shared" si="242"/>
        <v/>
      </c>
      <c r="AN241" s="131">
        <f t="shared" si="232"/>
        <v>0</v>
      </c>
      <c r="AO241" s="447">
        <f>SUM(MAG!W14:Z14)</f>
        <v>0</v>
      </c>
      <c r="AP241" s="445">
        <f>SUMIF(MAG!$G$155:$J$155,AP$112,MAG!$R14:$U14)</f>
        <v>0</v>
      </c>
      <c r="AQ241" s="446">
        <f>SUMIF(MAG!$G$155:$J$155,AQ$112,MAG!$R14:$U14)</f>
        <v>0</v>
      </c>
      <c r="AR241" s="447">
        <f>SUMIF(MAG!$G$155:$J$155,AR$112,MAG!$R14:$U14)</f>
        <v>0</v>
      </c>
      <c r="AS241" s="448">
        <f>SUMIF(MAG!$G$155:$J$155,AS$112,MAG!$R14:$U14)</f>
        <v>0</v>
      </c>
      <c r="AT241" s="449">
        <f>MAG!AG14</f>
        <v>0</v>
      </c>
      <c r="AU241" s="445">
        <f>MAG!AH14</f>
        <v>0</v>
      </c>
      <c r="AV241" s="446">
        <f>MAG!AI14</f>
        <v>0</v>
      </c>
      <c r="AW241" s="447">
        <f>MAG!AJ14</f>
        <v>0</v>
      </c>
      <c r="AX241" s="448">
        <f>MAG!AK14</f>
        <v>0</v>
      </c>
      <c r="AY241" s="445">
        <f>SUMIF(MAG!$G$152:$J$152,"&gt;0",MAG!$W14:$Z14)</f>
        <v>0</v>
      </c>
      <c r="AZ241" s="1063">
        <f>SUM(MAG!AB14:AE14)</f>
        <v>0</v>
      </c>
      <c r="BA241" s="445">
        <f>SUMIF(MAG!$G$159:$J$159,BA$111,MAG!$R14:$U14)+SUMIF(MAG!$G$159:$J$159,BA$111,MAG!$W14:$Z14)</f>
        <v>0</v>
      </c>
      <c r="BB241" s="446">
        <f>SUMIF(MAG!$G$159:$J$159,BB$111,MAG!$R14:$U14)+SUMIF(MAG!$G$159:$J$159,BB$111,MAG!$W14:$Z14)</f>
        <v>0</v>
      </c>
      <c r="BC241" s="446">
        <f>SUMIF(MAG!$G$159:$J$159,BC$111,MAG!$R14:$U14)+SUMIF(MAG!$G$159:$J$159,BC$111,MAG!$W14:$Z14)</f>
        <v>0</v>
      </c>
      <c r="BD241" s="446">
        <f>SUMIF(MAG!$G$159:$J$159,BD$111,MAG!$R14:$U14)+SUMIF(MAG!$G$159:$J$159,BD$111,MAG!$W14:$Z14)</f>
        <v>0</v>
      </c>
      <c r="BE241" s="446">
        <f>SUMIF(MAG!$G$159:$J$159,BE$111,MAG!$R14:$U14)+SUMIF(MAG!$G$159:$J$159,BE$111,MAG!$W14:$Z14)</f>
        <v>0</v>
      </c>
      <c r="BF241" s="446">
        <f>SUMIF(MAG!$G$159:$J$159,BF$111,MAG!$R14:$U14)+SUMIF(MAG!$G$159:$J$159,BF$111,MAG!$W14:$Z14)</f>
        <v>0</v>
      </c>
      <c r="BG241" s="448">
        <f>SUMIF(MAG!$G$159:$J$159,BG$111,MAG!$R14:$U14)+SUMIF(MAG!$G$159:$J$159,BG$111,MAG!$W14:$Z14)</f>
        <v>0</v>
      </c>
      <c r="BH241" s="571"/>
      <c r="BI241" s="448"/>
      <c r="BJ241" s="470"/>
      <c r="BK241" s="445">
        <f>SUMIF(MAG!$G$157:$J$157,BK$111,MAG!$R14:$U14)+SUMIF(MAG!$G$157:$J$157,BK$111,MAG!$W14:$Z14)</f>
        <v>0</v>
      </c>
      <c r="BL241" s="446">
        <f>SUMIF(MAG!$G$157:$J$157,BL$111,MAG!$R14:$U14)+SUMIF(MAG!$G$157:$J$157,BL$111,MAG!$W14:$Z14)</f>
        <v>0</v>
      </c>
      <c r="BM241" s="446">
        <f>SUMIF(MAG!$G$157:$J$157,BM$111,MAG!$R14:$U14)+SUMIF(MAG!$G$157:$J$157,BM$111,MAG!$W14:$Z14)</f>
        <v>0</v>
      </c>
      <c r="BN241" s="446">
        <f>SUMIF(MAG!$G$157:$J$157,BN$111,MAG!$R14:$U14)+SUMIF(MAG!$G$157:$J$157,BN$111,MAG!$W14:$Z14)</f>
        <v>0</v>
      </c>
      <c r="BO241" s="446">
        <f>SUMIF(MAG!$G$157:$J$157,BO$111,MAG!$R14:$U14)+SUMIF(MAG!$G$157:$J$157,BO$111,MAG!$W14:$Z14)</f>
        <v>0</v>
      </c>
      <c r="BP241" s="446">
        <f>SUMIF(MAG!$G$157:$J$157,BP$111,MAG!$R14:$U14)+SUMIF(MAG!$G$157:$J$157,BP$111,MAG!$W14:$Z14)</f>
        <v>0</v>
      </c>
      <c r="BQ241" s="448">
        <f>SUMIF(MAG!$G$157:$J$157,BQ$111,MAG!$R14:$U14)+SUMIF(MAG!$G$157:$J$157,BQ$111,MAG!$W14:$Z14)</f>
        <v>0</v>
      </c>
      <c r="BR241" s="571"/>
      <c r="BS241" s="446"/>
      <c r="BT241" s="448"/>
      <c r="BU241" s="470"/>
      <c r="BV241" s="445">
        <f>SUMIF(MAG!$G$158:$J$158,BV$111,MAG!$R14:$U14)+SUMIF(MAG!$G$158:$J$158,BV$111,MAG!$W14:$Z14)</f>
        <v>0</v>
      </c>
      <c r="BW241" s="446">
        <f>SUMIF(MAG!$G$158:$J$158,BW$111,MAG!$R14:$U14)+SUMIF(MAG!$G$158:$J$158,BW$111,MAG!$W14:$Z14)</f>
        <v>0</v>
      </c>
      <c r="BX241" s="446">
        <f>SUMIF(MAG!$G$158:$J$158,BX$111,MAG!$R14:$U14)+SUMIF(MAG!$G$158:$J$158,BX$111,MAG!$W14:$Z14)</f>
        <v>0</v>
      </c>
      <c r="BY241" s="446">
        <f>SUMIF(MAG!$G$158:$J$158,BY$111,MAG!$R14:$U14)+SUMIF(MAG!$G$158:$J$158,BY$111,MAG!$W14:$Z14)</f>
        <v>0</v>
      </c>
      <c r="BZ241" s="446">
        <f>SUMIF(MAG!$G$158:$J$158,BZ$111,MAG!$R14:$U14)+SUMIF(MAG!$G$158:$J$158,BZ$111,MAG!$W14:$Z14)</f>
        <v>0</v>
      </c>
      <c r="CA241" s="446">
        <f>SUMIF(MAG!$G$158:$J$158,CA$111,MAG!$R14:$U14)+SUMIF(MAG!$G$158:$J$158,CA$111,MAG!$W14:$Z14)</f>
        <v>0</v>
      </c>
      <c r="CB241" s="448">
        <f>SUMIF(MAG!$G$158:$J$158,CB$111,MAG!$R14:$U14)+SUMIF(MAG!$G$158:$J$158,CB$111,MAG!$W14:$Z14)</f>
        <v>0</v>
      </c>
      <c r="CC241" s="571"/>
      <c r="CD241" s="448"/>
      <c r="CE241" s="92">
        <f t="shared" si="243"/>
        <v>0</v>
      </c>
      <c r="CF241" s="92">
        <f t="shared" si="244"/>
        <v>0</v>
      </c>
      <c r="CG241" s="151" t="str">
        <f t="shared" si="248"/>
        <v/>
      </c>
      <c r="CH241" s="92">
        <f t="shared" si="233"/>
        <v>0</v>
      </c>
      <c r="CI241" s="92" t="str">
        <f t="shared" si="245"/>
        <v/>
      </c>
      <c r="CJ241" s="1100">
        <f>MAG!AM14</f>
        <v>0</v>
      </c>
      <c r="CK241" s="445">
        <f>SUMIF(MAG!$G$155:$J$155,CK$112,MAG!$AN14:$AQ14)</f>
        <v>0</v>
      </c>
      <c r="CL241" s="446">
        <f>SUMIF(MAG!$G$155:$J$155,CL$112,MAG!$AN14:$AQ14)</f>
        <v>0</v>
      </c>
      <c r="CM241" s="447">
        <f>SUMIF(MAG!$G$155:$J$155,CM$112,MAG!$AN14:$AQ14)</f>
        <v>0</v>
      </c>
      <c r="CN241" s="448">
        <f>SUMIF(MAG!$G$155:$J$155,CN$112,MAG!$AN14:$AQ14)</f>
        <v>0</v>
      </c>
      <c r="CO241" s="1100">
        <f>MAG!AS14</f>
        <v>0</v>
      </c>
      <c r="CP241" s="445">
        <f>MAG!AT14</f>
        <v>0</v>
      </c>
      <c r="CQ241" s="446">
        <f>MAG!AU14</f>
        <v>0</v>
      </c>
      <c r="CR241" s="447">
        <f>MAG!AV14</f>
        <v>0</v>
      </c>
      <c r="CS241" s="448">
        <f>MAG!AW14</f>
        <v>0</v>
      </c>
      <c r="CT241" s="1100">
        <f>MAG!AY14</f>
        <v>0</v>
      </c>
      <c r="CU241" s="2"/>
    </row>
    <row r="242" spans="1:99" ht="14.25" hidden="1" customHeight="1" x14ac:dyDescent="0.2">
      <c r="A242" s="2"/>
      <c r="B242" s="151">
        <f t="shared" si="234"/>
        <v>45420</v>
      </c>
      <c r="C242" s="223">
        <f>IF(AND(E242&gt;(E$495-1),E242&lt;(I$495+1)),W$485,IF(ISERROR(HLOOKUP(E242,$E$488:$L$488,1,FALSE)),HLOOKUP(WEEKDAY(E242,2),IMPOSTAZIONI!$C$51:$P$56,6,FALSE),$W$484))</f>
        <v>0</v>
      </c>
      <c r="D242" s="103" t="str">
        <f t="shared" si="235"/>
        <v/>
      </c>
      <c r="E242" s="2380">
        <f t="shared" si="246"/>
        <v>45420</v>
      </c>
      <c r="F242" s="2381"/>
      <c r="G242" s="2325" t="str">
        <f>MAG!E15</f>
        <v xml:space="preserve">attiva trim.  </v>
      </c>
      <c r="H242" s="2326"/>
      <c r="I242" s="2327"/>
      <c r="J242" s="479" t="str">
        <f t="shared" ref="J242:J305" si="249">IF(E242=T$5,"&gt;","")</f>
        <v/>
      </c>
      <c r="K242" s="480"/>
      <c r="L242" s="2319">
        <f t="shared" si="247"/>
        <v>19</v>
      </c>
      <c r="M242" s="2320"/>
      <c r="N242" s="478"/>
      <c r="O242" s="478"/>
      <c r="P242" s="478"/>
      <c r="Q242" s="2315">
        <f t="shared" si="236"/>
        <v>45420</v>
      </c>
      <c r="R242" s="2315"/>
      <c r="S242" s="478"/>
      <c r="T242" s="140">
        <f t="shared" si="237"/>
        <v>1</v>
      </c>
      <c r="U242" s="478"/>
      <c r="V242" s="478"/>
      <c r="W242" s="478"/>
      <c r="X242" s="478"/>
      <c r="Y242" s="478"/>
      <c r="Z242" s="478"/>
      <c r="AA242" s="478"/>
      <c r="AB242" s="478"/>
      <c r="AC242" s="478"/>
      <c r="AD242" s="478"/>
      <c r="AE242" s="478"/>
      <c r="AF242" s="478"/>
      <c r="AG242" s="140">
        <f t="shared" si="238"/>
        <v>0</v>
      </c>
      <c r="AH242" s="92" t="str">
        <f t="shared" si="239"/>
        <v/>
      </c>
      <c r="AI242" s="131">
        <f t="shared" si="240"/>
        <v>0</v>
      </c>
      <c r="AJ242" s="2"/>
      <c r="AK242" s="92">
        <f>IF(G242=G$481,0,IF(OR(G242&lt;&gt;0,CJ242&lt;&gt;0,C242="L"),COUNTIF(AK$114:AK241,"&gt;0")+1,0))</f>
        <v>0</v>
      </c>
      <c r="AL242" s="92" t="str">
        <f t="shared" si="241"/>
        <v/>
      </c>
      <c r="AM242" s="92" t="str">
        <f t="shared" si="242"/>
        <v/>
      </c>
      <c r="AN242" s="131">
        <f t="shared" ref="AN242:AN305" si="250">IF(AND(E242&gt;(AN$111-1),E242&lt;(AN$112+1)),C242,0)</f>
        <v>0</v>
      </c>
      <c r="AO242" s="447">
        <f>SUM(MAG!W15:Z15)</f>
        <v>0</v>
      </c>
      <c r="AP242" s="445">
        <f>SUMIF(MAG!$G$155:$J$155,AP$112,MAG!$R15:$U15)</f>
        <v>0</v>
      </c>
      <c r="AQ242" s="446">
        <f>SUMIF(MAG!$G$155:$J$155,AQ$112,MAG!$R15:$U15)</f>
        <v>0</v>
      </c>
      <c r="AR242" s="447">
        <f>SUMIF(MAG!$G$155:$J$155,AR$112,MAG!$R15:$U15)</f>
        <v>0</v>
      </c>
      <c r="AS242" s="448">
        <f>SUMIF(MAG!$G$155:$J$155,AS$112,MAG!$R15:$U15)</f>
        <v>0</v>
      </c>
      <c r="AT242" s="449">
        <f>MAG!AG15</f>
        <v>0</v>
      </c>
      <c r="AU242" s="445">
        <f>MAG!AH15</f>
        <v>0</v>
      </c>
      <c r="AV242" s="446">
        <f>MAG!AI15</f>
        <v>0</v>
      </c>
      <c r="AW242" s="447">
        <f>MAG!AJ15</f>
        <v>0</v>
      </c>
      <c r="AX242" s="448">
        <f>MAG!AK15</f>
        <v>0</v>
      </c>
      <c r="AY242" s="445">
        <f>SUMIF(MAG!$G$152:$J$152,"&gt;0",MAG!$W15:$Z15)</f>
        <v>0</v>
      </c>
      <c r="AZ242" s="1063">
        <f>SUM(MAG!AB15:AE15)</f>
        <v>0</v>
      </c>
      <c r="BA242" s="445">
        <f>SUMIF(MAG!$G$159:$J$159,BA$111,MAG!$R15:$U15)+SUMIF(MAG!$G$159:$J$159,BA$111,MAG!$W15:$Z15)</f>
        <v>0</v>
      </c>
      <c r="BB242" s="446">
        <f>SUMIF(MAG!$G$159:$J$159,BB$111,MAG!$R15:$U15)+SUMIF(MAG!$G$159:$J$159,BB$111,MAG!$W15:$Z15)</f>
        <v>0</v>
      </c>
      <c r="BC242" s="446">
        <f>SUMIF(MAG!$G$159:$J$159,BC$111,MAG!$R15:$U15)+SUMIF(MAG!$G$159:$J$159,BC$111,MAG!$W15:$Z15)</f>
        <v>0</v>
      </c>
      <c r="BD242" s="446">
        <f>SUMIF(MAG!$G$159:$J$159,BD$111,MAG!$R15:$U15)+SUMIF(MAG!$G$159:$J$159,BD$111,MAG!$W15:$Z15)</f>
        <v>0</v>
      </c>
      <c r="BE242" s="446">
        <f>SUMIF(MAG!$G$159:$J$159,BE$111,MAG!$R15:$U15)+SUMIF(MAG!$G$159:$J$159,BE$111,MAG!$W15:$Z15)</f>
        <v>0</v>
      </c>
      <c r="BF242" s="446">
        <f>SUMIF(MAG!$G$159:$J$159,BF$111,MAG!$R15:$U15)+SUMIF(MAG!$G$159:$J$159,BF$111,MAG!$W15:$Z15)</f>
        <v>0</v>
      </c>
      <c r="BG242" s="448">
        <f>SUMIF(MAG!$G$159:$J$159,BG$111,MAG!$R15:$U15)+SUMIF(MAG!$G$159:$J$159,BG$111,MAG!$W15:$Z15)</f>
        <v>0</v>
      </c>
      <c r="BH242" s="571"/>
      <c r="BI242" s="448"/>
      <c r="BJ242" s="470"/>
      <c r="BK242" s="445">
        <f>SUMIF(MAG!$G$157:$J$157,BK$111,MAG!$R15:$U15)+SUMIF(MAG!$G$157:$J$157,BK$111,MAG!$W15:$Z15)</f>
        <v>0</v>
      </c>
      <c r="BL242" s="446">
        <f>SUMIF(MAG!$G$157:$J$157,BL$111,MAG!$R15:$U15)+SUMIF(MAG!$G$157:$J$157,BL$111,MAG!$W15:$Z15)</f>
        <v>0</v>
      </c>
      <c r="BM242" s="446">
        <f>SUMIF(MAG!$G$157:$J$157,BM$111,MAG!$R15:$U15)+SUMIF(MAG!$G$157:$J$157,BM$111,MAG!$W15:$Z15)</f>
        <v>0</v>
      </c>
      <c r="BN242" s="446">
        <f>SUMIF(MAG!$G$157:$J$157,BN$111,MAG!$R15:$U15)+SUMIF(MAG!$G$157:$J$157,BN$111,MAG!$W15:$Z15)</f>
        <v>0</v>
      </c>
      <c r="BO242" s="446">
        <f>SUMIF(MAG!$G$157:$J$157,BO$111,MAG!$R15:$U15)+SUMIF(MAG!$G$157:$J$157,BO$111,MAG!$W15:$Z15)</f>
        <v>0</v>
      </c>
      <c r="BP242" s="446">
        <f>SUMIF(MAG!$G$157:$J$157,BP$111,MAG!$R15:$U15)+SUMIF(MAG!$G$157:$J$157,BP$111,MAG!$W15:$Z15)</f>
        <v>0</v>
      </c>
      <c r="BQ242" s="448">
        <f>SUMIF(MAG!$G$157:$J$157,BQ$111,MAG!$R15:$U15)+SUMIF(MAG!$G$157:$J$157,BQ$111,MAG!$W15:$Z15)</f>
        <v>0</v>
      </c>
      <c r="BR242" s="571"/>
      <c r="BS242" s="446"/>
      <c r="BT242" s="448"/>
      <c r="BU242" s="470"/>
      <c r="BV242" s="445">
        <f>SUMIF(MAG!$G$158:$J$158,BV$111,MAG!$R15:$U15)+SUMIF(MAG!$G$158:$J$158,BV$111,MAG!$W15:$Z15)</f>
        <v>0</v>
      </c>
      <c r="BW242" s="446">
        <f>SUMIF(MAG!$G$158:$J$158,BW$111,MAG!$R15:$U15)+SUMIF(MAG!$G$158:$J$158,BW$111,MAG!$W15:$Z15)</f>
        <v>0</v>
      </c>
      <c r="BX242" s="446">
        <f>SUMIF(MAG!$G$158:$J$158,BX$111,MAG!$R15:$U15)+SUMIF(MAG!$G$158:$J$158,BX$111,MAG!$W15:$Z15)</f>
        <v>0</v>
      </c>
      <c r="BY242" s="446">
        <f>SUMIF(MAG!$G$158:$J$158,BY$111,MAG!$R15:$U15)+SUMIF(MAG!$G$158:$J$158,BY$111,MAG!$W15:$Z15)</f>
        <v>0</v>
      </c>
      <c r="BZ242" s="446">
        <f>SUMIF(MAG!$G$158:$J$158,BZ$111,MAG!$R15:$U15)+SUMIF(MAG!$G$158:$J$158,BZ$111,MAG!$W15:$Z15)</f>
        <v>0</v>
      </c>
      <c r="CA242" s="446">
        <f>SUMIF(MAG!$G$158:$J$158,CA$111,MAG!$R15:$U15)+SUMIF(MAG!$G$158:$J$158,CA$111,MAG!$W15:$Z15)</f>
        <v>0</v>
      </c>
      <c r="CB242" s="448">
        <f>SUMIF(MAG!$G$158:$J$158,CB$111,MAG!$R15:$U15)+SUMIF(MAG!$G$158:$J$158,CB$111,MAG!$W15:$Z15)</f>
        <v>0</v>
      </c>
      <c r="CC242" s="571"/>
      <c r="CD242" s="448"/>
      <c r="CE242" s="92">
        <f t="shared" si="243"/>
        <v>0</v>
      </c>
      <c r="CF242" s="92">
        <f t="shared" si="244"/>
        <v>0</v>
      </c>
      <c r="CG242" s="151" t="str">
        <f t="shared" si="248"/>
        <v/>
      </c>
      <c r="CH242" s="92">
        <f t="shared" ref="CH242:CH305" si="251">IF(CI242="X",AK242,0)</f>
        <v>0</v>
      </c>
      <c r="CI242" s="92" t="str">
        <f t="shared" si="245"/>
        <v/>
      </c>
      <c r="CJ242" s="1100">
        <f>MAG!AM15</f>
        <v>0</v>
      </c>
      <c r="CK242" s="445">
        <f>SUMIF(MAG!$G$155:$J$155,CK$112,MAG!$AN15:$AQ15)</f>
        <v>0</v>
      </c>
      <c r="CL242" s="446">
        <f>SUMIF(MAG!$G$155:$J$155,CL$112,MAG!$AN15:$AQ15)</f>
        <v>0</v>
      </c>
      <c r="CM242" s="447">
        <f>SUMIF(MAG!$G$155:$J$155,CM$112,MAG!$AN15:$AQ15)</f>
        <v>0</v>
      </c>
      <c r="CN242" s="448">
        <f>SUMIF(MAG!$G$155:$J$155,CN$112,MAG!$AN15:$AQ15)</f>
        <v>0</v>
      </c>
      <c r="CO242" s="1100">
        <f>MAG!AS15</f>
        <v>0</v>
      </c>
      <c r="CP242" s="445">
        <f>MAG!AT15</f>
        <v>0</v>
      </c>
      <c r="CQ242" s="446">
        <f>MAG!AU15</f>
        <v>0</v>
      </c>
      <c r="CR242" s="447">
        <f>MAG!AV15</f>
        <v>0</v>
      </c>
      <c r="CS242" s="448">
        <f>MAG!AW15</f>
        <v>0</v>
      </c>
      <c r="CT242" s="1100">
        <f>MAG!AY15</f>
        <v>0</v>
      </c>
      <c r="CU242" s="2"/>
    </row>
    <row r="243" spans="1:99" ht="14.25" hidden="1" customHeight="1" x14ac:dyDescent="0.2">
      <c r="A243" s="2"/>
      <c r="B243" s="151">
        <f t="shared" ref="B243:B306" si="252">E243</f>
        <v>45421</v>
      </c>
      <c r="C243" s="223">
        <f>IF(AND(E243&gt;(E$495-1),E243&lt;(I$495+1)),W$485,IF(ISERROR(HLOOKUP(E243,$E$488:$L$488,1,FALSE)),HLOOKUP(WEEKDAY(E243,2),IMPOSTAZIONI!$C$51:$P$56,6,FALSE),$W$484))</f>
        <v>0</v>
      </c>
      <c r="D243" s="103" t="str">
        <f t="shared" ref="D243:D306" si="253">IF(C243="L",MONTH(E243),"")</f>
        <v/>
      </c>
      <c r="E243" s="2380">
        <f t="shared" si="246"/>
        <v>45421</v>
      </c>
      <c r="F243" s="2381"/>
      <c r="G243" s="2325" t="str">
        <f>MAG!E16</f>
        <v xml:space="preserve">attiva trim.  </v>
      </c>
      <c r="H243" s="2326"/>
      <c r="I243" s="2327"/>
      <c r="J243" s="479" t="str">
        <f t="shared" si="249"/>
        <v/>
      </c>
      <c r="K243" s="480"/>
      <c r="L243" s="2319">
        <f t="shared" si="247"/>
        <v>19</v>
      </c>
      <c r="M243" s="2320"/>
      <c r="N243" s="478"/>
      <c r="O243" s="478"/>
      <c r="P243" s="478"/>
      <c r="Q243" s="2315">
        <f t="shared" ref="Q243:Q306" si="254">E243</f>
        <v>45421</v>
      </c>
      <c r="R243" s="2315"/>
      <c r="S243" s="478"/>
      <c r="T243" s="140">
        <f t="shared" ref="T243:T306" si="255">IF(OR(G243&lt;&gt;0,CJ243&lt;&gt;0),1,0)</f>
        <v>1</v>
      </c>
      <c r="U243" s="478"/>
      <c r="V243" s="478"/>
      <c r="W243" s="478"/>
      <c r="X243" s="478"/>
      <c r="Y243" s="478"/>
      <c r="Z243" s="478"/>
      <c r="AA243" s="478"/>
      <c r="AB243" s="478"/>
      <c r="AC243" s="478"/>
      <c r="AD243" s="478"/>
      <c r="AE243" s="478"/>
      <c r="AF243" s="478"/>
      <c r="AG243" s="140">
        <f t="shared" ref="AG243:AG306" si="256">IF(AND(L243&gt;(AG$110-1),L243&lt;(AG$111+1)),1,0)</f>
        <v>0</v>
      </c>
      <c r="AH243" s="92" t="str">
        <f t="shared" ref="AH243:AH306" si="257">IF(AK243=0,"",IF(AH$111=5,IF(AND(L243&gt;(AG$110-1),L243&lt;(AG$111+1)),"Y",""),""))</f>
        <v/>
      </c>
      <c r="AI243" s="131">
        <f t="shared" ref="AI243:AI306" si="258">IF(AND($L243&gt;(AI$111-1),$L243&lt;(AI$112+1)),$C243,0)</f>
        <v>0</v>
      </c>
      <c r="AJ243" s="2"/>
      <c r="AK243" s="92">
        <f>IF(G243=G$481,0,IF(OR(G243&lt;&gt;0,CJ243&lt;&gt;0,C243="L"),COUNTIF(AK$114:AK242,"&gt;0")+1,0))</f>
        <v>0</v>
      </c>
      <c r="AL243" s="92" t="str">
        <f t="shared" ref="AL243:AL306" si="259">IF(AL$111=5,AH243,IF(AK243=0,"",IF(AL$111=1,IF(AND(AK243&gt;($CF$483-1),AK243&lt;($CF$484+1)),"Y",""),IF(AL$111=2,IF(AL$110=MONTH(E243),"Y",""),IF(AL$111=3,"Y",IF(AL$111=4,IF(AND(E243&gt;(AO$111-1),E243&lt;(AO$112+1)),"Y",""),IF(AL$111=5,IF(AG243=1,"Y",""),"")))))))</f>
        <v/>
      </c>
      <c r="AM243" s="92" t="str">
        <f t="shared" ref="AM243:AM306" si="260">IF(AM$109=AM$108,CI243,IF(AND(AN$111&gt;0,AN$112&gt;0),IF(AND(E243&gt;(AN$111-1),E243&lt;(AN$112+1),OR(AO243&lt;&gt;0,AN243=AM$111)),"X",""),""))</f>
        <v/>
      </c>
      <c r="AN243" s="131">
        <f t="shared" si="250"/>
        <v>0</v>
      </c>
      <c r="AO243" s="447">
        <f>SUM(MAG!W16:Z16)</f>
        <v>0</v>
      </c>
      <c r="AP243" s="445">
        <f>SUMIF(MAG!$G$155:$J$155,AP$112,MAG!$R16:$U16)</f>
        <v>0</v>
      </c>
      <c r="AQ243" s="446">
        <f>SUMIF(MAG!$G$155:$J$155,AQ$112,MAG!$R16:$U16)</f>
        <v>0</v>
      </c>
      <c r="AR243" s="447">
        <f>SUMIF(MAG!$G$155:$J$155,AR$112,MAG!$R16:$U16)</f>
        <v>0</v>
      </c>
      <c r="AS243" s="448">
        <f>SUMIF(MAG!$G$155:$J$155,AS$112,MAG!$R16:$U16)</f>
        <v>0</v>
      </c>
      <c r="AT243" s="449">
        <f>MAG!AG16</f>
        <v>0</v>
      </c>
      <c r="AU243" s="445">
        <f>MAG!AH16</f>
        <v>0</v>
      </c>
      <c r="AV243" s="446">
        <f>MAG!AI16</f>
        <v>0</v>
      </c>
      <c r="AW243" s="447">
        <f>MAG!AJ16</f>
        <v>0</v>
      </c>
      <c r="AX243" s="448">
        <f>MAG!AK16</f>
        <v>0</v>
      </c>
      <c r="AY243" s="445">
        <f>SUMIF(MAG!$G$152:$J$152,"&gt;0",MAG!$W16:$Z16)</f>
        <v>0</v>
      </c>
      <c r="AZ243" s="1063">
        <f>SUM(MAG!AB16:AE16)</f>
        <v>0</v>
      </c>
      <c r="BA243" s="445">
        <f>SUMIF(MAG!$G$159:$J$159,BA$111,MAG!$R16:$U16)+SUMIF(MAG!$G$159:$J$159,BA$111,MAG!$W16:$Z16)</f>
        <v>0</v>
      </c>
      <c r="BB243" s="446">
        <f>SUMIF(MAG!$G$159:$J$159,BB$111,MAG!$R16:$U16)+SUMIF(MAG!$G$159:$J$159,BB$111,MAG!$W16:$Z16)</f>
        <v>0</v>
      </c>
      <c r="BC243" s="446">
        <f>SUMIF(MAG!$G$159:$J$159,BC$111,MAG!$R16:$U16)+SUMIF(MAG!$G$159:$J$159,BC$111,MAG!$W16:$Z16)</f>
        <v>0</v>
      </c>
      <c r="BD243" s="446">
        <f>SUMIF(MAG!$G$159:$J$159,BD$111,MAG!$R16:$U16)+SUMIF(MAG!$G$159:$J$159,BD$111,MAG!$W16:$Z16)</f>
        <v>0</v>
      </c>
      <c r="BE243" s="446">
        <f>SUMIF(MAG!$G$159:$J$159,BE$111,MAG!$R16:$U16)+SUMIF(MAG!$G$159:$J$159,BE$111,MAG!$W16:$Z16)</f>
        <v>0</v>
      </c>
      <c r="BF243" s="446">
        <f>SUMIF(MAG!$G$159:$J$159,BF$111,MAG!$R16:$U16)+SUMIF(MAG!$G$159:$J$159,BF$111,MAG!$W16:$Z16)</f>
        <v>0</v>
      </c>
      <c r="BG243" s="448">
        <f>SUMIF(MAG!$G$159:$J$159,BG$111,MAG!$R16:$U16)+SUMIF(MAG!$G$159:$J$159,BG$111,MAG!$W16:$Z16)</f>
        <v>0</v>
      </c>
      <c r="BH243" s="571"/>
      <c r="BI243" s="448"/>
      <c r="BJ243" s="470"/>
      <c r="BK243" s="445">
        <f>SUMIF(MAG!$G$157:$J$157,BK$111,MAG!$R16:$U16)+SUMIF(MAG!$G$157:$J$157,BK$111,MAG!$W16:$Z16)</f>
        <v>0</v>
      </c>
      <c r="BL243" s="446">
        <f>SUMIF(MAG!$G$157:$J$157,BL$111,MAG!$R16:$U16)+SUMIF(MAG!$G$157:$J$157,BL$111,MAG!$W16:$Z16)</f>
        <v>0</v>
      </c>
      <c r="BM243" s="446">
        <f>SUMIF(MAG!$G$157:$J$157,BM$111,MAG!$R16:$U16)+SUMIF(MAG!$G$157:$J$157,BM$111,MAG!$W16:$Z16)</f>
        <v>0</v>
      </c>
      <c r="BN243" s="446">
        <f>SUMIF(MAG!$G$157:$J$157,BN$111,MAG!$R16:$U16)+SUMIF(MAG!$G$157:$J$157,BN$111,MAG!$W16:$Z16)</f>
        <v>0</v>
      </c>
      <c r="BO243" s="446">
        <f>SUMIF(MAG!$G$157:$J$157,BO$111,MAG!$R16:$U16)+SUMIF(MAG!$G$157:$J$157,BO$111,MAG!$W16:$Z16)</f>
        <v>0</v>
      </c>
      <c r="BP243" s="446">
        <f>SUMIF(MAG!$G$157:$J$157,BP$111,MAG!$R16:$U16)+SUMIF(MAG!$G$157:$J$157,BP$111,MAG!$W16:$Z16)</f>
        <v>0</v>
      </c>
      <c r="BQ243" s="448">
        <f>SUMIF(MAG!$G$157:$J$157,BQ$111,MAG!$R16:$U16)+SUMIF(MAG!$G$157:$J$157,BQ$111,MAG!$W16:$Z16)</f>
        <v>0</v>
      </c>
      <c r="BR243" s="571"/>
      <c r="BS243" s="446"/>
      <c r="BT243" s="448"/>
      <c r="BU243" s="470"/>
      <c r="BV243" s="445">
        <f>SUMIF(MAG!$G$158:$J$158,BV$111,MAG!$R16:$U16)+SUMIF(MAG!$G$158:$J$158,BV$111,MAG!$W16:$Z16)</f>
        <v>0</v>
      </c>
      <c r="BW243" s="446">
        <f>SUMIF(MAG!$G$158:$J$158,BW$111,MAG!$R16:$U16)+SUMIF(MAG!$G$158:$J$158,BW$111,MAG!$W16:$Z16)</f>
        <v>0</v>
      </c>
      <c r="BX243" s="446">
        <f>SUMIF(MAG!$G$158:$J$158,BX$111,MAG!$R16:$U16)+SUMIF(MAG!$G$158:$J$158,BX$111,MAG!$W16:$Z16)</f>
        <v>0</v>
      </c>
      <c r="BY243" s="446">
        <f>SUMIF(MAG!$G$158:$J$158,BY$111,MAG!$R16:$U16)+SUMIF(MAG!$G$158:$J$158,BY$111,MAG!$W16:$Z16)</f>
        <v>0</v>
      </c>
      <c r="BZ243" s="446">
        <f>SUMIF(MAG!$G$158:$J$158,BZ$111,MAG!$R16:$U16)+SUMIF(MAG!$G$158:$J$158,BZ$111,MAG!$W16:$Z16)</f>
        <v>0</v>
      </c>
      <c r="CA243" s="446">
        <f>SUMIF(MAG!$G$158:$J$158,CA$111,MAG!$R16:$U16)+SUMIF(MAG!$G$158:$J$158,CA$111,MAG!$W16:$Z16)</f>
        <v>0</v>
      </c>
      <c r="CB243" s="448">
        <f>SUMIF(MAG!$G$158:$J$158,CB$111,MAG!$R16:$U16)+SUMIF(MAG!$G$158:$J$158,CB$111,MAG!$W16:$Z16)</f>
        <v>0</v>
      </c>
      <c r="CC243" s="571"/>
      <c r="CD243" s="448"/>
      <c r="CE243" s="92">
        <f t="shared" ref="CE243:CE306" si="261">IF(AM243="X",AK243,0)</f>
        <v>0</v>
      </c>
      <c r="CF243" s="92">
        <f t="shared" ref="CF243:CF306" si="262">IF(AL243="Y",AK243,0)</f>
        <v>0</v>
      </c>
      <c r="CG243" s="151" t="str">
        <f t="shared" si="248"/>
        <v/>
      </c>
      <c r="CH243" s="92">
        <f t="shared" si="251"/>
        <v>0</v>
      </c>
      <c r="CI243" s="92" t="str">
        <f t="shared" ref="CI243:CI306" si="263">IF(AND(L243&gt;(AI$111-1),L243&lt;(AI$112+1),OR(AO243&lt;&gt;0,AI243=CI$111)),"X","")</f>
        <v/>
      </c>
      <c r="CJ243" s="1100">
        <f>MAG!AM16</f>
        <v>0</v>
      </c>
      <c r="CK243" s="445">
        <f>SUMIF(MAG!$G$155:$J$155,CK$112,MAG!$AN16:$AQ16)</f>
        <v>0</v>
      </c>
      <c r="CL243" s="446">
        <f>SUMIF(MAG!$G$155:$J$155,CL$112,MAG!$AN16:$AQ16)</f>
        <v>0</v>
      </c>
      <c r="CM243" s="447">
        <f>SUMIF(MAG!$G$155:$J$155,CM$112,MAG!$AN16:$AQ16)</f>
        <v>0</v>
      </c>
      <c r="CN243" s="448">
        <f>SUMIF(MAG!$G$155:$J$155,CN$112,MAG!$AN16:$AQ16)</f>
        <v>0</v>
      </c>
      <c r="CO243" s="1100">
        <f>MAG!AS16</f>
        <v>0</v>
      </c>
      <c r="CP243" s="445">
        <f>MAG!AT16</f>
        <v>0</v>
      </c>
      <c r="CQ243" s="446">
        <f>MAG!AU16</f>
        <v>0</v>
      </c>
      <c r="CR243" s="447">
        <f>MAG!AV16</f>
        <v>0</v>
      </c>
      <c r="CS243" s="448">
        <f>MAG!AW16</f>
        <v>0</v>
      </c>
      <c r="CT243" s="1100">
        <f>MAG!AY16</f>
        <v>0</v>
      </c>
      <c r="CU243" s="2"/>
    </row>
    <row r="244" spans="1:99" ht="14.25" hidden="1" customHeight="1" x14ac:dyDescent="0.2">
      <c r="A244" s="2"/>
      <c r="B244" s="151">
        <f t="shared" si="252"/>
        <v>45422</v>
      </c>
      <c r="C244" s="223">
        <f>IF(AND(E244&gt;(E$495-1),E244&lt;(I$495+1)),W$485,IF(ISERROR(HLOOKUP(E244,$E$488:$L$488,1,FALSE)),HLOOKUP(WEEKDAY(E244,2),IMPOSTAZIONI!$C$51:$P$56,6,FALSE),$W$484))</f>
        <v>0</v>
      </c>
      <c r="D244" s="103" t="str">
        <f t="shared" si="253"/>
        <v/>
      </c>
      <c r="E244" s="2380">
        <f t="shared" ref="E244:E307" si="264">E243+1</f>
        <v>45422</v>
      </c>
      <c r="F244" s="2381"/>
      <c r="G244" s="2325" t="str">
        <f>MAG!E17</f>
        <v xml:space="preserve">attiva trim.  </v>
      </c>
      <c r="H244" s="2326"/>
      <c r="I244" s="2327"/>
      <c r="J244" s="479" t="str">
        <f t="shared" si="249"/>
        <v/>
      </c>
      <c r="K244" s="480"/>
      <c r="L244" s="2319">
        <f t="shared" si="247"/>
        <v>19</v>
      </c>
      <c r="M244" s="2320"/>
      <c r="N244" s="478"/>
      <c r="O244" s="478"/>
      <c r="P244" s="478"/>
      <c r="Q244" s="2315">
        <f t="shared" si="254"/>
        <v>45422</v>
      </c>
      <c r="R244" s="2315"/>
      <c r="S244" s="478"/>
      <c r="T244" s="140">
        <f t="shared" si="255"/>
        <v>1</v>
      </c>
      <c r="U244" s="478"/>
      <c r="V244" s="478"/>
      <c r="W244" s="478"/>
      <c r="X244" s="478"/>
      <c r="Y244" s="478"/>
      <c r="Z244" s="478"/>
      <c r="AA244" s="478"/>
      <c r="AB244" s="478"/>
      <c r="AC244" s="478"/>
      <c r="AD244" s="478"/>
      <c r="AE244" s="478"/>
      <c r="AF244" s="478"/>
      <c r="AG244" s="140">
        <f t="shared" si="256"/>
        <v>0</v>
      </c>
      <c r="AH244" s="92" t="str">
        <f t="shared" si="257"/>
        <v/>
      </c>
      <c r="AI244" s="131">
        <f t="shared" si="258"/>
        <v>0</v>
      </c>
      <c r="AJ244" s="2"/>
      <c r="AK244" s="92">
        <f>IF(G244=G$481,0,IF(OR(G244&lt;&gt;0,CJ244&lt;&gt;0,C244="L"),COUNTIF(AK$114:AK243,"&gt;0")+1,0))</f>
        <v>0</v>
      </c>
      <c r="AL244" s="92" t="str">
        <f t="shared" si="259"/>
        <v/>
      </c>
      <c r="AM244" s="92" t="str">
        <f t="shared" si="260"/>
        <v/>
      </c>
      <c r="AN244" s="131">
        <f t="shared" si="250"/>
        <v>0</v>
      </c>
      <c r="AO244" s="447">
        <f>SUM(MAG!W17:Z17)</f>
        <v>0</v>
      </c>
      <c r="AP244" s="445">
        <f>SUMIF(MAG!$G$155:$J$155,AP$112,MAG!$R17:$U17)</f>
        <v>0</v>
      </c>
      <c r="AQ244" s="446">
        <f>SUMIF(MAG!$G$155:$J$155,AQ$112,MAG!$R17:$U17)</f>
        <v>0</v>
      </c>
      <c r="AR244" s="447">
        <f>SUMIF(MAG!$G$155:$J$155,AR$112,MAG!$R17:$U17)</f>
        <v>0</v>
      </c>
      <c r="AS244" s="448">
        <f>SUMIF(MAG!$G$155:$J$155,AS$112,MAG!$R17:$U17)</f>
        <v>0</v>
      </c>
      <c r="AT244" s="449">
        <f>MAG!AG17</f>
        <v>0</v>
      </c>
      <c r="AU244" s="445">
        <f>MAG!AH17</f>
        <v>0</v>
      </c>
      <c r="AV244" s="446">
        <f>MAG!AI17</f>
        <v>0</v>
      </c>
      <c r="AW244" s="447">
        <f>MAG!AJ17</f>
        <v>0</v>
      </c>
      <c r="AX244" s="448">
        <f>MAG!AK17</f>
        <v>0</v>
      </c>
      <c r="AY244" s="445">
        <f>SUMIF(MAG!$G$152:$J$152,"&gt;0",MAG!$W17:$Z17)</f>
        <v>0</v>
      </c>
      <c r="AZ244" s="1063">
        <f>SUM(MAG!AB17:AE17)</f>
        <v>0</v>
      </c>
      <c r="BA244" s="445">
        <f>SUMIF(MAG!$G$159:$J$159,BA$111,MAG!$R17:$U17)+SUMIF(MAG!$G$159:$J$159,BA$111,MAG!$W17:$Z17)</f>
        <v>0</v>
      </c>
      <c r="BB244" s="446">
        <f>SUMIF(MAG!$G$159:$J$159,BB$111,MAG!$R17:$U17)+SUMIF(MAG!$G$159:$J$159,BB$111,MAG!$W17:$Z17)</f>
        <v>0</v>
      </c>
      <c r="BC244" s="446">
        <f>SUMIF(MAG!$G$159:$J$159,BC$111,MAG!$R17:$U17)+SUMIF(MAG!$G$159:$J$159,BC$111,MAG!$W17:$Z17)</f>
        <v>0</v>
      </c>
      <c r="BD244" s="446">
        <f>SUMIF(MAG!$G$159:$J$159,BD$111,MAG!$R17:$U17)+SUMIF(MAG!$G$159:$J$159,BD$111,MAG!$W17:$Z17)</f>
        <v>0</v>
      </c>
      <c r="BE244" s="446">
        <f>SUMIF(MAG!$G$159:$J$159,BE$111,MAG!$R17:$U17)+SUMIF(MAG!$G$159:$J$159,BE$111,MAG!$W17:$Z17)</f>
        <v>0</v>
      </c>
      <c r="BF244" s="446">
        <f>SUMIF(MAG!$G$159:$J$159,BF$111,MAG!$R17:$U17)+SUMIF(MAG!$G$159:$J$159,BF$111,MAG!$W17:$Z17)</f>
        <v>0</v>
      </c>
      <c r="BG244" s="448">
        <f>SUMIF(MAG!$G$159:$J$159,BG$111,MAG!$R17:$U17)+SUMIF(MAG!$G$159:$J$159,BG$111,MAG!$W17:$Z17)</f>
        <v>0</v>
      </c>
      <c r="BH244" s="571"/>
      <c r="BI244" s="448"/>
      <c r="BJ244" s="470"/>
      <c r="BK244" s="445">
        <f>SUMIF(MAG!$G$157:$J$157,BK$111,MAG!$R17:$U17)+SUMIF(MAG!$G$157:$J$157,BK$111,MAG!$W17:$Z17)</f>
        <v>0</v>
      </c>
      <c r="BL244" s="446">
        <f>SUMIF(MAG!$G$157:$J$157,BL$111,MAG!$R17:$U17)+SUMIF(MAG!$G$157:$J$157,BL$111,MAG!$W17:$Z17)</f>
        <v>0</v>
      </c>
      <c r="BM244" s="446">
        <f>SUMIF(MAG!$G$157:$J$157,BM$111,MAG!$R17:$U17)+SUMIF(MAG!$G$157:$J$157,BM$111,MAG!$W17:$Z17)</f>
        <v>0</v>
      </c>
      <c r="BN244" s="446">
        <f>SUMIF(MAG!$G$157:$J$157,BN$111,MAG!$R17:$U17)+SUMIF(MAG!$G$157:$J$157,BN$111,MAG!$W17:$Z17)</f>
        <v>0</v>
      </c>
      <c r="BO244" s="446">
        <f>SUMIF(MAG!$G$157:$J$157,BO$111,MAG!$R17:$U17)+SUMIF(MAG!$G$157:$J$157,BO$111,MAG!$W17:$Z17)</f>
        <v>0</v>
      </c>
      <c r="BP244" s="446">
        <f>SUMIF(MAG!$G$157:$J$157,BP$111,MAG!$R17:$U17)+SUMIF(MAG!$G$157:$J$157,BP$111,MAG!$W17:$Z17)</f>
        <v>0</v>
      </c>
      <c r="BQ244" s="448">
        <f>SUMIF(MAG!$G$157:$J$157,BQ$111,MAG!$R17:$U17)+SUMIF(MAG!$G$157:$J$157,BQ$111,MAG!$W17:$Z17)</f>
        <v>0</v>
      </c>
      <c r="BR244" s="571"/>
      <c r="BS244" s="446"/>
      <c r="BT244" s="448"/>
      <c r="BU244" s="470"/>
      <c r="BV244" s="445">
        <f>SUMIF(MAG!$G$158:$J$158,BV$111,MAG!$R17:$U17)+SUMIF(MAG!$G$158:$J$158,BV$111,MAG!$W17:$Z17)</f>
        <v>0</v>
      </c>
      <c r="BW244" s="446">
        <f>SUMIF(MAG!$G$158:$J$158,BW$111,MAG!$R17:$U17)+SUMIF(MAG!$G$158:$J$158,BW$111,MAG!$W17:$Z17)</f>
        <v>0</v>
      </c>
      <c r="BX244" s="446">
        <f>SUMIF(MAG!$G$158:$J$158,BX$111,MAG!$R17:$U17)+SUMIF(MAG!$G$158:$J$158,BX$111,MAG!$W17:$Z17)</f>
        <v>0</v>
      </c>
      <c r="BY244" s="446">
        <f>SUMIF(MAG!$G$158:$J$158,BY$111,MAG!$R17:$U17)+SUMIF(MAG!$G$158:$J$158,BY$111,MAG!$W17:$Z17)</f>
        <v>0</v>
      </c>
      <c r="BZ244" s="446">
        <f>SUMIF(MAG!$G$158:$J$158,BZ$111,MAG!$R17:$U17)+SUMIF(MAG!$G$158:$J$158,BZ$111,MAG!$W17:$Z17)</f>
        <v>0</v>
      </c>
      <c r="CA244" s="446">
        <f>SUMIF(MAG!$G$158:$J$158,CA$111,MAG!$R17:$U17)+SUMIF(MAG!$G$158:$J$158,CA$111,MAG!$W17:$Z17)</f>
        <v>0</v>
      </c>
      <c r="CB244" s="448">
        <f>SUMIF(MAG!$G$158:$J$158,CB$111,MAG!$R17:$U17)+SUMIF(MAG!$G$158:$J$158,CB$111,MAG!$W17:$Z17)</f>
        <v>0</v>
      </c>
      <c r="CC244" s="571"/>
      <c r="CD244" s="448"/>
      <c r="CE244" s="92">
        <f t="shared" si="261"/>
        <v>0</v>
      </c>
      <c r="CF244" s="92">
        <f t="shared" si="262"/>
        <v>0</v>
      </c>
      <c r="CG244" s="151" t="str">
        <f t="shared" si="248"/>
        <v/>
      </c>
      <c r="CH244" s="92">
        <f t="shared" si="251"/>
        <v>0</v>
      </c>
      <c r="CI244" s="92" t="str">
        <f t="shared" si="263"/>
        <v/>
      </c>
      <c r="CJ244" s="1100">
        <f>MAG!AM17</f>
        <v>0</v>
      </c>
      <c r="CK244" s="445">
        <f>SUMIF(MAG!$G$155:$J$155,CK$112,MAG!$AN17:$AQ17)</f>
        <v>0</v>
      </c>
      <c r="CL244" s="446">
        <f>SUMIF(MAG!$G$155:$J$155,CL$112,MAG!$AN17:$AQ17)</f>
        <v>0</v>
      </c>
      <c r="CM244" s="447">
        <f>SUMIF(MAG!$G$155:$J$155,CM$112,MAG!$AN17:$AQ17)</f>
        <v>0</v>
      </c>
      <c r="CN244" s="448">
        <f>SUMIF(MAG!$G$155:$J$155,CN$112,MAG!$AN17:$AQ17)</f>
        <v>0</v>
      </c>
      <c r="CO244" s="1100">
        <f>MAG!AS17</f>
        <v>0</v>
      </c>
      <c r="CP244" s="445">
        <f>MAG!AT17</f>
        <v>0</v>
      </c>
      <c r="CQ244" s="446">
        <f>MAG!AU17</f>
        <v>0</v>
      </c>
      <c r="CR244" s="447">
        <f>MAG!AV17</f>
        <v>0</v>
      </c>
      <c r="CS244" s="448">
        <f>MAG!AW17</f>
        <v>0</v>
      </c>
      <c r="CT244" s="1100">
        <f>MAG!AY17</f>
        <v>0</v>
      </c>
      <c r="CU244" s="2"/>
    </row>
    <row r="245" spans="1:99" ht="14.25" hidden="1" customHeight="1" x14ac:dyDescent="0.2">
      <c r="A245" s="2"/>
      <c r="B245" s="151">
        <f t="shared" si="252"/>
        <v>45423</v>
      </c>
      <c r="C245" s="223">
        <f>IF(AND(E245&gt;(E$495-1),E245&lt;(I$495+1)),W$485,IF(ISERROR(HLOOKUP(E245,$E$488:$L$488,1,FALSE)),HLOOKUP(WEEKDAY(E245,2),IMPOSTAZIONI!$C$51:$P$56,6,FALSE),$W$484))</f>
        <v>0</v>
      </c>
      <c r="D245" s="103" t="str">
        <f t="shared" si="253"/>
        <v/>
      </c>
      <c r="E245" s="2380">
        <f t="shared" si="264"/>
        <v>45423</v>
      </c>
      <c r="F245" s="2381"/>
      <c r="G245" s="2325" t="str">
        <f>MAG!E18</f>
        <v xml:space="preserve">attiva trim.  </v>
      </c>
      <c r="H245" s="2326"/>
      <c r="I245" s="2327"/>
      <c r="J245" s="479" t="str">
        <f t="shared" si="249"/>
        <v/>
      </c>
      <c r="K245" s="480"/>
      <c r="L245" s="2319">
        <f t="shared" si="247"/>
        <v>19</v>
      </c>
      <c r="M245" s="2320"/>
      <c r="N245" s="478"/>
      <c r="O245" s="478"/>
      <c r="P245" s="478"/>
      <c r="Q245" s="2315">
        <f t="shared" si="254"/>
        <v>45423</v>
      </c>
      <c r="R245" s="2315"/>
      <c r="S245" s="478"/>
      <c r="T245" s="140">
        <f t="shared" si="255"/>
        <v>1</v>
      </c>
      <c r="U245" s="478"/>
      <c r="V245" s="478"/>
      <c r="W245" s="478"/>
      <c r="X245" s="478"/>
      <c r="Y245" s="478"/>
      <c r="Z245" s="478"/>
      <c r="AA245" s="478"/>
      <c r="AB245" s="478"/>
      <c r="AC245" s="478"/>
      <c r="AD245" s="478"/>
      <c r="AE245" s="478"/>
      <c r="AF245" s="478"/>
      <c r="AG245" s="140">
        <f t="shared" si="256"/>
        <v>0</v>
      </c>
      <c r="AH245" s="92" t="str">
        <f t="shared" si="257"/>
        <v/>
      </c>
      <c r="AI245" s="131">
        <f t="shared" si="258"/>
        <v>0</v>
      </c>
      <c r="AJ245" s="2"/>
      <c r="AK245" s="92">
        <f>IF(G245=G$481,0,IF(OR(G245&lt;&gt;0,CJ245&lt;&gt;0,C245="L"),COUNTIF(AK$114:AK244,"&gt;0")+1,0))</f>
        <v>0</v>
      </c>
      <c r="AL245" s="92" t="str">
        <f t="shared" si="259"/>
        <v/>
      </c>
      <c r="AM245" s="92" t="str">
        <f t="shared" si="260"/>
        <v/>
      </c>
      <c r="AN245" s="131">
        <f t="shared" si="250"/>
        <v>0</v>
      </c>
      <c r="AO245" s="447">
        <f>SUM(MAG!W18:Z18)</f>
        <v>0</v>
      </c>
      <c r="AP245" s="445">
        <f>SUMIF(MAG!$G$155:$J$155,AP$112,MAG!$R18:$U18)</f>
        <v>0</v>
      </c>
      <c r="AQ245" s="446">
        <f>SUMIF(MAG!$G$155:$J$155,AQ$112,MAG!$R18:$U18)</f>
        <v>0</v>
      </c>
      <c r="AR245" s="447">
        <f>SUMIF(MAG!$G$155:$J$155,AR$112,MAG!$R18:$U18)</f>
        <v>0</v>
      </c>
      <c r="AS245" s="448">
        <f>SUMIF(MAG!$G$155:$J$155,AS$112,MAG!$R18:$U18)</f>
        <v>0</v>
      </c>
      <c r="AT245" s="449">
        <f>MAG!AG18</f>
        <v>0</v>
      </c>
      <c r="AU245" s="445">
        <f>MAG!AH18</f>
        <v>0</v>
      </c>
      <c r="AV245" s="446">
        <f>MAG!AI18</f>
        <v>0</v>
      </c>
      <c r="AW245" s="447">
        <f>MAG!AJ18</f>
        <v>0</v>
      </c>
      <c r="AX245" s="448">
        <f>MAG!AK18</f>
        <v>0</v>
      </c>
      <c r="AY245" s="445">
        <f>SUMIF(MAG!$G$152:$J$152,"&gt;0",MAG!$W18:$Z18)</f>
        <v>0</v>
      </c>
      <c r="AZ245" s="1063">
        <f>SUM(MAG!AB18:AE18)</f>
        <v>0</v>
      </c>
      <c r="BA245" s="445">
        <f>SUMIF(MAG!$G$159:$J$159,BA$111,MAG!$R18:$U18)+SUMIF(MAG!$G$159:$J$159,BA$111,MAG!$W18:$Z18)</f>
        <v>0</v>
      </c>
      <c r="BB245" s="446">
        <f>SUMIF(MAG!$G$159:$J$159,BB$111,MAG!$R18:$U18)+SUMIF(MAG!$G$159:$J$159,BB$111,MAG!$W18:$Z18)</f>
        <v>0</v>
      </c>
      <c r="BC245" s="446">
        <f>SUMIF(MAG!$G$159:$J$159,BC$111,MAG!$R18:$U18)+SUMIF(MAG!$G$159:$J$159,BC$111,MAG!$W18:$Z18)</f>
        <v>0</v>
      </c>
      <c r="BD245" s="446">
        <f>SUMIF(MAG!$G$159:$J$159,BD$111,MAG!$R18:$U18)+SUMIF(MAG!$G$159:$J$159,BD$111,MAG!$W18:$Z18)</f>
        <v>0</v>
      </c>
      <c r="BE245" s="446">
        <f>SUMIF(MAG!$G$159:$J$159,BE$111,MAG!$R18:$U18)+SUMIF(MAG!$G$159:$J$159,BE$111,MAG!$W18:$Z18)</f>
        <v>0</v>
      </c>
      <c r="BF245" s="446">
        <f>SUMIF(MAG!$G$159:$J$159,BF$111,MAG!$R18:$U18)+SUMIF(MAG!$G$159:$J$159,BF$111,MAG!$W18:$Z18)</f>
        <v>0</v>
      </c>
      <c r="BG245" s="448">
        <f>SUMIF(MAG!$G$159:$J$159,BG$111,MAG!$R18:$U18)+SUMIF(MAG!$G$159:$J$159,BG$111,MAG!$W18:$Z18)</f>
        <v>0</v>
      </c>
      <c r="BH245" s="571"/>
      <c r="BI245" s="448"/>
      <c r="BJ245" s="470"/>
      <c r="BK245" s="445">
        <f>SUMIF(MAG!$G$157:$J$157,BK$111,MAG!$R18:$U18)+SUMIF(MAG!$G$157:$J$157,BK$111,MAG!$W18:$Z18)</f>
        <v>0</v>
      </c>
      <c r="BL245" s="446">
        <f>SUMIF(MAG!$G$157:$J$157,BL$111,MAG!$R18:$U18)+SUMIF(MAG!$G$157:$J$157,BL$111,MAG!$W18:$Z18)</f>
        <v>0</v>
      </c>
      <c r="BM245" s="446">
        <f>SUMIF(MAG!$G$157:$J$157,BM$111,MAG!$R18:$U18)+SUMIF(MAG!$G$157:$J$157,BM$111,MAG!$W18:$Z18)</f>
        <v>0</v>
      </c>
      <c r="BN245" s="446">
        <f>SUMIF(MAG!$G$157:$J$157,BN$111,MAG!$R18:$U18)+SUMIF(MAG!$G$157:$J$157,BN$111,MAG!$W18:$Z18)</f>
        <v>0</v>
      </c>
      <c r="BO245" s="446">
        <f>SUMIF(MAG!$G$157:$J$157,BO$111,MAG!$R18:$U18)+SUMIF(MAG!$G$157:$J$157,BO$111,MAG!$W18:$Z18)</f>
        <v>0</v>
      </c>
      <c r="BP245" s="446">
        <f>SUMIF(MAG!$G$157:$J$157,BP$111,MAG!$R18:$U18)+SUMIF(MAG!$G$157:$J$157,BP$111,MAG!$W18:$Z18)</f>
        <v>0</v>
      </c>
      <c r="BQ245" s="448">
        <f>SUMIF(MAG!$G$157:$J$157,BQ$111,MAG!$R18:$U18)+SUMIF(MAG!$G$157:$J$157,BQ$111,MAG!$W18:$Z18)</f>
        <v>0</v>
      </c>
      <c r="BR245" s="571"/>
      <c r="BS245" s="446"/>
      <c r="BT245" s="448"/>
      <c r="BU245" s="470"/>
      <c r="BV245" s="445">
        <f>SUMIF(MAG!$G$158:$J$158,BV$111,MAG!$R18:$U18)+SUMIF(MAG!$G$158:$J$158,BV$111,MAG!$W18:$Z18)</f>
        <v>0</v>
      </c>
      <c r="BW245" s="446">
        <f>SUMIF(MAG!$G$158:$J$158,BW$111,MAG!$R18:$U18)+SUMIF(MAG!$G$158:$J$158,BW$111,MAG!$W18:$Z18)</f>
        <v>0</v>
      </c>
      <c r="BX245" s="446">
        <f>SUMIF(MAG!$G$158:$J$158,BX$111,MAG!$R18:$U18)+SUMIF(MAG!$G$158:$J$158,BX$111,MAG!$W18:$Z18)</f>
        <v>0</v>
      </c>
      <c r="BY245" s="446">
        <f>SUMIF(MAG!$G$158:$J$158,BY$111,MAG!$R18:$U18)+SUMIF(MAG!$G$158:$J$158,BY$111,MAG!$W18:$Z18)</f>
        <v>0</v>
      </c>
      <c r="BZ245" s="446">
        <f>SUMIF(MAG!$G$158:$J$158,BZ$111,MAG!$R18:$U18)+SUMIF(MAG!$G$158:$J$158,BZ$111,MAG!$W18:$Z18)</f>
        <v>0</v>
      </c>
      <c r="CA245" s="446">
        <f>SUMIF(MAG!$G$158:$J$158,CA$111,MAG!$R18:$U18)+SUMIF(MAG!$G$158:$J$158,CA$111,MAG!$W18:$Z18)</f>
        <v>0</v>
      </c>
      <c r="CB245" s="448">
        <f>SUMIF(MAG!$G$158:$J$158,CB$111,MAG!$R18:$U18)+SUMIF(MAG!$G$158:$J$158,CB$111,MAG!$W18:$Z18)</f>
        <v>0</v>
      </c>
      <c r="CC245" s="571"/>
      <c r="CD245" s="448"/>
      <c r="CE245" s="92">
        <f t="shared" si="261"/>
        <v>0</v>
      </c>
      <c r="CF245" s="92">
        <f t="shared" si="262"/>
        <v>0</v>
      </c>
      <c r="CG245" s="151" t="str">
        <f t="shared" si="248"/>
        <v/>
      </c>
      <c r="CH245" s="92">
        <f t="shared" si="251"/>
        <v>0</v>
      </c>
      <c r="CI245" s="92" t="str">
        <f t="shared" si="263"/>
        <v/>
      </c>
      <c r="CJ245" s="1100">
        <f>MAG!AM18</f>
        <v>0</v>
      </c>
      <c r="CK245" s="445">
        <f>SUMIF(MAG!$G$155:$J$155,CK$112,MAG!$AN18:$AQ18)</f>
        <v>0</v>
      </c>
      <c r="CL245" s="446">
        <f>SUMIF(MAG!$G$155:$J$155,CL$112,MAG!$AN18:$AQ18)</f>
        <v>0</v>
      </c>
      <c r="CM245" s="447">
        <f>SUMIF(MAG!$G$155:$J$155,CM$112,MAG!$AN18:$AQ18)</f>
        <v>0</v>
      </c>
      <c r="CN245" s="448">
        <f>SUMIF(MAG!$G$155:$J$155,CN$112,MAG!$AN18:$AQ18)</f>
        <v>0</v>
      </c>
      <c r="CO245" s="1100">
        <f>MAG!AS18</f>
        <v>0</v>
      </c>
      <c r="CP245" s="445">
        <f>MAG!AT18</f>
        <v>0</v>
      </c>
      <c r="CQ245" s="446">
        <f>MAG!AU18</f>
        <v>0</v>
      </c>
      <c r="CR245" s="447">
        <f>MAG!AV18</f>
        <v>0</v>
      </c>
      <c r="CS245" s="448">
        <f>MAG!AW18</f>
        <v>0</v>
      </c>
      <c r="CT245" s="1100">
        <f>MAG!AY18</f>
        <v>0</v>
      </c>
      <c r="CU245" s="2"/>
    </row>
    <row r="246" spans="1:99" ht="14.25" hidden="1" customHeight="1" x14ac:dyDescent="0.2">
      <c r="A246" s="2"/>
      <c r="B246" s="151">
        <f t="shared" si="252"/>
        <v>45424</v>
      </c>
      <c r="C246" s="223">
        <f>IF(AND(E246&gt;(E$495-1),E246&lt;(I$495+1)),W$485,IF(ISERROR(HLOOKUP(E246,$E$488:$L$488,1,FALSE)),HLOOKUP(WEEKDAY(E246,2),IMPOSTAZIONI!$C$51:$P$56,6,FALSE),$W$484))</f>
        <v>0</v>
      </c>
      <c r="D246" s="103" t="str">
        <f t="shared" si="253"/>
        <v/>
      </c>
      <c r="E246" s="2380">
        <f t="shared" si="264"/>
        <v>45424</v>
      </c>
      <c r="F246" s="2381"/>
      <c r="G246" s="2325" t="str">
        <f>MAG!E19</f>
        <v xml:space="preserve">attiva trim.  </v>
      </c>
      <c r="H246" s="2326"/>
      <c r="I246" s="2327"/>
      <c r="J246" s="479" t="str">
        <f t="shared" si="249"/>
        <v/>
      </c>
      <c r="K246" s="480"/>
      <c r="L246" s="2321">
        <f t="shared" si="247"/>
        <v>19</v>
      </c>
      <c r="M246" s="2322"/>
      <c r="N246" s="478"/>
      <c r="O246" s="478"/>
      <c r="P246" s="478"/>
      <c r="Q246" s="2315">
        <f t="shared" si="254"/>
        <v>45424</v>
      </c>
      <c r="R246" s="2315"/>
      <c r="S246" s="478"/>
      <c r="T246" s="140">
        <f t="shared" si="255"/>
        <v>1</v>
      </c>
      <c r="U246" s="478"/>
      <c r="V246" s="478"/>
      <c r="W246" s="478"/>
      <c r="X246" s="478"/>
      <c r="Y246" s="478"/>
      <c r="Z246" s="478"/>
      <c r="AA246" s="478"/>
      <c r="AB246" s="478"/>
      <c r="AC246" s="478"/>
      <c r="AD246" s="478"/>
      <c r="AE246" s="478"/>
      <c r="AF246" s="478"/>
      <c r="AG246" s="140">
        <f t="shared" si="256"/>
        <v>0</v>
      </c>
      <c r="AH246" s="92" t="str">
        <f t="shared" si="257"/>
        <v/>
      </c>
      <c r="AI246" s="131">
        <f t="shared" si="258"/>
        <v>0</v>
      </c>
      <c r="AJ246" s="2"/>
      <c r="AK246" s="92">
        <f>IF(G246=G$481,0,IF(OR(G246&lt;&gt;0,CJ246&lt;&gt;0,C246="L"),COUNTIF(AK$114:AK245,"&gt;0")+1,0))</f>
        <v>0</v>
      </c>
      <c r="AL246" s="92" t="str">
        <f t="shared" si="259"/>
        <v/>
      </c>
      <c r="AM246" s="92" t="str">
        <f t="shared" si="260"/>
        <v/>
      </c>
      <c r="AN246" s="131">
        <f t="shared" si="250"/>
        <v>0</v>
      </c>
      <c r="AO246" s="447">
        <f>SUM(MAG!W19:Z19)</f>
        <v>0</v>
      </c>
      <c r="AP246" s="445">
        <f>SUMIF(MAG!$G$155:$J$155,AP$112,MAG!$R19:$U19)</f>
        <v>0</v>
      </c>
      <c r="AQ246" s="446">
        <f>SUMIF(MAG!$G$155:$J$155,AQ$112,MAG!$R19:$U19)</f>
        <v>0</v>
      </c>
      <c r="AR246" s="447">
        <f>SUMIF(MAG!$G$155:$J$155,AR$112,MAG!$R19:$U19)</f>
        <v>0</v>
      </c>
      <c r="AS246" s="448">
        <f>SUMIF(MAG!$G$155:$J$155,AS$112,MAG!$R19:$U19)</f>
        <v>0</v>
      </c>
      <c r="AT246" s="449">
        <f>MAG!AG19</f>
        <v>0</v>
      </c>
      <c r="AU246" s="445">
        <f>MAG!AH19</f>
        <v>0</v>
      </c>
      <c r="AV246" s="446">
        <f>MAG!AI19</f>
        <v>0</v>
      </c>
      <c r="AW246" s="447">
        <f>MAG!AJ19</f>
        <v>0</v>
      </c>
      <c r="AX246" s="448">
        <f>MAG!AK19</f>
        <v>0</v>
      </c>
      <c r="AY246" s="445">
        <f>SUMIF(MAG!$G$152:$J$152,"&gt;0",MAG!$W19:$Z19)</f>
        <v>0</v>
      </c>
      <c r="AZ246" s="1063">
        <f>SUM(MAG!AB19:AE19)</f>
        <v>0</v>
      </c>
      <c r="BA246" s="445">
        <f>SUMIF(MAG!$G$159:$J$159,BA$111,MAG!$R19:$U19)+SUMIF(MAG!$G$159:$J$159,BA$111,MAG!$W19:$Z19)</f>
        <v>0</v>
      </c>
      <c r="BB246" s="446">
        <f>SUMIF(MAG!$G$159:$J$159,BB$111,MAG!$R19:$U19)+SUMIF(MAG!$G$159:$J$159,BB$111,MAG!$W19:$Z19)</f>
        <v>0</v>
      </c>
      <c r="BC246" s="446">
        <f>SUMIF(MAG!$G$159:$J$159,BC$111,MAG!$R19:$U19)+SUMIF(MAG!$G$159:$J$159,BC$111,MAG!$W19:$Z19)</f>
        <v>0</v>
      </c>
      <c r="BD246" s="446">
        <f>SUMIF(MAG!$G$159:$J$159,BD$111,MAG!$R19:$U19)+SUMIF(MAG!$G$159:$J$159,BD$111,MAG!$W19:$Z19)</f>
        <v>0</v>
      </c>
      <c r="BE246" s="446">
        <f>SUMIF(MAG!$G$159:$J$159,BE$111,MAG!$R19:$U19)+SUMIF(MAG!$G$159:$J$159,BE$111,MAG!$W19:$Z19)</f>
        <v>0</v>
      </c>
      <c r="BF246" s="446">
        <f>SUMIF(MAG!$G$159:$J$159,BF$111,MAG!$R19:$U19)+SUMIF(MAG!$G$159:$J$159,BF$111,MAG!$W19:$Z19)</f>
        <v>0</v>
      </c>
      <c r="BG246" s="448">
        <f>SUMIF(MAG!$G$159:$J$159,BG$111,MAG!$R19:$U19)+SUMIF(MAG!$G$159:$J$159,BG$111,MAG!$W19:$Z19)</f>
        <v>0</v>
      </c>
      <c r="BH246" s="571"/>
      <c r="BI246" s="448"/>
      <c r="BJ246" s="470"/>
      <c r="BK246" s="445">
        <f>SUMIF(MAG!$G$157:$J$157,BK$111,MAG!$R19:$U19)+SUMIF(MAG!$G$157:$J$157,BK$111,MAG!$W19:$Z19)</f>
        <v>0</v>
      </c>
      <c r="BL246" s="446">
        <f>SUMIF(MAG!$G$157:$J$157,BL$111,MAG!$R19:$U19)+SUMIF(MAG!$G$157:$J$157,BL$111,MAG!$W19:$Z19)</f>
        <v>0</v>
      </c>
      <c r="BM246" s="446">
        <f>SUMIF(MAG!$G$157:$J$157,BM$111,MAG!$R19:$U19)+SUMIF(MAG!$G$157:$J$157,BM$111,MAG!$W19:$Z19)</f>
        <v>0</v>
      </c>
      <c r="BN246" s="446">
        <f>SUMIF(MAG!$G$157:$J$157,BN$111,MAG!$R19:$U19)+SUMIF(MAG!$G$157:$J$157,BN$111,MAG!$W19:$Z19)</f>
        <v>0</v>
      </c>
      <c r="BO246" s="446">
        <f>SUMIF(MAG!$G$157:$J$157,BO$111,MAG!$R19:$U19)+SUMIF(MAG!$G$157:$J$157,BO$111,MAG!$W19:$Z19)</f>
        <v>0</v>
      </c>
      <c r="BP246" s="446">
        <f>SUMIF(MAG!$G$157:$J$157,BP$111,MAG!$R19:$U19)+SUMIF(MAG!$G$157:$J$157,BP$111,MAG!$W19:$Z19)</f>
        <v>0</v>
      </c>
      <c r="BQ246" s="448">
        <f>SUMIF(MAG!$G$157:$J$157,BQ$111,MAG!$R19:$U19)+SUMIF(MAG!$G$157:$J$157,BQ$111,MAG!$W19:$Z19)</f>
        <v>0</v>
      </c>
      <c r="BR246" s="571"/>
      <c r="BS246" s="446"/>
      <c r="BT246" s="448"/>
      <c r="BU246" s="470"/>
      <c r="BV246" s="445">
        <f>SUMIF(MAG!$G$158:$J$158,BV$111,MAG!$R19:$U19)+SUMIF(MAG!$G$158:$J$158,BV$111,MAG!$W19:$Z19)</f>
        <v>0</v>
      </c>
      <c r="BW246" s="446">
        <f>SUMIF(MAG!$G$158:$J$158,BW$111,MAG!$R19:$U19)+SUMIF(MAG!$G$158:$J$158,BW$111,MAG!$W19:$Z19)</f>
        <v>0</v>
      </c>
      <c r="BX246" s="446">
        <f>SUMIF(MAG!$G$158:$J$158,BX$111,MAG!$R19:$U19)+SUMIF(MAG!$G$158:$J$158,BX$111,MAG!$W19:$Z19)</f>
        <v>0</v>
      </c>
      <c r="BY246" s="446">
        <f>SUMIF(MAG!$G$158:$J$158,BY$111,MAG!$R19:$U19)+SUMIF(MAG!$G$158:$J$158,BY$111,MAG!$W19:$Z19)</f>
        <v>0</v>
      </c>
      <c r="BZ246" s="446">
        <f>SUMIF(MAG!$G$158:$J$158,BZ$111,MAG!$R19:$U19)+SUMIF(MAG!$G$158:$J$158,BZ$111,MAG!$W19:$Z19)</f>
        <v>0</v>
      </c>
      <c r="CA246" s="446">
        <f>SUMIF(MAG!$G$158:$J$158,CA$111,MAG!$R19:$U19)+SUMIF(MAG!$G$158:$J$158,CA$111,MAG!$W19:$Z19)</f>
        <v>0</v>
      </c>
      <c r="CB246" s="448">
        <f>SUMIF(MAG!$G$158:$J$158,CB$111,MAG!$R19:$U19)+SUMIF(MAG!$G$158:$J$158,CB$111,MAG!$W19:$Z19)</f>
        <v>0</v>
      </c>
      <c r="CC246" s="571"/>
      <c r="CD246" s="448"/>
      <c r="CE246" s="92">
        <f t="shared" si="261"/>
        <v>0</v>
      </c>
      <c r="CF246" s="92">
        <f t="shared" si="262"/>
        <v>0</v>
      </c>
      <c r="CG246" s="151" t="str">
        <f t="shared" si="248"/>
        <v/>
      </c>
      <c r="CH246" s="92">
        <f t="shared" si="251"/>
        <v>0</v>
      </c>
      <c r="CI246" s="92" t="str">
        <f t="shared" si="263"/>
        <v/>
      </c>
      <c r="CJ246" s="1100">
        <f>MAG!AM19</f>
        <v>0</v>
      </c>
      <c r="CK246" s="445">
        <f>SUMIF(MAG!$G$155:$J$155,CK$112,MAG!$AN19:$AQ19)</f>
        <v>0</v>
      </c>
      <c r="CL246" s="446">
        <f>SUMIF(MAG!$G$155:$J$155,CL$112,MAG!$AN19:$AQ19)</f>
        <v>0</v>
      </c>
      <c r="CM246" s="447">
        <f>SUMIF(MAG!$G$155:$J$155,CM$112,MAG!$AN19:$AQ19)</f>
        <v>0</v>
      </c>
      <c r="CN246" s="448">
        <f>SUMIF(MAG!$G$155:$J$155,CN$112,MAG!$AN19:$AQ19)</f>
        <v>0</v>
      </c>
      <c r="CO246" s="1100">
        <f>MAG!AS19</f>
        <v>0</v>
      </c>
      <c r="CP246" s="445">
        <f>MAG!AT19</f>
        <v>0</v>
      </c>
      <c r="CQ246" s="446">
        <f>MAG!AU19</f>
        <v>0</v>
      </c>
      <c r="CR246" s="447">
        <f>MAG!AV19</f>
        <v>0</v>
      </c>
      <c r="CS246" s="448">
        <f>MAG!AW19</f>
        <v>0</v>
      </c>
      <c r="CT246" s="1100">
        <f>MAG!AY19</f>
        <v>0</v>
      </c>
      <c r="CU246" s="2"/>
    </row>
    <row r="247" spans="1:99" ht="14.25" hidden="1" customHeight="1" x14ac:dyDescent="0.2">
      <c r="A247" s="2"/>
      <c r="B247" s="151">
        <f t="shared" si="252"/>
        <v>45425</v>
      </c>
      <c r="C247" s="223">
        <f>IF(AND(E247&gt;(E$495-1),E247&lt;(I$495+1)),W$485,IF(ISERROR(HLOOKUP(E247,$E$488:$L$488,1,FALSE)),HLOOKUP(WEEKDAY(E247,2),IMPOSTAZIONI!$C$51:$P$56,6,FALSE),$W$484))</f>
        <v>0</v>
      </c>
      <c r="D247" s="103" t="str">
        <f t="shared" si="253"/>
        <v/>
      </c>
      <c r="E247" s="2380">
        <f t="shared" si="264"/>
        <v>45425</v>
      </c>
      <c r="F247" s="2381"/>
      <c r="G247" s="2325" t="str">
        <f>MAG!E20</f>
        <v xml:space="preserve">attiva trim.  </v>
      </c>
      <c r="H247" s="2326"/>
      <c r="I247" s="2327"/>
      <c r="J247" s="479" t="str">
        <f t="shared" si="249"/>
        <v/>
      </c>
      <c r="K247" s="480"/>
      <c r="L247" s="2323">
        <f t="shared" si="247"/>
        <v>20</v>
      </c>
      <c r="M247" s="2324"/>
      <c r="N247" s="478"/>
      <c r="O247" s="478"/>
      <c r="P247" s="478"/>
      <c r="Q247" s="2315">
        <f t="shared" si="254"/>
        <v>45425</v>
      </c>
      <c r="R247" s="2315"/>
      <c r="S247" s="478"/>
      <c r="T247" s="140">
        <f t="shared" si="255"/>
        <v>1</v>
      </c>
      <c r="U247" s="478"/>
      <c r="V247" s="478"/>
      <c r="W247" s="478"/>
      <c r="X247" s="478"/>
      <c r="Y247" s="478"/>
      <c r="Z247" s="478"/>
      <c r="AA247" s="478"/>
      <c r="AB247" s="478"/>
      <c r="AC247" s="478"/>
      <c r="AD247" s="478"/>
      <c r="AE247" s="478"/>
      <c r="AF247" s="478"/>
      <c r="AG247" s="140">
        <f t="shared" si="256"/>
        <v>0</v>
      </c>
      <c r="AH247" s="92" t="str">
        <f t="shared" si="257"/>
        <v/>
      </c>
      <c r="AI247" s="131">
        <f t="shared" si="258"/>
        <v>0</v>
      </c>
      <c r="AJ247" s="2"/>
      <c r="AK247" s="92">
        <f>IF(G247=G$481,0,IF(OR(G247&lt;&gt;0,CJ247&lt;&gt;0,C247="L"),COUNTIF(AK$114:AK246,"&gt;0")+1,0))</f>
        <v>0</v>
      </c>
      <c r="AL247" s="92" t="str">
        <f t="shared" si="259"/>
        <v/>
      </c>
      <c r="AM247" s="92" t="str">
        <f t="shared" si="260"/>
        <v/>
      </c>
      <c r="AN247" s="131">
        <f t="shared" si="250"/>
        <v>0</v>
      </c>
      <c r="AO247" s="447">
        <f>SUM(MAG!W20:Z20)</f>
        <v>0</v>
      </c>
      <c r="AP247" s="445">
        <f>SUMIF(MAG!$G$155:$J$155,AP$112,MAG!$R20:$U20)</f>
        <v>0</v>
      </c>
      <c r="AQ247" s="446">
        <f>SUMIF(MAG!$G$155:$J$155,AQ$112,MAG!$R20:$U20)</f>
        <v>0</v>
      </c>
      <c r="AR247" s="447">
        <f>SUMIF(MAG!$G$155:$J$155,AR$112,MAG!$R20:$U20)</f>
        <v>0</v>
      </c>
      <c r="AS247" s="448">
        <f>SUMIF(MAG!$G$155:$J$155,AS$112,MAG!$R20:$U20)</f>
        <v>0</v>
      </c>
      <c r="AT247" s="449">
        <f>MAG!AG20</f>
        <v>0</v>
      </c>
      <c r="AU247" s="445">
        <f>MAG!AH20</f>
        <v>0</v>
      </c>
      <c r="AV247" s="446">
        <f>MAG!AI20</f>
        <v>0</v>
      </c>
      <c r="AW247" s="447">
        <f>MAG!AJ20</f>
        <v>0</v>
      </c>
      <c r="AX247" s="448">
        <f>MAG!AK20</f>
        <v>0</v>
      </c>
      <c r="AY247" s="445">
        <f>SUMIF(MAG!$G$152:$J$152,"&gt;0",MAG!$W20:$Z20)</f>
        <v>0</v>
      </c>
      <c r="AZ247" s="1063">
        <f>SUM(MAG!AB20:AE20)</f>
        <v>0</v>
      </c>
      <c r="BA247" s="445">
        <f>SUMIF(MAG!$G$159:$J$159,BA$111,MAG!$R20:$U20)+SUMIF(MAG!$G$159:$J$159,BA$111,MAG!$W20:$Z20)</f>
        <v>0</v>
      </c>
      <c r="BB247" s="446">
        <f>SUMIF(MAG!$G$159:$J$159,BB$111,MAG!$R20:$U20)+SUMIF(MAG!$G$159:$J$159,BB$111,MAG!$W20:$Z20)</f>
        <v>0</v>
      </c>
      <c r="BC247" s="446">
        <f>SUMIF(MAG!$G$159:$J$159,BC$111,MAG!$R20:$U20)+SUMIF(MAG!$G$159:$J$159,BC$111,MAG!$W20:$Z20)</f>
        <v>0</v>
      </c>
      <c r="BD247" s="446">
        <f>SUMIF(MAG!$G$159:$J$159,BD$111,MAG!$R20:$U20)+SUMIF(MAG!$G$159:$J$159,BD$111,MAG!$W20:$Z20)</f>
        <v>0</v>
      </c>
      <c r="BE247" s="446">
        <f>SUMIF(MAG!$G$159:$J$159,BE$111,MAG!$R20:$U20)+SUMIF(MAG!$G$159:$J$159,BE$111,MAG!$W20:$Z20)</f>
        <v>0</v>
      </c>
      <c r="BF247" s="446">
        <f>SUMIF(MAG!$G$159:$J$159,BF$111,MAG!$R20:$U20)+SUMIF(MAG!$G$159:$J$159,BF$111,MAG!$W20:$Z20)</f>
        <v>0</v>
      </c>
      <c r="BG247" s="448">
        <f>SUMIF(MAG!$G$159:$J$159,BG$111,MAG!$R20:$U20)+SUMIF(MAG!$G$159:$J$159,BG$111,MAG!$W20:$Z20)</f>
        <v>0</v>
      </c>
      <c r="BH247" s="571"/>
      <c r="BI247" s="448"/>
      <c r="BJ247" s="470"/>
      <c r="BK247" s="445">
        <f>SUMIF(MAG!$G$157:$J$157,BK$111,MAG!$R20:$U20)+SUMIF(MAG!$G$157:$J$157,BK$111,MAG!$W20:$Z20)</f>
        <v>0</v>
      </c>
      <c r="BL247" s="446">
        <f>SUMIF(MAG!$G$157:$J$157,BL$111,MAG!$R20:$U20)+SUMIF(MAG!$G$157:$J$157,BL$111,MAG!$W20:$Z20)</f>
        <v>0</v>
      </c>
      <c r="BM247" s="446">
        <f>SUMIF(MAG!$G$157:$J$157,BM$111,MAG!$R20:$U20)+SUMIF(MAG!$G$157:$J$157,BM$111,MAG!$W20:$Z20)</f>
        <v>0</v>
      </c>
      <c r="BN247" s="446">
        <f>SUMIF(MAG!$G$157:$J$157,BN$111,MAG!$R20:$U20)+SUMIF(MAG!$G$157:$J$157,BN$111,MAG!$W20:$Z20)</f>
        <v>0</v>
      </c>
      <c r="BO247" s="446">
        <f>SUMIF(MAG!$G$157:$J$157,BO$111,MAG!$R20:$U20)+SUMIF(MAG!$G$157:$J$157,BO$111,MAG!$W20:$Z20)</f>
        <v>0</v>
      </c>
      <c r="BP247" s="446">
        <f>SUMIF(MAG!$G$157:$J$157,BP$111,MAG!$R20:$U20)+SUMIF(MAG!$G$157:$J$157,BP$111,MAG!$W20:$Z20)</f>
        <v>0</v>
      </c>
      <c r="BQ247" s="448">
        <f>SUMIF(MAG!$G$157:$J$157,BQ$111,MAG!$R20:$U20)+SUMIF(MAG!$G$157:$J$157,BQ$111,MAG!$W20:$Z20)</f>
        <v>0</v>
      </c>
      <c r="BR247" s="571"/>
      <c r="BS247" s="446"/>
      <c r="BT247" s="448"/>
      <c r="BU247" s="470"/>
      <c r="BV247" s="445">
        <f>SUMIF(MAG!$G$158:$J$158,BV$111,MAG!$R20:$U20)+SUMIF(MAG!$G$158:$J$158,BV$111,MAG!$W20:$Z20)</f>
        <v>0</v>
      </c>
      <c r="BW247" s="446">
        <f>SUMIF(MAG!$G$158:$J$158,BW$111,MAG!$R20:$U20)+SUMIF(MAG!$G$158:$J$158,BW$111,MAG!$W20:$Z20)</f>
        <v>0</v>
      </c>
      <c r="BX247" s="446">
        <f>SUMIF(MAG!$G$158:$J$158,BX$111,MAG!$R20:$U20)+SUMIF(MAG!$G$158:$J$158,BX$111,MAG!$W20:$Z20)</f>
        <v>0</v>
      </c>
      <c r="BY247" s="446">
        <f>SUMIF(MAG!$G$158:$J$158,BY$111,MAG!$R20:$U20)+SUMIF(MAG!$G$158:$J$158,BY$111,MAG!$W20:$Z20)</f>
        <v>0</v>
      </c>
      <c r="BZ247" s="446">
        <f>SUMIF(MAG!$G$158:$J$158,BZ$111,MAG!$R20:$U20)+SUMIF(MAG!$G$158:$J$158,BZ$111,MAG!$W20:$Z20)</f>
        <v>0</v>
      </c>
      <c r="CA247" s="446">
        <f>SUMIF(MAG!$G$158:$J$158,CA$111,MAG!$R20:$U20)+SUMIF(MAG!$G$158:$J$158,CA$111,MAG!$W20:$Z20)</f>
        <v>0</v>
      </c>
      <c r="CB247" s="448">
        <f>SUMIF(MAG!$G$158:$J$158,CB$111,MAG!$R20:$U20)+SUMIF(MAG!$G$158:$J$158,CB$111,MAG!$W20:$Z20)</f>
        <v>0</v>
      </c>
      <c r="CC247" s="571"/>
      <c r="CD247" s="448"/>
      <c r="CE247" s="92">
        <f t="shared" si="261"/>
        <v>0</v>
      </c>
      <c r="CF247" s="92">
        <f t="shared" si="262"/>
        <v>0</v>
      </c>
      <c r="CG247" s="151" t="str">
        <f t="shared" si="248"/>
        <v/>
      </c>
      <c r="CH247" s="92">
        <f t="shared" si="251"/>
        <v>0</v>
      </c>
      <c r="CI247" s="92" t="str">
        <f t="shared" si="263"/>
        <v/>
      </c>
      <c r="CJ247" s="1100">
        <f>MAG!AM20</f>
        <v>0</v>
      </c>
      <c r="CK247" s="445">
        <f>SUMIF(MAG!$G$155:$J$155,CK$112,MAG!$AN20:$AQ20)</f>
        <v>0</v>
      </c>
      <c r="CL247" s="446">
        <f>SUMIF(MAG!$G$155:$J$155,CL$112,MAG!$AN20:$AQ20)</f>
        <v>0</v>
      </c>
      <c r="CM247" s="447">
        <f>SUMIF(MAG!$G$155:$J$155,CM$112,MAG!$AN20:$AQ20)</f>
        <v>0</v>
      </c>
      <c r="CN247" s="448">
        <f>SUMIF(MAG!$G$155:$J$155,CN$112,MAG!$AN20:$AQ20)</f>
        <v>0</v>
      </c>
      <c r="CO247" s="1100">
        <f>MAG!AS20</f>
        <v>0</v>
      </c>
      <c r="CP247" s="445">
        <f>MAG!AT20</f>
        <v>0</v>
      </c>
      <c r="CQ247" s="446">
        <f>MAG!AU20</f>
        <v>0</v>
      </c>
      <c r="CR247" s="447">
        <f>MAG!AV20</f>
        <v>0</v>
      </c>
      <c r="CS247" s="448">
        <f>MAG!AW20</f>
        <v>0</v>
      </c>
      <c r="CT247" s="1100">
        <f>MAG!AY20</f>
        <v>0</v>
      </c>
      <c r="CU247" s="2"/>
    </row>
    <row r="248" spans="1:99" ht="14.25" hidden="1" customHeight="1" x14ac:dyDescent="0.2">
      <c r="A248" s="2"/>
      <c r="B248" s="151">
        <f t="shared" si="252"/>
        <v>45426</v>
      </c>
      <c r="C248" s="223">
        <f>IF(AND(E248&gt;(E$495-1),E248&lt;(I$495+1)),W$485,IF(ISERROR(HLOOKUP(E248,$E$488:$L$488,1,FALSE)),HLOOKUP(WEEKDAY(E248,2),IMPOSTAZIONI!$C$51:$P$56,6,FALSE),$W$484))</f>
        <v>0</v>
      </c>
      <c r="D248" s="103" t="str">
        <f t="shared" si="253"/>
        <v/>
      </c>
      <c r="E248" s="2380">
        <f t="shared" si="264"/>
        <v>45426</v>
      </c>
      <c r="F248" s="2381"/>
      <c r="G248" s="2325" t="str">
        <f>MAG!E21</f>
        <v xml:space="preserve">attiva trim.  </v>
      </c>
      <c r="H248" s="2326"/>
      <c r="I248" s="2327"/>
      <c r="J248" s="479" t="str">
        <f t="shared" si="249"/>
        <v/>
      </c>
      <c r="K248" s="480"/>
      <c r="L248" s="2319">
        <f t="shared" si="247"/>
        <v>20</v>
      </c>
      <c r="M248" s="2320"/>
      <c r="N248" s="478"/>
      <c r="O248" s="478"/>
      <c r="P248" s="478"/>
      <c r="Q248" s="2315">
        <f t="shared" si="254"/>
        <v>45426</v>
      </c>
      <c r="R248" s="2315"/>
      <c r="S248" s="478"/>
      <c r="T248" s="140">
        <f t="shared" si="255"/>
        <v>1</v>
      </c>
      <c r="U248" s="478"/>
      <c r="V248" s="478"/>
      <c r="W248" s="478"/>
      <c r="X248" s="478"/>
      <c r="Y248" s="478"/>
      <c r="Z248" s="478"/>
      <c r="AA248" s="478"/>
      <c r="AB248" s="478"/>
      <c r="AC248" s="478"/>
      <c r="AD248" s="478"/>
      <c r="AE248" s="478"/>
      <c r="AF248" s="478"/>
      <c r="AG248" s="140">
        <f t="shared" si="256"/>
        <v>0</v>
      </c>
      <c r="AH248" s="92" t="str">
        <f t="shared" si="257"/>
        <v/>
      </c>
      <c r="AI248" s="131">
        <f t="shared" si="258"/>
        <v>0</v>
      </c>
      <c r="AJ248" s="2"/>
      <c r="AK248" s="92">
        <f>IF(G248=G$481,0,IF(OR(G248&lt;&gt;0,CJ248&lt;&gt;0,C248="L"),COUNTIF(AK$114:AK247,"&gt;0")+1,0))</f>
        <v>0</v>
      </c>
      <c r="AL248" s="92" t="str">
        <f t="shared" si="259"/>
        <v/>
      </c>
      <c r="AM248" s="92" t="str">
        <f t="shared" si="260"/>
        <v/>
      </c>
      <c r="AN248" s="131">
        <f t="shared" si="250"/>
        <v>0</v>
      </c>
      <c r="AO248" s="447">
        <f>SUM(MAG!W21:Z21)</f>
        <v>0</v>
      </c>
      <c r="AP248" s="445">
        <f>SUMIF(MAG!$G$155:$J$155,AP$112,MAG!$R21:$U21)</f>
        <v>0</v>
      </c>
      <c r="AQ248" s="446">
        <f>SUMIF(MAG!$G$155:$J$155,AQ$112,MAG!$R21:$U21)</f>
        <v>0</v>
      </c>
      <c r="AR248" s="447">
        <f>SUMIF(MAG!$G$155:$J$155,AR$112,MAG!$R21:$U21)</f>
        <v>0</v>
      </c>
      <c r="AS248" s="448">
        <f>SUMIF(MAG!$G$155:$J$155,AS$112,MAG!$R21:$U21)</f>
        <v>0</v>
      </c>
      <c r="AT248" s="449">
        <f>MAG!AG21</f>
        <v>0</v>
      </c>
      <c r="AU248" s="445">
        <f>MAG!AH21</f>
        <v>0</v>
      </c>
      <c r="AV248" s="446">
        <f>MAG!AI21</f>
        <v>0</v>
      </c>
      <c r="AW248" s="447">
        <f>MAG!AJ21</f>
        <v>0</v>
      </c>
      <c r="AX248" s="448">
        <f>MAG!AK21</f>
        <v>0</v>
      </c>
      <c r="AY248" s="445">
        <f>SUMIF(MAG!$G$152:$J$152,"&gt;0",MAG!$W21:$Z21)</f>
        <v>0</v>
      </c>
      <c r="AZ248" s="1063">
        <f>SUM(MAG!AB21:AE21)</f>
        <v>0</v>
      </c>
      <c r="BA248" s="445">
        <f>SUMIF(MAG!$G$159:$J$159,BA$111,MAG!$R21:$U21)+SUMIF(MAG!$G$159:$J$159,BA$111,MAG!$W21:$Z21)</f>
        <v>0</v>
      </c>
      <c r="BB248" s="446">
        <f>SUMIF(MAG!$G$159:$J$159,BB$111,MAG!$R21:$U21)+SUMIF(MAG!$G$159:$J$159,BB$111,MAG!$W21:$Z21)</f>
        <v>0</v>
      </c>
      <c r="BC248" s="446">
        <f>SUMIF(MAG!$G$159:$J$159,BC$111,MAG!$R21:$U21)+SUMIF(MAG!$G$159:$J$159,BC$111,MAG!$W21:$Z21)</f>
        <v>0</v>
      </c>
      <c r="BD248" s="446">
        <f>SUMIF(MAG!$G$159:$J$159,BD$111,MAG!$R21:$U21)+SUMIF(MAG!$G$159:$J$159,BD$111,MAG!$W21:$Z21)</f>
        <v>0</v>
      </c>
      <c r="BE248" s="446">
        <f>SUMIF(MAG!$G$159:$J$159,BE$111,MAG!$R21:$U21)+SUMIF(MAG!$G$159:$J$159,BE$111,MAG!$W21:$Z21)</f>
        <v>0</v>
      </c>
      <c r="BF248" s="446">
        <f>SUMIF(MAG!$G$159:$J$159,BF$111,MAG!$R21:$U21)+SUMIF(MAG!$G$159:$J$159,BF$111,MAG!$W21:$Z21)</f>
        <v>0</v>
      </c>
      <c r="BG248" s="448">
        <f>SUMIF(MAG!$G$159:$J$159,BG$111,MAG!$R21:$U21)+SUMIF(MAG!$G$159:$J$159,BG$111,MAG!$W21:$Z21)</f>
        <v>0</v>
      </c>
      <c r="BH248" s="571"/>
      <c r="BI248" s="448"/>
      <c r="BJ248" s="470"/>
      <c r="BK248" s="445">
        <f>SUMIF(MAG!$G$157:$J$157,BK$111,MAG!$R21:$U21)+SUMIF(MAG!$G$157:$J$157,BK$111,MAG!$W21:$Z21)</f>
        <v>0</v>
      </c>
      <c r="BL248" s="446">
        <f>SUMIF(MAG!$G$157:$J$157,BL$111,MAG!$R21:$U21)+SUMIF(MAG!$G$157:$J$157,BL$111,MAG!$W21:$Z21)</f>
        <v>0</v>
      </c>
      <c r="BM248" s="446">
        <f>SUMIF(MAG!$G$157:$J$157,BM$111,MAG!$R21:$U21)+SUMIF(MAG!$G$157:$J$157,BM$111,MAG!$W21:$Z21)</f>
        <v>0</v>
      </c>
      <c r="BN248" s="446">
        <f>SUMIF(MAG!$G$157:$J$157,BN$111,MAG!$R21:$U21)+SUMIF(MAG!$G$157:$J$157,BN$111,MAG!$W21:$Z21)</f>
        <v>0</v>
      </c>
      <c r="BO248" s="446">
        <f>SUMIF(MAG!$G$157:$J$157,BO$111,MAG!$R21:$U21)+SUMIF(MAG!$G$157:$J$157,BO$111,MAG!$W21:$Z21)</f>
        <v>0</v>
      </c>
      <c r="BP248" s="446">
        <f>SUMIF(MAG!$G$157:$J$157,BP$111,MAG!$R21:$U21)+SUMIF(MAG!$G$157:$J$157,BP$111,MAG!$W21:$Z21)</f>
        <v>0</v>
      </c>
      <c r="BQ248" s="448">
        <f>SUMIF(MAG!$G$157:$J$157,BQ$111,MAG!$R21:$U21)+SUMIF(MAG!$G$157:$J$157,BQ$111,MAG!$W21:$Z21)</f>
        <v>0</v>
      </c>
      <c r="BR248" s="571"/>
      <c r="BS248" s="446"/>
      <c r="BT248" s="448"/>
      <c r="BU248" s="470"/>
      <c r="BV248" s="445">
        <f>SUMIF(MAG!$G$158:$J$158,BV$111,MAG!$R21:$U21)+SUMIF(MAG!$G$158:$J$158,BV$111,MAG!$W21:$Z21)</f>
        <v>0</v>
      </c>
      <c r="BW248" s="446">
        <f>SUMIF(MAG!$G$158:$J$158,BW$111,MAG!$R21:$U21)+SUMIF(MAG!$G$158:$J$158,BW$111,MAG!$W21:$Z21)</f>
        <v>0</v>
      </c>
      <c r="BX248" s="446">
        <f>SUMIF(MAG!$G$158:$J$158,BX$111,MAG!$R21:$U21)+SUMIF(MAG!$G$158:$J$158,BX$111,MAG!$W21:$Z21)</f>
        <v>0</v>
      </c>
      <c r="BY248" s="446">
        <f>SUMIF(MAG!$G$158:$J$158,BY$111,MAG!$R21:$U21)+SUMIF(MAG!$G$158:$J$158,BY$111,MAG!$W21:$Z21)</f>
        <v>0</v>
      </c>
      <c r="BZ248" s="446">
        <f>SUMIF(MAG!$G$158:$J$158,BZ$111,MAG!$R21:$U21)+SUMIF(MAG!$G$158:$J$158,BZ$111,MAG!$W21:$Z21)</f>
        <v>0</v>
      </c>
      <c r="CA248" s="446">
        <f>SUMIF(MAG!$G$158:$J$158,CA$111,MAG!$R21:$U21)+SUMIF(MAG!$G$158:$J$158,CA$111,MAG!$W21:$Z21)</f>
        <v>0</v>
      </c>
      <c r="CB248" s="448">
        <f>SUMIF(MAG!$G$158:$J$158,CB$111,MAG!$R21:$U21)+SUMIF(MAG!$G$158:$J$158,CB$111,MAG!$W21:$Z21)</f>
        <v>0</v>
      </c>
      <c r="CC248" s="571"/>
      <c r="CD248" s="448"/>
      <c r="CE248" s="92">
        <f t="shared" si="261"/>
        <v>0</v>
      </c>
      <c r="CF248" s="92">
        <f t="shared" si="262"/>
        <v>0</v>
      </c>
      <c r="CG248" s="151" t="str">
        <f t="shared" si="248"/>
        <v/>
      </c>
      <c r="CH248" s="92">
        <f t="shared" si="251"/>
        <v>0</v>
      </c>
      <c r="CI248" s="92" t="str">
        <f t="shared" si="263"/>
        <v/>
      </c>
      <c r="CJ248" s="1100">
        <f>MAG!AM21</f>
        <v>0</v>
      </c>
      <c r="CK248" s="445">
        <f>SUMIF(MAG!$G$155:$J$155,CK$112,MAG!$AN21:$AQ21)</f>
        <v>0</v>
      </c>
      <c r="CL248" s="446">
        <f>SUMIF(MAG!$G$155:$J$155,CL$112,MAG!$AN21:$AQ21)</f>
        <v>0</v>
      </c>
      <c r="CM248" s="447">
        <f>SUMIF(MAG!$G$155:$J$155,CM$112,MAG!$AN21:$AQ21)</f>
        <v>0</v>
      </c>
      <c r="CN248" s="448">
        <f>SUMIF(MAG!$G$155:$J$155,CN$112,MAG!$AN21:$AQ21)</f>
        <v>0</v>
      </c>
      <c r="CO248" s="1100">
        <f>MAG!AS21</f>
        <v>0</v>
      </c>
      <c r="CP248" s="445">
        <f>MAG!AT21</f>
        <v>0</v>
      </c>
      <c r="CQ248" s="446">
        <f>MAG!AU21</f>
        <v>0</v>
      </c>
      <c r="CR248" s="447">
        <f>MAG!AV21</f>
        <v>0</v>
      </c>
      <c r="CS248" s="448">
        <f>MAG!AW21</f>
        <v>0</v>
      </c>
      <c r="CT248" s="1100">
        <f>MAG!AY21</f>
        <v>0</v>
      </c>
      <c r="CU248" s="2"/>
    </row>
    <row r="249" spans="1:99" ht="14.25" hidden="1" customHeight="1" x14ac:dyDescent="0.2">
      <c r="A249" s="2"/>
      <c r="B249" s="151">
        <f t="shared" si="252"/>
        <v>45427</v>
      </c>
      <c r="C249" s="223">
        <f>IF(AND(E249&gt;(E$495-1),E249&lt;(I$495+1)),W$485,IF(ISERROR(HLOOKUP(E249,$E$488:$L$488,1,FALSE)),HLOOKUP(WEEKDAY(E249,2),IMPOSTAZIONI!$C$51:$P$56,6,FALSE),$W$484))</f>
        <v>0</v>
      </c>
      <c r="D249" s="103" t="str">
        <f t="shared" si="253"/>
        <v/>
      </c>
      <c r="E249" s="2380">
        <f t="shared" si="264"/>
        <v>45427</v>
      </c>
      <c r="F249" s="2381"/>
      <c r="G249" s="2325" t="str">
        <f>MAG!E22</f>
        <v xml:space="preserve">attiva trim.  </v>
      </c>
      <c r="H249" s="2326"/>
      <c r="I249" s="2327"/>
      <c r="J249" s="479" t="str">
        <f t="shared" si="249"/>
        <v/>
      </c>
      <c r="K249" s="480"/>
      <c r="L249" s="2319">
        <f t="shared" si="247"/>
        <v>20</v>
      </c>
      <c r="M249" s="2320"/>
      <c r="N249" s="478"/>
      <c r="O249" s="478"/>
      <c r="P249" s="478"/>
      <c r="Q249" s="2315">
        <f t="shared" si="254"/>
        <v>45427</v>
      </c>
      <c r="R249" s="2315"/>
      <c r="S249" s="478"/>
      <c r="T249" s="140">
        <f t="shared" si="255"/>
        <v>1</v>
      </c>
      <c r="U249" s="478"/>
      <c r="V249" s="478"/>
      <c r="W249" s="478"/>
      <c r="X249" s="478"/>
      <c r="Y249" s="478"/>
      <c r="Z249" s="478"/>
      <c r="AA249" s="478"/>
      <c r="AB249" s="478"/>
      <c r="AC249" s="478"/>
      <c r="AD249" s="478"/>
      <c r="AE249" s="478"/>
      <c r="AF249" s="478"/>
      <c r="AG249" s="140">
        <f t="shared" si="256"/>
        <v>0</v>
      </c>
      <c r="AH249" s="92" t="str">
        <f t="shared" si="257"/>
        <v/>
      </c>
      <c r="AI249" s="131">
        <f t="shared" si="258"/>
        <v>0</v>
      </c>
      <c r="AJ249" s="2"/>
      <c r="AK249" s="92">
        <f>IF(G249=G$481,0,IF(OR(G249&lt;&gt;0,CJ249&lt;&gt;0,C249="L"),COUNTIF(AK$114:AK248,"&gt;0")+1,0))</f>
        <v>0</v>
      </c>
      <c r="AL249" s="92" t="str">
        <f t="shared" si="259"/>
        <v/>
      </c>
      <c r="AM249" s="92" t="str">
        <f t="shared" si="260"/>
        <v/>
      </c>
      <c r="AN249" s="131">
        <f t="shared" si="250"/>
        <v>0</v>
      </c>
      <c r="AO249" s="447">
        <f>SUM(MAG!W22:Z22)</f>
        <v>0</v>
      </c>
      <c r="AP249" s="445">
        <f>SUMIF(MAG!$G$155:$J$155,AP$112,MAG!$R22:$U22)</f>
        <v>0</v>
      </c>
      <c r="AQ249" s="446">
        <f>SUMIF(MAG!$G$155:$J$155,AQ$112,MAG!$R22:$U22)</f>
        <v>0</v>
      </c>
      <c r="AR249" s="447">
        <f>SUMIF(MAG!$G$155:$J$155,AR$112,MAG!$R22:$U22)</f>
        <v>0</v>
      </c>
      <c r="AS249" s="448">
        <f>SUMIF(MAG!$G$155:$J$155,AS$112,MAG!$R22:$U22)</f>
        <v>0</v>
      </c>
      <c r="AT249" s="449">
        <f>MAG!AG22</f>
        <v>0</v>
      </c>
      <c r="AU249" s="445">
        <f>MAG!AH22</f>
        <v>0</v>
      </c>
      <c r="AV249" s="446">
        <f>MAG!AI22</f>
        <v>0</v>
      </c>
      <c r="AW249" s="447">
        <f>MAG!AJ22</f>
        <v>0</v>
      </c>
      <c r="AX249" s="448">
        <f>MAG!AK22</f>
        <v>0</v>
      </c>
      <c r="AY249" s="445">
        <f>SUMIF(MAG!$G$152:$J$152,"&gt;0",MAG!$W22:$Z22)</f>
        <v>0</v>
      </c>
      <c r="AZ249" s="1063">
        <f>SUM(MAG!AB22:AE22)</f>
        <v>0</v>
      </c>
      <c r="BA249" s="445">
        <f>SUMIF(MAG!$G$159:$J$159,BA$111,MAG!$R22:$U22)+SUMIF(MAG!$G$159:$J$159,BA$111,MAG!$W22:$Z22)</f>
        <v>0</v>
      </c>
      <c r="BB249" s="446">
        <f>SUMIF(MAG!$G$159:$J$159,BB$111,MAG!$R22:$U22)+SUMIF(MAG!$G$159:$J$159,BB$111,MAG!$W22:$Z22)</f>
        <v>0</v>
      </c>
      <c r="BC249" s="446">
        <f>SUMIF(MAG!$G$159:$J$159,BC$111,MAG!$R22:$U22)+SUMIF(MAG!$G$159:$J$159,BC$111,MAG!$W22:$Z22)</f>
        <v>0</v>
      </c>
      <c r="BD249" s="446">
        <f>SUMIF(MAG!$G$159:$J$159,BD$111,MAG!$R22:$U22)+SUMIF(MAG!$G$159:$J$159,BD$111,MAG!$W22:$Z22)</f>
        <v>0</v>
      </c>
      <c r="BE249" s="446">
        <f>SUMIF(MAG!$G$159:$J$159,BE$111,MAG!$R22:$U22)+SUMIF(MAG!$G$159:$J$159,BE$111,MAG!$W22:$Z22)</f>
        <v>0</v>
      </c>
      <c r="BF249" s="446">
        <f>SUMIF(MAG!$G$159:$J$159,BF$111,MAG!$R22:$U22)+SUMIF(MAG!$G$159:$J$159,BF$111,MAG!$W22:$Z22)</f>
        <v>0</v>
      </c>
      <c r="BG249" s="448">
        <f>SUMIF(MAG!$G$159:$J$159,BG$111,MAG!$R22:$U22)+SUMIF(MAG!$G$159:$J$159,BG$111,MAG!$W22:$Z22)</f>
        <v>0</v>
      </c>
      <c r="BH249" s="571"/>
      <c r="BI249" s="448"/>
      <c r="BJ249" s="470"/>
      <c r="BK249" s="445">
        <f>SUMIF(MAG!$G$157:$J$157,BK$111,MAG!$R22:$U22)+SUMIF(MAG!$G$157:$J$157,BK$111,MAG!$W22:$Z22)</f>
        <v>0</v>
      </c>
      <c r="BL249" s="446">
        <f>SUMIF(MAG!$G$157:$J$157,BL$111,MAG!$R22:$U22)+SUMIF(MAG!$G$157:$J$157,BL$111,MAG!$W22:$Z22)</f>
        <v>0</v>
      </c>
      <c r="BM249" s="446">
        <f>SUMIF(MAG!$G$157:$J$157,BM$111,MAG!$R22:$U22)+SUMIF(MAG!$G$157:$J$157,BM$111,MAG!$W22:$Z22)</f>
        <v>0</v>
      </c>
      <c r="BN249" s="446">
        <f>SUMIF(MAG!$G$157:$J$157,BN$111,MAG!$R22:$U22)+SUMIF(MAG!$G$157:$J$157,BN$111,MAG!$W22:$Z22)</f>
        <v>0</v>
      </c>
      <c r="BO249" s="446">
        <f>SUMIF(MAG!$G$157:$J$157,BO$111,MAG!$R22:$U22)+SUMIF(MAG!$G$157:$J$157,BO$111,MAG!$W22:$Z22)</f>
        <v>0</v>
      </c>
      <c r="BP249" s="446">
        <f>SUMIF(MAG!$G$157:$J$157,BP$111,MAG!$R22:$U22)+SUMIF(MAG!$G$157:$J$157,BP$111,MAG!$W22:$Z22)</f>
        <v>0</v>
      </c>
      <c r="BQ249" s="448">
        <f>SUMIF(MAG!$G$157:$J$157,BQ$111,MAG!$R22:$U22)+SUMIF(MAG!$G$157:$J$157,BQ$111,MAG!$W22:$Z22)</f>
        <v>0</v>
      </c>
      <c r="BR249" s="571"/>
      <c r="BS249" s="446"/>
      <c r="BT249" s="448"/>
      <c r="BU249" s="470"/>
      <c r="BV249" s="445">
        <f>SUMIF(MAG!$G$158:$J$158,BV$111,MAG!$R22:$U22)+SUMIF(MAG!$G$158:$J$158,BV$111,MAG!$W22:$Z22)</f>
        <v>0</v>
      </c>
      <c r="BW249" s="446">
        <f>SUMIF(MAG!$G$158:$J$158,BW$111,MAG!$R22:$U22)+SUMIF(MAG!$G$158:$J$158,BW$111,MAG!$W22:$Z22)</f>
        <v>0</v>
      </c>
      <c r="BX249" s="446">
        <f>SUMIF(MAG!$G$158:$J$158,BX$111,MAG!$R22:$U22)+SUMIF(MAG!$G$158:$J$158,BX$111,MAG!$W22:$Z22)</f>
        <v>0</v>
      </c>
      <c r="BY249" s="446">
        <f>SUMIF(MAG!$G$158:$J$158,BY$111,MAG!$R22:$U22)+SUMIF(MAG!$G$158:$J$158,BY$111,MAG!$W22:$Z22)</f>
        <v>0</v>
      </c>
      <c r="BZ249" s="446">
        <f>SUMIF(MAG!$G$158:$J$158,BZ$111,MAG!$R22:$U22)+SUMIF(MAG!$G$158:$J$158,BZ$111,MAG!$W22:$Z22)</f>
        <v>0</v>
      </c>
      <c r="CA249" s="446">
        <f>SUMIF(MAG!$G$158:$J$158,CA$111,MAG!$R22:$U22)+SUMIF(MAG!$G$158:$J$158,CA$111,MAG!$W22:$Z22)</f>
        <v>0</v>
      </c>
      <c r="CB249" s="448">
        <f>SUMIF(MAG!$G$158:$J$158,CB$111,MAG!$R22:$U22)+SUMIF(MAG!$G$158:$J$158,CB$111,MAG!$W22:$Z22)</f>
        <v>0</v>
      </c>
      <c r="CC249" s="571"/>
      <c r="CD249" s="448"/>
      <c r="CE249" s="92">
        <f t="shared" si="261"/>
        <v>0</v>
      </c>
      <c r="CF249" s="92">
        <f t="shared" si="262"/>
        <v>0</v>
      </c>
      <c r="CG249" s="151" t="str">
        <f t="shared" si="248"/>
        <v/>
      </c>
      <c r="CH249" s="92">
        <f t="shared" si="251"/>
        <v>0</v>
      </c>
      <c r="CI249" s="92" t="str">
        <f t="shared" si="263"/>
        <v/>
      </c>
      <c r="CJ249" s="1100">
        <f>MAG!AM22</f>
        <v>0</v>
      </c>
      <c r="CK249" s="445">
        <f>SUMIF(MAG!$G$155:$J$155,CK$112,MAG!$AN22:$AQ22)</f>
        <v>0</v>
      </c>
      <c r="CL249" s="446">
        <f>SUMIF(MAG!$G$155:$J$155,CL$112,MAG!$AN22:$AQ22)</f>
        <v>0</v>
      </c>
      <c r="CM249" s="447">
        <f>SUMIF(MAG!$G$155:$J$155,CM$112,MAG!$AN22:$AQ22)</f>
        <v>0</v>
      </c>
      <c r="CN249" s="448">
        <f>SUMIF(MAG!$G$155:$J$155,CN$112,MAG!$AN22:$AQ22)</f>
        <v>0</v>
      </c>
      <c r="CO249" s="1100">
        <f>MAG!AS22</f>
        <v>0</v>
      </c>
      <c r="CP249" s="445">
        <f>MAG!AT22</f>
        <v>0</v>
      </c>
      <c r="CQ249" s="446">
        <f>MAG!AU22</f>
        <v>0</v>
      </c>
      <c r="CR249" s="447">
        <f>MAG!AV22</f>
        <v>0</v>
      </c>
      <c r="CS249" s="448">
        <f>MAG!AW22</f>
        <v>0</v>
      </c>
      <c r="CT249" s="1100">
        <f>MAG!AY22</f>
        <v>0</v>
      </c>
      <c r="CU249" s="2"/>
    </row>
    <row r="250" spans="1:99" ht="14.25" hidden="1" customHeight="1" x14ac:dyDescent="0.2">
      <c r="A250" s="2"/>
      <c r="B250" s="151">
        <f t="shared" si="252"/>
        <v>45428</v>
      </c>
      <c r="C250" s="223">
        <f>IF(AND(E250&gt;(E$495-1),E250&lt;(I$495+1)),W$485,IF(ISERROR(HLOOKUP(E250,$E$488:$L$488,1,FALSE)),HLOOKUP(WEEKDAY(E250,2),IMPOSTAZIONI!$C$51:$P$56,6,FALSE),$W$484))</f>
        <v>0</v>
      </c>
      <c r="D250" s="103" t="str">
        <f t="shared" si="253"/>
        <v/>
      </c>
      <c r="E250" s="2380">
        <f t="shared" si="264"/>
        <v>45428</v>
      </c>
      <c r="F250" s="2381"/>
      <c r="G250" s="2325" t="str">
        <f>MAG!E23</f>
        <v xml:space="preserve">attiva trim.  </v>
      </c>
      <c r="H250" s="2326"/>
      <c r="I250" s="2327"/>
      <c r="J250" s="479" t="str">
        <f t="shared" si="249"/>
        <v/>
      </c>
      <c r="K250" s="480"/>
      <c r="L250" s="2319">
        <f t="shared" si="247"/>
        <v>20</v>
      </c>
      <c r="M250" s="2320"/>
      <c r="N250" s="478"/>
      <c r="O250" s="478"/>
      <c r="P250" s="478"/>
      <c r="Q250" s="2315">
        <f t="shared" si="254"/>
        <v>45428</v>
      </c>
      <c r="R250" s="2315"/>
      <c r="S250" s="478"/>
      <c r="T250" s="140">
        <f t="shared" si="255"/>
        <v>1</v>
      </c>
      <c r="U250" s="478"/>
      <c r="V250" s="478"/>
      <c r="W250" s="478"/>
      <c r="X250" s="478"/>
      <c r="Y250" s="478"/>
      <c r="Z250" s="478"/>
      <c r="AA250" s="478"/>
      <c r="AB250" s="478"/>
      <c r="AC250" s="478"/>
      <c r="AD250" s="478"/>
      <c r="AE250" s="478"/>
      <c r="AF250" s="478"/>
      <c r="AG250" s="140">
        <f t="shared" si="256"/>
        <v>0</v>
      </c>
      <c r="AH250" s="92" t="str">
        <f t="shared" si="257"/>
        <v/>
      </c>
      <c r="AI250" s="131">
        <f t="shared" si="258"/>
        <v>0</v>
      </c>
      <c r="AJ250" s="2"/>
      <c r="AK250" s="92">
        <f>IF(G250=G$481,0,IF(OR(G250&lt;&gt;0,CJ250&lt;&gt;0,C250="L"),COUNTIF(AK$114:AK249,"&gt;0")+1,0))</f>
        <v>0</v>
      </c>
      <c r="AL250" s="92" t="str">
        <f t="shared" si="259"/>
        <v/>
      </c>
      <c r="AM250" s="92" t="str">
        <f t="shared" si="260"/>
        <v/>
      </c>
      <c r="AN250" s="131">
        <f t="shared" si="250"/>
        <v>0</v>
      </c>
      <c r="AO250" s="447">
        <f>SUM(MAG!W23:Z23)</f>
        <v>0</v>
      </c>
      <c r="AP250" s="445">
        <f>SUMIF(MAG!$G$155:$J$155,AP$112,MAG!$R23:$U23)</f>
        <v>0</v>
      </c>
      <c r="AQ250" s="446">
        <f>SUMIF(MAG!$G$155:$J$155,AQ$112,MAG!$R23:$U23)</f>
        <v>0</v>
      </c>
      <c r="AR250" s="447">
        <f>SUMIF(MAG!$G$155:$J$155,AR$112,MAG!$R23:$U23)</f>
        <v>0</v>
      </c>
      <c r="AS250" s="448">
        <f>SUMIF(MAG!$G$155:$J$155,AS$112,MAG!$R23:$U23)</f>
        <v>0</v>
      </c>
      <c r="AT250" s="449">
        <f>MAG!AG23</f>
        <v>0</v>
      </c>
      <c r="AU250" s="445">
        <f>MAG!AH23</f>
        <v>0</v>
      </c>
      <c r="AV250" s="446">
        <f>MAG!AI23</f>
        <v>0</v>
      </c>
      <c r="AW250" s="447">
        <f>MAG!AJ23</f>
        <v>0</v>
      </c>
      <c r="AX250" s="448">
        <f>MAG!AK23</f>
        <v>0</v>
      </c>
      <c r="AY250" s="445">
        <f>SUMIF(MAG!$G$152:$J$152,"&gt;0",MAG!$W23:$Z23)</f>
        <v>0</v>
      </c>
      <c r="AZ250" s="1063">
        <f>SUM(MAG!AB23:AE23)</f>
        <v>0</v>
      </c>
      <c r="BA250" s="445">
        <f>SUMIF(MAG!$G$159:$J$159,BA$111,MAG!$R23:$U23)+SUMIF(MAG!$G$159:$J$159,BA$111,MAG!$W23:$Z23)</f>
        <v>0</v>
      </c>
      <c r="BB250" s="446">
        <f>SUMIF(MAG!$G$159:$J$159,BB$111,MAG!$R23:$U23)+SUMIF(MAG!$G$159:$J$159,BB$111,MAG!$W23:$Z23)</f>
        <v>0</v>
      </c>
      <c r="BC250" s="446">
        <f>SUMIF(MAG!$G$159:$J$159,BC$111,MAG!$R23:$U23)+SUMIF(MAG!$G$159:$J$159,BC$111,MAG!$W23:$Z23)</f>
        <v>0</v>
      </c>
      <c r="BD250" s="446">
        <f>SUMIF(MAG!$G$159:$J$159,BD$111,MAG!$R23:$U23)+SUMIF(MAG!$G$159:$J$159,BD$111,MAG!$W23:$Z23)</f>
        <v>0</v>
      </c>
      <c r="BE250" s="446">
        <f>SUMIF(MAG!$G$159:$J$159,BE$111,MAG!$R23:$U23)+SUMIF(MAG!$G$159:$J$159,BE$111,MAG!$W23:$Z23)</f>
        <v>0</v>
      </c>
      <c r="BF250" s="446">
        <f>SUMIF(MAG!$G$159:$J$159,BF$111,MAG!$R23:$U23)+SUMIF(MAG!$G$159:$J$159,BF$111,MAG!$W23:$Z23)</f>
        <v>0</v>
      </c>
      <c r="BG250" s="448">
        <f>SUMIF(MAG!$G$159:$J$159,BG$111,MAG!$R23:$U23)+SUMIF(MAG!$G$159:$J$159,BG$111,MAG!$W23:$Z23)</f>
        <v>0</v>
      </c>
      <c r="BH250" s="571"/>
      <c r="BI250" s="448"/>
      <c r="BJ250" s="470"/>
      <c r="BK250" s="445">
        <f>SUMIF(MAG!$G$157:$J$157,BK$111,MAG!$R23:$U23)+SUMIF(MAG!$G$157:$J$157,BK$111,MAG!$W23:$Z23)</f>
        <v>0</v>
      </c>
      <c r="BL250" s="446">
        <f>SUMIF(MAG!$G$157:$J$157,BL$111,MAG!$R23:$U23)+SUMIF(MAG!$G$157:$J$157,BL$111,MAG!$W23:$Z23)</f>
        <v>0</v>
      </c>
      <c r="BM250" s="446">
        <f>SUMIF(MAG!$G$157:$J$157,BM$111,MAG!$R23:$U23)+SUMIF(MAG!$G$157:$J$157,BM$111,MAG!$W23:$Z23)</f>
        <v>0</v>
      </c>
      <c r="BN250" s="446">
        <f>SUMIF(MAG!$G$157:$J$157,BN$111,MAG!$R23:$U23)+SUMIF(MAG!$G$157:$J$157,BN$111,MAG!$W23:$Z23)</f>
        <v>0</v>
      </c>
      <c r="BO250" s="446">
        <f>SUMIF(MAG!$G$157:$J$157,BO$111,MAG!$R23:$U23)+SUMIF(MAG!$G$157:$J$157,BO$111,MAG!$W23:$Z23)</f>
        <v>0</v>
      </c>
      <c r="BP250" s="446">
        <f>SUMIF(MAG!$G$157:$J$157,BP$111,MAG!$R23:$U23)+SUMIF(MAG!$G$157:$J$157,BP$111,MAG!$W23:$Z23)</f>
        <v>0</v>
      </c>
      <c r="BQ250" s="448">
        <f>SUMIF(MAG!$G$157:$J$157,BQ$111,MAG!$R23:$U23)+SUMIF(MAG!$G$157:$J$157,BQ$111,MAG!$W23:$Z23)</f>
        <v>0</v>
      </c>
      <c r="BR250" s="571"/>
      <c r="BS250" s="446"/>
      <c r="BT250" s="448"/>
      <c r="BU250" s="470"/>
      <c r="BV250" s="445">
        <f>SUMIF(MAG!$G$158:$J$158,BV$111,MAG!$R23:$U23)+SUMIF(MAG!$G$158:$J$158,BV$111,MAG!$W23:$Z23)</f>
        <v>0</v>
      </c>
      <c r="BW250" s="446">
        <f>SUMIF(MAG!$G$158:$J$158,BW$111,MAG!$R23:$U23)+SUMIF(MAG!$G$158:$J$158,BW$111,MAG!$W23:$Z23)</f>
        <v>0</v>
      </c>
      <c r="BX250" s="446">
        <f>SUMIF(MAG!$G$158:$J$158,BX$111,MAG!$R23:$U23)+SUMIF(MAG!$G$158:$J$158,BX$111,MAG!$W23:$Z23)</f>
        <v>0</v>
      </c>
      <c r="BY250" s="446">
        <f>SUMIF(MAG!$G$158:$J$158,BY$111,MAG!$R23:$U23)+SUMIF(MAG!$G$158:$J$158,BY$111,MAG!$W23:$Z23)</f>
        <v>0</v>
      </c>
      <c r="BZ250" s="446">
        <f>SUMIF(MAG!$G$158:$J$158,BZ$111,MAG!$R23:$U23)+SUMIF(MAG!$G$158:$J$158,BZ$111,MAG!$W23:$Z23)</f>
        <v>0</v>
      </c>
      <c r="CA250" s="446">
        <f>SUMIF(MAG!$G$158:$J$158,CA$111,MAG!$R23:$U23)+SUMIF(MAG!$G$158:$J$158,CA$111,MAG!$W23:$Z23)</f>
        <v>0</v>
      </c>
      <c r="CB250" s="448">
        <f>SUMIF(MAG!$G$158:$J$158,CB$111,MAG!$R23:$U23)+SUMIF(MAG!$G$158:$J$158,CB$111,MAG!$W23:$Z23)</f>
        <v>0</v>
      </c>
      <c r="CC250" s="571"/>
      <c r="CD250" s="448"/>
      <c r="CE250" s="92">
        <f t="shared" si="261"/>
        <v>0</v>
      </c>
      <c r="CF250" s="92">
        <f t="shared" si="262"/>
        <v>0</v>
      </c>
      <c r="CG250" s="151" t="str">
        <f t="shared" si="248"/>
        <v/>
      </c>
      <c r="CH250" s="92">
        <f t="shared" si="251"/>
        <v>0</v>
      </c>
      <c r="CI250" s="92" t="str">
        <f t="shared" si="263"/>
        <v/>
      </c>
      <c r="CJ250" s="1100">
        <f>MAG!AM23</f>
        <v>0</v>
      </c>
      <c r="CK250" s="445">
        <f>SUMIF(MAG!$G$155:$J$155,CK$112,MAG!$AN23:$AQ23)</f>
        <v>0</v>
      </c>
      <c r="CL250" s="446">
        <f>SUMIF(MAG!$G$155:$J$155,CL$112,MAG!$AN23:$AQ23)</f>
        <v>0</v>
      </c>
      <c r="CM250" s="447">
        <f>SUMIF(MAG!$G$155:$J$155,CM$112,MAG!$AN23:$AQ23)</f>
        <v>0</v>
      </c>
      <c r="CN250" s="448">
        <f>SUMIF(MAG!$G$155:$J$155,CN$112,MAG!$AN23:$AQ23)</f>
        <v>0</v>
      </c>
      <c r="CO250" s="1100">
        <f>MAG!AS23</f>
        <v>0</v>
      </c>
      <c r="CP250" s="445">
        <f>MAG!AT23</f>
        <v>0</v>
      </c>
      <c r="CQ250" s="446">
        <f>MAG!AU23</f>
        <v>0</v>
      </c>
      <c r="CR250" s="447">
        <f>MAG!AV23</f>
        <v>0</v>
      </c>
      <c r="CS250" s="448">
        <f>MAG!AW23</f>
        <v>0</v>
      </c>
      <c r="CT250" s="1100">
        <f>MAG!AY23</f>
        <v>0</v>
      </c>
      <c r="CU250" s="2"/>
    </row>
    <row r="251" spans="1:99" ht="14.25" hidden="1" customHeight="1" x14ac:dyDescent="0.2">
      <c r="A251" s="2"/>
      <c r="B251" s="151">
        <f t="shared" si="252"/>
        <v>45429</v>
      </c>
      <c r="C251" s="223">
        <f>IF(AND(E251&gt;(E$495-1),E251&lt;(I$495+1)),W$485,IF(ISERROR(HLOOKUP(E251,$E$488:$L$488,1,FALSE)),HLOOKUP(WEEKDAY(E251,2),IMPOSTAZIONI!$C$51:$P$56,6,FALSE),$W$484))</f>
        <v>0</v>
      </c>
      <c r="D251" s="103" t="str">
        <f t="shared" si="253"/>
        <v/>
      </c>
      <c r="E251" s="2380">
        <f t="shared" si="264"/>
        <v>45429</v>
      </c>
      <c r="F251" s="2381"/>
      <c r="G251" s="2325" t="str">
        <f>MAG!E24</f>
        <v xml:space="preserve">attiva trim.  </v>
      </c>
      <c r="H251" s="2326"/>
      <c r="I251" s="2327"/>
      <c r="J251" s="479" t="str">
        <f t="shared" si="249"/>
        <v/>
      </c>
      <c r="K251" s="480"/>
      <c r="L251" s="2319">
        <f t="shared" si="247"/>
        <v>20</v>
      </c>
      <c r="M251" s="2320"/>
      <c r="N251" s="478"/>
      <c r="O251" s="478"/>
      <c r="P251" s="478"/>
      <c r="Q251" s="2315">
        <f t="shared" si="254"/>
        <v>45429</v>
      </c>
      <c r="R251" s="2315"/>
      <c r="S251" s="478"/>
      <c r="T251" s="140">
        <f t="shared" si="255"/>
        <v>1</v>
      </c>
      <c r="U251" s="478"/>
      <c r="V251" s="478"/>
      <c r="W251" s="478"/>
      <c r="X251" s="478"/>
      <c r="Y251" s="478"/>
      <c r="Z251" s="478"/>
      <c r="AA251" s="478"/>
      <c r="AB251" s="478"/>
      <c r="AC251" s="478"/>
      <c r="AD251" s="478"/>
      <c r="AE251" s="478"/>
      <c r="AF251" s="478"/>
      <c r="AG251" s="140">
        <f t="shared" si="256"/>
        <v>0</v>
      </c>
      <c r="AH251" s="92" t="str">
        <f t="shared" si="257"/>
        <v/>
      </c>
      <c r="AI251" s="131">
        <f t="shared" si="258"/>
        <v>0</v>
      </c>
      <c r="AJ251" s="2"/>
      <c r="AK251" s="92">
        <f>IF(G251=G$481,0,IF(OR(G251&lt;&gt;0,CJ251&lt;&gt;0,C251="L"),COUNTIF(AK$114:AK250,"&gt;0")+1,0))</f>
        <v>0</v>
      </c>
      <c r="AL251" s="92" t="str">
        <f t="shared" si="259"/>
        <v/>
      </c>
      <c r="AM251" s="92" t="str">
        <f t="shared" si="260"/>
        <v/>
      </c>
      <c r="AN251" s="131">
        <f t="shared" si="250"/>
        <v>0</v>
      </c>
      <c r="AO251" s="447">
        <f>SUM(MAG!W24:Z24)</f>
        <v>0</v>
      </c>
      <c r="AP251" s="445">
        <f>SUMIF(MAG!$G$155:$J$155,AP$112,MAG!$R24:$U24)</f>
        <v>0</v>
      </c>
      <c r="AQ251" s="446">
        <f>SUMIF(MAG!$G$155:$J$155,AQ$112,MAG!$R24:$U24)</f>
        <v>0</v>
      </c>
      <c r="AR251" s="447">
        <f>SUMIF(MAG!$G$155:$J$155,AR$112,MAG!$R24:$U24)</f>
        <v>0</v>
      </c>
      <c r="AS251" s="448">
        <f>SUMIF(MAG!$G$155:$J$155,AS$112,MAG!$R24:$U24)</f>
        <v>0</v>
      </c>
      <c r="AT251" s="449">
        <f>MAG!AG24</f>
        <v>0</v>
      </c>
      <c r="AU251" s="445">
        <f>MAG!AH24</f>
        <v>0</v>
      </c>
      <c r="AV251" s="446">
        <f>MAG!AI24</f>
        <v>0</v>
      </c>
      <c r="AW251" s="447">
        <f>MAG!AJ24</f>
        <v>0</v>
      </c>
      <c r="AX251" s="448">
        <f>MAG!AK24</f>
        <v>0</v>
      </c>
      <c r="AY251" s="445">
        <f>SUMIF(MAG!$G$152:$J$152,"&gt;0",MAG!$W24:$Z24)</f>
        <v>0</v>
      </c>
      <c r="AZ251" s="1063">
        <f>SUM(MAG!AB24:AE24)</f>
        <v>0</v>
      </c>
      <c r="BA251" s="445">
        <f>SUMIF(MAG!$G$159:$J$159,BA$111,MAG!$R24:$U24)+SUMIF(MAG!$G$159:$J$159,BA$111,MAG!$W24:$Z24)</f>
        <v>0</v>
      </c>
      <c r="BB251" s="446">
        <f>SUMIF(MAG!$G$159:$J$159,BB$111,MAG!$R24:$U24)+SUMIF(MAG!$G$159:$J$159,BB$111,MAG!$W24:$Z24)</f>
        <v>0</v>
      </c>
      <c r="BC251" s="446">
        <f>SUMIF(MAG!$G$159:$J$159,BC$111,MAG!$R24:$U24)+SUMIF(MAG!$G$159:$J$159,BC$111,MAG!$W24:$Z24)</f>
        <v>0</v>
      </c>
      <c r="BD251" s="446">
        <f>SUMIF(MAG!$G$159:$J$159,BD$111,MAG!$R24:$U24)+SUMIF(MAG!$G$159:$J$159,BD$111,MAG!$W24:$Z24)</f>
        <v>0</v>
      </c>
      <c r="BE251" s="446">
        <f>SUMIF(MAG!$G$159:$J$159,BE$111,MAG!$R24:$U24)+SUMIF(MAG!$G$159:$J$159,BE$111,MAG!$W24:$Z24)</f>
        <v>0</v>
      </c>
      <c r="BF251" s="446">
        <f>SUMIF(MAG!$G$159:$J$159,BF$111,MAG!$R24:$U24)+SUMIF(MAG!$G$159:$J$159,BF$111,MAG!$W24:$Z24)</f>
        <v>0</v>
      </c>
      <c r="BG251" s="448">
        <f>SUMIF(MAG!$G$159:$J$159,BG$111,MAG!$R24:$U24)+SUMIF(MAG!$G$159:$J$159,BG$111,MAG!$W24:$Z24)</f>
        <v>0</v>
      </c>
      <c r="BH251" s="571"/>
      <c r="BI251" s="448"/>
      <c r="BJ251" s="470"/>
      <c r="BK251" s="445">
        <f>SUMIF(MAG!$G$157:$J$157,BK$111,MAG!$R24:$U24)+SUMIF(MAG!$G$157:$J$157,BK$111,MAG!$W24:$Z24)</f>
        <v>0</v>
      </c>
      <c r="BL251" s="446">
        <f>SUMIF(MAG!$G$157:$J$157,BL$111,MAG!$R24:$U24)+SUMIF(MAG!$G$157:$J$157,BL$111,MAG!$W24:$Z24)</f>
        <v>0</v>
      </c>
      <c r="BM251" s="446">
        <f>SUMIF(MAG!$G$157:$J$157,BM$111,MAG!$R24:$U24)+SUMIF(MAG!$G$157:$J$157,BM$111,MAG!$W24:$Z24)</f>
        <v>0</v>
      </c>
      <c r="BN251" s="446">
        <f>SUMIF(MAG!$G$157:$J$157,BN$111,MAG!$R24:$U24)+SUMIF(MAG!$G$157:$J$157,BN$111,MAG!$W24:$Z24)</f>
        <v>0</v>
      </c>
      <c r="BO251" s="446">
        <f>SUMIF(MAG!$G$157:$J$157,BO$111,MAG!$R24:$U24)+SUMIF(MAG!$G$157:$J$157,BO$111,MAG!$W24:$Z24)</f>
        <v>0</v>
      </c>
      <c r="BP251" s="446">
        <f>SUMIF(MAG!$G$157:$J$157,BP$111,MAG!$R24:$U24)+SUMIF(MAG!$G$157:$J$157,BP$111,MAG!$W24:$Z24)</f>
        <v>0</v>
      </c>
      <c r="BQ251" s="448">
        <f>SUMIF(MAG!$G$157:$J$157,BQ$111,MAG!$R24:$U24)+SUMIF(MAG!$G$157:$J$157,BQ$111,MAG!$W24:$Z24)</f>
        <v>0</v>
      </c>
      <c r="BR251" s="571"/>
      <c r="BS251" s="446"/>
      <c r="BT251" s="448"/>
      <c r="BU251" s="470"/>
      <c r="BV251" s="445">
        <f>SUMIF(MAG!$G$158:$J$158,BV$111,MAG!$R24:$U24)+SUMIF(MAG!$G$158:$J$158,BV$111,MAG!$W24:$Z24)</f>
        <v>0</v>
      </c>
      <c r="BW251" s="446">
        <f>SUMIF(MAG!$G$158:$J$158,BW$111,MAG!$R24:$U24)+SUMIF(MAG!$G$158:$J$158,BW$111,MAG!$W24:$Z24)</f>
        <v>0</v>
      </c>
      <c r="BX251" s="446">
        <f>SUMIF(MAG!$G$158:$J$158,BX$111,MAG!$R24:$U24)+SUMIF(MAG!$G$158:$J$158,BX$111,MAG!$W24:$Z24)</f>
        <v>0</v>
      </c>
      <c r="BY251" s="446">
        <f>SUMIF(MAG!$G$158:$J$158,BY$111,MAG!$R24:$U24)+SUMIF(MAG!$G$158:$J$158,BY$111,MAG!$W24:$Z24)</f>
        <v>0</v>
      </c>
      <c r="BZ251" s="446">
        <f>SUMIF(MAG!$G$158:$J$158,BZ$111,MAG!$R24:$U24)+SUMIF(MAG!$G$158:$J$158,BZ$111,MAG!$W24:$Z24)</f>
        <v>0</v>
      </c>
      <c r="CA251" s="446">
        <f>SUMIF(MAG!$G$158:$J$158,CA$111,MAG!$R24:$U24)+SUMIF(MAG!$G$158:$J$158,CA$111,MAG!$W24:$Z24)</f>
        <v>0</v>
      </c>
      <c r="CB251" s="448">
        <f>SUMIF(MAG!$G$158:$J$158,CB$111,MAG!$R24:$U24)+SUMIF(MAG!$G$158:$J$158,CB$111,MAG!$W24:$Z24)</f>
        <v>0</v>
      </c>
      <c r="CC251" s="571"/>
      <c r="CD251" s="448"/>
      <c r="CE251" s="92">
        <f t="shared" si="261"/>
        <v>0</v>
      </c>
      <c r="CF251" s="92">
        <f t="shared" si="262"/>
        <v>0</v>
      </c>
      <c r="CG251" s="151" t="str">
        <f t="shared" si="248"/>
        <v/>
      </c>
      <c r="CH251" s="92">
        <f t="shared" si="251"/>
        <v>0</v>
      </c>
      <c r="CI251" s="92" t="str">
        <f t="shared" si="263"/>
        <v/>
      </c>
      <c r="CJ251" s="1100">
        <f>MAG!AM24</f>
        <v>0</v>
      </c>
      <c r="CK251" s="445">
        <f>SUMIF(MAG!$G$155:$J$155,CK$112,MAG!$AN24:$AQ24)</f>
        <v>0</v>
      </c>
      <c r="CL251" s="446">
        <f>SUMIF(MAG!$G$155:$J$155,CL$112,MAG!$AN24:$AQ24)</f>
        <v>0</v>
      </c>
      <c r="CM251" s="447">
        <f>SUMIF(MAG!$G$155:$J$155,CM$112,MAG!$AN24:$AQ24)</f>
        <v>0</v>
      </c>
      <c r="CN251" s="448">
        <f>SUMIF(MAG!$G$155:$J$155,CN$112,MAG!$AN24:$AQ24)</f>
        <v>0</v>
      </c>
      <c r="CO251" s="1100">
        <f>MAG!AS24</f>
        <v>0</v>
      </c>
      <c r="CP251" s="445">
        <f>MAG!AT24</f>
        <v>0</v>
      </c>
      <c r="CQ251" s="446">
        <f>MAG!AU24</f>
        <v>0</v>
      </c>
      <c r="CR251" s="447">
        <f>MAG!AV24</f>
        <v>0</v>
      </c>
      <c r="CS251" s="448">
        <f>MAG!AW24</f>
        <v>0</v>
      </c>
      <c r="CT251" s="1100">
        <f>MAG!AY24</f>
        <v>0</v>
      </c>
      <c r="CU251" s="2"/>
    </row>
    <row r="252" spans="1:99" ht="14.25" hidden="1" customHeight="1" x14ac:dyDescent="0.2">
      <c r="A252" s="2"/>
      <c r="B252" s="151">
        <f t="shared" si="252"/>
        <v>45430</v>
      </c>
      <c r="C252" s="223">
        <f>IF(AND(E252&gt;(E$495-1),E252&lt;(I$495+1)),W$485,IF(ISERROR(HLOOKUP(E252,$E$488:$L$488,1,FALSE)),HLOOKUP(WEEKDAY(E252,2),IMPOSTAZIONI!$C$51:$P$56,6,FALSE),$W$484))</f>
        <v>0</v>
      </c>
      <c r="D252" s="103" t="str">
        <f t="shared" si="253"/>
        <v/>
      </c>
      <c r="E252" s="2380">
        <f t="shared" si="264"/>
        <v>45430</v>
      </c>
      <c r="F252" s="2381"/>
      <c r="G252" s="2325" t="str">
        <f>MAG!E25</f>
        <v xml:space="preserve">attiva trim.  </v>
      </c>
      <c r="H252" s="2326"/>
      <c r="I252" s="2327"/>
      <c r="J252" s="479" t="str">
        <f t="shared" si="249"/>
        <v/>
      </c>
      <c r="K252" s="480"/>
      <c r="L252" s="2319">
        <f t="shared" ref="L252:L315" si="265">L245+1</f>
        <v>20</v>
      </c>
      <c r="M252" s="2320"/>
      <c r="N252" s="478"/>
      <c r="O252" s="478"/>
      <c r="P252" s="478"/>
      <c r="Q252" s="2315">
        <f t="shared" si="254"/>
        <v>45430</v>
      </c>
      <c r="R252" s="2315"/>
      <c r="S252" s="478"/>
      <c r="T252" s="140">
        <f t="shared" si="255"/>
        <v>1</v>
      </c>
      <c r="U252" s="478"/>
      <c r="V252" s="478"/>
      <c r="W252" s="478"/>
      <c r="X252" s="478"/>
      <c r="Y252" s="478"/>
      <c r="Z252" s="478"/>
      <c r="AA252" s="478"/>
      <c r="AB252" s="478"/>
      <c r="AC252" s="478"/>
      <c r="AD252" s="478"/>
      <c r="AE252" s="478"/>
      <c r="AF252" s="478"/>
      <c r="AG252" s="140">
        <f t="shared" si="256"/>
        <v>0</v>
      </c>
      <c r="AH252" s="92" t="str">
        <f t="shared" si="257"/>
        <v/>
      </c>
      <c r="AI252" s="131">
        <f t="shared" si="258"/>
        <v>0</v>
      </c>
      <c r="AJ252" s="2"/>
      <c r="AK252" s="92">
        <f>IF(G252=G$481,0,IF(OR(G252&lt;&gt;0,CJ252&lt;&gt;0,C252="L"),COUNTIF(AK$114:AK251,"&gt;0")+1,0))</f>
        <v>0</v>
      </c>
      <c r="AL252" s="92" t="str">
        <f t="shared" si="259"/>
        <v/>
      </c>
      <c r="AM252" s="92" t="str">
        <f t="shared" si="260"/>
        <v/>
      </c>
      <c r="AN252" s="131">
        <f t="shared" si="250"/>
        <v>0</v>
      </c>
      <c r="AO252" s="447">
        <f>SUM(MAG!W25:Z25)</f>
        <v>0</v>
      </c>
      <c r="AP252" s="445">
        <f>SUMIF(MAG!$G$155:$J$155,AP$112,MAG!$R25:$U25)</f>
        <v>0</v>
      </c>
      <c r="AQ252" s="446">
        <f>SUMIF(MAG!$G$155:$J$155,AQ$112,MAG!$R25:$U25)</f>
        <v>0</v>
      </c>
      <c r="AR252" s="447">
        <f>SUMIF(MAG!$G$155:$J$155,AR$112,MAG!$R25:$U25)</f>
        <v>0</v>
      </c>
      <c r="AS252" s="448">
        <f>SUMIF(MAG!$G$155:$J$155,AS$112,MAG!$R25:$U25)</f>
        <v>0</v>
      </c>
      <c r="AT252" s="449">
        <f>MAG!AG25</f>
        <v>0</v>
      </c>
      <c r="AU252" s="445">
        <f>MAG!AH25</f>
        <v>0</v>
      </c>
      <c r="AV252" s="446">
        <f>MAG!AI25</f>
        <v>0</v>
      </c>
      <c r="AW252" s="447">
        <f>MAG!AJ25</f>
        <v>0</v>
      </c>
      <c r="AX252" s="448">
        <f>MAG!AK25</f>
        <v>0</v>
      </c>
      <c r="AY252" s="445">
        <f>SUMIF(MAG!$G$152:$J$152,"&gt;0",MAG!$W25:$Z25)</f>
        <v>0</v>
      </c>
      <c r="AZ252" s="1063">
        <f>SUM(MAG!AB25:AE25)</f>
        <v>0</v>
      </c>
      <c r="BA252" s="445">
        <f>SUMIF(MAG!$G$159:$J$159,BA$111,MAG!$R25:$U25)+SUMIF(MAG!$G$159:$J$159,BA$111,MAG!$W25:$Z25)</f>
        <v>0</v>
      </c>
      <c r="BB252" s="446">
        <f>SUMIF(MAG!$G$159:$J$159,BB$111,MAG!$R25:$U25)+SUMIF(MAG!$G$159:$J$159,BB$111,MAG!$W25:$Z25)</f>
        <v>0</v>
      </c>
      <c r="BC252" s="446">
        <f>SUMIF(MAG!$G$159:$J$159,BC$111,MAG!$R25:$U25)+SUMIF(MAG!$G$159:$J$159,BC$111,MAG!$W25:$Z25)</f>
        <v>0</v>
      </c>
      <c r="BD252" s="446">
        <f>SUMIF(MAG!$G$159:$J$159,BD$111,MAG!$R25:$U25)+SUMIF(MAG!$G$159:$J$159,BD$111,MAG!$W25:$Z25)</f>
        <v>0</v>
      </c>
      <c r="BE252" s="446">
        <f>SUMIF(MAG!$G$159:$J$159,BE$111,MAG!$R25:$U25)+SUMIF(MAG!$G$159:$J$159,BE$111,MAG!$W25:$Z25)</f>
        <v>0</v>
      </c>
      <c r="BF252" s="446">
        <f>SUMIF(MAG!$G$159:$J$159,BF$111,MAG!$R25:$U25)+SUMIF(MAG!$G$159:$J$159,BF$111,MAG!$W25:$Z25)</f>
        <v>0</v>
      </c>
      <c r="BG252" s="448">
        <f>SUMIF(MAG!$G$159:$J$159,BG$111,MAG!$R25:$U25)+SUMIF(MAG!$G$159:$J$159,BG$111,MAG!$W25:$Z25)</f>
        <v>0</v>
      </c>
      <c r="BH252" s="571"/>
      <c r="BI252" s="448"/>
      <c r="BJ252" s="470"/>
      <c r="BK252" s="445">
        <f>SUMIF(MAG!$G$157:$J$157,BK$111,MAG!$R25:$U25)+SUMIF(MAG!$G$157:$J$157,BK$111,MAG!$W25:$Z25)</f>
        <v>0</v>
      </c>
      <c r="BL252" s="446">
        <f>SUMIF(MAG!$G$157:$J$157,BL$111,MAG!$R25:$U25)+SUMIF(MAG!$G$157:$J$157,BL$111,MAG!$W25:$Z25)</f>
        <v>0</v>
      </c>
      <c r="BM252" s="446">
        <f>SUMIF(MAG!$G$157:$J$157,BM$111,MAG!$R25:$U25)+SUMIF(MAG!$G$157:$J$157,BM$111,MAG!$W25:$Z25)</f>
        <v>0</v>
      </c>
      <c r="BN252" s="446">
        <f>SUMIF(MAG!$G$157:$J$157,BN$111,MAG!$R25:$U25)+SUMIF(MAG!$G$157:$J$157,BN$111,MAG!$W25:$Z25)</f>
        <v>0</v>
      </c>
      <c r="BO252" s="446">
        <f>SUMIF(MAG!$G$157:$J$157,BO$111,MAG!$R25:$U25)+SUMIF(MAG!$G$157:$J$157,BO$111,MAG!$W25:$Z25)</f>
        <v>0</v>
      </c>
      <c r="BP252" s="446">
        <f>SUMIF(MAG!$G$157:$J$157,BP$111,MAG!$R25:$U25)+SUMIF(MAG!$G$157:$J$157,BP$111,MAG!$W25:$Z25)</f>
        <v>0</v>
      </c>
      <c r="BQ252" s="448">
        <f>SUMIF(MAG!$G$157:$J$157,BQ$111,MAG!$R25:$U25)+SUMIF(MAG!$G$157:$J$157,BQ$111,MAG!$W25:$Z25)</f>
        <v>0</v>
      </c>
      <c r="BR252" s="571"/>
      <c r="BS252" s="446"/>
      <c r="BT252" s="448"/>
      <c r="BU252" s="470"/>
      <c r="BV252" s="445">
        <f>SUMIF(MAG!$G$158:$J$158,BV$111,MAG!$R25:$U25)+SUMIF(MAG!$G$158:$J$158,BV$111,MAG!$W25:$Z25)</f>
        <v>0</v>
      </c>
      <c r="BW252" s="446">
        <f>SUMIF(MAG!$G$158:$J$158,BW$111,MAG!$R25:$U25)+SUMIF(MAG!$G$158:$J$158,BW$111,MAG!$W25:$Z25)</f>
        <v>0</v>
      </c>
      <c r="BX252" s="446">
        <f>SUMIF(MAG!$G$158:$J$158,BX$111,MAG!$R25:$U25)+SUMIF(MAG!$G$158:$J$158,BX$111,MAG!$W25:$Z25)</f>
        <v>0</v>
      </c>
      <c r="BY252" s="446">
        <f>SUMIF(MAG!$G$158:$J$158,BY$111,MAG!$R25:$U25)+SUMIF(MAG!$G$158:$J$158,BY$111,MAG!$W25:$Z25)</f>
        <v>0</v>
      </c>
      <c r="BZ252" s="446">
        <f>SUMIF(MAG!$G$158:$J$158,BZ$111,MAG!$R25:$U25)+SUMIF(MAG!$G$158:$J$158,BZ$111,MAG!$W25:$Z25)</f>
        <v>0</v>
      </c>
      <c r="CA252" s="446">
        <f>SUMIF(MAG!$G$158:$J$158,CA$111,MAG!$R25:$U25)+SUMIF(MAG!$G$158:$J$158,CA$111,MAG!$W25:$Z25)</f>
        <v>0</v>
      </c>
      <c r="CB252" s="448">
        <f>SUMIF(MAG!$G$158:$J$158,CB$111,MAG!$R25:$U25)+SUMIF(MAG!$G$158:$J$158,CB$111,MAG!$W25:$Z25)</f>
        <v>0</v>
      </c>
      <c r="CC252" s="571"/>
      <c r="CD252" s="448"/>
      <c r="CE252" s="92">
        <f t="shared" si="261"/>
        <v>0</v>
      </c>
      <c r="CF252" s="92">
        <f t="shared" si="262"/>
        <v>0</v>
      </c>
      <c r="CG252" s="151" t="str">
        <f t="shared" si="248"/>
        <v/>
      </c>
      <c r="CH252" s="92">
        <f t="shared" si="251"/>
        <v>0</v>
      </c>
      <c r="CI252" s="92" t="str">
        <f t="shared" si="263"/>
        <v/>
      </c>
      <c r="CJ252" s="1100">
        <f>MAG!AM25</f>
        <v>0</v>
      </c>
      <c r="CK252" s="445">
        <f>SUMIF(MAG!$G$155:$J$155,CK$112,MAG!$AN25:$AQ25)</f>
        <v>0</v>
      </c>
      <c r="CL252" s="446">
        <f>SUMIF(MAG!$G$155:$J$155,CL$112,MAG!$AN25:$AQ25)</f>
        <v>0</v>
      </c>
      <c r="CM252" s="447">
        <f>SUMIF(MAG!$G$155:$J$155,CM$112,MAG!$AN25:$AQ25)</f>
        <v>0</v>
      </c>
      <c r="CN252" s="448">
        <f>SUMIF(MAG!$G$155:$J$155,CN$112,MAG!$AN25:$AQ25)</f>
        <v>0</v>
      </c>
      <c r="CO252" s="1100">
        <f>MAG!AS25</f>
        <v>0</v>
      </c>
      <c r="CP252" s="445">
        <f>MAG!AT25</f>
        <v>0</v>
      </c>
      <c r="CQ252" s="446">
        <f>MAG!AU25</f>
        <v>0</v>
      </c>
      <c r="CR252" s="447">
        <f>MAG!AV25</f>
        <v>0</v>
      </c>
      <c r="CS252" s="448">
        <f>MAG!AW25</f>
        <v>0</v>
      </c>
      <c r="CT252" s="1100">
        <f>MAG!AY25</f>
        <v>0</v>
      </c>
      <c r="CU252" s="2"/>
    </row>
    <row r="253" spans="1:99" ht="14.25" hidden="1" customHeight="1" x14ac:dyDescent="0.2">
      <c r="A253" s="2"/>
      <c r="B253" s="151">
        <f t="shared" si="252"/>
        <v>45431</v>
      </c>
      <c r="C253" s="223">
        <f>IF(AND(E253&gt;(E$495-1),E253&lt;(I$495+1)),W$485,IF(ISERROR(HLOOKUP(E253,$E$488:$L$488,1,FALSE)),HLOOKUP(WEEKDAY(E253,2),IMPOSTAZIONI!$C$51:$P$56,6,FALSE),$W$484))</f>
        <v>0</v>
      </c>
      <c r="D253" s="103" t="str">
        <f t="shared" si="253"/>
        <v/>
      </c>
      <c r="E253" s="2380">
        <f t="shared" si="264"/>
        <v>45431</v>
      </c>
      <c r="F253" s="2381"/>
      <c r="G253" s="2325" t="str">
        <f>MAG!E26</f>
        <v xml:space="preserve">attiva trim.  </v>
      </c>
      <c r="H253" s="2326"/>
      <c r="I253" s="2327"/>
      <c r="J253" s="479" t="str">
        <f t="shared" si="249"/>
        <v/>
      </c>
      <c r="K253" s="480"/>
      <c r="L253" s="2321">
        <f t="shared" si="265"/>
        <v>20</v>
      </c>
      <c r="M253" s="2322"/>
      <c r="N253" s="478"/>
      <c r="O253" s="478"/>
      <c r="P253" s="478"/>
      <c r="Q253" s="2315">
        <f t="shared" si="254"/>
        <v>45431</v>
      </c>
      <c r="R253" s="2315"/>
      <c r="S253" s="478"/>
      <c r="T253" s="140">
        <f t="shared" si="255"/>
        <v>1</v>
      </c>
      <c r="U253" s="478"/>
      <c r="V253" s="478"/>
      <c r="W253" s="478"/>
      <c r="X253" s="478"/>
      <c r="Y253" s="478"/>
      <c r="Z253" s="478"/>
      <c r="AA253" s="478"/>
      <c r="AB253" s="478"/>
      <c r="AC253" s="478"/>
      <c r="AD253" s="478"/>
      <c r="AE253" s="478"/>
      <c r="AF253" s="478"/>
      <c r="AG253" s="140">
        <f t="shared" si="256"/>
        <v>0</v>
      </c>
      <c r="AH253" s="92" t="str">
        <f t="shared" si="257"/>
        <v/>
      </c>
      <c r="AI253" s="131">
        <f t="shared" si="258"/>
        <v>0</v>
      </c>
      <c r="AJ253" s="2"/>
      <c r="AK253" s="92">
        <f>IF(G253=G$481,0,IF(OR(G253&lt;&gt;0,CJ253&lt;&gt;0,C253="L"),COUNTIF(AK$114:AK252,"&gt;0")+1,0))</f>
        <v>0</v>
      </c>
      <c r="AL253" s="92" t="str">
        <f t="shared" si="259"/>
        <v/>
      </c>
      <c r="AM253" s="92" t="str">
        <f t="shared" si="260"/>
        <v/>
      </c>
      <c r="AN253" s="131">
        <f t="shared" si="250"/>
        <v>0</v>
      </c>
      <c r="AO253" s="447">
        <f>SUM(MAG!W26:Z26)</f>
        <v>0</v>
      </c>
      <c r="AP253" s="445">
        <f>SUMIF(MAG!$G$155:$J$155,AP$112,MAG!$R26:$U26)</f>
        <v>0</v>
      </c>
      <c r="AQ253" s="446">
        <f>SUMIF(MAG!$G$155:$J$155,AQ$112,MAG!$R26:$U26)</f>
        <v>0</v>
      </c>
      <c r="AR253" s="447">
        <f>SUMIF(MAG!$G$155:$J$155,AR$112,MAG!$R26:$U26)</f>
        <v>0</v>
      </c>
      <c r="AS253" s="448">
        <f>SUMIF(MAG!$G$155:$J$155,AS$112,MAG!$R26:$U26)</f>
        <v>0</v>
      </c>
      <c r="AT253" s="449">
        <f>MAG!AG26</f>
        <v>0</v>
      </c>
      <c r="AU253" s="445">
        <f>MAG!AH26</f>
        <v>0</v>
      </c>
      <c r="AV253" s="446">
        <f>MAG!AI26</f>
        <v>0</v>
      </c>
      <c r="AW253" s="447">
        <f>MAG!AJ26</f>
        <v>0</v>
      </c>
      <c r="AX253" s="448">
        <f>MAG!AK26</f>
        <v>0</v>
      </c>
      <c r="AY253" s="445">
        <f>SUMIF(MAG!$G$152:$J$152,"&gt;0",MAG!$W26:$Z26)</f>
        <v>0</v>
      </c>
      <c r="AZ253" s="1063">
        <f>SUM(MAG!AB26:AE26)</f>
        <v>0</v>
      </c>
      <c r="BA253" s="445">
        <f>SUMIF(MAG!$G$159:$J$159,BA$111,MAG!$R26:$U26)+SUMIF(MAG!$G$159:$J$159,BA$111,MAG!$W26:$Z26)</f>
        <v>0</v>
      </c>
      <c r="BB253" s="446">
        <f>SUMIF(MAG!$G$159:$J$159,BB$111,MAG!$R26:$U26)+SUMIF(MAG!$G$159:$J$159,BB$111,MAG!$W26:$Z26)</f>
        <v>0</v>
      </c>
      <c r="BC253" s="446">
        <f>SUMIF(MAG!$G$159:$J$159,BC$111,MAG!$R26:$U26)+SUMIF(MAG!$G$159:$J$159,BC$111,MAG!$W26:$Z26)</f>
        <v>0</v>
      </c>
      <c r="BD253" s="446">
        <f>SUMIF(MAG!$G$159:$J$159,BD$111,MAG!$R26:$U26)+SUMIF(MAG!$G$159:$J$159,BD$111,MAG!$W26:$Z26)</f>
        <v>0</v>
      </c>
      <c r="BE253" s="446">
        <f>SUMIF(MAG!$G$159:$J$159,BE$111,MAG!$R26:$U26)+SUMIF(MAG!$G$159:$J$159,BE$111,MAG!$W26:$Z26)</f>
        <v>0</v>
      </c>
      <c r="BF253" s="446">
        <f>SUMIF(MAG!$G$159:$J$159,BF$111,MAG!$R26:$U26)+SUMIF(MAG!$G$159:$J$159,BF$111,MAG!$W26:$Z26)</f>
        <v>0</v>
      </c>
      <c r="BG253" s="448">
        <f>SUMIF(MAG!$G$159:$J$159,BG$111,MAG!$R26:$U26)+SUMIF(MAG!$G$159:$J$159,BG$111,MAG!$W26:$Z26)</f>
        <v>0</v>
      </c>
      <c r="BH253" s="571"/>
      <c r="BI253" s="448"/>
      <c r="BJ253" s="470"/>
      <c r="BK253" s="445">
        <f>SUMIF(MAG!$G$157:$J$157,BK$111,MAG!$R26:$U26)+SUMIF(MAG!$G$157:$J$157,BK$111,MAG!$W26:$Z26)</f>
        <v>0</v>
      </c>
      <c r="BL253" s="446">
        <f>SUMIF(MAG!$G$157:$J$157,BL$111,MAG!$R26:$U26)+SUMIF(MAG!$G$157:$J$157,BL$111,MAG!$W26:$Z26)</f>
        <v>0</v>
      </c>
      <c r="BM253" s="446">
        <f>SUMIF(MAG!$G$157:$J$157,BM$111,MAG!$R26:$U26)+SUMIF(MAG!$G$157:$J$157,BM$111,MAG!$W26:$Z26)</f>
        <v>0</v>
      </c>
      <c r="BN253" s="446">
        <f>SUMIF(MAG!$G$157:$J$157,BN$111,MAG!$R26:$U26)+SUMIF(MAG!$G$157:$J$157,BN$111,MAG!$W26:$Z26)</f>
        <v>0</v>
      </c>
      <c r="BO253" s="446">
        <f>SUMIF(MAG!$G$157:$J$157,BO$111,MAG!$R26:$U26)+SUMIF(MAG!$G$157:$J$157,BO$111,MAG!$W26:$Z26)</f>
        <v>0</v>
      </c>
      <c r="BP253" s="446">
        <f>SUMIF(MAG!$G$157:$J$157,BP$111,MAG!$R26:$U26)+SUMIF(MAG!$G$157:$J$157,BP$111,MAG!$W26:$Z26)</f>
        <v>0</v>
      </c>
      <c r="BQ253" s="448">
        <f>SUMIF(MAG!$G$157:$J$157,BQ$111,MAG!$R26:$U26)+SUMIF(MAG!$G$157:$J$157,BQ$111,MAG!$W26:$Z26)</f>
        <v>0</v>
      </c>
      <c r="BR253" s="571"/>
      <c r="BS253" s="446"/>
      <c r="BT253" s="448"/>
      <c r="BU253" s="470"/>
      <c r="BV253" s="445">
        <f>SUMIF(MAG!$G$158:$J$158,BV$111,MAG!$R26:$U26)+SUMIF(MAG!$G$158:$J$158,BV$111,MAG!$W26:$Z26)</f>
        <v>0</v>
      </c>
      <c r="BW253" s="446">
        <f>SUMIF(MAG!$G$158:$J$158,BW$111,MAG!$R26:$U26)+SUMIF(MAG!$G$158:$J$158,BW$111,MAG!$W26:$Z26)</f>
        <v>0</v>
      </c>
      <c r="BX253" s="446">
        <f>SUMIF(MAG!$G$158:$J$158,BX$111,MAG!$R26:$U26)+SUMIF(MAG!$G$158:$J$158,BX$111,MAG!$W26:$Z26)</f>
        <v>0</v>
      </c>
      <c r="BY253" s="446">
        <f>SUMIF(MAG!$G$158:$J$158,BY$111,MAG!$R26:$U26)+SUMIF(MAG!$G$158:$J$158,BY$111,MAG!$W26:$Z26)</f>
        <v>0</v>
      </c>
      <c r="BZ253" s="446">
        <f>SUMIF(MAG!$G$158:$J$158,BZ$111,MAG!$R26:$U26)+SUMIF(MAG!$G$158:$J$158,BZ$111,MAG!$W26:$Z26)</f>
        <v>0</v>
      </c>
      <c r="CA253" s="446">
        <f>SUMIF(MAG!$G$158:$J$158,CA$111,MAG!$R26:$U26)+SUMIF(MAG!$G$158:$J$158,CA$111,MAG!$W26:$Z26)</f>
        <v>0</v>
      </c>
      <c r="CB253" s="448">
        <f>SUMIF(MAG!$G$158:$J$158,CB$111,MAG!$R26:$U26)+SUMIF(MAG!$G$158:$J$158,CB$111,MAG!$W26:$Z26)</f>
        <v>0</v>
      </c>
      <c r="CC253" s="571"/>
      <c r="CD253" s="448"/>
      <c r="CE253" s="92">
        <f t="shared" si="261"/>
        <v>0</v>
      </c>
      <c r="CF253" s="92">
        <f t="shared" si="262"/>
        <v>0</v>
      </c>
      <c r="CG253" s="151" t="str">
        <f t="shared" si="248"/>
        <v/>
      </c>
      <c r="CH253" s="92">
        <f t="shared" si="251"/>
        <v>0</v>
      </c>
      <c r="CI253" s="92" t="str">
        <f t="shared" si="263"/>
        <v/>
      </c>
      <c r="CJ253" s="1100">
        <f>MAG!AM26</f>
        <v>0</v>
      </c>
      <c r="CK253" s="445">
        <f>SUMIF(MAG!$G$155:$J$155,CK$112,MAG!$AN26:$AQ26)</f>
        <v>0</v>
      </c>
      <c r="CL253" s="446">
        <f>SUMIF(MAG!$G$155:$J$155,CL$112,MAG!$AN26:$AQ26)</f>
        <v>0</v>
      </c>
      <c r="CM253" s="447">
        <f>SUMIF(MAG!$G$155:$J$155,CM$112,MAG!$AN26:$AQ26)</f>
        <v>0</v>
      </c>
      <c r="CN253" s="448">
        <f>SUMIF(MAG!$G$155:$J$155,CN$112,MAG!$AN26:$AQ26)</f>
        <v>0</v>
      </c>
      <c r="CO253" s="1100">
        <f>MAG!AS26</f>
        <v>0</v>
      </c>
      <c r="CP253" s="445">
        <f>MAG!AT26</f>
        <v>0</v>
      </c>
      <c r="CQ253" s="446">
        <f>MAG!AU26</f>
        <v>0</v>
      </c>
      <c r="CR253" s="447">
        <f>MAG!AV26</f>
        <v>0</v>
      </c>
      <c r="CS253" s="448">
        <f>MAG!AW26</f>
        <v>0</v>
      </c>
      <c r="CT253" s="1100">
        <f>MAG!AY26</f>
        <v>0</v>
      </c>
      <c r="CU253" s="2"/>
    </row>
    <row r="254" spans="1:99" ht="14.25" hidden="1" customHeight="1" x14ac:dyDescent="0.2">
      <c r="A254" s="2"/>
      <c r="B254" s="151">
        <f t="shared" si="252"/>
        <v>45432</v>
      </c>
      <c r="C254" s="223">
        <f>IF(AND(E254&gt;(E$495-1),E254&lt;(I$495+1)),W$485,IF(ISERROR(HLOOKUP(E254,$E$488:$L$488,1,FALSE)),HLOOKUP(WEEKDAY(E254,2),IMPOSTAZIONI!$C$51:$P$56,6,FALSE),$W$484))</f>
        <v>0</v>
      </c>
      <c r="D254" s="103" t="str">
        <f t="shared" si="253"/>
        <v/>
      </c>
      <c r="E254" s="2380">
        <f t="shared" si="264"/>
        <v>45432</v>
      </c>
      <c r="F254" s="2381"/>
      <c r="G254" s="2325" t="str">
        <f>MAG!E27</f>
        <v xml:space="preserve">attiva trim.  </v>
      </c>
      <c r="H254" s="2326"/>
      <c r="I254" s="2327"/>
      <c r="J254" s="479" t="str">
        <f t="shared" si="249"/>
        <v/>
      </c>
      <c r="K254" s="480"/>
      <c r="L254" s="2323">
        <f t="shared" si="265"/>
        <v>21</v>
      </c>
      <c r="M254" s="2324"/>
      <c r="N254" s="478"/>
      <c r="O254" s="478"/>
      <c r="P254" s="478"/>
      <c r="Q254" s="2315">
        <f t="shared" si="254"/>
        <v>45432</v>
      </c>
      <c r="R254" s="2315"/>
      <c r="S254" s="478"/>
      <c r="T254" s="140">
        <f t="shared" si="255"/>
        <v>1</v>
      </c>
      <c r="U254" s="478"/>
      <c r="V254" s="478"/>
      <c r="W254" s="478"/>
      <c r="X254" s="478"/>
      <c r="Y254" s="478"/>
      <c r="Z254" s="478"/>
      <c r="AA254" s="478"/>
      <c r="AB254" s="478"/>
      <c r="AC254" s="478"/>
      <c r="AD254" s="478"/>
      <c r="AE254" s="478"/>
      <c r="AF254" s="478"/>
      <c r="AG254" s="140">
        <f t="shared" si="256"/>
        <v>0</v>
      </c>
      <c r="AH254" s="92" t="str">
        <f t="shared" si="257"/>
        <v/>
      </c>
      <c r="AI254" s="131">
        <f t="shared" si="258"/>
        <v>0</v>
      </c>
      <c r="AJ254" s="2"/>
      <c r="AK254" s="92">
        <f>IF(G254=G$481,0,IF(OR(G254&lt;&gt;0,CJ254&lt;&gt;0,C254="L"),COUNTIF(AK$114:AK253,"&gt;0")+1,0))</f>
        <v>0</v>
      </c>
      <c r="AL254" s="92" t="str">
        <f t="shared" si="259"/>
        <v/>
      </c>
      <c r="AM254" s="92" t="str">
        <f t="shared" si="260"/>
        <v/>
      </c>
      <c r="AN254" s="131">
        <f t="shared" si="250"/>
        <v>0</v>
      </c>
      <c r="AO254" s="447">
        <f>SUM(MAG!W27:Z27)</f>
        <v>0</v>
      </c>
      <c r="AP254" s="445">
        <f>SUMIF(MAG!$G$155:$J$155,AP$112,MAG!$R27:$U27)</f>
        <v>0</v>
      </c>
      <c r="AQ254" s="446">
        <f>SUMIF(MAG!$G$155:$J$155,AQ$112,MAG!$R27:$U27)</f>
        <v>0</v>
      </c>
      <c r="AR254" s="447">
        <f>SUMIF(MAG!$G$155:$J$155,AR$112,MAG!$R27:$U27)</f>
        <v>0</v>
      </c>
      <c r="AS254" s="448">
        <f>SUMIF(MAG!$G$155:$J$155,AS$112,MAG!$R27:$U27)</f>
        <v>0</v>
      </c>
      <c r="AT254" s="449">
        <f>MAG!AG27</f>
        <v>0</v>
      </c>
      <c r="AU254" s="445">
        <f>MAG!AH27</f>
        <v>0</v>
      </c>
      <c r="AV254" s="446">
        <f>MAG!AI27</f>
        <v>0</v>
      </c>
      <c r="AW254" s="447">
        <f>MAG!AJ27</f>
        <v>0</v>
      </c>
      <c r="AX254" s="448">
        <f>MAG!AK27</f>
        <v>0</v>
      </c>
      <c r="AY254" s="445">
        <f>SUMIF(MAG!$G$152:$J$152,"&gt;0",MAG!$W27:$Z27)</f>
        <v>0</v>
      </c>
      <c r="AZ254" s="1063">
        <f>SUM(MAG!AB27:AE27)</f>
        <v>0</v>
      </c>
      <c r="BA254" s="445">
        <f>SUMIF(MAG!$G$159:$J$159,BA$111,MAG!$R27:$U27)+SUMIF(MAG!$G$159:$J$159,BA$111,MAG!$W27:$Z27)</f>
        <v>0</v>
      </c>
      <c r="BB254" s="446">
        <f>SUMIF(MAG!$G$159:$J$159,BB$111,MAG!$R27:$U27)+SUMIF(MAG!$G$159:$J$159,BB$111,MAG!$W27:$Z27)</f>
        <v>0</v>
      </c>
      <c r="BC254" s="446">
        <f>SUMIF(MAG!$G$159:$J$159,BC$111,MAG!$R27:$U27)+SUMIF(MAG!$G$159:$J$159,BC$111,MAG!$W27:$Z27)</f>
        <v>0</v>
      </c>
      <c r="BD254" s="446">
        <f>SUMIF(MAG!$G$159:$J$159,BD$111,MAG!$R27:$U27)+SUMIF(MAG!$G$159:$J$159,BD$111,MAG!$W27:$Z27)</f>
        <v>0</v>
      </c>
      <c r="BE254" s="446">
        <f>SUMIF(MAG!$G$159:$J$159,BE$111,MAG!$R27:$U27)+SUMIF(MAG!$G$159:$J$159,BE$111,MAG!$W27:$Z27)</f>
        <v>0</v>
      </c>
      <c r="BF254" s="446">
        <f>SUMIF(MAG!$G$159:$J$159,BF$111,MAG!$R27:$U27)+SUMIF(MAG!$G$159:$J$159,BF$111,MAG!$W27:$Z27)</f>
        <v>0</v>
      </c>
      <c r="BG254" s="448">
        <f>SUMIF(MAG!$G$159:$J$159,BG$111,MAG!$R27:$U27)+SUMIF(MAG!$G$159:$J$159,BG$111,MAG!$W27:$Z27)</f>
        <v>0</v>
      </c>
      <c r="BH254" s="571"/>
      <c r="BI254" s="448"/>
      <c r="BJ254" s="470"/>
      <c r="BK254" s="445">
        <f>SUMIF(MAG!$G$157:$J$157,BK$111,MAG!$R27:$U27)+SUMIF(MAG!$G$157:$J$157,BK$111,MAG!$W27:$Z27)</f>
        <v>0</v>
      </c>
      <c r="BL254" s="446">
        <f>SUMIF(MAG!$G$157:$J$157,BL$111,MAG!$R27:$U27)+SUMIF(MAG!$G$157:$J$157,BL$111,MAG!$W27:$Z27)</f>
        <v>0</v>
      </c>
      <c r="BM254" s="446">
        <f>SUMIF(MAG!$G$157:$J$157,BM$111,MAG!$R27:$U27)+SUMIF(MAG!$G$157:$J$157,BM$111,MAG!$W27:$Z27)</f>
        <v>0</v>
      </c>
      <c r="BN254" s="446">
        <f>SUMIF(MAG!$G$157:$J$157,BN$111,MAG!$R27:$U27)+SUMIF(MAG!$G$157:$J$157,BN$111,MAG!$W27:$Z27)</f>
        <v>0</v>
      </c>
      <c r="BO254" s="446">
        <f>SUMIF(MAG!$G$157:$J$157,BO$111,MAG!$R27:$U27)+SUMIF(MAG!$G$157:$J$157,BO$111,MAG!$W27:$Z27)</f>
        <v>0</v>
      </c>
      <c r="BP254" s="446">
        <f>SUMIF(MAG!$G$157:$J$157,BP$111,MAG!$R27:$U27)+SUMIF(MAG!$G$157:$J$157,BP$111,MAG!$W27:$Z27)</f>
        <v>0</v>
      </c>
      <c r="BQ254" s="448">
        <f>SUMIF(MAG!$G$157:$J$157,BQ$111,MAG!$R27:$U27)+SUMIF(MAG!$G$157:$J$157,BQ$111,MAG!$W27:$Z27)</f>
        <v>0</v>
      </c>
      <c r="BR254" s="571"/>
      <c r="BS254" s="446"/>
      <c r="BT254" s="448"/>
      <c r="BU254" s="470"/>
      <c r="BV254" s="445">
        <f>SUMIF(MAG!$G$158:$J$158,BV$111,MAG!$R27:$U27)+SUMIF(MAG!$G$158:$J$158,BV$111,MAG!$W27:$Z27)</f>
        <v>0</v>
      </c>
      <c r="BW254" s="446">
        <f>SUMIF(MAG!$G$158:$J$158,BW$111,MAG!$R27:$U27)+SUMIF(MAG!$G$158:$J$158,BW$111,MAG!$W27:$Z27)</f>
        <v>0</v>
      </c>
      <c r="BX254" s="446">
        <f>SUMIF(MAG!$G$158:$J$158,BX$111,MAG!$R27:$U27)+SUMIF(MAG!$G$158:$J$158,BX$111,MAG!$W27:$Z27)</f>
        <v>0</v>
      </c>
      <c r="BY254" s="446">
        <f>SUMIF(MAG!$G$158:$J$158,BY$111,MAG!$R27:$U27)+SUMIF(MAG!$G$158:$J$158,BY$111,MAG!$W27:$Z27)</f>
        <v>0</v>
      </c>
      <c r="BZ254" s="446">
        <f>SUMIF(MAG!$G$158:$J$158,BZ$111,MAG!$R27:$U27)+SUMIF(MAG!$G$158:$J$158,BZ$111,MAG!$W27:$Z27)</f>
        <v>0</v>
      </c>
      <c r="CA254" s="446">
        <f>SUMIF(MAG!$G$158:$J$158,CA$111,MAG!$R27:$U27)+SUMIF(MAG!$G$158:$J$158,CA$111,MAG!$W27:$Z27)</f>
        <v>0</v>
      </c>
      <c r="CB254" s="448">
        <f>SUMIF(MAG!$G$158:$J$158,CB$111,MAG!$R27:$U27)+SUMIF(MAG!$G$158:$J$158,CB$111,MAG!$W27:$Z27)</f>
        <v>0</v>
      </c>
      <c r="CC254" s="571"/>
      <c r="CD254" s="448"/>
      <c r="CE254" s="92">
        <f t="shared" si="261"/>
        <v>0</v>
      </c>
      <c r="CF254" s="92">
        <f t="shared" si="262"/>
        <v>0</v>
      </c>
      <c r="CG254" s="151" t="str">
        <f t="shared" si="248"/>
        <v/>
      </c>
      <c r="CH254" s="92">
        <f t="shared" si="251"/>
        <v>0</v>
      </c>
      <c r="CI254" s="92" t="str">
        <f t="shared" si="263"/>
        <v/>
      </c>
      <c r="CJ254" s="1100">
        <f>MAG!AM27</f>
        <v>0</v>
      </c>
      <c r="CK254" s="445">
        <f>SUMIF(MAG!$G$155:$J$155,CK$112,MAG!$AN27:$AQ27)</f>
        <v>0</v>
      </c>
      <c r="CL254" s="446">
        <f>SUMIF(MAG!$G$155:$J$155,CL$112,MAG!$AN27:$AQ27)</f>
        <v>0</v>
      </c>
      <c r="CM254" s="447">
        <f>SUMIF(MAG!$G$155:$J$155,CM$112,MAG!$AN27:$AQ27)</f>
        <v>0</v>
      </c>
      <c r="CN254" s="448">
        <f>SUMIF(MAG!$G$155:$J$155,CN$112,MAG!$AN27:$AQ27)</f>
        <v>0</v>
      </c>
      <c r="CO254" s="1100">
        <f>MAG!AS27</f>
        <v>0</v>
      </c>
      <c r="CP254" s="445">
        <f>MAG!AT27</f>
        <v>0</v>
      </c>
      <c r="CQ254" s="446">
        <f>MAG!AU27</f>
        <v>0</v>
      </c>
      <c r="CR254" s="447">
        <f>MAG!AV27</f>
        <v>0</v>
      </c>
      <c r="CS254" s="448">
        <f>MAG!AW27</f>
        <v>0</v>
      </c>
      <c r="CT254" s="1100">
        <f>MAG!AY27</f>
        <v>0</v>
      </c>
      <c r="CU254" s="2"/>
    </row>
    <row r="255" spans="1:99" ht="14.25" hidden="1" customHeight="1" x14ac:dyDescent="0.2">
      <c r="A255" s="2"/>
      <c r="B255" s="151">
        <f t="shared" si="252"/>
        <v>45433</v>
      </c>
      <c r="C255" s="223">
        <f>IF(AND(E255&gt;(E$495-1),E255&lt;(I$495+1)),W$485,IF(ISERROR(HLOOKUP(E255,$E$488:$L$488,1,FALSE)),HLOOKUP(WEEKDAY(E255,2),IMPOSTAZIONI!$C$51:$P$56,6,FALSE),$W$484))</f>
        <v>0</v>
      </c>
      <c r="D255" s="103" t="str">
        <f t="shared" si="253"/>
        <v/>
      </c>
      <c r="E255" s="2380">
        <f t="shared" si="264"/>
        <v>45433</v>
      </c>
      <c r="F255" s="2381"/>
      <c r="G255" s="2325" t="str">
        <f>MAG!E28</f>
        <v xml:space="preserve">attiva trim.  </v>
      </c>
      <c r="H255" s="2326"/>
      <c r="I255" s="2327"/>
      <c r="J255" s="479" t="str">
        <f t="shared" si="249"/>
        <v/>
      </c>
      <c r="K255" s="480"/>
      <c r="L255" s="2319">
        <f t="shared" si="265"/>
        <v>21</v>
      </c>
      <c r="M255" s="2320"/>
      <c r="N255" s="478"/>
      <c r="O255" s="478"/>
      <c r="P255" s="478"/>
      <c r="Q255" s="2315">
        <f t="shared" si="254"/>
        <v>45433</v>
      </c>
      <c r="R255" s="2315"/>
      <c r="S255" s="478"/>
      <c r="T255" s="140">
        <f t="shared" si="255"/>
        <v>1</v>
      </c>
      <c r="U255" s="478"/>
      <c r="V255" s="478"/>
      <c r="W255" s="478"/>
      <c r="X255" s="478"/>
      <c r="Y255" s="478"/>
      <c r="Z255" s="478"/>
      <c r="AA255" s="478"/>
      <c r="AB255" s="478"/>
      <c r="AC255" s="478"/>
      <c r="AD255" s="478"/>
      <c r="AE255" s="478"/>
      <c r="AF255" s="478"/>
      <c r="AG255" s="140">
        <f t="shared" si="256"/>
        <v>0</v>
      </c>
      <c r="AH255" s="92" t="str">
        <f t="shared" si="257"/>
        <v/>
      </c>
      <c r="AI255" s="131">
        <f t="shared" si="258"/>
        <v>0</v>
      </c>
      <c r="AJ255" s="2"/>
      <c r="AK255" s="92">
        <f>IF(G255=G$481,0,IF(OR(G255&lt;&gt;0,CJ255&lt;&gt;0,C255="L"),COUNTIF(AK$114:AK254,"&gt;0")+1,0))</f>
        <v>0</v>
      </c>
      <c r="AL255" s="92" t="str">
        <f t="shared" si="259"/>
        <v/>
      </c>
      <c r="AM255" s="92" t="str">
        <f t="shared" si="260"/>
        <v/>
      </c>
      <c r="AN255" s="131">
        <f t="shared" si="250"/>
        <v>0</v>
      </c>
      <c r="AO255" s="447">
        <f>SUM(MAG!W28:Z28)</f>
        <v>0</v>
      </c>
      <c r="AP255" s="445">
        <f>SUMIF(MAG!$G$155:$J$155,AP$112,MAG!$R28:$U28)</f>
        <v>0</v>
      </c>
      <c r="AQ255" s="446">
        <f>SUMIF(MAG!$G$155:$J$155,AQ$112,MAG!$R28:$U28)</f>
        <v>0</v>
      </c>
      <c r="AR255" s="447">
        <f>SUMIF(MAG!$G$155:$J$155,AR$112,MAG!$R28:$U28)</f>
        <v>0</v>
      </c>
      <c r="AS255" s="448">
        <f>SUMIF(MAG!$G$155:$J$155,AS$112,MAG!$R28:$U28)</f>
        <v>0</v>
      </c>
      <c r="AT255" s="449">
        <f>MAG!AG28</f>
        <v>0</v>
      </c>
      <c r="AU255" s="445">
        <f>MAG!AH28</f>
        <v>0</v>
      </c>
      <c r="AV255" s="446">
        <f>MAG!AI28</f>
        <v>0</v>
      </c>
      <c r="AW255" s="447">
        <f>MAG!AJ28</f>
        <v>0</v>
      </c>
      <c r="AX255" s="448">
        <f>MAG!AK28</f>
        <v>0</v>
      </c>
      <c r="AY255" s="445">
        <f>SUMIF(MAG!$G$152:$J$152,"&gt;0",MAG!$W28:$Z28)</f>
        <v>0</v>
      </c>
      <c r="AZ255" s="1063">
        <f>SUM(MAG!AB28:AE28)</f>
        <v>0</v>
      </c>
      <c r="BA255" s="445">
        <f>SUMIF(MAG!$G$159:$J$159,BA$111,MAG!$R28:$U28)+SUMIF(MAG!$G$159:$J$159,BA$111,MAG!$W28:$Z28)</f>
        <v>0</v>
      </c>
      <c r="BB255" s="446">
        <f>SUMIF(MAG!$G$159:$J$159,BB$111,MAG!$R28:$U28)+SUMIF(MAG!$G$159:$J$159,BB$111,MAG!$W28:$Z28)</f>
        <v>0</v>
      </c>
      <c r="BC255" s="446">
        <f>SUMIF(MAG!$G$159:$J$159,BC$111,MAG!$R28:$U28)+SUMIF(MAG!$G$159:$J$159,BC$111,MAG!$W28:$Z28)</f>
        <v>0</v>
      </c>
      <c r="BD255" s="446">
        <f>SUMIF(MAG!$G$159:$J$159,BD$111,MAG!$R28:$U28)+SUMIF(MAG!$G$159:$J$159,BD$111,MAG!$W28:$Z28)</f>
        <v>0</v>
      </c>
      <c r="BE255" s="446">
        <f>SUMIF(MAG!$G$159:$J$159,BE$111,MAG!$R28:$U28)+SUMIF(MAG!$G$159:$J$159,BE$111,MAG!$W28:$Z28)</f>
        <v>0</v>
      </c>
      <c r="BF255" s="446">
        <f>SUMIF(MAG!$G$159:$J$159,BF$111,MAG!$R28:$U28)+SUMIF(MAG!$G$159:$J$159,BF$111,MAG!$W28:$Z28)</f>
        <v>0</v>
      </c>
      <c r="BG255" s="448">
        <f>SUMIF(MAG!$G$159:$J$159,BG$111,MAG!$R28:$U28)+SUMIF(MAG!$G$159:$J$159,BG$111,MAG!$W28:$Z28)</f>
        <v>0</v>
      </c>
      <c r="BH255" s="571"/>
      <c r="BI255" s="448"/>
      <c r="BJ255" s="470"/>
      <c r="BK255" s="445">
        <f>SUMIF(MAG!$G$157:$J$157,BK$111,MAG!$R28:$U28)+SUMIF(MAG!$G$157:$J$157,BK$111,MAG!$W28:$Z28)</f>
        <v>0</v>
      </c>
      <c r="BL255" s="446">
        <f>SUMIF(MAG!$G$157:$J$157,BL$111,MAG!$R28:$U28)+SUMIF(MAG!$G$157:$J$157,BL$111,MAG!$W28:$Z28)</f>
        <v>0</v>
      </c>
      <c r="BM255" s="446">
        <f>SUMIF(MAG!$G$157:$J$157,BM$111,MAG!$R28:$U28)+SUMIF(MAG!$G$157:$J$157,BM$111,MAG!$W28:$Z28)</f>
        <v>0</v>
      </c>
      <c r="BN255" s="446">
        <f>SUMIF(MAG!$G$157:$J$157,BN$111,MAG!$R28:$U28)+SUMIF(MAG!$G$157:$J$157,BN$111,MAG!$W28:$Z28)</f>
        <v>0</v>
      </c>
      <c r="BO255" s="446">
        <f>SUMIF(MAG!$G$157:$J$157,BO$111,MAG!$R28:$U28)+SUMIF(MAG!$G$157:$J$157,BO$111,MAG!$W28:$Z28)</f>
        <v>0</v>
      </c>
      <c r="BP255" s="446">
        <f>SUMIF(MAG!$G$157:$J$157,BP$111,MAG!$R28:$U28)+SUMIF(MAG!$G$157:$J$157,BP$111,MAG!$W28:$Z28)</f>
        <v>0</v>
      </c>
      <c r="BQ255" s="448">
        <f>SUMIF(MAG!$G$157:$J$157,BQ$111,MAG!$R28:$U28)+SUMIF(MAG!$G$157:$J$157,BQ$111,MAG!$W28:$Z28)</f>
        <v>0</v>
      </c>
      <c r="BR255" s="571"/>
      <c r="BS255" s="446"/>
      <c r="BT255" s="448"/>
      <c r="BU255" s="470"/>
      <c r="BV255" s="445">
        <f>SUMIF(MAG!$G$158:$J$158,BV$111,MAG!$R28:$U28)+SUMIF(MAG!$G$158:$J$158,BV$111,MAG!$W28:$Z28)</f>
        <v>0</v>
      </c>
      <c r="BW255" s="446">
        <f>SUMIF(MAG!$G$158:$J$158,BW$111,MAG!$R28:$U28)+SUMIF(MAG!$G$158:$J$158,BW$111,MAG!$W28:$Z28)</f>
        <v>0</v>
      </c>
      <c r="BX255" s="446">
        <f>SUMIF(MAG!$G$158:$J$158,BX$111,MAG!$R28:$U28)+SUMIF(MAG!$G$158:$J$158,BX$111,MAG!$W28:$Z28)</f>
        <v>0</v>
      </c>
      <c r="BY255" s="446">
        <f>SUMIF(MAG!$G$158:$J$158,BY$111,MAG!$R28:$U28)+SUMIF(MAG!$G$158:$J$158,BY$111,MAG!$W28:$Z28)</f>
        <v>0</v>
      </c>
      <c r="BZ255" s="446">
        <f>SUMIF(MAG!$G$158:$J$158,BZ$111,MAG!$R28:$U28)+SUMIF(MAG!$G$158:$J$158,BZ$111,MAG!$W28:$Z28)</f>
        <v>0</v>
      </c>
      <c r="CA255" s="446">
        <f>SUMIF(MAG!$G$158:$J$158,CA$111,MAG!$R28:$U28)+SUMIF(MAG!$G$158:$J$158,CA$111,MAG!$W28:$Z28)</f>
        <v>0</v>
      </c>
      <c r="CB255" s="448">
        <f>SUMIF(MAG!$G$158:$J$158,CB$111,MAG!$R28:$U28)+SUMIF(MAG!$G$158:$J$158,CB$111,MAG!$W28:$Z28)</f>
        <v>0</v>
      </c>
      <c r="CC255" s="571"/>
      <c r="CD255" s="448"/>
      <c r="CE255" s="92">
        <f t="shared" si="261"/>
        <v>0</v>
      </c>
      <c r="CF255" s="92">
        <f t="shared" si="262"/>
        <v>0</v>
      </c>
      <c r="CG255" s="151" t="str">
        <f t="shared" si="248"/>
        <v/>
      </c>
      <c r="CH255" s="92">
        <f t="shared" si="251"/>
        <v>0</v>
      </c>
      <c r="CI255" s="92" t="str">
        <f t="shared" si="263"/>
        <v/>
      </c>
      <c r="CJ255" s="1100">
        <f>MAG!AM28</f>
        <v>0</v>
      </c>
      <c r="CK255" s="445">
        <f>SUMIF(MAG!$G$155:$J$155,CK$112,MAG!$AN28:$AQ28)</f>
        <v>0</v>
      </c>
      <c r="CL255" s="446">
        <f>SUMIF(MAG!$G$155:$J$155,CL$112,MAG!$AN28:$AQ28)</f>
        <v>0</v>
      </c>
      <c r="CM255" s="447">
        <f>SUMIF(MAG!$G$155:$J$155,CM$112,MAG!$AN28:$AQ28)</f>
        <v>0</v>
      </c>
      <c r="CN255" s="448">
        <f>SUMIF(MAG!$G$155:$J$155,CN$112,MAG!$AN28:$AQ28)</f>
        <v>0</v>
      </c>
      <c r="CO255" s="1100">
        <f>MAG!AS28</f>
        <v>0</v>
      </c>
      <c r="CP255" s="445">
        <f>MAG!AT28</f>
        <v>0</v>
      </c>
      <c r="CQ255" s="446">
        <f>MAG!AU28</f>
        <v>0</v>
      </c>
      <c r="CR255" s="447">
        <f>MAG!AV28</f>
        <v>0</v>
      </c>
      <c r="CS255" s="448">
        <f>MAG!AW28</f>
        <v>0</v>
      </c>
      <c r="CT255" s="1100">
        <f>MAG!AY28</f>
        <v>0</v>
      </c>
      <c r="CU255" s="2"/>
    </row>
    <row r="256" spans="1:99" ht="14.25" hidden="1" customHeight="1" x14ac:dyDescent="0.2">
      <c r="A256" s="2"/>
      <c r="B256" s="151">
        <f t="shared" si="252"/>
        <v>45434</v>
      </c>
      <c r="C256" s="223">
        <f>IF(AND(E256&gt;(E$495-1),E256&lt;(I$495+1)),W$485,IF(ISERROR(HLOOKUP(E256,$E$488:$L$488,1,FALSE)),HLOOKUP(WEEKDAY(E256,2),IMPOSTAZIONI!$C$51:$P$56,6,FALSE),$W$484))</f>
        <v>0</v>
      </c>
      <c r="D256" s="103" t="str">
        <f t="shared" si="253"/>
        <v/>
      </c>
      <c r="E256" s="2380">
        <f t="shared" si="264"/>
        <v>45434</v>
      </c>
      <c r="F256" s="2381"/>
      <c r="G256" s="2325" t="str">
        <f>MAG!E29</f>
        <v xml:space="preserve">attiva trim.  </v>
      </c>
      <c r="H256" s="2326"/>
      <c r="I256" s="2327"/>
      <c r="J256" s="479" t="str">
        <f t="shared" si="249"/>
        <v/>
      </c>
      <c r="K256" s="480"/>
      <c r="L256" s="2319">
        <f t="shared" si="265"/>
        <v>21</v>
      </c>
      <c r="M256" s="2320"/>
      <c r="N256" s="478"/>
      <c r="O256" s="478"/>
      <c r="P256" s="478"/>
      <c r="Q256" s="2315">
        <f t="shared" si="254"/>
        <v>45434</v>
      </c>
      <c r="R256" s="2315"/>
      <c r="S256" s="478"/>
      <c r="T256" s="140">
        <f t="shared" si="255"/>
        <v>1</v>
      </c>
      <c r="U256" s="478"/>
      <c r="V256" s="478"/>
      <c r="W256" s="478"/>
      <c r="X256" s="478"/>
      <c r="Y256" s="478"/>
      <c r="Z256" s="478"/>
      <c r="AA256" s="478"/>
      <c r="AB256" s="478"/>
      <c r="AC256" s="478"/>
      <c r="AD256" s="478"/>
      <c r="AE256" s="478"/>
      <c r="AF256" s="478"/>
      <c r="AG256" s="140">
        <f t="shared" si="256"/>
        <v>0</v>
      </c>
      <c r="AH256" s="92" t="str">
        <f t="shared" si="257"/>
        <v/>
      </c>
      <c r="AI256" s="131">
        <f t="shared" si="258"/>
        <v>0</v>
      </c>
      <c r="AJ256" s="2"/>
      <c r="AK256" s="92">
        <f>IF(G256=G$481,0,IF(OR(G256&lt;&gt;0,CJ256&lt;&gt;0,C256="L"),COUNTIF(AK$114:AK255,"&gt;0")+1,0))</f>
        <v>0</v>
      </c>
      <c r="AL256" s="92" t="str">
        <f t="shared" si="259"/>
        <v/>
      </c>
      <c r="AM256" s="92" t="str">
        <f t="shared" si="260"/>
        <v/>
      </c>
      <c r="AN256" s="131">
        <f t="shared" si="250"/>
        <v>0</v>
      </c>
      <c r="AO256" s="447">
        <f>SUM(MAG!W29:Z29)</f>
        <v>0</v>
      </c>
      <c r="AP256" s="445">
        <f>SUMIF(MAG!$G$155:$J$155,AP$112,MAG!$R29:$U29)</f>
        <v>0</v>
      </c>
      <c r="AQ256" s="446">
        <f>SUMIF(MAG!$G$155:$J$155,AQ$112,MAG!$R29:$U29)</f>
        <v>0</v>
      </c>
      <c r="AR256" s="447">
        <f>SUMIF(MAG!$G$155:$J$155,AR$112,MAG!$R29:$U29)</f>
        <v>0</v>
      </c>
      <c r="AS256" s="448">
        <f>SUMIF(MAG!$G$155:$J$155,AS$112,MAG!$R29:$U29)</f>
        <v>0</v>
      </c>
      <c r="AT256" s="449">
        <f>MAG!AG29</f>
        <v>0</v>
      </c>
      <c r="AU256" s="445">
        <f>MAG!AH29</f>
        <v>0</v>
      </c>
      <c r="AV256" s="446">
        <f>MAG!AI29</f>
        <v>0</v>
      </c>
      <c r="AW256" s="447">
        <f>MAG!AJ29</f>
        <v>0</v>
      </c>
      <c r="AX256" s="448">
        <f>MAG!AK29</f>
        <v>0</v>
      </c>
      <c r="AY256" s="445">
        <f>SUMIF(MAG!$G$152:$J$152,"&gt;0",MAG!$W29:$Z29)</f>
        <v>0</v>
      </c>
      <c r="AZ256" s="1063">
        <f>SUM(MAG!AB29:AE29)</f>
        <v>0</v>
      </c>
      <c r="BA256" s="445">
        <f>SUMIF(MAG!$G$159:$J$159,BA$111,MAG!$R29:$U29)+SUMIF(MAG!$G$159:$J$159,BA$111,MAG!$W29:$Z29)</f>
        <v>0</v>
      </c>
      <c r="BB256" s="446">
        <f>SUMIF(MAG!$G$159:$J$159,BB$111,MAG!$R29:$U29)+SUMIF(MAG!$G$159:$J$159,BB$111,MAG!$W29:$Z29)</f>
        <v>0</v>
      </c>
      <c r="BC256" s="446">
        <f>SUMIF(MAG!$G$159:$J$159,BC$111,MAG!$R29:$U29)+SUMIF(MAG!$G$159:$J$159,BC$111,MAG!$W29:$Z29)</f>
        <v>0</v>
      </c>
      <c r="BD256" s="446">
        <f>SUMIF(MAG!$G$159:$J$159,BD$111,MAG!$R29:$U29)+SUMIF(MAG!$G$159:$J$159,BD$111,MAG!$W29:$Z29)</f>
        <v>0</v>
      </c>
      <c r="BE256" s="446">
        <f>SUMIF(MAG!$G$159:$J$159,BE$111,MAG!$R29:$U29)+SUMIF(MAG!$G$159:$J$159,BE$111,MAG!$W29:$Z29)</f>
        <v>0</v>
      </c>
      <c r="BF256" s="446">
        <f>SUMIF(MAG!$G$159:$J$159,BF$111,MAG!$R29:$U29)+SUMIF(MAG!$G$159:$J$159,BF$111,MAG!$W29:$Z29)</f>
        <v>0</v>
      </c>
      <c r="BG256" s="448">
        <f>SUMIF(MAG!$G$159:$J$159,BG$111,MAG!$R29:$U29)+SUMIF(MAG!$G$159:$J$159,BG$111,MAG!$W29:$Z29)</f>
        <v>0</v>
      </c>
      <c r="BH256" s="571"/>
      <c r="BI256" s="448"/>
      <c r="BJ256" s="470"/>
      <c r="BK256" s="445">
        <f>SUMIF(MAG!$G$157:$J$157,BK$111,MAG!$R29:$U29)+SUMIF(MAG!$G$157:$J$157,BK$111,MAG!$W29:$Z29)</f>
        <v>0</v>
      </c>
      <c r="BL256" s="446">
        <f>SUMIF(MAG!$G$157:$J$157,BL$111,MAG!$R29:$U29)+SUMIF(MAG!$G$157:$J$157,BL$111,MAG!$W29:$Z29)</f>
        <v>0</v>
      </c>
      <c r="BM256" s="446">
        <f>SUMIF(MAG!$G$157:$J$157,BM$111,MAG!$R29:$U29)+SUMIF(MAG!$G$157:$J$157,BM$111,MAG!$W29:$Z29)</f>
        <v>0</v>
      </c>
      <c r="BN256" s="446">
        <f>SUMIF(MAG!$G$157:$J$157,BN$111,MAG!$R29:$U29)+SUMIF(MAG!$G$157:$J$157,BN$111,MAG!$W29:$Z29)</f>
        <v>0</v>
      </c>
      <c r="BO256" s="446">
        <f>SUMIF(MAG!$G$157:$J$157,BO$111,MAG!$R29:$U29)+SUMIF(MAG!$G$157:$J$157,BO$111,MAG!$W29:$Z29)</f>
        <v>0</v>
      </c>
      <c r="BP256" s="446">
        <f>SUMIF(MAG!$G$157:$J$157,BP$111,MAG!$R29:$U29)+SUMIF(MAG!$G$157:$J$157,BP$111,MAG!$W29:$Z29)</f>
        <v>0</v>
      </c>
      <c r="BQ256" s="448">
        <f>SUMIF(MAG!$G$157:$J$157,BQ$111,MAG!$R29:$U29)+SUMIF(MAG!$G$157:$J$157,BQ$111,MAG!$W29:$Z29)</f>
        <v>0</v>
      </c>
      <c r="BR256" s="571"/>
      <c r="BS256" s="446"/>
      <c r="BT256" s="448"/>
      <c r="BU256" s="470"/>
      <c r="BV256" s="445">
        <f>SUMIF(MAG!$G$158:$J$158,BV$111,MAG!$R29:$U29)+SUMIF(MAG!$G$158:$J$158,BV$111,MAG!$W29:$Z29)</f>
        <v>0</v>
      </c>
      <c r="BW256" s="446">
        <f>SUMIF(MAG!$G$158:$J$158,BW$111,MAG!$R29:$U29)+SUMIF(MAG!$G$158:$J$158,BW$111,MAG!$W29:$Z29)</f>
        <v>0</v>
      </c>
      <c r="BX256" s="446">
        <f>SUMIF(MAG!$G$158:$J$158,BX$111,MAG!$R29:$U29)+SUMIF(MAG!$G$158:$J$158,BX$111,MAG!$W29:$Z29)</f>
        <v>0</v>
      </c>
      <c r="BY256" s="446">
        <f>SUMIF(MAG!$G$158:$J$158,BY$111,MAG!$R29:$U29)+SUMIF(MAG!$G$158:$J$158,BY$111,MAG!$W29:$Z29)</f>
        <v>0</v>
      </c>
      <c r="BZ256" s="446">
        <f>SUMIF(MAG!$G$158:$J$158,BZ$111,MAG!$R29:$U29)+SUMIF(MAG!$G$158:$J$158,BZ$111,MAG!$W29:$Z29)</f>
        <v>0</v>
      </c>
      <c r="CA256" s="446">
        <f>SUMIF(MAG!$G$158:$J$158,CA$111,MAG!$R29:$U29)+SUMIF(MAG!$G$158:$J$158,CA$111,MAG!$W29:$Z29)</f>
        <v>0</v>
      </c>
      <c r="CB256" s="448">
        <f>SUMIF(MAG!$G$158:$J$158,CB$111,MAG!$R29:$U29)+SUMIF(MAG!$G$158:$J$158,CB$111,MAG!$W29:$Z29)</f>
        <v>0</v>
      </c>
      <c r="CC256" s="571"/>
      <c r="CD256" s="448"/>
      <c r="CE256" s="92">
        <f t="shared" si="261"/>
        <v>0</v>
      </c>
      <c r="CF256" s="92">
        <f t="shared" si="262"/>
        <v>0</v>
      </c>
      <c r="CG256" s="151" t="str">
        <f t="shared" si="248"/>
        <v/>
      </c>
      <c r="CH256" s="92">
        <f t="shared" si="251"/>
        <v>0</v>
      </c>
      <c r="CI256" s="92" t="str">
        <f t="shared" si="263"/>
        <v/>
      </c>
      <c r="CJ256" s="1100">
        <f>MAG!AM29</f>
        <v>0</v>
      </c>
      <c r="CK256" s="445">
        <f>SUMIF(MAG!$G$155:$J$155,CK$112,MAG!$AN29:$AQ29)</f>
        <v>0</v>
      </c>
      <c r="CL256" s="446">
        <f>SUMIF(MAG!$G$155:$J$155,CL$112,MAG!$AN29:$AQ29)</f>
        <v>0</v>
      </c>
      <c r="CM256" s="447">
        <f>SUMIF(MAG!$G$155:$J$155,CM$112,MAG!$AN29:$AQ29)</f>
        <v>0</v>
      </c>
      <c r="CN256" s="448">
        <f>SUMIF(MAG!$G$155:$J$155,CN$112,MAG!$AN29:$AQ29)</f>
        <v>0</v>
      </c>
      <c r="CO256" s="1100">
        <f>MAG!AS29</f>
        <v>0</v>
      </c>
      <c r="CP256" s="445">
        <f>MAG!AT29</f>
        <v>0</v>
      </c>
      <c r="CQ256" s="446">
        <f>MAG!AU29</f>
        <v>0</v>
      </c>
      <c r="CR256" s="447">
        <f>MAG!AV29</f>
        <v>0</v>
      </c>
      <c r="CS256" s="448">
        <f>MAG!AW29</f>
        <v>0</v>
      </c>
      <c r="CT256" s="1100">
        <f>MAG!AY29</f>
        <v>0</v>
      </c>
      <c r="CU256" s="2"/>
    </row>
    <row r="257" spans="1:99" ht="14.25" hidden="1" customHeight="1" x14ac:dyDescent="0.2">
      <c r="A257" s="2"/>
      <c r="B257" s="151">
        <f t="shared" si="252"/>
        <v>45435</v>
      </c>
      <c r="C257" s="223">
        <f>IF(AND(E257&gt;(E$495-1),E257&lt;(I$495+1)),W$485,IF(ISERROR(HLOOKUP(E257,$E$488:$L$488,1,FALSE)),HLOOKUP(WEEKDAY(E257,2),IMPOSTAZIONI!$C$51:$P$56,6,FALSE),$W$484))</f>
        <v>0</v>
      </c>
      <c r="D257" s="103" t="str">
        <f t="shared" si="253"/>
        <v/>
      </c>
      <c r="E257" s="2380">
        <f t="shared" si="264"/>
        <v>45435</v>
      </c>
      <c r="F257" s="2381"/>
      <c r="G257" s="2325" t="str">
        <f>MAG!E30</f>
        <v xml:space="preserve">attiva trim.  </v>
      </c>
      <c r="H257" s="2326"/>
      <c r="I257" s="2327"/>
      <c r="J257" s="479" t="str">
        <f t="shared" si="249"/>
        <v/>
      </c>
      <c r="K257" s="480"/>
      <c r="L257" s="2319">
        <f t="shared" si="265"/>
        <v>21</v>
      </c>
      <c r="M257" s="2320"/>
      <c r="N257" s="478"/>
      <c r="O257" s="478"/>
      <c r="P257" s="478"/>
      <c r="Q257" s="2315">
        <f t="shared" si="254"/>
        <v>45435</v>
      </c>
      <c r="R257" s="2315"/>
      <c r="S257" s="478"/>
      <c r="T257" s="140">
        <f t="shared" si="255"/>
        <v>1</v>
      </c>
      <c r="U257" s="478"/>
      <c r="V257" s="478"/>
      <c r="W257" s="478"/>
      <c r="X257" s="478"/>
      <c r="Y257" s="478"/>
      <c r="Z257" s="478"/>
      <c r="AA257" s="478"/>
      <c r="AB257" s="478"/>
      <c r="AC257" s="478"/>
      <c r="AD257" s="478"/>
      <c r="AE257" s="478"/>
      <c r="AF257" s="478"/>
      <c r="AG257" s="140">
        <f t="shared" si="256"/>
        <v>0</v>
      </c>
      <c r="AH257" s="92" t="str">
        <f t="shared" si="257"/>
        <v/>
      </c>
      <c r="AI257" s="131">
        <f t="shared" si="258"/>
        <v>0</v>
      </c>
      <c r="AJ257" s="2"/>
      <c r="AK257" s="92">
        <f>IF(G257=G$481,0,IF(OR(G257&lt;&gt;0,CJ257&lt;&gt;0,C257="L"),COUNTIF(AK$114:AK256,"&gt;0")+1,0))</f>
        <v>0</v>
      </c>
      <c r="AL257" s="92" t="str">
        <f t="shared" si="259"/>
        <v/>
      </c>
      <c r="AM257" s="92" t="str">
        <f t="shared" si="260"/>
        <v/>
      </c>
      <c r="AN257" s="131">
        <f t="shared" si="250"/>
        <v>0</v>
      </c>
      <c r="AO257" s="447">
        <f>SUM(MAG!W30:Z30)</f>
        <v>0</v>
      </c>
      <c r="AP257" s="445">
        <f>SUMIF(MAG!$G$155:$J$155,AP$112,MAG!$R30:$U30)</f>
        <v>0</v>
      </c>
      <c r="AQ257" s="446">
        <f>SUMIF(MAG!$G$155:$J$155,AQ$112,MAG!$R30:$U30)</f>
        <v>0</v>
      </c>
      <c r="AR257" s="447">
        <f>SUMIF(MAG!$G$155:$J$155,AR$112,MAG!$R30:$U30)</f>
        <v>0</v>
      </c>
      <c r="AS257" s="448">
        <f>SUMIF(MAG!$G$155:$J$155,AS$112,MAG!$R30:$U30)</f>
        <v>0</v>
      </c>
      <c r="AT257" s="449">
        <f>MAG!AG30</f>
        <v>0</v>
      </c>
      <c r="AU257" s="445">
        <f>MAG!AH30</f>
        <v>0</v>
      </c>
      <c r="AV257" s="446">
        <f>MAG!AI30</f>
        <v>0</v>
      </c>
      <c r="AW257" s="447">
        <f>MAG!AJ30</f>
        <v>0</v>
      </c>
      <c r="AX257" s="448">
        <f>MAG!AK30</f>
        <v>0</v>
      </c>
      <c r="AY257" s="445">
        <f>SUMIF(MAG!$G$152:$J$152,"&gt;0",MAG!$W30:$Z30)</f>
        <v>0</v>
      </c>
      <c r="AZ257" s="1063">
        <f>SUM(MAG!AB30:AE30)</f>
        <v>0</v>
      </c>
      <c r="BA257" s="445">
        <f>SUMIF(MAG!$G$159:$J$159,BA$111,MAG!$R30:$U30)+SUMIF(MAG!$G$159:$J$159,BA$111,MAG!$W30:$Z30)</f>
        <v>0</v>
      </c>
      <c r="BB257" s="446">
        <f>SUMIF(MAG!$G$159:$J$159,BB$111,MAG!$R30:$U30)+SUMIF(MAG!$G$159:$J$159,BB$111,MAG!$W30:$Z30)</f>
        <v>0</v>
      </c>
      <c r="BC257" s="446">
        <f>SUMIF(MAG!$G$159:$J$159,BC$111,MAG!$R30:$U30)+SUMIF(MAG!$G$159:$J$159,BC$111,MAG!$W30:$Z30)</f>
        <v>0</v>
      </c>
      <c r="BD257" s="446">
        <f>SUMIF(MAG!$G$159:$J$159,BD$111,MAG!$R30:$U30)+SUMIF(MAG!$G$159:$J$159,BD$111,MAG!$W30:$Z30)</f>
        <v>0</v>
      </c>
      <c r="BE257" s="446">
        <f>SUMIF(MAG!$G$159:$J$159,BE$111,MAG!$R30:$U30)+SUMIF(MAG!$G$159:$J$159,BE$111,MAG!$W30:$Z30)</f>
        <v>0</v>
      </c>
      <c r="BF257" s="446">
        <f>SUMIF(MAG!$G$159:$J$159,BF$111,MAG!$R30:$U30)+SUMIF(MAG!$G$159:$J$159,BF$111,MAG!$W30:$Z30)</f>
        <v>0</v>
      </c>
      <c r="BG257" s="448">
        <f>SUMIF(MAG!$G$159:$J$159,BG$111,MAG!$R30:$U30)+SUMIF(MAG!$G$159:$J$159,BG$111,MAG!$W30:$Z30)</f>
        <v>0</v>
      </c>
      <c r="BH257" s="571"/>
      <c r="BI257" s="448"/>
      <c r="BJ257" s="470"/>
      <c r="BK257" s="445">
        <f>SUMIF(MAG!$G$157:$J$157,BK$111,MAG!$R30:$U30)+SUMIF(MAG!$G$157:$J$157,BK$111,MAG!$W30:$Z30)</f>
        <v>0</v>
      </c>
      <c r="BL257" s="446">
        <f>SUMIF(MAG!$G$157:$J$157,BL$111,MAG!$R30:$U30)+SUMIF(MAG!$G$157:$J$157,BL$111,MAG!$W30:$Z30)</f>
        <v>0</v>
      </c>
      <c r="BM257" s="446">
        <f>SUMIF(MAG!$G$157:$J$157,BM$111,MAG!$R30:$U30)+SUMIF(MAG!$G$157:$J$157,BM$111,MAG!$W30:$Z30)</f>
        <v>0</v>
      </c>
      <c r="BN257" s="446">
        <f>SUMIF(MAG!$G$157:$J$157,BN$111,MAG!$R30:$U30)+SUMIF(MAG!$G$157:$J$157,BN$111,MAG!$W30:$Z30)</f>
        <v>0</v>
      </c>
      <c r="BO257" s="446">
        <f>SUMIF(MAG!$G$157:$J$157,BO$111,MAG!$R30:$U30)+SUMIF(MAG!$G$157:$J$157,BO$111,MAG!$W30:$Z30)</f>
        <v>0</v>
      </c>
      <c r="BP257" s="446">
        <f>SUMIF(MAG!$G$157:$J$157,BP$111,MAG!$R30:$U30)+SUMIF(MAG!$G$157:$J$157,BP$111,MAG!$W30:$Z30)</f>
        <v>0</v>
      </c>
      <c r="BQ257" s="448">
        <f>SUMIF(MAG!$G$157:$J$157,BQ$111,MAG!$R30:$U30)+SUMIF(MAG!$G$157:$J$157,BQ$111,MAG!$W30:$Z30)</f>
        <v>0</v>
      </c>
      <c r="BR257" s="571"/>
      <c r="BS257" s="446"/>
      <c r="BT257" s="448"/>
      <c r="BU257" s="470"/>
      <c r="BV257" s="445">
        <f>SUMIF(MAG!$G$158:$J$158,BV$111,MAG!$R30:$U30)+SUMIF(MAG!$G$158:$J$158,BV$111,MAG!$W30:$Z30)</f>
        <v>0</v>
      </c>
      <c r="BW257" s="446">
        <f>SUMIF(MAG!$G$158:$J$158,BW$111,MAG!$R30:$U30)+SUMIF(MAG!$G$158:$J$158,BW$111,MAG!$W30:$Z30)</f>
        <v>0</v>
      </c>
      <c r="BX257" s="446">
        <f>SUMIF(MAG!$G$158:$J$158,BX$111,MAG!$R30:$U30)+SUMIF(MAG!$G$158:$J$158,BX$111,MAG!$W30:$Z30)</f>
        <v>0</v>
      </c>
      <c r="BY257" s="446">
        <f>SUMIF(MAG!$G$158:$J$158,BY$111,MAG!$R30:$U30)+SUMIF(MAG!$G$158:$J$158,BY$111,MAG!$W30:$Z30)</f>
        <v>0</v>
      </c>
      <c r="BZ257" s="446">
        <f>SUMIF(MAG!$G$158:$J$158,BZ$111,MAG!$R30:$U30)+SUMIF(MAG!$G$158:$J$158,BZ$111,MAG!$W30:$Z30)</f>
        <v>0</v>
      </c>
      <c r="CA257" s="446">
        <f>SUMIF(MAG!$G$158:$J$158,CA$111,MAG!$R30:$U30)+SUMIF(MAG!$G$158:$J$158,CA$111,MAG!$W30:$Z30)</f>
        <v>0</v>
      </c>
      <c r="CB257" s="448">
        <f>SUMIF(MAG!$G$158:$J$158,CB$111,MAG!$R30:$U30)+SUMIF(MAG!$G$158:$J$158,CB$111,MAG!$W30:$Z30)</f>
        <v>0</v>
      </c>
      <c r="CC257" s="571"/>
      <c r="CD257" s="448"/>
      <c r="CE257" s="92">
        <f t="shared" si="261"/>
        <v>0</v>
      </c>
      <c r="CF257" s="92">
        <f t="shared" si="262"/>
        <v>0</v>
      </c>
      <c r="CG257" s="151" t="str">
        <f t="shared" si="248"/>
        <v/>
      </c>
      <c r="CH257" s="92">
        <f t="shared" si="251"/>
        <v>0</v>
      </c>
      <c r="CI257" s="92" t="str">
        <f t="shared" si="263"/>
        <v/>
      </c>
      <c r="CJ257" s="1100">
        <f>MAG!AM30</f>
        <v>0</v>
      </c>
      <c r="CK257" s="445">
        <f>SUMIF(MAG!$G$155:$J$155,CK$112,MAG!$AN30:$AQ30)</f>
        <v>0</v>
      </c>
      <c r="CL257" s="446">
        <f>SUMIF(MAG!$G$155:$J$155,CL$112,MAG!$AN30:$AQ30)</f>
        <v>0</v>
      </c>
      <c r="CM257" s="447">
        <f>SUMIF(MAG!$G$155:$J$155,CM$112,MAG!$AN30:$AQ30)</f>
        <v>0</v>
      </c>
      <c r="CN257" s="448">
        <f>SUMIF(MAG!$G$155:$J$155,CN$112,MAG!$AN30:$AQ30)</f>
        <v>0</v>
      </c>
      <c r="CO257" s="1100">
        <f>MAG!AS30</f>
        <v>0</v>
      </c>
      <c r="CP257" s="445">
        <f>MAG!AT30</f>
        <v>0</v>
      </c>
      <c r="CQ257" s="446">
        <f>MAG!AU30</f>
        <v>0</v>
      </c>
      <c r="CR257" s="447">
        <f>MAG!AV30</f>
        <v>0</v>
      </c>
      <c r="CS257" s="448">
        <f>MAG!AW30</f>
        <v>0</v>
      </c>
      <c r="CT257" s="1100">
        <f>MAG!AY30</f>
        <v>0</v>
      </c>
      <c r="CU257" s="2"/>
    </row>
    <row r="258" spans="1:99" ht="14.25" hidden="1" customHeight="1" x14ac:dyDescent="0.2">
      <c r="A258" s="2"/>
      <c r="B258" s="151">
        <f t="shared" si="252"/>
        <v>45436</v>
      </c>
      <c r="C258" s="223">
        <f>IF(AND(E258&gt;(E$495-1),E258&lt;(I$495+1)),W$485,IF(ISERROR(HLOOKUP(E258,$E$488:$L$488,1,FALSE)),HLOOKUP(WEEKDAY(E258,2),IMPOSTAZIONI!$C$51:$P$56,6,FALSE),$W$484))</f>
        <v>0</v>
      </c>
      <c r="D258" s="103" t="str">
        <f t="shared" si="253"/>
        <v/>
      </c>
      <c r="E258" s="2380">
        <f t="shared" si="264"/>
        <v>45436</v>
      </c>
      <c r="F258" s="2381"/>
      <c r="G258" s="2325" t="str">
        <f>MAG!E31</f>
        <v xml:space="preserve">attiva trim.  </v>
      </c>
      <c r="H258" s="2326"/>
      <c r="I258" s="2327"/>
      <c r="J258" s="479" t="str">
        <f t="shared" si="249"/>
        <v/>
      </c>
      <c r="K258" s="480"/>
      <c r="L258" s="2319">
        <f t="shared" si="265"/>
        <v>21</v>
      </c>
      <c r="M258" s="2320"/>
      <c r="N258" s="478"/>
      <c r="O258" s="478"/>
      <c r="P258" s="478"/>
      <c r="Q258" s="2315">
        <f t="shared" si="254"/>
        <v>45436</v>
      </c>
      <c r="R258" s="2315"/>
      <c r="S258" s="478"/>
      <c r="T258" s="140">
        <f t="shared" si="255"/>
        <v>1</v>
      </c>
      <c r="U258" s="478"/>
      <c r="V258" s="478"/>
      <c r="W258" s="478"/>
      <c r="X258" s="478"/>
      <c r="Y258" s="478"/>
      <c r="Z258" s="478"/>
      <c r="AA258" s="478"/>
      <c r="AB258" s="478"/>
      <c r="AC258" s="478"/>
      <c r="AD258" s="478"/>
      <c r="AE258" s="478"/>
      <c r="AF258" s="478"/>
      <c r="AG258" s="140">
        <f t="shared" si="256"/>
        <v>0</v>
      </c>
      <c r="AH258" s="92" t="str">
        <f t="shared" si="257"/>
        <v/>
      </c>
      <c r="AI258" s="131">
        <f t="shared" si="258"/>
        <v>0</v>
      </c>
      <c r="AJ258" s="2"/>
      <c r="AK258" s="92">
        <f>IF(G258=G$481,0,IF(OR(G258&lt;&gt;0,CJ258&lt;&gt;0,C258="L"),COUNTIF(AK$114:AK257,"&gt;0")+1,0))</f>
        <v>0</v>
      </c>
      <c r="AL258" s="92" t="str">
        <f t="shared" si="259"/>
        <v/>
      </c>
      <c r="AM258" s="92" t="str">
        <f t="shared" si="260"/>
        <v/>
      </c>
      <c r="AN258" s="131">
        <f t="shared" si="250"/>
        <v>0</v>
      </c>
      <c r="AO258" s="447">
        <f>SUM(MAG!W31:Z31)</f>
        <v>0</v>
      </c>
      <c r="AP258" s="445">
        <f>SUMIF(MAG!$G$155:$J$155,AP$112,MAG!$R31:$U31)</f>
        <v>0</v>
      </c>
      <c r="AQ258" s="446">
        <f>SUMIF(MAG!$G$155:$J$155,AQ$112,MAG!$R31:$U31)</f>
        <v>0</v>
      </c>
      <c r="AR258" s="447">
        <f>SUMIF(MAG!$G$155:$J$155,AR$112,MAG!$R31:$U31)</f>
        <v>0</v>
      </c>
      <c r="AS258" s="448">
        <f>SUMIF(MAG!$G$155:$J$155,AS$112,MAG!$R31:$U31)</f>
        <v>0</v>
      </c>
      <c r="AT258" s="449">
        <f>MAG!AG31</f>
        <v>0</v>
      </c>
      <c r="AU258" s="445">
        <f>MAG!AH31</f>
        <v>0</v>
      </c>
      <c r="AV258" s="446">
        <f>MAG!AI31</f>
        <v>0</v>
      </c>
      <c r="AW258" s="447">
        <f>MAG!AJ31</f>
        <v>0</v>
      </c>
      <c r="AX258" s="448">
        <f>MAG!AK31</f>
        <v>0</v>
      </c>
      <c r="AY258" s="445">
        <f>SUMIF(MAG!$G$152:$J$152,"&gt;0",MAG!$W31:$Z31)</f>
        <v>0</v>
      </c>
      <c r="AZ258" s="1063">
        <f>SUM(MAG!AB31:AE31)</f>
        <v>0</v>
      </c>
      <c r="BA258" s="445">
        <f>SUMIF(MAG!$G$159:$J$159,BA$111,MAG!$R31:$U31)+SUMIF(MAG!$G$159:$J$159,BA$111,MAG!$W31:$Z31)</f>
        <v>0</v>
      </c>
      <c r="BB258" s="446">
        <f>SUMIF(MAG!$G$159:$J$159,BB$111,MAG!$R31:$U31)+SUMIF(MAG!$G$159:$J$159,BB$111,MAG!$W31:$Z31)</f>
        <v>0</v>
      </c>
      <c r="BC258" s="446">
        <f>SUMIF(MAG!$G$159:$J$159,BC$111,MAG!$R31:$U31)+SUMIF(MAG!$G$159:$J$159,BC$111,MAG!$W31:$Z31)</f>
        <v>0</v>
      </c>
      <c r="BD258" s="446">
        <f>SUMIF(MAG!$G$159:$J$159,BD$111,MAG!$R31:$U31)+SUMIF(MAG!$G$159:$J$159,BD$111,MAG!$W31:$Z31)</f>
        <v>0</v>
      </c>
      <c r="BE258" s="446">
        <f>SUMIF(MAG!$G$159:$J$159,BE$111,MAG!$R31:$U31)+SUMIF(MAG!$G$159:$J$159,BE$111,MAG!$W31:$Z31)</f>
        <v>0</v>
      </c>
      <c r="BF258" s="446">
        <f>SUMIF(MAG!$G$159:$J$159,BF$111,MAG!$R31:$U31)+SUMIF(MAG!$G$159:$J$159,BF$111,MAG!$W31:$Z31)</f>
        <v>0</v>
      </c>
      <c r="BG258" s="448">
        <f>SUMIF(MAG!$G$159:$J$159,BG$111,MAG!$R31:$U31)+SUMIF(MAG!$G$159:$J$159,BG$111,MAG!$W31:$Z31)</f>
        <v>0</v>
      </c>
      <c r="BH258" s="571"/>
      <c r="BI258" s="448"/>
      <c r="BJ258" s="470"/>
      <c r="BK258" s="445">
        <f>SUMIF(MAG!$G$157:$J$157,BK$111,MAG!$R31:$U31)+SUMIF(MAG!$G$157:$J$157,BK$111,MAG!$W31:$Z31)</f>
        <v>0</v>
      </c>
      <c r="BL258" s="446">
        <f>SUMIF(MAG!$G$157:$J$157,BL$111,MAG!$R31:$U31)+SUMIF(MAG!$G$157:$J$157,BL$111,MAG!$W31:$Z31)</f>
        <v>0</v>
      </c>
      <c r="BM258" s="446">
        <f>SUMIF(MAG!$G$157:$J$157,BM$111,MAG!$R31:$U31)+SUMIF(MAG!$G$157:$J$157,BM$111,MAG!$W31:$Z31)</f>
        <v>0</v>
      </c>
      <c r="BN258" s="446">
        <f>SUMIF(MAG!$G$157:$J$157,BN$111,MAG!$R31:$U31)+SUMIF(MAG!$G$157:$J$157,BN$111,MAG!$W31:$Z31)</f>
        <v>0</v>
      </c>
      <c r="BO258" s="446">
        <f>SUMIF(MAG!$G$157:$J$157,BO$111,MAG!$R31:$U31)+SUMIF(MAG!$G$157:$J$157,BO$111,MAG!$W31:$Z31)</f>
        <v>0</v>
      </c>
      <c r="BP258" s="446">
        <f>SUMIF(MAG!$G$157:$J$157,BP$111,MAG!$R31:$U31)+SUMIF(MAG!$G$157:$J$157,BP$111,MAG!$W31:$Z31)</f>
        <v>0</v>
      </c>
      <c r="BQ258" s="448">
        <f>SUMIF(MAG!$G$157:$J$157,BQ$111,MAG!$R31:$U31)+SUMIF(MAG!$G$157:$J$157,BQ$111,MAG!$W31:$Z31)</f>
        <v>0</v>
      </c>
      <c r="BR258" s="571"/>
      <c r="BS258" s="446"/>
      <c r="BT258" s="448"/>
      <c r="BU258" s="470"/>
      <c r="BV258" s="445">
        <f>SUMIF(MAG!$G$158:$J$158,BV$111,MAG!$R31:$U31)+SUMIF(MAG!$G$158:$J$158,BV$111,MAG!$W31:$Z31)</f>
        <v>0</v>
      </c>
      <c r="BW258" s="446">
        <f>SUMIF(MAG!$G$158:$J$158,BW$111,MAG!$R31:$U31)+SUMIF(MAG!$G$158:$J$158,BW$111,MAG!$W31:$Z31)</f>
        <v>0</v>
      </c>
      <c r="BX258" s="446">
        <f>SUMIF(MAG!$G$158:$J$158,BX$111,MAG!$R31:$U31)+SUMIF(MAG!$G$158:$J$158,BX$111,MAG!$W31:$Z31)</f>
        <v>0</v>
      </c>
      <c r="BY258" s="446">
        <f>SUMIF(MAG!$G$158:$J$158,BY$111,MAG!$R31:$U31)+SUMIF(MAG!$G$158:$J$158,BY$111,MAG!$W31:$Z31)</f>
        <v>0</v>
      </c>
      <c r="BZ258" s="446">
        <f>SUMIF(MAG!$G$158:$J$158,BZ$111,MAG!$R31:$U31)+SUMIF(MAG!$G$158:$J$158,BZ$111,MAG!$W31:$Z31)</f>
        <v>0</v>
      </c>
      <c r="CA258" s="446">
        <f>SUMIF(MAG!$G$158:$J$158,CA$111,MAG!$R31:$U31)+SUMIF(MAG!$G$158:$J$158,CA$111,MAG!$W31:$Z31)</f>
        <v>0</v>
      </c>
      <c r="CB258" s="448">
        <f>SUMIF(MAG!$G$158:$J$158,CB$111,MAG!$R31:$U31)+SUMIF(MAG!$G$158:$J$158,CB$111,MAG!$W31:$Z31)</f>
        <v>0</v>
      </c>
      <c r="CC258" s="571"/>
      <c r="CD258" s="448"/>
      <c r="CE258" s="92">
        <f t="shared" si="261"/>
        <v>0</v>
      </c>
      <c r="CF258" s="92">
        <f t="shared" si="262"/>
        <v>0</v>
      </c>
      <c r="CG258" s="151" t="str">
        <f t="shared" si="248"/>
        <v/>
      </c>
      <c r="CH258" s="92">
        <f t="shared" si="251"/>
        <v>0</v>
      </c>
      <c r="CI258" s="92" t="str">
        <f t="shared" si="263"/>
        <v/>
      </c>
      <c r="CJ258" s="1100">
        <f>MAG!AM31</f>
        <v>0</v>
      </c>
      <c r="CK258" s="445">
        <f>SUMIF(MAG!$G$155:$J$155,CK$112,MAG!$AN31:$AQ31)</f>
        <v>0</v>
      </c>
      <c r="CL258" s="446">
        <f>SUMIF(MAG!$G$155:$J$155,CL$112,MAG!$AN31:$AQ31)</f>
        <v>0</v>
      </c>
      <c r="CM258" s="447">
        <f>SUMIF(MAG!$G$155:$J$155,CM$112,MAG!$AN31:$AQ31)</f>
        <v>0</v>
      </c>
      <c r="CN258" s="448">
        <f>SUMIF(MAG!$G$155:$J$155,CN$112,MAG!$AN31:$AQ31)</f>
        <v>0</v>
      </c>
      <c r="CO258" s="1100">
        <f>MAG!AS31</f>
        <v>0</v>
      </c>
      <c r="CP258" s="445">
        <f>MAG!AT31</f>
        <v>0</v>
      </c>
      <c r="CQ258" s="446">
        <f>MAG!AU31</f>
        <v>0</v>
      </c>
      <c r="CR258" s="447">
        <f>MAG!AV31</f>
        <v>0</v>
      </c>
      <c r="CS258" s="448">
        <f>MAG!AW31</f>
        <v>0</v>
      </c>
      <c r="CT258" s="1100">
        <f>MAG!AY31</f>
        <v>0</v>
      </c>
      <c r="CU258" s="2"/>
    </row>
    <row r="259" spans="1:99" ht="14.25" hidden="1" customHeight="1" x14ac:dyDescent="0.2">
      <c r="A259" s="2"/>
      <c r="B259" s="151">
        <f t="shared" si="252"/>
        <v>45437</v>
      </c>
      <c r="C259" s="223">
        <f>IF(AND(E259&gt;(E$495-1),E259&lt;(I$495+1)),W$485,IF(ISERROR(HLOOKUP(E259,$E$488:$L$488,1,FALSE)),HLOOKUP(WEEKDAY(E259,2),IMPOSTAZIONI!$C$51:$P$56,6,FALSE),$W$484))</f>
        <v>0</v>
      </c>
      <c r="D259" s="103" t="str">
        <f t="shared" si="253"/>
        <v/>
      </c>
      <c r="E259" s="2380">
        <f t="shared" si="264"/>
        <v>45437</v>
      </c>
      <c r="F259" s="2381"/>
      <c r="G259" s="2325" t="str">
        <f>MAG!E32</f>
        <v xml:space="preserve">attiva trim.  </v>
      </c>
      <c r="H259" s="2326"/>
      <c r="I259" s="2327"/>
      <c r="J259" s="479" t="str">
        <f t="shared" si="249"/>
        <v/>
      </c>
      <c r="K259" s="480"/>
      <c r="L259" s="2319">
        <f t="shared" si="265"/>
        <v>21</v>
      </c>
      <c r="M259" s="2320"/>
      <c r="N259" s="478"/>
      <c r="O259" s="478"/>
      <c r="P259" s="478"/>
      <c r="Q259" s="2315">
        <f t="shared" si="254"/>
        <v>45437</v>
      </c>
      <c r="R259" s="2315"/>
      <c r="S259" s="478"/>
      <c r="T259" s="140">
        <f t="shared" si="255"/>
        <v>1</v>
      </c>
      <c r="U259" s="478"/>
      <c r="V259" s="478"/>
      <c r="W259" s="478"/>
      <c r="X259" s="478"/>
      <c r="Y259" s="478"/>
      <c r="Z259" s="478"/>
      <c r="AA259" s="478"/>
      <c r="AB259" s="478"/>
      <c r="AC259" s="478"/>
      <c r="AD259" s="478"/>
      <c r="AE259" s="478"/>
      <c r="AF259" s="478"/>
      <c r="AG259" s="140">
        <f t="shared" si="256"/>
        <v>0</v>
      </c>
      <c r="AH259" s="92" t="str">
        <f t="shared" si="257"/>
        <v/>
      </c>
      <c r="AI259" s="131">
        <f t="shared" si="258"/>
        <v>0</v>
      </c>
      <c r="AJ259" s="2"/>
      <c r="AK259" s="92">
        <f>IF(G259=G$481,0,IF(OR(G259&lt;&gt;0,CJ259&lt;&gt;0,C259="L"),COUNTIF(AK$114:AK258,"&gt;0")+1,0))</f>
        <v>0</v>
      </c>
      <c r="AL259" s="92" t="str">
        <f t="shared" si="259"/>
        <v/>
      </c>
      <c r="AM259" s="92" t="str">
        <f t="shared" si="260"/>
        <v/>
      </c>
      <c r="AN259" s="131">
        <f t="shared" si="250"/>
        <v>0</v>
      </c>
      <c r="AO259" s="447">
        <f>SUM(MAG!W32:Z32)</f>
        <v>0</v>
      </c>
      <c r="AP259" s="445">
        <f>SUMIF(MAG!$G$155:$J$155,AP$112,MAG!$R32:$U32)</f>
        <v>0</v>
      </c>
      <c r="AQ259" s="446">
        <f>SUMIF(MAG!$G$155:$J$155,AQ$112,MAG!$R32:$U32)</f>
        <v>0</v>
      </c>
      <c r="AR259" s="447">
        <f>SUMIF(MAG!$G$155:$J$155,AR$112,MAG!$R32:$U32)</f>
        <v>0</v>
      </c>
      <c r="AS259" s="448">
        <f>SUMIF(MAG!$G$155:$J$155,AS$112,MAG!$R32:$U32)</f>
        <v>0</v>
      </c>
      <c r="AT259" s="449">
        <f>MAG!AG32</f>
        <v>0</v>
      </c>
      <c r="AU259" s="445">
        <f>MAG!AH32</f>
        <v>0</v>
      </c>
      <c r="AV259" s="446">
        <f>MAG!AI32</f>
        <v>0</v>
      </c>
      <c r="AW259" s="447">
        <f>MAG!AJ32</f>
        <v>0</v>
      </c>
      <c r="AX259" s="448">
        <f>MAG!AK32</f>
        <v>0</v>
      </c>
      <c r="AY259" s="445">
        <f>SUMIF(MAG!$G$152:$J$152,"&gt;0",MAG!$W32:$Z32)</f>
        <v>0</v>
      </c>
      <c r="AZ259" s="1063">
        <f>SUM(MAG!AB32:AE32)</f>
        <v>0</v>
      </c>
      <c r="BA259" s="445">
        <f>SUMIF(MAG!$G$159:$J$159,BA$111,MAG!$R32:$U32)+SUMIF(MAG!$G$159:$J$159,BA$111,MAG!$W32:$Z32)</f>
        <v>0</v>
      </c>
      <c r="BB259" s="446">
        <f>SUMIF(MAG!$G$159:$J$159,BB$111,MAG!$R32:$U32)+SUMIF(MAG!$G$159:$J$159,BB$111,MAG!$W32:$Z32)</f>
        <v>0</v>
      </c>
      <c r="BC259" s="446">
        <f>SUMIF(MAG!$G$159:$J$159,BC$111,MAG!$R32:$U32)+SUMIF(MAG!$G$159:$J$159,BC$111,MAG!$W32:$Z32)</f>
        <v>0</v>
      </c>
      <c r="BD259" s="446">
        <f>SUMIF(MAG!$G$159:$J$159,BD$111,MAG!$R32:$U32)+SUMIF(MAG!$G$159:$J$159,BD$111,MAG!$W32:$Z32)</f>
        <v>0</v>
      </c>
      <c r="BE259" s="446">
        <f>SUMIF(MAG!$G$159:$J$159,BE$111,MAG!$R32:$U32)+SUMIF(MAG!$G$159:$J$159,BE$111,MAG!$W32:$Z32)</f>
        <v>0</v>
      </c>
      <c r="BF259" s="446">
        <f>SUMIF(MAG!$G$159:$J$159,BF$111,MAG!$R32:$U32)+SUMIF(MAG!$G$159:$J$159,BF$111,MAG!$W32:$Z32)</f>
        <v>0</v>
      </c>
      <c r="BG259" s="448">
        <f>SUMIF(MAG!$G$159:$J$159,BG$111,MAG!$R32:$U32)+SUMIF(MAG!$G$159:$J$159,BG$111,MAG!$W32:$Z32)</f>
        <v>0</v>
      </c>
      <c r="BH259" s="571"/>
      <c r="BI259" s="448"/>
      <c r="BJ259" s="470"/>
      <c r="BK259" s="445">
        <f>SUMIF(MAG!$G$157:$J$157,BK$111,MAG!$R32:$U32)+SUMIF(MAG!$G$157:$J$157,BK$111,MAG!$W32:$Z32)</f>
        <v>0</v>
      </c>
      <c r="BL259" s="446">
        <f>SUMIF(MAG!$G$157:$J$157,BL$111,MAG!$R32:$U32)+SUMIF(MAG!$G$157:$J$157,BL$111,MAG!$W32:$Z32)</f>
        <v>0</v>
      </c>
      <c r="BM259" s="446">
        <f>SUMIF(MAG!$G$157:$J$157,BM$111,MAG!$R32:$U32)+SUMIF(MAG!$G$157:$J$157,BM$111,MAG!$W32:$Z32)</f>
        <v>0</v>
      </c>
      <c r="BN259" s="446">
        <f>SUMIF(MAG!$G$157:$J$157,BN$111,MAG!$R32:$U32)+SUMIF(MAG!$G$157:$J$157,BN$111,MAG!$W32:$Z32)</f>
        <v>0</v>
      </c>
      <c r="BO259" s="446">
        <f>SUMIF(MAG!$G$157:$J$157,BO$111,MAG!$R32:$U32)+SUMIF(MAG!$G$157:$J$157,BO$111,MAG!$W32:$Z32)</f>
        <v>0</v>
      </c>
      <c r="BP259" s="446">
        <f>SUMIF(MAG!$G$157:$J$157,BP$111,MAG!$R32:$U32)+SUMIF(MAG!$G$157:$J$157,BP$111,MAG!$W32:$Z32)</f>
        <v>0</v>
      </c>
      <c r="BQ259" s="448">
        <f>SUMIF(MAG!$G$157:$J$157,BQ$111,MAG!$R32:$U32)+SUMIF(MAG!$G$157:$J$157,BQ$111,MAG!$W32:$Z32)</f>
        <v>0</v>
      </c>
      <c r="BR259" s="571"/>
      <c r="BS259" s="446"/>
      <c r="BT259" s="448"/>
      <c r="BU259" s="470"/>
      <c r="BV259" s="445">
        <f>SUMIF(MAG!$G$158:$J$158,BV$111,MAG!$R32:$U32)+SUMIF(MAG!$G$158:$J$158,BV$111,MAG!$W32:$Z32)</f>
        <v>0</v>
      </c>
      <c r="BW259" s="446">
        <f>SUMIF(MAG!$G$158:$J$158,BW$111,MAG!$R32:$U32)+SUMIF(MAG!$G$158:$J$158,BW$111,MAG!$W32:$Z32)</f>
        <v>0</v>
      </c>
      <c r="BX259" s="446">
        <f>SUMIF(MAG!$G$158:$J$158,BX$111,MAG!$R32:$U32)+SUMIF(MAG!$G$158:$J$158,BX$111,MAG!$W32:$Z32)</f>
        <v>0</v>
      </c>
      <c r="BY259" s="446">
        <f>SUMIF(MAG!$G$158:$J$158,BY$111,MAG!$R32:$U32)+SUMIF(MAG!$G$158:$J$158,BY$111,MAG!$W32:$Z32)</f>
        <v>0</v>
      </c>
      <c r="BZ259" s="446">
        <f>SUMIF(MAG!$G$158:$J$158,BZ$111,MAG!$R32:$U32)+SUMIF(MAG!$G$158:$J$158,BZ$111,MAG!$W32:$Z32)</f>
        <v>0</v>
      </c>
      <c r="CA259" s="446">
        <f>SUMIF(MAG!$G$158:$J$158,CA$111,MAG!$R32:$U32)+SUMIF(MAG!$G$158:$J$158,CA$111,MAG!$W32:$Z32)</f>
        <v>0</v>
      </c>
      <c r="CB259" s="448">
        <f>SUMIF(MAG!$G$158:$J$158,CB$111,MAG!$R32:$U32)+SUMIF(MAG!$G$158:$J$158,CB$111,MAG!$W32:$Z32)</f>
        <v>0</v>
      </c>
      <c r="CC259" s="571"/>
      <c r="CD259" s="448"/>
      <c r="CE259" s="92">
        <f t="shared" si="261"/>
        <v>0</v>
      </c>
      <c r="CF259" s="92">
        <f t="shared" si="262"/>
        <v>0</v>
      </c>
      <c r="CG259" s="151" t="str">
        <f t="shared" si="248"/>
        <v/>
      </c>
      <c r="CH259" s="92">
        <f t="shared" si="251"/>
        <v>0</v>
      </c>
      <c r="CI259" s="92" t="str">
        <f t="shared" si="263"/>
        <v/>
      </c>
      <c r="CJ259" s="1100">
        <f>MAG!AM32</f>
        <v>0</v>
      </c>
      <c r="CK259" s="445">
        <f>SUMIF(MAG!$G$155:$J$155,CK$112,MAG!$AN32:$AQ32)</f>
        <v>0</v>
      </c>
      <c r="CL259" s="446">
        <f>SUMIF(MAG!$G$155:$J$155,CL$112,MAG!$AN32:$AQ32)</f>
        <v>0</v>
      </c>
      <c r="CM259" s="447">
        <f>SUMIF(MAG!$G$155:$J$155,CM$112,MAG!$AN32:$AQ32)</f>
        <v>0</v>
      </c>
      <c r="CN259" s="448">
        <f>SUMIF(MAG!$G$155:$J$155,CN$112,MAG!$AN32:$AQ32)</f>
        <v>0</v>
      </c>
      <c r="CO259" s="1100">
        <f>MAG!AS32</f>
        <v>0</v>
      </c>
      <c r="CP259" s="445">
        <f>MAG!AT32</f>
        <v>0</v>
      </c>
      <c r="CQ259" s="446">
        <f>MAG!AU32</f>
        <v>0</v>
      </c>
      <c r="CR259" s="447">
        <f>MAG!AV32</f>
        <v>0</v>
      </c>
      <c r="CS259" s="448">
        <f>MAG!AW32</f>
        <v>0</v>
      </c>
      <c r="CT259" s="1100">
        <f>MAG!AY32</f>
        <v>0</v>
      </c>
      <c r="CU259" s="2"/>
    </row>
    <row r="260" spans="1:99" ht="14.25" hidden="1" customHeight="1" x14ac:dyDescent="0.2">
      <c r="A260" s="2"/>
      <c r="B260" s="151">
        <f t="shared" si="252"/>
        <v>45438</v>
      </c>
      <c r="C260" s="223">
        <f>IF(AND(E260&gt;(E$495-1),E260&lt;(I$495+1)),W$485,IF(ISERROR(HLOOKUP(E260,$E$488:$L$488,1,FALSE)),HLOOKUP(WEEKDAY(E260,2),IMPOSTAZIONI!$C$51:$P$56,6,FALSE),$W$484))</f>
        <v>0</v>
      </c>
      <c r="D260" s="103" t="str">
        <f t="shared" si="253"/>
        <v/>
      </c>
      <c r="E260" s="2380">
        <f t="shared" si="264"/>
        <v>45438</v>
      </c>
      <c r="F260" s="2381"/>
      <c r="G260" s="2325" t="str">
        <f>MAG!E33</f>
        <v xml:space="preserve">attiva trim.  </v>
      </c>
      <c r="H260" s="2326"/>
      <c r="I260" s="2327"/>
      <c r="J260" s="479" t="str">
        <f t="shared" si="249"/>
        <v/>
      </c>
      <c r="K260" s="480"/>
      <c r="L260" s="2321">
        <f t="shared" si="265"/>
        <v>21</v>
      </c>
      <c r="M260" s="2322"/>
      <c r="N260" s="478"/>
      <c r="O260" s="478"/>
      <c r="P260" s="478"/>
      <c r="Q260" s="2315">
        <f t="shared" si="254"/>
        <v>45438</v>
      </c>
      <c r="R260" s="2315"/>
      <c r="S260" s="478"/>
      <c r="T260" s="140">
        <f t="shared" si="255"/>
        <v>1</v>
      </c>
      <c r="U260" s="478"/>
      <c r="V260" s="478"/>
      <c r="W260" s="478"/>
      <c r="X260" s="478"/>
      <c r="Y260" s="478"/>
      <c r="Z260" s="478"/>
      <c r="AA260" s="478"/>
      <c r="AB260" s="478"/>
      <c r="AC260" s="478"/>
      <c r="AD260" s="478"/>
      <c r="AE260" s="478"/>
      <c r="AF260" s="478"/>
      <c r="AG260" s="140">
        <f t="shared" si="256"/>
        <v>0</v>
      </c>
      <c r="AH260" s="92" t="str">
        <f t="shared" si="257"/>
        <v/>
      </c>
      <c r="AI260" s="131">
        <f t="shared" si="258"/>
        <v>0</v>
      </c>
      <c r="AJ260" s="2"/>
      <c r="AK260" s="92">
        <f>IF(G260=G$481,0,IF(OR(G260&lt;&gt;0,CJ260&lt;&gt;0,C260="L"),COUNTIF(AK$114:AK259,"&gt;0")+1,0))</f>
        <v>0</v>
      </c>
      <c r="AL260" s="92" t="str">
        <f t="shared" si="259"/>
        <v/>
      </c>
      <c r="AM260" s="92" t="str">
        <f t="shared" si="260"/>
        <v/>
      </c>
      <c r="AN260" s="131">
        <f t="shared" si="250"/>
        <v>0</v>
      </c>
      <c r="AO260" s="447">
        <f>SUM(MAG!W33:Z33)</f>
        <v>0</v>
      </c>
      <c r="AP260" s="445">
        <f>SUMIF(MAG!$G$155:$J$155,AP$112,MAG!$R33:$U33)</f>
        <v>0</v>
      </c>
      <c r="AQ260" s="446">
        <f>SUMIF(MAG!$G$155:$J$155,AQ$112,MAG!$R33:$U33)</f>
        <v>0</v>
      </c>
      <c r="AR260" s="447">
        <f>SUMIF(MAG!$G$155:$J$155,AR$112,MAG!$R33:$U33)</f>
        <v>0</v>
      </c>
      <c r="AS260" s="448">
        <f>SUMIF(MAG!$G$155:$J$155,AS$112,MAG!$R33:$U33)</f>
        <v>0</v>
      </c>
      <c r="AT260" s="449">
        <f>MAG!AG33</f>
        <v>0</v>
      </c>
      <c r="AU260" s="445">
        <f>MAG!AH33</f>
        <v>0</v>
      </c>
      <c r="AV260" s="446">
        <f>MAG!AI33</f>
        <v>0</v>
      </c>
      <c r="AW260" s="447">
        <f>MAG!AJ33</f>
        <v>0</v>
      </c>
      <c r="AX260" s="448">
        <f>MAG!AK33</f>
        <v>0</v>
      </c>
      <c r="AY260" s="445">
        <f>SUMIF(MAG!$G$152:$J$152,"&gt;0",MAG!$W33:$Z33)</f>
        <v>0</v>
      </c>
      <c r="AZ260" s="1063">
        <f>SUM(MAG!AB33:AE33)</f>
        <v>0</v>
      </c>
      <c r="BA260" s="445">
        <f>SUMIF(MAG!$G$159:$J$159,BA$111,MAG!$R33:$U33)+SUMIF(MAG!$G$159:$J$159,BA$111,MAG!$W33:$Z33)</f>
        <v>0</v>
      </c>
      <c r="BB260" s="446">
        <f>SUMIF(MAG!$G$159:$J$159,BB$111,MAG!$R33:$U33)+SUMIF(MAG!$G$159:$J$159,BB$111,MAG!$W33:$Z33)</f>
        <v>0</v>
      </c>
      <c r="BC260" s="446">
        <f>SUMIF(MAG!$G$159:$J$159,BC$111,MAG!$R33:$U33)+SUMIF(MAG!$G$159:$J$159,BC$111,MAG!$W33:$Z33)</f>
        <v>0</v>
      </c>
      <c r="BD260" s="446">
        <f>SUMIF(MAG!$G$159:$J$159,BD$111,MAG!$R33:$U33)+SUMIF(MAG!$G$159:$J$159,BD$111,MAG!$W33:$Z33)</f>
        <v>0</v>
      </c>
      <c r="BE260" s="446">
        <f>SUMIF(MAG!$G$159:$J$159,BE$111,MAG!$R33:$U33)+SUMIF(MAG!$G$159:$J$159,BE$111,MAG!$W33:$Z33)</f>
        <v>0</v>
      </c>
      <c r="BF260" s="446">
        <f>SUMIF(MAG!$G$159:$J$159,BF$111,MAG!$R33:$U33)+SUMIF(MAG!$G$159:$J$159,BF$111,MAG!$W33:$Z33)</f>
        <v>0</v>
      </c>
      <c r="BG260" s="448">
        <f>SUMIF(MAG!$G$159:$J$159,BG$111,MAG!$R33:$U33)+SUMIF(MAG!$G$159:$J$159,BG$111,MAG!$W33:$Z33)</f>
        <v>0</v>
      </c>
      <c r="BH260" s="571"/>
      <c r="BI260" s="448"/>
      <c r="BJ260" s="470"/>
      <c r="BK260" s="445">
        <f>SUMIF(MAG!$G$157:$J$157,BK$111,MAG!$R33:$U33)+SUMIF(MAG!$G$157:$J$157,BK$111,MAG!$W33:$Z33)</f>
        <v>0</v>
      </c>
      <c r="BL260" s="446">
        <f>SUMIF(MAG!$G$157:$J$157,BL$111,MAG!$R33:$U33)+SUMIF(MAG!$G$157:$J$157,BL$111,MAG!$W33:$Z33)</f>
        <v>0</v>
      </c>
      <c r="BM260" s="446">
        <f>SUMIF(MAG!$G$157:$J$157,BM$111,MAG!$R33:$U33)+SUMIF(MAG!$G$157:$J$157,BM$111,MAG!$W33:$Z33)</f>
        <v>0</v>
      </c>
      <c r="BN260" s="446">
        <f>SUMIF(MAG!$G$157:$J$157,BN$111,MAG!$R33:$U33)+SUMIF(MAG!$G$157:$J$157,BN$111,MAG!$W33:$Z33)</f>
        <v>0</v>
      </c>
      <c r="BO260" s="446">
        <f>SUMIF(MAG!$G$157:$J$157,BO$111,MAG!$R33:$U33)+SUMIF(MAG!$G$157:$J$157,BO$111,MAG!$W33:$Z33)</f>
        <v>0</v>
      </c>
      <c r="BP260" s="446">
        <f>SUMIF(MAG!$G$157:$J$157,BP$111,MAG!$R33:$U33)+SUMIF(MAG!$G$157:$J$157,BP$111,MAG!$W33:$Z33)</f>
        <v>0</v>
      </c>
      <c r="BQ260" s="448">
        <f>SUMIF(MAG!$G$157:$J$157,BQ$111,MAG!$R33:$U33)+SUMIF(MAG!$G$157:$J$157,BQ$111,MAG!$W33:$Z33)</f>
        <v>0</v>
      </c>
      <c r="BR260" s="571"/>
      <c r="BS260" s="446"/>
      <c r="BT260" s="448"/>
      <c r="BU260" s="470"/>
      <c r="BV260" s="445">
        <f>SUMIF(MAG!$G$158:$J$158,BV$111,MAG!$R33:$U33)+SUMIF(MAG!$G$158:$J$158,BV$111,MAG!$W33:$Z33)</f>
        <v>0</v>
      </c>
      <c r="BW260" s="446">
        <f>SUMIF(MAG!$G$158:$J$158,BW$111,MAG!$R33:$U33)+SUMIF(MAG!$G$158:$J$158,BW$111,MAG!$W33:$Z33)</f>
        <v>0</v>
      </c>
      <c r="BX260" s="446">
        <f>SUMIF(MAG!$G$158:$J$158,BX$111,MAG!$R33:$U33)+SUMIF(MAG!$G$158:$J$158,BX$111,MAG!$W33:$Z33)</f>
        <v>0</v>
      </c>
      <c r="BY260" s="446">
        <f>SUMIF(MAG!$G$158:$J$158,BY$111,MAG!$R33:$U33)+SUMIF(MAG!$G$158:$J$158,BY$111,MAG!$W33:$Z33)</f>
        <v>0</v>
      </c>
      <c r="BZ260" s="446">
        <f>SUMIF(MAG!$G$158:$J$158,BZ$111,MAG!$R33:$U33)+SUMIF(MAG!$G$158:$J$158,BZ$111,MAG!$W33:$Z33)</f>
        <v>0</v>
      </c>
      <c r="CA260" s="446">
        <f>SUMIF(MAG!$G$158:$J$158,CA$111,MAG!$R33:$U33)+SUMIF(MAG!$G$158:$J$158,CA$111,MAG!$W33:$Z33)</f>
        <v>0</v>
      </c>
      <c r="CB260" s="448">
        <f>SUMIF(MAG!$G$158:$J$158,CB$111,MAG!$R33:$U33)+SUMIF(MAG!$G$158:$J$158,CB$111,MAG!$W33:$Z33)</f>
        <v>0</v>
      </c>
      <c r="CC260" s="571"/>
      <c r="CD260" s="448"/>
      <c r="CE260" s="92">
        <f t="shared" si="261"/>
        <v>0</v>
      </c>
      <c r="CF260" s="92">
        <f t="shared" si="262"/>
        <v>0</v>
      </c>
      <c r="CG260" s="151" t="str">
        <f t="shared" si="248"/>
        <v/>
      </c>
      <c r="CH260" s="92">
        <f t="shared" si="251"/>
        <v>0</v>
      </c>
      <c r="CI260" s="92" t="str">
        <f t="shared" si="263"/>
        <v/>
      </c>
      <c r="CJ260" s="1100">
        <f>MAG!AM33</f>
        <v>0</v>
      </c>
      <c r="CK260" s="445">
        <f>SUMIF(MAG!$G$155:$J$155,CK$112,MAG!$AN33:$AQ33)</f>
        <v>0</v>
      </c>
      <c r="CL260" s="446">
        <f>SUMIF(MAG!$G$155:$J$155,CL$112,MAG!$AN33:$AQ33)</f>
        <v>0</v>
      </c>
      <c r="CM260" s="447">
        <f>SUMIF(MAG!$G$155:$J$155,CM$112,MAG!$AN33:$AQ33)</f>
        <v>0</v>
      </c>
      <c r="CN260" s="448">
        <f>SUMIF(MAG!$G$155:$J$155,CN$112,MAG!$AN33:$AQ33)</f>
        <v>0</v>
      </c>
      <c r="CO260" s="1100">
        <f>MAG!AS33</f>
        <v>0</v>
      </c>
      <c r="CP260" s="445">
        <f>MAG!AT33</f>
        <v>0</v>
      </c>
      <c r="CQ260" s="446">
        <f>MAG!AU33</f>
        <v>0</v>
      </c>
      <c r="CR260" s="447">
        <f>MAG!AV33</f>
        <v>0</v>
      </c>
      <c r="CS260" s="448">
        <f>MAG!AW33</f>
        <v>0</v>
      </c>
      <c r="CT260" s="1100">
        <f>MAG!AY33</f>
        <v>0</v>
      </c>
      <c r="CU260" s="2"/>
    </row>
    <row r="261" spans="1:99" ht="14.25" hidden="1" customHeight="1" x14ac:dyDescent="0.2">
      <c r="A261" s="2"/>
      <c r="B261" s="151">
        <f t="shared" si="252"/>
        <v>45439</v>
      </c>
      <c r="C261" s="223">
        <f>IF(AND(E261&gt;(E$495-1),E261&lt;(I$495+1)),W$485,IF(ISERROR(HLOOKUP(E261,$E$488:$L$488,1,FALSE)),HLOOKUP(WEEKDAY(E261,2),IMPOSTAZIONI!$C$51:$P$56,6,FALSE),$W$484))</f>
        <v>0</v>
      </c>
      <c r="D261" s="103" t="str">
        <f t="shared" si="253"/>
        <v/>
      </c>
      <c r="E261" s="2380">
        <f t="shared" si="264"/>
        <v>45439</v>
      </c>
      <c r="F261" s="2381"/>
      <c r="G261" s="2325" t="str">
        <f>MAG!E34</f>
        <v xml:space="preserve">attiva trim.  </v>
      </c>
      <c r="H261" s="2326"/>
      <c r="I261" s="2327"/>
      <c r="J261" s="479" t="str">
        <f t="shared" si="249"/>
        <v/>
      </c>
      <c r="K261" s="480"/>
      <c r="L261" s="2323">
        <f t="shared" si="265"/>
        <v>22</v>
      </c>
      <c r="M261" s="2324"/>
      <c r="N261" s="478"/>
      <c r="O261" s="478"/>
      <c r="P261" s="478"/>
      <c r="Q261" s="2315">
        <f t="shared" si="254"/>
        <v>45439</v>
      </c>
      <c r="R261" s="2315"/>
      <c r="S261" s="478"/>
      <c r="T261" s="140">
        <f t="shared" si="255"/>
        <v>1</v>
      </c>
      <c r="U261" s="478"/>
      <c r="V261" s="478"/>
      <c r="W261" s="478"/>
      <c r="X261" s="478"/>
      <c r="Y261" s="478"/>
      <c r="Z261" s="478"/>
      <c r="AA261" s="478"/>
      <c r="AB261" s="478"/>
      <c r="AC261" s="478"/>
      <c r="AD261" s="478"/>
      <c r="AE261" s="478"/>
      <c r="AF261" s="478"/>
      <c r="AG261" s="140">
        <f t="shared" si="256"/>
        <v>0</v>
      </c>
      <c r="AH261" s="92" t="str">
        <f t="shared" si="257"/>
        <v/>
      </c>
      <c r="AI261" s="131">
        <f t="shared" si="258"/>
        <v>0</v>
      </c>
      <c r="AJ261" s="2"/>
      <c r="AK261" s="92">
        <f>IF(G261=G$481,0,IF(OR(G261&lt;&gt;0,CJ261&lt;&gt;0,C261="L"),COUNTIF(AK$114:AK260,"&gt;0")+1,0))</f>
        <v>0</v>
      </c>
      <c r="AL261" s="92" t="str">
        <f t="shared" si="259"/>
        <v/>
      </c>
      <c r="AM261" s="92" t="str">
        <f t="shared" si="260"/>
        <v/>
      </c>
      <c r="AN261" s="131">
        <f t="shared" si="250"/>
        <v>0</v>
      </c>
      <c r="AO261" s="447">
        <f>SUM(MAG!W34:Z34)</f>
        <v>0</v>
      </c>
      <c r="AP261" s="445">
        <f>SUMIF(MAG!$G$155:$J$155,AP$112,MAG!$R34:$U34)</f>
        <v>0</v>
      </c>
      <c r="AQ261" s="446">
        <f>SUMIF(MAG!$G$155:$J$155,AQ$112,MAG!$R34:$U34)</f>
        <v>0</v>
      </c>
      <c r="AR261" s="447">
        <f>SUMIF(MAG!$G$155:$J$155,AR$112,MAG!$R34:$U34)</f>
        <v>0</v>
      </c>
      <c r="AS261" s="448">
        <f>SUMIF(MAG!$G$155:$J$155,AS$112,MAG!$R34:$U34)</f>
        <v>0</v>
      </c>
      <c r="AT261" s="449">
        <f>MAG!AG34</f>
        <v>0</v>
      </c>
      <c r="AU261" s="445">
        <f>MAG!AH34</f>
        <v>0</v>
      </c>
      <c r="AV261" s="446">
        <f>MAG!AI34</f>
        <v>0</v>
      </c>
      <c r="AW261" s="447">
        <f>MAG!AJ34</f>
        <v>0</v>
      </c>
      <c r="AX261" s="448">
        <f>MAG!AK34</f>
        <v>0</v>
      </c>
      <c r="AY261" s="445">
        <f>SUMIF(MAG!$G$152:$J$152,"&gt;0",MAG!$W34:$Z34)</f>
        <v>0</v>
      </c>
      <c r="AZ261" s="1063">
        <f>SUM(MAG!AB34:AE34)</f>
        <v>0</v>
      </c>
      <c r="BA261" s="445">
        <f>SUMIF(MAG!$G$159:$J$159,BA$111,MAG!$R34:$U34)+SUMIF(MAG!$G$159:$J$159,BA$111,MAG!$W34:$Z34)</f>
        <v>0</v>
      </c>
      <c r="BB261" s="446">
        <f>SUMIF(MAG!$G$159:$J$159,BB$111,MAG!$R34:$U34)+SUMIF(MAG!$G$159:$J$159,BB$111,MAG!$W34:$Z34)</f>
        <v>0</v>
      </c>
      <c r="BC261" s="446">
        <f>SUMIF(MAG!$G$159:$J$159,BC$111,MAG!$R34:$U34)+SUMIF(MAG!$G$159:$J$159,BC$111,MAG!$W34:$Z34)</f>
        <v>0</v>
      </c>
      <c r="BD261" s="446">
        <f>SUMIF(MAG!$G$159:$J$159,BD$111,MAG!$R34:$U34)+SUMIF(MAG!$G$159:$J$159,BD$111,MAG!$W34:$Z34)</f>
        <v>0</v>
      </c>
      <c r="BE261" s="446">
        <f>SUMIF(MAG!$G$159:$J$159,BE$111,MAG!$R34:$U34)+SUMIF(MAG!$G$159:$J$159,BE$111,MAG!$W34:$Z34)</f>
        <v>0</v>
      </c>
      <c r="BF261" s="446">
        <f>SUMIF(MAG!$G$159:$J$159,BF$111,MAG!$R34:$U34)+SUMIF(MAG!$G$159:$J$159,BF$111,MAG!$W34:$Z34)</f>
        <v>0</v>
      </c>
      <c r="BG261" s="448">
        <f>SUMIF(MAG!$G$159:$J$159,BG$111,MAG!$R34:$U34)+SUMIF(MAG!$G$159:$J$159,BG$111,MAG!$W34:$Z34)</f>
        <v>0</v>
      </c>
      <c r="BH261" s="571"/>
      <c r="BI261" s="448"/>
      <c r="BJ261" s="470"/>
      <c r="BK261" s="445">
        <f>SUMIF(MAG!$G$157:$J$157,BK$111,MAG!$R34:$U34)+SUMIF(MAG!$G$157:$J$157,BK$111,MAG!$W34:$Z34)</f>
        <v>0</v>
      </c>
      <c r="BL261" s="446">
        <f>SUMIF(MAG!$G$157:$J$157,BL$111,MAG!$R34:$U34)+SUMIF(MAG!$G$157:$J$157,BL$111,MAG!$W34:$Z34)</f>
        <v>0</v>
      </c>
      <c r="BM261" s="446">
        <f>SUMIF(MAG!$G$157:$J$157,BM$111,MAG!$R34:$U34)+SUMIF(MAG!$G$157:$J$157,BM$111,MAG!$W34:$Z34)</f>
        <v>0</v>
      </c>
      <c r="BN261" s="446">
        <f>SUMIF(MAG!$G$157:$J$157,BN$111,MAG!$R34:$U34)+SUMIF(MAG!$G$157:$J$157,BN$111,MAG!$W34:$Z34)</f>
        <v>0</v>
      </c>
      <c r="BO261" s="446">
        <f>SUMIF(MAG!$G$157:$J$157,BO$111,MAG!$R34:$U34)+SUMIF(MAG!$G$157:$J$157,BO$111,MAG!$W34:$Z34)</f>
        <v>0</v>
      </c>
      <c r="BP261" s="446">
        <f>SUMIF(MAG!$G$157:$J$157,BP$111,MAG!$R34:$U34)+SUMIF(MAG!$G$157:$J$157,BP$111,MAG!$W34:$Z34)</f>
        <v>0</v>
      </c>
      <c r="BQ261" s="448">
        <f>SUMIF(MAG!$G$157:$J$157,BQ$111,MAG!$R34:$U34)+SUMIF(MAG!$G$157:$J$157,BQ$111,MAG!$W34:$Z34)</f>
        <v>0</v>
      </c>
      <c r="BR261" s="571"/>
      <c r="BS261" s="446"/>
      <c r="BT261" s="448"/>
      <c r="BU261" s="470"/>
      <c r="BV261" s="445">
        <f>SUMIF(MAG!$G$158:$J$158,BV$111,MAG!$R34:$U34)+SUMIF(MAG!$G$158:$J$158,BV$111,MAG!$W34:$Z34)</f>
        <v>0</v>
      </c>
      <c r="BW261" s="446">
        <f>SUMIF(MAG!$G$158:$J$158,BW$111,MAG!$R34:$U34)+SUMIF(MAG!$G$158:$J$158,BW$111,MAG!$W34:$Z34)</f>
        <v>0</v>
      </c>
      <c r="BX261" s="446">
        <f>SUMIF(MAG!$G$158:$J$158,BX$111,MAG!$R34:$U34)+SUMIF(MAG!$G$158:$J$158,BX$111,MAG!$W34:$Z34)</f>
        <v>0</v>
      </c>
      <c r="BY261" s="446">
        <f>SUMIF(MAG!$G$158:$J$158,BY$111,MAG!$R34:$U34)+SUMIF(MAG!$G$158:$J$158,BY$111,MAG!$W34:$Z34)</f>
        <v>0</v>
      </c>
      <c r="BZ261" s="446">
        <f>SUMIF(MAG!$G$158:$J$158,BZ$111,MAG!$R34:$U34)+SUMIF(MAG!$G$158:$J$158,BZ$111,MAG!$W34:$Z34)</f>
        <v>0</v>
      </c>
      <c r="CA261" s="446">
        <f>SUMIF(MAG!$G$158:$J$158,CA$111,MAG!$R34:$U34)+SUMIF(MAG!$G$158:$J$158,CA$111,MAG!$W34:$Z34)</f>
        <v>0</v>
      </c>
      <c r="CB261" s="448">
        <f>SUMIF(MAG!$G$158:$J$158,CB$111,MAG!$R34:$U34)+SUMIF(MAG!$G$158:$J$158,CB$111,MAG!$W34:$Z34)</f>
        <v>0</v>
      </c>
      <c r="CC261" s="571"/>
      <c r="CD261" s="448"/>
      <c r="CE261" s="92">
        <f t="shared" si="261"/>
        <v>0</v>
      </c>
      <c r="CF261" s="92">
        <f t="shared" si="262"/>
        <v>0</v>
      </c>
      <c r="CG261" s="151" t="str">
        <f t="shared" si="248"/>
        <v/>
      </c>
      <c r="CH261" s="92">
        <f t="shared" si="251"/>
        <v>0</v>
      </c>
      <c r="CI261" s="92" t="str">
        <f t="shared" si="263"/>
        <v/>
      </c>
      <c r="CJ261" s="1100">
        <f>MAG!AM34</f>
        <v>0</v>
      </c>
      <c r="CK261" s="445">
        <f>SUMIF(MAG!$G$155:$J$155,CK$112,MAG!$AN34:$AQ34)</f>
        <v>0</v>
      </c>
      <c r="CL261" s="446">
        <f>SUMIF(MAG!$G$155:$J$155,CL$112,MAG!$AN34:$AQ34)</f>
        <v>0</v>
      </c>
      <c r="CM261" s="447">
        <f>SUMIF(MAG!$G$155:$J$155,CM$112,MAG!$AN34:$AQ34)</f>
        <v>0</v>
      </c>
      <c r="CN261" s="448">
        <f>SUMIF(MAG!$G$155:$J$155,CN$112,MAG!$AN34:$AQ34)</f>
        <v>0</v>
      </c>
      <c r="CO261" s="1100">
        <f>MAG!AS34</f>
        <v>0</v>
      </c>
      <c r="CP261" s="445">
        <f>MAG!AT34</f>
        <v>0</v>
      </c>
      <c r="CQ261" s="446">
        <f>MAG!AU34</f>
        <v>0</v>
      </c>
      <c r="CR261" s="447">
        <f>MAG!AV34</f>
        <v>0</v>
      </c>
      <c r="CS261" s="448">
        <f>MAG!AW34</f>
        <v>0</v>
      </c>
      <c r="CT261" s="1100">
        <f>MAG!AY34</f>
        <v>0</v>
      </c>
      <c r="CU261" s="2"/>
    </row>
    <row r="262" spans="1:99" ht="14.25" hidden="1" customHeight="1" x14ac:dyDescent="0.2">
      <c r="A262" s="2"/>
      <c r="B262" s="151">
        <f t="shared" si="252"/>
        <v>45440</v>
      </c>
      <c r="C262" s="223">
        <f>IF(AND(E262&gt;(E$495-1),E262&lt;(I$495+1)),W$485,IF(ISERROR(HLOOKUP(E262,$E$488:$L$488,1,FALSE)),HLOOKUP(WEEKDAY(E262,2),IMPOSTAZIONI!$C$51:$P$56,6,FALSE),$W$484))</f>
        <v>0</v>
      </c>
      <c r="D262" s="103" t="str">
        <f t="shared" si="253"/>
        <v/>
      </c>
      <c r="E262" s="2380">
        <f t="shared" si="264"/>
        <v>45440</v>
      </c>
      <c r="F262" s="2381"/>
      <c r="G262" s="2325" t="str">
        <f>MAG!E35</f>
        <v xml:space="preserve">attiva trim.  </v>
      </c>
      <c r="H262" s="2326"/>
      <c r="I262" s="2327"/>
      <c r="J262" s="479" t="str">
        <f t="shared" si="249"/>
        <v/>
      </c>
      <c r="K262" s="480"/>
      <c r="L262" s="2319">
        <f t="shared" si="265"/>
        <v>22</v>
      </c>
      <c r="M262" s="2320"/>
      <c r="N262" s="478"/>
      <c r="O262" s="478"/>
      <c r="P262" s="478"/>
      <c r="Q262" s="2315">
        <f t="shared" si="254"/>
        <v>45440</v>
      </c>
      <c r="R262" s="2315"/>
      <c r="S262" s="478"/>
      <c r="T262" s="140">
        <f t="shared" si="255"/>
        <v>1</v>
      </c>
      <c r="U262" s="478"/>
      <c r="V262" s="478"/>
      <c r="W262" s="478"/>
      <c r="X262" s="478"/>
      <c r="Y262" s="478"/>
      <c r="Z262" s="478"/>
      <c r="AA262" s="478"/>
      <c r="AB262" s="478"/>
      <c r="AC262" s="478"/>
      <c r="AD262" s="478"/>
      <c r="AE262" s="478"/>
      <c r="AF262" s="478"/>
      <c r="AG262" s="140">
        <f t="shared" si="256"/>
        <v>0</v>
      </c>
      <c r="AH262" s="92" t="str">
        <f t="shared" si="257"/>
        <v/>
      </c>
      <c r="AI262" s="131">
        <f t="shared" si="258"/>
        <v>0</v>
      </c>
      <c r="AJ262" s="2"/>
      <c r="AK262" s="92">
        <f>IF(G262=G$481,0,IF(OR(G262&lt;&gt;0,CJ262&lt;&gt;0,C262="L"),COUNTIF(AK$114:AK261,"&gt;0")+1,0))</f>
        <v>0</v>
      </c>
      <c r="AL262" s="92" t="str">
        <f t="shared" si="259"/>
        <v/>
      </c>
      <c r="AM262" s="92" t="str">
        <f t="shared" si="260"/>
        <v/>
      </c>
      <c r="AN262" s="131">
        <f t="shared" si="250"/>
        <v>0</v>
      </c>
      <c r="AO262" s="447">
        <f>SUM(MAG!W35:Z35)</f>
        <v>0</v>
      </c>
      <c r="AP262" s="445">
        <f>SUMIF(MAG!$G$155:$J$155,AP$112,MAG!$R35:$U35)</f>
        <v>0</v>
      </c>
      <c r="AQ262" s="446">
        <f>SUMIF(MAG!$G$155:$J$155,AQ$112,MAG!$R35:$U35)</f>
        <v>0</v>
      </c>
      <c r="AR262" s="447">
        <f>SUMIF(MAG!$G$155:$J$155,AR$112,MAG!$R35:$U35)</f>
        <v>0</v>
      </c>
      <c r="AS262" s="448">
        <f>SUMIF(MAG!$G$155:$J$155,AS$112,MAG!$R35:$U35)</f>
        <v>0</v>
      </c>
      <c r="AT262" s="449">
        <f>MAG!AG35</f>
        <v>0</v>
      </c>
      <c r="AU262" s="445">
        <f>MAG!AH35</f>
        <v>0</v>
      </c>
      <c r="AV262" s="446">
        <f>MAG!AI35</f>
        <v>0</v>
      </c>
      <c r="AW262" s="447">
        <f>MAG!AJ35</f>
        <v>0</v>
      </c>
      <c r="AX262" s="448">
        <f>MAG!AK35</f>
        <v>0</v>
      </c>
      <c r="AY262" s="445">
        <f>SUMIF(MAG!$G$152:$J$152,"&gt;0",MAG!$W35:$Z35)</f>
        <v>0</v>
      </c>
      <c r="AZ262" s="1063">
        <f>SUM(MAG!AB35:AE35)</f>
        <v>0</v>
      </c>
      <c r="BA262" s="445">
        <f>SUMIF(MAG!$G$159:$J$159,BA$111,MAG!$R35:$U35)+SUMIF(MAG!$G$159:$J$159,BA$111,MAG!$W35:$Z35)</f>
        <v>0</v>
      </c>
      <c r="BB262" s="446">
        <f>SUMIF(MAG!$G$159:$J$159,BB$111,MAG!$R35:$U35)+SUMIF(MAG!$G$159:$J$159,BB$111,MAG!$W35:$Z35)</f>
        <v>0</v>
      </c>
      <c r="BC262" s="446">
        <f>SUMIF(MAG!$G$159:$J$159,BC$111,MAG!$R35:$U35)+SUMIF(MAG!$G$159:$J$159,BC$111,MAG!$W35:$Z35)</f>
        <v>0</v>
      </c>
      <c r="BD262" s="446">
        <f>SUMIF(MAG!$G$159:$J$159,BD$111,MAG!$R35:$U35)+SUMIF(MAG!$G$159:$J$159,BD$111,MAG!$W35:$Z35)</f>
        <v>0</v>
      </c>
      <c r="BE262" s="446">
        <f>SUMIF(MAG!$G$159:$J$159,BE$111,MAG!$R35:$U35)+SUMIF(MAG!$G$159:$J$159,BE$111,MAG!$W35:$Z35)</f>
        <v>0</v>
      </c>
      <c r="BF262" s="446">
        <f>SUMIF(MAG!$G$159:$J$159,BF$111,MAG!$R35:$U35)+SUMIF(MAG!$G$159:$J$159,BF$111,MAG!$W35:$Z35)</f>
        <v>0</v>
      </c>
      <c r="BG262" s="448">
        <f>SUMIF(MAG!$G$159:$J$159,BG$111,MAG!$R35:$U35)+SUMIF(MAG!$G$159:$J$159,BG$111,MAG!$W35:$Z35)</f>
        <v>0</v>
      </c>
      <c r="BH262" s="571"/>
      <c r="BI262" s="448"/>
      <c r="BJ262" s="470"/>
      <c r="BK262" s="445">
        <f>SUMIF(MAG!$G$157:$J$157,BK$111,MAG!$R35:$U35)+SUMIF(MAG!$G$157:$J$157,BK$111,MAG!$W35:$Z35)</f>
        <v>0</v>
      </c>
      <c r="BL262" s="446">
        <f>SUMIF(MAG!$G$157:$J$157,BL$111,MAG!$R35:$U35)+SUMIF(MAG!$G$157:$J$157,BL$111,MAG!$W35:$Z35)</f>
        <v>0</v>
      </c>
      <c r="BM262" s="446">
        <f>SUMIF(MAG!$G$157:$J$157,BM$111,MAG!$R35:$U35)+SUMIF(MAG!$G$157:$J$157,BM$111,MAG!$W35:$Z35)</f>
        <v>0</v>
      </c>
      <c r="BN262" s="446">
        <f>SUMIF(MAG!$G$157:$J$157,BN$111,MAG!$R35:$U35)+SUMIF(MAG!$G$157:$J$157,BN$111,MAG!$W35:$Z35)</f>
        <v>0</v>
      </c>
      <c r="BO262" s="446">
        <f>SUMIF(MAG!$G$157:$J$157,BO$111,MAG!$R35:$U35)+SUMIF(MAG!$G$157:$J$157,BO$111,MAG!$W35:$Z35)</f>
        <v>0</v>
      </c>
      <c r="BP262" s="446">
        <f>SUMIF(MAG!$G$157:$J$157,BP$111,MAG!$R35:$U35)+SUMIF(MAG!$G$157:$J$157,BP$111,MAG!$W35:$Z35)</f>
        <v>0</v>
      </c>
      <c r="BQ262" s="448">
        <f>SUMIF(MAG!$G$157:$J$157,BQ$111,MAG!$R35:$U35)+SUMIF(MAG!$G$157:$J$157,BQ$111,MAG!$W35:$Z35)</f>
        <v>0</v>
      </c>
      <c r="BR262" s="571"/>
      <c r="BS262" s="446"/>
      <c r="BT262" s="448"/>
      <c r="BU262" s="470"/>
      <c r="BV262" s="445">
        <f>SUMIF(MAG!$G$158:$J$158,BV$111,MAG!$R35:$U35)+SUMIF(MAG!$G$158:$J$158,BV$111,MAG!$W35:$Z35)</f>
        <v>0</v>
      </c>
      <c r="BW262" s="446">
        <f>SUMIF(MAG!$G$158:$J$158,BW$111,MAG!$R35:$U35)+SUMIF(MAG!$G$158:$J$158,BW$111,MAG!$W35:$Z35)</f>
        <v>0</v>
      </c>
      <c r="BX262" s="446">
        <f>SUMIF(MAG!$G$158:$J$158,BX$111,MAG!$R35:$U35)+SUMIF(MAG!$G$158:$J$158,BX$111,MAG!$W35:$Z35)</f>
        <v>0</v>
      </c>
      <c r="BY262" s="446">
        <f>SUMIF(MAG!$G$158:$J$158,BY$111,MAG!$R35:$U35)+SUMIF(MAG!$G$158:$J$158,BY$111,MAG!$W35:$Z35)</f>
        <v>0</v>
      </c>
      <c r="BZ262" s="446">
        <f>SUMIF(MAG!$G$158:$J$158,BZ$111,MAG!$R35:$U35)+SUMIF(MAG!$G$158:$J$158,BZ$111,MAG!$W35:$Z35)</f>
        <v>0</v>
      </c>
      <c r="CA262" s="446">
        <f>SUMIF(MAG!$G$158:$J$158,CA$111,MAG!$R35:$U35)+SUMIF(MAG!$G$158:$J$158,CA$111,MAG!$W35:$Z35)</f>
        <v>0</v>
      </c>
      <c r="CB262" s="448">
        <f>SUMIF(MAG!$G$158:$J$158,CB$111,MAG!$R35:$U35)+SUMIF(MAG!$G$158:$J$158,CB$111,MAG!$W35:$Z35)</f>
        <v>0</v>
      </c>
      <c r="CC262" s="571"/>
      <c r="CD262" s="448"/>
      <c r="CE262" s="92">
        <f t="shared" si="261"/>
        <v>0</v>
      </c>
      <c r="CF262" s="92">
        <f t="shared" si="262"/>
        <v>0</v>
      </c>
      <c r="CG262" s="151" t="str">
        <f t="shared" si="248"/>
        <v/>
      </c>
      <c r="CH262" s="92">
        <f t="shared" si="251"/>
        <v>0</v>
      </c>
      <c r="CI262" s="92" t="str">
        <f t="shared" si="263"/>
        <v/>
      </c>
      <c r="CJ262" s="1100">
        <f>MAG!AM35</f>
        <v>0</v>
      </c>
      <c r="CK262" s="445">
        <f>SUMIF(MAG!$G$155:$J$155,CK$112,MAG!$AN35:$AQ35)</f>
        <v>0</v>
      </c>
      <c r="CL262" s="446">
        <f>SUMIF(MAG!$G$155:$J$155,CL$112,MAG!$AN35:$AQ35)</f>
        <v>0</v>
      </c>
      <c r="CM262" s="447">
        <f>SUMIF(MAG!$G$155:$J$155,CM$112,MAG!$AN35:$AQ35)</f>
        <v>0</v>
      </c>
      <c r="CN262" s="448">
        <f>SUMIF(MAG!$G$155:$J$155,CN$112,MAG!$AN35:$AQ35)</f>
        <v>0</v>
      </c>
      <c r="CO262" s="1100">
        <f>MAG!AS35</f>
        <v>0</v>
      </c>
      <c r="CP262" s="445">
        <f>MAG!AT35</f>
        <v>0</v>
      </c>
      <c r="CQ262" s="446">
        <f>MAG!AU35</f>
        <v>0</v>
      </c>
      <c r="CR262" s="447">
        <f>MAG!AV35</f>
        <v>0</v>
      </c>
      <c r="CS262" s="448">
        <f>MAG!AW35</f>
        <v>0</v>
      </c>
      <c r="CT262" s="1100">
        <f>MAG!AY35</f>
        <v>0</v>
      </c>
      <c r="CU262" s="2"/>
    </row>
    <row r="263" spans="1:99" ht="14.25" hidden="1" customHeight="1" x14ac:dyDescent="0.2">
      <c r="A263" s="2"/>
      <c r="B263" s="151">
        <f t="shared" si="252"/>
        <v>45441</v>
      </c>
      <c r="C263" s="223">
        <f>IF(AND(E263&gt;(E$495-1),E263&lt;(I$495+1)),W$485,IF(ISERROR(HLOOKUP(E263,$E$488:$L$488,1,FALSE)),HLOOKUP(WEEKDAY(E263,2),IMPOSTAZIONI!$C$51:$P$56,6,FALSE),$W$484))</f>
        <v>0</v>
      </c>
      <c r="D263" s="103" t="str">
        <f t="shared" si="253"/>
        <v/>
      </c>
      <c r="E263" s="2380">
        <f t="shared" si="264"/>
        <v>45441</v>
      </c>
      <c r="F263" s="2381"/>
      <c r="G263" s="2325" t="str">
        <f>MAG!E36</f>
        <v xml:space="preserve">attiva trim.  </v>
      </c>
      <c r="H263" s="2326"/>
      <c r="I263" s="2327"/>
      <c r="J263" s="479" t="str">
        <f t="shared" si="249"/>
        <v/>
      </c>
      <c r="K263" s="480"/>
      <c r="L263" s="2319">
        <f t="shared" si="265"/>
        <v>22</v>
      </c>
      <c r="M263" s="2320"/>
      <c r="N263" s="478"/>
      <c r="O263" s="478"/>
      <c r="P263" s="478"/>
      <c r="Q263" s="2315">
        <f t="shared" si="254"/>
        <v>45441</v>
      </c>
      <c r="R263" s="2315"/>
      <c r="S263" s="478"/>
      <c r="T263" s="140">
        <f t="shared" si="255"/>
        <v>1</v>
      </c>
      <c r="U263" s="478"/>
      <c r="V263" s="478"/>
      <c r="W263" s="478"/>
      <c r="X263" s="478"/>
      <c r="Y263" s="478"/>
      <c r="Z263" s="478"/>
      <c r="AA263" s="478"/>
      <c r="AB263" s="478"/>
      <c r="AC263" s="478"/>
      <c r="AD263" s="478"/>
      <c r="AE263" s="478"/>
      <c r="AF263" s="478"/>
      <c r="AG263" s="140">
        <f t="shared" si="256"/>
        <v>0</v>
      </c>
      <c r="AH263" s="92" t="str">
        <f t="shared" si="257"/>
        <v/>
      </c>
      <c r="AI263" s="131">
        <f t="shared" si="258"/>
        <v>0</v>
      </c>
      <c r="AJ263" s="2"/>
      <c r="AK263" s="92">
        <f>IF(G263=G$481,0,IF(OR(G263&lt;&gt;0,CJ263&lt;&gt;0,C263="L"),COUNTIF(AK$114:AK262,"&gt;0")+1,0))</f>
        <v>0</v>
      </c>
      <c r="AL263" s="92" t="str">
        <f t="shared" si="259"/>
        <v/>
      </c>
      <c r="AM263" s="92" t="str">
        <f t="shared" si="260"/>
        <v/>
      </c>
      <c r="AN263" s="131">
        <f t="shared" si="250"/>
        <v>0</v>
      </c>
      <c r="AO263" s="447">
        <f>SUM(MAG!W36:Z36)</f>
        <v>0</v>
      </c>
      <c r="AP263" s="445">
        <f>SUMIF(MAG!$G$155:$J$155,AP$112,MAG!$R36:$U36)</f>
        <v>0</v>
      </c>
      <c r="AQ263" s="446">
        <f>SUMIF(MAG!$G$155:$J$155,AQ$112,MAG!$R36:$U36)</f>
        <v>0</v>
      </c>
      <c r="AR263" s="447">
        <f>SUMIF(MAG!$G$155:$J$155,AR$112,MAG!$R36:$U36)</f>
        <v>0</v>
      </c>
      <c r="AS263" s="448">
        <f>SUMIF(MAG!$G$155:$J$155,AS$112,MAG!$R36:$U36)</f>
        <v>0</v>
      </c>
      <c r="AT263" s="449">
        <f>MAG!AG36</f>
        <v>0</v>
      </c>
      <c r="AU263" s="445">
        <f>MAG!AH36</f>
        <v>0</v>
      </c>
      <c r="AV263" s="446">
        <f>MAG!AI36</f>
        <v>0</v>
      </c>
      <c r="AW263" s="447">
        <f>MAG!AJ36</f>
        <v>0</v>
      </c>
      <c r="AX263" s="448">
        <f>MAG!AK36</f>
        <v>0</v>
      </c>
      <c r="AY263" s="445">
        <f>SUMIF(MAG!$G$152:$J$152,"&gt;0",MAG!$W36:$Z36)</f>
        <v>0</v>
      </c>
      <c r="AZ263" s="1063">
        <f>SUM(MAG!AB36:AE36)</f>
        <v>0</v>
      </c>
      <c r="BA263" s="445">
        <f>SUMIF(MAG!$G$159:$J$159,BA$111,MAG!$R36:$U36)+SUMIF(MAG!$G$159:$J$159,BA$111,MAG!$W36:$Z36)</f>
        <v>0</v>
      </c>
      <c r="BB263" s="446">
        <f>SUMIF(MAG!$G$159:$J$159,BB$111,MAG!$R36:$U36)+SUMIF(MAG!$G$159:$J$159,BB$111,MAG!$W36:$Z36)</f>
        <v>0</v>
      </c>
      <c r="BC263" s="446">
        <f>SUMIF(MAG!$G$159:$J$159,BC$111,MAG!$R36:$U36)+SUMIF(MAG!$G$159:$J$159,BC$111,MAG!$W36:$Z36)</f>
        <v>0</v>
      </c>
      <c r="BD263" s="446">
        <f>SUMIF(MAG!$G$159:$J$159,BD$111,MAG!$R36:$U36)+SUMIF(MAG!$G$159:$J$159,BD$111,MAG!$W36:$Z36)</f>
        <v>0</v>
      </c>
      <c r="BE263" s="446">
        <f>SUMIF(MAG!$G$159:$J$159,BE$111,MAG!$R36:$U36)+SUMIF(MAG!$G$159:$J$159,BE$111,MAG!$W36:$Z36)</f>
        <v>0</v>
      </c>
      <c r="BF263" s="446">
        <f>SUMIF(MAG!$G$159:$J$159,BF$111,MAG!$R36:$U36)+SUMIF(MAG!$G$159:$J$159,BF$111,MAG!$W36:$Z36)</f>
        <v>0</v>
      </c>
      <c r="BG263" s="448">
        <f>SUMIF(MAG!$G$159:$J$159,BG$111,MAG!$R36:$U36)+SUMIF(MAG!$G$159:$J$159,BG$111,MAG!$W36:$Z36)</f>
        <v>0</v>
      </c>
      <c r="BH263" s="571"/>
      <c r="BI263" s="448"/>
      <c r="BJ263" s="470"/>
      <c r="BK263" s="445">
        <f>SUMIF(MAG!$G$157:$J$157,BK$111,MAG!$R36:$U36)+SUMIF(MAG!$G$157:$J$157,BK$111,MAG!$W36:$Z36)</f>
        <v>0</v>
      </c>
      <c r="BL263" s="446">
        <f>SUMIF(MAG!$G$157:$J$157,BL$111,MAG!$R36:$U36)+SUMIF(MAG!$G$157:$J$157,BL$111,MAG!$W36:$Z36)</f>
        <v>0</v>
      </c>
      <c r="BM263" s="446">
        <f>SUMIF(MAG!$G$157:$J$157,BM$111,MAG!$R36:$U36)+SUMIF(MAG!$G$157:$J$157,BM$111,MAG!$W36:$Z36)</f>
        <v>0</v>
      </c>
      <c r="BN263" s="446">
        <f>SUMIF(MAG!$G$157:$J$157,BN$111,MAG!$R36:$U36)+SUMIF(MAG!$G$157:$J$157,BN$111,MAG!$W36:$Z36)</f>
        <v>0</v>
      </c>
      <c r="BO263" s="446">
        <f>SUMIF(MAG!$G$157:$J$157,BO$111,MAG!$R36:$U36)+SUMIF(MAG!$G$157:$J$157,BO$111,MAG!$W36:$Z36)</f>
        <v>0</v>
      </c>
      <c r="BP263" s="446">
        <f>SUMIF(MAG!$G$157:$J$157,BP$111,MAG!$R36:$U36)+SUMIF(MAG!$G$157:$J$157,BP$111,MAG!$W36:$Z36)</f>
        <v>0</v>
      </c>
      <c r="BQ263" s="448">
        <f>SUMIF(MAG!$G$157:$J$157,BQ$111,MAG!$R36:$U36)+SUMIF(MAG!$G$157:$J$157,BQ$111,MAG!$W36:$Z36)</f>
        <v>0</v>
      </c>
      <c r="BR263" s="571"/>
      <c r="BS263" s="446"/>
      <c r="BT263" s="448"/>
      <c r="BU263" s="470"/>
      <c r="BV263" s="445">
        <f>SUMIF(MAG!$G$158:$J$158,BV$111,MAG!$R36:$U36)+SUMIF(MAG!$G$158:$J$158,BV$111,MAG!$W36:$Z36)</f>
        <v>0</v>
      </c>
      <c r="BW263" s="446">
        <f>SUMIF(MAG!$G$158:$J$158,BW$111,MAG!$R36:$U36)+SUMIF(MAG!$G$158:$J$158,BW$111,MAG!$W36:$Z36)</f>
        <v>0</v>
      </c>
      <c r="BX263" s="446">
        <f>SUMIF(MAG!$G$158:$J$158,BX$111,MAG!$R36:$U36)+SUMIF(MAG!$G$158:$J$158,BX$111,MAG!$W36:$Z36)</f>
        <v>0</v>
      </c>
      <c r="BY263" s="446">
        <f>SUMIF(MAG!$G$158:$J$158,BY$111,MAG!$R36:$U36)+SUMIF(MAG!$G$158:$J$158,BY$111,MAG!$W36:$Z36)</f>
        <v>0</v>
      </c>
      <c r="BZ263" s="446">
        <f>SUMIF(MAG!$G$158:$J$158,BZ$111,MAG!$R36:$U36)+SUMIF(MAG!$G$158:$J$158,BZ$111,MAG!$W36:$Z36)</f>
        <v>0</v>
      </c>
      <c r="CA263" s="446">
        <f>SUMIF(MAG!$G$158:$J$158,CA$111,MAG!$R36:$U36)+SUMIF(MAG!$G$158:$J$158,CA$111,MAG!$W36:$Z36)</f>
        <v>0</v>
      </c>
      <c r="CB263" s="448">
        <f>SUMIF(MAG!$G$158:$J$158,CB$111,MAG!$R36:$U36)+SUMIF(MAG!$G$158:$J$158,CB$111,MAG!$W36:$Z36)</f>
        <v>0</v>
      </c>
      <c r="CC263" s="571"/>
      <c r="CD263" s="448"/>
      <c r="CE263" s="92">
        <f t="shared" si="261"/>
        <v>0</v>
      </c>
      <c r="CF263" s="92">
        <f t="shared" si="262"/>
        <v>0</v>
      </c>
      <c r="CG263" s="151" t="str">
        <f t="shared" si="248"/>
        <v/>
      </c>
      <c r="CH263" s="92">
        <f t="shared" si="251"/>
        <v>0</v>
      </c>
      <c r="CI263" s="92" t="str">
        <f t="shared" si="263"/>
        <v/>
      </c>
      <c r="CJ263" s="1100">
        <f>MAG!AM36</f>
        <v>0</v>
      </c>
      <c r="CK263" s="445">
        <f>SUMIF(MAG!$G$155:$J$155,CK$112,MAG!$AN36:$AQ36)</f>
        <v>0</v>
      </c>
      <c r="CL263" s="446">
        <f>SUMIF(MAG!$G$155:$J$155,CL$112,MAG!$AN36:$AQ36)</f>
        <v>0</v>
      </c>
      <c r="CM263" s="447">
        <f>SUMIF(MAG!$G$155:$J$155,CM$112,MAG!$AN36:$AQ36)</f>
        <v>0</v>
      </c>
      <c r="CN263" s="448">
        <f>SUMIF(MAG!$G$155:$J$155,CN$112,MAG!$AN36:$AQ36)</f>
        <v>0</v>
      </c>
      <c r="CO263" s="1100">
        <f>MAG!AS36</f>
        <v>0</v>
      </c>
      <c r="CP263" s="445">
        <f>MAG!AT36</f>
        <v>0</v>
      </c>
      <c r="CQ263" s="446">
        <f>MAG!AU36</f>
        <v>0</v>
      </c>
      <c r="CR263" s="447">
        <f>MAG!AV36</f>
        <v>0</v>
      </c>
      <c r="CS263" s="448">
        <f>MAG!AW36</f>
        <v>0</v>
      </c>
      <c r="CT263" s="1100">
        <f>MAG!AY36</f>
        <v>0</v>
      </c>
      <c r="CU263" s="2"/>
    </row>
    <row r="264" spans="1:99" ht="14.25" hidden="1" customHeight="1" x14ac:dyDescent="0.2">
      <c r="A264" s="2"/>
      <c r="B264" s="151">
        <f t="shared" si="252"/>
        <v>45442</v>
      </c>
      <c r="C264" s="223">
        <f>IF(AND(E264&gt;(E$495-1),E264&lt;(I$495+1)),W$485,IF(ISERROR(HLOOKUP(E264,$E$488:$L$488,1,FALSE)),HLOOKUP(WEEKDAY(E264,2),IMPOSTAZIONI!$C$51:$P$56,6,FALSE),$W$484))</f>
        <v>0</v>
      </c>
      <c r="D264" s="103" t="str">
        <f t="shared" si="253"/>
        <v/>
      </c>
      <c r="E264" s="2380">
        <f t="shared" si="264"/>
        <v>45442</v>
      </c>
      <c r="F264" s="2381"/>
      <c r="G264" s="2325" t="str">
        <f>MAG!E37</f>
        <v xml:space="preserve">attiva trim.  </v>
      </c>
      <c r="H264" s="2326"/>
      <c r="I264" s="2327"/>
      <c r="J264" s="479" t="str">
        <f t="shared" si="249"/>
        <v/>
      </c>
      <c r="K264" s="480"/>
      <c r="L264" s="2319">
        <f t="shared" si="265"/>
        <v>22</v>
      </c>
      <c r="M264" s="2320"/>
      <c r="N264" s="478"/>
      <c r="O264" s="478"/>
      <c r="P264" s="478"/>
      <c r="Q264" s="2315">
        <f t="shared" si="254"/>
        <v>45442</v>
      </c>
      <c r="R264" s="2315"/>
      <c r="S264" s="478"/>
      <c r="T264" s="140">
        <f t="shared" si="255"/>
        <v>1</v>
      </c>
      <c r="U264" s="478"/>
      <c r="V264" s="478"/>
      <c r="W264" s="478"/>
      <c r="X264" s="478"/>
      <c r="Y264" s="478"/>
      <c r="Z264" s="478"/>
      <c r="AA264" s="478"/>
      <c r="AB264" s="478"/>
      <c r="AC264" s="478"/>
      <c r="AD264" s="478"/>
      <c r="AE264" s="478"/>
      <c r="AF264" s="478"/>
      <c r="AG264" s="140">
        <f t="shared" si="256"/>
        <v>0</v>
      </c>
      <c r="AH264" s="92" t="str">
        <f t="shared" si="257"/>
        <v/>
      </c>
      <c r="AI264" s="131">
        <f t="shared" si="258"/>
        <v>0</v>
      </c>
      <c r="AJ264" s="2"/>
      <c r="AK264" s="92">
        <f>IF(G264=G$481,0,IF(OR(G264&lt;&gt;0,CJ264&lt;&gt;0,C264="L"),COUNTIF(AK$114:AK263,"&gt;0")+1,0))</f>
        <v>0</v>
      </c>
      <c r="AL264" s="92" t="str">
        <f t="shared" si="259"/>
        <v/>
      </c>
      <c r="AM264" s="92" t="str">
        <f t="shared" si="260"/>
        <v/>
      </c>
      <c r="AN264" s="131">
        <f t="shared" si="250"/>
        <v>0</v>
      </c>
      <c r="AO264" s="447">
        <f>SUM(MAG!W37:Z37)</f>
        <v>0</v>
      </c>
      <c r="AP264" s="445">
        <f>SUMIF(MAG!$G$155:$J$155,AP$112,MAG!$R37:$U37)</f>
        <v>0</v>
      </c>
      <c r="AQ264" s="446">
        <f>SUMIF(MAG!$G$155:$J$155,AQ$112,MAG!$R37:$U37)</f>
        <v>0</v>
      </c>
      <c r="AR264" s="447">
        <f>SUMIF(MAG!$G$155:$J$155,AR$112,MAG!$R37:$U37)</f>
        <v>0</v>
      </c>
      <c r="AS264" s="448">
        <f>SUMIF(MAG!$G$155:$J$155,AS$112,MAG!$R37:$U37)</f>
        <v>0</v>
      </c>
      <c r="AT264" s="449">
        <f>MAG!AG37</f>
        <v>0</v>
      </c>
      <c r="AU264" s="445">
        <f>MAG!AH37</f>
        <v>0</v>
      </c>
      <c r="AV264" s="446">
        <f>MAG!AI37</f>
        <v>0</v>
      </c>
      <c r="AW264" s="447">
        <f>MAG!AJ37</f>
        <v>0</v>
      </c>
      <c r="AX264" s="448">
        <f>MAG!AK37</f>
        <v>0</v>
      </c>
      <c r="AY264" s="445">
        <f>SUMIF(MAG!$G$152:$J$152,"&gt;0",MAG!$W37:$Z37)</f>
        <v>0</v>
      </c>
      <c r="AZ264" s="1063">
        <f>SUM(MAG!AB37:AE37)</f>
        <v>0</v>
      </c>
      <c r="BA264" s="445">
        <f>SUMIF(MAG!$G$159:$J$159,BA$111,MAG!$R37:$U37)+SUMIF(MAG!$G$159:$J$159,BA$111,MAG!$W37:$Z37)</f>
        <v>0</v>
      </c>
      <c r="BB264" s="446">
        <f>SUMIF(MAG!$G$159:$J$159,BB$111,MAG!$R37:$U37)+SUMIF(MAG!$G$159:$J$159,BB$111,MAG!$W37:$Z37)</f>
        <v>0</v>
      </c>
      <c r="BC264" s="446">
        <f>SUMIF(MAG!$G$159:$J$159,BC$111,MAG!$R37:$U37)+SUMIF(MAG!$G$159:$J$159,BC$111,MAG!$W37:$Z37)</f>
        <v>0</v>
      </c>
      <c r="BD264" s="446">
        <f>SUMIF(MAG!$G$159:$J$159,BD$111,MAG!$R37:$U37)+SUMIF(MAG!$G$159:$J$159,BD$111,MAG!$W37:$Z37)</f>
        <v>0</v>
      </c>
      <c r="BE264" s="446">
        <f>SUMIF(MAG!$G$159:$J$159,BE$111,MAG!$R37:$U37)+SUMIF(MAG!$G$159:$J$159,BE$111,MAG!$W37:$Z37)</f>
        <v>0</v>
      </c>
      <c r="BF264" s="446">
        <f>SUMIF(MAG!$G$159:$J$159,BF$111,MAG!$R37:$U37)+SUMIF(MAG!$G$159:$J$159,BF$111,MAG!$W37:$Z37)</f>
        <v>0</v>
      </c>
      <c r="BG264" s="448">
        <f>SUMIF(MAG!$G$159:$J$159,BG$111,MAG!$R37:$U37)+SUMIF(MAG!$G$159:$J$159,BG$111,MAG!$W37:$Z37)</f>
        <v>0</v>
      </c>
      <c r="BH264" s="571"/>
      <c r="BI264" s="448"/>
      <c r="BJ264" s="470"/>
      <c r="BK264" s="445">
        <f>SUMIF(MAG!$G$157:$J$157,BK$111,MAG!$R37:$U37)+SUMIF(MAG!$G$157:$J$157,BK$111,MAG!$W37:$Z37)</f>
        <v>0</v>
      </c>
      <c r="BL264" s="446">
        <f>SUMIF(MAG!$G$157:$J$157,BL$111,MAG!$R37:$U37)+SUMIF(MAG!$G$157:$J$157,BL$111,MAG!$W37:$Z37)</f>
        <v>0</v>
      </c>
      <c r="BM264" s="446">
        <f>SUMIF(MAG!$G$157:$J$157,BM$111,MAG!$R37:$U37)+SUMIF(MAG!$G$157:$J$157,BM$111,MAG!$W37:$Z37)</f>
        <v>0</v>
      </c>
      <c r="BN264" s="446">
        <f>SUMIF(MAG!$G$157:$J$157,BN$111,MAG!$R37:$U37)+SUMIF(MAG!$G$157:$J$157,BN$111,MAG!$W37:$Z37)</f>
        <v>0</v>
      </c>
      <c r="BO264" s="446">
        <f>SUMIF(MAG!$G$157:$J$157,BO$111,MAG!$R37:$U37)+SUMIF(MAG!$G$157:$J$157,BO$111,MAG!$W37:$Z37)</f>
        <v>0</v>
      </c>
      <c r="BP264" s="446">
        <f>SUMIF(MAG!$G$157:$J$157,BP$111,MAG!$R37:$U37)+SUMIF(MAG!$G$157:$J$157,BP$111,MAG!$W37:$Z37)</f>
        <v>0</v>
      </c>
      <c r="BQ264" s="448">
        <f>SUMIF(MAG!$G$157:$J$157,BQ$111,MAG!$R37:$U37)+SUMIF(MAG!$G$157:$J$157,BQ$111,MAG!$W37:$Z37)</f>
        <v>0</v>
      </c>
      <c r="BR264" s="571"/>
      <c r="BS264" s="446"/>
      <c r="BT264" s="448"/>
      <c r="BU264" s="470"/>
      <c r="BV264" s="445">
        <f>SUMIF(MAG!$G$158:$J$158,BV$111,MAG!$R37:$U37)+SUMIF(MAG!$G$158:$J$158,BV$111,MAG!$W37:$Z37)</f>
        <v>0</v>
      </c>
      <c r="BW264" s="446">
        <f>SUMIF(MAG!$G$158:$J$158,BW$111,MAG!$R37:$U37)+SUMIF(MAG!$G$158:$J$158,BW$111,MAG!$W37:$Z37)</f>
        <v>0</v>
      </c>
      <c r="BX264" s="446">
        <f>SUMIF(MAG!$G$158:$J$158,BX$111,MAG!$R37:$U37)+SUMIF(MAG!$G$158:$J$158,BX$111,MAG!$W37:$Z37)</f>
        <v>0</v>
      </c>
      <c r="BY264" s="446">
        <f>SUMIF(MAG!$G$158:$J$158,BY$111,MAG!$R37:$U37)+SUMIF(MAG!$G$158:$J$158,BY$111,MAG!$W37:$Z37)</f>
        <v>0</v>
      </c>
      <c r="BZ264" s="446">
        <f>SUMIF(MAG!$G$158:$J$158,BZ$111,MAG!$R37:$U37)+SUMIF(MAG!$G$158:$J$158,BZ$111,MAG!$W37:$Z37)</f>
        <v>0</v>
      </c>
      <c r="CA264" s="446">
        <f>SUMIF(MAG!$G$158:$J$158,CA$111,MAG!$R37:$U37)+SUMIF(MAG!$G$158:$J$158,CA$111,MAG!$W37:$Z37)</f>
        <v>0</v>
      </c>
      <c r="CB264" s="448">
        <f>SUMIF(MAG!$G$158:$J$158,CB$111,MAG!$R37:$U37)+SUMIF(MAG!$G$158:$J$158,CB$111,MAG!$W37:$Z37)</f>
        <v>0</v>
      </c>
      <c r="CC264" s="571"/>
      <c r="CD264" s="448"/>
      <c r="CE264" s="92">
        <f t="shared" si="261"/>
        <v>0</v>
      </c>
      <c r="CF264" s="92">
        <f t="shared" si="262"/>
        <v>0</v>
      </c>
      <c r="CG264" s="151" t="str">
        <f t="shared" si="248"/>
        <v/>
      </c>
      <c r="CH264" s="92">
        <f t="shared" si="251"/>
        <v>0</v>
      </c>
      <c r="CI264" s="92" t="str">
        <f t="shared" si="263"/>
        <v/>
      </c>
      <c r="CJ264" s="1100">
        <f>MAG!AM37</f>
        <v>0</v>
      </c>
      <c r="CK264" s="445">
        <f>SUMIF(MAG!$G$155:$J$155,CK$112,MAG!$AN37:$AQ37)</f>
        <v>0</v>
      </c>
      <c r="CL264" s="446">
        <f>SUMIF(MAG!$G$155:$J$155,CL$112,MAG!$AN37:$AQ37)</f>
        <v>0</v>
      </c>
      <c r="CM264" s="447">
        <f>SUMIF(MAG!$G$155:$J$155,CM$112,MAG!$AN37:$AQ37)</f>
        <v>0</v>
      </c>
      <c r="CN264" s="448">
        <f>SUMIF(MAG!$G$155:$J$155,CN$112,MAG!$AN37:$AQ37)</f>
        <v>0</v>
      </c>
      <c r="CO264" s="1100">
        <f>MAG!AS37</f>
        <v>0</v>
      </c>
      <c r="CP264" s="445">
        <f>MAG!AT37</f>
        <v>0</v>
      </c>
      <c r="CQ264" s="446">
        <f>MAG!AU37</f>
        <v>0</v>
      </c>
      <c r="CR264" s="447">
        <f>MAG!AV37</f>
        <v>0</v>
      </c>
      <c r="CS264" s="448">
        <f>MAG!AW37</f>
        <v>0</v>
      </c>
      <c r="CT264" s="1100">
        <f>MAG!AY37</f>
        <v>0</v>
      </c>
      <c r="CU264" s="2"/>
    </row>
    <row r="265" spans="1:99" ht="14.25" hidden="1" customHeight="1" x14ac:dyDescent="0.2">
      <c r="A265" s="2"/>
      <c r="B265" s="151">
        <f t="shared" si="252"/>
        <v>45443</v>
      </c>
      <c r="C265" s="223">
        <f>IF(AND(E265&gt;(E$495-1),E265&lt;(I$495+1)),W$485,IF(ISERROR(HLOOKUP(E265,$E$488:$L$488,1,FALSE)),HLOOKUP(WEEKDAY(E265,2),IMPOSTAZIONI!$C$51:$P$56,6,FALSE),$W$484))</f>
        <v>0</v>
      </c>
      <c r="D265" s="103" t="str">
        <f t="shared" si="253"/>
        <v/>
      </c>
      <c r="E265" s="2445">
        <f t="shared" si="264"/>
        <v>45443</v>
      </c>
      <c r="F265" s="2446"/>
      <c r="G265" s="2316" t="str">
        <f>MAG!E38</f>
        <v xml:space="preserve">attiva trim.  </v>
      </c>
      <c r="H265" s="2317"/>
      <c r="I265" s="2318"/>
      <c r="J265" s="479" t="str">
        <f t="shared" si="249"/>
        <v/>
      </c>
      <c r="K265" s="480"/>
      <c r="L265" s="2319">
        <f t="shared" si="265"/>
        <v>22</v>
      </c>
      <c r="M265" s="2320"/>
      <c r="N265" s="478"/>
      <c r="O265" s="478"/>
      <c r="P265" s="478"/>
      <c r="Q265" s="2315">
        <f t="shared" si="254"/>
        <v>45443</v>
      </c>
      <c r="R265" s="2315"/>
      <c r="S265" s="478"/>
      <c r="T265" s="140">
        <f t="shared" si="255"/>
        <v>1</v>
      </c>
      <c r="U265" s="478"/>
      <c r="V265" s="478"/>
      <c r="W265" s="478"/>
      <c r="X265" s="478"/>
      <c r="Y265" s="478"/>
      <c r="Z265" s="478"/>
      <c r="AA265" s="478"/>
      <c r="AB265" s="478"/>
      <c r="AC265" s="478"/>
      <c r="AD265" s="478"/>
      <c r="AE265" s="478"/>
      <c r="AF265" s="478"/>
      <c r="AG265" s="140">
        <f t="shared" si="256"/>
        <v>0</v>
      </c>
      <c r="AH265" s="92" t="str">
        <f t="shared" si="257"/>
        <v/>
      </c>
      <c r="AI265" s="131">
        <f t="shared" si="258"/>
        <v>0</v>
      </c>
      <c r="AJ265" s="2"/>
      <c r="AK265" s="92">
        <f>IF(G265=G$481,0,IF(OR(G265&lt;&gt;0,CJ265&lt;&gt;0,C265="L"),COUNTIF(AK$114:AK264,"&gt;0")+1,0))</f>
        <v>0</v>
      </c>
      <c r="AL265" s="92" t="str">
        <f t="shared" si="259"/>
        <v/>
      </c>
      <c r="AM265" s="92" t="str">
        <f t="shared" si="260"/>
        <v/>
      </c>
      <c r="AN265" s="131">
        <f t="shared" si="250"/>
        <v>0</v>
      </c>
      <c r="AO265" s="452">
        <f>SUM(MAG!W38:Z38)</f>
        <v>0</v>
      </c>
      <c r="AP265" s="450">
        <f>SUMIF(MAG!$G$155:$J$155,AP$112,MAG!$R38:$U38)</f>
        <v>0</v>
      </c>
      <c r="AQ265" s="451">
        <f>SUMIF(MAG!$G$155:$J$155,AQ$112,MAG!$R38:$U38)</f>
        <v>0</v>
      </c>
      <c r="AR265" s="452">
        <f>SUMIF(MAG!$G$155:$J$155,AR$112,MAG!$R38:$U38)</f>
        <v>0</v>
      </c>
      <c r="AS265" s="453">
        <f>SUMIF(MAG!$G$155:$J$155,AS$112,MAG!$R38:$U38)</f>
        <v>0</v>
      </c>
      <c r="AT265" s="454">
        <f>MAG!AG38</f>
        <v>0</v>
      </c>
      <c r="AU265" s="450">
        <f>MAG!AH38</f>
        <v>0</v>
      </c>
      <c r="AV265" s="451">
        <f>MAG!AI38</f>
        <v>0</v>
      </c>
      <c r="AW265" s="452">
        <f>MAG!AJ38</f>
        <v>0</v>
      </c>
      <c r="AX265" s="453">
        <f>MAG!AK38</f>
        <v>0</v>
      </c>
      <c r="AY265" s="450">
        <f>SUMIF(MAG!$G$152:$J$152,"&gt;0",MAG!$W38:$Z38)</f>
        <v>0</v>
      </c>
      <c r="AZ265" s="1064">
        <f>SUM(MAG!AB38:AE38)</f>
        <v>0</v>
      </c>
      <c r="BA265" s="450">
        <f>SUMIF(MAG!$G$159:$J$159,BA$111,MAG!$R38:$U38)+SUMIF(MAG!$G$159:$J$159,BA$111,MAG!$W38:$Z38)</f>
        <v>0</v>
      </c>
      <c r="BB265" s="451">
        <f>SUMIF(MAG!$G$159:$J$159,BB$111,MAG!$R38:$U38)+SUMIF(MAG!$G$159:$J$159,BB$111,MAG!$W38:$Z38)</f>
        <v>0</v>
      </c>
      <c r="BC265" s="451">
        <f>SUMIF(MAG!$G$159:$J$159,BC$111,MAG!$R38:$U38)+SUMIF(MAG!$G$159:$J$159,BC$111,MAG!$W38:$Z38)</f>
        <v>0</v>
      </c>
      <c r="BD265" s="451">
        <f>SUMIF(MAG!$G$159:$J$159,BD$111,MAG!$R38:$U38)+SUMIF(MAG!$G$159:$J$159,BD$111,MAG!$W38:$Z38)</f>
        <v>0</v>
      </c>
      <c r="BE265" s="451">
        <f>SUMIF(MAG!$G$159:$J$159,BE$111,MAG!$R38:$U38)+SUMIF(MAG!$G$159:$J$159,BE$111,MAG!$W38:$Z38)</f>
        <v>0</v>
      </c>
      <c r="BF265" s="451">
        <f>SUMIF(MAG!$G$159:$J$159,BF$111,MAG!$R38:$U38)+SUMIF(MAG!$G$159:$J$159,BF$111,MAG!$W38:$Z38)</f>
        <v>0</v>
      </c>
      <c r="BG265" s="453">
        <f>SUMIF(MAG!$G$159:$J$159,BG$111,MAG!$R38:$U38)+SUMIF(MAG!$G$159:$J$159,BG$111,MAG!$W38:$Z38)</f>
        <v>0</v>
      </c>
      <c r="BH265" s="572"/>
      <c r="BI265" s="453"/>
      <c r="BJ265" s="470"/>
      <c r="BK265" s="450">
        <f>SUMIF(MAG!$G$157:$J$157,BK$111,MAG!$R38:$U38)+SUMIF(MAG!$G$157:$J$157,BK$111,MAG!$W38:$Z38)</f>
        <v>0</v>
      </c>
      <c r="BL265" s="451">
        <f>SUMIF(MAG!$G$157:$J$157,BL$111,MAG!$R38:$U38)+SUMIF(MAG!$G$157:$J$157,BL$111,MAG!$W38:$Z38)</f>
        <v>0</v>
      </c>
      <c r="BM265" s="451">
        <f>SUMIF(MAG!$G$157:$J$157,BM$111,MAG!$R38:$U38)+SUMIF(MAG!$G$157:$J$157,BM$111,MAG!$W38:$Z38)</f>
        <v>0</v>
      </c>
      <c r="BN265" s="451">
        <f>SUMIF(MAG!$G$157:$J$157,BN$111,MAG!$R38:$U38)+SUMIF(MAG!$G$157:$J$157,BN$111,MAG!$W38:$Z38)</f>
        <v>0</v>
      </c>
      <c r="BO265" s="451">
        <f>SUMIF(MAG!$G$157:$J$157,BO$111,MAG!$R38:$U38)+SUMIF(MAG!$G$157:$J$157,BO$111,MAG!$W38:$Z38)</f>
        <v>0</v>
      </c>
      <c r="BP265" s="451">
        <f>SUMIF(MAG!$G$157:$J$157,BP$111,MAG!$R38:$U38)+SUMIF(MAG!$G$157:$J$157,BP$111,MAG!$W38:$Z38)</f>
        <v>0</v>
      </c>
      <c r="BQ265" s="453">
        <f>SUMIF(MAG!$G$157:$J$157,BQ$111,MAG!$R38:$U38)+SUMIF(MAG!$G$157:$J$157,BQ$111,MAG!$W38:$Z38)</f>
        <v>0</v>
      </c>
      <c r="BR265" s="572"/>
      <c r="BS265" s="451"/>
      <c r="BT265" s="453"/>
      <c r="BU265" s="470"/>
      <c r="BV265" s="450">
        <f>SUMIF(MAG!$G$158:$J$158,BV$111,MAG!$R38:$U38)+SUMIF(MAG!$G$158:$J$158,BV$111,MAG!$W38:$Z38)</f>
        <v>0</v>
      </c>
      <c r="BW265" s="451">
        <f>SUMIF(MAG!$G$158:$J$158,BW$111,MAG!$R38:$U38)+SUMIF(MAG!$G$158:$J$158,BW$111,MAG!$W38:$Z38)</f>
        <v>0</v>
      </c>
      <c r="BX265" s="451">
        <f>SUMIF(MAG!$G$158:$J$158,BX$111,MAG!$R38:$U38)+SUMIF(MAG!$G$158:$J$158,BX$111,MAG!$W38:$Z38)</f>
        <v>0</v>
      </c>
      <c r="BY265" s="451">
        <f>SUMIF(MAG!$G$158:$J$158,BY$111,MAG!$R38:$U38)+SUMIF(MAG!$G$158:$J$158,BY$111,MAG!$W38:$Z38)</f>
        <v>0</v>
      </c>
      <c r="BZ265" s="451">
        <f>SUMIF(MAG!$G$158:$J$158,BZ$111,MAG!$R38:$U38)+SUMIF(MAG!$G$158:$J$158,BZ$111,MAG!$W38:$Z38)</f>
        <v>0</v>
      </c>
      <c r="CA265" s="451">
        <f>SUMIF(MAG!$G$158:$J$158,CA$111,MAG!$R38:$U38)+SUMIF(MAG!$G$158:$J$158,CA$111,MAG!$W38:$Z38)</f>
        <v>0</v>
      </c>
      <c r="CB265" s="453">
        <f>SUMIF(MAG!$G$158:$J$158,CB$111,MAG!$R38:$U38)+SUMIF(MAG!$G$158:$J$158,CB$111,MAG!$W38:$Z38)</f>
        <v>0</v>
      </c>
      <c r="CC265" s="572"/>
      <c r="CD265" s="453"/>
      <c r="CE265" s="92">
        <f t="shared" si="261"/>
        <v>0</v>
      </c>
      <c r="CF265" s="92">
        <f t="shared" si="262"/>
        <v>0</v>
      </c>
      <c r="CG265" s="151" t="str">
        <f t="shared" si="248"/>
        <v/>
      </c>
      <c r="CH265" s="92">
        <f t="shared" si="251"/>
        <v>0</v>
      </c>
      <c r="CI265" s="92" t="str">
        <f t="shared" si="263"/>
        <v/>
      </c>
      <c r="CJ265" s="1101">
        <f>MAG!AM38</f>
        <v>0</v>
      </c>
      <c r="CK265" s="450">
        <f>SUMIF(MAG!$G$155:$J$155,CK$112,MAG!$AN38:$AQ38)</f>
        <v>0</v>
      </c>
      <c r="CL265" s="451">
        <f>SUMIF(MAG!$G$155:$J$155,CL$112,MAG!$AN38:$AQ38)</f>
        <v>0</v>
      </c>
      <c r="CM265" s="452">
        <f>SUMIF(MAG!$G$155:$J$155,CM$112,MAG!$AN38:$AQ38)</f>
        <v>0</v>
      </c>
      <c r="CN265" s="453">
        <f>SUMIF(MAG!$G$155:$J$155,CN$112,MAG!$AN38:$AQ38)</f>
        <v>0</v>
      </c>
      <c r="CO265" s="1101">
        <f>MAG!AS38</f>
        <v>0</v>
      </c>
      <c r="CP265" s="450">
        <f>MAG!AT38</f>
        <v>0</v>
      </c>
      <c r="CQ265" s="451">
        <f>MAG!AU38</f>
        <v>0</v>
      </c>
      <c r="CR265" s="452">
        <f>MAG!AV38</f>
        <v>0</v>
      </c>
      <c r="CS265" s="453">
        <f>MAG!AW38</f>
        <v>0</v>
      </c>
      <c r="CT265" s="1101">
        <f>MAG!AY38</f>
        <v>0</v>
      </c>
      <c r="CU265" s="2"/>
    </row>
    <row r="266" spans="1:99" ht="14.25" hidden="1" customHeight="1" x14ac:dyDescent="0.2">
      <c r="A266" s="2"/>
      <c r="B266" s="151">
        <f t="shared" si="252"/>
        <v>45444</v>
      </c>
      <c r="C266" s="223">
        <f>IF(AND(E266&gt;(E$496-1),E266&lt;(I$496+1)),W$485,IF(ISERROR(HLOOKUP(E266,$E$489:$L$489,1,FALSE)),HLOOKUP(WEEKDAY(E266,2),IMPOSTAZIONI!$C$51:$P$56,6,FALSE),$W$484))</f>
        <v>0</v>
      </c>
      <c r="D266" s="103" t="str">
        <f t="shared" si="253"/>
        <v/>
      </c>
      <c r="E266" s="2447">
        <f t="shared" si="264"/>
        <v>45444</v>
      </c>
      <c r="F266" s="2448"/>
      <c r="G266" s="2449" t="str">
        <f>GIU!E8</f>
        <v xml:space="preserve">attiva trim.  </v>
      </c>
      <c r="H266" s="2450"/>
      <c r="I266" s="2451"/>
      <c r="J266" s="479" t="str">
        <f t="shared" si="249"/>
        <v/>
      </c>
      <c r="K266" s="480"/>
      <c r="L266" s="2319">
        <f t="shared" si="265"/>
        <v>22</v>
      </c>
      <c r="M266" s="2320"/>
      <c r="N266" s="478"/>
      <c r="O266" s="478"/>
      <c r="P266" s="478"/>
      <c r="Q266" s="2315">
        <f t="shared" si="254"/>
        <v>45444</v>
      </c>
      <c r="R266" s="2315"/>
      <c r="S266" s="478"/>
      <c r="T266" s="140">
        <f t="shared" si="255"/>
        <v>1</v>
      </c>
      <c r="U266" s="478"/>
      <c r="V266" s="478"/>
      <c r="W266" s="478"/>
      <c r="X266" s="478"/>
      <c r="Y266" s="478"/>
      <c r="Z266" s="478"/>
      <c r="AA266" s="478"/>
      <c r="AB266" s="478"/>
      <c r="AC266" s="478"/>
      <c r="AD266" s="478"/>
      <c r="AE266" s="478"/>
      <c r="AF266" s="478"/>
      <c r="AG266" s="140">
        <f t="shared" si="256"/>
        <v>0</v>
      </c>
      <c r="AH266" s="92" t="str">
        <f t="shared" si="257"/>
        <v/>
      </c>
      <c r="AI266" s="131">
        <f t="shared" si="258"/>
        <v>0</v>
      </c>
      <c r="AJ266" s="131">
        <f>IF(G266=G481,0,COUNTIF(T266:T295,"&gt;0"))</f>
        <v>0</v>
      </c>
      <c r="AK266" s="92">
        <f>IF(G266=G$481,0,IF(OR(G266&lt;&gt;0,CJ266&lt;&gt;0,C266="L"),COUNTIF(AK$114:AK265,"&gt;0")+1,0))</f>
        <v>0</v>
      </c>
      <c r="AL266" s="92" t="str">
        <f t="shared" si="259"/>
        <v/>
      </c>
      <c r="AM266" s="92" t="str">
        <f t="shared" si="260"/>
        <v/>
      </c>
      <c r="AN266" s="131">
        <f t="shared" si="250"/>
        <v>0</v>
      </c>
      <c r="AO266" s="447">
        <f>SUM(GIU!W8:Z8)</f>
        <v>0</v>
      </c>
      <c r="AP266" s="445">
        <f>SUMIF(GIU!$G$155:$J$155,AP$112,GIU!$R8:$U8)</f>
        <v>0</v>
      </c>
      <c r="AQ266" s="446">
        <f>SUMIF(GIU!$G$155:$J$155,AQ$112,GIU!$R8:$U8)</f>
        <v>0</v>
      </c>
      <c r="AR266" s="447">
        <f>SUMIF(GIU!$G$155:$J$155,AR$112,GIU!$R8:$U8)</f>
        <v>0</v>
      </c>
      <c r="AS266" s="448">
        <f>SUMIF(GIU!$G$155:$J$155,AS$112,GIU!$R8:$U8)</f>
        <v>0</v>
      </c>
      <c r="AT266" s="449">
        <f>GIU!AG8</f>
        <v>0</v>
      </c>
      <c r="AU266" s="445">
        <f>GIU!AH8</f>
        <v>0</v>
      </c>
      <c r="AV266" s="446">
        <f>GIU!AI8</f>
        <v>0</v>
      </c>
      <c r="AW266" s="447">
        <f>GIU!AJ8</f>
        <v>0</v>
      </c>
      <c r="AX266" s="448">
        <f>GIU!AK8</f>
        <v>0</v>
      </c>
      <c r="AY266" s="445">
        <f>SUMIF(GIU!$G$152:$J$152,"&gt;0",GIU!$W8:$Z8)</f>
        <v>0</v>
      </c>
      <c r="AZ266" s="1062">
        <f>SUM(GIU!AB8:AE8)</f>
        <v>0</v>
      </c>
      <c r="BA266" s="472">
        <f>SUMIF(GIU!$G$159:$J$159,BA$111,GIU!$R8:$U8)+SUMIF(GIU!$G$159:$J$159,BA$111,GIU!$W8:$Z8)</f>
        <v>0</v>
      </c>
      <c r="BB266" s="473">
        <f>SUMIF(GIU!$G$159:$J$159,BB$111,GIU!$R8:$U8)+SUMIF(GIU!$G$159:$J$159,BB$111,GIU!$W8:$Z8)</f>
        <v>0</v>
      </c>
      <c r="BC266" s="473">
        <f>SUMIF(GIU!$G$159:$J$159,BC$111,GIU!$R8:$U8)+SUMIF(GIU!$G$159:$J$159,BC$111,GIU!$W8:$Z8)</f>
        <v>0</v>
      </c>
      <c r="BD266" s="473">
        <f>SUMIF(GIU!$G$159:$J$159,BD$111,GIU!$R8:$U8)+SUMIF(GIU!$G$159:$J$159,BD$111,GIU!$W8:$Z8)</f>
        <v>0</v>
      </c>
      <c r="BE266" s="473">
        <f>SUMIF(GIU!$G$159:$J$159,BE$111,GIU!$R8:$U8)+SUMIF(GIU!$G$159:$J$159,BE$111,GIU!$W8:$Z8)</f>
        <v>0</v>
      </c>
      <c r="BF266" s="473">
        <f>SUMIF(GIU!$G$159:$J$159,BF$111,GIU!$R8:$U8)+SUMIF(GIU!$G$159:$J$159,BF$111,GIU!$W8:$Z8)</f>
        <v>0</v>
      </c>
      <c r="BG266" s="474">
        <f>SUMIF(GIU!$G$159:$J$159,BG$111,GIU!$R8:$U8)+SUMIF(GIU!$G$159:$J$159,BG$111,GIU!$W8:$Z8)</f>
        <v>0</v>
      </c>
      <c r="BH266" s="570"/>
      <c r="BI266" s="474"/>
      <c r="BJ266" s="470"/>
      <c r="BK266" s="472">
        <f>SUMIF(GIU!$G$157:$J$157,BK$111,GIU!$R8:$U8)+SUMIF(GIU!$G$157:$J$157,BK$111,GIU!$W8:$Z8)</f>
        <v>0</v>
      </c>
      <c r="BL266" s="473">
        <f>SUMIF(GIU!$G$157:$J$157,BL$111,GIU!$R8:$U8)+SUMIF(GIU!$G$157:$J$157,BL$111,GIU!$W8:$Z8)</f>
        <v>0</v>
      </c>
      <c r="BM266" s="473">
        <f>SUMIF(GIU!$G$157:$J$157,BM$111,GIU!$R8:$U8)+SUMIF(GIU!$G$157:$J$157,BM$111,GIU!$W8:$Z8)</f>
        <v>0</v>
      </c>
      <c r="BN266" s="473">
        <f>SUMIF(GIU!$G$157:$J$157,BN$111,GIU!$R8:$U8)+SUMIF(GIU!$G$157:$J$157,BN$111,GIU!$W8:$Z8)</f>
        <v>0</v>
      </c>
      <c r="BO266" s="473">
        <f>SUMIF(GIU!$G$157:$J$157,BO$111,GIU!$R8:$U8)+SUMIF(GIU!$G$157:$J$157,BO$111,GIU!$W8:$Z8)</f>
        <v>0</v>
      </c>
      <c r="BP266" s="473">
        <f>SUMIF(GIU!$G$157:$J$157,BP$111,GIU!$R8:$U8)+SUMIF(GIU!$G$157:$J$157,BP$111,GIU!$W8:$Z8)</f>
        <v>0</v>
      </c>
      <c r="BQ266" s="474">
        <f>SUMIF(GIU!$G$157:$J$157,BQ$111,GIU!$R8:$U8)+SUMIF(GIU!$G$157:$J$157,BQ$111,GIU!$W8:$Z8)</f>
        <v>0</v>
      </c>
      <c r="BR266" s="570"/>
      <c r="BS266" s="473"/>
      <c r="BT266" s="474"/>
      <c r="BU266" s="470"/>
      <c r="BV266" s="472">
        <f>SUMIF(GIU!$G$158:$J$158,BV$111,GIU!$R8:$U8)+SUMIF(GIU!$G$158:$J$158,BV$111,GIU!$W8:$Z8)</f>
        <v>0</v>
      </c>
      <c r="BW266" s="473">
        <f>SUMIF(GIU!$G$158:$J$158,BW$111,GIU!$R8:$U8)+SUMIF(GIU!$G$158:$J$158,BW$111,GIU!$W8:$Z8)</f>
        <v>0</v>
      </c>
      <c r="BX266" s="473">
        <f>SUMIF(GIU!$G$158:$J$158,BX$111,GIU!$R8:$U8)+SUMIF(GIU!$G$158:$J$158,BX$111,GIU!$W8:$Z8)</f>
        <v>0</v>
      </c>
      <c r="BY266" s="473">
        <f>SUMIF(GIU!$G$158:$J$158,BY$111,GIU!$R8:$U8)+SUMIF(GIU!$G$158:$J$158,BY$111,GIU!$W8:$Z8)</f>
        <v>0</v>
      </c>
      <c r="BZ266" s="473">
        <f>SUMIF(GIU!$G$158:$J$158,BZ$111,GIU!$R8:$U8)+SUMIF(GIU!$G$158:$J$158,BZ$111,GIU!$W8:$Z8)</f>
        <v>0</v>
      </c>
      <c r="CA266" s="473">
        <f>SUMIF(GIU!$G$158:$J$158,CA$111,GIU!$R8:$U8)+SUMIF(GIU!$G$158:$J$158,CA$111,GIU!$W8:$Z8)</f>
        <v>0</v>
      </c>
      <c r="CB266" s="474">
        <f>SUMIF(GIU!$G$158:$J$158,CB$111,GIU!$R8:$U8)+SUMIF(GIU!$G$158:$J$158,CB$111,GIU!$W8:$Z8)</f>
        <v>0</v>
      </c>
      <c r="CC266" s="570"/>
      <c r="CD266" s="474"/>
      <c r="CE266" s="92">
        <f t="shared" si="261"/>
        <v>0</v>
      </c>
      <c r="CF266" s="92">
        <f t="shared" si="262"/>
        <v>0</v>
      </c>
      <c r="CG266" s="151" t="str">
        <f t="shared" si="248"/>
        <v/>
      </c>
      <c r="CH266" s="92">
        <f t="shared" si="251"/>
        <v>0</v>
      </c>
      <c r="CI266" s="92" t="str">
        <f t="shared" si="263"/>
        <v/>
      </c>
      <c r="CJ266" s="1102">
        <f>GIU!AM8</f>
        <v>0</v>
      </c>
      <c r="CK266" s="445">
        <f>SUMIF(GIU!$G$155:$J$155,CK$112,GIU!$AN8:$AQ8)</f>
        <v>0</v>
      </c>
      <c r="CL266" s="446">
        <f>SUMIF(GIU!$G$155:$J$155,CL$112,GIU!$AN8:$AQ8)</f>
        <v>0</v>
      </c>
      <c r="CM266" s="447">
        <f>SUMIF(GIU!$G$155:$J$155,CM$112,GIU!$AN8:$AQ8)</f>
        <v>0</v>
      </c>
      <c r="CN266" s="448">
        <f>SUMIF(GIU!$G$155:$J$155,CN$112,GIU!$AN8:$AQ8)</f>
        <v>0</v>
      </c>
      <c r="CO266" s="1102">
        <f>GIU!AS8</f>
        <v>0</v>
      </c>
      <c r="CP266" s="445">
        <f>GIU!AT8</f>
        <v>0</v>
      </c>
      <c r="CQ266" s="446">
        <f>GIU!AU8</f>
        <v>0</v>
      </c>
      <c r="CR266" s="447">
        <f>GIU!AV8</f>
        <v>0</v>
      </c>
      <c r="CS266" s="448">
        <f>GIU!AW8</f>
        <v>0</v>
      </c>
      <c r="CT266" s="1102">
        <f>GIU!AY8</f>
        <v>0</v>
      </c>
      <c r="CU266" s="2"/>
    </row>
    <row r="267" spans="1:99" ht="14.25" hidden="1" customHeight="1" x14ac:dyDescent="0.2">
      <c r="A267" s="2"/>
      <c r="B267" s="151">
        <f t="shared" si="252"/>
        <v>45445</v>
      </c>
      <c r="C267" s="223">
        <f>IF(AND(E267&gt;(E$496-1),E267&lt;(I$496+1)),W$485,IF(ISERROR(HLOOKUP(E267,$E$489:$L$489,1,FALSE)),HLOOKUP(WEEKDAY(E267,2),IMPOSTAZIONI!$C$51:$P$56,6,FALSE),$W$484))</f>
        <v>0</v>
      </c>
      <c r="D267" s="103" t="str">
        <f t="shared" si="253"/>
        <v/>
      </c>
      <c r="E267" s="2380">
        <f t="shared" si="264"/>
        <v>45445</v>
      </c>
      <c r="F267" s="2381"/>
      <c r="G267" s="2325" t="str">
        <f>GIU!E9</f>
        <v xml:space="preserve">attiva trim.  </v>
      </c>
      <c r="H267" s="2326"/>
      <c r="I267" s="2327"/>
      <c r="J267" s="479" t="str">
        <f t="shared" si="249"/>
        <v/>
      </c>
      <c r="K267" s="480"/>
      <c r="L267" s="2321">
        <f t="shared" si="265"/>
        <v>22</v>
      </c>
      <c r="M267" s="2322"/>
      <c r="N267" s="478"/>
      <c r="O267" s="478"/>
      <c r="P267" s="478"/>
      <c r="Q267" s="2315">
        <f t="shared" si="254"/>
        <v>45445</v>
      </c>
      <c r="R267" s="2315"/>
      <c r="S267" s="478"/>
      <c r="T267" s="140">
        <f t="shared" si="255"/>
        <v>1</v>
      </c>
      <c r="U267" s="478"/>
      <c r="V267" s="478"/>
      <c r="W267" s="478"/>
      <c r="X267" s="478"/>
      <c r="Y267" s="478"/>
      <c r="Z267" s="478"/>
      <c r="AA267" s="478"/>
      <c r="AB267" s="478"/>
      <c r="AC267" s="478"/>
      <c r="AD267" s="478"/>
      <c r="AE267" s="478"/>
      <c r="AF267" s="478"/>
      <c r="AG267" s="140">
        <f t="shared" si="256"/>
        <v>0</v>
      </c>
      <c r="AH267" s="92" t="str">
        <f t="shared" si="257"/>
        <v/>
      </c>
      <c r="AI267" s="131">
        <f t="shared" si="258"/>
        <v>0</v>
      </c>
      <c r="AJ267" s="2"/>
      <c r="AK267" s="92">
        <f>IF(G267=G$481,0,IF(OR(G267&lt;&gt;0,CJ267&lt;&gt;0,C267="L"),COUNTIF(AK$114:AK266,"&gt;0")+1,0))</f>
        <v>0</v>
      </c>
      <c r="AL267" s="92" t="str">
        <f t="shared" si="259"/>
        <v/>
      </c>
      <c r="AM267" s="92" t="str">
        <f t="shared" si="260"/>
        <v/>
      </c>
      <c r="AN267" s="131">
        <f t="shared" si="250"/>
        <v>0</v>
      </c>
      <c r="AO267" s="447">
        <f>SUM(GIU!W9:Z9)</f>
        <v>0</v>
      </c>
      <c r="AP267" s="445">
        <f>SUMIF(GIU!$G$155:$J$155,AP$112,GIU!$R9:$U9)</f>
        <v>0</v>
      </c>
      <c r="AQ267" s="446">
        <f>SUMIF(GIU!$G$155:$J$155,AQ$112,GIU!$R9:$U9)</f>
        <v>0</v>
      </c>
      <c r="AR267" s="447">
        <f>SUMIF(GIU!$G$155:$J$155,AR$112,GIU!$R9:$U9)</f>
        <v>0</v>
      </c>
      <c r="AS267" s="448">
        <f>SUMIF(GIU!$G$155:$J$155,AS$112,GIU!$R9:$U9)</f>
        <v>0</v>
      </c>
      <c r="AT267" s="449">
        <f>GIU!AG9</f>
        <v>0</v>
      </c>
      <c r="AU267" s="445">
        <f>GIU!AH9</f>
        <v>0</v>
      </c>
      <c r="AV267" s="446">
        <f>GIU!AI9</f>
        <v>0</v>
      </c>
      <c r="AW267" s="447">
        <f>GIU!AJ9</f>
        <v>0</v>
      </c>
      <c r="AX267" s="448">
        <f>GIU!AK9</f>
        <v>0</v>
      </c>
      <c r="AY267" s="445">
        <f>SUMIF(GIU!$G$152:$J$152,"&gt;0",GIU!$W9:$Z9)</f>
        <v>0</v>
      </c>
      <c r="AZ267" s="1063">
        <f>SUM(GIU!AB9:AE9)</f>
        <v>0</v>
      </c>
      <c r="BA267" s="445">
        <f>SUMIF(GIU!$G$159:$J$159,BA$111,GIU!$R9:$U9)+SUMIF(GIU!$G$159:$J$159,BA$111,GIU!$W9:$Z9)</f>
        <v>0</v>
      </c>
      <c r="BB267" s="446">
        <f>SUMIF(GIU!$G$159:$J$159,BB$111,GIU!$R9:$U9)+SUMIF(GIU!$G$159:$J$159,BB$111,GIU!$W9:$Z9)</f>
        <v>0</v>
      </c>
      <c r="BC267" s="446">
        <f>SUMIF(GIU!$G$159:$J$159,BC$111,GIU!$R9:$U9)+SUMIF(GIU!$G$159:$J$159,BC$111,GIU!$W9:$Z9)</f>
        <v>0</v>
      </c>
      <c r="BD267" s="446">
        <f>SUMIF(GIU!$G$159:$J$159,BD$111,GIU!$R9:$U9)+SUMIF(GIU!$G$159:$J$159,BD$111,GIU!$W9:$Z9)</f>
        <v>0</v>
      </c>
      <c r="BE267" s="446">
        <f>SUMIF(GIU!$G$159:$J$159,BE$111,GIU!$R9:$U9)+SUMIF(GIU!$G$159:$J$159,BE$111,GIU!$W9:$Z9)</f>
        <v>0</v>
      </c>
      <c r="BF267" s="446">
        <f>SUMIF(GIU!$G$159:$J$159,BF$111,GIU!$R9:$U9)+SUMIF(GIU!$G$159:$J$159,BF$111,GIU!$W9:$Z9)</f>
        <v>0</v>
      </c>
      <c r="BG267" s="448">
        <f>SUMIF(GIU!$G$159:$J$159,BG$111,GIU!$R9:$U9)+SUMIF(GIU!$G$159:$J$159,BG$111,GIU!$W9:$Z9)</f>
        <v>0</v>
      </c>
      <c r="BH267" s="571"/>
      <c r="BI267" s="448"/>
      <c r="BJ267" s="470"/>
      <c r="BK267" s="445">
        <f>SUMIF(GIU!$G$157:$J$157,BK$111,GIU!$R9:$U9)+SUMIF(GIU!$G$157:$J$157,BK$111,GIU!$W9:$Z9)</f>
        <v>0</v>
      </c>
      <c r="BL267" s="446">
        <f>SUMIF(GIU!$G$157:$J$157,BL$111,GIU!$R9:$U9)+SUMIF(GIU!$G$157:$J$157,BL$111,GIU!$W9:$Z9)</f>
        <v>0</v>
      </c>
      <c r="BM267" s="446">
        <f>SUMIF(GIU!$G$157:$J$157,BM$111,GIU!$R9:$U9)+SUMIF(GIU!$G$157:$J$157,BM$111,GIU!$W9:$Z9)</f>
        <v>0</v>
      </c>
      <c r="BN267" s="446">
        <f>SUMIF(GIU!$G$157:$J$157,BN$111,GIU!$R9:$U9)+SUMIF(GIU!$G$157:$J$157,BN$111,GIU!$W9:$Z9)</f>
        <v>0</v>
      </c>
      <c r="BO267" s="446">
        <f>SUMIF(GIU!$G$157:$J$157,BO$111,GIU!$R9:$U9)+SUMIF(GIU!$G$157:$J$157,BO$111,GIU!$W9:$Z9)</f>
        <v>0</v>
      </c>
      <c r="BP267" s="446">
        <f>SUMIF(GIU!$G$157:$J$157,BP$111,GIU!$R9:$U9)+SUMIF(GIU!$G$157:$J$157,BP$111,GIU!$W9:$Z9)</f>
        <v>0</v>
      </c>
      <c r="BQ267" s="448">
        <f>SUMIF(GIU!$G$157:$J$157,BQ$111,GIU!$R9:$U9)+SUMIF(GIU!$G$157:$J$157,BQ$111,GIU!$W9:$Z9)</f>
        <v>0</v>
      </c>
      <c r="BR267" s="571"/>
      <c r="BS267" s="446"/>
      <c r="BT267" s="448"/>
      <c r="BU267" s="470"/>
      <c r="BV267" s="445">
        <f>SUMIF(GIU!$G$158:$J$158,BV$111,GIU!$R9:$U9)+SUMIF(GIU!$G$158:$J$158,BV$111,GIU!$W9:$Z9)</f>
        <v>0</v>
      </c>
      <c r="BW267" s="446">
        <f>SUMIF(GIU!$G$158:$J$158,BW$111,GIU!$R9:$U9)+SUMIF(GIU!$G$158:$J$158,BW$111,GIU!$W9:$Z9)</f>
        <v>0</v>
      </c>
      <c r="BX267" s="446">
        <f>SUMIF(GIU!$G$158:$J$158,BX$111,GIU!$R9:$U9)+SUMIF(GIU!$G$158:$J$158,BX$111,GIU!$W9:$Z9)</f>
        <v>0</v>
      </c>
      <c r="BY267" s="446">
        <f>SUMIF(GIU!$G$158:$J$158,BY$111,GIU!$R9:$U9)+SUMIF(GIU!$G$158:$J$158,BY$111,GIU!$W9:$Z9)</f>
        <v>0</v>
      </c>
      <c r="BZ267" s="446">
        <f>SUMIF(GIU!$G$158:$J$158,BZ$111,GIU!$R9:$U9)+SUMIF(GIU!$G$158:$J$158,BZ$111,GIU!$W9:$Z9)</f>
        <v>0</v>
      </c>
      <c r="CA267" s="446">
        <f>SUMIF(GIU!$G$158:$J$158,CA$111,GIU!$R9:$U9)+SUMIF(GIU!$G$158:$J$158,CA$111,GIU!$W9:$Z9)</f>
        <v>0</v>
      </c>
      <c r="CB267" s="448">
        <f>SUMIF(GIU!$G$158:$J$158,CB$111,GIU!$R9:$U9)+SUMIF(GIU!$G$158:$J$158,CB$111,GIU!$W9:$Z9)</f>
        <v>0</v>
      </c>
      <c r="CC267" s="571"/>
      <c r="CD267" s="448"/>
      <c r="CE267" s="92">
        <f t="shared" si="261"/>
        <v>0</v>
      </c>
      <c r="CF267" s="92">
        <f t="shared" si="262"/>
        <v>0</v>
      </c>
      <c r="CG267" s="151" t="str">
        <f t="shared" si="248"/>
        <v/>
      </c>
      <c r="CH267" s="92">
        <f t="shared" si="251"/>
        <v>0</v>
      </c>
      <c r="CI267" s="92" t="str">
        <f t="shared" si="263"/>
        <v/>
      </c>
      <c r="CJ267" s="1100">
        <f>GIU!AM9</f>
        <v>0</v>
      </c>
      <c r="CK267" s="445">
        <f>SUMIF(GIU!$G$155:$J$155,CK$112,GIU!$AN9:$AQ9)</f>
        <v>0</v>
      </c>
      <c r="CL267" s="446">
        <f>SUMIF(GIU!$G$155:$J$155,CL$112,GIU!$AN9:$AQ9)</f>
        <v>0</v>
      </c>
      <c r="CM267" s="447">
        <f>SUMIF(GIU!$G$155:$J$155,CM$112,GIU!$AN9:$AQ9)</f>
        <v>0</v>
      </c>
      <c r="CN267" s="448">
        <f>SUMIF(GIU!$G$155:$J$155,CN$112,GIU!$AN9:$AQ9)</f>
        <v>0</v>
      </c>
      <c r="CO267" s="1100">
        <f>GIU!AS9</f>
        <v>0</v>
      </c>
      <c r="CP267" s="445">
        <f>GIU!AT9</f>
        <v>0</v>
      </c>
      <c r="CQ267" s="446">
        <f>GIU!AU9</f>
        <v>0</v>
      </c>
      <c r="CR267" s="447">
        <f>GIU!AV9</f>
        <v>0</v>
      </c>
      <c r="CS267" s="448">
        <f>GIU!AW9</f>
        <v>0</v>
      </c>
      <c r="CT267" s="1100">
        <f>GIU!AY9</f>
        <v>0</v>
      </c>
      <c r="CU267" s="2"/>
    </row>
    <row r="268" spans="1:99" ht="14.25" hidden="1" customHeight="1" x14ac:dyDescent="0.2">
      <c r="A268" s="2"/>
      <c r="B268" s="151">
        <f t="shared" si="252"/>
        <v>45446</v>
      </c>
      <c r="C268" s="223">
        <f>IF(AND(E268&gt;(E$496-1),E268&lt;(I$496+1)),W$485,IF(ISERROR(HLOOKUP(E268,$E$489:$L$489,1,FALSE)),HLOOKUP(WEEKDAY(E268,2),IMPOSTAZIONI!$C$51:$P$56,6,FALSE),$W$484))</f>
        <v>0</v>
      </c>
      <c r="D268" s="103" t="str">
        <f t="shared" si="253"/>
        <v/>
      </c>
      <c r="E268" s="2380">
        <f t="shared" si="264"/>
        <v>45446</v>
      </c>
      <c r="F268" s="2381"/>
      <c r="G268" s="2325" t="str">
        <f>GIU!E10</f>
        <v xml:space="preserve">attiva trim.  </v>
      </c>
      <c r="H268" s="2326"/>
      <c r="I268" s="2327"/>
      <c r="J268" s="479" t="str">
        <f t="shared" si="249"/>
        <v/>
      </c>
      <c r="K268" s="480"/>
      <c r="L268" s="2323">
        <f t="shared" si="265"/>
        <v>23</v>
      </c>
      <c r="M268" s="2324"/>
      <c r="N268" s="478"/>
      <c r="O268" s="478"/>
      <c r="P268" s="478"/>
      <c r="Q268" s="2315">
        <f t="shared" si="254"/>
        <v>45446</v>
      </c>
      <c r="R268" s="2315"/>
      <c r="S268" s="478"/>
      <c r="T268" s="140">
        <f t="shared" si="255"/>
        <v>1</v>
      </c>
      <c r="U268" s="478"/>
      <c r="V268" s="478"/>
      <c r="W268" s="478"/>
      <c r="X268" s="478"/>
      <c r="Y268" s="478"/>
      <c r="Z268" s="478"/>
      <c r="AA268" s="478"/>
      <c r="AB268" s="478"/>
      <c r="AC268" s="478"/>
      <c r="AD268" s="478"/>
      <c r="AE268" s="478"/>
      <c r="AF268" s="478"/>
      <c r="AG268" s="140">
        <f t="shared" si="256"/>
        <v>0</v>
      </c>
      <c r="AH268" s="92" t="str">
        <f t="shared" si="257"/>
        <v/>
      </c>
      <c r="AI268" s="131">
        <f t="shared" si="258"/>
        <v>0</v>
      </c>
      <c r="AJ268" s="2"/>
      <c r="AK268" s="92">
        <f>IF(G268=G$481,0,IF(OR(G268&lt;&gt;0,CJ268&lt;&gt;0,C268="L"),COUNTIF(AK$114:AK267,"&gt;0")+1,0))</f>
        <v>0</v>
      </c>
      <c r="AL268" s="92" t="str">
        <f t="shared" si="259"/>
        <v/>
      </c>
      <c r="AM268" s="92" t="str">
        <f t="shared" si="260"/>
        <v/>
      </c>
      <c r="AN268" s="131">
        <f t="shared" si="250"/>
        <v>0</v>
      </c>
      <c r="AO268" s="447">
        <f>SUM(GIU!W10:Z10)</f>
        <v>0</v>
      </c>
      <c r="AP268" s="445">
        <f>SUMIF(GIU!$G$155:$J$155,AP$112,GIU!$R10:$U10)</f>
        <v>0</v>
      </c>
      <c r="AQ268" s="446">
        <f>SUMIF(GIU!$G$155:$J$155,AQ$112,GIU!$R10:$U10)</f>
        <v>0</v>
      </c>
      <c r="AR268" s="447">
        <f>SUMIF(GIU!$G$155:$J$155,AR$112,GIU!$R10:$U10)</f>
        <v>0</v>
      </c>
      <c r="AS268" s="448">
        <f>SUMIF(GIU!$G$155:$J$155,AS$112,GIU!$R10:$U10)</f>
        <v>0</v>
      </c>
      <c r="AT268" s="449">
        <f>GIU!AG10</f>
        <v>0</v>
      </c>
      <c r="AU268" s="445">
        <f>GIU!AH10</f>
        <v>0</v>
      </c>
      <c r="AV268" s="446">
        <f>GIU!AI10</f>
        <v>0</v>
      </c>
      <c r="AW268" s="447">
        <f>GIU!AJ10</f>
        <v>0</v>
      </c>
      <c r="AX268" s="448">
        <f>GIU!AK10</f>
        <v>0</v>
      </c>
      <c r="AY268" s="445">
        <f>SUMIF(GIU!$G$152:$J$152,"&gt;0",GIU!$W10:$Z10)</f>
        <v>0</v>
      </c>
      <c r="AZ268" s="1063">
        <f>SUM(GIU!AB10:AE10)</f>
        <v>0</v>
      </c>
      <c r="BA268" s="445">
        <f>SUMIF(GIU!$G$159:$J$159,BA$111,GIU!$R10:$U10)+SUMIF(GIU!$G$159:$J$159,BA$111,GIU!$W10:$Z10)</f>
        <v>0</v>
      </c>
      <c r="BB268" s="446">
        <f>SUMIF(GIU!$G$159:$J$159,BB$111,GIU!$R10:$U10)+SUMIF(GIU!$G$159:$J$159,BB$111,GIU!$W10:$Z10)</f>
        <v>0</v>
      </c>
      <c r="BC268" s="446">
        <f>SUMIF(GIU!$G$159:$J$159,BC$111,GIU!$R10:$U10)+SUMIF(GIU!$G$159:$J$159,BC$111,GIU!$W10:$Z10)</f>
        <v>0</v>
      </c>
      <c r="BD268" s="446">
        <f>SUMIF(GIU!$G$159:$J$159,BD$111,GIU!$R10:$U10)+SUMIF(GIU!$G$159:$J$159,BD$111,GIU!$W10:$Z10)</f>
        <v>0</v>
      </c>
      <c r="BE268" s="446">
        <f>SUMIF(GIU!$G$159:$J$159,BE$111,GIU!$R10:$U10)+SUMIF(GIU!$G$159:$J$159,BE$111,GIU!$W10:$Z10)</f>
        <v>0</v>
      </c>
      <c r="BF268" s="446">
        <f>SUMIF(GIU!$G$159:$J$159,BF$111,GIU!$R10:$U10)+SUMIF(GIU!$G$159:$J$159,BF$111,GIU!$W10:$Z10)</f>
        <v>0</v>
      </c>
      <c r="BG268" s="448">
        <f>SUMIF(GIU!$G$159:$J$159,BG$111,GIU!$R10:$U10)+SUMIF(GIU!$G$159:$J$159,BG$111,GIU!$W10:$Z10)</f>
        <v>0</v>
      </c>
      <c r="BH268" s="571"/>
      <c r="BI268" s="448"/>
      <c r="BJ268" s="470"/>
      <c r="BK268" s="445">
        <f>SUMIF(GIU!$G$157:$J$157,BK$111,GIU!$R10:$U10)+SUMIF(GIU!$G$157:$J$157,BK$111,GIU!$W10:$Z10)</f>
        <v>0</v>
      </c>
      <c r="BL268" s="446">
        <f>SUMIF(GIU!$G$157:$J$157,BL$111,GIU!$R10:$U10)+SUMIF(GIU!$G$157:$J$157,BL$111,GIU!$W10:$Z10)</f>
        <v>0</v>
      </c>
      <c r="BM268" s="446">
        <f>SUMIF(GIU!$G$157:$J$157,BM$111,GIU!$R10:$U10)+SUMIF(GIU!$G$157:$J$157,BM$111,GIU!$W10:$Z10)</f>
        <v>0</v>
      </c>
      <c r="BN268" s="446">
        <f>SUMIF(GIU!$G$157:$J$157,BN$111,GIU!$R10:$U10)+SUMIF(GIU!$G$157:$J$157,BN$111,GIU!$W10:$Z10)</f>
        <v>0</v>
      </c>
      <c r="BO268" s="446">
        <f>SUMIF(GIU!$G$157:$J$157,BO$111,GIU!$R10:$U10)+SUMIF(GIU!$G$157:$J$157,BO$111,GIU!$W10:$Z10)</f>
        <v>0</v>
      </c>
      <c r="BP268" s="446">
        <f>SUMIF(GIU!$G$157:$J$157,BP$111,GIU!$R10:$U10)+SUMIF(GIU!$G$157:$J$157,BP$111,GIU!$W10:$Z10)</f>
        <v>0</v>
      </c>
      <c r="BQ268" s="448">
        <f>SUMIF(GIU!$G$157:$J$157,BQ$111,GIU!$R10:$U10)+SUMIF(GIU!$G$157:$J$157,BQ$111,GIU!$W10:$Z10)</f>
        <v>0</v>
      </c>
      <c r="BR268" s="571"/>
      <c r="BS268" s="446"/>
      <c r="BT268" s="448"/>
      <c r="BU268" s="470"/>
      <c r="BV268" s="445">
        <f>SUMIF(GIU!$G$158:$J$158,BV$111,GIU!$R10:$U10)+SUMIF(GIU!$G$158:$J$158,BV$111,GIU!$W10:$Z10)</f>
        <v>0</v>
      </c>
      <c r="BW268" s="446">
        <f>SUMIF(GIU!$G$158:$J$158,BW$111,GIU!$R10:$U10)+SUMIF(GIU!$G$158:$J$158,BW$111,GIU!$W10:$Z10)</f>
        <v>0</v>
      </c>
      <c r="BX268" s="446">
        <f>SUMIF(GIU!$G$158:$J$158,BX$111,GIU!$R10:$U10)+SUMIF(GIU!$G$158:$J$158,BX$111,GIU!$W10:$Z10)</f>
        <v>0</v>
      </c>
      <c r="BY268" s="446">
        <f>SUMIF(GIU!$G$158:$J$158,BY$111,GIU!$R10:$U10)+SUMIF(GIU!$G$158:$J$158,BY$111,GIU!$W10:$Z10)</f>
        <v>0</v>
      </c>
      <c r="BZ268" s="446">
        <f>SUMIF(GIU!$G$158:$J$158,BZ$111,GIU!$R10:$U10)+SUMIF(GIU!$G$158:$J$158,BZ$111,GIU!$W10:$Z10)</f>
        <v>0</v>
      </c>
      <c r="CA268" s="446">
        <f>SUMIF(GIU!$G$158:$J$158,CA$111,GIU!$R10:$U10)+SUMIF(GIU!$G$158:$J$158,CA$111,GIU!$W10:$Z10)</f>
        <v>0</v>
      </c>
      <c r="CB268" s="448">
        <f>SUMIF(GIU!$G$158:$J$158,CB$111,GIU!$R10:$U10)+SUMIF(GIU!$G$158:$J$158,CB$111,GIU!$W10:$Z10)</f>
        <v>0</v>
      </c>
      <c r="CC268" s="571"/>
      <c r="CD268" s="448"/>
      <c r="CE268" s="92">
        <f t="shared" si="261"/>
        <v>0</v>
      </c>
      <c r="CF268" s="92">
        <f t="shared" si="262"/>
        <v>0</v>
      </c>
      <c r="CG268" s="151" t="str">
        <f t="shared" si="248"/>
        <v/>
      </c>
      <c r="CH268" s="92">
        <f t="shared" si="251"/>
        <v>0</v>
      </c>
      <c r="CI268" s="92" t="str">
        <f t="shared" si="263"/>
        <v/>
      </c>
      <c r="CJ268" s="1100">
        <f>GIU!AM10</f>
        <v>0</v>
      </c>
      <c r="CK268" s="445">
        <f>SUMIF(GIU!$G$155:$J$155,CK$112,GIU!$AN10:$AQ10)</f>
        <v>0</v>
      </c>
      <c r="CL268" s="446">
        <f>SUMIF(GIU!$G$155:$J$155,CL$112,GIU!$AN10:$AQ10)</f>
        <v>0</v>
      </c>
      <c r="CM268" s="447">
        <f>SUMIF(GIU!$G$155:$J$155,CM$112,GIU!$AN10:$AQ10)</f>
        <v>0</v>
      </c>
      <c r="CN268" s="448">
        <f>SUMIF(GIU!$G$155:$J$155,CN$112,GIU!$AN10:$AQ10)</f>
        <v>0</v>
      </c>
      <c r="CO268" s="1100">
        <f>GIU!AS10</f>
        <v>0</v>
      </c>
      <c r="CP268" s="445">
        <f>GIU!AT10</f>
        <v>0</v>
      </c>
      <c r="CQ268" s="446">
        <f>GIU!AU10</f>
        <v>0</v>
      </c>
      <c r="CR268" s="447">
        <f>GIU!AV10</f>
        <v>0</v>
      </c>
      <c r="CS268" s="448">
        <f>GIU!AW10</f>
        <v>0</v>
      </c>
      <c r="CT268" s="1100">
        <f>GIU!AY10</f>
        <v>0</v>
      </c>
      <c r="CU268" s="2"/>
    </row>
    <row r="269" spans="1:99" ht="14.25" hidden="1" customHeight="1" x14ac:dyDescent="0.2">
      <c r="A269" s="2"/>
      <c r="B269" s="151">
        <f t="shared" si="252"/>
        <v>45447</v>
      </c>
      <c r="C269" s="223">
        <f>IF(AND(E269&gt;(E$496-1),E269&lt;(I$496+1)),W$485,IF(ISERROR(HLOOKUP(E269,$E$489:$L$489,1,FALSE)),HLOOKUP(WEEKDAY(E269,2),IMPOSTAZIONI!$C$51:$P$56,6,FALSE),$W$484))</f>
        <v>0</v>
      </c>
      <c r="D269" s="103" t="str">
        <f t="shared" si="253"/>
        <v/>
      </c>
      <c r="E269" s="2380">
        <f t="shared" si="264"/>
        <v>45447</v>
      </c>
      <c r="F269" s="2381"/>
      <c r="G269" s="2325" t="str">
        <f>GIU!E11</f>
        <v xml:space="preserve">attiva trim.  </v>
      </c>
      <c r="H269" s="2326"/>
      <c r="I269" s="2327"/>
      <c r="J269" s="479" t="str">
        <f t="shared" si="249"/>
        <v/>
      </c>
      <c r="K269" s="480"/>
      <c r="L269" s="2319">
        <f t="shared" si="265"/>
        <v>23</v>
      </c>
      <c r="M269" s="2320"/>
      <c r="N269" s="478"/>
      <c r="O269" s="478"/>
      <c r="P269" s="478"/>
      <c r="Q269" s="2315">
        <f t="shared" si="254"/>
        <v>45447</v>
      </c>
      <c r="R269" s="2315"/>
      <c r="S269" s="478"/>
      <c r="T269" s="140">
        <f t="shared" si="255"/>
        <v>1</v>
      </c>
      <c r="U269" s="478"/>
      <c r="V269" s="478"/>
      <c r="W269" s="478"/>
      <c r="X269" s="478"/>
      <c r="Y269" s="478"/>
      <c r="Z269" s="478"/>
      <c r="AA269" s="478"/>
      <c r="AB269" s="478"/>
      <c r="AC269" s="478"/>
      <c r="AD269" s="478"/>
      <c r="AE269" s="478"/>
      <c r="AF269" s="478"/>
      <c r="AG269" s="140">
        <f t="shared" si="256"/>
        <v>0</v>
      </c>
      <c r="AH269" s="92" t="str">
        <f t="shared" si="257"/>
        <v/>
      </c>
      <c r="AI269" s="131">
        <f t="shared" si="258"/>
        <v>0</v>
      </c>
      <c r="AJ269" s="2"/>
      <c r="AK269" s="92">
        <f>IF(G269=G$481,0,IF(OR(G269&lt;&gt;0,CJ269&lt;&gt;0,C269="L"),COUNTIF(AK$114:AK268,"&gt;0")+1,0))</f>
        <v>0</v>
      </c>
      <c r="AL269" s="92" t="str">
        <f t="shared" si="259"/>
        <v/>
      </c>
      <c r="AM269" s="92" t="str">
        <f t="shared" si="260"/>
        <v/>
      </c>
      <c r="AN269" s="131">
        <f t="shared" si="250"/>
        <v>0</v>
      </c>
      <c r="AO269" s="447">
        <f>SUM(GIU!W11:Z11)</f>
        <v>0</v>
      </c>
      <c r="AP269" s="445">
        <f>SUMIF(GIU!$G$155:$J$155,AP$112,GIU!$R11:$U11)</f>
        <v>0</v>
      </c>
      <c r="AQ269" s="446">
        <f>SUMIF(GIU!$G$155:$J$155,AQ$112,GIU!$R11:$U11)</f>
        <v>0</v>
      </c>
      <c r="AR269" s="447">
        <f>SUMIF(GIU!$G$155:$J$155,AR$112,GIU!$R11:$U11)</f>
        <v>0</v>
      </c>
      <c r="AS269" s="448">
        <f>SUMIF(GIU!$G$155:$J$155,AS$112,GIU!$R11:$U11)</f>
        <v>0</v>
      </c>
      <c r="AT269" s="449">
        <f>GIU!AG11</f>
        <v>0</v>
      </c>
      <c r="AU269" s="445">
        <f>GIU!AH11</f>
        <v>0</v>
      </c>
      <c r="AV269" s="446">
        <f>GIU!AI11</f>
        <v>0</v>
      </c>
      <c r="AW269" s="447">
        <f>GIU!AJ11</f>
        <v>0</v>
      </c>
      <c r="AX269" s="448">
        <f>GIU!AK11</f>
        <v>0</v>
      </c>
      <c r="AY269" s="445">
        <f>SUMIF(GIU!$G$152:$J$152,"&gt;0",GIU!$W11:$Z11)</f>
        <v>0</v>
      </c>
      <c r="AZ269" s="1063">
        <f>SUM(GIU!AB11:AE11)</f>
        <v>0</v>
      </c>
      <c r="BA269" s="445">
        <f>SUMIF(GIU!$G$159:$J$159,BA$111,GIU!$R11:$U11)+SUMIF(GIU!$G$159:$J$159,BA$111,GIU!$W11:$Z11)</f>
        <v>0</v>
      </c>
      <c r="BB269" s="446">
        <f>SUMIF(GIU!$G$159:$J$159,BB$111,GIU!$R11:$U11)+SUMIF(GIU!$G$159:$J$159,BB$111,GIU!$W11:$Z11)</f>
        <v>0</v>
      </c>
      <c r="BC269" s="446">
        <f>SUMIF(GIU!$G$159:$J$159,BC$111,GIU!$R11:$U11)+SUMIF(GIU!$G$159:$J$159,BC$111,GIU!$W11:$Z11)</f>
        <v>0</v>
      </c>
      <c r="BD269" s="446">
        <f>SUMIF(GIU!$G$159:$J$159,BD$111,GIU!$R11:$U11)+SUMIF(GIU!$G$159:$J$159,BD$111,GIU!$W11:$Z11)</f>
        <v>0</v>
      </c>
      <c r="BE269" s="446">
        <f>SUMIF(GIU!$G$159:$J$159,BE$111,GIU!$R11:$U11)+SUMIF(GIU!$G$159:$J$159,BE$111,GIU!$W11:$Z11)</f>
        <v>0</v>
      </c>
      <c r="BF269" s="446">
        <f>SUMIF(GIU!$G$159:$J$159,BF$111,GIU!$R11:$U11)+SUMIF(GIU!$G$159:$J$159,BF$111,GIU!$W11:$Z11)</f>
        <v>0</v>
      </c>
      <c r="BG269" s="448">
        <f>SUMIF(GIU!$G$159:$J$159,BG$111,GIU!$R11:$U11)+SUMIF(GIU!$G$159:$J$159,BG$111,GIU!$W11:$Z11)</f>
        <v>0</v>
      </c>
      <c r="BH269" s="571"/>
      <c r="BI269" s="448"/>
      <c r="BJ269" s="470"/>
      <c r="BK269" s="445">
        <f>SUMIF(GIU!$G$157:$J$157,BK$111,GIU!$R11:$U11)+SUMIF(GIU!$G$157:$J$157,BK$111,GIU!$W11:$Z11)</f>
        <v>0</v>
      </c>
      <c r="BL269" s="446">
        <f>SUMIF(GIU!$G$157:$J$157,BL$111,GIU!$R11:$U11)+SUMIF(GIU!$G$157:$J$157,BL$111,GIU!$W11:$Z11)</f>
        <v>0</v>
      </c>
      <c r="BM269" s="446">
        <f>SUMIF(GIU!$G$157:$J$157,BM$111,GIU!$R11:$U11)+SUMIF(GIU!$G$157:$J$157,BM$111,GIU!$W11:$Z11)</f>
        <v>0</v>
      </c>
      <c r="BN269" s="446">
        <f>SUMIF(GIU!$G$157:$J$157,BN$111,GIU!$R11:$U11)+SUMIF(GIU!$G$157:$J$157,BN$111,GIU!$W11:$Z11)</f>
        <v>0</v>
      </c>
      <c r="BO269" s="446">
        <f>SUMIF(GIU!$G$157:$J$157,BO$111,GIU!$R11:$U11)+SUMIF(GIU!$G$157:$J$157,BO$111,GIU!$W11:$Z11)</f>
        <v>0</v>
      </c>
      <c r="BP269" s="446">
        <f>SUMIF(GIU!$G$157:$J$157,BP$111,GIU!$R11:$U11)+SUMIF(GIU!$G$157:$J$157,BP$111,GIU!$W11:$Z11)</f>
        <v>0</v>
      </c>
      <c r="BQ269" s="448">
        <f>SUMIF(GIU!$G$157:$J$157,BQ$111,GIU!$R11:$U11)+SUMIF(GIU!$G$157:$J$157,BQ$111,GIU!$W11:$Z11)</f>
        <v>0</v>
      </c>
      <c r="BR269" s="571"/>
      <c r="BS269" s="446"/>
      <c r="BT269" s="448"/>
      <c r="BU269" s="470"/>
      <c r="BV269" s="445">
        <f>SUMIF(GIU!$G$158:$J$158,BV$111,GIU!$R11:$U11)+SUMIF(GIU!$G$158:$J$158,BV$111,GIU!$W11:$Z11)</f>
        <v>0</v>
      </c>
      <c r="BW269" s="446">
        <f>SUMIF(GIU!$G$158:$J$158,BW$111,GIU!$R11:$U11)+SUMIF(GIU!$G$158:$J$158,BW$111,GIU!$W11:$Z11)</f>
        <v>0</v>
      </c>
      <c r="BX269" s="446">
        <f>SUMIF(GIU!$G$158:$J$158,BX$111,GIU!$R11:$U11)+SUMIF(GIU!$G$158:$J$158,BX$111,GIU!$W11:$Z11)</f>
        <v>0</v>
      </c>
      <c r="BY269" s="446">
        <f>SUMIF(GIU!$G$158:$J$158,BY$111,GIU!$R11:$U11)+SUMIF(GIU!$G$158:$J$158,BY$111,GIU!$W11:$Z11)</f>
        <v>0</v>
      </c>
      <c r="BZ269" s="446">
        <f>SUMIF(GIU!$G$158:$J$158,BZ$111,GIU!$R11:$U11)+SUMIF(GIU!$G$158:$J$158,BZ$111,GIU!$W11:$Z11)</f>
        <v>0</v>
      </c>
      <c r="CA269" s="446">
        <f>SUMIF(GIU!$G$158:$J$158,CA$111,GIU!$R11:$U11)+SUMIF(GIU!$G$158:$J$158,CA$111,GIU!$W11:$Z11)</f>
        <v>0</v>
      </c>
      <c r="CB269" s="448">
        <f>SUMIF(GIU!$G$158:$J$158,CB$111,GIU!$R11:$U11)+SUMIF(GIU!$G$158:$J$158,CB$111,GIU!$W11:$Z11)</f>
        <v>0</v>
      </c>
      <c r="CC269" s="571"/>
      <c r="CD269" s="448"/>
      <c r="CE269" s="92">
        <f t="shared" si="261"/>
        <v>0</v>
      </c>
      <c r="CF269" s="92">
        <f t="shared" si="262"/>
        <v>0</v>
      </c>
      <c r="CG269" s="151" t="str">
        <f t="shared" si="248"/>
        <v/>
      </c>
      <c r="CH269" s="92">
        <f t="shared" si="251"/>
        <v>0</v>
      </c>
      <c r="CI269" s="92" t="str">
        <f t="shared" si="263"/>
        <v/>
      </c>
      <c r="CJ269" s="1100">
        <f>GIU!AM11</f>
        <v>0</v>
      </c>
      <c r="CK269" s="445">
        <f>SUMIF(GIU!$G$155:$J$155,CK$112,GIU!$AN11:$AQ11)</f>
        <v>0</v>
      </c>
      <c r="CL269" s="446">
        <f>SUMIF(GIU!$G$155:$J$155,CL$112,GIU!$AN11:$AQ11)</f>
        <v>0</v>
      </c>
      <c r="CM269" s="447">
        <f>SUMIF(GIU!$G$155:$J$155,CM$112,GIU!$AN11:$AQ11)</f>
        <v>0</v>
      </c>
      <c r="CN269" s="448">
        <f>SUMIF(GIU!$G$155:$J$155,CN$112,GIU!$AN11:$AQ11)</f>
        <v>0</v>
      </c>
      <c r="CO269" s="1100">
        <f>GIU!AS11</f>
        <v>0</v>
      </c>
      <c r="CP269" s="445">
        <f>GIU!AT11</f>
        <v>0</v>
      </c>
      <c r="CQ269" s="446">
        <f>GIU!AU11</f>
        <v>0</v>
      </c>
      <c r="CR269" s="447">
        <f>GIU!AV11</f>
        <v>0</v>
      </c>
      <c r="CS269" s="448">
        <f>GIU!AW11</f>
        <v>0</v>
      </c>
      <c r="CT269" s="1100">
        <f>GIU!AY11</f>
        <v>0</v>
      </c>
      <c r="CU269" s="2"/>
    </row>
    <row r="270" spans="1:99" ht="14.25" hidden="1" customHeight="1" x14ac:dyDescent="0.2">
      <c r="A270" s="2"/>
      <c r="B270" s="151">
        <f t="shared" si="252"/>
        <v>45448</v>
      </c>
      <c r="C270" s="223">
        <f>IF(AND(E270&gt;(E$496-1),E270&lt;(I$496+1)),W$485,IF(ISERROR(HLOOKUP(E270,$E$489:$L$489,1,FALSE)),HLOOKUP(WEEKDAY(E270,2),IMPOSTAZIONI!$C$51:$P$56,6,FALSE),$W$484))</f>
        <v>0</v>
      </c>
      <c r="D270" s="103" t="str">
        <f t="shared" si="253"/>
        <v/>
      </c>
      <c r="E270" s="2380">
        <f t="shared" si="264"/>
        <v>45448</v>
      </c>
      <c r="F270" s="2381"/>
      <c r="G270" s="2325" t="str">
        <f>GIU!E12</f>
        <v xml:space="preserve">attiva trim.  </v>
      </c>
      <c r="H270" s="2326"/>
      <c r="I270" s="2327"/>
      <c r="J270" s="479" t="str">
        <f t="shared" si="249"/>
        <v/>
      </c>
      <c r="K270" s="480"/>
      <c r="L270" s="2319">
        <f t="shared" si="265"/>
        <v>23</v>
      </c>
      <c r="M270" s="2320"/>
      <c r="N270" s="478"/>
      <c r="O270" s="478"/>
      <c r="P270" s="478"/>
      <c r="Q270" s="2315">
        <f t="shared" si="254"/>
        <v>45448</v>
      </c>
      <c r="R270" s="2315"/>
      <c r="S270" s="478"/>
      <c r="T270" s="140">
        <f t="shared" si="255"/>
        <v>1</v>
      </c>
      <c r="U270" s="478"/>
      <c r="V270" s="478"/>
      <c r="W270" s="478"/>
      <c r="X270" s="478"/>
      <c r="Y270" s="478"/>
      <c r="Z270" s="478"/>
      <c r="AA270" s="478"/>
      <c r="AB270" s="478"/>
      <c r="AC270" s="478"/>
      <c r="AD270" s="478"/>
      <c r="AE270" s="478"/>
      <c r="AF270" s="478"/>
      <c r="AG270" s="140">
        <f t="shared" si="256"/>
        <v>0</v>
      </c>
      <c r="AH270" s="92" t="str">
        <f t="shared" si="257"/>
        <v/>
      </c>
      <c r="AI270" s="131">
        <f t="shared" si="258"/>
        <v>0</v>
      </c>
      <c r="AJ270" s="2"/>
      <c r="AK270" s="92">
        <f>IF(G270=G$481,0,IF(OR(G270&lt;&gt;0,CJ270&lt;&gt;0,C270="L"),COUNTIF(AK$114:AK269,"&gt;0")+1,0))</f>
        <v>0</v>
      </c>
      <c r="AL270" s="92" t="str">
        <f t="shared" si="259"/>
        <v/>
      </c>
      <c r="AM270" s="92" t="str">
        <f t="shared" si="260"/>
        <v/>
      </c>
      <c r="AN270" s="131">
        <f t="shared" si="250"/>
        <v>0</v>
      </c>
      <c r="AO270" s="447">
        <f>SUM(GIU!W12:Z12)</f>
        <v>0</v>
      </c>
      <c r="AP270" s="445">
        <f>SUMIF(GIU!$G$155:$J$155,AP$112,GIU!$R12:$U12)</f>
        <v>0</v>
      </c>
      <c r="AQ270" s="446">
        <f>SUMIF(GIU!$G$155:$J$155,AQ$112,GIU!$R12:$U12)</f>
        <v>0</v>
      </c>
      <c r="AR270" s="447">
        <f>SUMIF(GIU!$G$155:$J$155,AR$112,GIU!$R12:$U12)</f>
        <v>0</v>
      </c>
      <c r="AS270" s="448">
        <f>SUMIF(GIU!$G$155:$J$155,AS$112,GIU!$R12:$U12)</f>
        <v>0</v>
      </c>
      <c r="AT270" s="449">
        <f>GIU!AG12</f>
        <v>0</v>
      </c>
      <c r="AU270" s="445">
        <f>GIU!AH12</f>
        <v>0</v>
      </c>
      <c r="AV270" s="446">
        <f>GIU!AI12</f>
        <v>0</v>
      </c>
      <c r="AW270" s="447">
        <f>GIU!AJ12</f>
        <v>0</v>
      </c>
      <c r="AX270" s="448">
        <f>GIU!AK12</f>
        <v>0</v>
      </c>
      <c r="AY270" s="445">
        <f>SUMIF(GIU!$G$152:$J$152,"&gt;0",GIU!$W12:$Z12)</f>
        <v>0</v>
      </c>
      <c r="AZ270" s="1063">
        <f>SUM(GIU!AB12:AE12)</f>
        <v>0</v>
      </c>
      <c r="BA270" s="445">
        <f>SUMIF(GIU!$G$159:$J$159,BA$111,GIU!$R12:$U12)+SUMIF(GIU!$G$159:$J$159,BA$111,GIU!$W12:$Z12)</f>
        <v>0</v>
      </c>
      <c r="BB270" s="446">
        <f>SUMIF(GIU!$G$159:$J$159,BB$111,GIU!$R12:$U12)+SUMIF(GIU!$G$159:$J$159,BB$111,GIU!$W12:$Z12)</f>
        <v>0</v>
      </c>
      <c r="BC270" s="446">
        <f>SUMIF(GIU!$G$159:$J$159,BC$111,GIU!$R12:$U12)+SUMIF(GIU!$G$159:$J$159,BC$111,GIU!$W12:$Z12)</f>
        <v>0</v>
      </c>
      <c r="BD270" s="446">
        <f>SUMIF(GIU!$G$159:$J$159,BD$111,GIU!$R12:$U12)+SUMIF(GIU!$G$159:$J$159,BD$111,GIU!$W12:$Z12)</f>
        <v>0</v>
      </c>
      <c r="BE270" s="446">
        <f>SUMIF(GIU!$G$159:$J$159,BE$111,GIU!$R12:$U12)+SUMIF(GIU!$G$159:$J$159,BE$111,GIU!$W12:$Z12)</f>
        <v>0</v>
      </c>
      <c r="BF270" s="446">
        <f>SUMIF(GIU!$G$159:$J$159,BF$111,GIU!$R12:$U12)+SUMIF(GIU!$G$159:$J$159,BF$111,GIU!$W12:$Z12)</f>
        <v>0</v>
      </c>
      <c r="BG270" s="448">
        <f>SUMIF(GIU!$G$159:$J$159,BG$111,GIU!$R12:$U12)+SUMIF(GIU!$G$159:$J$159,BG$111,GIU!$W12:$Z12)</f>
        <v>0</v>
      </c>
      <c r="BH270" s="571"/>
      <c r="BI270" s="448"/>
      <c r="BJ270" s="470"/>
      <c r="BK270" s="445">
        <f>SUMIF(GIU!$G$157:$J$157,BK$111,GIU!$R12:$U12)+SUMIF(GIU!$G$157:$J$157,BK$111,GIU!$W12:$Z12)</f>
        <v>0</v>
      </c>
      <c r="BL270" s="446">
        <f>SUMIF(GIU!$G$157:$J$157,BL$111,GIU!$R12:$U12)+SUMIF(GIU!$G$157:$J$157,BL$111,GIU!$W12:$Z12)</f>
        <v>0</v>
      </c>
      <c r="BM270" s="446">
        <f>SUMIF(GIU!$G$157:$J$157,BM$111,GIU!$R12:$U12)+SUMIF(GIU!$G$157:$J$157,BM$111,GIU!$W12:$Z12)</f>
        <v>0</v>
      </c>
      <c r="BN270" s="446">
        <f>SUMIF(GIU!$G$157:$J$157,BN$111,GIU!$R12:$U12)+SUMIF(GIU!$G$157:$J$157,BN$111,GIU!$W12:$Z12)</f>
        <v>0</v>
      </c>
      <c r="BO270" s="446">
        <f>SUMIF(GIU!$G$157:$J$157,BO$111,GIU!$R12:$U12)+SUMIF(GIU!$G$157:$J$157,BO$111,GIU!$W12:$Z12)</f>
        <v>0</v>
      </c>
      <c r="BP270" s="446">
        <f>SUMIF(GIU!$G$157:$J$157,BP$111,GIU!$R12:$U12)+SUMIF(GIU!$G$157:$J$157,BP$111,GIU!$W12:$Z12)</f>
        <v>0</v>
      </c>
      <c r="BQ270" s="448">
        <f>SUMIF(GIU!$G$157:$J$157,BQ$111,GIU!$R12:$U12)+SUMIF(GIU!$G$157:$J$157,BQ$111,GIU!$W12:$Z12)</f>
        <v>0</v>
      </c>
      <c r="BR270" s="571"/>
      <c r="BS270" s="446"/>
      <c r="BT270" s="448"/>
      <c r="BU270" s="470"/>
      <c r="BV270" s="445">
        <f>SUMIF(GIU!$G$158:$J$158,BV$111,GIU!$R12:$U12)+SUMIF(GIU!$G$158:$J$158,BV$111,GIU!$W12:$Z12)</f>
        <v>0</v>
      </c>
      <c r="BW270" s="446">
        <f>SUMIF(GIU!$G$158:$J$158,BW$111,GIU!$R12:$U12)+SUMIF(GIU!$G$158:$J$158,BW$111,GIU!$W12:$Z12)</f>
        <v>0</v>
      </c>
      <c r="BX270" s="446">
        <f>SUMIF(GIU!$G$158:$J$158,BX$111,GIU!$R12:$U12)+SUMIF(GIU!$G$158:$J$158,BX$111,GIU!$W12:$Z12)</f>
        <v>0</v>
      </c>
      <c r="BY270" s="446">
        <f>SUMIF(GIU!$G$158:$J$158,BY$111,GIU!$R12:$U12)+SUMIF(GIU!$G$158:$J$158,BY$111,GIU!$W12:$Z12)</f>
        <v>0</v>
      </c>
      <c r="BZ270" s="446">
        <f>SUMIF(GIU!$G$158:$J$158,BZ$111,GIU!$R12:$U12)+SUMIF(GIU!$G$158:$J$158,BZ$111,GIU!$W12:$Z12)</f>
        <v>0</v>
      </c>
      <c r="CA270" s="446">
        <f>SUMIF(GIU!$G$158:$J$158,CA$111,GIU!$R12:$U12)+SUMIF(GIU!$G$158:$J$158,CA$111,GIU!$W12:$Z12)</f>
        <v>0</v>
      </c>
      <c r="CB270" s="448">
        <f>SUMIF(GIU!$G$158:$J$158,CB$111,GIU!$R12:$U12)+SUMIF(GIU!$G$158:$J$158,CB$111,GIU!$W12:$Z12)</f>
        <v>0</v>
      </c>
      <c r="CC270" s="571"/>
      <c r="CD270" s="448"/>
      <c r="CE270" s="92">
        <f t="shared" si="261"/>
        <v>0</v>
      </c>
      <c r="CF270" s="92">
        <f t="shared" si="262"/>
        <v>0</v>
      </c>
      <c r="CG270" s="151" t="str">
        <f t="shared" si="248"/>
        <v/>
      </c>
      <c r="CH270" s="92">
        <f t="shared" si="251"/>
        <v>0</v>
      </c>
      <c r="CI270" s="92" t="str">
        <f t="shared" si="263"/>
        <v/>
      </c>
      <c r="CJ270" s="1100">
        <f>GIU!AM12</f>
        <v>0</v>
      </c>
      <c r="CK270" s="445">
        <f>SUMIF(GIU!$G$155:$J$155,CK$112,GIU!$AN12:$AQ12)</f>
        <v>0</v>
      </c>
      <c r="CL270" s="446">
        <f>SUMIF(GIU!$G$155:$J$155,CL$112,GIU!$AN12:$AQ12)</f>
        <v>0</v>
      </c>
      <c r="CM270" s="447">
        <f>SUMIF(GIU!$G$155:$J$155,CM$112,GIU!$AN12:$AQ12)</f>
        <v>0</v>
      </c>
      <c r="CN270" s="448">
        <f>SUMIF(GIU!$G$155:$J$155,CN$112,GIU!$AN12:$AQ12)</f>
        <v>0</v>
      </c>
      <c r="CO270" s="1100">
        <f>GIU!AS12</f>
        <v>0</v>
      </c>
      <c r="CP270" s="445">
        <f>GIU!AT12</f>
        <v>0</v>
      </c>
      <c r="CQ270" s="446">
        <f>GIU!AU12</f>
        <v>0</v>
      </c>
      <c r="CR270" s="447">
        <f>GIU!AV12</f>
        <v>0</v>
      </c>
      <c r="CS270" s="448">
        <f>GIU!AW12</f>
        <v>0</v>
      </c>
      <c r="CT270" s="1100">
        <f>GIU!AY12</f>
        <v>0</v>
      </c>
      <c r="CU270" s="2"/>
    </row>
    <row r="271" spans="1:99" ht="14.25" hidden="1" customHeight="1" x14ac:dyDescent="0.2">
      <c r="A271" s="2"/>
      <c r="B271" s="151">
        <f t="shared" si="252"/>
        <v>45449</v>
      </c>
      <c r="C271" s="223">
        <f>IF(AND(E271&gt;(E$496-1),E271&lt;(I$496+1)),W$485,IF(ISERROR(HLOOKUP(E271,$E$489:$L$489,1,FALSE)),HLOOKUP(WEEKDAY(E271,2),IMPOSTAZIONI!$C$51:$P$56,6,FALSE),$W$484))</f>
        <v>0</v>
      </c>
      <c r="D271" s="103" t="str">
        <f t="shared" si="253"/>
        <v/>
      </c>
      <c r="E271" s="2380">
        <f t="shared" si="264"/>
        <v>45449</v>
      </c>
      <c r="F271" s="2381"/>
      <c r="G271" s="2325" t="str">
        <f>GIU!E13</f>
        <v xml:space="preserve">attiva trim.  </v>
      </c>
      <c r="H271" s="2326"/>
      <c r="I271" s="2327"/>
      <c r="J271" s="479" t="str">
        <f t="shared" si="249"/>
        <v/>
      </c>
      <c r="K271" s="480"/>
      <c r="L271" s="2319">
        <f t="shared" si="265"/>
        <v>23</v>
      </c>
      <c r="M271" s="2320"/>
      <c r="N271" s="478"/>
      <c r="O271" s="478"/>
      <c r="P271" s="478"/>
      <c r="Q271" s="2315">
        <f t="shared" si="254"/>
        <v>45449</v>
      </c>
      <c r="R271" s="2315"/>
      <c r="S271" s="478"/>
      <c r="T271" s="140">
        <f t="shared" si="255"/>
        <v>1</v>
      </c>
      <c r="U271" s="478"/>
      <c r="V271" s="478"/>
      <c r="W271" s="478"/>
      <c r="X271" s="478"/>
      <c r="Y271" s="478"/>
      <c r="Z271" s="478"/>
      <c r="AA271" s="478"/>
      <c r="AB271" s="478"/>
      <c r="AC271" s="478"/>
      <c r="AD271" s="478"/>
      <c r="AE271" s="478"/>
      <c r="AF271" s="478"/>
      <c r="AG271" s="140">
        <f t="shared" si="256"/>
        <v>0</v>
      </c>
      <c r="AH271" s="92" t="str">
        <f t="shared" si="257"/>
        <v/>
      </c>
      <c r="AI271" s="131">
        <f t="shared" si="258"/>
        <v>0</v>
      </c>
      <c r="AJ271" s="2"/>
      <c r="AK271" s="92">
        <f>IF(G271=G$481,0,IF(OR(G271&lt;&gt;0,CJ271&lt;&gt;0,C271="L"),COUNTIF(AK$114:AK270,"&gt;0")+1,0))</f>
        <v>0</v>
      </c>
      <c r="AL271" s="92" t="str">
        <f t="shared" si="259"/>
        <v/>
      </c>
      <c r="AM271" s="92" t="str">
        <f t="shared" si="260"/>
        <v/>
      </c>
      <c r="AN271" s="131">
        <f t="shared" si="250"/>
        <v>0</v>
      </c>
      <c r="AO271" s="447">
        <f>SUM(GIU!W13:Z13)</f>
        <v>0</v>
      </c>
      <c r="AP271" s="445">
        <f>SUMIF(GIU!$G$155:$J$155,AP$112,GIU!$R13:$U13)</f>
        <v>0</v>
      </c>
      <c r="AQ271" s="446">
        <f>SUMIF(GIU!$G$155:$J$155,AQ$112,GIU!$R13:$U13)</f>
        <v>0</v>
      </c>
      <c r="AR271" s="447">
        <f>SUMIF(GIU!$G$155:$J$155,AR$112,GIU!$R13:$U13)</f>
        <v>0</v>
      </c>
      <c r="AS271" s="448">
        <f>SUMIF(GIU!$G$155:$J$155,AS$112,GIU!$R13:$U13)</f>
        <v>0</v>
      </c>
      <c r="AT271" s="449">
        <f>GIU!AG13</f>
        <v>0</v>
      </c>
      <c r="AU271" s="445">
        <f>GIU!AH13</f>
        <v>0</v>
      </c>
      <c r="AV271" s="446">
        <f>GIU!AI13</f>
        <v>0</v>
      </c>
      <c r="AW271" s="447">
        <f>GIU!AJ13</f>
        <v>0</v>
      </c>
      <c r="AX271" s="448">
        <f>GIU!AK13</f>
        <v>0</v>
      </c>
      <c r="AY271" s="445">
        <f>SUMIF(GIU!$G$152:$J$152,"&gt;0",GIU!$W13:$Z13)</f>
        <v>0</v>
      </c>
      <c r="AZ271" s="1063">
        <f>SUM(GIU!AB13:AE13)</f>
        <v>0</v>
      </c>
      <c r="BA271" s="445">
        <f>SUMIF(GIU!$G$159:$J$159,BA$111,GIU!$R13:$U13)+SUMIF(GIU!$G$159:$J$159,BA$111,GIU!$W13:$Z13)</f>
        <v>0</v>
      </c>
      <c r="BB271" s="446">
        <f>SUMIF(GIU!$G$159:$J$159,BB$111,GIU!$R13:$U13)+SUMIF(GIU!$G$159:$J$159,BB$111,GIU!$W13:$Z13)</f>
        <v>0</v>
      </c>
      <c r="BC271" s="446">
        <f>SUMIF(GIU!$G$159:$J$159,BC$111,GIU!$R13:$U13)+SUMIF(GIU!$G$159:$J$159,BC$111,GIU!$W13:$Z13)</f>
        <v>0</v>
      </c>
      <c r="BD271" s="446">
        <f>SUMIF(GIU!$G$159:$J$159,BD$111,GIU!$R13:$U13)+SUMIF(GIU!$G$159:$J$159,BD$111,GIU!$W13:$Z13)</f>
        <v>0</v>
      </c>
      <c r="BE271" s="446">
        <f>SUMIF(GIU!$G$159:$J$159,BE$111,GIU!$R13:$U13)+SUMIF(GIU!$G$159:$J$159,BE$111,GIU!$W13:$Z13)</f>
        <v>0</v>
      </c>
      <c r="BF271" s="446">
        <f>SUMIF(GIU!$G$159:$J$159,BF$111,GIU!$R13:$U13)+SUMIF(GIU!$G$159:$J$159,BF$111,GIU!$W13:$Z13)</f>
        <v>0</v>
      </c>
      <c r="BG271" s="448">
        <f>SUMIF(GIU!$G$159:$J$159,BG$111,GIU!$R13:$U13)+SUMIF(GIU!$G$159:$J$159,BG$111,GIU!$W13:$Z13)</f>
        <v>0</v>
      </c>
      <c r="BH271" s="571"/>
      <c r="BI271" s="448"/>
      <c r="BJ271" s="470"/>
      <c r="BK271" s="445">
        <f>SUMIF(GIU!$G$157:$J$157,BK$111,GIU!$R13:$U13)+SUMIF(GIU!$G$157:$J$157,BK$111,GIU!$W13:$Z13)</f>
        <v>0</v>
      </c>
      <c r="BL271" s="446">
        <f>SUMIF(GIU!$G$157:$J$157,BL$111,GIU!$R13:$U13)+SUMIF(GIU!$G$157:$J$157,BL$111,GIU!$W13:$Z13)</f>
        <v>0</v>
      </c>
      <c r="BM271" s="446">
        <f>SUMIF(GIU!$G$157:$J$157,BM$111,GIU!$R13:$U13)+SUMIF(GIU!$G$157:$J$157,BM$111,GIU!$W13:$Z13)</f>
        <v>0</v>
      </c>
      <c r="BN271" s="446">
        <f>SUMIF(GIU!$G$157:$J$157,BN$111,GIU!$R13:$U13)+SUMIF(GIU!$G$157:$J$157,BN$111,GIU!$W13:$Z13)</f>
        <v>0</v>
      </c>
      <c r="BO271" s="446">
        <f>SUMIF(GIU!$G$157:$J$157,BO$111,GIU!$R13:$U13)+SUMIF(GIU!$G$157:$J$157,BO$111,GIU!$W13:$Z13)</f>
        <v>0</v>
      </c>
      <c r="BP271" s="446">
        <f>SUMIF(GIU!$G$157:$J$157,BP$111,GIU!$R13:$U13)+SUMIF(GIU!$G$157:$J$157,BP$111,GIU!$W13:$Z13)</f>
        <v>0</v>
      </c>
      <c r="BQ271" s="448">
        <f>SUMIF(GIU!$G$157:$J$157,BQ$111,GIU!$R13:$U13)+SUMIF(GIU!$G$157:$J$157,BQ$111,GIU!$W13:$Z13)</f>
        <v>0</v>
      </c>
      <c r="BR271" s="571"/>
      <c r="BS271" s="446"/>
      <c r="BT271" s="448"/>
      <c r="BU271" s="470"/>
      <c r="BV271" s="445">
        <f>SUMIF(GIU!$G$158:$J$158,BV$111,GIU!$R13:$U13)+SUMIF(GIU!$G$158:$J$158,BV$111,GIU!$W13:$Z13)</f>
        <v>0</v>
      </c>
      <c r="BW271" s="446">
        <f>SUMIF(GIU!$G$158:$J$158,BW$111,GIU!$R13:$U13)+SUMIF(GIU!$G$158:$J$158,BW$111,GIU!$W13:$Z13)</f>
        <v>0</v>
      </c>
      <c r="BX271" s="446">
        <f>SUMIF(GIU!$G$158:$J$158,BX$111,GIU!$R13:$U13)+SUMIF(GIU!$G$158:$J$158,BX$111,GIU!$W13:$Z13)</f>
        <v>0</v>
      </c>
      <c r="BY271" s="446">
        <f>SUMIF(GIU!$G$158:$J$158,BY$111,GIU!$R13:$U13)+SUMIF(GIU!$G$158:$J$158,BY$111,GIU!$W13:$Z13)</f>
        <v>0</v>
      </c>
      <c r="BZ271" s="446">
        <f>SUMIF(GIU!$G$158:$J$158,BZ$111,GIU!$R13:$U13)+SUMIF(GIU!$G$158:$J$158,BZ$111,GIU!$W13:$Z13)</f>
        <v>0</v>
      </c>
      <c r="CA271" s="446">
        <f>SUMIF(GIU!$G$158:$J$158,CA$111,GIU!$R13:$U13)+SUMIF(GIU!$G$158:$J$158,CA$111,GIU!$W13:$Z13)</f>
        <v>0</v>
      </c>
      <c r="CB271" s="448">
        <f>SUMIF(GIU!$G$158:$J$158,CB$111,GIU!$R13:$U13)+SUMIF(GIU!$G$158:$J$158,CB$111,GIU!$W13:$Z13)</f>
        <v>0</v>
      </c>
      <c r="CC271" s="571"/>
      <c r="CD271" s="448"/>
      <c r="CE271" s="92">
        <f t="shared" si="261"/>
        <v>0</v>
      </c>
      <c r="CF271" s="92">
        <f t="shared" si="262"/>
        <v>0</v>
      </c>
      <c r="CG271" s="151" t="str">
        <f t="shared" si="248"/>
        <v/>
      </c>
      <c r="CH271" s="92">
        <f t="shared" si="251"/>
        <v>0</v>
      </c>
      <c r="CI271" s="92" t="str">
        <f t="shared" si="263"/>
        <v/>
      </c>
      <c r="CJ271" s="1100">
        <f>GIU!AM13</f>
        <v>0</v>
      </c>
      <c r="CK271" s="445">
        <f>SUMIF(GIU!$G$155:$J$155,CK$112,GIU!$AN13:$AQ13)</f>
        <v>0</v>
      </c>
      <c r="CL271" s="446">
        <f>SUMIF(GIU!$G$155:$J$155,CL$112,GIU!$AN13:$AQ13)</f>
        <v>0</v>
      </c>
      <c r="CM271" s="447">
        <f>SUMIF(GIU!$G$155:$J$155,CM$112,GIU!$AN13:$AQ13)</f>
        <v>0</v>
      </c>
      <c r="CN271" s="448">
        <f>SUMIF(GIU!$G$155:$J$155,CN$112,GIU!$AN13:$AQ13)</f>
        <v>0</v>
      </c>
      <c r="CO271" s="1100">
        <f>GIU!AS13</f>
        <v>0</v>
      </c>
      <c r="CP271" s="445">
        <f>GIU!AT13</f>
        <v>0</v>
      </c>
      <c r="CQ271" s="446">
        <f>GIU!AU13</f>
        <v>0</v>
      </c>
      <c r="CR271" s="447">
        <f>GIU!AV13</f>
        <v>0</v>
      </c>
      <c r="CS271" s="448">
        <f>GIU!AW13</f>
        <v>0</v>
      </c>
      <c r="CT271" s="1100">
        <f>GIU!AY13</f>
        <v>0</v>
      </c>
      <c r="CU271" s="2"/>
    </row>
    <row r="272" spans="1:99" ht="14.25" hidden="1" customHeight="1" x14ac:dyDescent="0.2">
      <c r="A272" s="2"/>
      <c r="B272" s="151">
        <f t="shared" si="252"/>
        <v>45450</v>
      </c>
      <c r="C272" s="223">
        <f>IF(AND(E272&gt;(E$496-1),E272&lt;(I$496+1)),W$485,IF(ISERROR(HLOOKUP(E272,$E$489:$L$489,1,FALSE)),HLOOKUP(WEEKDAY(E272,2),IMPOSTAZIONI!$C$51:$P$56,6,FALSE),$W$484))</f>
        <v>0</v>
      </c>
      <c r="D272" s="103" t="str">
        <f t="shared" si="253"/>
        <v/>
      </c>
      <c r="E272" s="2380">
        <f t="shared" si="264"/>
        <v>45450</v>
      </c>
      <c r="F272" s="2381"/>
      <c r="G272" s="2325" t="str">
        <f>GIU!E14</f>
        <v xml:space="preserve">attiva trim.  </v>
      </c>
      <c r="H272" s="2326"/>
      <c r="I272" s="2327"/>
      <c r="J272" s="479" t="str">
        <f t="shared" si="249"/>
        <v/>
      </c>
      <c r="K272" s="480"/>
      <c r="L272" s="2319">
        <f t="shared" si="265"/>
        <v>23</v>
      </c>
      <c r="M272" s="2320"/>
      <c r="N272" s="478"/>
      <c r="O272" s="478"/>
      <c r="P272" s="478"/>
      <c r="Q272" s="2315">
        <f t="shared" si="254"/>
        <v>45450</v>
      </c>
      <c r="R272" s="2315"/>
      <c r="S272" s="478"/>
      <c r="T272" s="140">
        <f t="shared" si="255"/>
        <v>1</v>
      </c>
      <c r="U272" s="478"/>
      <c r="V272" s="478"/>
      <c r="W272" s="478"/>
      <c r="X272" s="478"/>
      <c r="Y272" s="478"/>
      <c r="Z272" s="478"/>
      <c r="AA272" s="478"/>
      <c r="AB272" s="478"/>
      <c r="AC272" s="478"/>
      <c r="AD272" s="478"/>
      <c r="AE272" s="478"/>
      <c r="AF272" s="478"/>
      <c r="AG272" s="140">
        <f t="shared" si="256"/>
        <v>0</v>
      </c>
      <c r="AH272" s="92" t="str">
        <f t="shared" si="257"/>
        <v/>
      </c>
      <c r="AI272" s="131">
        <f t="shared" si="258"/>
        <v>0</v>
      </c>
      <c r="AJ272" s="2"/>
      <c r="AK272" s="92">
        <f>IF(G272=G$481,0,IF(OR(G272&lt;&gt;0,CJ272&lt;&gt;0,C272="L"),COUNTIF(AK$114:AK271,"&gt;0")+1,0))</f>
        <v>0</v>
      </c>
      <c r="AL272" s="92" t="str">
        <f t="shared" si="259"/>
        <v/>
      </c>
      <c r="AM272" s="92" t="str">
        <f t="shared" si="260"/>
        <v/>
      </c>
      <c r="AN272" s="131">
        <f t="shared" si="250"/>
        <v>0</v>
      </c>
      <c r="AO272" s="447">
        <f>SUM(GIU!W14:Z14)</f>
        <v>0</v>
      </c>
      <c r="AP272" s="445">
        <f>SUMIF(GIU!$G$155:$J$155,AP$112,GIU!$R14:$U14)</f>
        <v>0</v>
      </c>
      <c r="AQ272" s="446">
        <f>SUMIF(GIU!$G$155:$J$155,AQ$112,GIU!$R14:$U14)</f>
        <v>0</v>
      </c>
      <c r="AR272" s="447">
        <f>SUMIF(GIU!$G$155:$J$155,AR$112,GIU!$R14:$U14)</f>
        <v>0</v>
      </c>
      <c r="AS272" s="448">
        <f>SUMIF(GIU!$G$155:$J$155,AS$112,GIU!$R14:$U14)</f>
        <v>0</v>
      </c>
      <c r="AT272" s="449">
        <f>GIU!AG14</f>
        <v>0</v>
      </c>
      <c r="AU272" s="445">
        <f>GIU!AH14</f>
        <v>0</v>
      </c>
      <c r="AV272" s="446">
        <f>GIU!AI14</f>
        <v>0</v>
      </c>
      <c r="AW272" s="447">
        <f>GIU!AJ14</f>
        <v>0</v>
      </c>
      <c r="AX272" s="448">
        <f>GIU!AK14</f>
        <v>0</v>
      </c>
      <c r="AY272" s="445">
        <f>SUMIF(GIU!$G$152:$J$152,"&gt;0",GIU!$W14:$Z14)</f>
        <v>0</v>
      </c>
      <c r="AZ272" s="1063">
        <f>SUM(GIU!AB14:AE14)</f>
        <v>0</v>
      </c>
      <c r="BA272" s="445">
        <f>SUMIF(GIU!$G$159:$J$159,BA$111,GIU!$R14:$U14)+SUMIF(GIU!$G$159:$J$159,BA$111,GIU!$W14:$Z14)</f>
        <v>0</v>
      </c>
      <c r="BB272" s="446">
        <f>SUMIF(GIU!$G$159:$J$159,BB$111,GIU!$R14:$U14)+SUMIF(GIU!$G$159:$J$159,BB$111,GIU!$W14:$Z14)</f>
        <v>0</v>
      </c>
      <c r="BC272" s="446">
        <f>SUMIF(GIU!$G$159:$J$159,BC$111,GIU!$R14:$U14)+SUMIF(GIU!$G$159:$J$159,BC$111,GIU!$W14:$Z14)</f>
        <v>0</v>
      </c>
      <c r="BD272" s="446">
        <f>SUMIF(GIU!$G$159:$J$159,BD$111,GIU!$R14:$U14)+SUMIF(GIU!$G$159:$J$159,BD$111,GIU!$W14:$Z14)</f>
        <v>0</v>
      </c>
      <c r="BE272" s="446">
        <f>SUMIF(GIU!$G$159:$J$159,BE$111,GIU!$R14:$U14)+SUMIF(GIU!$G$159:$J$159,BE$111,GIU!$W14:$Z14)</f>
        <v>0</v>
      </c>
      <c r="BF272" s="446">
        <f>SUMIF(GIU!$G$159:$J$159,BF$111,GIU!$R14:$U14)+SUMIF(GIU!$G$159:$J$159,BF$111,GIU!$W14:$Z14)</f>
        <v>0</v>
      </c>
      <c r="BG272" s="448">
        <f>SUMIF(GIU!$G$159:$J$159,BG$111,GIU!$R14:$U14)+SUMIF(GIU!$G$159:$J$159,BG$111,GIU!$W14:$Z14)</f>
        <v>0</v>
      </c>
      <c r="BH272" s="571"/>
      <c r="BI272" s="448"/>
      <c r="BJ272" s="470"/>
      <c r="BK272" s="445">
        <f>SUMIF(GIU!$G$157:$J$157,BK$111,GIU!$R14:$U14)+SUMIF(GIU!$G$157:$J$157,BK$111,GIU!$W14:$Z14)</f>
        <v>0</v>
      </c>
      <c r="BL272" s="446">
        <f>SUMIF(GIU!$G$157:$J$157,BL$111,GIU!$R14:$U14)+SUMIF(GIU!$G$157:$J$157,BL$111,GIU!$W14:$Z14)</f>
        <v>0</v>
      </c>
      <c r="BM272" s="446">
        <f>SUMIF(GIU!$G$157:$J$157,BM$111,GIU!$R14:$U14)+SUMIF(GIU!$G$157:$J$157,BM$111,GIU!$W14:$Z14)</f>
        <v>0</v>
      </c>
      <c r="BN272" s="446">
        <f>SUMIF(GIU!$G$157:$J$157,BN$111,GIU!$R14:$U14)+SUMIF(GIU!$G$157:$J$157,BN$111,GIU!$W14:$Z14)</f>
        <v>0</v>
      </c>
      <c r="BO272" s="446">
        <f>SUMIF(GIU!$G$157:$J$157,BO$111,GIU!$R14:$U14)+SUMIF(GIU!$G$157:$J$157,BO$111,GIU!$W14:$Z14)</f>
        <v>0</v>
      </c>
      <c r="BP272" s="446">
        <f>SUMIF(GIU!$G$157:$J$157,BP$111,GIU!$R14:$U14)+SUMIF(GIU!$G$157:$J$157,BP$111,GIU!$W14:$Z14)</f>
        <v>0</v>
      </c>
      <c r="BQ272" s="448">
        <f>SUMIF(GIU!$G$157:$J$157,BQ$111,GIU!$R14:$U14)+SUMIF(GIU!$G$157:$J$157,BQ$111,GIU!$W14:$Z14)</f>
        <v>0</v>
      </c>
      <c r="BR272" s="571"/>
      <c r="BS272" s="446"/>
      <c r="BT272" s="448"/>
      <c r="BU272" s="470"/>
      <c r="BV272" s="445">
        <f>SUMIF(GIU!$G$158:$J$158,BV$111,GIU!$R14:$U14)+SUMIF(GIU!$G$158:$J$158,BV$111,GIU!$W14:$Z14)</f>
        <v>0</v>
      </c>
      <c r="BW272" s="446">
        <f>SUMIF(GIU!$G$158:$J$158,BW$111,GIU!$R14:$U14)+SUMIF(GIU!$G$158:$J$158,BW$111,GIU!$W14:$Z14)</f>
        <v>0</v>
      </c>
      <c r="BX272" s="446">
        <f>SUMIF(GIU!$G$158:$J$158,BX$111,GIU!$R14:$U14)+SUMIF(GIU!$G$158:$J$158,BX$111,GIU!$W14:$Z14)</f>
        <v>0</v>
      </c>
      <c r="BY272" s="446">
        <f>SUMIF(GIU!$G$158:$J$158,BY$111,GIU!$R14:$U14)+SUMIF(GIU!$G$158:$J$158,BY$111,GIU!$W14:$Z14)</f>
        <v>0</v>
      </c>
      <c r="BZ272" s="446">
        <f>SUMIF(GIU!$G$158:$J$158,BZ$111,GIU!$R14:$U14)+SUMIF(GIU!$G$158:$J$158,BZ$111,GIU!$W14:$Z14)</f>
        <v>0</v>
      </c>
      <c r="CA272" s="446">
        <f>SUMIF(GIU!$G$158:$J$158,CA$111,GIU!$R14:$U14)+SUMIF(GIU!$G$158:$J$158,CA$111,GIU!$W14:$Z14)</f>
        <v>0</v>
      </c>
      <c r="CB272" s="448">
        <f>SUMIF(GIU!$G$158:$J$158,CB$111,GIU!$R14:$U14)+SUMIF(GIU!$G$158:$J$158,CB$111,GIU!$W14:$Z14)</f>
        <v>0</v>
      </c>
      <c r="CC272" s="571"/>
      <c r="CD272" s="448"/>
      <c r="CE272" s="92">
        <f t="shared" si="261"/>
        <v>0</v>
      </c>
      <c r="CF272" s="92">
        <f t="shared" si="262"/>
        <v>0</v>
      </c>
      <c r="CG272" s="151" t="str">
        <f t="shared" si="248"/>
        <v/>
      </c>
      <c r="CH272" s="92">
        <f t="shared" si="251"/>
        <v>0</v>
      </c>
      <c r="CI272" s="92" t="str">
        <f t="shared" si="263"/>
        <v/>
      </c>
      <c r="CJ272" s="1100">
        <f>GIU!AM14</f>
        <v>0</v>
      </c>
      <c r="CK272" s="445">
        <f>SUMIF(GIU!$G$155:$J$155,CK$112,GIU!$AN14:$AQ14)</f>
        <v>0</v>
      </c>
      <c r="CL272" s="446">
        <f>SUMIF(GIU!$G$155:$J$155,CL$112,GIU!$AN14:$AQ14)</f>
        <v>0</v>
      </c>
      <c r="CM272" s="447">
        <f>SUMIF(GIU!$G$155:$J$155,CM$112,GIU!$AN14:$AQ14)</f>
        <v>0</v>
      </c>
      <c r="CN272" s="448">
        <f>SUMIF(GIU!$G$155:$J$155,CN$112,GIU!$AN14:$AQ14)</f>
        <v>0</v>
      </c>
      <c r="CO272" s="1100">
        <f>GIU!AS14</f>
        <v>0</v>
      </c>
      <c r="CP272" s="445">
        <f>GIU!AT14</f>
        <v>0</v>
      </c>
      <c r="CQ272" s="446">
        <f>GIU!AU14</f>
        <v>0</v>
      </c>
      <c r="CR272" s="447">
        <f>GIU!AV14</f>
        <v>0</v>
      </c>
      <c r="CS272" s="448">
        <f>GIU!AW14</f>
        <v>0</v>
      </c>
      <c r="CT272" s="1100">
        <f>GIU!AY14</f>
        <v>0</v>
      </c>
      <c r="CU272" s="2"/>
    </row>
    <row r="273" spans="1:99" ht="14.25" hidden="1" customHeight="1" x14ac:dyDescent="0.2">
      <c r="A273" s="2"/>
      <c r="B273" s="151">
        <f t="shared" si="252"/>
        <v>45451</v>
      </c>
      <c r="C273" s="223">
        <f>IF(AND(E273&gt;(E$496-1),E273&lt;(I$496+1)),W$485,IF(ISERROR(HLOOKUP(E273,$E$489:$L$489,1,FALSE)),HLOOKUP(WEEKDAY(E273,2),IMPOSTAZIONI!$C$51:$P$56,6,FALSE),$W$484))</f>
        <v>0</v>
      </c>
      <c r="D273" s="103" t="str">
        <f t="shared" si="253"/>
        <v/>
      </c>
      <c r="E273" s="2380">
        <f t="shared" si="264"/>
        <v>45451</v>
      </c>
      <c r="F273" s="2381"/>
      <c r="G273" s="2325" t="str">
        <f>GIU!E15</f>
        <v xml:space="preserve">attiva trim.  </v>
      </c>
      <c r="H273" s="2326"/>
      <c r="I273" s="2327"/>
      <c r="J273" s="479" t="str">
        <f t="shared" si="249"/>
        <v/>
      </c>
      <c r="K273" s="480"/>
      <c r="L273" s="2319">
        <f t="shared" si="265"/>
        <v>23</v>
      </c>
      <c r="M273" s="2320"/>
      <c r="N273" s="478"/>
      <c r="O273" s="478"/>
      <c r="P273" s="478"/>
      <c r="Q273" s="2315">
        <f t="shared" si="254"/>
        <v>45451</v>
      </c>
      <c r="R273" s="2315"/>
      <c r="S273" s="478"/>
      <c r="T273" s="140">
        <f t="shared" si="255"/>
        <v>1</v>
      </c>
      <c r="U273" s="478"/>
      <c r="V273" s="478"/>
      <c r="W273" s="478"/>
      <c r="X273" s="478"/>
      <c r="Y273" s="478"/>
      <c r="Z273" s="478"/>
      <c r="AA273" s="478"/>
      <c r="AB273" s="478"/>
      <c r="AC273" s="478"/>
      <c r="AD273" s="478"/>
      <c r="AE273" s="478"/>
      <c r="AF273" s="478"/>
      <c r="AG273" s="140">
        <f t="shared" si="256"/>
        <v>0</v>
      </c>
      <c r="AH273" s="92" t="str">
        <f t="shared" si="257"/>
        <v/>
      </c>
      <c r="AI273" s="131">
        <f t="shared" si="258"/>
        <v>0</v>
      </c>
      <c r="AJ273" s="2"/>
      <c r="AK273" s="92">
        <f>IF(G273=G$481,0,IF(OR(G273&lt;&gt;0,CJ273&lt;&gt;0,C273="L"),COUNTIF(AK$114:AK272,"&gt;0")+1,0))</f>
        <v>0</v>
      </c>
      <c r="AL273" s="92" t="str">
        <f t="shared" si="259"/>
        <v/>
      </c>
      <c r="AM273" s="92" t="str">
        <f t="shared" si="260"/>
        <v/>
      </c>
      <c r="AN273" s="131">
        <f t="shared" si="250"/>
        <v>0</v>
      </c>
      <c r="AO273" s="447">
        <f>SUM(GIU!W15:Z15)</f>
        <v>0</v>
      </c>
      <c r="AP273" s="445">
        <f>SUMIF(GIU!$G$155:$J$155,AP$112,GIU!$R15:$U15)</f>
        <v>0</v>
      </c>
      <c r="AQ273" s="446">
        <f>SUMIF(GIU!$G$155:$J$155,AQ$112,GIU!$R15:$U15)</f>
        <v>0</v>
      </c>
      <c r="AR273" s="447">
        <f>SUMIF(GIU!$G$155:$J$155,AR$112,GIU!$R15:$U15)</f>
        <v>0</v>
      </c>
      <c r="AS273" s="448">
        <f>SUMIF(GIU!$G$155:$J$155,AS$112,GIU!$R15:$U15)</f>
        <v>0</v>
      </c>
      <c r="AT273" s="449">
        <f>GIU!AG15</f>
        <v>0</v>
      </c>
      <c r="AU273" s="445">
        <f>GIU!AH15</f>
        <v>0</v>
      </c>
      <c r="AV273" s="446">
        <f>GIU!AI15</f>
        <v>0</v>
      </c>
      <c r="AW273" s="447">
        <f>GIU!AJ15</f>
        <v>0</v>
      </c>
      <c r="AX273" s="448">
        <f>GIU!AK15</f>
        <v>0</v>
      </c>
      <c r="AY273" s="445">
        <f>SUMIF(GIU!$G$152:$J$152,"&gt;0",GIU!$W15:$Z15)</f>
        <v>0</v>
      </c>
      <c r="AZ273" s="1063">
        <f>SUM(GIU!AB15:AE15)</f>
        <v>0</v>
      </c>
      <c r="BA273" s="445">
        <f>SUMIF(GIU!$G$159:$J$159,BA$111,GIU!$R15:$U15)+SUMIF(GIU!$G$159:$J$159,BA$111,GIU!$W15:$Z15)</f>
        <v>0</v>
      </c>
      <c r="BB273" s="446">
        <f>SUMIF(GIU!$G$159:$J$159,BB$111,GIU!$R15:$U15)+SUMIF(GIU!$G$159:$J$159,BB$111,GIU!$W15:$Z15)</f>
        <v>0</v>
      </c>
      <c r="BC273" s="446">
        <f>SUMIF(GIU!$G$159:$J$159,BC$111,GIU!$R15:$U15)+SUMIF(GIU!$G$159:$J$159,BC$111,GIU!$W15:$Z15)</f>
        <v>0</v>
      </c>
      <c r="BD273" s="446">
        <f>SUMIF(GIU!$G$159:$J$159,BD$111,GIU!$R15:$U15)+SUMIF(GIU!$G$159:$J$159,BD$111,GIU!$W15:$Z15)</f>
        <v>0</v>
      </c>
      <c r="BE273" s="446">
        <f>SUMIF(GIU!$G$159:$J$159,BE$111,GIU!$R15:$U15)+SUMIF(GIU!$G$159:$J$159,BE$111,GIU!$W15:$Z15)</f>
        <v>0</v>
      </c>
      <c r="BF273" s="446">
        <f>SUMIF(GIU!$G$159:$J$159,BF$111,GIU!$R15:$U15)+SUMIF(GIU!$G$159:$J$159,BF$111,GIU!$W15:$Z15)</f>
        <v>0</v>
      </c>
      <c r="BG273" s="448">
        <f>SUMIF(GIU!$G$159:$J$159,BG$111,GIU!$R15:$U15)+SUMIF(GIU!$G$159:$J$159,BG$111,GIU!$W15:$Z15)</f>
        <v>0</v>
      </c>
      <c r="BH273" s="571"/>
      <c r="BI273" s="448"/>
      <c r="BJ273" s="470"/>
      <c r="BK273" s="445">
        <f>SUMIF(GIU!$G$157:$J$157,BK$111,GIU!$R15:$U15)+SUMIF(GIU!$G$157:$J$157,BK$111,GIU!$W15:$Z15)</f>
        <v>0</v>
      </c>
      <c r="BL273" s="446">
        <f>SUMIF(GIU!$G$157:$J$157,BL$111,GIU!$R15:$U15)+SUMIF(GIU!$G$157:$J$157,BL$111,GIU!$W15:$Z15)</f>
        <v>0</v>
      </c>
      <c r="BM273" s="446">
        <f>SUMIF(GIU!$G$157:$J$157,BM$111,GIU!$R15:$U15)+SUMIF(GIU!$G$157:$J$157,BM$111,GIU!$W15:$Z15)</f>
        <v>0</v>
      </c>
      <c r="BN273" s="446">
        <f>SUMIF(GIU!$G$157:$J$157,BN$111,GIU!$R15:$U15)+SUMIF(GIU!$G$157:$J$157,BN$111,GIU!$W15:$Z15)</f>
        <v>0</v>
      </c>
      <c r="BO273" s="446">
        <f>SUMIF(GIU!$G$157:$J$157,BO$111,GIU!$R15:$U15)+SUMIF(GIU!$G$157:$J$157,BO$111,GIU!$W15:$Z15)</f>
        <v>0</v>
      </c>
      <c r="BP273" s="446">
        <f>SUMIF(GIU!$G$157:$J$157,BP$111,GIU!$R15:$U15)+SUMIF(GIU!$G$157:$J$157,BP$111,GIU!$W15:$Z15)</f>
        <v>0</v>
      </c>
      <c r="BQ273" s="448">
        <f>SUMIF(GIU!$G$157:$J$157,BQ$111,GIU!$R15:$U15)+SUMIF(GIU!$G$157:$J$157,BQ$111,GIU!$W15:$Z15)</f>
        <v>0</v>
      </c>
      <c r="BR273" s="571"/>
      <c r="BS273" s="446"/>
      <c r="BT273" s="448"/>
      <c r="BU273" s="470"/>
      <c r="BV273" s="445">
        <f>SUMIF(GIU!$G$158:$J$158,BV$111,GIU!$R15:$U15)+SUMIF(GIU!$G$158:$J$158,BV$111,GIU!$W15:$Z15)</f>
        <v>0</v>
      </c>
      <c r="BW273" s="446">
        <f>SUMIF(GIU!$G$158:$J$158,BW$111,GIU!$R15:$U15)+SUMIF(GIU!$G$158:$J$158,BW$111,GIU!$W15:$Z15)</f>
        <v>0</v>
      </c>
      <c r="BX273" s="446">
        <f>SUMIF(GIU!$G$158:$J$158,BX$111,GIU!$R15:$U15)+SUMIF(GIU!$G$158:$J$158,BX$111,GIU!$W15:$Z15)</f>
        <v>0</v>
      </c>
      <c r="BY273" s="446">
        <f>SUMIF(GIU!$G$158:$J$158,BY$111,GIU!$R15:$U15)+SUMIF(GIU!$G$158:$J$158,BY$111,GIU!$W15:$Z15)</f>
        <v>0</v>
      </c>
      <c r="BZ273" s="446">
        <f>SUMIF(GIU!$G$158:$J$158,BZ$111,GIU!$R15:$U15)+SUMIF(GIU!$G$158:$J$158,BZ$111,GIU!$W15:$Z15)</f>
        <v>0</v>
      </c>
      <c r="CA273" s="446">
        <f>SUMIF(GIU!$G$158:$J$158,CA$111,GIU!$R15:$U15)+SUMIF(GIU!$G$158:$J$158,CA$111,GIU!$W15:$Z15)</f>
        <v>0</v>
      </c>
      <c r="CB273" s="448">
        <f>SUMIF(GIU!$G$158:$J$158,CB$111,GIU!$R15:$U15)+SUMIF(GIU!$G$158:$J$158,CB$111,GIU!$W15:$Z15)</f>
        <v>0</v>
      </c>
      <c r="CC273" s="571"/>
      <c r="CD273" s="448"/>
      <c r="CE273" s="92">
        <f t="shared" si="261"/>
        <v>0</v>
      </c>
      <c r="CF273" s="92">
        <f t="shared" si="262"/>
        <v>0</v>
      </c>
      <c r="CG273" s="151" t="str">
        <f t="shared" si="248"/>
        <v/>
      </c>
      <c r="CH273" s="92">
        <f t="shared" si="251"/>
        <v>0</v>
      </c>
      <c r="CI273" s="92" t="str">
        <f t="shared" si="263"/>
        <v/>
      </c>
      <c r="CJ273" s="1100">
        <f>GIU!AM15</f>
        <v>0</v>
      </c>
      <c r="CK273" s="445">
        <f>SUMIF(GIU!$G$155:$J$155,CK$112,GIU!$AN15:$AQ15)</f>
        <v>0</v>
      </c>
      <c r="CL273" s="446">
        <f>SUMIF(GIU!$G$155:$J$155,CL$112,GIU!$AN15:$AQ15)</f>
        <v>0</v>
      </c>
      <c r="CM273" s="447">
        <f>SUMIF(GIU!$G$155:$J$155,CM$112,GIU!$AN15:$AQ15)</f>
        <v>0</v>
      </c>
      <c r="CN273" s="448">
        <f>SUMIF(GIU!$G$155:$J$155,CN$112,GIU!$AN15:$AQ15)</f>
        <v>0</v>
      </c>
      <c r="CO273" s="1100">
        <f>GIU!AS15</f>
        <v>0</v>
      </c>
      <c r="CP273" s="445">
        <f>GIU!AT15</f>
        <v>0</v>
      </c>
      <c r="CQ273" s="446">
        <f>GIU!AU15</f>
        <v>0</v>
      </c>
      <c r="CR273" s="447">
        <f>GIU!AV15</f>
        <v>0</v>
      </c>
      <c r="CS273" s="448">
        <f>GIU!AW15</f>
        <v>0</v>
      </c>
      <c r="CT273" s="1100">
        <f>GIU!AY15</f>
        <v>0</v>
      </c>
      <c r="CU273" s="2"/>
    </row>
    <row r="274" spans="1:99" ht="14.25" hidden="1" customHeight="1" x14ac:dyDescent="0.2">
      <c r="A274" s="2"/>
      <c r="B274" s="151">
        <f t="shared" si="252"/>
        <v>45452</v>
      </c>
      <c r="C274" s="223">
        <f>IF(AND(E274&gt;(E$496-1),E274&lt;(I$496+1)),W$485,IF(ISERROR(HLOOKUP(E274,$E$489:$L$489,1,FALSE)),HLOOKUP(WEEKDAY(E274,2),IMPOSTAZIONI!$C$51:$P$56,6,FALSE),$W$484))</f>
        <v>0</v>
      </c>
      <c r="D274" s="103" t="str">
        <f t="shared" si="253"/>
        <v/>
      </c>
      <c r="E274" s="2380">
        <f t="shared" si="264"/>
        <v>45452</v>
      </c>
      <c r="F274" s="2381"/>
      <c r="G274" s="2325" t="str">
        <f>GIU!E16</f>
        <v xml:space="preserve">attiva trim.  </v>
      </c>
      <c r="H274" s="2326"/>
      <c r="I274" s="2327"/>
      <c r="J274" s="479" t="str">
        <f t="shared" si="249"/>
        <v/>
      </c>
      <c r="K274" s="480"/>
      <c r="L274" s="2321">
        <f t="shared" si="265"/>
        <v>23</v>
      </c>
      <c r="M274" s="2322"/>
      <c r="N274" s="478"/>
      <c r="O274" s="478"/>
      <c r="P274" s="478"/>
      <c r="Q274" s="2315">
        <f t="shared" si="254"/>
        <v>45452</v>
      </c>
      <c r="R274" s="2315"/>
      <c r="S274" s="478"/>
      <c r="T274" s="140">
        <f t="shared" si="255"/>
        <v>1</v>
      </c>
      <c r="U274" s="478"/>
      <c r="V274" s="478"/>
      <c r="W274" s="478"/>
      <c r="X274" s="478"/>
      <c r="Y274" s="478"/>
      <c r="Z274" s="478"/>
      <c r="AA274" s="478"/>
      <c r="AB274" s="478"/>
      <c r="AC274" s="478"/>
      <c r="AD274" s="478"/>
      <c r="AE274" s="478"/>
      <c r="AF274" s="478"/>
      <c r="AG274" s="140">
        <f t="shared" si="256"/>
        <v>0</v>
      </c>
      <c r="AH274" s="92" t="str">
        <f t="shared" si="257"/>
        <v/>
      </c>
      <c r="AI274" s="131">
        <f t="shared" si="258"/>
        <v>0</v>
      </c>
      <c r="AJ274" s="2"/>
      <c r="AK274" s="92">
        <f>IF(G274=G$481,0,IF(OR(G274&lt;&gt;0,CJ274&lt;&gt;0,C274="L"),COUNTIF(AK$114:AK273,"&gt;0")+1,0))</f>
        <v>0</v>
      </c>
      <c r="AL274" s="92" t="str">
        <f t="shared" si="259"/>
        <v/>
      </c>
      <c r="AM274" s="92" t="str">
        <f t="shared" si="260"/>
        <v/>
      </c>
      <c r="AN274" s="131">
        <f t="shared" si="250"/>
        <v>0</v>
      </c>
      <c r="AO274" s="447">
        <f>SUM(GIU!W16:Z16)</f>
        <v>0</v>
      </c>
      <c r="AP274" s="445">
        <f>SUMIF(GIU!$G$155:$J$155,AP$112,GIU!$R16:$U16)</f>
        <v>0</v>
      </c>
      <c r="AQ274" s="446">
        <f>SUMIF(GIU!$G$155:$J$155,AQ$112,GIU!$R16:$U16)</f>
        <v>0</v>
      </c>
      <c r="AR274" s="447">
        <f>SUMIF(GIU!$G$155:$J$155,AR$112,GIU!$R16:$U16)</f>
        <v>0</v>
      </c>
      <c r="AS274" s="448">
        <f>SUMIF(GIU!$G$155:$J$155,AS$112,GIU!$R16:$U16)</f>
        <v>0</v>
      </c>
      <c r="AT274" s="449">
        <f>GIU!AG16</f>
        <v>0</v>
      </c>
      <c r="AU274" s="445">
        <f>GIU!AH16</f>
        <v>0</v>
      </c>
      <c r="AV274" s="446">
        <f>GIU!AI16</f>
        <v>0</v>
      </c>
      <c r="AW274" s="447">
        <f>GIU!AJ16</f>
        <v>0</v>
      </c>
      <c r="AX274" s="448">
        <f>GIU!AK16</f>
        <v>0</v>
      </c>
      <c r="AY274" s="445">
        <f>SUMIF(GIU!$G$152:$J$152,"&gt;0",GIU!$W16:$Z16)</f>
        <v>0</v>
      </c>
      <c r="AZ274" s="1063">
        <f>SUM(GIU!AB16:AE16)</f>
        <v>0</v>
      </c>
      <c r="BA274" s="445">
        <f>SUMIF(GIU!$G$159:$J$159,BA$111,GIU!$R16:$U16)+SUMIF(GIU!$G$159:$J$159,BA$111,GIU!$W16:$Z16)</f>
        <v>0</v>
      </c>
      <c r="BB274" s="446">
        <f>SUMIF(GIU!$G$159:$J$159,BB$111,GIU!$R16:$U16)+SUMIF(GIU!$G$159:$J$159,BB$111,GIU!$W16:$Z16)</f>
        <v>0</v>
      </c>
      <c r="BC274" s="446">
        <f>SUMIF(GIU!$G$159:$J$159,BC$111,GIU!$R16:$U16)+SUMIF(GIU!$G$159:$J$159,BC$111,GIU!$W16:$Z16)</f>
        <v>0</v>
      </c>
      <c r="BD274" s="446">
        <f>SUMIF(GIU!$G$159:$J$159,BD$111,GIU!$R16:$U16)+SUMIF(GIU!$G$159:$J$159,BD$111,GIU!$W16:$Z16)</f>
        <v>0</v>
      </c>
      <c r="BE274" s="446">
        <f>SUMIF(GIU!$G$159:$J$159,BE$111,GIU!$R16:$U16)+SUMIF(GIU!$G$159:$J$159,BE$111,GIU!$W16:$Z16)</f>
        <v>0</v>
      </c>
      <c r="BF274" s="446">
        <f>SUMIF(GIU!$G$159:$J$159,BF$111,GIU!$R16:$U16)+SUMIF(GIU!$G$159:$J$159,BF$111,GIU!$W16:$Z16)</f>
        <v>0</v>
      </c>
      <c r="BG274" s="448">
        <f>SUMIF(GIU!$G$159:$J$159,BG$111,GIU!$R16:$U16)+SUMIF(GIU!$G$159:$J$159,BG$111,GIU!$W16:$Z16)</f>
        <v>0</v>
      </c>
      <c r="BH274" s="571"/>
      <c r="BI274" s="448"/>
      <c r="BJ274" s="470"/>
      <c r="BK274" s="445">
        <f>SUMIF(GIU!$G$157:$J$157,BK$111,GIU!$R16:$U16)+SUMIF(GIU!$G$157:$J$157,BK$111,GIU!$W16:$Z16)</f>
        <v>0</v>
      </c>
      <c r="BL274" s="446">
        <f>SUMIF(GIU!$G$157:$J$157,BL$111,GIU!$R16:$U16)+SUMIF(GIU!$G$157:$J$157,BL$111,GIU!$W16:$Z16)</f>
        <v>0</v>
      </c>
      <c r="BM274" s="446">
        <f>SUMIF(GIU!$G$157:$J$157,BM$111,GIU!$R16:$U16)+SUMIF(GIU!$G$157:$J$157,BM$111,GIU!$W16:$Z16)</f>
        <v>0</v>
      </c>
      <c r="BN274" s="446">
        <f>SUMIF(GIU!$G$157:$J$157,BN$111,GIU!$R16:$U16)+SUMIF(GIU!$G$157:$J$157,BN$111,GIU!$W16:$Z16)</f>
        <v>0</v>
      </c>
      <c r="BO274" s="446">
        <f>SUMIF(GIU!$G$157:$J$157,BO$111,GIU!$R16:$U16)+SUMIF(GIU!$G$157:$J$157,BO$111,GIU!$W16:$Z16)</f>
        <v>0</v>
      </c>
      <c r="BP274" s="446">
        <f>SUMIF(GIU!$G$157:$J$157,BP$111,GIU!$R16:$U16)+SUMIF(GIU!$G$157:$J$157,BP$111,GIU!$W16:$Z16)</f>
        <v>0</v>
      </c>
      <c r="BQ274" s="448">
        <f>SUMIF(GIU!$G$157:$J$157,BQ$111,GIU!$R16:$U16)+SUMIF(GIU!$G$157:$J$157,BQ$111,GIU!$W16:$Z16)</f>
        <v>0</v>
      </c>
      <c r="BR274" s="571"/>
      <c r="BS274" s="446"/>
      <c r="BT274" s="448"/>
      <c r="BU274" s="470"/>
      <c r="BV274" s="445">
        <f>SUMIF(GIU!$G$158:$J$158,BV$111,GIU!$R16:$U16)+SUMIF(GIU!$G$158:$J$158,BV$111,GIU!$W16:$Z16)</f>
        <v>0</v>
      </c>
      <c r="BW274" s="446">
        <f>SUMIF(GIU!$G$158:$J$158,BW$111,GIU!$R16:$U16)+SUMIF(GIU!$G$158:$J$158,BW$111,GIU!$W16:$Z16)</f>
        <v>0</v>
      </c>
      <c r="BX274" s="446">
        <f>SUMIF(GIU!$G$158:$J$158,BX$111,GIU!$R16:$U16)+SUMIF(GIU!$G$158:$J$158,BX$111,GIU!$W16:$Z16)</f>
        <v>0</v>
      </c>
      <c r="BY274" s="446">
        <f>SUMIF(GIU!$G$158:$J$158,BY$111,GIU!$R16:$U16)+SUMIF(GIU!$G$158:$J$158,BY$111,GIU!$W16:$Z16)</f>
        <v>0</v>
      </c>
      <c r="BZ274" s="446">
        <f>SUMIF(GIU!$G$158:$J$158,BZ$111,GIU!$R16:$U16)+SUMIF(GIU!$G$158:$J$158,BZ$111,GIU!$W16:$Z16)</f>
        <v>0</v>
      </c>
      <c r="CA274" s="446">
        <f>SUMIF(GIU!$G$158:$J$158,CA$111,GIU!$R16:$U16)+SUMIF(GIU!$G$158:$J$158,CA$111,GIU!$W16:$Z16)</f>
        <v>0</v>
      </c>
      <c r="CB274" s="448">
        <f>SUMIF(GIU!$G$158:$J$158,CB$111,GIU!$R16:$U16)+SUMIF(GIU!$G$158:$J$158,CB$111,GIU!$W16:$Z16)</f>
        <v>0</v>
      </c>
      <c r="CC274" s="571"/>
      <c r="CD274" s="448"/>
      <c r="CE274" s="92">
        <f t="shared" si="261"/>
        <v>0</v>
      </c>
      <c r="CF274" s="92">
        <f t="shared" si="262"/>
        <v>0</v>
      </c>
      <c r="CG274" s="151" t="str">
        <f t="shared" si="248"/>
        <v/>
      </c>
      <c r="CH274" s="92">
        <f t="shared" si="251"/>
        <v>0</v>
      </c>
      <c r="CI274" s="92" t="str">
        <f t="shared" si="263"/>
        <v/>
      </c>
      <c r="CJ274" s="1100">
        <f>GIU!AM16</f>
        <v>0</v>
      </c>
      <c r="CK274" s="445">
        <f>SUMIF(GIU!$G$155:$J$155,CK$112,GIU!$AN16:$AQ16)</f>
        <v>0</v>
      </c>
      <c r="CL274" s="446">
        <f>SUMIF(GIU!$G$155:$J$155,CL$112,GIU!$AN16:$AQ16)</f>
        <v>0</v>
      </c>
      <c r="CM274" s="447">
        <f>SUMIF(GIU!$G$155:$J$155,CM$112,GIU!$AN16:$AQ16)</f>
        <v>0</v>
      </c>
      <c r="CN274" s="448">
        <f>SUMIF(GIU!$G$155:$J$155,CN$112,GIU!$AN16:$AQ16)</f>
        <v>0</v>
      </c>
      <c r="CO274" s="1100">
        <f>GIU!AS16</f>
        <v>0</v>
      </c>
      <c r="CP274" s="445">
        <f>GIU!AT16</f>
        <v>0</v>
      </c>
      <c r="CQ274" s="446">
        <f>GIU!AU16</f>
        <v>0</v>
      </c>
      <c r="CR274" s="447">
        <f>GIU!AV16</f>
        <v>0</v>
      </c>
      <c r="CS274" s="448">
        <f>GIU!AW16</f>
        <v>0</v>
      </c>
      <c r="CT274" s="1100">
        <f>GIU!AY16</f>
        <v>0</v>
      </c>
      <c r="CU274" s="2"/>
    </row>
    <row r="275" spans="1:99" ht="14.25" hidden="1" customHeight="1" x14ac:dyDescent="0.2">
      <c r="A275" s="2"/>
      <c r="B275" s="151">
        <f t="shared" si="252"/>
        <v>45453</v>
      </c>
      <c r="C275" s="223">
        <f>IF(AND(E275&gt;(E$496-1),E275&lt;(I$496+1)),W$485,IF(ISERROR(HLOOKUP(E275,$E$489:$L$489,1,FALSE)),HLOOKUP(WEEKDAY(E275,2),IMPOSTAZIONI!$C$51:$P$56,6,FALSE),$W$484))</f>
        <v>0</v>
      </c>
      <c r="D275" s="103" t="str">
        <f t="shared" si="253"/>
        <v/>
      </c>
      <c r="E275" s="2380">
        <f t="shared" si="264"/>
        <v>45453</v>
      </c>
      <c r="F275" s="2381"/>
      <c r="G275" s="2325" t="str">
        <f>GIU!E17</f>
        <v xml:space="preserve">attiva trim.  </v>
      </c>
      <c r="H275" s="2326"/>
      <c r="I275" s="2327"/>
      <c r="J275" s="479" t="str">
        <f t="shared" si="249"/>
        <v/>
      </c>
      <c r="K275" s="480"/>
      <c r="L275" s="2323">
        <f t="shared" si="265"/>
        <v>24</v>
      </c>
      <c r="M275" s="2324"/>
      <c r="N275" s="478"/>
      <c r="O275" s="478"/>
      <c r="P275" s="478"/>
      <c r="Q275" s="2315">
        <f t="shared" si="254"/>
        <v>45453</v>
      </c>
      <c r="R275" s="2315"/>
      <c r="S275" s="478"/>
      <c r="T275" s="140">
        <f t="shared" si="255"/>
        <v>1</v>
      </c>
      <c r="U275" s="478"/>
      <c r="V275" s="478"/>
      <c r="W275" s="478"/>
      <c r="X275" s="478"/>
      <c r="Y275" s="478"/>
      <c r="Z275" s="478"/>
      <c r="AA275" s="478"/>
      <c r="AB275" s="478"/>
      <c r="AC275" s="478"/>
      <c r="AD275" s="478"/>
      <c r="AE275" s="478"/>
      <c r="AF275" s="478"/>
      <c r="AG275" s="140">
        <f t="shared" si="256"/>
        <v>0</v>
      </c>
      <c r="AH275" s="92" t="str">
        <f t="shared" si="257"/>
        <v/>
      </c>
      <c r="AI275" s="131">
        <f t="shared" si="258"/>
        <v>0</v>
      </c>
      <c r="AJ275" s="2"/>
      <c r="AK275" s="92">
        <f>IF(G275=G$481,0,IF(OR(G275&lt;&gt;0,CJ275&lt;&gt;0,C275="L"),COUNTIF(AK$114:AK274,"&gt;0")+1,0))</f>
        <v>0</v>
      </c>
      <c r="AL275" s="92" t="str">
        <f t="shared" si="259"/>
        <v/>
      </c>
      <c r="AM275" s="92" t="str">
        <f t="shared" si="260"/>
        <v/>
      </c>
      <c r="AN275" s="131">
        <f t="shared" si="250"/>
        <v>0</v>
      </c>
      <c r="AO275" s="447">
        <f>SUM(GIU!W17:Z17)</f>
        <v>0</v>
      </c>
      <c r="AP275" s="445">
        <f>SUMIF(GIU!$G$155:$J$155,AP$112,GIU!$R17:$U17)</f>
        <v>0</v>
      </c>
      <c r="AQ275" s="446">
        <f>SUMIF(GIU!$G$155:$J$155,AQ$112,GIU!$R17:$U17)</f>
        <v>0</v>
      </c>
      <c r="AR275" s="447">
        <f>SUMIF(GIU!$G$155:$J$155,AR$112,GIU!$R17:$U17)</f>
        <v>0</v>
      </c>
      <c r="AS275" s="448">
        <f>SUMIF(GIU!$G$155:$J$155,AS$112,GIU!$R17:$U17)</f>
        <v>0</v>
      </c>
      <c r="AT275" s="449">
        <f>GIU!AG17</f>
        <v>0</v>
      </c>
      <c r="AU275" s="445">
        <f>GIU!AH17</f>
        <v>0</v>
      </c>
      <c r="AV275" s="446">
        <f>GIU!AI17</f>
        <v>0</v>
      </c>
      <c r="AW275" s="447">
        <f>GIU!AJ17</f>
        <v>0</v>
      </c>
      <c r="AX275" s="448">
        <f>GIU!AK17</f>
        <v>0</v>
      </c>
      <c r="AY275" s="445">
        <f>SUMIF(GIU!$G$152:$J$152,"&gt;0",GIU!$W17:$Z17)</f>
        <v>0</v>
      </c>
      <c r="AZ275" s="1063">
        <f>SUM(GIU!AB17:AE17)</f>
        <v>0</v>
      </c>
      <c r="BA275" s="445">
        <f>SUMIF(GIU!$G$159:$J$159,BA$111,GIU!$R17:$U17)+SUMIF(GIU!$G$159:$J$159,BA$111,GIU!$W17:$Z17)</f>
        <v>0</v>
      </c>
      <c r="BB275" s="446">
        <f>SUMIF(GIU!$G$159:$J$159,BB$111,GIU!$R17:$U17)+SUMIF(GIU!$G$159:$J$159,BB$111,GIU!$W17:$Z17)</f>
        <v>0</v>
      </c>
      <c r="BC275" s="446">
        <f>SUMIF(GIU!$G$159:$J$159,BC$111,GIU!$R17:$U17)+SUMIF(GIU!$G$159:$J$159,BC$111,GIU!$W17:$Z17)</f>
        <v>0</v>
      </c>
      <c r="BD275" s="446">
        <f>SUMIF(GIU!$G$159:$J$159,BD$111,GIU!$R17:$U17)+SUMIF(GIU!$G$159:$J$159,BD$111,GIU!$W17:$Z17)</f>
        <v>0</v>
      </c>
      <c r="BE275" s="446">
        <f>SUMIF(GIU!$G$159:$J$159,BE$111,GIU!$R17:$U17)+SUMIF(GIU!$G$159:$J$159,BE$111,GIU!$W17:$Z17)</f>
        <v>0</v>
      </c>
      <c r="BF275" s="446">
        <f>SUMIF(GIU!$G$159:$J$159,BF$111,GIU!$R17:$U17)+SUMIF(GIU!$G$159:$J$159,BF$111,GIU!$W17:$Z17)</f>
        <v>0</v>
      </c>
      <c r="BG275" s="448">
        <f>SUMIF(GIU!$G$159:$J$159,BG$111,GIU!$R17:$U17)+SUMIF(GIU!$G$159:$J$159,BG$111,GIU!$W17:$Z17)</f>
        <v>0</v>
      </c>
      <c r="BH275" s="571"/>
      <c r="BI275" s="448"/>
      <c r="BJ275" s="470"/>
      <c r="BK275" s="445">
        <f>SUMIF(GIU!$G$157:$J$157,BK$111,GIU!$R17:$U17)+SUMIF(GIU!$G$157:$J$157,BK$111,GIU!$W17:$Z17)</f>
        <v>0</v>
      </c>
      <c r="BL275" s="446">
        <f>SUMIF(GIU!$G$157:$J$157,BL$111,GIU!$R17:$U17)+SUMIF(GIU!$G$157:$J$157,BL$111,GIU!$W17:$Z17)</f>
        <v>0</v>
      </c>
      <c r="BM275" s="446">
        <f>SUMIF(GIU!$G$157:$J$157,BM$111,GIU!$R17:$U17)+SUMIF(GIU!$G$157:$J$157,BM$111,GIU!$W17:$Z17)</f>
        <v>0</v>
      </c>
      <c r="BN275" s="446">
        <f>SUMIF(GIU!$G$157:$J$157,BN$111,GIU!$R17:$U17)+SUMIF(GIU!$G$157:$J$157,BN$111,GIU!$W17:$Z17)</f>
        <v>0</v>
      </c>
      <c r="BO275" s="446">
        <f>SUMIF(GIU!$G$157:$J$157,BO$111,GIU!$R17:$U17)+SUMIF(GIU!$G$157:$J$157,BO$111,GIU!$W17:$Z17)</f>
        <v>0</v>
      </c>
      <c r="BP275" s="446">
        <f>SUMIF(GIU!$G$157:$J$157,BP$111,GIU!$R17:$U17)+SUMIF(GIU!$G$157:$J$157,BP$111,GIU!$W17:$Z17)</f>
        <v>0</v>
      </c>
      <c r="BQ275" s="448">
        <f>SUMIF(GIU!$G$157:$J$157,BQ$111,GIU!$R17:$U17)+SUMIF(GIU!$G$157:$J$157,BQ$111,GIU!$W17:$Z17)</f>
        <v>0</v>
      </c>
      <c r="BR275" s="571"/>
      <c r="BS275" s="446"/>
      <c r="BT275" s="448"/>
      <c r="BU275" s="470"/>
      <c r="BV275" s="445">
        <f>SUMIF(GIU!$G$158:$J$158,BV$111,GIU!$R17:$U17)+SUMIF(GIU!$G$158:$J$158,BV$111,GIU!$W17:$Z17)</f>
        <v>0</v>
      </c>
      <c r="BW275" s="446">
        <f>SUMIF(GIU!$G$158:$J$158,BW$111,GIU!$R17:$U17)+SUMIF(GIU!$G$158:$J$158,BW$111,GIU!$W17:$Z17)</f>
        <v>0</v>
      </c>
      <c r="BX275" s="446">
        <f>SUMIF(GIU!$G$158:$J$158,BX$111,GIU!$R17:$U17)+SUMIF(GIU!$G$158:$J$158,BX$111,GIU!$W17:$Z17)</f>
        <v>0</v>
      </c>
      <c r="BY275" s="446">
        <f>SUMIF(GIU!$G$158:$J$158,BY$111,GIU!$R17:$U17)+SUMIF(GIU!$G$158:$J$158,BY$111,GIU!$W17:$Z17)</f>
        <v>0</v>
      </c>
      <c r="BZ275" s="446">
        <f>SUMIF(GIU!$G$158:$J$158,BZ$111,GIU!$R17:$U17)+SUMIF(GIU!$G$158:$J$158,BZ$111,GIU!$W17:$Z17)</f>
        <v>0</v>
      </c>
      <c r="CA275" s="446">
        <f>SUMIF(GIU!$G$158:$J$158,CA$111,GIU!$R17:$U17)+SUMIF(GIU!$G$158:$J$158,CA$111,GIU!$W17:$Z17)</f>
        <v>0</v>
      </c>
      <c r="CB275" s="448">
        <f>SUMIF(GIU!$G$158:$J$158,CB$111,GIU!$R17:$U17)+SUMIF(GIU!$G$158:$J$158,CB$111,GIU!$W17:$Z17)</f>
        <v>0</v>
      </c>
      <c r="CC275" s="571"/>
      <c r="CD275" s="448"/>
      <c r="CE275" s="92">
        <f t="shared" si="261"/>
        <v>0</v>
      </c>
      <c r="CF275" s="92">
        <f t="shared" si="262"/>
        <v>0</v>
      </c>
      <c r="CG275" s="151" t="str">
        <f t="shared" si="248"/>
        <v/>
      </c>
      <c r="CH275" s="92">
        <f t="shared" si="251"/>
        <v>0</v>
      </c>
      <c r="CI275" s="92" t="str">
        <f t="shared" si="263"/>
        <v/>
      </c>
      <c r="CJ275" s="1100">
        <f>GIU!AM17</f>
        <v>0</v>
      </c>
      <c r="CK275" s="445">
        <f>SUMIF(GIU!$G$155:$J$155,CK$112,GIU!$AN17:$AQ17)</f>
        <v>0</v>
      </c>
      <c r="CL275" s="446">
        <f>SUMIF(GIU!$G$155:$J$155,CL$112,GIU!$AN17:$AQ17)</f>
        <v>0</v>
      </c>
      <c r="CM275" s="447">
        <f>SUMIF(GIU!$G$155:$J$155,CM$112,GIU!$AN17:$AQ17)</f>
        <v>0</v>
      </c>
      <c r="CN275" s="448">
        <f>SUMIF(GIU!$G$155:$J$155,CN$112,GIU!$AN17:$AQ17)</f>
        <v>0</v>
      </c>
      <c r="CO275" s="1100">
        <f>GIU!AS17</f>
        <v>0</v>
      </c>
      <c r="CP275" s="445">
        <f>GIU!AT17</f>
        <v>0</v>
      </c>
      <c r="CQ275" s="446">
        <f>GIU!AU17</f>
        <v>0</v>
      </c>
      <c r="CR275" s="447">
        <f>GIU!AV17</f>
        <v>0</v>
      </c>
      <c r="CS275" s="448">
        <f>GIU!AW17</f>
        <v>0</v>
      </c>
      <c r="CT275" s="1100">
        <f>GIU!AY17</f>
        <v>0</v>
      </c>
      <c r="CU275" s="2"/>
    </row>
    <row r="276" spans="1:99" ht="14.25" hidden="1" customHeight="1" x14ac:dyDescent="0.2">
      <c r="A276" s="2"/>
      <c r="B276" s="151">
        <f t="shared" si="252"/>
        <v>45454</v>
      </c>
      <c r="C276" s="223">
        <f>IF(AND(E276&gt;(E$496-1),E276&lt;(I$496+1)),W$485,IF(ISERROR(HLOOKUP(E276,$E$489:$L$489,1,FALSE)),HLOOKUP(WEEKDAY(E276,2),IMPOSTAZIONI!$C$51:$P$56,6,FALSE),$W$484))</f>
        <v>0</v>
      </c>
      <c r="D276" s="103" t="str">
        <f t="shared" si="253"/>
        <v/>
      </c>
      <c r="E276" s="2380">
        <f t="shared" si="264"/>
        <v>45454</v>
      </c>
      <c r="F276" s="2381"/>
      <c r="G276" s="2325" t="str">
        <f>GIU!E18</f>
        <v xml:space="preserve">attiva trim.  </v>
      </c>
      <c r="H276" s="2326"/>
      <c r="I276" s="2327"/>
      <c r="J276" s="479" t="str">
        <f t="shared" si="249"/>
        <v/>
      </c>
      <c r="K276" s="480"/>
      <c r="L276" s="2319">
        <f t="shared" si="265"/>
        <v>24</v>
      </c>
      <c r="M276" s="2320"/>
      <c r="N276" s="478"/>
      <c r="O276" s="478"/>
      <c r="P276" s="478"/>
      <c r="Q276" s="2315">
        <f t="shared" si="254"/>
        <v>45454</v>
      </c>
      <c r="R276" s="2315"/>
      <c r="S276" s="478"/>
      <c r="T276" s="140">
        <f t="shared" si="255"/>
        <v>1</v>
      </c>
      <c r="U276" s="478"/>
      <c r="V276" s="478"/>
      <c r="W276" s="478"/>
      <c r="X276" s="478"/>
      <c r="Y276" s="478"/>
      <c r="Z276" s="478"/>
      <c r="AA276" s="478"/>
      <c r="AB276" s="478"/>
      <c r="AC276" s="478"/>
      <c r="AD276" s="478"/>
      <c r="AE276" s="478"/>
      <c r="AF276" s="478"/>
      <c r="AG276" s="140">
        <f t="shared" si="256"/>
        <v>0</v>
      </c>
      <c r="AH276" s="92" t="str">
        <f t="shared" si="257"/>
        <v/>
      </c>
      <c r="AI276" s="131">
        <f t="shared" si="258"/>
        <v>0</v>
      </c>
      <c r="AJ276" s="2"/>
      <c r="AK276" s="92">
        <f>IF(G276=G$481,0,IF(OR(G276&lt;&gt;0,CJ276&lt;&gt;0,C276="L"),COUNTIF(AK$114:AK275,"&gt;0")+1,0))</f>
        <v>0</v>
      </c>
      <c r="AL276" s="92" t="str">
        <f t="shared" si="259"/>
        <v/>
      </c>
      <c r="AM276" s="92" t="str">
        <f t="shared" si="260"/>
        <v/>
      </c>
      <c r="AN276" s="131">
        <f t="shared" si="250"/>
        <v>0</v>
      </c>
      <c r="AO276" s="447">
        <f>SUM(GIU!W18:Z18)</f>
        <v>0</v>
      </c>
      <c r="AP276" s="445">
        <f>SUMIF(GIU!$G$155:$J$155,AP$112,GIU!$R18:$U18)</f>
        <v>0</v>
      </c>
      <c r="AQ276" s="446">
        <f>SUMIF(GIU!$G$155:$J$155,AQ$112,GIU!$R18:$U18)</f>
        <v>0</v>
      </c>
      <c r="AR276" s="447">
        <f>SUMIF(GIU!$G$155:$J$155,AR$112,GIU!$R18:$U18)</f>
        <v>0</v>
      </c>
      <c r="AS276" s="448">
        <f>SUMIF(GIU!$G$155:$J$155,AS$112,GIU!$R18:$U18)</f>
        <v>0</v>
      </c>
      <c r="AT276" s="449">
        <f>GIU!AG18</f>
        <v>0</v>
      </c>
      <c r="AU276" s="445">
        <f>GIU!AH18</f>
        <v>0</v>
      </c>
      <c r="AV276" s="446">
        <f>GIU!AI18</f>
        <v>0</v>
      </c>
      <c r="AW276" s="447">
        <f>GIU!AJ18</f>
        <v>0</v>
      </c>
      <c r="AX276" s="448">
        <f>GIU!AK18</f>
        <v>0</v>
      </c>
      <c r="AY276" s="445">
        <f>SUMIF(GIU!$G$152:$J$152,"&gt;0",GIU!$W18:$Z18)</f>
        <v>0</v>
      </c>
      <c r="AZ276" s="1063">
        <f>SUM(GIU!AB18:AE18)</f>
        <v>0</v>
      </c>
      <c r="BA276" s="445">
        <f>SUMIF(GIU!$G$159:$J$159,BA$111,GIU!$R18:$U18)+SUMIF(GIU!$G$159:$J$159,BA$111,GIU!$W18:$Z18)</f>
        <v>0</v>
      </c>
      <c r="BB276" s="446">
        <f>SUMIF(GIU!$G$159:$J$159,BB$111,GIU!$R18:$U18)+SUMIF(GIU!$G$159:$J$159,BB$111,GIU!$W18:$Z18)</f>
        <v>0</v>
      </c>
      <c r="BC276" s="446">
        <f>SUMIF(GIU!$G$159:$J$159,BC$111,GIU!$R18:$U18)+SUMIF(GIU!$G$159:$J$159,BC$111,GIU!$W18:$Z18)</f>
        <v>0</v>
      </c>
      <c r="BD276" s="446">
        <f>SUMIF(GIU!$G$159:$J$159,BD$111,GIU!$R18:$U18)+SUMIF(GIU!$G$159:$J$159,BD$111,GIU!$W18:$Z18)</f>
        <v>0</v>
      </c>
      <c r="BE276" s="446">
        <f>SUMIF(GIU!$G$159:$J$159,BE$111,GIU!$R18:$U18)+SUMIF(GIU!$G$159:$J$159,BE$111,GIU!$W18:$Z18)</f>
        <v>0</v>
      </c>
      <c r="BF276" s="446">
        <f>SUMIF(GIU!$G$159:$J$159,BF$111,GIU!$R18:$U18)+SUMIF(GIU!$G$159:$J$159,BF$111,GIU!$W18:$Z18)</f>
        <v>0</v>
      </c>
      <c r="BG276" s="448">
        <f>SUMIF(GIU!$G$159:$J$159,BG$111,GIU!$R18:$U18)+SUMIF(GIU!$G$159:$J$159,BG$111,GIU!$W18:$Z18)</f>
        <v>0</v>
      </c>
      <c r="BH276" s="571"/>
      <c r="BI276" s="448"/>
      <c r="BJ276" s="470"/>
      <c r="BK276" s="445">
        <f>SUMIF(GIU!$G$157:$J$157,BK$111,GIU!$R18:$U18)+SUMIF(GIU!$G$157:$J$157,BK$111,GIU!$W18:$Z18)</f>
        <v>0</v>
      </c>
      <c r="BL276" s="446">
        <f>SUMIF(GIU!$G$157:$J$157,BL$111,GIU!$R18:$U18)+SUMIF(GIU!$G$157:$J$157,BL$111,GIU!$W18:$Z18)</f>
        <v>0</v>
      </c>
      <c r="BM276" s="446">
        <f>SUMIF(GIU!$G$157:$J$157,BM$111,GIU!$R18:$U18)+SUMIF(GIU!$G$157:$J$157,BM$111,GIU!$W18:$Z18)</f>
        <v>0</v>
      </c>
      <c r="BN276" s="446">
        <f>SUMIF(GIU!$G$157:$J$157,BN$111,GIU!$R18:$U18)+SUMIF(GIU!$G$157:$J$157,BN$111,GIU!$W18:$Z18)</f>
        <v>0</v>
      </c>
      <c r="BO276" s="446">
        <f>SUMIF(GIU!$G$157:$J$157,BO$111,GIU!$R18:$U18)+SUMIF(GIU!$G$157:$J$157,BO$111,GIU!$W18:$Z18)</f>
        <v>0</v>
      </c>
      <c r="BP276" s="446">
        <f>SUMIF(GIU!$G$157:$J$157,BP$111,GIU!$R18:$U18)+SUMIF(GIU!$G$157:$J$157,BP$111,GIU!$W18:$Z18)</f>
        <v>0</v>
      </c>
      <c r="BQ276" s="448">
        <f>SUMIF(GIU!$G$157:$J$157,BQ$111,GIU!$R18:$U18)+SUMIF(GIU!$G$157:$J$157,BQ$111,GIU!$W18:$Z18)</f>
        <v>0</v>
      </c>
      <c r="BR276" s="571"/>
      <c r="BS276" s="446"/>
      <c r="BT276" s="448"/>
      <c r="BU276" s="470"/>
      <c r="BV276" s="445">
        <f>SUMIF(GIU!$G$158:$J$158,BV$111,GIU!$R18:$U18)+SUMIF(GIU!$G$158:$J$158,BV$111,GIU!$W18:$Z18)</f>
        <v>0</v>
      </c>
      <c r="BW276" s="446">
        <f>SUMIF(GIU!$G$158:$J$158,BW$111,GIU!$R18:$U18)+SUMIF(GIU!$G$158:$J$158,BW$111,GIU!$W18:$Z18)</f>
        <v>0</v>
      </c>
      <c r="BX276" s="446">
        <f>SUMIF(GIU!$G$158:$J$158,BX$111,GIU!$R18:$U18)+SUMIF(GIU!$G$158:$J$158,BX$111,GIU!$W18:$Z18)</f>
        <v>0</v>
      </c>
      <c r="BY276" s="446">
        <f>SUMIF(GIU!$G$158:$J$158,BY$111,GIU!$R18:$U18)+SUMIF(GIU!$G$158:$J$158,BY$111,GIU!$W18:$Z18)</f>
        <v>0</v>
      </c>
      <c r="BZ276" s="446">
        <f>SUMIF(GIU!$G$158:$J$158,BZ$111,GIU!$R18:$U18)+SUMIF(GIU!$G$158:$J$158,BZ$111,GIU!$W18:$Z18)</f>
        <v>0</v>
      </c>
      <c r="CA276" s="446">
        <f>SUMIF(GIU!$G$158:$J$158,CA$111,GIU!$R18:$U18)+SUMIF(GIU!$G$158:$J$158,CA$111,GIU!$W18:$Z18)</f>
        <v>0</v>
      </c>
      <c r="CB276" s="448">
        <f>SUMIF(GIU!$G$158:$J$158,CB$111,GIU!$R18:$U18)+SUMIF(GIU!$G$158:$J$158,CB$111,GIU!$W18:$Z18)</f>
        <v>0</v>
      </c>
      <c r="CC276" s="571"/>
      <c r="CD276" s="448"/>
      <c r="CE276" s="92">
        <f t="shared" si="261"/>
        <v>0</v>
      </c>
      <c r="CF276" s="92">
        <f t="shared" si="262"/>
        <v>0</v>
      </c>
      <c r="CG276" s="151" t="str">
        <f t="shared" si="248"/>
        <v/>
      </c>
      <c r="CH276" s="92">
        <f t="shared" si="251"/>
        <v>0</v>
      </c>
      <c r="CI276" s="92" t="str">
        <f t="shared" si="263"/>
        <v/>
      </c>
      <c r="CJ276" s="1100">
        <f>GIU!AM18</f>
        <v>0</v>
      </c>
      <c r="CK276" s="445">
        <f>SUMIF(GIU!$G$155:$J$155,CK$112,GIU!$AN18:$AQ18)</f>
        <v>0</v>
      </c>
      <c r="CL276" s="446">
        <f>SUMIF(GIU!$G$155:$J$155,CL$112,GIU!$AN18:$AQ18)</f>
        <v>0</v>
      </c>
      <c r="CM276" s="447">
        <f>SUMIF(GIU!$G$155:$J$155,CM$112,GIU!$AN18:$AQ18)</f>
        <v>0</v>
      </c>
      <c r="CN276" s="448">
        <f>SUMIF(GIU!$G$155:$J$155,CN$112,GIU!$AN18:$AQ18)</f>
        <v>0</v>
      </c>
      <c r="CO276" s="1100">
        <f>GIU!AS18</f>
        <v>0</v>
      </c>
      <c r="CP276" s="445">
        <f>GIU!AT18</f>
        <v>0</v>
      </c>
      <c r="CQ276" s="446">
        <f>GIU!AU18</f>
        <v>0</v>
      </c>
      <c r="CR276" s="447">
        <f>GIU!AV18</f>
        <v>0</v>
      </c>
      <c r="CS276" s="448">
        <f>GIU!AW18</f>
        <v>0</v>
      </c>
      <c r="CT276" s="1100">
        <f>GIU!AY18</f>
        <v>0</v>
      </c>
      <c r="CU276" s="2"/>
    </row>
    <row r="277" spans="1:99" ht="14.25" hidden="1" customHeight="1" x14ac:dyDescent="0.2">
      <c r="A277" s="2"/>
      <c r="B277" s="151">
        <f t="shared" si="252"/>
        <v>45455</v>
      </c>
      <c r="C277" s="223">
        <f>IF(AND(E277&gt;(E$496-1),E277&lt;(I$496+1)),W$485,IF(ISERROR(HLOOKUP(E277,$E$489:$L$489,1,FALSE)),HLOOKUP(WEEKDAY(E277,2),IMPOSTAZIONI!$C$51:$P$56,6,FALSE),$W$484))</f>
        <v>0</v>
      </c>
      <c r="D277" s="103" t="str">
        <f t="shared" si="253"/>
        <v/>
      </c>
      <c r="E277" s="2380">
        <f t="shared" si="264"/>
        <v>45455</v>
      </c>
      <c r="F277" s="2381"/>
      <c r="G277" s="2325" t="str">
        <f>GIU!E19</f>
        <v xml:space="preserve">attiva trim.  </v>
      </c>
      <c r="H277" s="2326"/>
      <c r="I277" s="2327"/>
      <c r="J277" s="479" t="str">
        <f t="shared" si="249"/>
        <v/>
      </c>
      <c r="K277" s="480"/>
      <c r="L277" s="2319">
        <f t="shared" si="265"/>
        <v>24</v>
      </c>
      <c r="M277" s="2320"/>
      <c r="N277" s="478"/>
      <c r="O277" s="478"/>
      <c r="P277" s="478"/>
      <c r="Q277" s="2315">
        <f t="shared" si="254"/>
        <v>45455</v>
      </c>
      <c r="R277" s="2315"/>
      <c r="S277" s="478"/>
      <c r="T277" s="140">
        <f t="shared" si="255"/>
        <v>1</v>
      </c>
      <c r="U277" s="478"/>
      <c r="V277" s="478"/>
      <c r="W277" s="478"/>
      <c r="X277" s="478"/>
      <c r="Y277" s="478"/>
      <c r="Z277" s="478"/>
      <c r="AA277" s="478"/>
      <c r="AB277" s="478"/>
      <c r="AC277" s="478"/>
      <c r="AD277" s="478"/>
      <c r="AE277" s="478"/>
      <c r="AF277" s="478"/>
      <c r="AG277" s="140">
        <f t="shared" si="256"/>
        <v>0</v>
      </c>
      <c r="AH277" s="92" t="str">
        <f t="shared" si="257"/>
        <v/>
      </c>
      <c r="AI277" s="131">
        <f t="shared" si="258"/>
        <v>0</v>
      </c>
      <c r="AJ277" s="2"/>
      <c r="AK277" s="92">
        <f>IF(G277=G$481,0,IF(OR(G277&lt;&gt;0,CJ277&lt;&gt;0,C277="L"),COUNTIF(AK$114:AK276,"&gt;0")+1,0))</f>
        <v>0</v>
      </c>
      <c r="AL277" s="92" t="str">
        <f t="shared" si="259"/>
        <v/>
      </c>
      <c r="AM277" s="92" t="str">
        <f t="shared" si="260"/>
        <v/>
      </c>
      <c r="AN277" s="131">
        <f t="shared" si="250"/>
        <v>0</v>
      </c>
      <c r="AO277" s="447">
        <f>SUM(GIU!W19:Z19)</f>
        <v>0</v>
      </c>
      <c r="AP277" s="445">
        <f>SUMIF(GIU!$G$155:$J$155,AP$112,GIU!$R19:$U19)</f>
        <v>0</v>
      </c>
      <c r="AQ277" s="446">
        <f>SUMIF(GIU!$G$155:$J$155,AQ$112,GIU!$R19:$U19)</f>
        <v>0</v>
      </c>
      <c r="AR277" s="447">
        <f>SUMIF(GIU!$G$155:$J$155,AR$112,GIU!$R19:$U19)</f>
        <v>0</v>
      </c>
      <c r="AS277" s="448">
        <f>SUMIF(GIU!$G$155:$J$155,AS$112,GIU!$R19:$U19)</f>
        <v>0</v>
      </c>
      <c r="AT277" s="449">
        <f>GIU!AG19</f>
        <v>0</v>
      </c>
      <c r="AU277" s="445">
        <f>GIU!AH19</f>
        <v>0</v>
      </c>
      <c r="AV277" s="446">
        <f>GIU!AI19</f>
        <v>0</v>
      </c>
      <c r="AW277" s="447">
        <f>GIU!AJ19</f>
        <v>0</v>
      </c>
      <c r="AX277" s="448">
        <f>GIU!AK19</f>
        <v>0</v>
      </c>
      <c r="AY277" s="445">
        <f>SUMIF(GIU!$G$152:$J$152,"&gt;0",GIU!$W19:$Z19)</f>
        <v>0</v>
      </c>
      <c r="AZ277" s="1063">
        <f>SUM(GIU!AB19:AE19)</f>
        <v>0</v>
      </c>
      <c r="BA277" s="445">
        <f>SUMIF(GIU!$G$159:$J$159,BA$111,GIU!$R19:$U19)+SUMIF(GIU!$G$159:$J$159,BA$111,GIU!$W19:$Z19)</f>
        <v>0</v>
      </c>
      <c r="BB277" s="446">
        <f>SUMIF(GIU!$G$159:$J$159,BB$111,GIU!$R19:$U19)+SUMIF(GIU!$G$159:$J$159,BB$111,GIU!$W19:$Z19)</f>
        <v>0</v>
      </c>
      <c r="BC277" s="446">
        <f>SUMIF(GIU!$G$159:$J$159,BC$111,GIU!$R19:$U19)+SUMIF(GIU!$G$159:$J$159,BC$111,GIU!$W19:$Z19)</f>
        <v>0</v>
      </c>
      <c r="BD277" s="446">
        <f>SUMIF(GIU!$G$159:$J$159,BD$111,GIU!$R19:$U19)+SUMIF(GIU!$G$159:$J$159,BD$111,GIU!$W19:$Z19)</f>
        <v>0</v>
      </c>
      <c r="BE277" s="446">
        <f>SUMIF(GIU!$G$159:$J$159,BE$111,GIU!$R19:$U19)+SUMIF(GIU!$G$159:$J$159,BE$111,GIU!$W19:$Z19)</f>
        <v>0</v>
      </c>
      <c r="BF277" s="446">
        <f>SUMIF(GIU!$G$159:$J$159,BF$111,GIU!$R19:$U19)+SUMIF(GIU!$G$159:$J$159,BF$111,GIU!$W19:$Z19)</f>
        <v>0</v>
      </c>
      <c r="BG277" s="448">
        <f>SUMIF(GIU!$G$159:$J$159,BG$111,GIU!$R19:$U19)+SUMIF(GIU!$G$159:$J$159,BG$111,GIU!$W19:$Z19)</f>
        <v>0</v>
      </c>
      <c r="BH277" s="571"/>
      <c r="BI277" s="448"/>
      <c r="BJ277" s="470"/>
      <c r="BK277" s="445">
        <f>SUMIF(GIU!$G$157:$J$157,BK$111,GIU!$R19:$U19)+SUMIF(GIU!$G$157:$J$157,BK$111,GIU!$W19:$Z19)</f>
        <v>0</v>
      </c>
      <c r="BL277" s="446">
        <f>SUMIF(GIU!$G$157:$J$157,BL$111,GIU!$R19:$U19)+SUMIF(GIU!$G$157:$J$157,BL$111,GIU!$W19:$Z19)</f>
        <v>0</v>
      </c>
      <c r="BM277" s="446">
        <f>SUMIF(GIU!$G$157:$J$157,BM$111,GIU!$R19:$U19)+SUMIF(GIU!$G$157:$J$157,BM$111,GIU!$W19:$Z19)</f>
        <v>0</v>
      </c>
      <c r="BN277" s="446">
        <f>SUMIF(GIU!$G$157:$J$157,BN$111,GIU!$R19:$U19)+SUMIF(GIU!$G$157:$J$157,BN$111,GIU!$W19:$Z19)</f>
        <v>0</v>
      </c>
      <c r="BO277" s="446">
        <f>SUMIF(GIU!$G$157:$J$157,BO$111,GIU!$R19:$U19)+SUMIF(GIU!$G$157:$J$157,BO$111,GIU!$W19:$Z19)</f>
        <v>0</v>
      </c>
      <c r="BP277" s="446">
        <f>SUMIF(GIU!$G$157:$J$157,BP$111,GIU!$R19:$U19)+SUMIF(GIU!$G$157:$J$157,BP$111,GIU!$W19:$Z19)</f>
        <v>0</v>
      </c>
      <c r="BQ277" s="448">
        <f>SUMIF(GIU!$G$157:$J$157,BQ$111,GIU!$R19:$U19)+SUMIF(GIU!$G$157:$J$157,BQ$111,GIU!$W19:$Z19)</f>
        <v>0</v>
      </c>
      <c r="BR277" s="571"/>
      <c r="BS277" s="446"/>
      <c r="BT277" s="448"/>
      <c r="BU277" s="470"/>
      <c r="BV277" s="445">
        <f>SUMIF(GIU!$G$158:$J$158,BV$111,GIU!$R19:$U19)+SUMIF(GIU!$G$158:$J$158,BV$111,GIU!$W19:$Z19)</f>
        <v>0</v>
      </c>
      <c r="BW277" s="446">
        <f>SUMIF(GIU!$G$158:$J$158,BW$111,GIU!$R19:$U19)+SUMIF(GIU!$G$158:$J$158,BW$111,GIU!$W19:$Z19)</f>
        <v>0</v>
      </c>
      <c r="BX277" s="446">
        <f>SUMIF(GIU!$G$158:$J$158,BX$111,GIU!$R19:$U19)+SUMIF(GIU!$G$158:$J$158,BX$111,GIU!$W19:$Z19)</f>
        <v>0</v>
      </c>
      <c r="BY277" s="446">
        <f>SUMIF(GIU!$G$158:$J$158,BY$111,GIU!$R19:$U19)+SUMIF(GIU!$G$158:$J$158,BY$111,GIU!$W19:$Z19)</f>
        <v>0</v>
      </c>
      <c r="BZ277" s="446">
        <f>SUMIF(GIU!$G$158:$J$158,BZ$111,GIU!$R19:$U19)+SUMIF(GIU!$G$158:$J$158,BZ$111,GIU!$W19:$Z19)</f>
        <v>0</v>
      </c>
      <c r="CA277" s="446">
        <f>SUMIF(GIU!$G$158:$J$158,CA$111,GIU!$R19:$U19)+SUMIF(GIU!$G$158:$J$158,CA$111,GIU!$W19:$Z19)</f>
        <v>0</v>
      </c>
      <c r="CB277" s="448">
        <f>SUMIF(GIU!$G$158:$J$158,CB$111,GIU!$R19:$U19)+SUMIF(GIU!$G$158:$J$158,CB$111,GIU!$W19:$Z19)</f>
        <v>0</v>
      </c>
      <c r="CC277" s="571"/>
      <c r="CD277" s="448"/>
      <c r="CE277" s="92">
        <f t="shared" si="261"/>
        <v>0</v>
      </c>
      <c r="CF277" s="92">
        <f t="shared" si="262"/>
        <v>0</v>
      </c>
      <c r="CG277" s="151" t="str">
        <f t="shared" si="248"/>
        <v/>
      </c>
      <c r="CH277" s="92">
        <f t="shared" si="251"/>
        <v>0</v>
      </c>
      <c r="CI277" s="92" t="str">
        <f t="shared" si="263"/>
        <v/>
      </c>
      <c r="CJ277" s="1100">
        <f>GIU!AM19</f>
        <v>0</v>
      </c>
      <c r="CK277" s="445">
        <f>SUMIF(GIU!$G$155:$J$155,CK$112,GIU!$AN19:$AQ19)</f>
        <v>0</v>
      </c>
      <c r="CL277" s="446">
        <f>SUMIF(GIU!$G$155:$J$155,CL$112,GIU!$AN19:$AQ19)</f>
        <v>0</v>
      </c>
      <c r="CM277" s="447">
        <f>SUMIF(GIU!$G$155:$J$155,CM$112,GIU!$AN19:$AQ19)</f>
        <v>0</v>
      </c>
      <c r="CN277" s="448">
        <f>SUMIF(GIU!$G$155:$J$155,CN$112,GIU!$AN19:$AQ19)</f>
        <v>0</v>
      </c>
      <c r="CO277" s="1100">
        <f>GIU!AS19</f>
        <v>0</v>
      </c>
      <c r="CP277" s="445">
        <f>GIU!AT19</f>
        <v>0</v>
      </c>
      <c r="CQ277" s="446">
        <f>GIU!AU19</f>
        <v>0</v>
      </c>
      <c r="CR277" s="447">
        <f>GIU!AV19</f>
        <v>0</v>
      </c>
      <c r="CS277" s="448">
        <f>GIU!AW19</f>
        <v>0</v>
      </c>
      <c r="CT277" s="1100">
        <f>GIU!AY19</f>
        <v>0</v>
      </c>
      <c r="CU277" s="2"/>
    </row>
    <row r="278" spans="1:99" ht="14.25" hidden="1" customHeight="1" x14ac:dyDescent="0.2">
      <c r="A278" s="2"/>
      <c r="B278" s="151">
        <f t="shared" si="252"/>
        <v>45456</v>
      </c>
      <c r="C278" s="223">
        <f>IF(AND(E278&gt;(E$496-1),E278&lt;(I$496+1)),W$485,IF(ISERROR(HLOOKUP(E278,$E$489:$L$489,1,FALSE)),HLOOKUP(WEEKDAY(E278,2),IMPOSTAZIONI!$C$51:$P$56,6,FALSE),$W$484))</f>
        <v>0</v>
      </c>
      <c r="D278" s="103" t="str">
        <f t="shared" si="253"/>
        <v/>
      </c>
      <c r="E278" s="2380">
        <f t="shared" si="264"/>
        <v>45456</v>
      </c>
      <c r="F278" s="2381"/>
      <c r="G278" s="2325" t="str">
        <f>GIU!E20</f>
        <v xml:space="preserve">attiva trim.  </v>
      </c>
      <c r="H278" s="2326"/>
      <c r="I278" s="2327"/>
      <c r="J278" s="479" t="str">
        <f t="shared" si="249"/>
        <v/>
      </c>
      <c r="K278" s="480"/>
      <c r="L278" s="2319">
        <f t="shared" si="265"/>
        <v>24</v>
      </c>
      <c r="M278" s="2320"/>
      <c r="N278" s="478"/>
      <c r="O278" s="478"/>
      <c r="P278" s="478"/>
      <c r="Q278" s="2315">
        <f t="shared" si="254"/>
        <v>45456</v>
      </c>
      <c r="R278" s="2315"/>
      <c r="S278" s="478"/>
      <c r="T278" s="140">
        <f t="shared" si="255"/>
        <v>1</v>
      </c>
      <c r="U278" s="478"/>
      <c r="V278" s="478"/>
      <c r="W278" s="478"/>
      <c r="X278" s="478"/>
      <c r="Y278" s="478"/>
      <c r="Z278" s="478"/>
      <c r="AA278" s="478"/>
      <c r="AB278" s="478"/>
      <c r="AC278" s="478"/>
      <c r="AD278" s="478"/>
      <c r="AE278" s="478"/>
      <c r="AF278" s="478"/>
      <c r="AG278" s="140">
        <f t="shared" si="256"/>
        <v>0</v>
      </c>
      <c r="AH278" s="92" t="str">
        <f t="shared" si="257"/>
        <v/>
      </c>
      <c r="AI278" s="131">
        <f t="shared" si="258"/>
        <v>0</v>
      </c>
      <c r="AJ278" s="2"/>
      <c r="AK278" s="92">
        <f>IF(G278=G$481,0,IF(OR(G278&lt;&gt;0,CJ278&lt;&gt;0,C278="L"),COUNTIF(AK$114:AK277,"&gt;0")+1,0))</f>
        <v>0</v>
      </c>
      <c r="AL278" s="92" t="str">
        <f t="shared" si="259"/>
        <v/>
      </c>
      <c r="AM278" s="92" t="str">
        <f t="shared" si="260"/>
        <v/>
      </c>
      <c r="AN278" s="131">
        <f t="shared" si="250"/>
        <v>0</v>
      </c>
      <c r="AO278" s="447">
        <f>SUM(GIU!W20:Z20)</f>
        <v>0</v>
      </c>
      <c r="AP278" s="445">
        <f>SUMIF(GIU!$G$155:$J$155,AP$112,GIU!$R20:$U20)</f>
        <v>0</v>
      </c>
      <c r="AQ278" s="446">
        <f>SUMIF(GIU!$G$155:$J$155,AQ$112,GIU!$R20:$U20)</f>
        <v>0</v>
      </c>
      <c r="AR278" s="447">
        <f>SUMIF(GIU!$G$155:$J$155,AR$112,GIU!$R20:$U20)</f>
        <v>0</v>
      </c>
      <c r="AS278" s="448">
        <f>SUMIF(GIU!$G$155:$J$155,AS$112,GIU!$R20:$U20)</f>
        <v>0</v>
      </c>
      <c r="AT278" s="449">
        <f>GIU!AG20</f>
        <v>0</v>
      </c>
      <c r="AU278" s="445">
        <f>GIU!AH20</f>
        <v>0</v>
      </c>
      <c r="AV278" s="446">
        <f>GIU!AI20</f>
        <v>0</v>
      </c>
      <c r="AW278" s="447">
        <f>GIU!AJ20</f>
        <v>0</v>
      </c>
      <c r="AX278" s="448">
        <f>GIU!AK20</f>
        <v>0</v>
      </c>
      <c r="AY278" s="445">
        <f>SUMIF(GIU!$G$152:$J$152,"&gt;0",GIU!$W20:$Z20)</f>
        <v>0</v>
      </c>
      <c r="AZ278" s="1063">
        <f>SUM(GIU!AB20:AE20)</f>
        <v>0</v>
      </c>
      <c r="BA278" s="445">
        <f>SUMIF(GIU!$G$159:$J$159,BA$111,GIU!$R20:$U20)+SUMIF(GIU!$G$159:$J$159,BA$111,GIU!$W20:$Z20)</f>
        <v>0</v>
      </c>
      <c r="BB278" s="446">
        <f>SUMIF(GIU!$G$159:$J$159,BB$111,GIU!$R20:$U20)+SUMIF(GIU!$G$159:$J$159,BB$111,GIU!$W20:$Z20)</f>
        <v>0</v>
      </c>
      <c r="BC278" s="446">
        <f>SUMIF(GIU!$G$159:$J$159,BC$111,GIU!$R20:$U20)+SUMIF(GIU!$G$159:$J$159,BC$111,GIU!$W20:$Z20)</f>
        <v>0</v>
      </c>
      <c r="BD278" s="446">
        <f>SUMIF(GIU!$G$159:$J$159,BD$111,GIU!$R20:$U20)+SUMIF(GIU!$G$159:$J$159,BD$111,GIU!$W20:$Z20)</f>
        <v>0</v>
      </c>
      <c r="BE278" s="446">
        <f>SUMIF(GIU!$G$159:$J$159,BE$111,GIU!$R20:$U20)+SUMIF(GIU!$G$159:$J$159,BE$111,GIU!$W20:$Z20)</f>
        <v>0</v>
      </c>
      <c r="BF278" s="446">
        <f>SUMIF(GIU!$G$159:$J$159,BF$111,GIU!$R20:$U20)+SUMIF(GIU!$G$159:$J$159,BF$111,GIU!$W20:$Z20)</f>
        <v>0</v>
      </c>
      <c r="BG278" s="448">
        <f>SUMIF(GIU!$G$159:$J$159,BG$111,GIU!$R20:$U20)+SUMIF(GIU!$G$159:$J$159,BG$111,GIU!$W20:$Z20)</f>
        <v>0</v>
      </c>
      <c r="BH278" s="571"/>
      <c r="BI278" s="448"/>
      <c r="BJ278" s="470"/>
      <c r="BK278" s="445">
        <f>SUMIF(GIU!$G$157:$J$157,BK$111,GIU!$R20:$U20)+SUMIF(GIU!$G$157:$J$157,BK$111,GIU!$W20:$Z20)</f>
        <v>0</v>
      </c>
      <c r="BL278" s="446">
        <f>SUMIF(GIU!$G$157:$J$157,BL$111,GIU!$R20:$U20)+SUMIF(GIU!$G$157:$J$157,BL$111,GIU!$W20:$Z20)</f>
        <v>0</v>
      </c>
      <c r="BM278" s="446">
        <f>SUMIF(GIU!$G$157:$J$157,BM$111,GIU!$R20:$U20)+SUMIF(GIU!$G$157:$J$157,BM$111,GIU!$W20:$Z20)</f>
        <v>0</v>
      </c>
      <c r="BN278" s="446">
        <f>SUMIF(GIU!$G$157:$J$157,BN$111,GIU!$R20:$U20)+SUMIF(GIU!$G$157:$J$157,BN$111,GIU!$W20:$Z20)</f>
        <v>0</v>
      </c>
      <c r="BO278" s="446">
        <f>SUMIF(GIU!$G$157:$J$157,BO$111,GIU!$R20:$U20)+SUMIF(GIU!$G$157:$J$157,BO$111,GIU!$W20:$Z20)</f>
        <v>0</v>
      </c>
      <c r="BP278" s="446">
        <f>SUMIF(GIU!$G$157:$J$157,BP$111,GIU!$R20:$U20)+SUMIF(GIU!$G$157:$J$157,BP$111,GIU!$W20:$Z20)</f>
        <v>0</v>
      </c>
      <c r="BQ278" s="448">
        <f>SUMIF(GIU!$G$157:$J$157,BQ$111,GIU!$R20:$U20)+SUMIF(GIU!$G$157:$J$157,BQ$111,GIU!$W20:$Z20)</f>
        <v>0</v>
      </c>
      <c r="BR278" s="571"/>
      <c r="BS278" s="446"/>
      <c r="BT278" s="448"/>
      <c r="BU278" s="470"/>
      <c r="BV278" s="445">
        <f>SUMIF(GIU!$G$158:$J$158,BV$111,GIU!$R20:$U20)+SUMIF(GIU!$G$158:$J$158,BV$111,GIU!$W20:$Z20)</f>
        <v>0</v>
      </c>
      <c r="BW278" s="446">
        <f>SUMIF(GIU!$G$158:$J$158,BW$111,GIU!$R20:$U20)+SUMIF(GIU!$G$158:$J$158,BW$111,GIU!$W20:$Z20)</f>
        <v>0</v>
      </c>
      <c r="BX278" s="446">
        <f>SUMIF(GIU!$G$158:$J$158,BX$111,GIU!$R20:$U20)+SUMIF(GIU!$G$158:$J$158,BX$111,GIU!$W20:$Z20)</f>
        <v>0</v>
      </c>
      <c r="BY278" s="446">
        <f>SUMIF(GIU!$G$158:$J$158,BY$111,GIU!$R20:$U20)+SUMIF(GIU!$G$158:$J$158,BY$111,GIU!$W20:$Z20)</f>
        <v>0</v>
      </c>
      <c r="BZ278" s="446">
        <f>SUMIF(GIU!$G$158:$J$158,BZ$111,GIU!$R20:$U20)+SUMIF(GIU!$G$158:$J$158,BZ$111,GIU!$W20:$Z20)</f>
        <v>0</v>
      </c>
      <c r="CA278" s="446">
        <f>SUMIF(GIU!$G$158:$J$158,CA$111,GIU!$R20:$U20)+SUMIF(GIU!$G$158:$J$158,CA$111,GIU!$W20:$Z20)</f>
        <v>0</v>
      </c>
      <c r="CB278" s="448">
        <f>SUMIF(GIU!$G$158:$J$158,CB$111,GIU!$R20:$U20)+SUMIF(GIU!$G$158:$J$158,CB$111,GIU!$W20:$Z20)</f>
        <v>0</v>
      </c>
      <c r="CC278" s="571"/>
      <c r="CD278" s="448"/>
      <c r="CE278" s="92">
        <f t="shared" si="261"/>
        <v>0</v>
      </c>
      <c r="CF278" s="92">
        <f t="shared" si="262"/>
        <v>0</v>
      </c>
      <c r="CG278" s="151" t="str">
        <f t="shared" si="248"/>
        <v/>
      </c>
      <c r="CH278" s="92">
        <f t="shared" si="251"/>
        <v>0</v>
      </c>
      <c r="CI278" s="92" t="str">
        <f t="shared" si="263"/>
        <v/>
      </c>
      <c r="CJ278" s="1100">
        <f>GIU!AM20</f>
        <v>0</v>
      </c>
      <c r="CK278" s="445">
        <f>SUMIF(GIU!$G$155:$J$155,CK$112,GIU!$AN20:$AQ20)</f>
        <v>0</v>
      </c>
      <c r="CL278" s="446">
        <f>SUMIF(GIU!$G$155:$J$155,CL$112,GIU!$AN20:$AQ20)</f>
        <v>0</v>
      </c>
      <c r="CM278" s="447">
        <f>SUMIF(GIU!$G$155:$J$155,CM$112,GIU!$AN20:$AQ20)</f>
        <v>0</v>
      </c>
      <c r="CN278" s="448">
        <f>SUMIF(GIU!$G$155:$J$155,CN$112,GIU!$AN20:$AQ20)</f>
        <v>0</v>
      </c>
      <c r="CO278" s="1100">
        <f>GIU!AS20</f>
        <v>0</v>
      </c>
      <c r="CP278" s="445">
        <f>GIU!AT20</f>
        <v>0</v>
      </c>
      <c r="CQ278" s="446">
        <f>GIU!AU20</f>
        <v>0</v>
      </c>
      <c r="CR278" s="447">
        <f>GIU!AV20</f>
        <v>0</v>
      </c>
      <c r="CS278" s="448">
        <f>GIU!AW20</f>
        <v>0</v>
      </c>
      <c r="CT278" s="1100">
        <f>GIU!AY20</f>
        <v>0</v>
      </c>
      <c r="CU278" s="2"/>
    </row>
    <row r="279" spans="1:99" ht="14.25" hidden="1" customHeight="1" x14ac:dyDescent="0.2">
      <c r="A279" s="2"/>
      <c r="B279" s="151">
        <f t="shared" si="252"/>
        <v>45457</v>
      </c>
      <c r="C279" s="223">
        <f>IF(AND(E279&gt;(E$496-1),E279&lt;(I$496+1)),W$485,IF(ISERROR(HLOOKUP(E279,$E$489:$L$489,1,FALSE)),HLOOKUP(WEEKDAY(E279,2),IMPOSTAZIONI!$C$51:$P$56,6,FALSE),$W$484))</f>
        <v>0</v>
      </c>
      <c r="D279" s="103" t="str">
        <f t="shared" si="253"/>
        <v/>
      </c>
      <c r="E279" s="2380">
        <f t="shared" si="264"/>
        <v>45457</v>
      </c>
      <c r="F279" s="2381"/>
      <c r="G279" s="2325" t="str">
        <f>GIU!E21</f>
        <v xml:space="preserve">attiva trim.  </v>
      </c>
      <c r="H279" s="2326"/>
      <c r="I279" s="2327"/>
      <c r="J279" s="479" t="str">
        <f t="shared" si="249"/>
        <v/>
      </c>
      <c r="K279" s="480"/>
      <c r="L279" s="2319">
        <f t="shared" si="265"/>
        <v>24</v>
      </c>
      <c r="M279" s="2320"/>
      <c r="N279" s="478"/>
      <c r="O279" s="478"/>
      <c r="P279" s="478"/>
      <c r="Q279" s="2315">
        <f t="shared" si="254"/>
        <v>45457</v>
      </c>
      <c r="R279" s="2315"/>
      <c r="S279" s="478"/>
      <c r="T279" s="140">
        <f t="shared" si="255"/>
        <v>1</v>
      </c>
      <c r="U279" s="478"/>
      <c r="V279" s="478"/>
      <c r="W279" s="478"/>
      <c r="X279" s="478"/>
      <c r="Y279" s="478"/>
      <c r="Z279" s="478"/>
      <c r="AA279" s="478"/>
      <c r="AB279" s="478"/>
      <c r="AC279" s="478"/>
      <c r="AD279" s="478"/>
      <c r="AE279" s="478"/>
      <c r="AF279" s="478"/>
      <c r="AG279" s="140">
        <f t="shared" si="256"/>
        <v>0</v>
      </c>
      <c r="AH279" s="92" t="str">
        <f t="shared" si="257"/>
        <v/>
      </c>
      <c r="AI279" s="131">
        <f t="shared" si="258"/>
        <v>0</v>
      </c>
      <c r="AJ279" s="2"/>
      <c r="AK279" s="92">
        <f>IF(G279=G$481,0,IF(OR(G279&lt;&gt;0,CJ279&lt;&gt;0,C279="L"),COUNTIF(AK$114:AK278,"&gt;0")+1,0))</f>
        <v>0</v>
      </c>
      <c r="AL279" s="92" t="str">
        <f t="shared" si="259"/>
        <v/>
      </c>
      <c r="AM279" s="92" t="str">
        <f t="shared" si="260"/>
        <v/>
      </c>
      <c r="AN279" s="131">
        <f t="shared" si="250"/>
        <v>0</v>
      </c>
      <c r="AO279" s="447">
        <f>SUM(GIU!W21:Z21)</f>
        <v>0</v>
      </c>
      <c r="AP279" s="445">
        <f>SUMIF(GIU!$G$155:$J$155,AP$112,GIU!$R21:$U21)</f>
        <v>0</v>
      </c>
      <c r="AQ279" s="446">
        <f>SUMIF(GIU!$G$155:$J$155,AQ$112,GIU!$R21:$U21)</f>
        <v>0</v>
      </c>
      <c r="AR279" s="447">
        <f>SUMIF(GIU!$G$155:$J$155,AR$112,GIU!$R21:$U21)</f>
        <v>0</v>
      </c>
      <c r="AS279" s="448">
        <f>SUMIF(GIU!$G$155:$J$155,AS$112,GIU!$R21:$U21)</f>
        <v>0</v>
      </c>
      <c r="AT279" s="449">
        <f>GIU!AG21</f>
        <v>0</v>
      </c>
      <c r="AU279" s="445">
        <f>GIU!AH21</f>
        <v>0</v>
      </c>
      <c r="AV279" s="446">
        <f>GIU!AI21</f>
        <v>0</v>
      </c>
      <c r="AW279" s="447">
        <f>GIU!AJ21</f>
        <v>0</v>
      </c>
      <c r="AX279" s="448">
        <f>GIU!AK21</f>
        <v>0</v>
      </c>
      <c r="AY279" s="445">
        <f>SUMIF(GIU!$G$152:$J$152,"&gt;0",GIU!$W21:$Z21)</f>
        <v>0</v>
      </c>
      <c r="AZ279" s="1063">
        <f>SUM(GIU!AB21:AE21)</f>
        <v>0</v>
      </c>
      <c r="BA279" s="445">
        <f>SUMIF(GIU!$G$159:$J$159,BA$111,GIU!$R21:$U21)+SUMIF(GIU!$G$159:$J$159,BA$111,GIU!$W21:$Z21)</f>
        <v>0</v>
      </c>
      <c r="BB279" s="446">
        <f>SUMIF(GIU!$G$159:$J$159,BB$111,GIU!$R21:$U21)+SUMIF(GIU!$G$159:$J$159,BB$111,GIU!$W21:$Z21)</f>
        <v>0</v>
      </c>
      <c r="BC279" s="446">
        <f>SUMIF(GIU!$G$159:$J$159,BC$111,GIU!$R21:$U21)+SUMIF(GIU!$G$159:$J$159,BC$111,GIU!$W21:$Z21)</f>
        <v>0</v>
      </c>
      <c r="BD279" s="446">
        <f>SUMIF(GIU!$G$159:$J$159,BD$111,GIU!$R21:$U21)+SUMIF(GIU!$G$159:$J$159,BD$111,GIU!$W21:$Z21)</f>
        <v>0</v>
      </c>
      <c r="BE279" s="446">
        <f>SUMIF(GIU!$G$159:$J$159,BE$111,GIU!$R21:$U21)+SUMIF(GIU!$G$159:$J$159,BE$111,GIU!$W21:$Z21)</f>
        <v>0</v>
      </c>
      <c r="BF279" s="446">
        <f>SUMIF(GIU!$G$159:$J$159,BF$111,GIU!$R21:$U21)+SUMIF(GIU!$G$159:$J$159,BF$111,GIU!$W21:$Z21)</f>
        <v>0</v>
      </c>
      <c r="BG279" s="448">
        <f>SUMIF(GIU!$G$159:$J$159,BG$111,GIU!$R21:$U21)+SUMIF(GIU!$G$159:$J$159,BG$111,GIU!$W21:$Z21)</f>
        <v>0</v>
      </c>
      <c r="BH279" s="571"/>
      <c r="BI279" s="448"/>
      <c r="BJ279" s="470"/>
      <c r="BK279" s="445">
        <f>SUMIF(GIU!$G$157:$J$157,BK$111,GIU!$R21:$U21)+SUMIF(GIU!$G$157:$J$157,BK$111,GIU!$W21:$Z21)</f>
        <v>0</v>
      </c>
      <c r="BL279" s="446">
        <f>SUMIF(GIU!$G$157:$J$157,BL$111,GIU!$R21:$U21)+SUMIF(GIU!$G$157:$J$157,BL$111,GIU!$W21:$Z21)</f>
        <v>0</v>
      </c>
      <c r="BM279" s="446">
        <f>SUMIF(GIU!$G$157:$J$157,BM$111,GIU!$R21:$U21)+SUMIF(GIU!$G$157:$J$157,BM$111,GIU!$W21:$Z21)</f>
        <v>0</v>
      </c>
      <c r="BN279" s="446">
        <f>SUMIF(GIU!$G$157:$J$157,BN$111,GIU!$R21:$U21)+SUMIF(GIU!$G$157:$J$157,BN$111,GIU!$W21:$Z21)</f>
        <v>0</v>
      </c>
      <c r="BO279" s="446">
        <f>SUMIF(GIU!$G$157:$J$157,BO$111,GIU!$R21:$U21)+SUMIF(GIU!$G$157:$J$157,BO$111,GIU!$W21:$Z21)</f>
        <v>0</v>
      </c>
      <c r="BP279" s="446">
        <f>SUMIF(GIU!$G$157:$J$157,BP$111,GIU!$R21:$U21)+SUMIF(GIU!$G$157:$J$157,BP$111,GIU!$W21:$Z21)</f>
        <v>0</v>
      </c>
      <c r="BQ279" s="448">
        <f>SUMIF(GIU!$G$157:$J$157,BQ$111,GIU!$R21:$U21)+SUMIF(GIU!$G$157:$J$157,BQ$111,GIU!$W21:$Z21)</f>
        <v>0</v>
      </c>
      <c r="BR279" s="571"/>
      <c r="BS279" s="446"/>
      <c r="BT279" s="448"/>
      <c r="BU279" s="470"/>
      <c r="BV279" s="445">
        <f>SUMIF(GIU!$G$158:$J$158,BV$111,GIU!$R21:$U21)+SUMIF(GIU!$G$158:$J$158,BV$111,GIU!$W21:$Z21)</f>
        <v>0</v>
      </c>
      <c r="BW279" s="446">
        <f>SUMIF(GIU!$G$158:$J$158,BW$111,GIU!$R21:$U21)+SUMIF(GIU!$G$158:$J$158,BW$111,GIU!$W21:$Z21)</f>
        <v>0</v>
      </c>
      <c r="BX279" s="446">
        <f>SUMIF(GIU!$G$158:$J$158,BX$111,GIU!$R21:$U21)+SUMIF(GIU!$G$158:$J$158,BX$111,GIU!$W21:$Z21)</f>
        <v>0</v>
      </c>
      <c r="BY279" s="446">
        <f>SUMIF(GIU!$G$158:$J$158,BY$111,GIU!$R21:$U21)+SUMIF(GIU!$G$158:$J$158,BY$111,GIU!$W21:$Z21)</f>
        <v>0</v>
      </c>
      <c r="BZ279" s="446">
        <f>SUMIF(GIU!$G$158:$J$158,BZ$111,GIU!$R21:$U21)+SUMIF(GIU!$G$158:$J$158,BZ$111,GIU!$W21:$Z21)</f>
        <v>0</v>
      </c>
      <c r="CA279" s="446">
        <f>SUMIF(GIU!$G$158:$J$158,CA$111,GIU!$R21:$U21)+SUMIF(GIU!$G$158:$J$158,CA$111,GIU!$W21:$Z21)</f>
        <v>0</v>
      </c>
      <c r="CB279" s="448">
        <f>SUMIF(GIU!$G$158:$J$158,CB$111,GIU!$R21:$U21)+SUMIF(GIU!$G$158:$J$158,CB$111,GIU!$W21:$Z21)</f>
        <v>0</v>
      </c>
      <c r="CC279" s="571"/>
      <c r="CD279" s="448"/>
      <c r="CE279" s="92">
        <f t="shared" si="261"/>
        <v>0</v>
      </c>
      <c r="CF279" s="92">
        <f t="shared" si="262"/>
        <v>0</v>
      </c>
      <c r="CG279" s="151" t="str">
        <f t="shared" si="248"/>
        <v/>
      </c>
      <c r="CH279" s="92">
        <f t="shared" si="251"/>
        <v>0</v>
      </c>
      <c r="CI279" s="92" t="str">
        <f t="shared" si="263"/>
        <v/>
      </c>
      <c r="CJ279" s="1100">
        <f>GIU!AM21</f>
        <v>0</v>
      </c>
      <c r="CK279" s="445">
        <f>SUMIF(GIU!$G$155:$J$155,CK$112,GIU!$AN21:$AQ21)</f>
        <v>0</v>
      </c>
      <c r="CL279" s="446">
        <f>SUMIF(GIU!$G$155:$J$155,CL$112,GIU!$AN21:$AQ21)</f>
        <v>0</v>
      </c>
      <c r="CM279" s="447">
        <f>SUMIF(GIU!$G$155:$J$155,CM$112,GIU!$AN21:$AQ21)</f>
        <v>0</v>
      </c>
      <c r="CN279" s="448">
        <f>SUMIF(GIU!$G$155:$J$155,CN$112,GIU!$AN21:$AQ21)</f>
        <v>0</v>
      </c>
      <c r="CO279" s="1100">
        <f>GIU!AS21</f>
        <v>0</v>
      </c>
      <c r="CP279" s="445">
        <f>GIU!AT21</f>
        <v>0</v>
      </c>
      <c r="CQ279" s="446">
        <f>GIU!AU21</f>
        <v>0</v>
      </c>
      <c r="CR279" s="447">
        <f>GIU!AV21</f>
        <v>0</v>
      </c>
      <c r="CS279" s="448">
        <f>GIU!AW21</f>
        <v>0</v>
      </c>
      <c r="CT279" s="1100">
        <f>GIU!AY21</f>
        <v>0</v>
      </c>
      <c r="CU279" s="2"/>
    </row>
    <row r="280" spans="1:99" ht="14.25" hidden="1" customHeight="1" x14ac:dyDescent="0.2">
      <c r="A280" s="2"/>
      <c r="B280" s="151">
        <f t="shared" si="252"/>
        <v>45458</v>
      </c>
      <c r="C280" s="223">
        <f>IF(AND(E280&gt;(E$496-1),E280&lt;(I$496+1)),W$485,IF(ISERROR(HLOOKUP(E280,$E$489:$L$489,1,FALSE)),HLOOKUP(WEEKDAY(E280,2),IMPOSTAZIONI!$C$51:$P$56,6,FALSE),$W$484))</f>
        <v>0</v>
      </c>
      <c r="D280" s="103" t="str">
        <f t="shared" si="253"/>
        <v/>
      </c>
      <c r="E280" s="2380">
        <f t="shared" si="264"/>
        <v>45458</v>
      </c>
      <c r="F280" s="2381"/>
      <c r="G280" s="2325" t="str">
        <f>GIU!E22</f>
        <v xml:space="preserve">attiva trim.  </v>
      </c>
      <c r="H280" s="2326"/>
      <c r="I280" s="2327"/>
      <c r="J280" s="479" t="str">
        <f t="shared" si="249"/>
        <v/>
      </c>
      <c r="K280" s="480"/>
      <c r="L280" s="2319">
        <f t="shared" si="265"/>
        <v>24</v>
      </c>
      <c r="M280" s="2320"/>
      <c r="N280" s="478"/>
      <c r="O280" s="478"/>
      <c r="P280" s="478"/>
      <c r="Q280" s="2315">
        <f t="shared" si="254"/>
        <v>45458</v>
      </c>
      <c r="R280" s="2315"/>
      <c r="S280" s="478"/>
      <c r="T280" s="140">
        <f t="shared" si="255"/>
        <v>1</v>
      </c>
      <c r="U280" s="478"/>
      <c r="V280" s="478"/>
      <c r="W280" s="478"/>
      <c r="X280" s="478"/>
      <c r="Y280" s="478"/>
      <c r="Z280" s="478"/>
      <c r="AA280" s="478"/>
      <c r="AB280" s="478"/>
      <c r="AC280" s="478"/>
      <c r="AD280" s="478"/>
      <c r="AE280" s="478"/>
      <c r="AF280" s="478"/>
      <c r="AG280" s="140">
        <f t="shared" si="256"/>
        <v>0</v>
      </c>
      <c r="AH280" s="92" t="str">
        <f t="shared" si="257"/>
        <v/>
      </c>
      <c r="AI280" s="131">
        <f t="shared" si="258"/>
        <v>0</v>
      </c>
      <c r="AJ280" s="2"/>
      <c r="AK280" s="92">
        <f>IF(G280=G$481,0,IF(OR(G280&lt;&gt;0,CJ280&lt;&gt;0,C280="L"),COUNTIF(AK$114:AK279,"&gt;0")+1,0))</f>
        <v>0</v>
      </c>
      <c r="AL280" s="92" t="str">
        <f t="shared" si="259"/>
        <v/>
      </c>
      <c r="AM280" s="92" t="str">
        <f t="shared" si="260"/>
        <v/>
      </c>
      <c r="AN280" s="131">
        <f t="shared" si="250"/>
        <v>0</v>
      </c>
      <c r="AO280" s="447">
        <f>SUM(GIU!W22:Z22)</f>
        <v>0</v>
      </c>
      <c r="AP280" s="445">
        <f>SUMIF(GIU!$G$155:$J$155,AP$112,GIU!$R22:$U22)</f>
        <v>0</v>
      </c>
      <c r="AQ280" s="446">
        <f>SUMIF(GIU!$G$155:$J$155,AQ$112,GIU!$R22:$U22)</f>
        <v>0</v>
      </c>
      <c r="AR280" s="447">
        <f>SUMIF(GIU!$G$155:$J$155,AR$112,GIU!$R22:$U22)</f>
        <v>0</v>
      </c>
      <c r="AS280" s="448">
        <f>SUMIF(GIU!$G$155:$J$155,AS$112,GIU!$R22:$U22)</f>
        <v>0</v>
      </c>
      <c r="AT280" s="449">
        <f>GIU!AG22</f>
        <v>0</v>
      </c>
      <c r="AU280" s="445">
        <f>GIU!AH22</f>
        <v>0</v>
      </c>
      <c r="AV280" s="446">
        <f>GIU!AI22</f>
        <v>0</v>
      </c>
      <c r="AW280" s="447">
        <f>GIU!AJ22</f>
        <v>0</v>
      </c>
      <c r="AX280" s="448">
        <f>GIU!AK22</f>
        <v>0</v>
      </c>
      <c r="AY280" s="445">
        <f>SUMIF(GIU!$G$152:$J$152,"&gt;0",GIU!$W22:$Z22)</f>
        <v>0</v>
      </c>
      <c r="AZ280" s="1063">
        <f>SUM(GIU!AB22:AE22)</f>
        <v>0</v>
      </c>
      <c r="BA280" s="445">
        <f>SUMIF(GIU!$G$159:$J$159,BA$111,GIU!$R22:$U22)+SUMIF(GIU!$G$159:$J$159,BA$111,GIU!$W22:$Z22)</f>
        <v>0</v>
      </c>
      <c r="BB280" s="446">
        <f>SUMIF(GIU!$G$159:$J$159,BB$111,GIU!$R22:$U22)+SUMIF(GIU!$G$159:$J$159,BB$111,GIU!$W22:$Z22)</f>
        <v>0</v>
      </c>
      <c r="BC280" s="446">
        <f>SUMIF(GIU!$G$159:$J$159,BC$111,GIU!$R22:$U22)+SUMIF(GIU!$G$159:$J$159,BC$111,GIU!$W22:$Z22)</f>
        <v>0</v>
      </c>
      <c r="BD280" s="446">
        <f>SUMIF(GIU!$G$159:$J$159,BD$111,GIU!$R22:$U22)+SUMIF(GIU!$G$159:$J$159,BD$111,GIU!$W22:$Z22)</f>
        <v>0</v>
      </c>
      <c r="BE280" s="446">
        <f>SUMIF(GIU!$G$159:$J$159,BE$111,GIU!$R22:$U22)+SUMIF(GIU!$G$159:$J$159,BE$111,GIU!$W22:$Z22)</f>
        <v>0</v>
      </c>
      <c r="BF280" s="446">
        <f>SUMIF(GIU!$G$159:$J$159,BF$111,GIU!$R22:$U22)+SUMIF(GIU!$G$159:$J$159,BF$111,GIU!$W22:$Z22)</f>
        <v>0</v>
      </c>
      <c r="BG280" s="448">
        <f>SUMIF(GIU!$G$159:$J$159,BG$111,GIU!$R22:$U22)+SUMIF(GIU!$G$159:$J$159,BG$111,GIU!$W22:$Z22)</f>
        <v>0</v>
      </c>
      <c r="BH280" s="571"/>
      <c r="BI280" s="448"/>
      <c r="BJ280" s="470"/>
      <c r="BK280" s="445">
        <f>SUMIF(GIU!$G$157:$J$157,BK$111,GIU!$R22:$U22)+SUMIF(GIU!$G$157:$J$157,BK$111,GIU!$W22:$Z22)</f>
        <v>0</v>
      </c>
      <c r="BL280" s="446">
        <f>SUMIF(GIU!$G$157:$J$157,BL$111,GIU!$R22:$U22)+SUMIF(GIU!$G$157:$J$157,BL$111,GIU!$W22:$Z22)</f>
        <v>0</v>
      </c>
      <c r="BM280" s="446">
        <f>SUMIF(GIU!$G$157:$J$157,BM$111,GIU!$R22:$U22)+SUMIF(GIU!$G$157:$J$157,BM$111,GIU!$W22:$Z22)</f>
        <v>0</v>
      </c>
      <c r="BN280" s="446">
        <f>SUMIF(GIU!$G$157:$J$157,BN$111,GIU!$R22:$U22)+SUMIF(GIU!$G$157:$J$157,BN$111,GIU!$W22:$Z22)</f>
        <v>0</v>
      </c>
      <c r="BO280" s="446">
        <f>SUMIF(GIU!$G$157:$J$157,BO$111,GIU!$R22:$U22)+SUMIF(GIU!$G$157:$J$157,BO$111,GIU!$W22:$Z22)</f>
        <v>0</v>
      </c>
      <c r="BP280" s="446">
        <f>SUMIF(GIU!$G$157:$J$157,BP$111,GIU!$R22:$U22)+SUMIF(GIU!$G$157:$J$157,BP$111,GIU!$W22:$Z22)</f>
        <v>0</v>
      </c>
      <c r="BQ280" s="448">
        <f>SUMIF(GIU!$G$157:$J$157,BQ$111,GIU!$R22:$U22)+SUMIF(GIU!$G$157:$J$157,BQ$111,GIU!$W22:$Z22)</f>
        <v>0</v>
      </c>
      <c r="BR280" s="571"/>
      <c r="BS280" s="446"/>
      <c r="BT280" s="448"/>
      <c r="BU280" s="470"/>
      <c r="BV280" s="445">
        <f>SUMIF(GIU!$G$158:$J$158,BV$111,GIU!$R22:$U22)+SUMIF(GIU!$G$158:$J$158,BV$111,GIU!$W22:$Z22)</f>
        <v>0</v>
      </c>
      <c r="BW280" s="446">
        <f>SUMIF(GIU!$G$158:$J$158,BW$111,GIU!$R22:$U22)+SUMIF(GIU!$G$158:$J$158,BW$111,GIU!$W22:$Z22)</f>
        <v>0</v>
      </c>
      <c r="BX280" s="446">
        <f>SUMIF(GIU!$G$158:$J$158,BX$111,GIU!$R22:$U22)+SUMIF(GIU!$G$158:$J$158,BX$111,GIU!$W22:$Z22)</f>
        <v>0</v>
      </c>
      <c r="BY280" s="446">
        <f>SUMIF(GIU!$G$158:$J$158,BY$111,GIU!$R22:$U22)+SUMIF(GIU!$G$158:$J$158,BY$111,GIU!$W22:$Z22)</f>
        <v>0</v>
      </c>
      <c r="BZ280" s="446">
        <f>SUMIF(GIU!$G$158:$J$158,BZ$111,GIU!$R22:$U22)+SUMIF(GIU!$G$158:$J$158,BZ$111,GIU!$W22:$Z22)</f>
        <v>0</v>
      </c>
      <c r="CA280" s="446">
        <f>SUMIF(GIU!$G$158:$J$158,CA$111,GIU!$R22:$U22)+SUMIF(GIU!$G$158:$J$158,CA$111,GIU!$W22:$Z22)</f>
        <v>0</v>
      </c>
      <c r="CB280" s="448">
        <f>SUMIF(GIU!$G$158:$J$158,CB$111,GIU!$R22:$U22)+SUMIF(GIU!$G$158:$J$158,CB$111,GIU!$W22:$Z22)</f>
        <v>0</v>
      </c>
      <c r="CC280" s="571"/>
      <c r="CD280" s="448"/>
      <c r="CE280" s="92">
        <f t="shared" si="261"/>
        <v>0</v>
      </c>
      <c r="CF280" s="92">
        <f t="shared" si="262"/>
        <v>0</v>
      </c>
      <c r="CG280" s="151" t="str">
        <f t="shared" si="248"/>
        <v/>
      </c>
      <c r="CH280" s="92">
        <f t="shared" si="251"/>
        <v>0</v>
      </c>
      <c r="CI280" s="92" t="str">
        <f t="shared" si="263"/>
        <v/>
      </c>
      <c r="CJ280" s="1100">
        <f>GIU!AM22</f>
        <v>0</v>
      </c>
      <c r="CK280" s="445">
        <f>SUMIF(GIU!$G$155:$J$155,CK$112,GIU!$AN22:$AQ22)</f>
        <v>0</v>
      </c>
      <c r="CL280" s="446">
        <f>SUMIF(GIU!$G$155:$J$155,CL$112,GIU!$AN22:$AQ22)</f>
        <v>0</v>
      </c>
      <c r="CM280" s="447">
        <f>SUMIF(GIU!$G$155:$J$155,CM$112,GIU!$AN22:$AQ22)</f>
        <v>0</v>
      </c>
      <c r="CN280" s="448">
        <f>SUMIF(GIU!$G$155:$J$155,CN$112,GIU!$AN22:$AQ22)</f>
        <v>0</v>
      </c>
      <c r="CO280" s="1100">
        <f>GIU!AS22</f>
        <v>0</v>
      </c>
      <c r="CP280" s="445">
        <f>GIU!AT22</f>
        <v>0</v>
      </c>
      <c r="CQ280" s="446">
        <f>GIU!AU22</f>
        <v>0</v>
      </c>
      <c r="CR280" s="447">
        <f>GIU!AV22</f>
        <v>0</v>
      </c>
      <c r="CS280" s="448">
        <f>GIU!AW22</f>
        <v>0</v>
      </c>
      <c r="CT280" s="1100">
        <f>GIU!AY22</f>
        <v>0</v>
      </c>
      <c r="CU280" s="2"/>
    </row>
    <row r="281" spans="1:99" ht="14.25" hidden="1" customHeight="1" x14ac:dyDescent="0.2">
      <c r="A281" s="2"/>
      <c r="B281" s="151">
        <f t="shared" si="252"/>
        <v>45459</v>
      </c>
      <c r="C281" s="223">
        <f>IF(AND(E281&gt;(E$496-1),E281&lt;(I$496+1)),W$485,IF(ISERROR(HLOOKUP(E281,$E$489:$L$489,1,FALSE)),HLOOKUP(WEEKDAY(E281,2),IMPOSTAZIONI!$C$51:$P$56,6,FALSE),$W$484))</f>
        <v>0</v>
      </c>
      <c r="D281" s="103" t="str">
        <f t="shared" si="253"/>
        <v/>
      </c>
      <c r="E281" s="2380">
        <f t="shared" si="264"/>
        <v>45459</v>
      </c>
      <c r="F281" s="2381"/>
      <c r="G281" s="2325" t="str">
        <f>GIU!E23</f>
        <v xml:space="preserve">attiva trim.  </v>
      </c>
      <c r="H281" s="2326"/>
      <c r="I281" s="2327"/>
      <c r="J281" s="479" t="str">
        <f t="shared" si="249"/>
        <v/>
      </c>
      <c r="K281" s="480"/>
      <c r="L281" s="2321">
        <f t="shared" si="265"/>
        <v>24</v>
      </c>
      <c r="M281" s="2322"/>
      <c r="N281" s="478"/>
      <c r="O281" s="478"/>
      <c r="P281" s="478"/>
      <c r="Q281" s="2315">
        <f t="shared" si="254"/>
        <v>45459</v>
      </c>
      <c r="R281" s="2315"/>
      <c r="S281" s="478"/>
      <c r="T281" s="140">
        <f t="shared" si="255"/>
        <v>1</v>
      </c>
      <c r="U281" s="478"/>
      <c r="V281" s="478"/>
      <c r="W281" s="478"/>
      <c r="X281" s="478"/>
      <c r="Y281" s="478"/>
      <c r="Z281" s="478"/>
      <c r="AA281" s="478"/>
      <c r="AB281" s="478"/>
      <c r="AC281" s="478"/>
      <c r="AD281" s="478"/>
      <c r="AE281" s="478"/>
      <c r="AF281" s="478"/>
      <c r="AG281" s="140">
        <f t="shared" si="256"/>
        <v>0</v>
      </c>
      <c r="AH281" s="92" t="str">
        <f t="shared" si="257"/>
        <v/>
      </c>
      <c r="AI281" s="131">
        <f t="shared" si="258"/>
        <v>0</v>
      </c>
      <c r="AJ281" s="2"/>
      <c r="AK281" s="92">
        <f>IF(G281=G$481,0,IF(OR(G281&lt;&gt;0,CJ281&lt;&gt;0,C281="L"),COUNTIF(AK$114:AK280,"&gt;0")+1,0))</f>
        <v>0</v>
      </c>
      <c r="AL281" s="92" t="str">
        <f t="shared" si="259"/>
        <v/>
      </c>
      <c r="AM281" s="92" t="str">
        <f t="shared" si="260"/>
        <v/>
      </c>
      <c r="AN281" s="131">
        <f t="shared" si="250"/>
        <v>0</v>
      </c>
      <c r="AO281" s="447">
        <f>SUM(GIU!W23:Z23)</f>
        <v>0</v>
      </c>
      <c r="AP281" s="445">
        <f>SUMIF(GIU!$G$155:$J$155,AP$112,GIU!$R23:$U23)</f>
        <v>0</v>
      </c>
      <c r="AQ281" s="446">
        <f>SUMIF(GIU!$G$155:$J$155,AQ$112,GIU!$R23:$U23)</f>
        <v>0</v>
      </c>
      <c r="AR281" s="447">
        <f>SUMIF(GIU!$G$155:$J$155,AR$112,GIU!$R23:$U23)</f>
        <v>0</v>
      </c>
      <c r="AS281" s="448">
        <f>SUMIF(GIU!$G$155:$J$155,AS$112,GIU!$R23:$U23)</f>
        <v>0</v>
      </c>
      <c r="AT281" s="449">
        <f>GIU!AG23</f>
        <v>0</v>
      </c>
      <c r="AU281" s="445">
        <f>GIU!AH23</f>
        <v>0</v>
      </c>
      <c r="AV281" s="446">
        <f>GIU!AI23</f>
        <v>0</v>
      </c>
      <c r="AW281" s="447">
        <f>GIU!AJ23</f>
        <v>0</v>
      </c>
      <c r="AX281" s="448">
        <f>GIU!AK23</f>
        <v>0</v>
      </c>
      <c r="AY281" s="445">
        <f>SUMIF(GIU!$G$152:$J$152,"&gt;0",GIU!$W23:$Z23)</f>
        <v>0</v>
      </c>
      <c r="AZ281" s="1063">
        <f>SUM(GIU!AB23:AE23)</f>
        <v>0</v>
      </c>
      <c r="BA281" s="445">
        <f>SUMIF(GIU!$G$159:$J$159,BA$111,GIU!$R23:$U23)+SUMIF(GIU!$G$159:$J$159,BA$111,GIU!$W23:$Z23)</f>
        <v>0</v>
      </c>
      <c r="BB281" s="446">
        <f>SUMIF(GIU!$G$159:$J$159,BB$111,GIU!$R23:$U23)+SUMIF(GIU!$G$159:$J$159,BB$111,GIU!$W23:$Z23)</f>
        <v>0</v>
      </c>
      <c r="BC281" s="446">
        <f>SUMIF(GIU!$G$159:$J$159,BC$111,GIU!$R23:$U23)+SUMIF(GIU!$G$159:$J$159,BC$111,GIU!$W23:$Z23)</f>
        <v>0</v>
      </c>
      <c r="BD281" s="446">
        <f>SUMIF(GIU!$G$159:$J$159,BD$111,GIU!$R23:$U23)+SUMIF(GIU!$G$159:$J$159,BD$111,GIU!$W23:$Z23)</f>
        <v>0</v>
      </c>
      <c r="BE281" s="446">
        <f>SUMIF(GIU!$G$159:$J$159,BE$111,GIU!$R23:$U23)+SUMIF(GIU!$G$159:$J$159,BE$111,GIU!$W23:$Z23)</f>
        <v>0</v>
      </c>
      <c r="BF281" s="446">
        <f>SUMIF(GIU!$G$159:$J$159,BF$111,GIU!$R23:$U23)+SUMIF(GIU!$G$159:$J$159,BF$111,GIU!$W23:$Z23)</f>
        <v>0</v>
      </c>
      <c r="BG281" s="448">
        <f>SUMIF(GIU!$G$159:$J$159,BG$111,GIU!$R23:$U23)+SUMIF(GIU!$G$159:$J$159,BG$111,GIU!$W23:$Z23)</f>
        <v>0</v>
      </c>
      <c r="BH281" s="571"/>
      <c r="BI281" s="448"/>
      <c r="BJ281" s="470"/>
      <c r="BK281" s="445">
        <f>SUMIF(GIU!$G$157:$J$157,BK$111,GIU!$R23:$U23)+SUMIF(GIU!$G$157:$J$157,BK$111,GIU!$W23:$Z23)</f>
        <v>0</v>
      </c>
      <c r="BL281" s="446">
        <f>SUMIF(GIU!$G$157:$J$157,BL$111,GIU!$R23:$U23)+SUMIF(GIU!$G$157:$J$157,BL$111,GIU!$W23:$Z23)</f>
        <v>0</v>
      </c>
      <c r="BM281" s="446">
        <f>SUMIF(GIU!$G$157:$J$157,BM$111,GIU!$R23:$U23)+SUMIF(GIU!$G$157:$J$157,BM$111,GIU!$W23:$Z23)</f>
        <v>0</v>
      </c>
      <c r="BN281" s="446">
        <f>SUMIF(GIU!$G$157:$J$157,BN$111,GIU!$R23:$U23)+SUMIF(GIU!$G$157:$J$157,BN$111,GIU!$W23:$Z23)</f>
        <v>0</v>
      </c>
      <c r="BO281" s="446">
        <f>SUMIF(GIU!$G$157:$J$157,BO$111,GIU!$R23:$U23)+SUMIF(GIU!$G$157:$J$157,BO$111,GIU!$W23:$Z23)</f>
        <v>0</v>
      </c>
      <c r="BP281" s="446">
        <f>SUMIF(GIU!$G$157:$J$157,BP$111,GIU!$R23:$U23)+SUMIF(GIU!$G$157:$J$157,BP$111,GIU!$W23:$Z23)</f>
        <v>0</v>
      </c>
      <c r="BQ281" s="448">
        <f>SUMIF(GIU!$G$157:$J$157,BQ$111,GIU!$R23:$U23)+SUMIF(GIU!$G$157:$J$157,BQ$111,GIU!$W23:$Z23)</f>
        <v>0</v>
      </c>
      <c r="BR281" s="571"/>
      <c r="BS281" s="446"/>
      <c r="BT281" s="448"/>
      <c r="BU281" s="470"/>
      <c r="BV281" s="445">
        <f>SUMIF(GIU!$G$158:$J$158,BV$111,GIU!$R23:$U23)+SUMIF(GIU!$G$158:$J$158,BV$111,GIU!$W23:$Z23)</f>
        <v>0</v>
      </c>
      <c r="BW281" s="446">
        <f>SUMIF(GIU!$G$158:$J$158,BW$111,GIU!$R23:$U23)+SUMIF(GIU!$G$158:$J$158,BW$111,GIU!$W23:$Z23)</f>
        <v>0</v>
      </c>
      <c r="BX281" s="446">
        <f>SUMIF(GIU!$G$158:$J$158,BX$111,GIU!$R23:$U23)+SUMIF(GIU!$G$158:$J$158,BX$111,GIU!$W23:$Z23)</f>
        <v>0</v>
      </c>
      <c r="BY281" s="446">
        <f>SUMIF(GIU!$G$158:$J$158,BY$111,GIU!$R23:$U23)+SUMIF(GIU!$G$158:$J$158,BY$111,GIU!$W23:$Z23)</f>
        <v>0</v>
      </c>
      <c r="BZ281" s="446">
        <f>SUMIF(GIU!$G$158:$J$158,BZ$111,GIU!$R23:$U23)+SUMIF(GIU!$G$158:$J$158,BZ$111,GIU!$W23:$Z23)</f>
        <v>0</v>
      </c>
      <c r="CA281" s="446">
        <f>SUMIF(GIU!$G$158:$J$158,CA$111,GIU!$R23:$U23)+SUMIF(GIU!$G$158:$J$158,CA$111,GIU!$W23:$Z23)</f>
        <v>0</v>
      </c>
      <c r="CB281" s="448">
        <f>SUMIF(GIU!$G$158:$J$158,CB$111,GIU!$R23:$U23)+SUMIF(GIU!$G$158:$J$158,CB$111,GIU!$W23:$Z23)</f>
        <v>0</v>
      </c>
      <c r="CC281" s="571"/>
      <c r="CD281" s="448"/>
      <c r="CE281" s="92">
        <f t="shared" si="261"/>
        <v>0</v>
      </c>
      <c r="CF281" s="92">
        <f t="shared" si="262"/>
        <v>0</v>
      </c>
      <c r="CG281" s="151" t="str">
        <f t="shared" si="248"/>
        <v/>
      </c>
      <c r="CH281" s="92">
        <f t="shared" si="251"/>
        <v>0</v>
      </c>
      <c r="CI281" s="92" t="str">
        <f t="shared" si="263"/>
        <v/>
      </c>
      <c r="CJ281" s="1100">
        <f>GIU!AM23</f>
        <v>0</v>
      </c>
      <c r="CK281" s="445">
        <f>SUMIF(GIU!$G$155:$J$155,CK$112,GIU!$AN23:$AQ23)</f>
        <v>0</v>
      </c>
      <c r="CL281" s="446">
        <f>SUMIF(GIU!$G$155:$J$155,CL$112,GIU!$AN23:$AQ23)</f>
        <v>0</v>
      </c>
      <c r="CM281" s="447">
        <f>SUMIF(GIU!$G$155:$J$155,CM$112,GIU!$AN23:$AQ23)</f>
        <v>0</v>
      </c>
      <c r="CN281" s="448">
        <f>SUMIF(GIU!$G$155:$J$155,CN$112,GIU!$AN23:$AQ23)</f>
        <v>0</v>
      </c>
      <c r="CO281" s="1100">
        <f>GIU!AS23</f>
        <v>0</v>
      </c>
      <c r="CP281" s="445">
        <f>GIU!AT23</f>
        <v>0</v>
      </c>
      <c r="CQ281" s="446">
        <f>GIU!AU23</f>
        <v>0</v>
      </c>
      <c r="CR281" s="447">
        <f>GIU!AV23</f>
        <v>0</v>
      </c>
      <c r="CS281" s="448">
        <f>GIU!AW23</f>
        <v>0</v>
      </c>
      <c r="CT281" s="1100">
        <f>GIU!AY23</f>
        <v>0</v>
      </c>
      <c r="CU281" s="2"/>
    </row>
    <row r="282" spans="1:99" ht="14.25" hidden="1" customHeight="1" x14ac:dyDescent="0.2">
      <c r="A282" s="2"/>
      <c r="B282" s="151">
        <f t="shared" si="252"/>
        <v>45460</v>
      </c>
      <c r="C282" s="223">
        <f>IF(AND(E282&gt;(E$496-1),E282&lt;(I$496+1)),W$485,IF(ISERROR(HLOOKUP(E282,$E$489:$L$489,1,FALSE)),HLOOKUP(WEEKDAY(E282,2),IMPOSTAZIONI!$C$51:$P$56,6,FALSE),$W$484))</f>
        <v>0</v>
      </c>
      <c r="D282" s="103" t="str">
        <f t="shared" si="253"/>
        <v/>
      </c>
      <c r="E282" s="2380">
        <f t="shared" si="264"/>
        <v>45460</v>
      </c>
      <c r="F282" s="2381"/>
      <c r="G282" s="2325" t="str">
        <f>GIU!E24</f>
        <v xml:space="preserve">attiva trim.  </v>
      </c>
      <c r="H282" s="2326"/>
      <c r="I282" s="2327"/>
      <c r="J282" s="479" t="str">
        <f t="shared" si="249"/>
        <v/>
      </c>
      <c r="K282" s="480"/>
      <c r="L282" s="2323">
        <f t="shared" si="265"/>
        <v>25</v>
      </c>
      <c r="M282" s="2324"/>
      <c r="N282" s="478"/>
      <c r="O282" s="478"/>
      <c r="P282" s="478"/>
      <c r="Q282" s="2315">
        <f t="shared" si="254"/>
        <v>45460</v>
      </c>
      <c r="R282" s="2315"/>
      <c r="S282" s="478"/>
      <c r="T282" s="140">
        <f t="shared" si="255"/>
        <v>1</v>
      </c>
      <c r="U282" s="478"/>
      <c r="V282" s="478"/>
      <c r="W282" s="478"/>
      <c r="X282" s="478"/>
      <c r="Y282" s="478"/>
      <c r="Z282" s="478"/>
      <c r="AA282" s="478"/>
      <c r="AB282" s="478"/>
      <c r="AC282" s="478"/>
      <c r="AD282" s="478"/>
      <c r="AE282" s="478"/>
      <c r="AF282" s="478"/>
      <c r="AG282" s="140">
        <f t="shared" si="256"/>
        <v>0</v>
      </c>
      <c r="AH282" s="92" t="str">
        <f t="shared" si="257"/>
        <v/>
      </c>
      <c r="AI282" s="131">
        <f t="shared" si="258"/>
        <v>0</v>
      </c>
      <c r="AJ282" s="2"/>
      <c r="AK282" s="92">
        <f>IF(G282=G$481,0,IF(OR(G282&lt;&gt;0,CJ282&lt;&gt;0,C282="L"),COUNTIF(AK$114:AK281,"&gt;0")+1,0))</f>
        <v>0</v>
      </c>
      <c r="AL282" s="92" t="str">
        <f t="shared" si="259"/>
        <v/>
      </c>
      <c r="AM282" s="92" t="str">
        <f t="shared" si="260"/>
        <v/>
      </c>
      <c r="AN282" s="131">
        <f t="shared" si="250"/>
        <v>0</v>
      </c>
      <c r="AO282" s="447">
        <f>SUM(GIU!W24:Z24)</f>
        <v>0</v>
      </c>
      <c r="AP282" s="445">
        <f>SUMIF(GIU!$G$155:$J$155,AP$112,GIU!$R24:$U24)</f>
        <v>0</v>
      </c>
      <c r="AQ282" s="446">
        <f>SUMIF(GIU!$G$155:$J$155,AQ$112,GIU!$R24:$U24)</f>
        <v>0</v>
      </c>
      <c r="AR282" s="447">
        <f>SUMIF(GIU!$G$155:$J$155,AR$112,GIU!$R24:$U24)</f>
        <v>0</v>
      </c>
      <c r="AS282" s="448">
        <f>SUMIF(GIU!$G$155:$J$155,AS$112,GIU!$R24:$U24)</f>
        <v>0</v>
      </c>
      <c r="AT282" s="449">
        <f>GIU!AG24</f>
        <v>0</v>
      </c>
      <c r="AU282" s="445">
        <f>GIU!AH24</f>
        <v>0</v>
      </c>
      <c r="AV282" s="446">
        <f>GIU!AI24</f>
        <v>0</v>
      </c>
      <c r="AW282" s="447">
        <f>GIU!AJ24</f>
        <v>0</v>
      </c>
      <c r="AX282" s="448">
        <f>GIU!AK24</f>
        <v>0</v>
      </c>
      <c r="AY282" s="445">
        <f>SUMIF(GIU!$G$152:$J$152,"&gt;0",GIU!$W24:$Z24)</f>
        <v>0</v>
      </c>
      <c r="AZ282" s="1063">
        <f>SUM(GIU!AB24:AE24)</f>
        <v>0</v>
      </c>
      <c r="BA282" s="445">
        <f>SUMIF(GIU!$G$159:$J$159,BA$111,GIU!$R24:$U24)+SUMIF(GIU!$G$159:$J$159,BA$111,GIU!$W24:$Z24)</f>
        <v>0</v>
      </c>
      <c r="BB282" s="446">
        <f>SUMIF(GIU!$G$159:$J$159,BB$111,GIU!$R24:$U24)+SUMIF(GIU!$G$159:$J$159,BB$111,GIU!$W24:$Z24)</f>
        <v>0</v>
      </c>
      <c r="BC282" s="446">
        <f>SUMIF(GIU!$G$159:$J$159,BC$111,GIU!$R24:$U24)+SUMIF(GIU!$G$159:$J$159,BC$111,GIU!$W24:$Z24)</f>
        <v>0</v>
      </c>
      <c r="BD282" s="446">
        <f>SUMIF(GIU!$G$159:$J$159,BD$111,GIU!$R24:$U24)+SUMIF(GIU!$G$159:$J$159,BD$111,GIU!$W24:$Z24)</f>
        <v>0</v>
      </c>
      <c r="BE282" s="446">
        <f>SUMIF(GIU!$G$159:$J$159,BE$111,GIU!$R24:$U24)+SUMIF(GIU!$G$159:$J$159,BE$111,GIU!$W24:$Z24)</f>
        <v>0</v>
      </c>
      <c r="BF282" s="446">
        <f>SUMIF(GIU!$G$159:$J$159,BF$111,GIU!$R24:$U24)+SUMIF(GIU!$G$159:$J$159,BF$111,GIU!$W24:$Z24)</f>
        <v>0</v>
      </c>
      <c r="BG282" s="448">
        <f>SUMIF(GIU!$G$159:$J$159,BG$111,GIU!$R24:$U24)+SUMIF(GIU!$G$159:$J$159,BG$111,GIU!$W24:$Z24)</f>
        <v>0</v>
      </c>
      <c r="BH282" s="571"/>
      <c r="BI282" s="448"/>
      <c r="BJ282" s="470"/>
      <c r="BK282" s="445">
        <f>SUMIF(GIU!$G$157:$J$157,BK$111,GIU!$R24:$U24)+SUMIF(GIU!$G$157:$J$157,BK$111,GIU!$W24:$Z24)</f>
        <v>0</v>
      </c>
      <c r="BL282" s="446">
        <f>SUMIF(GIU!$G$157:$J$157,BL$111,GIU!$R24:$U24)+SUMIF(GIU!$G$157:$J$157,BL$111,GIU!$W24:$Z24)</f>
        <v>0</v>
      </c>
      <c r="BM282" s="446">
        <f>SUMIF(GIU!$G$157:$J$157,BM$111,GIU!$R24:$U24)+SUMIF(GIU!$G$157:$J$157,BM$111,GIU!$W24:$Z24)</f>
        <v>0</v>
      </c>
      <c r="BN282" s="446">
        <f>SUMIF(GIU!$G$157:$J$157,BN$111,GIU!$R24:$U24)+SUMIF(GIU!$G$157:$J$157,BN$111,GIU!$W24:$Z24)</f>
        <v>0</v>
      </c>
      <c r="BO282" s="446">
        <f>SUMIF(GIU!$G$157:$J$157,BO$111,GIU!$R24:$U24)+SUMIF(GIU!$G$157:$J$157,BO$111,GIU!$W24:$Z24)</f>
        <v>0</v>
      </c>
      <c r="BP282" s="446">
        <f>SUMIF(GIU!$G$157:$J$157,BP$111,GIU!$R24:$U24)+SUMIF(GIU!$G$157:$J$157,BP$111,GIU!$W24:$Z24)</f>
        <v>0</v>
      </c>
      <c r="BQ282" s="448">
        <f>SUMIF(GIU!$G$157:$J$157,BQ$111,GIU!$R24:$U24)+SUMIF(GIU!$G$157:$J$157,BQ$111,GIU!$W24:$Z24)</f>
        <v>0</v>
      </c>
      <c r="BR282" s="571"/>
      <c r="BS282" s="446"/>
      <c r="BT282" s="448"/>
      <c r="BU282" s="470"/>
      <c r="BV282" s="445">
        <f>SUMIF(GIU!$G$158:$J$158,BV$111,GIU!$R24:$U24)+SUMIF(GIU!$G$158:$J$158,BV$111,GIU!$W24:$Z24)</f>
        <v>0</v>
      </c>
      <c r="BW282" s="446">
        <f>SUMIF(GIU!$G$158:$J$158,BW$111,GIU!$R24:$U24)+SUMIF(GIU!$G$158:$J$158,BW$111,GIU!$W24:$Z24)</f>
        <v>0</v>
      </c>
      <c r="BX282" s="446">
        <f>SUMIF(GIU!$G$158:$J$158,BX$111,GIU!$R24:$U24)+SUMIF(GIU!$G$158:$J$158,BX$111,GIU!$W24:$Z24)</f>
        <v>0</v>
      </c>
      <c r="BY282" s="446">
        <f>SUMIF(GIU!$G$158:$J$158,BY$111,GIU!$R24:$U24)+SUMIF(GIU!$G$158:$J$158,BY$111,GIU!$W24:$Z24)</f>
        <v>0</v>
      </c>
      <c r="BZ282" s="446">
        <f>SUMIF(GIU!$G$158:$J$158,BZ$111,GIU!$R24:$U24)+SUMIF(GIU!$G$158:$J$158,BZ$111,GIU!$W24:$Z24)</f>
        <v>0</v>
      </c>
      <c r="CA282" s="446">
        <f>SUMIF(GIU!$G$158:$J$158,CA$111,GIU!$R24:$U24)+SUMIF(GIU!$G$158:$J$158,CA$111,GIU!$W24:$Z24)</f>
        <v>0</v>
      </c>
      <c r="CB282" s="448">
        <f>SUMIF(GIU!$G$158:$J$158,CB$111,GIU!$R24:$U24)+SUMIF(GIU!$G$158:$J$158,CB$111,GIU!$W24:$Z24)</f>
        <v>0</v>
      </c>
      <c r="CC282" s="571"/>
      <c r="CD282" s="448"/>
      <c r="CE282" s="92">
        <f t="shared" si="261"/>
        <v>0</v>
      </c>
      <c r="CF282" s="92">
        <f t="shared" si="262"/>
        <v>0</v>
      </c>
      <c r="CG282" s="151" t="str">
        <f t="shared" si="248"/>
        <v/>
      </c>
      <c r="CH282" s="92">
        <f t="shared" si="251"/>
        <v>0</v>
      </c>
      <c r="CI282" s="92" t="str">
        <f t="shared" si="263"/>
        <v/>
      </c>
      <c r="CJ282" s="1100">
        <f>GIU!AM24</f>
        <v>0</v>
      </c>
      <c r="CK282" s="445">
        <f>SUMIF(GIU!$G$155:$J$155,CK$112,GIU!$AN24:$AQ24)</f>
        <v>0</v>
      </c>
      <c r="CL282" s="446">
        <f>SUMIF(GIU!$G$155:$J$155,CL$112,GIU!$AN24:$AQ24)</f>
        <v>0</v>
      </c>
      <c r="CM282" s="447">
        <f>SUMIF(GIU!$G$155:$J$155,CM$112,GIU!$AN24:$AQ24)</f>
        <v>0</v>
      </c>
      <c r="CN282" s="448">
        <f>SUMIF(GIU!$G$155:$J$155,CN$112,GIU!$AN24:$AQ24)</f>
        <v>0</v>
      </c>
      <c r="CO282" s="1100">
        <f>GIU!AS24</f>
        <v>0</v>
      </c>
      <c r="CP282" s="445">
        <f>GIU!AT24</f>
        <v>0</v>
      </c>
      <c r="CQ282" s="446">
        <f>GIU!AU24</f>
        <v>0</v>
      </c>
      <c r="CR282" s="447">
        <f>GIU!AV24</f>
        <v>0</v>
      </c>
      <c r="CS282" s="448">
        <f>GIU!AW24</f>
        <v>0</v>
      </c>
      <c r="CT282" s="1100">
        <f>GIU!AY24</f>
        <v>0</v>
      </c>
      <c r="CU282" s="2"/>
    </row>
    <row r="283" spans="1:99" ht="14.25" hidden="1" customHeight="1" x14ac:dyDescent="0.2">
      <c r="A283" s="2"/>
      <c r="B283" s="151">
        <f t="shared" si="252"/>
        <v>45461</v>
      </c>
      <c r="C283" s="223">
        <f>IF(AND(E283&gt;(E$496-1),E283&lt;(I$496+1)),W$485,IF(ISERROR(HLOOKUP(E283,$E$489:$L$489,1,FALSE)),HLOOKUP(WEEKDAY(E283,2),IMPOSTAZIONI!$C$51:$P$56,6,FALSE),$W$484))</f>
        <v>0</v>
      </c>
      <c r="D283" s="103" t="str">
        <f t="shared" si="253"/>
        <v/>
      </c>
      <c r="E283" s="2380">
        <f t="shared" si="264"/>
        <v>45461</v>
      </c>
      <c r="F283" s="2381"/>
      <c r="G283" s="2325" t="str">
        <f>GIU!E25</f>
        <v xml:space="preserve">attiva trim.  </v>
      </c>
      <c r="H283" s="2326"/>
      <c r="I283" s="2327"/>
      <c r="J283" s="479" t="str">
        <f t="shared" si="249"/>
        <v/>
      </c>
      <c r="K283" s="480"/>
      <c r="L283" s="2319">
        <f t="shared" si="265"/>
        <v>25</v>
      </c>
      <c r="M283" s="2320"/>
      <c r="N283" s="478"/>
      <c r="O283" s="478"/>
      <c r="P283" s="478"/>
      <c r="Q283" s="2315">
        <f t="shared" si="254"/>
        <v>45461</v>
      </c>
      <c r="R283" s="2315"/>
      <c r="S283" s="478"/>
      <c r="T283" s="140">
        <f t="shared" si="255"/>
        <v>1</v>
      </c>
      <c r="U283" s="478"/>
      <c r="V283" s="478"/>
      <c r="W283" s="478"/>
      <c r="X283" s="478"/>
      <c r="Y283" s="478"/>
      <c r="Z283" s="478"/>
      <c r="AA283" s="478"/>
      <c r="AB283" s="478"/>
      <c r="AC283" s="478"/>
      <c r="AD283" s="478"/>
      <c r="AE283" s="478"/>
      <c r="AF283" s="478"/>
      <c r="AG283" s="140">
        <f t="shared" si="256"/>
        <v>0</v>
      </c>
      <c r="AH283" s="92" t="str">
        <f t="shared" si="257"/>
        <v/>
      </c>
      <c r="AI283" s="131">
        <f t="shared" si="258"/>
        <v>0</v>
      </c>
      <c r="AJ283" s="2"/>
      <c r="AK283" s="92">
        <f>IF(G283=G$481,0,IF(OR(G283&lt;&gt;0,CJ283&lt;&gt;0,C283="L"),COUNTIF(AK$114:AK282,"&gt;0")+1,0))</f>
        <v>0</v>
      </c>
      <c r="AL283" s="92" t="str">
        <f t="shared" si="259"/>
        <v/>
      </c>
      <c r="AM283" s="92" t="str">
        <f t="shared" si="260"/>
        <v/>
      </c>
      <c r="AN283" s="131">
        <f t="shared" si="250"/>
        <v>0</v>
      </c>
      <c r="AO283" s="447">
        <f>SUM(GIU!W25:Z25)</f>
        <v>0</v>
      </c>
      <c r="AP283" s="445">
        <f>SUMIF(GIU!$G$155:$J$155,AP$112,GIU!$R25:$U25)</f>
        <v>0</v>
      </c>
      <c r="AQ283" s="446">
        <f>SUMIF(GIU!$G$155:$J$155,AQ$112,GIU!$R25:$U25)</f>
        <v>0</v>
      </c>
      <c r="AR283" s="447">
        <f>SUMIF(GIU!$G$155:$J$155,AR$112,GIU!$R25:$U25)</f>
        <v>0</v>
      </c>
      <c r="AS283" s="448">
        <f>SUMIF(GIU!$G$155:$J$155,AS$112,GIU!$R25:$U25)</f>
        <v>0</v>
      </c>
      <c r="AT283" s="449">
        <f>GIU!AG25</f>
        <v>0</v>
      </c>
      <c r="AU283" s="445">
        <f>GIU!AH25</f>
        <v>0</v>
      </c>
      <c r="AV283" s="446">
        <f>GIU!AI25</f>
        <v>0</v>
      </c>
      <c r="AW283" s="447">
        <f>GIU!AJ25</f>
        <v>0</v>
      </c>
      <c r="AX283" s="448">
        <f>GIU!AK25</f>
        <v>0</v>
      </c>
      <c r="AY283" s="445">
        <f>SUMIF(GIU!$G$152:$J$152,"&gt;0",GIU!$W25:$Z25)</f>
        <v>0</v>
      </c>
      <c r="AZ283" s="1063">
        <f>SUM(GIU!AB25:AE25)</f>
        <v>0</v>
      </c>
      <c r="BA283" s="445">
        <f>SUMIF(GIU!$G$159:$J$159,BA$111,GIU!$R25:$U25)+SUMIF(GIU!$G$159:$J$159,BA$111,GIU!$W25:$Z25)</f>
        <v>0</v>
      </c>
      <c r="BB283" s="446">
        <f>SUMIF(GIU!$G$159:$J$159,BB$111,GIU!$R25:$U25)+SUMIF(GIU!$G$159:$J$159,BB$111,GIU!$W25:$Z25)</f>
        <v>0</v>
      </c>
      <c r="BC283" s="446">
        <f>SUMIF(GIU!$G$159:$J$159,BC$111,GIU!$R25:$U25)+SUMIF(GIU!$G$159:$J$159,BC$111,GIU!$W25:$Z25)</f>
        <v>0</v>
      </c>
      <c r="BD283" s="446">
        <f>SUMIF(GIU!$G$159:$J$159,BD$111,GIU!$R25:$U25)+SUMIF(GIU!$G$159:$J$159,BD$111,GIU!$W25:$Z25)</f>
        <v>0</v>
      </c>
      <c r="BE283" s="446">
        <f>SUMIF(GIU!$G$159:$J$159,BE$111,GIU!$R25:$U25)+SUMIF(GIU!$G$159:$J$159,BE$111,GIU!$W25:$Z25)</f>
        <v>0</v>
      </c>
      <c r="BF283" s="446">
        <f>SUMIF(GIU!$G$159:$J$159,BF$111,GIU!$R25:$U25)+SUMIF(GIU!$G$159:$J$159,BF$111,GIU!$W25:$Z25)</f>
        <v>0</v>
      </c>
      <c r="BG283" s="448">
        <f>SUMIF(GIU!$G$159:$J$159,BG$111,GIU!$R25:$U25)+SUMIF(GIU!$G$159:$J$159,BG$111,GIU!$W25:$Z25)</f>
        <v>0</v>
      </c>
      <c r="BH283" s="571"/>
      <c r="BI283" s="448"/>
      <c r="BJ283" s="470"/>
      <c r="BK283" s="445">
        <f>SUMIF(GIU!$G$157:$J$157,BK$111,GIU!$R25:$U25)+SUMIF(GIU!$G$157:$J$157,BK$111,GIU!$W25:$Z25)</f>
        <v>0</v>
      </c>
      <c r="BL283" s="446">
        <f>SUMIF(GIU!$G$157:$J$157,BL$111,GIU!$R25:$U25)+SUMIF(GIU!$G$157:$J$157,BL$111,GIU!$W25:$Z25)</f>
        <v>0</v>
      </c>
      <c r="BM283" s="446">
        <f>SUMIF(GIU!$G$157:$J$157,BM$111,GIU!$R25:$U25)+SUMIF(GIU!$G$157:$J$157,BM$111,GIU!$W25:$Z25)</f>
        <v>0</v>
      </c>
      <c r="BN283" s="446">
        <f>SUMIF(GIU!$G$157:$J$157,BN$111,GIU!$R25:$U25)+SUMIF(GIU!$G$157:$J$157,BN$111,GIU!$W25:$Z25)</f>
        <v>0</v>
      </c>
      <c r="BO283" s="446">
        <f>SUMIF(GIU!$G$157:$J$157,BO$111,GIU!$R25:$U25)+SUMIF(GIU!$G$157:$J$157,BO$111,GIU!$W25:$Z25)</f>
        <v>0</v>
      </c>
      <c r="BP283" s="446">
        <f>SUMIF(GIU!$G$157:$J$157,BP$111,GIU!$R25:$U25)+SUMIF(GIU!$G$157:$J$157,BP$111,GIU!$W25:$Z25)</f>
        <v>0</v>
      </c>
      <c r="BQ283" s="448">
        <f>SUMIF(GIU!$G$157:$J$157,BQ$111,GIU!$R25:$U25)+SUMIF(GIU!$G$157:$J$157,BQ$111,GIU!$W25:$Z25)</f>
        <v>0</v>
      </c>
      <c r="BR283" s="571"/>
      <c r="BS283" s="446"/>
      <c r="BT283" s="448"/>
      <c r="BU283" s="470"/>
      <c r="BV283" s="445">
        <f>SUMIF(GIU!$G$158:$J$158,BV$111,GIU!$R25:$U25)+SUMIF(GIU!$G$158:$J$158,BV$111,GIU!$W25:$Z25)</f>
        <v>0</v>
      </c>
      <c r="BW283" s="446">
        <f>SUMIF(GIU!$G$158:$J$158,BW$111,GIU!$R25:$U25)+SUMIF(GIU!$G$158:$J$158,BW$111,GIU!$W25:$Z25)</f>
        <v>0</v>
      </c>
      <c r="BX283" s="446">
        <f>SUMIF(GIU!$G$158:$J$158,BX$111,GIU!$R25:$U25)+SUMIF(GIU!$G$158:$J$158,BX$111,GIU!$W25:$Z25)</f>
        <v>0</v>
      </c>
      <c r="BY283" s="446">
        <f>SUMIF(GIU!$G$158:$J$158,BY$111,GIU!$R25:$U25)+SUMIF(GIU!$G$158:$J$158,BY$111,GIU!$W25:$Z25)</f>
        <v>0</v>
      </c>
      <c r="BZ283" s="446">
        <f>SUMIF(GIU!$G$158:$J$158,BZ$111,GIU!$R25:$U25)+SUMIF(GIU!$G$158:$J$158,BZ$111,GIU!$W25:$Z25)</f>
        <v>0</v>
      </c>
      <c r="CA283" s="446">
        <f>SUMIF(GIU!$G$158:$J$158,CA$111,GIU!$R25:$U25)+SUMIF(GIU!$G$158:$J$158,CA$111,GIU!$W25:$Z25)</f>
        <v>0</v>
      </c>
      <c r="CB283" s="448">
        <f>SUMIF(GIU!$G$158:$J$158,CB$111,GIU!$R25:$U25)+SUMIF(GIU!$G$158:$J$158,CB$111,GIU!$W25:$Z25)</f>
        <v>0</v>
      </c>
      <c r="CC283" s="571"/>
      <c r="CD283" s="448"/>
      <c r="CE283" s="92">
        <f t="shared" si="261"/>
        <v>0</v>
      </c>
      <c r="CF283" s="92">
        <f t="shared" si="262"/>
        <v>0</v>
      </c>
      <c r="CG283" s="151" t="str">
        <f t="shared" si="248"/>
        <v/>
      </c>
      <c r="CH283" s="92">
        <f t="shared" si="251"/>
        <v>0</v>
      </c>
      <c r="CI283" s="92" t="str">
        <f t="shared" si="263"/>
        <v/>
      </c>
      <c r="CJ283" s="1100">
        <f>GIU!AM25</f>
        <v>0</v>
      </c>
      <c r="CK283" s="445">
        <f>SUMIF(GIU!$G$155:$J$155,CK$112,GIU!$AN25:$AQ25)</f>
        <v>0</v>
      </c>
      <c r="CL283" s="446">
        <f>SUMIF(GIU!$G$155:$J$155,CL$112,GIU!$AN25:$AQ25)</f>
        <v>0</v>
      </c>
      <c r="CM283" s="447">
        <f>SUMIF(GIU!$G$155:$J$155,CM$112,GIU!$AN25:$AQ25)</f>
        <v>0</v>
      </c>
      <c r="CN283" s="448">
        <f>SUMIF(GIU!$G$155:$J$155,CN$112,GIU!$AN25:$AQ25)</f>
        <v>0</v>
      </c>
      <c r="CO283" s="1100">
        <f>GIU!AS25</f>
        <v>0</v>
      </c>
      <c r="CP283" s="445">
        <f>GIU!AT25</f>
        <v>0</v>
      </c>
      <c r="CQ283" s="446">
        <f>GIU!AU25</f>
        <v>0</v>
      </c>
      <c r="CR283" s="447">
        <f>GIU!AV25</f>
        <v>0</v>
      </c>
      <c r="CS283" s="448">
        <f>GIU!AW25</f>
        <v>0</v>
      </c>
      <c r="CT283" s="1100">
        <f>GIU!AY25</f>
        <v>0</v>
      </c>
      <c r="CU283" s="2"/>
    </row>
    <row r="284" spans="1:99" ht="14.25" hidden="1" customHeight="1" x14ac:dyDescent="0.2">
      <c r="A284" s="2"/>
      <c r="B284" s="151">
        <f t="shared" si="252"/>
        <v>45462</v>
      </c>
      <c r="C284" s="223">
        <f>IF(AND(E284&gt;(E$496-1),E284&lt;(I$496+1)),W$485,IF(ISERROR(HLOOKUP(E284,$E$489:$L$489,1,FALSE)),HLOOKUP(WEEKDAY(E284,2),IMPOSTAZIONI!$C$51:$P$56,6,FALSE),$W$484))</f>
        <v>0</v>
      </c>
      <c r="D284" s="103" t="str">
        <f t="shared" si="253"/>
        <v/>
      </c>
      <c r="E284" s="2380">
        <f t="shared" si="264"/>
        <v>45462</v>
      </c>
      <c r="F284" s="2381"/>
      <c r="G284" s="2325" t="str">
        <f>GIU!E26</f>
        <v xml:space="preserve">attiva trim.  </v>
      </c>
      <c r="H284" s="2326"/>
      <c r="I284" s="2327"/>
      <c r="J284" s="479" t="str">
        <f t="shared" si="249"/>
        <v/>
      </c>
      <c r="K284" s="480"/>
      <c r="L284" s="2319">
        <f t="shared" si="265"/>
        <v>25</v>
      </c>
      <c r="M284" s="2320"/>
      <c r="N284" s="478"/>
      <c r="O284" s="478"/>
      <c r="P284" s="478"/>
      <c r="Q284" s="2315">
        <f t="shared" si="254"/>
        <v>45462</v>
      </c>
      <c r="R284" s="2315"/>
      <c r="S284" s="478"/>
      <c r="T284" s="140">
        <f t="shared" si="255"/>
        <v>1</v>
      </c>
      <c r="U284" s="478"/>
      <c r="V284" s="478"/>
      <c r="W284" s="478"/>
      <c r="X284" s="478"/>
      <c r="Y284" s="478"/>
      <c r="Z284" s="478"/>
      <c r="AA284" s="478"/>
      <c r="AB284" s="478"/>
      <c r="AC284" s="478"/>
      <c r="AD284" s="478"/>
      <c r="AE284" s="478"/>
      <c r="AF284" s="478"/>
      <c r="AG284" s="140">
        <f t="shared" si="256"/>
        <v>0</v>
      </c>
      <c r="AH284" s="92" t="str">
        <f t="shared" si="257"/>
        <v/>
      </c>
      <c r="AI284" s="131">
        <f t="shared" si="258"/>
        <v>0</v>
      </c>
      <c r="AJ284" s="2"/>
      <c r="AK284" s="92">
        <f>IF(G284=G$481,0,IF(OR(G284&lt;&gt;0,CJ284&lt;&gt;0,C284="L"),COUNTIF(AK$114:AK283,"&gt;0")+1,0))</f>
        <v>0</v>
      </c>
      <c r="AL284" s="92" t="str">
        <f t="shared" si="259"/>
        <v/>
      </c>
      <c r="AM284" s="92" t="str">
        <f t="shared" si="260"/>
        <v/>
      </c>
      <c r="AN284" s="131">
        <f t="shared" si="250"/>
        <v>0</v>
      </c>
      <c r="AO284" s="447">
        <f>SUM(GIU!W26:Z26)</f>
        <v>0</v>
      </c>
      <c r="AP284" s="445">
        <f>SUMIF(GIU!$G$155:$J$155,AP$112,GIU!$R26:$U26)</f>
        <v>0</v>
      </c>
      <c r="AQ284" s="446">
        <f>SUMIF(GIU!$G$155:$J$155,AQ$112,GIU!$R26:$U26)</f>
        <v>0</v>
      </c>
      <c r="AR284" s="447">
        <f>SUMIF(GIU!$G$155:$J$155,AR$112,GIU!$R26:$U26)</f>
        <v>0</v>
      </c>
      <c r="AS284" s="448">
        <f>SUMIF(GIU!$G$155:$J$155,AS$112,GIU!$R26:$U26)</f>
        <v>0</v>
      </c>
      <c r="AT284" s="449">
        <f>GIU!AG26</f>
        <v>0</v>
      </c>
      <c r="AU284" s="445">
        <f>GIU!AH26</f>
        <v>0</v>
      </c>
      <c r="AV284" s="446">
        <f>GIU!AI26</f>
        <v>0</v>
      </c>
      <c r="AW284" s="447">
        <f>GIU!AJ26</f>
        <v>0</v>
      </c>
      <c r="AX284" s="448">
        <f>GIU!AK26</f>
        <v>0</v>
      </c>
      <c r="AY284" s="445">
        <f>SUMIF(GIU!$G$152:$J$152,"&gt;0",GIU!$W26:$Z26)</f>
        <v>0</v>
      </c>
      <c r="AZ284" s="1063">
        <f>SUM(GIU!AB26:AE26)</f>
        <v>0</v>
      </c>
      <c r="BA284" s="445">
        <f>SUMIF(GIU!$G$159:$J$159,BA$111,GIU!$R26:$U26)+SUMIF(GIU!$G$159:$J$159,BA$111,GIU!$W26:$Z26)</f>
        <v>0</v>
      </c>
      <c r="BB284" s="446">
        <f>SUMIF(GIU!$G$159:$J$159,BB$111,GIU!$R26:$U26)+SUMIF(GIU!$G$159:$J$159,BB$111,GIU!$W26:$Z26)</f>
        <v>0</v>
      </c>
      <c r="BC284" s="446">
        <f>SUMIF(GIU!$G$159:$J$159,BC$111,GIU!$R26:$U26)+SUMIF(GIU!$G$159:$J$159,BC$111,GIU!$W26:$Z26)</f>
        <v>0</v>
      </c>
      <c r="BD284" s="446">
        <f>SUMIF(GIU!$G$159:$J$159,BD$111,GIU!$R26:$U26)+SUMIF(GIU!$G$159:$J$159,BD$111,GIU!$W26:$Z26)</f>
        <v>0</v>
      </c>
      <c r="BE284" s="446">
        <f>SUMIF(GIU!$G$159:$J$159,BE$111,GIU!$R26:$U26)+SUMIF(GIU!$G$159:$J$159,BE$111,GIU!$W26:$Z26)</f>
        <v>0</v>
      </c>
      <c r="BF284" s="446">
        <f>SUMIF(GIU!$G$159:$J$159,BF$111,GIU!$R26:$U26)+SUMIF(GIU!$G$159:$J$159,BF$111,GIU!$W26:$Z26)</f>
        <v>0</v>
      </c>
      <c r="BG284" s="448">
        <f>SUMIF(GIU!$G$159:$J$159,BG$111,GIU!$R26:$U26)+SUMIF(GIU!$G$159:$J$159,BG$111,GIU!$W26:$Z26)</f>
        <v>0</v>
      </c>
      <c r="BH284" s="571"/>
      <c r="BI284" s="448"/>
      <c r="BJ284" s="470"/>
      <c r="BK284" s="445">
        <f>SUMIF(GIU!$G$157:$J$157,BK$111,GIU!$R26:$U26)+SUMIF(GIU!$G$157:$J$157,BK$111,GIU!$W26:$Z26)</f>
        <v>0</v>
      </c>
      <c r="BL284" s="446">
        <f>SUMIF(GIU!$G$157:$J$157,BL$111,GIU!$R26:$U26)+SUMIF(GIU!$G$157:$J$157,BL$111,GIU!$W26:$Z26)</f>
        <v>0</v>
      </c>
      <c r="BM284" s="446">
        <f>SUMIF(GIU!$G$157:$J$157,BM$111,GIU!$R26:$U26)+SUMIF(GIU!$G$157:$J$157,BM$111,GIU!$W26:$Z26)</f>
        <v>0</v>
      </c>
      <c r="BN284" s="446">
        <f>SUMIF(GIU!$G$157:$J$157,BN$111,GIU!$R26:$U26)+SUMIF(GIU!$G$157:$J$157,BN$111,GIU!$W26:$Z26)</f>
        <v>0</v>
      </c>
      <c r="BO284" s="446">
        <f>SUMIF(GIU!$G$157:$J$157,BO$111,GIU!$R26:$U26)+SUMIF(GIU!$G$157:$J$157,BO$111,GIU!$W26:$Z26)</f>
        <v>0</v>
      </c>
      <c r="BP284" s="446">
        <f>SUMIF(GIU!$G$157:$J$157,BP$111,GIU!$R26:$U26)+SUMIF(GIU!$G$157:$J$157,BP$111,GIU!$W26:$Z26)</f>
        <v>0</v>
      </c>
      <c r="BQ284" s="448">
        <f>SUMIF(GIU!$G$157:$J$157,BQ$111,GIU!$R26:$U26)+SUMIF(GIU!$G$157:$J$157,BQ$111,GIU!$W26:$Z26)</f>
        <v>0</v>
      </c>
      <c r="BR284" s="571"/>
      <c r="BS284" s="446"/>
      <c r="BT284" s="448"/>
      <c r="BU284" s="470"/>
      <c r="BV284" s="445">
        <f>SUMIF(GIU!$G$158:$J$158,BV$111,GIU!$R26:$U26)+SUMIF(GIU!$G$158:$J$158,BV$111,GIU!$W26:$Z26)</f>
        <v>0</v>
      </c>
      <c r="BW284" s="446">
        <f>SUMIF(GIU!$G$158:$J$158,BW$111,GIU!$R26:$U26)+SUMIF(GIU!$G$158:$J$158,BW$111,GIU!$W26:$Z26)</f>
        <v>0</v>
      </c>
      <c r="BX284" s="446">
        <f>SUMIF(GIU!$G$158:$J$158,BX$111,GIU!$R26:$U26)+SUMIF(GIU!$G$158:$J$158,BX$111,GIU!$W26:$Z26)</f>
        <v>0</v>
      </c>
      <c r="BY284" s="446">
        <f>SUMIF(GIU!$G$158:$J$158,BY$111,GIU!$R26:$U26)+SUMIF(GIU!$G$158:$J$158,BY$111,GIU!$W26:$Z26)</f>
        <v>0</v>
      </c>
      <c r="BZ284" s="446">
        <f>SUMIF(GIU!$G$158:$J$158,BZ$111,GIU!$R26:$U26)+SUMIF(GIU!$G$158:$J$158,BZ$111,GIU!$W26:$Z26)</f>
        <v>0</v>
      </c>
      <c r="CA284" s="446">
        <f>SUMIF(GIU!$G$158:$J$158,CA$111,GIU!$R26:$U26)+SUMIF(GIU!$G$158:$J$158,CA$111,GIU!$W26:$Z26)</f>
        <v>0</v>
      </c>
      <c r="CB284" s="448">
        <f>SUMIF(GIU!$G$158:$J$158,CB$111,GIU!$R26:$U26)+SUMIF(GIU!$G$158:$J$158,CB$111,GIU!$W26:$Z26)</f>
        <v>0</v>
      </c>
      <c r="CC284" s="571"/>
      <c r="CD284" s="448"/>
      <c r="CE284" s="92">
        <f t="shared" si="261"/>
        <v>0</v>
      </c>
      <c r="CF284" s="92">
        <f t="shared" si="262"/>
        <v>0</v>
      </c>
      <c r="CG284" s="151" t="str">
        <f t="shared" si="248"/>
        <v/>
      </c>
      <c r="CH284" s="92">
        <f t="shared" si="251"/>
        <v>0</v>
      </c>
      <c r="CI284" s="92" t="str">
        <f t="shared" si="263"/>
        <v/>
      </c>
      <c r="CJ284" s="1100">
        <f>GIU!AM26</f>
        <v>0</v>
      </c>
      <c r="CK284" s="445">
        <f>SUMIF(GIU!$G$155:$J$155,CK$112,GIU!$AN26:$AQ26)</f>
        <v>0</v>
      </c>
      <c r="CL284" s="446">
        <f>SUMIF(GIU!$G$155:$J$155,CL$112,GIU!$AN26:$AQ26)</f>
        <v>0</v>
      </c>
      <c r="CM284" s="447">
        <f>SUMIF(GIU!$G$155:$J$155,CM$112,GIU!$AN26:$AQ26)</f>
        <v>0</v>
      </c>
      <c r="CN284" s="448">
        <f>SUMIF(GIU!$G$155:$J$155,CN$112,GIU!$AN26:$AQ26)</f>
        <v>0</v>
      </c>
      <c r="CO284" s="1100">
        <f>GIU!AS26</f>
        <v>0</v>
      </c>
      <c r="CP284" s="445">
        <f>GIU!AT26</f>
        <v>0</v>
      </c>
      <c r="CQ284" s="446">
        <f>GIU!AU26</f>
        <v>0</v>
      </c>
      <c r="CR284" s="447">
        <f>GIU!AV26</f>
        <v>0</v>
      </c>
      <c r="CS284" s="448">
        <f>GIU!AW26</f>
        <v>0</v>
      </c>
      <c r="CT284" s="1100">
        <f>GIU!AY26</f>
        <v>0</v>
      </c>
      <c r="CU284" s="2"/>
    </row>
    <row r="285" spans="1:99" ht="14.25" hidden="1" customHeight="1" x14ac:dyDescent="0.2">
      <c r="A285" s="2"/>
      <c r="B285" s="151">
        <f t="shared" si="252"/>
        <v>45463</v>
      </c>
      <c r="C285" s="223">
        <f>IF(AND(E285&gt;(E$496-1),E285&lt;(I$496+1)),W$485,IF(ISERROR(HLOOKUP(E285,$E$489:$L$489,1,FALSE)),HLOOKUP(WEEKDAY(E285,2),IMPOSTAZIONI!$C$51:$P$56,6,FALSE),$W$484))</f>
        <v>0</v>
      </c>
      <c r="D285" s="103" t="str">
        <f t="shared" si="253"/>
        <v/>
      </c>
      <c r="E285" s="2380">
        <f t="shared" si="264"/>
        <v>45463</v>
      </c>
      <c r="F285" s="2381"/>
      <c r="G285" s="2325" t="str">
        <f>GIU!E27</f>
        <v xml:space="preserve">attiva trim.  </v>
      </c>
      <c r="H285" s="2326"/>
      <c r="I285" s="2327"/>
      <c r="J285" s="479" t="str">
        <f t="shared" si="249"/>
        <v/>
      </c>
      <c r="K285" s="480"/>
      <c r="L285" s="2319">
        <f t="shared" si="265"/>
        <v>25</v>
      </c>
      <c r="M285" s="2320"/>
      <c r="N285" s="478"/>
      <c r="O285" s="478"/>
      <c r="P285" s="478"/>
      <c r="Q285" s="2315">
        <f t="shared" si="254"/>
        <v>45463</v>
      </c>
      <c r="R285" s="2315"/>
      <c r="S285" s="478"/>
      <c r="T285" s="140">
        <f t="shared" si="255"/>
        <v>1</v>
      </c>
      <c r="U285" s="478"/>
      <c r="V285" s="478"/>
      <c r="W285" s="478"/>
      <c r="X285" s="478"/>
      <c r="Y285" s="478"/>
      <c r="Z285" s="478"/>
      <c r="AA285" s="478"/>
      <c r="AB285" s="478"/>
      <c r="AC285" s="478"/>
      <c r="AD285" s="478"/>
      <c r="AE285" s="478"/>
      <c r="AF285" s="478"/>
      <c r="AG285" s="140">
        <f t="shared" si="256"/>
        <v>0</v>
      </c>
      <c r="AH285" s="92" t="str">
        <f t="shared" si="257"/>
        <v/>
      </c>
      <c r="AI285" s="131">
        <f t="shared" si="258"/>
        <v>0</v>
      </c>
      <c r="AJ285" s="2"/>
      <c r="AK285" s="92">
        <f>IF(G285=G$481,0,IF(OR(G285&lt;&gt;0,CJ285&lt;&gt;0,C285="L"),COUNTIF(AK$114:AK284,"&gt;0")+1,0))</f>
        <v>0</v>
      </c>
      <c r="AL285" s="92" t="str">
        <f t="shared" si="259"/>
        <v/>
      </c>
      <c r="AM285" s="92" t="str">
        <f t="shared" si="260"/>
        <v/>
      </c>
      <c r="AN285" s="131">
        <f t="shared" si="250"/>
        <v>0</v>
      </c>
      <c r="AO285" s="447">
        <f>SUM(GIU!W27:Z27)</f>
        <v>0</v>
      </c>
      <c r="AP285" s="445">
        <f>SUMIF(GIU!$G$155:$J$155,AP$112,GIU!$R27:$U27)</f>
        <v>0</v>
      </c>
      <c r="AQ285" s="446">
        <f>SUMIF(GIU!$G$155:$J$155,AQ$112,GIU!$R27:$U27)</f>
        <v>0</v>
      </c>
      <c r="AR285" s="447">
        <f>SUMIF(GIU!$G$155:$J$155,AR$112,GIU!$R27:$U27)</f>
        <v>0</v>
      </c>
      <c r="AS285" s="448">
        <f>SUMIF(GIU!$G$155:$J$155,AS$112,GIU!$R27:$U27)</f>
        <v>0</v>
      </c>
      <c r="AT285" s="449">
        <f>GIU!AG27</f>
        <v>0</v>
      </c>
      <c r="AU285" s="445">
        <f>GIU!AH27</f>
        <v>0</v>
      </c>
      <c r="AV285" s="446">
        <f>GIU!AI27</f>
        <v>0</v>
      </c>
      <c r="AW285" s="447">
        <f>GIU!AJ27</f>
        <v>0</v>
      </c>
      <c r="AX285" s="448">
        <f>GIU!AK27</f>
        <v>0</v>
      </c>
      <c r="AY285" s="445">
        <f>SUMIF(GIU!$G$152:$J$152,"&gt;0",GIU!$W27:$Z27)</f>
        <v>0</v>
      </c>
      <c r="AZ285" s="1063">
        <f>SUM(GIU!AB27:AE27)</f>
        <v>0</v>
      </c>
      <c r="BA285" s="445">
        <f>SUMIF(GIU!$G$159:$J$159,BA$111,GIU!$R27:$U27)+SUMIF(GIU!$G$159:$J$159,BA$111,GIU!$W27:$Z27)</f>
        <v>0</v>
      </c>
      <c r="BB285" s="446">
        <f>SUMIF(GIU!$G$159:$J$159,BB$111,GIU!$R27:$U27)+SUMIF(GIU!$G$159:$J$159,BB$111,GIU!$W27:$Z27)</f>
        <v>0</v>
      </c>
      <c r="BC285" s="446">
        <f>SUMIF(GIU!$G$159:$J$159,BC$111,GIU!$R27:$U27)+SUMIF(GIU!$G$159:$J$159,BC$111,GIU!$W27:$Z27)</f>
        <v>0</v>
      </c>
      <c r="BD285" s="446">
        <f>SUMIF(GIU!$G$159:$J$159,BD$111,GIU!$R27:$U27)+SUMIF(GIU!$G$159:$J$159,BD$111,GIU!$W27:$Z27)</f>
        <v>0</v>
      </c>
      <c r="BE285" s="446">
        <f>SUMIF(GIU!$G$159:$J$159,BE$111,GIU!$R27:$U27)+SUMIF(GIU!$G$159:$J$159,BE$111,GIU!$W27:$Z27)</f>
        <v>0</v>
      </c>
      <c r="BF285" s="446">
        <f>SUMIF(GIU!$G$159:$J$159,BF$111,GIU!$R27:$U27)+SUMIF(GIU!$G$159:$J$159,BF$111,GIU!$W27:$Z27)</f>
        <v>0</v>
      </c>
      <c r="BG285" s="448">
        <f>SUMIF(GIU!$G$159:$J$159,BG$111,GIU!$R27:$U27)+SUMIF(GIU!$G$159:$J$159,BG$111,GIU!$W27:$Z27)</f>
        <v>0</v>
      </c>
      <c r="BH285" s="571"/>
      <c r="BI285" s="448"/>
      <c r="BJ285" s="470"/>
      <c r="BK285" s="445">
        <f>SUMIF(GIU!$G$157:$J$157,BK$111,GIU!$R27:$U27)+SUMIF(GIU!$G$157:$J$157,BK$111,GIU!$W27:$Z27)</f>
        <v>0</v>
      </c>
      <c r="BL285" s="446">
        <f>SUMIF(GIU!$G$157:$J$157,BL$111,GIU!$R27:$U27)+SUMIF(GIU!$G$157:$J$157,BL$111,GIU!$W27:$Z27)</f>
        <v>0</v>
      </c>
      <c r="BM285" s="446">
        <f>SUMIF(GIU!$G$157:$J$157,BM$111,GIU!$R27:$U27)+SUMIF(GIU!$G$157:$J$157,BM$111,GIU!$W27:$Z27)</f>
        <v>0</v>
      </c>
      <c r="BN285" s="446">
        <f>SUMIF(GIU!$G$157:$J$157,BN$111,GIU!$R27:$U27)+SUMIF(GIU!$G$157:$J$157,BN$111,GIU!$W27:$Z27)</f>
        <v>0</v>
      </c>
      <c r="BO285" s="446">
        <f>SUMIF(GIU!$G$157:$J$157,BO$111,GIU!$R27:$U27)+SUMIF(GIU!$G$157:$J$157,BO$111,GIU!$W27:$Z27)</f>
        <v>0</v>
      </c>
      <c r="BP285" s="446">
        <f>SUMIF(GIU!$G$157:$J$157,BP$111,GIU!$R27:$U27)+SUMIF(GIU!$G$157:$J$157,BP$111,GIU!$W27:$Z27)</f>
        <v>0</v>
      </c>
      <c r="BQ285" s="448">
        <f>SUMIF(GIU!$G$157:$J$157,BQ$111,GIU!$R27:$U27)+SUMIF(GIU!$G$157:$J$157,BQ$111,GIU!$W27:$Z27)</f>
        <v>0</v>
      </c>
      <c r="BR285" s="571"/>
      <c r="BS285" s="446"/>
      <c r="BT285" s="448"/>
      <c r="BU285" s="470"/>
      <c r="BV285" s="445">
        <f>SUMIF(GIU!$G$158:$J$158,BV$111,GIU!$R27:$U27)+SUMIF(GIU!$G$158:$J$158,BV$111,GIU!$W27:$Z27)</f>
        <v>0</v>
      </c>
      <c r="BW285" s="446">
        <f>SUMIF(GIU!$G$158:$J$158,BW$111,GIU!$R27:$U27)+SUMIF(GIU!$G$158:$J$158,BW$111,GIU!$W27:$Z27)</f>
        <v>0</v>
      </c>
      <c r="BX285" s="446">
        <f>SUMIF(GIU!$G$158:$J$158,BX$111,GIU!$R27:$U27)+SUMIF(GIU!$G$158:$J$158,BX$111,GIU!$W27:$Z27)</f>
        <v>0</v>
      </c>
      <c r="BY285" s="446">
        <f>SUMIF(GIU!$G$158:$J$158,BY$111,GIU!$R27:$U27)+SUMIF(GIU!$G$158:$J$158,BY$111,GIU!$W27:$Z27)</f>
        <v>0</v>
      </c>
      <c r="BZ285" s="446">
        <f>SUMIF(GIU!$G$158:$J$158,BZ$111,GIU!$R27:$U27)+SUMIF(GIU!$G$158:$J$158,BZ$111,GIU!$W27:$Z27)</f>
        <v>0</v>
      </c>
      <c r="CA285" s="446">
        <f>SUMIF(GIU!$G$158:$J$158,CA$111,GIU!$R27:$U27)+SUMIF(GIU!$G$158:$J$158,CA$111,GIU!$W27:$Z27)</f>
        <v>0</v>
      </c>
      <c r="CB285" s="448">
        <f>SUMIF(GIU!$G$158:$J$158,CB$111,GIU!$R27:$U27)+SUMIF(GIU!$G$158:$J$158,CB$111,GIU!$W27:$Z27)</f>
        <v>0</v>
      </c>
      <c r="CC285" s="571"/>
      <c r="CD285" s="448"/>
      <c r="CE285" s="92">
        <f t="shared" si="261"/>
        <v>0</v>
      </c>
      <c r="CF285" s="92">
        <f t="shared" si="262"/>
        <v>0</v>
      </c>
      <c r="CG285" s="151" t="str">
        <f t="shared" si="248"/>
        <v/>
      </c>
      <c r="CH285" s="92">
        <f t="shared" si="251"/>
        <v>0</v>
      </c>
      <c r="CI285" s="92" t="str">
        <f t="shared" si="263"/>
        <v/>
      </c>
      <c r="CJ285" s="1100">
        <f>GIU!AM27</f>
        <v>0</v>
      </c>
      <c r="CK285" s="445">
        <f>SUMIF(GIU!$G$155:$J$155,CK$112,GIU!$AN27:$AQ27)</f>
        <v>0</v>
      </c>
      <c r="CL285" s="446">
        <f>SUMIF(GIU!$G$155:$J$155,CL$112,GIU!$AN27:$AQ27)</f>
        <v>0</v>
      </c>
      <c r="CM285" s="447">
        <f>SUMIF(GIU!$G$155:$J$155,CM$112,GIU!$AN27:$AQ27)</f>
        <v>0</v>
      </c>
      <c r="CN285" s="448">
        <f>SUMIF(GIU!$G$155:$J$155,CN$112,GIU!$AN27:$AQ27)</f>
        <v>0</v>
      </c>
      <c r="CO285" s="1100">
        <f>GIU!AS27</f>
        <v>0</v>
      </c>
      <c r="CP285" s="445">
        <f>GIU!AT27</f>
        <v>0</v>
      </c>
      <c r="CQ285" s="446">
        <f>GIU!AU27</f>
        <v>0</v>
      </c>
      <c r="CR285" s="447">
        <f>GIU!AV27</f>
        <v>0</v>
      </c>
      <c r="CS285" s="448">
        <f>GIU!AW27</f>
        <v>0</v>
      </c>
      <c r="CT285" s="1100">
        <f>GIU!AY27</f>
        <v>0</v>
      </c>
      <c r="CU285" s="2"/>
    </row>
    <row r="286" spans="1:99" ht="14.25" hidden="1" customHeight="1" x14ac:dyDescent="0.2">
      <c r="A286" s="2"/>
      <c r="B286" s="151">
        <f t="shared" si="252"/>
        <v>45464</v>
      </c>
      <c r="C286" s="223">
        <f>IF(AND(E286&gt;(E$496-1),E286&lt;(I$496+1)),W$485,IF(ISERROR(HLOOKUP(E286,$E$489:$L$489,1,FALSE)),HLOOKUP(WEEKDAY(E286,2),IMPOSTAZIONI!$C$51:$P$56,6,FALSE),$W$484))</f>
        <v>0</v>
      </c>
      <c r="D286" s="103" t="str">
        <f t="shared" si="253"/>
        <v/>
      </c>
      <c r="E286" s="2380">
        <f t="shared" si="264"/>
        <v>45464</v>
      </c>
      <c r="F286" s="2381"/>
      <c r="G286" s="2325" t="str">
        <f>GIU!E28</f>
        <v xml:space="preserve">attiva trim.  </v>
      </c>
      <c r="H286" s="2326"/>
      <c r="I286" s="2327"/>
      <c r="J286" s="479" t="str">
        <f t="shared" si="249"/>
        <v/>
      </c>
      <c r="K286" s="480"/>
      <c r="L286" s="2319">
        <f t="shared" si="265"/>
        <v>25</v>
      </c>
      <c r="M286" s="2320"/>
      <c r="N286" s="478"/>
      <c r="O286" s="478"/>
      <c r="P286" s="478"/>
      <c r="Q286" s="2315">
        <f t="shared" si="254"/>
        <v>45464</v>
      </c>
      <c r="R286" s="2315"/>
      <c r="S286" s="478"/>
      <c r="T286" s="140">
        <f t="shared" si="255"/>
        <v>1</v>
      </c>
      <c r="U286" s="478"/>
      <c r="V286" s="478"/>
      <c r="W286" s="478"/>
      <c r="X286" s="478"/>
      <c r="Y286" s="478"/>
      <c r="Z286" s="478"/>
      <c r="AA286" s="478"/>
      <c r="AB286" s="478"/>
      <c r="AC286" s="478"/>
      <c r="AD286" s="478"/>
      <c r="AE286" s="478"/>
      <c r="AF286" s="478"/>
      <c r="AG286" s="140">
        <f t="shared" si="256"/>
        <v>0</v>
      </c>
      <c r="AH286" s="92" t="str">
        <f t="shared" si="257"/>
        <v/>
      </c>
      <c r="AI286" s="131">
        <f t="shared" si="258"/>
        <v>0</v>
      </c>
      <c r="AJ286" s="2"/>
      <c r="AK286" s="92">
        <f>IF(G286=G$481,0,IF(OR(G286&lt;&gt;0,CJ286&lt;&gt;0,C286="L"),COUNTIF(AK$114:AK285,"&gt;0")+1,0))</f>
        <v>0</v>
      </c>
      <c r="AL286" s="92" t="str">
        <f t="shared" si="259"/>
        <v/>
      </c>
      <c r="AM286" s="92" t="str">
        <f t="shared" si="260"/>
        <v/>
      </c>
      <c r="AN286" s="131">
        <f t="shared" si="250"/>
        <v>0</v>
      </c>
      <c r="AO286" s="447">
        <f>SUM(GIU!W28:Z28)</f>
        <v>0</v>
      </c>
      <c r="AP286" s="445">
        <f>SUMIF(GIU!$G$155:$J$155,AP$112,GIU!$R28:$U28)</f>
        <v>0</v>
      </c>
      <c r="AQ286" s="446">
        <f>SUMIF(GIU!$G$155:$J$155,AQ$112,GIU!$R28:$U28)</f>
        <v>0</v>
      </c>
      <c r="AR286" s="447">
        <f>SUMIF(GIU!$G$155:$J$155,AR$112,GIU!$R28:$U28)</f>
        <v>0</v>
      </c>
      <c r="AS286" s="448">
        <f>SUMIF(GIU!$G$155:$J$155,AS$112,GIU!$R28:$U28)</f>
        <v>0</v>
      </c>
      <c r="AT286" s="449">
        <f>GIU!AG28</f>
        <v>0</v>
      </c>
      <c r="AU286" s="445">
        <f>GIU!AH28</f>
        <v>0</v>
      </c>
      <c r="AV286" s="446">
        <f>GIU!AI28</f>
        <v>0</v>
      </c>
      <c r="AW286" s="447">
        <f>GIU!AJ28</f>
        <v>0</v>
      </c>
      <c r="AX286" s="448">
        <f>GIU!AK28</f>
        <v>0</v>
      </c>
      <c r="AY286" s="445">
        <f>SUMIF(GIU!$G$152:$J$152,"&gt;0",GIU!$W28:$Z28)</f>
        <v>0</v>
      </c>
      <c r="AZ286" s="1063">
        <f>SUM(GIU!AB28:AE28)</f>
        <v>0</v>
      </c>
      <c r="BA286" s="445">
        <f>SUMIF(GIU!$G$159:$J$159,BA$111,GIU!$R28:$U28)+SUMIF(GIU!$G$159:$J$159,BA$111,GIU!$W28:$Z28)</f>
        <v>0</v>
      </c>
      <c r="BB286" s="446">
        <f>SUMIF(GIU!$G$159:$J$159,BB$111,GIU!$R28:$U28)+SUMIF(GIU!$G$159:$J$159,BB$111,GIU!$W28:$Z28)</f>
        <v>0</v>
      </c>
      <c r="BC286" s="446">
        <f>SUMIF(GIU!$G$159:$J$159,BC$111,GIU!$R28:$U28)+SUMIF(GIU!$G$159:$J$159,BC$111,GIU!$W28:$Z28)</f>
        <v>0</v>
      </c>
      <c r="BD286" s="446">
        <f>SUMIF(GIU!$G$159:$J$159,BD$111,GIU!$R28:$U28)+SUMIF(GIU!$G$159:$J$159,BD$111,GIU!$W28:$Z28)</f>
        <v>0</v>
      </c>
      <c r="BE286" s="446">
        <f>SUMIF(GIU!$G$159:$J$159,BE$111,GIU!$R28:$U28)+SUMIF(GIU!$G$159:$J$159,BE$111,GIU!$W28:$Z28)</f>
        <v>0</v>
      </c>
      <c r="BF286" s="446">
        <f>SUMIF(GIU!$G$159:$J$159,BF$111,GIU!$R28:$U28)+SUMIF(GIU!$G$159:$J$159,BF$111,GIU!$W28:$Z28)</f>
        <v>0</v>
      </c>
      <c r="BG286" s="448">
        <f>SUMIF(GIU!$G$159:$J$159,BG$111,GIU!$R28:$U28)+SUMIF(GIU!$G$159:$J$159,BG$111,GIU!$W28:$Z28)</f>
        <v>0</v>
      </c>
      <c r="BH286" s="571"/>
      <c r="BI286" s="448"/>
      <c r="BJ286" s="470"/>
      <c r="BK286" s="445">
        <f>SUMIF(GIU!$G$157:$J$157,BK$111,GIU!$R28:$U28)+SUMIF(GIU!$G$157:$J$157,BK$111,GIU!$W28:$Z28)</f>
        <v>0</v>
      </c>
      <c r="BL286" s="446">
        <f>SUMIF(GIU!$G$157:$J$157,BL$111,GIU!$R28:$U28)+SUMIF(GIU!$G$157:$J$157,BL$111,GIU!$W28:$Z28)</f>
        <v>0</v>
      </c>
      <c r="BM286" s="446">
        <f>SUMIF(GIU!$G$157:$J$157,BM$111,GIU!$R28:$U28)+SUMIF(GIU!$G$157:$J$157,BM$111,GIU!$W28:$Z28)</f>
        <v>0</v>
      </c>
      <c r="BN286" s="446">
        <f>SUMIF(GIU!$G$157:$J$157,BN$111,GIU!$R28:$U28)+SUMIF(GIU!$G$157:$J$157,BN$111,GIU!$W28:$Z28)</f>
        <v>0</v>
      </c>
      <c r="BO286" s="446">
        <f>SUMIF(GIU!$G$157:$J$157,BO$111,GIU!$R28:$U28)+SUMIF(GIU!$G$157:$J$157,BO$111,GIU!$W28:$Z28)</f>
        <v>0</v>
      </c>
      <c r="BP286" s="446">
        <f>SUMIF(GIU!$G$157:$J$157,BP$111,GIU!$R28:$U28)+SUMIF(GIU!$G$157:$J$157,BP$111,GIU!$W28:$Z28)</f>
        <v>0</v>
      </c>
      <c r="BQ286" s="448">
        <f>SUMIF(GIU!$G$157:$J$157,BQ$111,GIU!$R28:$U28)+SUMIF(GIU!$G$157:$J$157,BQ$111,GIU!$W28:$Z28)</f>
        <v>0</v>
      </c>
      <c r="BR286" s="571"/>
      <c r="BS286" s="446"/>
      <c r="BT286" s="448"/>
      <c r="BU286" s="470"/>
      <c r="BV286" s="445">
        <f>SUMIF(GIU!$G$158:$J$158,BV$111,GIU!$R28:$U28)+SUMIF(GIU!$G$158:$J$158,BV$111,GIU!$W28:$Z28)</f>
        <v>0</v>
      </c>
      <c r="BW286" s="446">
        <f>SUMIF(GIU!$G$158:$J$158,BW$111,GIU!$R28:$U28)+SUMIF(GIU!$G$158:$J$158,BW$111,GIU!$W28:$Z28)</f>
        <v>0</v>
      </c>
      <c r="BX286" s="446">
        <f>SUMIF(GIU!$G$158:$J$158,BX$111,GIU!$R28:$U28)+SUMIF(GIU!$G$158:$J$158,BX$111,GIU!$W28:$Z28)</f>
        <v>0</v>
      </c>
      <c r="BY286" s="446">
        <f>SUMIF(GIU!$G$158:$J$158,BY$111,GIU!$R28:$U28)+SUMIF(GIU!$G$158:$J$158,BY$111,GIU!$W28:$Z28)</f>
        <v>0</v>
      </c>
      <c r="BZ286" s="446">
        <f>SUMIF(GIU!$G$158:$J$158,BZ$111,GIU!$R28:$U28)+SUMIF(GIU!$G$158:$J$158,BZ$111,GIU!$W28:$Z28)</f>
        <v>0</v>
      </c>
      <c r="CA286" s="446">
        <f>SUMIF(GIU!$G$158:$J$158,CA$111,GIU!$R28:$U28)+SUMIF(GIU!$G$158:$J$158,CA$111,GIU!$W28:$Z28)</f>
        <v>0</v>
      </c>
      <c r="CB286" s="448">
        <f>SUMIF(GIU!$G$158:$J$158,CB$111,GIU!$R28:$U28)+SUMIF(GIU!$G$158:$J$158,CB$111,GIU!$W28:$Z28)</f>
        <v>0</v>
      </c>
      <c r="CC286" s="571"/>
      <c r="CD286" s="448"/>
      <c r="CE286" s="92">
        <f t="shared" si="261"/>
        <v>0</v>
      </c>
      <c r="CF286" s="92">
        <f t="shared" si="262"/>
        <v>0</v>
      </c>
      <c r="CG286" s="151" t="str">
        <f t="shared" si="248"/>
        <v/>
      </c>
      <c r="CH286" s="92">
        <f t="shared" si="251"/>
        <v>0</v>
      </c>
      <c r="CI286" s="92" t="str">
        <f t="shared" si="263"/>
        <v/>
      </c>
      <c r="CJ286" s="1100">
        <f>GIU!AM28</f>
        <v>0</v>
      </c>
      <c r="CK286" s="445">
        <f>SUMIF(GIU!$G$155:$J$155,CK$112,GIU!$AN28:$AQ28)</f>
        <v>0</v>
      </c>
      <c r="CL286" s="446">
        <f>SUMIF(GIU!$G$155:$J$155,CL$112,GIU!$AN28:$AQ28)</f>
        <v>0</v>
      </c>
      <c r="CM286" s="447">
        <f>SUMIF(GIU!$G$155:$J$155,CM$112,GIU!$AN28:$AQ28)</f>
        <v>0</v>
      </c>
      <c r="CN286" s="448">
        <f>SUMIF(GIU!$G$155:$J$155,CN$112,GIU!$AN28:$AQ28)</f>
        <v>0</v>
      </c>
      <c r="CO286" s="1100">
        <f>GIU!AS28</f>
        <v>0</v>
      </c>
      <c r="CP286" s="445">
        <f>GIU!AT28</f>
        <v>0</v>
      </c>
      <c r="CQ286" s="446">
        <f>GIU!AU28</f>
        <v>0</v>
      </c>
      <c r="CR286" s="447">
        <f>GIU!AV28</f>
        <v>0</v>
      </c>
      <c r="CS286" s="448">
        <f>GIU!AW28</f>
        <v>0</v>
      </c>
      <c r="CT286" s="1100">
        <f>GIU!AY28</f>
        <v>0</v>
      </c>
      <c r="CU286" s="2"/>
    </row>
    <row r="287" spans="1:99" ht="14.25" hidden="1" customHeight="1" x14ac:dyDescent="0.2">
      <c r="A287" s="2"/>
      <c r="B287" s="151">
        <f t="shared" si="252"/>
        <v>45465</v>
      </c>
      <c r="C287" s="223">
        <f>IF(AND(E287&gt;(E$496-1),E287&lt;(I$496+1)),W$485,IF(ISERROR(HLOOKUP(E287,$E$489:$L$489,1,FALSE)),HLOOKUP(WEEKDAY(E287,2),IMPOSTAZIONI!$C$51:$P$56,6,FALSE),$W$484))</f>
        <v>0</v>
      </c>
      <c r="D287" s="103" t="str">
        <f t="shared" si="253"/>
        <v/>
      </c>
      <c r="E287" s="2380">
        <f t="shared" si="264"/>
        <v>45465</v>
      </c>
      <c r="F287" s="2381"/>
      <c r="G287" s="2325" t="str">
        <f>GIU!E29</f>
        <v xml:space="preserve">attiva trim.  </v>
      </c>
      <c r="H287" s="2326"/>
      <c r="I287" s="2327"/>
      <c r="J287" s="479" t="str">
        <f t="shared" si="249"/>
        <v/>
      </c>
      <c r="K287" s="480"/>
      <c r="L287" s="2319">
        <f t="shared" si="265"/>
        <v>25</v>
      </c>
      <c r="M287" s="2320"/>
      <c r="N287" s="478"/>
      <c r="O287" s="478"/>
      <c r="P287" s="478"/>
      <c r="Q287" s="2315">
        <f t="shared" si="254"/>
        <v>45465</v>
      </c>
      <c r="R287" s="2315"/>
      <c r="S287" s="478"/>
      <c r="T287" s="140">
        <f t="shared" si="255"/>
        <v>1</v>
      </c>
      <c r="U287" s="478"/>
      <c r="V287" s="478"/>
      <c r="W287" s="478"/>
      <c r="X287" s="478"/>
      <c r="Y287" s="478"/>
      <c r="Z287" s="478"/>
      <c r="AA287" s="478"/>
      <c r="AB287" s="478"/>
      <c r="AC287" s="478"/>
      <c r="AD287" s="478"/>
      <c r="AE287" s="478"/>
      <c r="AF287" s="478"/>
      <c r="AG287" s="140">
        <f t="shared" si="256"/>
        <v>0</v>
      </c>
      <c r="AH287" s="92" t="str">
        <f t="shared" si="257"/>
        <v/>
      </c>
      <c r="AI287" s="131">
        <f t="shared" si="258"/>
        <v>0</v>
      </c>
      <c r="AJ287" s="2"/>
      <c r="AK287" s="92">
        <f>IF(G287=G$481,0,IF(OR(G287&lt;&gt;0,CJ287&lt;&gt;0,C287="L"),COUNTIF(AK$114:AK286,"&gt;0")+1,0))</f>
        <v>0</v>
      </c>
      <c r="AL287" s="92" t="str">
        <f t="shared" si="259"/>
        <v/>
      </c>
      <c r="AM287" s="92" t="str">
        <f t="shared" si="260"/>
        <v/>
      </c>
      <c r="AN287" s="131">
        <f t="shared" si="250"/>
        <v>0</v>
      </c>
      <c r="AO287" s="447">
        <f>SUM(GIU!W29:Z29)</f>
        <v>0</v>
      </c>
      <c r="AP287" s="445">
        <f>SUMIF(GIU!$G$155:$J$155,AP$112,GIU!$R29:$U29)</f>
        <v>0</v>
      </c>
      <c r="AQ287" s="446">
        <f>SUMIF(GIU!$G$155:$J$155,AQ$112,GIU!$R29:$U29)</f>
        <v>0</v>
      </c>
      <c r="AR287" s="447">
        <f>SUMIF(GIU!$G$155:$J$155,AR$112,GIU!$R29:$U29)</f>
        <v>0</v>
      </c>
      <c r="AS287" s="448">
        <f>SUMIF(GIU!$G$155:$J$155,AS$112,GIU!$R29:$U29)</f>
        <v>0</v>
      </c>
      <c r="AT287" s="449">
        <f>GIU!AG29</f>
        <v>0</v>
      </c>
      <c r="AU287" s="445">
        <f>GIU!AH29</f>
        <v>0</v>
      </c>
      <c r="AV287" s="446">
        <f>GIU!AI29</f>
        <v>0</v>
      </c>
      <c r="AW287" s="447">
        <f>GIU!AJ29</f>
        <v>0</v>
      </c>
      <c r="AX287" s="448">
        <f>GIU!AK29</f>
        <v>0</v>
      </c>
      <c r="AY287" s="445">
        <f>SUMIF(GIU!$G$152:$J$152,"&gt;0",GIU!$W29:$Z29)</f>
        <v>0</v>
      </c>
      <c r="AZ287" s="1063">
        <f>SUM(GIU!AB29:AE29)</f>
        <v>0</v>
      </c>
      <c r="BA287" s="445">
        <f>SUMIF(GIU!$G$159:$J$159,BA$111,GIU!$R29:$U29)+SUMIF(GIU!$G$159:$J$159,BA$111,GIU!$W29:$Z29)</f>
        <v>0</v>
      </c>
      <c r="BB287" s="446">
        <f>SUMIF(GIU!$G$159:$J$159,BB$111,GIU!$R29:$U29)+SUMIF(GIU!$G$159:$J$159,BB$111,GIU!$W29:$Z29)</f>
        <v>0</v>
      </c>
      <c r="BC287" s="446">
        <f>SUMIF(GIU!$G$159:$J$159,BC$111,GIU!$R29:$U29)+SUMIF(GIU!$G$159:$J$159,BC$111,GIU!$W29:$Z29)</f>
        <v>0</v>
      </c>
      <c r="BD287" s="446">
        <f>SUMIF(GIU!$G$159:$J$159,BD$111,GIU!$R29:$U29)+SUMIF(GIU!$G$159:$J$159,BD$111,GIU!$W29:$Z29)</f>
        <v>0</v>
      </c>
      <c r="BE287" s="446">
        <f>SUMIF(GIU!$G$159:$J$159,BE$111,GIU!$R29:$U29)+SUMIF(GIU!$G$159:$J$159,BE$111,GIU!$W29:$Z29)</f>
        <v>0</v>
      </c>
      <c r="BF287" s="446">
        <f>SUMIF(GIU!$G$159:$J$159,BF$111,GIU!$R29:$U29)+SUMIF(GIU!$G$159:$J$159,BF$111,GIU!$W29:$Z29)</f>
        <v>0</v>
      </c>
      <c r="BG287" s="448">
        <f>SUMIF(GIU!$G$159:$J$159,BG$111,GIU!$R29:$U29)+SUMIF(GIU!$G$159:$J$159,BG$111,GIU!$W29:$Z29)</f>
        <v>0</v>
      </c>
      <c r="BH287" s="571"/>
      <c r="BI287" s="448"/>
      <c r="BJ287" s="470"/>
      <c r="BK287" s="445">
        <f>SUMIF(GIU!$G$157:$J$157,BK$111,GIU!$R29:$U29)+SUMIF(GIU!$G$157:$J$157,BK$111,GIU!$W29:$Z29)</f>
        <v>0</v>
      </c>
      <c r="BL287" s="446">
        <f>SUMIF(GIU!$G$157:$J$157,BL$111,GIU!$R29:$U29)+SUMIF(GIU!$G$157:$J$157,BL$111,GIU!$W29:$Z29)</f>
        <v>0</v>
      </c>
      <c r="BM287" s="446">
        <f>SUMIF(GIU!$G$157:$J$157,BM$111,GIU!$R29:$U29)+SUMIF(GIU!$G$157:$J$157,BM$111,GIU!$W29:$Z29)</f>
        <v>0</v>
      </c>
      <c r="BN287" s="446">
        <f>SUMIF(GIU!$G$157:$J$157,BN$111,GIU!$R29:$U29)+SUMIF(GIU!$G$157:$J$157,BN$111,GIU!$W29:$Z29)</f>
        <v>0</v>
      </c>
      <c r="BO287" s="446">
        <f>SUMIF(GIU!$G$157:$J$157,BO$111,GIU!$R29:$U29)+SUMIF(GIU!$G$157:$J$157,BO$111,GIU!$W29:$Z29)</f>
        <v>0</v>
      </c>
      <c r="BP287" s="446">
        <f>SUMIF(GIU!$G$157:$J$157,BP$111,GIU!$R29:$U29)+SUMIF(GIU!$G$157:$J$157,BP$111,GIU!$W29:$Z29)</f>
        <v>0</v>
      </c>
      <c r="BQ287" s="448">
        <f>SUMIF(GIU!$G$157:$J$157,BQ$111,GIU!$R29:$U29)+SUMIF(GIU!$G$157:$J$157,BQ$111,GIU!$W29:$Z29)</f>
        <v>0</v>
      </c>
      <c r="BR287" s="571"/>
      <c r="BS287" s="446"/>
      <c r="BT287" s="448"/>
      <c r="BU287" s="470"/>
      <c r="BV287" s="445">
        <f>SUMIF(GIU!$G$158:$J$158,BV$111,GIU!$R29:$U29)+SUMIF(GIU!$G$158:$J$158,BV$111,GIU!$W29:$Z29)</f>
        <v>0</v>
      </c>
      <c r="BW287" s="446">
        <f>SUMIF(GIU!$G$158:$J$158,BW$111,GIU!$R29:$U29)+SUMIF(GIU!$G$158:$J$158,BW$111,GIU!$W29:$Z29)</f>
        <v>0</v>
      </c>
      <c r="BX287" s="446">
        <f>SUMIF(GIU!$G$158:$J$158,BX$111,GIU!$R29:$U29)+SUMIF(GIU!$G$158:$J$158,BX$111,GIU!$W29:$Z29)</f>
        <v>0</v>
      </c>
      <c r="BY287" s="446">
        <f>SUMIF(GIU!$G$158:$J$158,BY$111,GIU!$R29:$U29)+SUMIF(GIU!$G$158:$J$158,BY$111,GIU!$W29:$Z29)</f>
        <v>0</v>
      </c>
      <c r="BZ287" s="446">
        <f>SUMIF(GIU!$G$158:$J$158,BZ$111,GIU!$R29:$U29)+SUMIF(GIU!$G$158:$J$158,BZ$111,GIU!$W29:$Z29)</f>
        <v>0</v>
      </c>
      <c r="CA287" s="446">
        <f>SUMIF(GIU!$G$158:$J$158,CA$111,GIU!$R29:$U29)+SUMIF(GIU!$G$158:$J$158,CA$111,GIU!$W29:$Z29)</f>
        <v>0</v>
      </c>
      <c r="CB287" s="448">
        <f>SUMIF(GIU!$G$158:$J$158,CB$111,GIU!$R29:$U29)+SUMIF(GIU!$G$158:$J$158,CB$111,GIU!$W29:$Z29)</f>
        <v>0</v>
      </c>
      <c r="CC287" s="571"/>
      <c r="CD287" s="448"/>
      <c r="CE287" s="92">
        <f t="shared" si="261"/>
        <v>0</v>
      </c>
      <c r="CF287" s="92">
        <f t="shared" si="262"/>
        <v>0</v>
      </c>
      <c r="CG287" s="151" t="str">
        <f t="shared" si="248"/>
        <v/>
      </c>
      <c r="CH287" s="92">
        <f t="shared" si="251"/>
        <v>0</v>
      </c>
      <c r="CI287" s="92" t="str">
        <f t="shared" si="263"/>
        <v/>
      </c>
      <c r="CJ287" s="1100">
        <f>GIU!AM29</f>
        <v>0</v>
      </c>
      <c r="CK287" s="445">
        <f>SUMIF(GIU!$G$155:$J$155,CK$112,GIU!$AN29:$AQ29)</f>
        <v>0</v>
      </c>
      <c r="CL287" s="446">
        <f>SUMIF(GIU!$G$155:$J$155,CL$112,GIU!$AN29:$AQ29)</f>
        <v>0</v>
      </c>
      <c r="CM287" s="447">
        <f>SUMIF(GIU!$G$155:$J$155,CM$112,GIU!$AN29:$AQ29)</f>
        <v>0</v>
      </c>
      <c r="CN287" s="448">
        <f>SUMIF(GIU!$G$155:$J$155,CN$112,GIU!$AN29:$AQ29)</f>
        <v>0</v>
      </c>
      <c r="CO287" s="1100">
        <f>GIU!AS29</f>
        <v>0</v>
      </c>
      <c r="CP287" s="445">
        <f>GIU!AT29</f>
        <v>0</v>
      </c>
      <c r="CQ287" s="446">
        <f>GIU!AU29</f>
        <v>0</v>
      </c>
      <c r="CR287" s="447">
        <f>GIU!AV29</f>
        <v>0</v>
      </c>
      <c r="CS287" s="448">
        <f>GIU!AW29</f>
        <v>0</v>
      </c>
      <c r="CT287" s="1100">
        <f>GIU!AY29</f>
        <v>0</v>
      </c>
      <c r="CU287" s="2"/>
    </row>
    <row r="288" spans="1:99" ht="14.25" hidden="1" customHeight="1" x14ac:dyDescent="0.2">
      <c r="A288" s="2"/>
      <c r="B288" s="151">
        <f t="shared" si="252"/>
        <v>45466</v>
      </c>
      <c r="C288" s="223">
        <f>IF(AND(E288&gt;(E$496-1),E288&lt;(I$496+1)),W$485,IF(ISERROR(HLOOKUP(E288,$E$489:$L$489,1,FALSE)),HLOOKUP(WEEKDAY(E288,2),IMPOSTAZIONI!$C$51:$P$56,6,FALSE),$W$484))</f>
        <v>0</v>
      </c>
      <c r="D288" s="103" t="str">
        <f t="shared" si="253"/>
        <v/>
      </c>
      <c r="E288" s="2380">
        <f t="shared" si="264"/>
        <v>45466</v>
      </c>
      <c r="F288" s="2381"/>
      <c r="G288" s="2325" t="str">
        <f>GIU!E30</f>
        <v xml:space="preserve">attiva trim.  </v>
      </c>
      <c r="H288" s="2326"/>
      <c r="I288" s="2327"/>
      <c r="J288" s="479" t="str">
        <f t="shared" si="249"/>
        <v/>
      </c>
      <c r="K288" s="480"/>
      <c r="L288" s="2321">
        <f t="shared" si="265"/>
        <v>25</v>
      </c>
      <c r="M288" s="2322"/>
      <c r="N288" s="478"/>
      <c r="O288" s="478"/>
      <c r="P288" s="478"/>
      <c r="Q288" s="2315">
        <f t="shared" si="254"/>
        <v>45466</v>
      </c>
      <c r="R288" s="2315"/>
      <c r="S288" s="478"/>
      <c r="T288" s="140">
        <f t="shared" si="255"/>
        <v>1</v>
      </c>
      <c r="U288" s="478"/>
      <c r="V288" s="478"/>
      <c r="W288" s="478"/>
      <c r="X288" s="478"/>
      <c r="Y288" s="478"/>
      <c r="Z288" s="478"/>
      <c r="AA288" s="478"/>
      <c r="AB288" s="478"/>
      <c r="AC288" s="478"/>
      <c r="AD288" s="478"/>
      <c r="AE288" s="478"/>
      <c r="AF288" s="478"/>
      <c r="AG288" s="140">
        <f t="shared" si="256"/>
        <v>0</v>
      </c>
      <c r="AH288" s="92" t="str">
        <f t="shared" si="257"/>
        <v/>
      </c>
      <c r="AI288" s="131">
        <f t="shared" si="258"/>
        <v>0</v>
      </c>
      <c r="AJ288" s="2"/>
      <c r="AK288" s="92">
        <f>IF(G288=G$481,0,IF(OR(G288&lt;&gt;0,CJ288&lt;&gt;0,C288="L"),COUNTIF(AK$114:AK287,"&gt;0")+1,0))</f>
        <v>0</v>
      </c>
      <c r="AL288" s="92" t="str">
        <f t="shared" si="259"/>
        <v/>
      </c>
      <c r="AM288" s="92" t="str">
        <f t="shared" si="260"/>
        <v/>
      </c>
      <c r="AN288" s="131">
        <f t="shared" si="250"/>
        <v>0</v>
      </c>
      <c r="AO288" s="447">
        <f>SUM(GIU!W30:Z30)</f>
        <v>0</v>
      </c>
      <c r="AP288" s="445">
        <f>SUMIF(GIU!$G$155:$J$155,AP$112,GIU!$R30:$U30)</f>
        <v>0</v>
      </c>
      <c r="AQ288" s="446">
        <f>SUMIF(GIU!$G$155:$J$155,AQ$112,GIU!$R30:$U30)</f>
        <v>0</v>
      </c>
      <c r="AR288" s="447">
        <f>SUMIF(GIU!$G$155:$J$155,AR$112,GIU!$R30:$U30)</f>
        <v>0</v>
      </c>
      <c r="AS288" s="448">
        <f>SUMIF(GIU!$G$155:$J$155,AS$112,GIU!$R30:$U30)</f>
        <v>0</v>
      </c>
      <c r="AT288" s="449">
        <f>GIU!AG30</f>
        <v>0</v>
      </c>
      <c r="AU288" s="445">
        <f>GIU!AH30</f>
        <v>0</v>
      </c>
      <c r="AV288" s="446">
        <f>GIU!AI30</f>
        <v>0</v>
      </c>
      <c r="AW288" s="447">
        <f>GIU!AJ30</f>
        <v>0</v>
      </c>
      <c r="AX288" s="448">
        <f>GIU!AK30</f>
        <v>0</v>
      </c>
      <c r="AY288" s="445">
        <f>SUMIF(GIU!$G$152:$J$152,"&gt;0",GIU!$W30:$Z30)</f>
        <v>0</v>
      </c>
      <c r="AZ288" s="1063">
        <f>SUM(GIU!AB30:AE30)</f>
        <v>0</v>
      </c>
      <c r="BA288" s="445">
        <f>SUMIF(GIU!$G$159:$J$159,BA$111,GIU!$R30:$U30)+SUMIF(GIU!$G$159:$J$159,BA$111,GIU!$W30:$Z30)</f>
        <v>0</v>
      </c>
      <c r="BB288" s="446">
        <f>SUMIF(GIU!$G$159:$J$159,BB$111,GIU!$R30:$U30)+SUMIF(GIU!$G$159:$J$159,BB$111,GIU!$W30:$Z30)</f>
        <v>0</v>
      </c>
      <c r="BC288" s="446">
        <f>SUMIF(GIU!$G$159:$J$159,BC$111,GIU!$R30:$U30)+SUMIF(GIU!$G$159:$J$159,BC$111,GIU!$W30:$Z30)</f>
        <v>0</v>
      </c>
      <c r="BD288" s="446">
        <f>SUMIF(GIU!$G$159:$J$159,BD$111,GIU!$R30:$U30)+SUMIF(GIU!$G$159:$J$159,BD$111,GIU!$W30:$Z30)</f>
        <v>0</v>
      </c>
      <c r="BE288" s="446">
        <f>SUMIF(GIU!$G$159:$J$159,BE$111,GIU!$R30:$U30)+SUMIF(GIU!$G$159:$J$159,BE$111,GIU!$W30:$Z30)</f>
        <v>0</v>
      </c>
      <c r="BF288" s="446">
        <f>SUMIF(GIU!$G$159:$J$159,BF$111,GIU!$R30:$U30)+SUMIF(GIU!$G$159:$J$159,BF$111,GIU!$W30:$Z30)</f>
        <v>0</v>
      </c>
      <c r="BG288" s="448">
        <f>SUMIF(GIU!$G$159:$J$159,BG$111,GIU!$R30:$U30)+SUMIF(GIU!$G$159:$J$159,BG$111,GIU!$W30:$Z30)</f>
        <v>0</v>
      </c>
      <c r="BH288" s="571"/>
      <c r="BI288" s="448"/>
      <c r="BJ288" s="470"/>
      <c r="BK288" s="445">
        <f>SUMIF(GIU!$G$157:$J$157,BK$111,GIU!$R30:$U30)+SUMIF(GIU!$G$157:$J$157,BK$111,GIU!$W30:$Z30)</f>
        <v>0</v>
      </c>
      <c r="BL288" s="446">
        <f>SUMIF(GIU!$G$157:$J$157,BL$111,GIU!$R30:$U30)+SUMIF(GIU!$G$157:$J$157,BL$111,GIU!$W30:$Z30)</f>
        <v>0</v>
      </c>
      <c r="BM288" s="446">
        <f>SUMIF(GIU!$G$157:$J$157,BM$111,GIU!$R30:$U30)+SUMIF(GIU!$G$157:$J$157,BM$111,GIU!$W30:$Z30)</f>
        <v>0</v>
      </c>
      <c r="BN288" s="446">
        <f>SUMIF(GIU!$G$157:$J$157,BN$111,GIU!$R30:$U30)+SUMIF(GIU!$G$157:$J$157,BN$111,GIU!$W30:$Z30)</f>
        <v>0</v>
      </c>
      <c r="BO288" s="446">
        <f>SUMIF(GIU!$G$157:$J$157,BO$111,GIU!$R30:$U30)+SUMIF(GIU!$G$157:$J$157,BO$111,GIU!$W30:$Z30)</f>
        <v>0</v>
      </c>
      <c r="BP288" s="446">
        <f>SUMIF(GIU!$G$157:$J$157,BP$111,GIU!$R30:$U30)+SUMIF(GIU!$G$157:$J$157,BP$111,GIU!$W30:$Z30)</f>
        <v>0</v>
      </c>
      <c r="BQ288" s="448">
        <f>SUMIF(GIU!$G$157:$J$157,BQ$111,GIU!$R30:$U30)+SUMIF(GIU!$G$157:$J$157,BQ$111,GIU!$W30:$Z30)</f>
        <v>0</v>
      </c>
      <c r="BR288" s="571"/>
      <c r="BS288" s="446"/>
      <c r="BT288" s="448"/>
      <c r="BU288" s="470"/>
      <c r="BV288" s="445">
        <f>SUMIF(GIU!$G$158:$J$158,BV$111,GIU!$R30:$U30)+SUMIF(GIU!$G$158:$J$158,BV$111,GIU!$W30:$Z30)</f>
        <v>0</v>
      </c>
      <c r="BW288" s="446">
        <f>SUMIF(GIU!$G$158:$J$158,BW$111,GIU!$R30:$U30)+SUMIF(GIU!$G$158:$J$158,BW$111,GIU!$W30:$Z30)</f>
        <v>0</v>
      </c>
      <c r="BX288" s="446">
        <f>SUMIF(GIU!$G$158:$J$158,BX$111,GIU!$R30:$U30)+SUMIF(GIU!$G$158:$J$158,BX$111,GIU!$W30:$Z30)</f>
        <v>0</v>
      </c>
      <c r="BY288" s="446">
        <f>SUMIF(GIU!$G$158:$J$158,BY$111,GIU!$R30:$U30)+SUMIF(GIU!$G$158:$J$158,BY$111,GIU!$W30:$Z30)</f>
        <v>0</v>
      </c>
      <c r="BZ288" s="446">
        <f>SUMIF(GIU!$G$158:$J$158,BZ$111,GIU!$R30:$U30)+SUMIF(GIU!$G$158:$J$158,BZ$111,GIU!$W30:$Z30)</f>
        <v>0</v>
      </c>
      <c r="CA288" s="446">
        <f>SUMIF(GIU!$G$158:$J$158,CA$111,GIU!$R30:$U30)+SUMIF(GIU!$G$158:$J$158,CA$111,GIU!$W30:$Z30)</f>
        <v>0</v>
      </c>
      <c r="CB288" s="448">
        <f>SUMIF(GIU!$G$158:$J$158,CB$111,GIU!$R30:$U30)+SUMIF(GIU!$G$158:$J$158,CB$111,GIU!$W30:$Z30)</f>
        <v>0</v>
      </c>
      <c r="CC288" s="571"/>
      <c r="CD288" s="448"/>
      <c r="CE288" s="92">
        <f t="shared" si="261"/>
        <v>0</v>
      </c>
      <c r="CF288" s="92">
        <f t="shared" si="262"/>
        <v>0</v>
      </c>
      <c r="CG288" s="151" t="str">
        <f t="shared" si="248"/>
        <v/>
      </c>
      <c r="CH288" s="92">
        <f t="shared" si="251"/>
        <v>0</v>
      </c>
      <c r="CI288" s="92" t="str">
        <f t="shared" si="263"/>
        <v/>
      </c>
      <c r="CJ288" s="1100">
        <f>GIU!AM30</f>
        <v>0</v>
      </c>
      <c r="CK288" s="445">
        <f>SUMIF(GIU!$G$155:$J$155,CK$112,GIU!$AN30:$AQ30)</f>
        <v>0</v>
      </c>
      <c r="CL288" s="446">
        <f>SUMIF(GIU!$G$155:$J$155,CL$112,GIU!$AN30:$AQ30)</f>
        <v>0</v>
      </c>
      <c r="CM288" s="447">
        <f>SUMIF(GIU!$G$155:$J$155,CM$112,GIU!$AN30:$AQ30)</f>
        <v>0</v>
      </c>
      <c r="CN288" s="448">
        <f>SUMIF(GIU!$G$155:$J$155,CN$112,GIU!$AN30:$AQ30)</f>
        <v>0</v>
      </c>
      <c r="CO288" s="1100">
        <f>GIU!AS30</f>
        <v>0</v>
      </c>
      <c r="CP288" s="445">
        <f>GIU!AT30</f>
        <v>0</v>
      </c>
      <c r="CQ288" s="446">
        <f>GIU!AU30</f>
        <v>0</v>
      </c>
      <c r="CR288" s="447">
        <f>GIU!AV30</f>
        <v>0</v>
      </c>
      <c r="CS288" s="448">
        <f>GIU!AW30</f>
        <v>0</v>
      </c>
      <c r="CT288" s="1100">
        <f>GIU!AY30</f>
        <v>0</v>
      </c>
      <c r="CU288" s="2"/>
    </row>
    <row r="289" spans="1:99" ht="14.25" hidden="1" customHeight="1" x14ac:dyDescent="0.2">
      <c r="A289" s="2"/>
      <c r="B289" s="151">
        <f t="shared" si="252"/>
        <v>45467</v>
      </c>
      <c r="C289" s="223">
        <f>IF(AND(E289&gt;(E$496-1),E289&lt;(I$496+1)),W$485,IF(ISERROR(HLOOKUP(E289,$E$489:$L$489,1,FALSE)),HLOOKUP(WEEKDAY(E289,2),IMPOSTAZIONI!$C$51:$P$56,6,FALSE),$W$484))</f>
        <v>0</v>
      </c>
      <c r="D289" s="103" t="str">
        <f t="shared" si="253"/>
        <v/>
      </c>
      <c r="E289" s="2380">
        <f t="shared" si="264"/>
        <v>45467</v>
      </c>
      <c r="F289" s="2381"/>
      <c r="G289" s="2325" t="str">
        <f>GIU!E31</f>
        <v xml:space="preserve">attiva trim.  </v>
      </c>
      <c r="H289" s="2326"/>
      <c r="I289" s="2327"/>
      <c r="J289" s="479" t="str">
        <f t="shared" si="249"/>
        <v/>
      </c>
      <c r="K289" s="480"/>
      <c r="L289" s="2323">
        <f t="shared" si="265"/>
        <v>26</v>
      </c>
      <c r="M289" s="2324"/>
      <c r="N289" s="478"/>
      <c r="O289" s="478"/>
      <c r="P289" s="478"/>
      <c r="Q289" s="2315">
        <f t="shared" si="254"/>
        <v>45467</v>
      </c>
      <c r="R289" s="2315"/>
      <c r="S289" s="478"/>
      <c r="T289" s="140">
        <f t="shared" si="255"/>
        <v>1</v>
      </c>
      <c r="U289" s="478"/>
      <c r="V289" s="478"/>
      <c r="W289" s="478"/>
      <c r="X289" s="478"/>
      <c r="Y289" s="478"/>
      <c r="Z289" s="478"/>
      <c r="AA289" s="478"/>
      <c r="AB289" s="478"/>
      <c r="AC289" s="478"/>
      <c r="AD289" s="478"/>
      <c r="AE289" s="478"/>
      <c r="AF289" s="478"/>
      <c r="AG289" s="140">
        <f t="shared" si="256"/>
        <v>0</v>
      </c>
      <c r="AH289" s="92" t="str">
        <f t="shared" si="257"/>
        <v/>
      </c>
      <c r="AI289" s="131">
        <f t="shared" si="258"/>
        <v>0</v>
      </c>
      <c r="AJ289" s="2"/>
      <c r="AK289" s="92">
        <f>IF(G289=G$481,0,IF(OR(G289&lt;&gt;0,CJ289&lt;&gt;0,C289="L"),COUNTIF(AK$114:AK288,"&gt;0")+1,0))</f>
        <v>0</v>
      </c>
      <c r="AL289" s="92" t="str">
        <f t="shared" si="259"/>
        <v/>
      </c>
      <c r="AM289" s="92" t="str">
        <f t="shared" si="260"/>
        <v/>
      </c>
      <c r="AN289" s="131">
        <f t="shared" si="250"/>
        <v>0</v>
      </c>
      <c r="AO289" s="447">
        <f>SUM(GIU!W31:Z31)</f>
        <v>0</v>
      </c>
      <c r="AP289" s="445">
        <f>SUMIF(GIU!$G$155:$J$155,AP$112,GIU!$R31:$U31)</f>
        <v>0</v>
      </c>
      <c r="AQ289" s="446">
        <f>SUMIF(GIU!$G$155:$J$155,AQ$112,GIU!$R31:$U31)</f>
        <v>0</v>
      </c>
      <c r="AR289" s="447">
        <f>SUMIF(GIU!$G$155:$J$155,AR$112,GIU!$R31:$U31)</f>
        <v>0</v>
      </c>
      <c r="AS289" s="448">
        <f>SUMIF(GIU!$G$155:$J$155,AS$112,GIU!$R31:$U31)</f>
        <v>0</v>
      </c>
      <c r="AT289" s="449">
        <f>GIU!AG31</f>
        <v>0</v>
      </c>
      <c r="AU289" s="445">
        <f>GIU!AH31</f>
        <v>0</v>
      </c>
      <c r="AV289" s="446">
        <f>GIU!AI31</f>
        <v>0</v>
      </c>
      <c r="AW289" s="447">
        <f>GIU!AJ31</f>
        <v>0</v>
      </c>
      <c r="AX289" s="448">
        <f>GIU!AK31</f>
        <v>0</v>
      </c>
      <c r="AY289" s="445">
        <f>SUMIF(GIU!$G$152:$J$152,"&gt;0",GIU!$W31:$Z31)</f>
        <v>0</v>
      </c>
      <c r="AZ289" s="1063">
        <f>SUM(GIU!AB31:AE31)</f>
        <v>0</v>
      </c>
      <c r="BA289" s="445">
        <f>SUMIF(GIU!$G$159:$J$159,BA$111,GIU!$R31:$U31)+SUMIF(GIU!$G$159:$J$159,BA$111,GIU!$W31:$Z31)</f>
        <v>0</v>
      </c>
      <c r="BB289" s="446">
        <f>SUMIF(GIU!$G$159:$J$159,BB$111,GIU!$R31:$U31)+SUMIF(GIU!$G$159:$J$159,BB$111,GIU!$W31:$Z31)</f>
        <v>0</v>
      </c>
      <c r="BC289" s="446">
        <f>SUMIF(GIU!$G$159:$J$159,BC$111,GIU!$R31:$U31)+SUMIF(GIU!$G$159:$J$159,BC$111,GIU!$W31:$Z31)</f>
        <v>0</v>
      </c>
      <c r="BD289" s="446">
        <f>SUMIF(GIU!$G$159:$J$159,BD$111,GIU!$R31:$U31)+SUMIF(GIU!$G$159:$J$159,BD$111,GIU!$W31:$Z31)</f>
        <v>0</v>
      </c>
      <c r="BE289" s="446">
        <f>SUMIF(GIU!$G$159:$J$159,BE$111,GIU!$R31:$U31)+SUMIF(GIU!$G$159:$J$159,BE$111,GIU!$W31:$Z31)</f>
        <v>0</v>
      </c>
      <c r="BF289" s="446">
        <f>SUMIF(GIU!$G$159:$J$159,BF$111,GIU!$R31:$U31)+SUMIF(GIU!$G$159:$J$159,BF$111,GIU!$W31:$Z31)</f>
        <v>0</v>
      </c>
      <c r="BG289" s="448">
        <f>SUMIF(GIU!$G$159:$J$159,BG$111,GIU!$R31:$U31)+SUMIF(GIU!$G$159:$J$159,BG$111,GIU!$W31:$Z31)</f>
        <v>0</v>
      </c>
      <c r="BH289" s="571"/>
      <c r="BI289" s="448"/>
      <c r="BJ289" s="470"/>
      <c r="BK289" s="445">
        <f>SUMIF(GIU!$G$157:$J$157,BK$111,GIU!$R31:$U31)+SUMIF(GIU!$G$157:$J$157,BK$111,GIU!$W31:$Z31)</f>
        <v>0</v>
      </c>
      <c r="BL289" s="446">
        <f>SUMIF(GIU!$G$157:$J$157,BL$111,GIU!$R31:$U31)+SUMIF(GIU!$G$157:$J$157,BL$111,GIU!$W31:$Z31)</f>
        <v>0</v>
      </c>
      <c r="BM289" s="446">
        <f>SUMIF(GIU!$G$157:$J$157,BM$111,GIU!$R31:$U31)+SUMIF(GIU!$G$157:$J$157,BM$111,GIU!$W31:$Z31)</f>
        <v>0</v>
      </c>
      <c r="BN289" s="446">
        <f>SUMIF(GIU!$G$157:$J$157,BN$111,GIU!$R31:$U31)+SUMIF(GIU!$G$157:$J$157,BN$111,GIU!$W31:$Z31)</f>
        <v>0</v>
      </c>
      <c r="BO289" s="446">
        <f>SUMIF(GIU!$G$157:$J$157,BO$111,GIU!$R31:$U31)+SUMIF(GIU!$G$157:$J$157,BO$111,GIU!$W31:$Z31)</f>
        <v>0</v>
      </c>
      <c r="BP289" s="446">
        <f>SUMIF(GIU!$G$157:$J$157,BP$111,GIU!$R31:$U31)+SUMIF(GIU!$G$157:$J$157,BP$111,GIU!$W31:$Z31)</f>
        <v>0</v>
      </c>
      <c r="BQ289" s="448">
        <f>SUMIF(GIU!$G$157:$J$157,BQ$111,GIU!$R31:$U31)+SUMIF(GIU!$G$157:$J$157,BQ$111,GIU!$W31:$Z31)</f>
        <v>0</v>
      </c>
      <c r="BR289" s="571"/>
      <c r="BS289" s="446"/>
      <c r="BT289" s="448"/>
      <c r="BU289" s="470"/>
      <c r="BV289" s="445">
        <f>SUMIF(GIU!$G$158:$J$158,BV$111,GIU!$R31:$U31)+SUMIF(GIU!$G$158:$J$158,BV$111,GIU!$W31:$Z31)</f>
        <v>0</v>
      </c>
      <c r="BW289" s="446">
        <f>SUMIF(GIU!$G$158:$J$158,BW$111,GIU!$R31:$U31)+SUMIF(GIU!$G$158:$J$158,BW$111,GIU!$W31:$Z31)</f>
        <v>0</v>
      </c>
      <c r="BX289" s="446">
        <f>SUMIF(GIU!$G$158:$J$158,BX$111,GIU!$R31:$U31)+SUMIF(GIU!$G$158:$J$158,BX$111,GIU!$W31:$Z31)</f>
        <v>0</v>
      </c>
      <c r="BY289" s="446">
        <f>SUMIF(GIU!$G$158:$J$158,BY$111,GIU!$R31:$U31)+SUMIF(GIU!$G$158:$J$158,BY$111,GIU!$W31:$Z31)</f>
        <v>0</v>
      </c>
      <c r="BZ289" s="446">
        <f>SUMIF(GIU!$G$158:$J$158,BZ$111,GIU!$R31:$U31)+SUMIF(GIU!$G$158:$J$158,BZ$111,GIU!$W31:$Z31)</f>
        <v>0</v>
      </c>
      <c r="CA289" s="446">
        <f>SUMIF(GIU!$G$158:$J$158,CA$111,GIU!$R31:$U31)+SUMIF(GIU!$G$158:$J$158,CA$111,GIU!$W31:$Z31)</f>
        <v>0</v>
      </c>
      <c r="CB289" s="448">
        <f>SUMIF(GIU!$G$158:$J$158,CB$111,GIU!$R31:$U31)+SUMIF(GIU!$G$158:$J$158,CB$111,GIU!$W31:$Z31)</f>
        <v>0</v>
      </c>
      <c r="CC289" s="571"/>
      <c r="CD289" s="448"/>
      <c r="CE289" s="92">
        <f t="shared" si="261"/>
        <v>0</v>
      </c>
      <c r="CF289" s="92">
        <f t="shared" si="262"/>
        <v>0</v>
      </c>
      <c r="CG289" s="151" t="str">
        <f t="shared" si="248"/>
        <v/>
      </c>
      <c r="CH289" s="92">
        <f t="shared" si="251"/>
        <v>0</v>
      </c>
      <c r="CI289" s="92" t="str">
        <f t="shared" si="263"/>
        <v/>
      </c>
      <c r="CJ289" s="1100">
        <f>GIU!AM31</f>
        <v>0</v>
      </c>
      <c r="CK289" s="445">
        <f>SUMIF(GIU!$G$155:$J$155,CK$112,GIU!$AN31:$AQ31)</f>
        <v>0</v>
      </c>
      <c r="CL289" s="446">
        <f>SUMIF(GIU!$G$155:$J$155,CL$112,GIU!$AN31:$AQ31)</f>
        <v>0</v>
      </c>
      <c r="CM289" s="447">
        <f>SUMIF(GIU!$G$155:$J$155,CM$112,GIU!$AN31:$AQ31)</f>
        <v>0</v>
      </c>
      <c r="CN289" s="448">
        <f>SUMIF(GIU!$G$155:$J$155,CN$112,GIU!$AN31:$AQ31)</f>
        <v>0</v>
      </c>
      <c r="CO289" s="1100">
        <f>GIU!AS31</f>
        <v>0</v>
      </c>
      <c r="CP289" s="445">
        <f>GIU!AT31</f>
        <v>0</v>
      </c>
      <c r="CQ289" s="446">
        <f>GIU!AU31</f>
        <v>0</v>
      </c>
      <c r="CR289" s="447">
        <f>GIU!AV31</f>
        <v>0</v>
      </c>
      <c r="CS289" s="448">
        <f>GIU!AW31</f>
        <v>0</v>
      </c>
      <c r="CT289" s="1100">
        <f>GIU!AY31</f>
        <v>0</v>
      </c>
      <c r="CU289" s="2"/>
    </row>
    <row r="290" spans="1:99" ht="14.25" hidden="1" customHeight="1" x14ac:dyDescent="0.2">
      <c r="A290" s="2"/>
      <c r="B290" s="151">
        <f t="shared" si="252"/>
        <v>45468</v>
      </c>
      <c r="C290" s="223">
        <f>IF(AND(E290&gt;(E$496-1),E290&lt;(I$496+1)),W$485,IF(ISERROR(HLOOKUP(E290,$E$489:$L$489,1,FALSE)),HLOOKUP(WEEKDAY(E290,2),IMPOSTAZIONI!$C$51:$P$56,6,FALSE),$W$484))</f>
        <v>0</v>
      </c>
      <c r="D290" s="103" t="str">
        <f t="shared" si="253"/>
        <v/>
      </c>
      <c r="E290" s="2380">
        <f t="shared" si="264"/>
        <v>45468</v>
      </c>
      <c r="F290" s="2381"/>
      <c r="G290" s="2325" t="str">
        <f>GIU!E32</f>
        <v xml:space="preserve">attiva trim.  </v>
      </c>
      <c r="H290" s="2326"/>
      <c r="I290" s="2327"/>
      <c r="J290" s="479" t="str">
        <f t="shared" si="249"/>
        <v/>
      </c>
      <c r="K290" s="480"/>
      <c r="L290" s="2319">
        <f t="shared" si="265"/>
        <v>26</v>
      </c>
      <c r="M290" s="2320"/>
      <c r="N290" s="478"/>
      <c r="O290" s="478"/>
      <c r="P290" s="478"/>
      <c r="Q290" s="2315">
        <f t="shared" si="254"/>
        <v>45468</v>
      </c>
      <c r="R290" s="2315"/>
      <c r="S290" s="478"/>
      <c r="T290" s="140">
        <f t="shared" si="255"/>
        <v>1</v>
      </c>
      <c r="U290" s="478"/>
      <c r="V290" s="478"/>
      <c r="W290" s="478"/>
      <c r="X290" s="478"/>
      <c r="Y290" s="478"/>
      <c r="Z290" s="478"/>
      <c r="AA290" s="478"/>
      <c r="AB290" s="478"/>
      <c r="AC290" s="478"/>
      <c r="AD290" s="478"/>
      <c r="AE290" s="478"/>
      <c r="AF290" s="478"/>
      <c r="AG290" s="140">
        <f t="shared" si="256"/>
        <v>0</v>
      </c>
      <c r="AH290" s="92" t="str">
        <f t="shared" si="257"/>
        <v/>
      </c>
      <c r="AI290" s="131">
        <f t="shared" si="258"/>
        <v>0</v>
      </c>
      <c r="AJ290" s="2"/>
      <c r="AK290" s="92">
        <f>IF(G290=G$481,0,IF(OR(G290&lt;&gt;0,CJ290&lt;&gt;0,C290="L"),COUNTIF(AK$114:AK289,"&gt;0")+1,0))</f>
        <v>0</v>
      </c>
      <c r="AL290" s="92" t="str">
        <f t="shared" si="259"/>
        <v/>
      </c>
      <c r="AM290" s="92" t="str">
        <f t="shared" si="260"/>
        <v/>
      </c>
      <c r="AN290" s="131">
        <f t="shared" si="250"/>
        <v>0</v>
      </c>
      <c r="AO290" s="447">
        <f>SUM(GIU!W32:Z32)</f>
        <v>0</v>
      </c>
      <c r="AP290" s="445">
        <f>SUMIF(GIU!$G$155:$J$155,AP$112,GIU!$R32:$U32)</f>
        <v>0</v>
      </c>
      <c r="AQ290" s="446">
        <f>SUMIF(GIU!$G$155:$J$155,AQ$112,GIU!$R32:$U32)</f>
        <v>0</v>
      </c>
      <c r="AR290" s="447">
        <f>SUMIF(GIU!$G$155:$J$155,AR$112,GIU!$R32:$U32)</f>
        <v>0</v>
      </c>
      <c r="AS290" s="448">
        <f>SUMIF(GIU!$G$155:$J$155,AS$112,GIU!$R32:$U32)</f>
        <v>0</v>
      </c>
      <c r="AT290" s="449">
        <f>GIU!AG32</f>
        <v>0</v>
      </c>
      <c r="AU290" s="445">
        <f>GIU!AH32</f>
        <v>0</v>
      </c>
      <c r="AV290" s="446">
        <f>GIU!AI32</f>
        <v>0</v>
      </c>
      <c r="AW290" s="447">
        <f>GIU!AJ32</f>
        <v>0</v>
      </c>
      <c r="AX290" s="448">
        <f>GIU!AK32</f>
        <v>0</v>
      </c>
      <c r="AY290" s="445">
        <f>SUMIF(GIU!$G$152:$J$152,"&gt;0",GIU!$W32:$Z32)</f>
        <v>0</v>
      </c>
      <c r="AZ290" s="1063">
        <f>SUM(GIU!AB32:AE32)</f>
        <v>0</v>
      </c>
      <c r="BA290" s="445">
        <f>SUMIF(GIU!$G$159:$J$159,BA$111,GIU!$R32:$U32)+SUMIF(GIU!$G$159:$J$159,BA$111,GIU!$W32:$Z32)</f>
        <v>0</v>
      </c>
      <c r="BB290" s="446">
        <f>SUMIF(GIU!$G$159:$J$159,BB$111,GIU!$R32:$U32)+SUMIF(GIU!$G$159:$J$159,BB$111,GIU!$W32:$Z32)</f>
        <v>0</v>
      </c>
      <c r="BC290" s="446">
        <f>SUMIF(GIU!$G$159:$J$159,BC$111,GIU!$R32:$U32)+SUMIF(GIU!$G$159:$J$159,BC$111,GIU!$W32:$Z32)</f>
        <v>0</v>
      </c>
      <c r="BD290" s="446">
        <f>SUMIF(GIU!$G$159:$J$159,BD$111,GIU!$R32:$U32)+SUMIF(GIU!$G$159:$J$159,BD$111,GIU!$W32:$Z32)</f>
        <v>0</v>
      </c>
      <c r="BE290" s="446">
        <f>SUMIF(GIU!$G$159:$J$159,BE$111,GIU!$R32:$U32)+SUMIF(GIU!$G$159:$J$159,BE$111,GIU!$W32:$Z32)</f>
        <v>0</v>
      </c>
      <c r="BF290" s="446">
        <f>SUMIF(GIU!$G$159:$J$159,BF$111,GIU!$R32:$U32)+SUMIF(GIU!$G$159:$J$159,BF$111,GIU!$W32:$Z32)</f>
        <v>0</v>
      </c>
      <c r="BG290" s="448">
        <f>SUMIF(GIU!$G$159:$J$159,BG$111,GIU!$R32:$U32)+SUMIF(GIU!$G$159:$J$159,BG$111,GIU!$W32:$Z32)</f>
        <v>0</v>
      </c>
      <c r="BH290" s="571"/>
      <c r="BI290" s="448"/>
      <c r="BJ290" s="470"/>
      <c r="BK290" s="445">
        <f>SUMIF(GIU!$G$157:$J$157,BK$111,GIU!$R32:$U32)+SUMIF(GIU!$G$157:$J$157,BK$111,GIU!$W32:$Z32)</f>
        <v>0</v>
      </c>
      <c r="BL290" s="446">
        <f>SUMIF(GIU!$G$157:$J$157,BL$111,GIU!$R32:$U32)+SUMIF(GIU!$G$157:$J$157,BL$111,GIU!$W32:$Z32)</f>
        <v>0</v>
      </c>
      <c r="BM290" s="446">
        <f>SUMIF(GIU!$G$157:$J$157,BM$111,GIU!$R32:$U32)+SUMIF(GIU!$G$157:$J$157,BM$111,GIU!$W32:$Z32)</f>
        <v>0</v>
      </c>
      <c r="BN290" s="446">
        <f>SUMIF(GIU!$G$157:$J$157,BN$111,GIU!$R32:$U32)+SUMIF(GIU!$G$157:$J$157,BN$111,GIU!$W32:$Z32)</f>
        <v>0</v>
      </c>
      <c r="BO290" s="446">
        <f>SUMIF(GIU!$G$157:$J$157,BO$111,GIU!$R32:$U32)+SUMIF(GIU!$G$157:$J$157,BO$111,GIU!$W32:$Z32)</f>
        <v>0</v>
      </c>
      <c r="BP290" s="446">
        <f>SUMIF(GIU!$G$157:$J$157,BP$111,GIU!$R32:$U32)+SUMIF(GIU!$G$157:$J$157,BP$111,GIU!$W32:$Z32)</f>
        <v>0</v>
      </c>
      <c r="BQ290" s="448">
        <f>SUMIF(GIU!$G$157:$J$157,BQ$111,GIU!$R32:$U32)+SUMIF(GIU!$G$157:$J$157,BQ$111,GIU!$W32:$Z32)</f>
        <v>0</v>
      </c>
      <c r="BR290" s="571"/>
      <c r="BS290" s="446"/>
      <c r="BT290" s="448"/>
      <c r="BU290" s="470"/>
      <c r="BV290" s="445">
        <f>SUMIF(GIU!$G$158:$J$158,BV$111,GIU!$R32:$U32)+SUMIF(GIU!$G$158:$J$158,BV$111,GIU!$W32:$Z32)</f>
        <v>0</v>
      </c>
      <c r="BW290" s="446">
        <f>SUMIF(GIU!$G$158:$J$158,BW$111,GIU!$R32:$U32)+SUMIF(GIU!$G$158:$J$158,BW$111,GIU!$W32:$Z32)</f>
        <v>0</v>
      </c>
      <c r="BX290" s="446">
        <f>SUMIF(GIU!$G$158:$J$158,BX$111,GIU!$R32:$U32)+SUMIF(GIU!$G$158:$J$158,BX$111,GIU!$W32:$Z32)</f>
        <v>0</v>
      </c>
      <c r="BY290" s="446">
        <f>SUMIF(GIU!$G$158:$J$158,BY$111,GIU!$R32:$U32)+SUMIF(GIU!$G$158:$J$158,BY$111,GIU!$W32:$Z32)</f>
        <v>0</v>
      </c>
      <c r="BZ290" s="446">
        <f>SUMIF(GIU!$G$158:$J$158,BZ$111,GIU!$R32:$U32)+SUMIF(GIU!$G$158:$J$158,BZ$111,GIU!$W32:$Z32)</f>
        <v>0</v>
      </c>
      <c r="CA290" s="446">
        <f>SUMIF(GIU!$G$158:$J$158,CA$111,GIU!$R32:$U32)+SUMIF(GIU!$G$158:$J$158,CA$111,GIU!$W32:$Z32)</f>
        <v>0</v>
      </c>
      <c r="CB290" s="448">
        <f>SUMIF(GIU!$G$158:$J$158,CB$111,GIU!$R32:$U32)+SUMIF(GIU!$G$158:$J$158,CB$111,GIU!$W32:$Z32)</f>
        <v>0</v>
      </c>
      <c r="CC290" s="571"/>
      <c r="CD290" s="448"/>
      <c r="CE290" s="92">
        <f t="shared" si="261"/>
        <v>0</v>
      </c>
      <c r="CF290" s="92">
        <f t="shared" si="262"/>
        <v>0</v>
      </c>
      <c r="CG290" s="151" t="str">
        <f t="shared" si="248"/>
        <v/>
      </c>
      <c r="CH290" s="92">
        <f t="shared" si="251"/>
        <v>0</v>
      </c>
      <c r="CI290" s="92" t="str">
        <f t="shared" si="263"/>
        <v/>
      </c>
      <c r="CJ290" s="1100">
        <f>GIU!AM32</f>
        <v>0</v>
      </c>
      <c r="CK290" s="445">
        <f>SUMIF(GIU!$G$155:$J$155,CK$112,GIU!$AN32:$AQ32)</f>
        <v>0</v>
      </c>
      <c r="CL290" s="446">
        <f>SUMIF(GIU!$G$155:$J$155,CL$112,GIU!$AN32:$AQ32)</f>
        <v>0</v>
      </c>
      <c r="CM290" s="447">
        <f>SUMIF(GIU!$G$155:$J$155,CM$112,GIU!$AN32:$AQ32)</f>
        <v>0</v>
      </c>
      <c r="CN290" s="448">
        <f>SUMIF(GIU!$G$155:$J$155,CN$112,GIU!$AN32:$AQ32)</f>
        <v>0</v>
      </c>
      <c r="CO290" s="1100">
        <f>GIU!AS32</f>
        <v>0</v>
      </c>
      <c r="CP290" s="445">
        <f>GIU!AT32</f>
        <v>0</v>
      </c>
      <c r="CQ290" s="446">
        <f>GIU!AU32</f>
        <v>0</v>
      </c>
      <c r="CR290" s="447">
        <f>GIU!AV32</f>
        <v>0</v>
      </c>
      <c r="CS290" s="448">
        <f>GIU!AW32</f>
        <v>0</v>
      </c>
      <c r="CT290" s="1100">
        <f>GIU!AY32</f>
        <v>0</v>
      </c>
      <c r="CU290" s="2"/>
    </row>
    <row r="291" spans="1:99" ht="14.25" hidden="1" customHeight="1" x14ac:dyDescent="0.2">
      <c r="A291" s="2"/>
      <c r="B291" s="151">
        <f t="shared" si="252"/>
        <v>45469</v>
      </c>
      <c r="C291" s="223">
        <f>IF(AND(E291&gt;(E$496-1),E291&lt;(I$496+1)),W$485,IF(ISERROR(HLOOKUP(E291,$E$489:$L$489,1,FALSE)),HLOOKUP(WEEKDAY(E291,2),IMPOSTAZIONI!$C$51:$P$56,6,FALSE),$W$484))</f>
        <v>0</v>
      </c>
      <c r="D291" s="103" t="str">
        <f t="shared" si="253"/>
        <v/>
      </c>
      <c r="E291" s="2380">
        <f t="shared" si="264"/>
        <v>45469</v>
      </c>
      <c r="F291" s="2381"/>
      <c r="G291" s="2325" t="str">
        <f>GIU!E33</f>
        <v xml:space="preserve">attiva trim.  </v>
      </c>
      <c r="H291" s="2326"/>
      <c r="I291" s="2327"/>
      <c r="J291" s="479" t="str">
        <f t="shared" si="249"/>
        <v/>
      </c>
      <c r="K291" s="480"/>
      <c r="L291" s="2319">
        <f t="shared" si="265"/>
        <v>26</v>
      </c>
      <c r="M291" s="2320"/>
      <c r="N291" s="478"/>
      <c r="O291" s="478"/>
      <c r="P291" s="478"/>
      <c r="Q291" s="2315">
        <f t="shared" si="254"/>
        <v>45469</v>
      </c>
      <c r="R291" s="2315"/>
      <c r="S291" s="478"/>
      <c r="T291" s="140">
        <f t="shared" si="255"/>
        <v>1</v>
      </c>
      <c r="U291" s="478"/>
      <c r="V291" s="478"/>
      <c r="W291" s="478"/>
      <c r="X291" s="478"/>
      <c r="Y291" s="478"/>
      <c r="Z291" s="478"/>
      <c r="AA291" s="478"/>
      <c r="AB291" s="478"/>
      <c r="AC291" s="478"/>
      <c r="AD291" s="478"/>
      <c r="AE291" s="478"/>
      <c r="AF291" s="478"/>
      <c r="AG291" s="140">
        <f t="shared" si="256"/>
        <v>0</v>
      </c>
      <c r="AH291" s="92" t="str">
        <f t="shared" si="257"/>
        <v/>
      </c>
      <c r="AI291" s="131">
        <f t="shared" si="258"/>
        <v>0</v>
      </c>
      <c r="AJ291" s="2"/>
      <c r="AK291" s="92">
        <f>IF(G291=G$481,0,IF(OR(G291&lt;&gt;0,CJ291&lt;&gt;0,C291="L"),COUNTIF(AK$114:AK290,"&gt;0")+1,0))</f>
        <v>0</v>
      </c>
      <c r="AL291" s="92" t="str">
        <f t="shared" si="259"/>
        <v/>
      </c>
      <c r="AM291" s="92" t="str">
        <f t="shared" si="260"/>
        <v/>
      </c>
      <c r="AN291" s="131">
        <f t="shared" si="250"/>
        <v>0</v>
      </c>
      <c r="AO291" s="447">
        <f>SUM(GIU!W33:Z33)</f>
        <v>0</v>
      </c>
      <c r="AP291" s="445">
        <f>SUMIF(GIU!$G$155:$J$155,AP$112,GIU!$R33:$U33)</f>
        <v>0</v>
      </c>
      <c r="AQ291" s="446">
        <f>SUMIF(GIU!$G$155:$J$155,AQ$112,GIU!$R33:$U33)</f>
        <v>0</v>
      </c>
      <c r="AR291" s="447">
        <f>SUMIF(GIU!$G$155:$J$155,AR$112,GIU!$R33:$U33)</f>
        <v>0</v>
      </c>
      <c r="AS291" s="448">
        <f>SUMIF(GIU!$G$155:$J$155,AS$112,GIU!$R33:$U33)</f>
        <v>0</v>
      </c>
      <c r="AT291" s="449">
        <f>GIU!AG33</f>
        <v>0</v>
      </c>
      <c r="AU291" s="445">
        <f>GIU!AH33</f>
        <v>0</v>
      </c>
      <c r="AV291" s="446">
        <f>GIU!AI33</f>
        <v>0</v>
      </c>
      <c r="AW291" s="447">
        <f>GIU!AJ33</f>
        <v>0</v>
      </c>
      <c r="AX291" s="448">
        <f>GIU!AK33</f>
        <v>0</v>
      </c>
      <c r="AY291" s="445">
        <f>SUMIF(GIU!$G$152:$J$152,"&gt;0",GIU!$W33:$Z33)</f>
        <v>0</v>
      </c>
      <c r="AZ291" s="1063">
        <f>SUM(GIU!AB33:AE33)</f>
        <v>0</v>
      </c>
      <c r="BA291" s="445">
        <f>SUMIF(GIU!$G$159:$J$159,BA$111,GIU!$R33:$U33)+SUMIF(GIU!$G$159:$J$159,BA$111,GIU!$W33:$Z33)</f>
        <v>0</v>
      </c>
      <c r="BB291" s="446">
        <f>SUMIF(GIU!$G$159:$J$159,BB$111,GIU!$R33:$U33)+SUMIF(GIU!$G$159:$J$159,BB$111,GIU!$W33:$Z33)</f>
        <v>0</v>
      </c>
      <c r="BC291" s="446">
        <f>SUMIF(GIU!$G$159:$J$159,BC$111,GIU!$R33:$U33)+SUMIF(GIU!$G$159:$J$159,BC$111,GIU!$W33:$Z33)</f>
        <v>0</v>
      </c>
      <c r="BD291" s="446">
        <f>SUMIF(GIU!$G$159:$J$159,BD$111,GIU!$R33:$U33)+SUMIF(GIU!$G$159:$J$159,BD$111,GIU!$W33:$Z33)</f>
        <v>0</v>
      </c>
      <c r="BE291" s="446">
        <f>SUMIF(GIU!$G$159:$J$159,BE$111,GIU!$R33:$U33)+SUMIF(GIU!$G$159:$J$159,BE$111,GIU!$W33:$Z33)</f>
        <v>0</v>
      </c>
      <c r="BF291" s="446">
        <f>SUMIF(GIU!$G$159:$J$159,BF$111,GIU!$R33:$U33)+SUMIF(GIU!$G$159:$J$159,BF$111,GIU!$W33:$Z33)</f>
        <v>0</v>
      </c>
      <c r="BG291" s="448">
        <f>SUMIF(GIU!$G$159:$J$159,BG$111,GIU!$R33:$U33)+SUMIF(GIU!$G$159:$J$159,BG$111,GIU!$W33:$Z33)</f>
        <v>0</v>
      </c>
      <c r="BH291" s="571"/>
      <c r="BI291" s="448"/>
      <c r="BJ291" s="470"/>
      <c r="BK291" s="445">
        <f>SUMIF(GIU!$G$157:$J$157,BK$111,GIU!$R33:$U33)+SUMIF(GIU!$G$157:$J$157,BK$111,GIU!$W33:$Z33)</f>
        <v>0</v>
      </c>
      <c r="BL291" s="446">
        <f>SUMIF(GIU!$G$157:$J$157,BL$111,GIU!$R33:$U33)+SUMIF(GIU!$G$157:$J$157,BL$111,GIU!$W33:$Z33)</f>
        <v>0</v>
      </c>
      <c r="BM291" s="446">
        <f>SUMIF(GIU!$G$157:$J$157,BM$111,GIU!$R33:$U33)+SUMIF(GIU!$G$157:$J$157,BM$111,GIU!$W33:$Z33)</f>
        <v>0</v>
      </c>
      <c r="BN291" s="446">
        <f>SUMIF(GIU!$G$157:$J$157,BN$111,GIU!$R33:$U33)+SUMIF(GIU!$G$157:$J$157,BN$111,GIU!$W33:$Z33)</f>
        <v>0</v>
      </c>
      <c r="BO291" s="446">
        <f>SUMIF(GIU!$G$157:$J$157,BO$111,GIU!$R33:$U33)+SUMIF(GIU!$G$157:$J$157,BO$111,GIU!$W33:$Z33)</f>
        <v>0</v>
      </c>
      <c r="BP291" s="446">
        <f>SUMIF(GIU!$G$157:$J$157,BP$111,GIU!$R33:$U33)+SUMIF(GIU!$G$157:$J$157,BP$111,GIU!$W33:$Z33)</f>
        <v>0</v>
      </c>
      <c r="BQ291" s="448">
        <f>SUMIF(GIU!$G$157:$J$157,BQ$111,GIU!$R33:$U33)+SUMIF(GIU!$G$157:$J$157,BQ$111,GIU!$W33:$Z33)</f>
        <v>0</v>
      </c>
      <c r="BR291" s="571"/>
      <c r="BS291" s="446"/>
      <c r="BT291" s="448"/>
      <c r="BU291" s="470"/>
      <c r="BV291" s="445">
        <f>SUMIF(GIU!$G$158:$J$158,BV$111,GIU!$R33:$U33)+SUMIF(GIU!$G$158:$J$158,BV$111,GIU!$W33:$Z33)</f>
        <v>0</v>
      </c>
      <c r="BW291" s="446">
        <f>SUMIF(GIU!$G$158:$J$158,BW$111,GIU!$R33:$U33)+SUMIF(GIU!$G$158:$J$158,BW$111,GIU!$W33:$Z33)</f>
        <v>0</v>
      </c>
      <c r="BX291" s="446">
        <f>SUMIF(GIU!$G$158:$J$158,BX$111,GIU!$R33:$U33)+SUMIF(GIU!$G$158:$J$158,BX$111,GIU!$W33:$Z33)</f>
        <v>0</v>
      </c>
      <c r="BY291" s="446">
        <f>SUMIF(GIU!$G$158:$J$158,BY$111,GIU!$R33:$U33)+SUMIF(GIU!$G$158:$J$158,BY$111,GIU!$W33:$Z33)</f>
        <v>0</v>
      </c>
      <c r="BZ291" s="446">
        <f>SUMIF(GIU!$G$158:$J$158,BZ$111,GIU!$R33:$U33)+SUMIF(GIU!$G$158:$J$158,BZ$111,GIU!$W33:$Z33)</f>
        <v>0</v>
      </c>
      <c r="CA291" s="446">
        <f>SUMIF(GIU!$G$158:$J$158,CA$111,GIU!$R33:$U33)+SUMIF(GIU!$G$158:$J$158,CA$111,GIU!$W33:$Z33)</f>
        <v>0</v>
      </c>
      <c r="CB291" s="448">
        <f>SUMIF(GIU!$G$158:$J$158,CB$111,GIU!$R33:$U33)+SUMIF(GIU!$G$158:$J$158,CB$111,GIU!$W33:$Z33)</f>
        <v>0</v>
      </c>
      <c r="CC291" s="571"/>
      <c r="CD291" s="448"/>
      <c r="CE291" s="92">
        <f t="shared" si="261"/>
        <v>0</v>
      </c>
      <c r="CF291" s="92">
        <f t="shared" si="262"/>
        <v>0</v>
      </c>
      <c r="CG291" s="151" t="str">
        <f t="shared" si="248"/>
        <v/>
      </c>
      <c r="CH291" s="92">
        <f t="shared" si="251"/>
        <v>0</v>
      </c>
      <c r="CI291" s="92" t="str">
        <f t="shared" si="263"/>
        <v/>
      </c>
      <c r="CJ291" s="1100">
        <f>GIU!AM33</f>
        <v>0</v>
      </c>
      <c r="CK291" s="445">
        <f>SUMIF(GIU!$G$155:$J$155,CK$112,GIU!$AN33:$AQ33)</f>
        <v>0</v>
      </c>
      <c r="CL291" s="446">
        <f>SUMIF(GIU!$G$155:$J$155,CL$112,GIU!$AN33:$AQ33)</f>
        <v>0</v>
      </c>
      <c r="CM291" s="447">
        <f>SUMIF(GIU!$G$155:$J$155,CM$112,GIU!$AN33:$AQ33)</f>
        <v>0</v>
      </c>
      <c r="CN291" s="448">
        <f>SUMIF(GIU!$G$155:$J$155,CN$112,GIU!$AN33:$AQ33)</f>
        <v>0</v>
      </c>
      <c r="CO291" s="1100">
        <f>GIU!AS33</f>
        <v>0</v>
      </c>
      <c r="CP291" s="445">
        <f>GIU!AT33</f>
        <v>0</v>
      </c>
      <c r="CQ291" s="446">
        <f>GIU!AU33</f>
        <v>0</v>
      </c>
      <c r="CR291" s="447">
        <f>GIU!AV33</f>
        <v>0</v>
      </c>
      <c r="CS291" s="448">
        <f>GIU!AW33</f>
        <v>0</v>
      </c>
      <c r="CT291" s="1100">
        <f>GIU!AY33</f>
        <v>0</v>
      </c>
      <c r="CU291" s="2"/>
    </row>
    <row r="292" spans="1:99" ht="14.25" hidden="1" customHeight="1" x14ac:dyDescent="0.2">
      <c r="A292" s="2"/>
      <c r="B292" s="151">
        <f t="shared" si="252"/>
        <v>45470</v>
      </c>
      <c r="C292" s="223">
        <f>IF(AND(E292&gt;(E$496-1),E292&lt;(I$496+1)),W$485,IF(ISERROR(HLOOKUP(E292,$E$489:$L$489,1,FALSE)),HLOOKUP(WEEKDAY(E292,2),IMPOSTAZIONI!$C$51:$P$56,6,FALSE),$W$484))</f>
        <v>0</v>
      </c>
      <c r="D292" s="103" t="str">
        <f t="shared" si="253"/>
        <v/>
      </c>
      <c r="E292" s="2380">
        <f t="shared" si="264"/>
        <v>45470</v>
      </c>
      <c r="F292" s="2381"/>
      <c r="G292" s="2325" t="str">
        <f>GIU!E34</f>
        <v xml:space="preserve">attiva trim.  </v>
      </c>
      <c r="H292" s="2326"/>
      <c r="I292" s="2327"/>
      <c r="J292" s="479" t="str">
        <f t="shared" si="249"/>
        <v/>
      </c>
      <c r="K292" s="480"/>
      <c r="L292" s="2319">
        <f t="shared" si="265"/>
        <v>26</v>
      </c>
      <c r="M292" s="2320"/>
      <c r="N292" s="478"/>
      <c r="O292" s="478"/>
      <c r="P292" s="478"/>
      <c r="Q292" s="2315">
        <f t="shared" si="254"/>
        <v>45470</v>
      </c>
      <c r="R292" s="2315"/>
      <c r="S292" s="478"/>
      <c r="T292" s="140">
        <f t="shared" si="255"/>
        <v>1</v>
      </c>
      <c r="U292" s="478"/>
      <c r="V292" s="478"/>
      <c r="W292" s="478"/>
      <c r="X292" s="478"/>
      <c r="Y292" s="478"/>
      <c r="Z292" s="478"/>
      <c r="AA292" s="478"/>
      <c r="AB292" s="478"/>
      <c r="AC292" s="478"/>
      <c r="AD292" s="478"/>
      <c r="AE292" s="478"/>
      <c r="AF292" s="478"/>
      <c r="AG292" s="140">
        <f t="shared" si="256"/>
        <v>0</v>
      </c>
      <c r="AH292" s="92" t="str">
        <f t="shared" si="257"/>
        <v/>
      </c>
      <c r="AI292" s="131">
        <f t="shared" si="258"/>
        <v>0</v>
      </c>
      <c r="AJ292" s="2"/>
      <c r="AK292" s="92">
        <f>IF(G292=G$481,0,IF(OR(G292&lt;&gt;0,CJ292&lt;&gt;0,C292="L"),COUNTIF(AK$114:AK291,"&gt;0")+1,0))</f>
        <v>0</v>
      </c>
      <c r="AL292" s="92" t="str">
        <f t="shared" si="259"/>
        <v/>
      </c>
      <c r="AM292" s="92" t="str">
        <f t="shared" si="260"/>
        <v/>
      </c>
      <c r="AN292" s="131">
        <f t="shared" si="250"/>
        <v>0</v>
      </c>
      <c r="AO292" s="447">
        <f>SUM(GIU!W34:Z34)</f>
        <v>0</v>
      </c>
      <c r="AP292" s="445">
        <f>SUMIF(GIU!$G$155:$J$155,AP$112,GIU!$R34:$U34)</f>
        <v>0</v>
      </c>
      <c r="AQ292" s="446">
        <f>SUMIF(GIU!$G$155:$J$155,AQ$112,GIU!$R34:$U34)</f>
        <v>0</v>
      </c>
      <c r="AR292" s="447">
        <f>SUMIF(GIU!$G$155:$J$155,AR$112,GIU!$R34:$U34)</f>
        <v>0</v>
      </c>
      <c r="AS292" s="448">
        <f>SUMIF(GIU!$G$155:$J$155,AS$112,GIU!$R34:$U34)</f>
        <v>0</v>
      </c>
      <c r="AT292" s="449">
        <f>GIU!AG34</f>
        <v>0</v>
      </c>
      <c r="AU292" s="445">
        <f>GIU!AH34</f>
        <v>0</v>
      </c>
      <c r="AV292" s="446">
        <f>GIU!AI34</f>
        <v>0</v>
      </c>
      <c r="AW292" s="447">
        <f>GIU!AJ34</f>
        <v>0</v>
      </c>
      <c r="AX292" s="448">
        <f>GIU!AK34</f>
        <v>0</v>
      </c>
      <c r="AY292" s="445">
        <f>SUMIF(GIU!$G$152:$J$152,"&gt;0",GIU!$W34:$Z34)</f>
        <v>0</v>
      </c>
      <c r="AZ292" s="1063">
        <f>SUM(GIU!AB34:AE34)</f>
        <v>0</v>
      </c>
      <c r="BA292" s="445">
        <f>SUMIF(GIU!$G$159:$J$159,BA$111,GIU!$R34:$U34)+SUMIF(GIU!$G$159:$J$159,BA$111,GIU!$W34:$Z34)</f>
        <v>0</v>
      </c>
      <c r="BB292" s="446">
        <f>SUMIF(GIU!$G$159:$J$159,BB$111,GIU!$R34:$U34)+SUMIF(GIU!$G$159:$J$159,BB$111,GIU!$W34:$Z34)</f>
        <v>0</v>
      </c>
      <c r="BC292" s="446">
        <f>SUMIF(GIU!$G$159:$J$159,BC$111,GIU!$R34:$U34)+SUMIF(GIU!$G$159:$J$159,BC$111,GIU!$W34:$Z34)</f>
        <v>0</v>
      </c>
      <c r="BD292" s="446">
        <f>SUMIF(GIU!$G$159:$J$159,BD$111,GIU!$R34:$U34)+SUMIF(GIU!$G$159:$J$159,BD$111,GIU!$W34:$Z34)</f>
        <v>0</v>
      </c>
      <c r="BE292" s="446">
        <f>SUMIF(GIU!$G$159:$J$159,BE$111,GIU!$R34:$U34)+SUMIF(GIU!$G$159:$J$159,BE$111,GIU!$W34:$Z34)</f>
        <v>0</v>
      </c>
      <c r="BF292" s="446">
        <f>SUMIF(GIU!$G$159:$J$159,BF$111,GIU!$R34:$U34)+SUMIF(GIU!$G$159:$J$159,BF$111,GIU!$W34:$Z34)</f>
        <v>0</v>
      </c>
      <c r="BG292" s="448">
        <f>SUMIF(GIU!$G$159:$J$159,BG$111,GIU!$R34:$U34)+SUMIF(GIU!$G$159:$J$159,BG$111,GIU!$W34:$Z34)</f>
        <v>0</v>
      </c>
      <c r="BH292" s="571"/>
      <c r="BI292" s="448"/>
      <c r="BJ292" s="470"/>
      <c r="BK292" s="445">
        <f>SUMIF(GIU!$G$157:$J$157,BK$111,GIU!$R34:$U34)+SUMIF(GIU!$G$157:$J$157,BK$111,GIU!$W34:$Z34)</f>
        <v>0</v>
      </c>
      <c r="BL292" s="446">
        <f>SUMIF(GIU!$G$157:$J$157,BL$111,GIU!$R34:$U34)+SUMIF(GIU!$G$157:$J$157,BL$111,GIU!$W34:$Z34)</f>
        <v>0</v>
      </c>
      <c r="BM292" s="446">
        <f>SUMIF(GIU!$G$157:$J$157,BM$111,GIU!$R34:$U34)+SUMIF(GIU!$G$157:$J$157,BM$111,GIU!$W34:$Z34)</f>
        <v>0</v>
      </c>
      <c r="BN292" s="446">
        <f>SUMIF(GIU!$G$157:$J$157,BN$111,GIU!$R34:$U34)+SUMIF(GIU!$G$157:$J$157,BN$111,GIU!$W34:$Z34)</f>
        <v>0</v>
      </c>
      <c r="BO292" s="446">
        <f>SUMIF(GIU!$G$157:$J$157,BO$111,GIU!$R34:$U34)+SUMIF(GIU!$G$157:$J$157,BO$111,GIU!$W34:$Z34)</f>
        <v>0</v>
      </c>
      <c r="BP292" s="446">
        <f>SUMIF(GIU!$G$157:$J$157,BP$111,GIU!$R34:$U34)+SUMIF(GIU!$G$157:$J$157,BP$111,GIU!$W34:$Z34)</f>
        <v>0</v>
      </c>
      <c r="BQ292" s="448">
        <f>SUMIF(GIU!$G$157:$J$157,BQ$111,GIU!$R34:$U34)+SUMIF(GIU!$G$157:$J$157,BQ$111,GIU!$W34:$Z34)</f>
        <v>0</v>
      </c>
      <c r="BR292" s="571"/>
      <c r="BS292" s="446"/>
      <c r="BT292" s="448"/>
      <c r="BU292" s="470"/>
      <c r="BV292" s="445">
        <f>SUMIF(GIU!$G$158:$J$158,BV$111,GIU!$R34:$U34)+SUMIF(GIU!$G$158:$J$158,BV$111,GIU!$W34:$Z34)</f>
        <v>0</v>
      </c>
      <c r="BW292" s="446">
        <f>SUMIF(GIU!$G$158:$J$158,BW$111,GIU!$R34:$U34)+SUMIF(GIU!$G$158:$J$158,BW$111,GIU!$W34:$Z34)</f>
        <v>0</v>
      </c>
      <c r="BX292" s="446">
        <f>SUMIF(GIU!$G$158:$J$158,BX$111,GIU!$R34:$U34)+SUMIF(GIU!$G$158:$J$158,BX$111,GIU!$W34:$Z34)</f>
        <v>0</v>
      </c>
      <c r="BY292" s="446">
        <f>SUMIF(GIU!$G$158:$J$158,BY$111,GIU!$R34:$U34)+SUMIF(GIU!$G$158:$J$158,BY$111,GIU!$W34:$Z34)</f>
        <v>0</v>
      </c>
      <c r="BZ292" s="446">
        <f>SUMIF(GIU!$G$158:$J$158,BZ$111,GIU!$R34:$U34)+SUMIF(GIU!$G$158:$J$158,BZ$111,GIU!$W34:$Z34)</f>
        <v>0</v>
      </c>
      <c r="CA292" s="446">
        <f>SUMIF(GIU!$G$158:$J$158,CA$111,GIU!$R34:$U34)+SUMIF(GIU!$G$158:$J$158,CA$111,GIU!$W34:$Z34)</f>
        <v>0</v>
      </c>
      <c r="CB292" s="448">
        <f>SUMIF(GIU!$G$158:$J$158,CB$111,GIU!$R34:$U34)+SUMIF(GIU!$G$158:$J$158,CB$111,GIU!$W34:$Z34)</f>
        <v>0</v>
      </c>
      <c r="CC292" s="571"/>
      <c r="CD292" s="448"/>
      <c r="CE292" s="92">
        <f t="shared" si="261"/>
        <v>0</v>
      </c>
      <c r="CF292" s="92">
        <f t="shared" si="262"/>
        <v>0</v>
      </c>
      <c r="CG292" s="151" t="str">
        <f t="shared" si="248"/>
        <v/>
      </c>
      <c r="CH292" s="92">
        <f t="shared" si="251"/>
        <v>0</v>
      </c>
      <c r="CI292" s="92" t="str">
        <f t="shared" si="263"/>
        <v/>
      </c>
      <c r="CJ292" s="1100">
        <f>GIU!AM34</f>
        <v>0</v>
      </c>
      <c r="CK292" s="445">
        <f>SUMIF(GIU!$G$155:$J$155,CK$112,GIU!$AN34:$AQ34)</f>
        <v>0</v>
      </c>
      <c r="CL292" s="446">
        <f>SUMIF(GIU!$G$155:$J$155,CL$112,GIU!$AN34:$AQ34)</f>
        <v>0</v>
      </c>
      <c r="CM292" s="447">
        <f>SUMIF(GIU!$G$155:$J$155,CM$112,GIU!$AN34:$AQ34)</f>
        <v>0</v>
      </c>
      <c r="CN292" s="448">
        <f>SUMIF(GIU!$G$155:$J$155,CN$112,GIU!$AN34:$AQ34)</f>
        <v>0</v>
      </c>
      <c r="CO292" s="1100">
        <f>GIU!AS34</f>
        <v>0</v>
      </c>
      <c r="CP292" s="445">
        <f>GIU!AT34</f>
        <v>0</v>
      </c>
      <c r="CQ292" s="446">
        <f>GIU!AU34</f>
        <v>0</v>
      </c>
      <c r="CR292" s="447">
        <f>GIU!AV34</f>
        <v>0</v>
      </c>
      <c r="CS292" s="448">
        <f>GIU!AW34</f>
        <v>0</v>
      </c>
      <c r="CT292" s="1100">
        <f>GIU!AY34</f>
        <v>0</v>
      </c>
      <c r="CU292" s="2"/>
    </row>
    <row r="293" spans="1:99" ht="14.25" hidden="1" customHeight="1" x14ac:dyDescent="0.2">
      <c r="A293" s="2"/>
      <c r="B293" s="151">
        <f t="shared" si="252"/>
        <v>45471</v>
      </c>
      <c r="C293" s="223">
        <f>IF(AND(E293&gt;(E$496-1),E293&lt;(I$496+1)),W$485,IF(ISERROR(HLOOKUP(E293,$E$489:$L$489,1,FALSE)),HLOOKUP(WEEKDAY(E293,2),IMPOSTAZIONI!$C$51:$P$56,6,FALSE),$W$484))</f>
        <v>0</v>
      </c>
      <c r="D293" s="103" t="str">
        <f t="shared" si="253"/>
        <v/>
      </c>
      <c r="E293" s="2380">
        <f t="shared" si="264"/>
        <v>45471</v>
      </c>
      <c r="F293" s="2381"/>
      <c r="G293" s="2325" t="str">
        <f>GIU!E35</f>
        <v xml:space="preserve">attiva trim.  </v>
      </c>
      <c r="H293" s="2326"/>
      <c r="I293" s="2327"/>
      <c r="J293" s="479" t="str">
        <f t="shared" si="249"/>
        <v/>
      </c>
      <c r="K293" s="480"/>
      <c r="L293" s="2319">
        <f t="shared" si="265"/>
        <v>26</v>
      </c>
      <c r="M293" s="2320"/>
      <c r="N293" s="478"/>
      <c r="O293" s="478"/>
      <c r="P293" s="478"/>
      <c r="Q293" s="2315">
        <f t="shared" si="254"/>
        <v>45471</v>
      </c>
      <c r="R293" s="2315"/>
      <c r="S293" s="478"/>
      <c r="T293" s="140">
        <f t="shared" si="255"/>
        <v>1</v>
      </c>
      <c r="U293" s="478"/>
      <c r="V293" s="478"/>
      <c r="W293" s="478"/>
      <c r="X293" s="478"/>
      <c r="Y293" s="478"/>
      <c r="Z293" s="478"/>
      <c r="AA293" s="478"/>
      <c r="AB293" s="478"/>
      <c r="AC293" s="478"/>
      <c r="AD293" s="478"/>
      <c r="AE293" s="478"/>
      <c r="AF293" s="478"/>
      <c r="AG293" s="140">
        <f t="shared" si="256"/>
        <v>0</v>
      </c>
      <c r="AH293" s="92" t="str">
        <f t="shared" si="257"/>
        <v/>
      </c>
      <c r="AI293" s="131">
        <f t="shared" si="258"/>
        <v>0</v>
      </c>
      <c r="AJ293" s="2"/>
      <c r="AK293" s="92">
        <f>IF(G293=G$481,0,IF(OR(G293&lt;&gt;0,CJ293&lt;&gt;0,C293="L"),COUNTIF(AK$114:AK292,"&gt;0")+1,0))</f>
        <v>0</v>
      </c>
      <c r="AL293" s="92" t="str">
        <f t="shared" si="259"/>
        <v/>
      </c>
      <c r="AM293" s="92" t="str">
        <f t="shared" si="260"/>
        <v/>
      </c>
      <c r="AN293" s="131">
        <f t="shared" si="250"/>
        <v>0</v>
      </c>
      <c r="AO293" s="447">
        <f>SUM(GIU!W35:Z35)</f>
        <v>0</v>
      </c>
      <c r="AP293" s="445">
        <f>SUMIF(GIU!$G$155:$J$155,AP$112,GIU!$R35:$U35)</f>
        <v>0</v>
      </c>
      <c r="AQ293" s="446">
        <f>SUMIF(GIU!$G$155:$J$155,AQ$112,GIU!$R35:$U35)</f>
        <v>0</v>
      </c>
      <c r="AR293" s="447">
        <f>SUMIF(GIU!$G$155:$J$155,AR$112,GIU!$R35:$U35)</f>
        <v>0</v>
      </c>
      <c r="AS293" s="448">
        <f>SUMIF(GIU!$G$155:$J$155,AS$112,GIU!$R35:$U35)</f>
        <v>0</v>
      </c>
      <c r="AT293" s="449">
        <f>GIU!AG35</f>
        <v>0</v>
      </c>
      <c r="AU293" s="445">
        <f>GIU!AH35</f>
        <v>0</v>
      </c>
      <c r="AV293" s="446">
        <f>GIU!AI35</f>
        <v>0</v>
      </c>
      <c r="AW293" s="447">
        <f>GIU!AJ35</f>
        <v>0</v>
      </c>
      <c r="AX293" s="448">
        <f>GIU!AK35</f>
        <v>0</v>
      </c>
      <c r="AY293" s="445">
        <f>SUMIF(GIU!$G$152:$J$152,"&gt;0",GIU!$W35:$Z35)</f>
        <v>0</v>
      </c>
      <c r="AZ293" s="1063">
        <f>SUM(GIU!AB35:AE35)</f>
        <v>0</v>
      </c>
      <c r="BA293" s="445">
        <f>SUMIF(GIU!$G$159:$J$159,BA$111,GIU!$R35:$U35)+SUMIF(GIU!$G$159:$J$159,BA$111,GIU!$W35:$Z35)</f>
        <v>0</v>
      </c>
      <c r="BB293" s="446">
        <f>SUMIF(GIU!$G$159:$J$159,BB$111,GIU!$R35:$U35)+SUMIF(GIU!$G$159:$J$159,BB$111,GIU!$W35:$Z35)</f>
        <v>0</v>
      </c>
      <c r="BC293" s="446">
        <f>SUMIF(GIU!$G$159:$J$159,BC$111,GIU!$R35:$U35)+SUMIF(GIU!$G$159:$J$159,BC$111,GIU!$W35:$Z35)</f>
        <v>0</v>
      </c>
      <c r="BD293" s="446">
        <f>SUMIF(GIU!$G$159:$J$159,BD$111,GIU!$R35:$U35)+SUMIF(GIU!$G$159:$J$159,BD$111,GIU!$W35:$Z35)</f>
        <v>0</v>
      </c>
      <c r="BE293" s="446">
        <f>SUMIF(GIU!$G$159:$J$159,BE$111,GIU!$R35:$U35)+SUMIF(GIU!$G$159:$J$159,BE$111,GIU!$W35:$Z35)</f>
        <v>0</v>
      </c>
      <c r="BF293" s="446">
        <f>SUMIF(GIU!$G$159:$J$159,BF$111,GIU!$R35:$U35)+SUMIF(GIU!$G$159:$J$159,BF$111,GIU!$W35:$Z35)</f>
        <v>0</v>
      </c>
      <c r="BG293" s="448">
        <f>SUMIF(GIU!$G$159:$J$159,BG$111,GIU!$R35:$U35)+SUMIF(GIU!$G$159:$J$159,BG$111,GIU!$W35:$Z35)</f>
        <v>0</v>
      </c>
      <c r="BH293" s="571"/>
      <c r="BI293" s="448"/>
      <c r="BJ293" s="470"/>
      <c r="BK293" s="445">
        <f>SUMIF(GIU!$G$157:$J$157,BK$111,GIU!$R35:$U35)+SUMIF(GIU!$G$157:$J$157,BK$111,GIU!$W35:$Z35)</f>
        <v>0</v>
      </c>
      <c r="BL293" s="446">
        <f>SUMIF(GIU!$G$157:$J$157,BL$111,GIU!$R35:$U35)+SUMIF(GIU!$G$157:$J$157,BL$111,GIU!$W35:$Z35)</f>
        <v>0</v>
      </c>
      <c r="BM293" s="446">
        <f>SUMIF(GIU!$G$157:$J$157,BM$111,GIU!$R35:$U35)+SUMIF(GIU!$G$157:$J$157,BM$111,GIU!$W35:$Z35)</f>
        <v>0</v>
      </c>
      <c r="BN293" s="446">
        <f>SUMIF(GIU!$G$157:$J$157,BN$111,GIU!$R35:$U35)+SUMIF(GIU!$G$157:$J$157,BN$111,GIU!$W35:$Z35)</f>
        <v>0</v>
      </c>
      <c r="BO293" s="446">
        <f>SUMIF(GIU!$G$157:$J$157,BO$111,GIU!$R35:$U35)+SUMIF(GIU!$G$157:$J$157,BO$111,GIU!$W35:$Z35)</f>
        <v>0</v>
      </c>
      <c r="BP293" s="446">
        <f>SUMIF(GIU!$G$157:$J$157,BP$111,GIU!$R35:$U35)+SUMIF(GIU!$G$157:$J$157,BP$111,GIU!$W35:$Z35)</f>
        <v>0</v>
      </c>
      <c r="BQ293" s="448">
        <f>SUMIF(GIU!$G$157:$J$157,BQ$111,GIU!$R35:$U35)+SUMIF(GIU!$G$157:$J$157,BQ$111,GIU!$W35:$Z35)</f>
        <v>0</v>
      </c>
      <c r="BR293" s="571"/>
      <c r="BS293" s="446"/>
      <c r="BT293" s="448"/>
      <c r="BU293" s="470"/>
      <c r="BV293" s="445">
        <f>SUMIF(GIU!$G$158:$J$158,BV$111,GIU!$R35:$U35)+SUMIF(GIU!$G$158:$J$158,BV$111,GIU!$W35:$Z35)</f>
        <v>0</v>
      </c>
      <c r="BW293" s="446">
        <f>SUMIF(GIU!$G$158:$J$158,BW$111,GIU!$R35:$U35)+SUMIF(GIU!$G$158:$J$158,BW$111,GIU!$W35:$Z35)</f>
        <v>0</v>
      </c>
      <c r="BX293" s="446">
        <f>SUMIF(GIU!$G$158:$J$158,BX$111,GIU!$R35:$U35)+SUMIF(GIU!$G$158:$J$158,BX$111,GIU!$W35:$Z35)</f>
        <v>0</v>
      </c>
      <c r="BY293" s="446">
        <f>SUMIF(GIU!$G$158:$J$158,BY$111,GIU!$R35:$U35)+SUMIF(GIU!$G$158:$J$158,BY$111,GIU!$W35:$Z35)</f>
        <v>0</v>
      </c>
      <c r="BZ293" s="446">
        <f>SUMIF(GIU!$G$158:$J$158,BZ$111,GIU!$R35:$U35)+SUMIF(GIU!$G$158:$J$158,BZ$111,GIU!$W35:$Z35)</f>
        <v>0</v>
      </c>
      <c r="CA293" s="446">
        <f>SUMIF(GIU!$G$158:$J$158,CA$111,GIU!$R35:$U35)+SUMIF(GIU!$G$158:$J$158,CA$111,GIU!$W35:$Z35)</f>
        <v>0</v>
      </c>
      <c r="CB293" s="448">
        <f>SUMIF(GIU!$G$158:$J$158,CB$111,GIU!$R35:$U35)+SUMIF(GIU!$G$158:$J$158,CB$111,GIU!$W35:$Z35)</f>
        <v>0</v>
      </c>
      <c r="CC293" s="571"/>
      <c r="CD293" s="448"/>
      <c r="CE293" s="92">
        <f t="shared" si="261"/>
        <v>0</v>
      </c>
      <c r="CF293" s="92">
        <f t="shared" si="262"/>
        <v>0</v>
      </c>
      <c r="CG293" s="151" t="str">
        <f t="shared" si="248"/>
        <v/>
      </c>
      <c r="CH293" s="92">
        <f t="shared" si="251"/>
        <v>0</v>
      </c>
      <c r="CI293" s="92" t="str">
        <f t="shared" si="263"/>
        <v/>
      </c>
      <c r="CJ293" s="1100">
        <f>GIU!AM35</f>
        <v>0</v>
      </c>
      <c r="CK293" s="445">
        <f>SUMIF(GIU!$G$155:$J$155,CK$112,GIU!$AN35:$AQ35)</f>
        <v>0</v>
      </c>
      <c r="CL293" s="446">
        <f>SUMIF(GIU!$G$155:$J$155,CL$112,GIU!$AN35:$AQ35)</f>
        <v>0</v>
      </c>
      <c r="CM293" s="447">
        <f>SUMIF(GIU!$G$155:$J$155,CM$112,GIU!$AN35:$AQ35)</f>
        <v>0</v>
      </c>
      <c r="CN293" s="448">
        <f>SUMIF(GIU!$G$155:$J$155,CN$112,GIU!$AN35:$AQ35)</f>
        <v>0</v>
      </c>
      <c r="CO293" s="1100">
        <f>GIU!AS35</f>
        <v>0</v>
      </c>
      <c r="CP293" s="445">
        <f>GIU!AT35</f>
        <v>0</v>
      </c>
      <c r="CQ293" s="446">
        <f>GIU!AU35</f>
        <v>0</v>
      </c>
      <c r="CR293" s="447">
        <f>GIU!AV35</f>
        <v>0</v>
      </c>
      <c r="CS293" s="448">
        <f>GIU!AW35</f>
        <v>0</v>
      </c>
      <c r="CT293" s="1100">
        <f>GIU!AY35</f>
        <v>0</v>
      </c>
      <c r="CU293" s="2"/>
    </row>
    <row r="294" spans="1:99" ht="14.25" hidden="1" customHeight="1" x14ac:dyDescent="0.2">
      <c r="A294" s="2"/>
      <c r="B294" s="151">
        <f t="shared" si="252"/>
        <v>45472</v>
      </c>
      <c r="C294" s="223">
        <f>IF(AND(E294&gt;(E$496-1),E294&lt;(I$496+1)),W$485,IF(ISERROR(HLOOKUP(E294,$E$489:$L$489,1,FALSE)),HLOOKUP(WEEKDAY(E294,2),IMPOSTAZIONI!$C$51:$P$56,6,FALSE),$W$484))</f>
        <v>0</v>
      </c>
      <c r="D294" s="103" t="str">
        <f t="shared" si="253"/>
        <v/>
      </c>
      <c r="E294" s="2380">
        <f t="shared" si="264"/>
        <v>45472</v>
      </c>
      <c r="F294" s="2381"/>
      <c r="G294" s="2325" t="str">
        <f>GIU!E36</f>
        <v xml:space="preserve">attiva trim.  </v>
      </c>
      <c r="H294" s="2326"/>
      <c r="I294" s="2327"/>
      <c r="J294" s="479" t="str">
        <f t="shared" si="249"/>
        <v/>
      </c>
      <c r="K294" s="480"/>
      <c r="L294" s="2319">
        <f t="shared" si="265"/>
        <v>26</v>
      </c>
      <c r="M294" s="2320"/>
      <c r="N294" s="478"/>
      <c r="O294" s="478"/>
      <c r="P294" s="478"/>
      <c r="Q294" s="2315">
        <f t="shared" si="254"/>
        <v>45472</v>
      </c>
      <c r="R294" s="2315"/>
      <c r="S294" s="478"/>
      <c r="T294" s="140">
        <f t="shared" si="255"/>
        <v>1</v>
      </c>
      <c r="U294" s="478"/>
      <c r="V294" s="478"/>
      <c r="W294" s="478"/>
      <c r="X294" s="478"/>
      <c r="Y294" s="478"/>
      <c r="Z294" s="478"/>
      <c r="AA294" s="478"/>
      <c r="AB294" s="478"/>
      <c r="AC294" s="478"/>
      <c r="AD294" s="478"/>
      <c r="AE294" s="478"/>
      <c r="AF294" s="478"/>
      <c r="AG294" s="140">
        <f t="shared" si="256"/>
        <v>0</v>
      </c>
      <c r="AH294" s="92" t="str">
        <f t="shared" si="257"/>
        <v/>
      </c>
      <c r="AI294" s="131">
        <f t="shared" si="258"/>
        <v>0</v>
      </c>
      <c r="AJ294" s="2"/>
      <c r="AK294" s="92">
        <f>IF(G294=G$481,0,IF(OR(G294&lt;&gt;0,CJ294&lt;&gt;0,C294="L"),COUNTIF(AK$114:AK293,"&gt;0")+1,0))</f>
        <v>0</v>
      </c>
      <c r="AL294" s="92" t="str">
        <f t="shared" si="259"/>
        <v/>
      </c>
      <c r="AM294" s="92" t="str">
        <f t="shared" si="260"/>
        <v/>
      </c>
      <c r="AN294" s="131">
        <f t="shared" si="250"/>
        <v>0</v>
      </c>
      <c r="AO294" s="447">
        <f>SUM(GIU!W36:Z36)</f>
        <v>0</v>
      </c>
      <c r="AP294" s="445">
        <f>SUMIF(GIU!$G$155:$J$155,AP$112,GIU!$R36:$U36)</f>
        <v>0</v>
      </c>
      <c r="AQ294" s="446">
        <f>SUMIF(GIU!$G$155:$J$155,AQ$112,GIU!$R36:$U36)</f>
        <v>0</v>
      </c>
      <c r="AR294" s="447">
        <f>SUMIF(GIU!$G$155:$J$155,AR$112,GIU!$R36:$U36)</f>
        <v>0</v>
      </c>
      <c r="AS294" s="448">
        <f>SUMIF(GIU!$G$155:$J$155,AS$112,GIU!$R36:$U36)</f>
        <v>0</v>
      </c>
      <c r="AT294" s="449">
        <f>GIU!AG36</f>
        <v>0</v>
      </c>
      <c r="AU294" s="445">
        <f>GIU!AH36</f>
        <v>0</v>
      </c>
      <c r="AV294" s="446">
        <f>GIU!AI36</f>
        <v>0</v>
      </c>
      <c r="AW294" s="447">
        <f>GIU!AJ36</f>
        <v>0</v>
      </c>
      <c r="AX294" s="448">
        <f>GIU!AK36</f>
        <v>0</v>
      </c>
      <c r="AY294" s="445">
        <f>SUMIF(GIU!$G$152:$J$152,"&gt;0",GIU!$W36:$Z36)</f>
        <v>0</v>
      </c>
      <c r="AZ294" s="1063">
        <f>SUM(GIU!AB36:AE36)</f>
        <v>0</v>
      </c>
      <c r="BA294" s="445">
        <f>SUMIF(GIU!$G$159:$J$159,BA$111,GIU!$R36:$U36)+SUMIF(GIU!$G$159:$J$159,BA$111,GIU!$W36:$Z36)</f>
        <v>0</v>
      </c>
      <c r="BB294" s="446">
        <f>SUMIF(GIU!$G$159:$J$159,BB$111,GIU!$R36:$U36)+SUMIF(GIU!$G$159:$J$159,BB$111,GIU!$W36:$Z36)</f>
        <v>0</v>
      </c>
      <c r="BC294" s="446">
        <f>SUMIF(GIU!$G$159:$J$159,BC$111,GIU!$R36:$U36)+SUMIF(GIU!$G$159:$J$159,BC$111,GIU!$W36:$Z36)</f>
        <v>0</v>
      </c>
      <c r="BD294" s="446">
        <f>SUMIF(GIU!$G$159:$J$159,BD$111,GIU!$R36:$U36)+SUMIF(GIU!$G$159:$J$159,BD$111,GIU!$W36:$Z36)</f>
        <v>0</v>
      </c>
      <c r="BE294" s="446">
        <f>SUMIF(GIU!$G$159:$J$159,BE$111,GIU!$R36:$U36)+SUMIF(GIU!$G$159:$J$159,BE$111,GIU!$W36:$Z36)</f>
        <v>0</v>
      </c>
      <c r="BF294" s="446">
        <f>SUMIF(GIU!$G$159:$J$159,BF$111,GIU!$R36:$U36)+SUMIF(GIU!$G$159:$J$159,BF$111,GIU!$W36:$Z36)</f>
        <v>0</v>
      </c>
      <c r="BG294" s="448">
        <f>SUMIF(GIU!$G$159:$J$159,BG$111,GIU!$R36:$U36)+SUMIF(GIU!$G$159:$J$159,BG$111,GIU!$W36:$Z36)</f>
        <v>0</v>
      </c>
      <c r="BH294" s="571"/>
      <c r="BI294" s="448"/>
      <c r="BJ294" s="470"/>
      <c r="BK294" s="445">
        <f>SUMIF(GIU!$G$157:$J$157,BK$111,GIU!$R36:$U36)+SUMIF(GIU!$G$157:$J$157,BK$111,GIU!$W36:$Z36)</f>
        <v>0</v>
      </c>
      <c r="BL294" s="446">
        <f>SUMIF(GIU!$G$157:$J$157,BL$111,GIU!$R36:$U36)+SUMIF(GIU!$G$157:$J$157,BL$111,GIU!$W36:$Z36)</f>
        <v>0</v>
      </c>
      <c r="BM294" s="446">
        <f>SUMIF(GIU!$G$157:$J$157,BM$111,GIU!$R36:$U36)+SUMIF(GIU!$G$157:$J$157,BM$111,GIU!$W36:$Z36)</f>
        <v>0</v>
      </c>
      <c r="BN294" s="446">
        <f>SUMIF(GIU!$G$157:$J$157,BN$111,GIU!$R36:$U36)+SUMIF(GIU!$G$157:$J$157,BN$111,GIU!$W36:$Z36)</f>
        <v>0</v>
      </c>
      <c r="BO294" s="446">
        <f>SUMIF(GIU!$G$157:$J$157,BO$111,GIU!$R36:$U36)+SUMIF(GIU!$G$157:$J$157,BO$111,GIU!$W36:$Z36)</f>
        <v>0</v>
      </c>
      <c r="BP294" s="446">
        <f>SUMIF(GIU!$G$157:$J$157,BP$111,GIU!$R36:$U36)+SUMIF(GIU!$G$157:$J$157,BP$111,GIU!$W36:$Z36)</f>
        <v>0</v>
      </c>
      <c r="BQ294" s="448">
        <f>SUMIF(GIU!$G$157:$J$157,BQ$111,GIU!$R36:$U36)+SUMIF(GIU!$G$157:$J$157,BQ$111,GIU!$W36:$Z36)</f>
        <v>0</v>
      </c>
      <c r="BR294" s="571"/>
      <c r="BS294" s="446"/>
      <c r="BT294" s="448"/>
      <c r="BU294" s="470"/>
      <c r="BV294" s="445">
        <f>SUMIF(GIU!$G$158:$J$158,BV$111,GIU!$R36:$U36)+SUMIF(GIU!$G$158:$J$158,BV$111,GIU!$W36:$Z36)</f>
        <v>0</v>
      </c>
      <c r="BW294" s="446">
        <f>SUMIF(GIU!$G$158:$J$158,BW$111,GIU!$R36:$U36)+SUMIF(GIU!$G$158:$J$158,BW$111,GIU!$W36:$Z36)</f>
        <v>0</v>
      </c>
      <c r="BX294" s="446">
        <f>SUMIF(GIU!$G$158:$J$158,BX$111,GIU!$R36:$U36)+SUMIF(GIU!$G$158:$J$158,BX$111,GIU!$W36:$Z36)</f>
        <v>0</v>
      </c>
      <c r="BY294" s="446">
        <f>SUMIF(GIU!$G$158:$J$158,BY$111,GIU!$R36:$U36)+SUMIF(GIU!$G$158:$J$158,BY$111,GIU!$W36:$Z36)</f>
        <v>0</v>
      </c>
      <c r="BZ294" s="446">
        <f>SUMIF(GIU!$G$158:$J$158,BZ$111,GIU!$R36:$U36)+SUMIF(GIU!$G$158:$J$158,BZ$111,GIU!$W36:$Z36)</f>
        <v>0</v>
      </c>
      <c r="CA294" s="446">
        <f>SUMIF(GIU!$G$158:$J$158,CA$111,GIU!$R36:$U36)+SUMIF(GIU!$G$158:$J$158,CA$111,GIU!$W36:$Z36)</f>
        <v>0</v>
      </c>
      <c r="CB294" s="448">
        <f>SUMIF(GIU!$G$158:$J$158,CB$111,GIU!$R36:$U36)+SUMIF(GIU!$G$158:$J$158,CB$111,GIU!$W36:$Z36)</f>
        <v>0</v>
      </c>
      <c r="CC294" s="571"/>
      <c r="CD294" s="448"/>
      <c r="CE294" s="92">
        <f t="shared" si="261"/>
        <v>0</v>
      </c>
      <c r="CF294" s="92">
        <f t="shared" si="262"/>
        <v>0</v>
      </c>
      <c r="CG294" s="151" t="str">
        <f t="shared" si="248"/>
        <v/>
      </c>
      <c r="CH294" s="92">
        <f t="shared" si="251"/>
        <v>0</v>
      </c>
      <c r="CI294" s="92" t="str">
        <f t="shared" si="263"/>
        <v/>
      </c>
      <c r="CJ294" s="1100">
        <f>GIU!AM36</f>
        <v>0</v>
      </c>
      <c r="CK294" s="445">
        <f>SUMIF(GIU!$G$155:$J$155,CK$112,GIU!$AN36:$AQ36)</f>
        <v>0</v>
      </c>
      <c r="CL294" s="446">
        <f>SUMIF(GIU!$G$155:$J$155,CL$112,GIU!$AN36:$AQ36)</f>
        <v>0</v>
      </c>
      <c r="CM294" s="447">
        <f>SUMIF(GIU!$G$155:$J$155,CM$112,GIU!$AN36:$AQ36)</f>
        <v>0</v>
      </c>
      <c r="CN294" s="448">
        <f>SUMIF(GIU!$G$155:$J$155,CN$112,GIU!$AN36:$AQ36)</f>
        <v>0</v>
      </c>
      <c r="CO294" s="1100">
        <f>GIU!AS36</f>
        <v>0</v>
      </c>
      <c r="CP294" s="445">
        <f>GIU!AT36</f>
        <v>0</v>
      </c>
      <c r="CQ294" s="446">
        <f>GIU!AU36</f>
        <v>0</v>
      </c>
      <c r="CR294" s="447">
        <f>GIU!AV36</f>
        <v>0</v>
      </c>
      <c r="CS294" s="448">
        <f>GIU!AW36</f>
        <v>0</v>
      </c>
      <c r="CT294" s="1100">
        <f>GIU!AY36</f>
        <v>0</v>
      </c>
      <c r="CU294" s="2"/>
    </row>
    <row r="295" spans="1:99" ht="14.25" hidden="1" customHeight="1" x14ac:dyDescent="0.2">
      <c r="A295" s="2"/>
      <c r="B295" s="151">
        <f t="shared" si="252"/>
        <v>45473</v>
      </c>
      <c r="C295" s="223">
        <f>IF(AND(E295&gt;(E$496-1),E295&lt;(I$496+1)),W$485,IF(ISERROR(HLOOKUP(E295,$E$489:$L$489,1,FALSE)),HLOOKUP(WEEKDAY(E295,2),IMPOSTAZIONI!$C$51:$P$56,6,FALSE),$W$484))</f>
        <v>0</v>
      </c>
      <c r="D295" s="103" t="str">
        <f t="shared" si="253"/>
        <v/>
      </c>
      <c r="E295" s="2380">
        <f t="shared" si="264"/>
        <v>45473</v>
      </c>
      <c r="F295" s="2381"/>
      <c r="G295" s="2325" t="str">
        <f>GIU!E37</f>
        <v xml:space="preserve">attiva trim.  </v>
      </c>
      <c r="H295" s="2326"/>
      <c r="I295" s="2327"/>
      <c r="J295" s="479" t="str">
        <f t="shared" si="249"/>
        <v/>
      </c>
      <c r="K295" s="480"/>
      <c r="L295" s="2321">
        <f t="shared" si="265"/>
        <v>26</v>
      </c>
      <c r="M295" s="2322"/>
      <c r="N295" s="478"/>
      <c r="O295" s="478"/>
      <c r="P295" s="478"/>
      <c r="Q295" s="2315">
        <f t="shared" si="254"/>
        <v>45473</v>
      </c>
      <c r="R295" s="2315"/>
      <c r="S295" s="478"/>
      <c r="T295" s="140">
        <f t="shared" si="255"/>
        <v>1</v>
      </c>
      <c r="U295" s="478"/>
      <c r="V295" s="478"/>
      <c r="W295" s="478"/>
      <c r="X295" s="478"/>
      <c r="Y295" s="478"/>
      <c r="Z295" s="478"/>
      <c r="AA295" s="478"/>
      <c r="AB295" s="478"/>
      <c r="AC295" s="478"/>
      <c r="AD295" s="478"/>
      <c r="AE295" s="478"/>
      <c r="AF295" s="478"/>
      <c r="AG295" s="140">
        <f t="shared" si="256"/>
        <v>0</v>
      </c>
      <c r="AH295" s="92" t="str">
        <f t="shared" si="257"/>
        <v/>
      </c>
      <c r="AI295" s="131">
        <f t="shared" si="258"/>
        <v>0</v>
      </c>
      <c r="AJ295" s="2"/>
      <c r="AK295" s="92">
        <f>IF(G295=G$481,0,IF(OR(G295&lt;&gt;0,CJ295&lt;&gt;0,C295="L"),COUNTIF(AK$114:AK294,"&gt;0")+1,0))</f>
        <v>0</v>
      </c>
      <c r="AL295" s="92" t="str">
        <f t="shared" si="259"/>
        <v/>
      </c>
      <c r="AM295" s="92" t="str">
        <f t="shared" si="260"/>
        <v/>
      </c>
      <c r="AN295" s="131">
        <f t="shared" si="250"/>
        <v>0</v>
      </c>
      <c r="AO295" s="452">
        <f>SUM(GIU!W37:Z37)</f>
        <v>0</v>
      </c>
      <c r="AP295" s="450">
        <f>SUMIF(GIU!$G$155:$J$155,AP$112,GIU!$R37:$U37)</f>
        <v>0</v>
      </c>
      <c r="AQ295" s="451">
        <f>SUMIF(GIU!$G$155:$J$155,AQ$112,GIU!$R37:$U37)</f>
        <v>0</v>
      </c>
      <c r="AR295" s="452">
        <f>SUMIF(GIU!$G$155:$J$155,AR$112,GIU!$R37:$U37)</f>
        <v>0</v>
      </c>
      <c r="AS295" s="453">
        <f>SUMIF(GIU!$G$155:$J$155,AS$112,GIU!$R37:$U37)</f>
        <v>0</v>
      </c>
      <c r="AT295" s="454">
        <f>GIU!AG37</f>
        <v>0</v>
      </c>
      <c r="AU295" s="450">
        <f>GIU!AH37</f>
        <v>0</v>
      </c>
      <c r="AV295" s="451">
        <f>GIU!AI37</f>
        <v>0</v>
      </c>
      <c r="AW295" s="452">
        <f>GIU!AJ37</f>
        <v>0</v>
      </c>
      <c r="AX295" s="453">
        <f>GIU!AK37</f>
        <v>0</v>
      </c>
      <c r="AY295" s="450">
        <f>SUMIF(GIU!$G$152:$J$152,"&gt;0",GIU!$W37:$Z37)</f>
        <v>0</v>
      </c>
      <c r="AZ295" s="1064">
        <f>SUM(GIU!AB37:AE37)</f>
        <v>0</v>
      </c>
      <c r="BA295" s="450">
        <f>SUMIF(GIU!$G$159:$J$159,BA$111,GIU!$R37:$U37)+SUMIF(GIU!$G$159:$J$159,BA$111,GIU!$W37:$Z37)</f>
        <v>0</v>
      </c>
      <c r="BB295" s="451">
        <f>SUMIF(GIU!$G$159:$J$159,BB$111,GIU!$R37:$U37)+SUMIF(GIU!$G$159:$J$159,BB$111,GIU!$W37:$Z37)</f>
        <v>0</v>
      </c>
      <c r="BC295" s="451">
        <f>SUMIF(GIU!$G$159:$J$159,BC$111,GIU!$R37:$U37)+SUMIF(GIU!$G$159:$J$159,BC$111,GIU!$W37:$Z37)</f>
        <v>0</v>
      </c>
      <c r="BD295" s="451">
        <f>SUMIF(GIU!$G$159:$J$159,BD$111,GIU!$R37:$U37)+SUMIF(GIU!$G$159:$J$159,BD$111,GIU!$W37:$Z37)</f>
        <v>0</v>
      </c>
      <c r="BE295" s="451">
        <f>SUMIF(GIU!$G$159:$J$159,BE$111,GIU!$R37:$U37)+SUMIF(GIU!$G$159:$J$159,BE$111,GIU!$W37:$Z37)</f>
        <v>0</v>
      </c>
      <c r="BF295" s="451">
        <f>SUMIF(GIU!$G$159:$J$159,BF$111,GIU!$R37:$U37)+SUMIF(GIU!$G$159:$J$159,BF$111,GIU!$W37:$Z37)</f>
        <v>0</v>
      </c>
      <c r="BG295" s="453">
        <f>SUMIF(GIU!$G$159:$J$159,BG$111,GIU!$R37:$U37)+SUMIF(GIU!$G$159:$J$159,BG$111,GIU!$W37:$Z37)</f>
        <v>0</v>
      </c>
      <c r="BH295" s="572"/>
      <c r="BI295" s="453"/>
      <c r="BJ295" s="470"/>
      <c r="BK295" s="450">
        <f>SUMIF(GIU!$G$157:$J$157,BK$111,GIU!$R37:$U37)+SUMIF(GIU!$G$157:$J$157,BK$111,GIU!$W37:$Z37)</f>
        <v>0</v>
      </c>
      <c r="BL295" s="451">
        <f>SUMIF(GIU!$G$157:$J$157,BL$111,GIU!$R37:$U37)+SUMIF(GIU!$G$157:$J$157,BL$111,GIU!$W37:$Z37)</f>
        <v>0</v>
      </c>
      <c r="BM295" s="451">
        <f>SUMIF(GIU!$G$157:$J$157,BM$111,GIU!$R37:$U37)+SUMIF(GIU!$G$157:$J$157,BM$111,GIU!$W37:$Z37)</f>
        <v>0</v>
      </c>
      <c r="BN295" s="451">
        <f>SUMIF(GIU!$G$157:$J$157,BN$111,GIU!$R37:$U37)+SUMIF(GIU!$G$157:$J$157,BN$111,GIU!$W37:$Z37)</f>
        <v>0</v>
      </c>
      <c r="BO295" s="451">
        <f>SUMIF(GIU!$G$157:$J$157,BO$111,GIU!$R37:$U37)+SUMIF(GIU!$G$157:$J$157,BO$111,GIU!$W37:$Z37)</f>
        <v>0</v>
      </c>
      <c r="BP295" s="451">
        <f>SUMIF(GIU!$G$157:$J$157,BP$111,GIU!$R37:$U37)+SUMIF(GIU!$G$157:$J$157,BP$111,GIU!$W37:$Z37)</f>
        <v>0</v>
      </c>
      <c r="BQ295" s="453">
        <f>SUMIF(GIU!$G$157:$J$157,BQ$111,GIU!$R37:$U37)+SUMIF(GIU!$G$157:$J$157,BQ$111,GIU!$W37:$Z37)</f>
        <v>0</v>
      </c>
      <c r="BR295" s="572"/>
      <c r="BS295" s="451"/>
      <c r="BT295" s="453"/>
      <c r="BU295" s="470"/>
      <c r="BV295" s="450">
        <f>SUMIF(GIU!$G$158:$J$158,BV$111,GIU!$R37:$U37)+SUMIF(GIU!$G$158:$J$158,BV$111,GIU!$W37:$Z37)</f>
        <v>0</v>
      </c>
      <c r="BW295" s="451">
        <f>SUMIF(GIU!$G$158:$J$158,BW$111,GIU!$R37:$U37)+SUMIF(GIU!$G$158:$J$158,BW$111,GIU!$W37:$Z37)</f>
        <v>0</v>
      </c>
      <c r="BX295" s="451">
        <f>SUMIF(GIU!$G$158:$J$158,BX$111,GIU!$R37:$U37)+SUMIF(GIU!$G$158:$J$158,BX$111,GIU!$W37:$Z37)</f>
        <v>0</v>
      </c>
      <c r="BY295" s="451">
        <f>SUMIF(GIU!$G$158:$J$158,BY$111,GIU!$R37:$U37)+SUMIF(GIU!$G$158:$J$158,BY$111,GIU!$W37:$Z37)</f>
        <v>0</v>
      </c>
      <c r="BZ295" s="451">
        <f>SUMIF(GIU!$G$158:$J$158,BZ$111,GIU!$R37:$U37)+SUMIF(GIU!$G$158:$J$158,BZ$111,GIU!$W37:$Z37)</f>
        <v>0</v>
      </c>
      <c r="CA295" s="451">
        <f>SUMIF(GIU!$G$158:$J$158,CA$111,GIU!$R37:$U37)+SUMIF(GIU!$G$158:$J$158,CA$111,GIU!$W37:$Z37)</f>
        <v>0</v>
      </c>
      <c r="CB295" s="453">
        <f>SUMIF(GIU!$G$158:$J$158,CB$111,GIU!$R37:$U37)+SUMIF(GIU!$G$158:$J$158,CB$111,GIU!$W37:$Z37)</f>
        <v>0</v>
      </c>
      <c r="CC295" s="572"/>
      <c r="CD295" s="453"/>
      <c r="CE295" s="92">
        <f t="shared" si="261"/>
        <v>0</v>
      </c>
      <c r="CF295" s="92">
        <f t="shared" si="262"/>
        <v>0</v>
      </c>
      <c r="CG295" s="151" t="str">
        <f t="shared" si="248"/>
        <v/>
      </c>
      <c r="CH295" s="92">
        <f t="shared" si="251"/>
        <v>0</v>
      </c>
      <c r="CI295" s="92" t="str">
        <f t="shared" si="263"/>
        <v/>
      </c>
      <c r="CJ295" s="1101">
        <f>GIU!AM37</f>
        <v>0</v>
      </c>
      <c r="CK295" s="450">
        <f>SUMIF(GIU!$G$155:$J$155,CK$112,GIU!$AN37:$AQ37)</f>
        <v>0</v>
      </c>
      <c r="CL295" s="451">
        <f>SUMIF(GIU!$G$155:$J$155,CL$112,GIU!$AN37:$AQ37)</f>
        <v>0</v>
      </c>
      <c r="CM295" s="452">
        <f>SUMIF(GIU!$G$155:$J$155,CM$112,GIU!$AN37:$AQ37)</f>
        <v>0</v>
      </c>
      <c r="CN295" s="453">
        <f>SUMIF(GIU!$G$155:$J$155,CN$112,GIU!$AN37:$AQ37)</f>
        <v>0</v>
      </c>
      <c r="CO295" s="1101">
        <f>GIU!AS37</f>
        <v>0</v>
      </c>
      <c r="CP295" s="450">
        <f>GIU!AT37</f>
        <v>0</v>
      </c>
      <c r="CQ295" s="451">
        <f>GIU!AU37</f>
        <v>0</v>
      </c>
      <c r="CR295" s="452">
        <f>GIU!AV37</f>
        <v>0</v>
      </c>
      <c r="CS295" s="453">
        <f>GIU!AW37</f>
        <v>0</v>
      </c>
      <c r="CT295" s="1101">
        <f>GIU!AY37</f>
        <v>0</v>
      </c>
      <c r="CU295" s="2"/>
    </row>
    <row r="296" spans="1:99" ht="14.25" hidden="1" customHeight="1" x14ac:dyDescent="0.2">
      <c r="A296" s="2"/>
      <c r="B296" s="151">
        <f t="shared" si="252"/>
        <v>45474</v>
      </c>
      <c r="C296" s="223">
        <f>IF(AND(E296&gt;(N$491-1),E296&lt;(R$491+1)),W$485,IF(ISERROR(HLOOKUP(E296,$N$484:$U$484,1,FALSE)),HLOOKUP(WEEKDAY(E296,2),IMPOSTAZIONI!$C$51:$P$56,6,FALSE),$W$484))</f>
        <v>0</v>
      </c>
      <c r="D296" s="103" t="str">
        <f t="shared" si="253"/>
        <v/>
      </c>
      <c r="E296" s="2447">
        <f t="shared" si="264"/>
        <v>45474</v>
      </c>
      <c r="F296" s="2448"/>
      <c r="G296" s="2449" t="str">
        <f>LUG!E8</f>
        <v xml:space="preserve">attiva trim.  </v>
      </c>
      <c r="H296" s="2450"/>
      <c r="I296" s="2451"/>
      <c r="J296" s="479" t="str">
        <f t="shared" si="249"/>
        <v/>
      </c>
      <c r="K296" s="480"/>
      <c r="L296" s="2323">
        <f t="shared" si="265"/>
        <v>27</v>
      </c>
      <c r="M296" s="2324"/>
      <c r="N296" s="478"/>
      <c r="O296" s="478"/>
      <c r="P296" s="478"/>
      <c r="Q296" s="2315">
        <f t="shared" si="254"/>
        <v>45474</v>
      </c>
      <c r="R296" s="2315"/>
      <c r="S296" s="478"/>
      <c r="T296" s="140">
        <f t="shared" si="255"/>
        <v>1</v>
      </c>
      <c r="U296" s="478"/>
      <c r="V296" s="478"/>
      <c r="W296" s="478"/>
      <c r="X296" s="478"/>
      <c r="Y296" s="478"/>
      <c r="Z296" s="478"/>
      <c r="AA296" s="478"/>
      <c r="AB296" s="478"/>
      <c r="AC296" s="478"/>
      <c r="AD296" s="478"/>
      <c r="AE296" s="478"/>
      <c r="AF296" s="478"/>
      <c r="AG296" s="140">
        <f t="shared" si="256"/>
        <v>0</v>
      </c>
      <c r="AH296" s="92" t="str">
        <f t="shared" si="257"/>
        <v/>
      </c>
      <c r="AI296" s="131">
        <f t="shared" si="258"/>
        <v>0</v>
      </c>
      <c r="AJ296" s="131">
        <f>IF(G296=G481,0,COUNTIF(T296:T326,"&gt;0"))</f>
        <v>0</v>
      </c>
      <c r="AK296" s="92">
        <f>IF(G296=G$481,0,IF(OR(G296&lt;&gt;0,CJ296&lt;&gt;0,C296="L"),COUNTIF(AK$114:AK295,"&gt;0")+1,0))</f>
        <v>0</v>
      </c>
      <c r="AL296" s="92" t="str">
        <f t="shared" si="259"/>
        <v/>
      </c>
      <c r="AM296" s="92" t="str">
        <f t="shared" si="260"/>
        <v/>
      </c>
      <c r="AN296" s="131">
        <f t="shared" si="250"/>
        <v>0</v>
      </c>
      <c r="AO296" s="447">
        <f>SUM(LUG!W8:Z8)</f>
        <v>0</v>
      </c>
      <c r="AP296" s="445">
        <f>SUMIF(LUG!$G$155:$J$155,AP$112,LUG!$R8:$U8)</f>
        <v>0</v>
      </c>
      <c r="AQ296" s="446">
        <f>SUMIF(LUG!$G$155:$J$155,AQ$112,LUG!$R8:$U8)</f>
        <v>0</v>
      </c>
      <c r="AR296" s="447">
        <f>SUMIF(LUG!$G$155:$J$155,AR$112,LUG!$R8:$U8)</f>
        <v>0</v>
      </c>
      <c r="AS296" s="448">
        <f>SUMIF(LUG!$G$155:$J$155,AS$112,LUG!$R8:$U8)</f>
        <v>0</v>
      </c>
      <c r="AT296" s="449">
        <f>LUG!AG8</f>
        <v>0</v>
      </c>
      <c r="AU296" s="445">
        <f>LUG!AH8</f>
        <v>0</v>
      </c>
      <c r="AV296" s="446">
        <f>LUG!AI8</f>
        <v>0</v>
      </c>
      <c r="AW296" s="447">
        <f>LUG!AJ8</f>
        <v>0</v>
      </c>
      <c r="AX296" s="448">
        <f>LUG!AK8</f>
        <v>0</v>
      </c>
      <c r="AY296" s="445">
        <f>SUMIF(LUG!$G$152:$J$152,"&gt;0",LUG!$W8:$Z8)</f>
        <v>0</v>
      </c>
      <c r="AZ296" s="1062">
        <f>SUM(LUG!AB8:AE8)</f>
        <v>0</v>
      </c>
      <c r="BA296" s="472">
        <f>SUMIF(LUG!$G$159:$J$159,BA$111,LUG!$R8:$U8)+SUMIF(LUG!$G$159:$J$159,BA$111,LUG!$W8:$Z8)</f>
        <v>0</v>
      </c>
      <c r="BB296" s="473">
        <f>SUMIF(LUG!$G$159:$J$159,BB$111,LUG!$R8:$U8)+SUMIF(LUG!$G$159:$J$159,BB$111,LUG!$W8:$Z8)</f>
        <v>0</v>
      </c>
      <c r="BC296" s="473">
        <f>SUMIF(LUG!$G$159:$J$159,BC$111,LUG!$R8:$U8)+SUMIF(LUG!$G$159:$J$159,BC$111,LUG!$W8:$Z8)</f>
        <v>0</v>
      </c>
      <c r="BD296" s="473">
        <f>SUMIF(LUG!$G$159:$J$159,BD$111,LUG!$R8:$U8)+SUMIF(LUG!$G$159:$J$159,BD$111,LUG!$W8:$Z8)</f>
        <v>0</v>
      </c>
      <c r="BE296" s="473">
        <f>SUMIF(LUG!$G$159:$J$159,BE$111,LUG!$R8:$U8)+SUMIF(LUG!$G$159:$J$159,BE$111,LUG!$W8:$Z8)</f>
        <v>0</v>
      </c>
      <c r="BF296" s="473">
        <f>SUMIF(LUG!$G$159:$J$159,BF$111,LUG!$R8:$U8)+SUMIF(LUG!$G$159:$J$159,BF$111,LUG!$W8:$Z8)</f>
        <v>0</v>
      </c>
      <c r="BG296" s="474">
        <f>SUMIF(LUG!$G$159:$J$159,BG$111,LUG!$R8:$U8)+SUMIF(LUG!$G$159:$J$159,BG$111,LUG!$W8:$Z8)</f>
        <v>0</v>
      </c>
      <c r="BH296" s="570"/>
      <c r="BI296" s="474"/>
      <c r="BJ296" s="470"/>
      <c r="BK296" s="472">
        <f>SUMIF(LUG!$G$157:$J$157,BK$111,LUG!$R8:$U8)+SUMIF(LUG!$G$157:$J$157,BK$111,LUG!$W8:$Z8)</f>
        <v>0</v>
      </c>
      <c r="BL296" s="473">
        <f>SUMIF(LUG!$G$157:$J$157,BL$111,LUG!$R8:$U8)+SUMIF(LUG!$G$157:$J$157,BL$111,LUG!$W8:$Z8)</f>
        <v>0</v>
      </c>
      <c r="BM296" s="473">
        <f>SUMIF(LUG!$G$157:$J$157,BM$111,LUG!$R8:$U8)+SUMIF(LUG!$G$157:$J$157,BM$111,LUG!$W8:$Z8)</f>
        <v>0</v>
      </c>
      <c r="BN296" s="473">
        <f>SUMIF(LUG!$G$157:$J$157,BN$111,LUG!$R8:$U8)+SUMIF(LUG!$G$157:$J$157,BN$111,LUG!$W8:$Z8)</f>
        <v>0</v>
      </c>
      <c r="BO296" s="473">
        <f>SUMIF(LUG!$G$157:$J$157,BO$111,LUG!$R8:$U8)+SUMIF(LUG!$G$157:$J$157,BO$111,LUG!$W8:$Z8)</f>
        <v>0</v>
      </c>
      <c r="BP296" s="473">
        <f>SUMIF(LUG!$G$157:$J$157,BP$111,LUG!$R8:$U8)+SUMIF(LUG!$G$157:$J$157,BP$111,LUG!$W8:$Z8)</f>
        <v>0</v>
      </c>
      <c r="BQ296" s="474">
        <f>SUMIF(LUG!$G$157:$J$157,BQ$111,LUG!$R8:$U8)+SUMIF(LUG!$G$157:$J$157,BQ$111,LUG!$W8:$Z8)</f>
        <v>0</v>
      </c>
      <c r="BR296" s="570"/>
      <c r="BS296" s="473"/>
      <c r="BT296" s="474"/>
      <c r="BU296" s="470"/>
      <c r="BV296" s="472">
        <f>SUMIF(LUG!$G$158:$J$158,BV$111,LUG!$R8:$U8)+SUMIF(LUG!$G$158:$J$158,BV$111,LUG!$W8:$Z8)</f>
        <v>0</v>
      </c>
      <c r="BW296" s="473">
        <f>SUMIF(LUG!$G$158:$J$158,BW$111,LUG!$R8:$U8)+SUMIF(LUG!$G$158:$J$158,BW$111,LUG!$W8:$Z8)</f>
        <v>0</v>
      </c>
      <c r="BX296" s="473">
        <f>SUMIF(LUG!$G$158:$J$158,BX$111,LUG!$R8:$U8)+SUMIF(LUG!$G$158:$J$158,BX$111,LUG!$W8:$Z8)</f>
        <v>0</v>
      </c>
      <c r="BY296" s="473">
        <f>SUMIF(LUG!$G$158:$J$158,BY$111,LUG!$R8:$U8)+SUMIF(LUG!$G$158:$J$158,BY$111,LUG!$W8:$Z8)</f>
        <v>0</v>
      </c>
      <c r="BZ296" s="473">
        <f>SUMIF(LUG!$G$158:$J$158,BZ$111,LUG!$R8:$U8)+SUMIF(LUG!$G$158:$J$158,BZ$111,LUG!$W8:$Z8)</f>
        <v>0</v>
      </c>
      <c r="CA296" s="473">
        <f>SUMIF(LUG!$G$158:$J$158,CA$111,LUG!$R8:$U8)+SUMIF(LUG!$G$158:$J$158,CA$111,LUG!$W8:$Z8)</f>
        <v>0</v>
      </c>
      <c r="CB296" s="474">
        <f>SUMIF(LUG!$G$158:$J$158,CB$111,LUG!$R8:$U8)+SUMIF(LUG!$G$158:$J$158,CB$111,LUG!$W8:$Z8)</f>
        <v>0</v>
      </c>
      <c r="CC296" s="570"/>
      <c r="CD296" s="474"/>
      <c r="CE296" s="92">
        <f t="shared" si="261"/>
        <v>0</v>
      </c>
      <c r="CF296" s="92">
        <f t="shared" si="262"/>
        <v>0</v>
      </c>
      <c r="CG296" s="151" t="str">
        <f t="shared" si="248"/>
        <v/>
      </c>
      <c r="CH296" s="92">
        <f t="shared" si="251"/>
        <v>0</v>
      </c>
      <c r="CI296" s="92" t="str">
        <f t="shared" si="263"/>
        <v/>
      </c>
      <c r="CJ296" s="1102">
        <f>LUG!AM8</f>
        <v>0</v>
      </c>
      <c r="CK296" s="445">
        <f>SUMIF(LUG!$G$155:$J$155,CK$112,LUG!$AN8:$AQ8)</f>
        <v>0</v>
      </c>
      <c r="CL296" s="446">
        <f>SUMIF(LUG!$G$155:$J$155,CL$112,LUG!$AN8:$AQ8)</f>
        <v>0</v>
      </c>
      <c r="CM296" s="447">
        <f>SUMIF(LUG!$G$155:$J$155,CM$112,LUG!$AN8:$AQ8)</f>
        <v>0</v>
      </c>
      <c r="CN296" s="448">
        <f>SUMIF(LUG!$G$155:$J$155,CN$112,LUG!$AN8:$AQ8)</f>
        <v>0</v>
      </c>
      <c r="CO296" s="1102">
        <f>LUG!AS8</f>
        <v>0</v>
      </c>
      <c r="CP296" s="445">
        <f>LUG!AT8</f>
        <v>0</v>
      </c>
      <c r="CQ296" s="446">
        <f>LUG!AU8</f>
        <v>0</v>
      </c>
      <c r="CR296" s="447">
        <f>LUG!AV8</f>
        <v>0</v>
      </c>
      <c r="CS296" s="448">
        <f>LUG!AW8</f>
        <v>0</v>
      </c>
      <c r="CT296" s="1102">
        <f>LUG!AY8</f>
        <v>0</v>
      </c>
      <c r="CU296" s="2"/>
    </row>
    <row r="297" spans="1:99" ht="14.25" hidden="1" customHeight="1" x14ac:dyDescent="0.2">
      <c r="A297" s="2"/>
      <c r="B297" s="151">
        <f t="shared" si="252"/>
        <v>45475</v>
      </c>
      <c r="C297" s="223">
        <f>IF(AND(E297&gt;(N$491-1),E297&lt;(R$491+1)),W$485,IF(ISERROR(HLOOKUP(E297,$N$484:$U$484,1,FALSE)),HLOOKUP(WEEKDAY(E297,2),IMPOSTAZIONI!$C$51:$P$56,6,FALSE),$W$484))</f>
        <v>0</v>
      </c>
      <c r="D297" s="103" t="str">
        <f t="shared" si="253"/>
        <v/>
      </c>
      <c r="E297" s="2380">
        <f t="shared" si="264"/>
        <v>45475</v>
      </c>
      <c r="F297" s="2381"/>
      <c r="G297" s="2325" t="str">
        <f>LUG!E9</f>
        <v xml:space="preserve">attiva trim.  </v>
      </c>
      <c r="H297" s="2326"/>
      <c r="I297" s="2327"/>
      <c r="J297" s="479" t="str">
        <f t="shared" si="249"/>
        <v/>
      </c>
      <c r="K297" s="480"/>
      <c r="L297" s="2319">
        <f t="shared" si="265"/>
        <v>27</v>
      </c>
      <c r="M297" s="2320"/>
      <c r="N297" s="478"/>
      <c r="O297" s="478"/>
      <c r="P297" s="478"/>
      <c r="Q297" s="2315">
        <f t="shared" si="254"/>
        <v>45475</v>
      </c>
      <c r="R297" s="2315"/>
      <c r="S297" s="478"/>
      <c r="T297" s="140">
        <f t="shared" si="255"/>
        <v>1</v>
      </c>
      <c r="U297" s="478"/>
      <c r="V297" s="478"/>
      <c r="W297" s="478"/>
      <c r="X297" s="478"/>
      <c r="Y297" s="478"/>
      <c r="Z297" s="478"/>
      <c r="AA297" s="478"/>
      <c r="AB297" s="478"/>
      <c r="AC297" s="478"/>
      <c r="AD297" s="478"/>
      <c r="AE297" s="478"/>
      <c r="AF297" s="478"/>
      <c r="AG297" s="140">
        <f t="shared" si="256"/>
        <v>0</v>
      </c>
      <c r="AH297" s="92" t="str">
        <f t="shared" si="257"/>
        <v/>
      </c>
      <c r="AI297" s="131">
        <f t="shared" si="258"/>
        <v>0</v>
      </c>
      <c r="AJ297" s="2"/>
      <c r="AK297" s="92">
        <f>IF(G297=G$481,0,IF(OR(G297&lt;&gt;0,CJ297&lt;&gt;0,C297="L"),COUNTIF(AK$114:AK296,"&gt;0")+1,0))</f>
        <v>0</v>
      </c>
      <c r="AL297" s="92" t="str">
        <f t="shared" si="259"/>
        <v/>
      </c>
      <c r="AM297" s="92" t="str">
        <f t="shared" si="260"/>
        <v/>
      </c>
      <c r="AN297" s="131">
        <f t="shared" si="250"/>
        <v>0</v>
      </c>
      <c r="AO297" s="447">
        <f>SUM(LUG!W9:Z9)</f>
        <v>0</v>
      </c>
      <c r="AP297" s="445">
        <f>SUMIF(LUG!$G$155:$J$155,AP$112,LUG!$R9:$U9)</f>
        <v>0</v>
      </c>
      <c r="AQ297" s="446">
        <f>SUMIF(LUG!$G$155:$J$155,AQ$112,LUG!$R9:$U9)</f>
        <v>0</v>
      </c>
      <c r="AR297" s="447">
        <f>SUMIF(LUG!$G$155:$J$155,AR$112,LUG!$R9:$U9)</f>
        <v>0</v>
      </c>
      <c r="AS297" s="448">
        <f>SUMIF(LUG!$G$155:$J$155,AS$112,LUG!$R9:$U9)</f>
        <v>0</v>
      </c>
      <c r="AT297" s="449">
        <f>LUG!AG9</f>
        <v>0</v>
      </c>
      <c r="AU297" s="445">
        <f>LUG!AH9</f>
        <v>0</v>
      </c>
      <c r="AV297" s="446">
        <f>LUG!AI9</f>
        <v>0</v>
      </c>
      <c r="AW297" s="447">
        <f>LUG!AJ9</f>
        <v>0</v>
      </c>
      <c r="AX297" s="448">
        <f>LUG!AK9</f>
        <v>0</v>
      </c>
      <c r="AY297" s="445">
        <f>SUMIF(LUG!$G$152:$J$152,"&gt;0",LUG!$W9:$Z9)</f>
        <v>0</v>
      </c>
      <c r="AZ297" s="1063">
        <f>SUM(LUG!AB9:AE9)</f>
        <v>0</v>
      </c>
      <c r="BA297" s="445">
        <f>SUMIF(LUG!$G$159:$J$159,BA$111,LUG!$R9:$U9)+SUMIF(LUG!$G$159:$J$159,BA$111,LUG!$W9:$Z9)</f>
        <v>0</v>
      </c>
      <c r="BB297" s="446">
        <f>SUMIF(LUG!$G$159:$J$159,BB$111,LUG!$R9:$U9)+SUMIF(LUG!$G$159:$J$159,BB$111,LUG!$W9:$Z9)</f>
        <v>0</v>
      </c>
      <c r="BC297" s="446">
        <f>SUMIF(LUG!$G$159:$J$159,BC$111,LUG!$R9:$U9)+SUMIF(LUG!$G$159:$J$159,BC$111,LUG!$W9:$Z9)</f>
        <v>0</v>
      </c>
      <c r="BD297" s="446">
        <f>SUMIF(LUG!$G$159:$J$159,BD$111,LUG!$R9:$U9)+SUMIF(LUG!$G$159:$J$159,BD$111,LUG!$W9:$Z9)</f>
        <v>0</v>
      </c>
      <c r="BE297" s="446">
        <f>SUMIF(LUG!$G$159:$J$159,BE$111,LUG!$R9:$U9)+SUMIF(LUG!$G$159:$J$159,BE$111,LUG!$W9:$Z9)</f>
        <v>0</v>
      </c>
      <c r="BF297" s="446">
        <f>SUMIF(LUG!$G$159:$J$159,BF$111,LUG!$R9:$U9)+SUMIF(LUG!$G$159:$J$159,BF$111,LUG!$W9:$Z9)</f>
        <v>0</v>
      </c>
      <c r="BG297" s="448">
        <f>SUMIF(LUG!$G$159:$J$159,BG$111,LUG!$R9:$U9)+SUMIF(LUG!$G$159:$J$159,BG$111,LUG!$W9:$Z9)</f>
        <v>0</v>
      </c>
      <c r="BH297" s="571"/>
      <c r="BI297" s="448"/>
      <c r="BJ297" s="470"/>
      <c r="BK297" s="445">
        <f>SUMIF(LUG!$G$157:$J$157,BK$111,LUG!$R9:$U9)+SUMIF(LUG!$G$157:$J$157,BK$111,LUG!$W9:$Z9)</f>
        <v>0</v>
      </c>
      <c r="BL297" s="446">
        <f>SUMIF(LUG!$G$157:$J$157,BL$111,LUG!$R9:$U9)+SUMIF(LUG!$G$157:$J$157,BL$111,LUG!$W9:$Z9)</f>
        <v>0</v>
      </c>
      <c r="BM297" s="446">
        <f>SUMIF(LUG!$G$157:$J$157,BM$111,LUG!$R9:$U9)+SUMIF(LUG!$G$157:$J$157,BM$111,LUG!$W9:$Z9)</f>
        <v>0</v>
      </c>
      <c r="BN297" s="446">
        <f>SUMIF(LUG!$G$157:$J$157,BN$111,LUG!$R9:$U9)+SUMIF(LUG!$G$157:$J$157,BN$111,LUG!$W9:$Z9)</f>
        <v>0</v>
      </c>
      <c r="BO297" s="446">
        <f>SUMIF(LUG!$G$157:$J$157,BO$111,LUG!$R9:$U9)+SUMIF(LUG!$G$157:$J$157,BO$111,LUG!$W9:$Z9)</f>
        <v>0</v>
      </c>
      <c r="BP297" s="446">
        <f>SUMIF(LUG!$G$157:$J$157,BP$111,LUG!$R9:$U9)+SUMIF(LUG!$G$157:$J$157,BP$111,LUG!$W9:$Z9)</f>
        <v>0</v>
      </c>
      <c r="BQ297" s="448">
        <f>SUMIF(LUG!$G$157:$J$157,BQ$111,LUG!$R9:$U9)+SUMIF(LUG!$G$157:$J$157,BQ$111,LUG!$W9:$Z9)</f>
        <v>0</v>
      </c>
      <c r="BR297" s="571"/>
      <c r="BS297" s="446"/>
      <c r="BT297" s="448"/>
      <c r="BU297" s="470"/>
      <c r="BV297" s="445">
        <f>SUMIF(LUG!$G$158:$J$158,BV$111,LUG!$R9:$U9)+SUMIF(LUG!$G$158:$J$158,BV$111,LUG!$W9:$Z9)</f>
        <v>0</v>
      </c>
      <c r="BW297" s="446">
        <f>SUMIF(LUG!$G$158:$J$158,BW$111,LUG!$R9:$U9)+SUMIF(LUG!$G$158:$J$158,BW$111,LUG!$W9:$Z9)</f>
        <v>0</v>
      </c>
      <c r="BX297" s="446">
        <f>SUMIF(LUG!$G$158:$J$158,BX$111,LUG!$R9:$U9)+SUMIF(LUG!$G$158:$J$158,BX$111,LUG!$W9:$Z9)</f>
        <v>0</v>
      </c>
      <c r="BY297" s="446">
        <f>SUMIF(LUG!$G$158:$J$158,BY$111,LUG!$R9:$U9)+SUMIF(LUG!$G$158:$J$158,BY$111,LUG!$W9:$Z9)</f>
        <v>0</v>
      </c>
      <c r="BZ297" s="446">
        <f>SUMIF(LUG!$G$158:$J$158,BZ$111,LUG!$R9:$U9)+SUMIF(LUG!$G$158:$J$158,BZ$111,LUG!$W9:$Z9)</f>
        <v>0</v>
      </c>
      <c r="CA297" s="446">
        <f>SUMIF(LUG!$G$158:$J$158,CA$111,LUG!$R9:$U9)+SUMIF(LUG!$G$158:$J$158,CA$111,LUG!$W9:$Z9)</f>
        <v>0</v>
      </c>
      <c r="CB297" s="448">
        <f>SUMIF(LUG!$G$158:$J$158,CB$111,LUG!$R9:$U9)+SUMIF(LUG!$G$158:$J$158,CB$111,LUG!$W9:$Z9)</f>
        <v>0</v>
      </c>
      <c r="CC297" s="571"/>
      <c r="CD297" s="448"/>
      <c r="CE297" s="92">
        <f t="shared" si="261"/>
        <v>0</v>
      </c>
      <c r="CF297" s="92">
        <f t="shared" si="262"/>
        <v>0</v>
      </c>
      <c r="CG297" s="151" t="str">
        <f t="shared" si="248"/>
        <v/>
      </c>
      <c r="CH297" s="92">
        <f t="shared" si="251"/>
        <v>0</v>
      </c>
      <c r="CI297" s="92" t="str">
        <f t="shared" si="263"/>
        <v/>
      </c>
      <c r="CJ297" s="1100">
        <f>LUG!AM9</f>
        <v>0</v>
      </c>
      <c r="CK297" s="445">
        <f>SUMIF(LUG!$G$155:$J$155,CK$112,LUG!$AN9:$AQ9)</f>
        <v>0</v>
      </c>
      <c r="CL297" s="446">
        <f>SUMIF(LUG!$G$155:$J$155,CL$112,LUG!$AN9:$AQ9)</f>
        <v>0</v>
      </c>
      <c r="CM297" s="447">
        <f>SUMIF(LUG!$G$155:$J$155,CM$112,LUG!$AN9:$AQ9)</f>
        <v>0</v>
      </c>
      <c r="CN297" s="448">
        <f>SUMIF(LUG!$G$155:$J$155,CN$112,LUG!$AN9:$AQ9)</f>
        <v>0</v>
      </c>
      <c r="CO297" s="1100">
        <f>LUG!AS9</f>
        <v>0</v>
      </c>
      <c r="CP297" s="445">
        <f>LUG!AT9</f>
        <v>0</v>
      </c>
      <c r="CQ297" s="446">
        <f>LUG!AU9</f>
        <v>0</v>
      </c>
      <c r="CR297" s="447">
        <f>LUG!AV9</f>
        <v>0</v>
      </c>
      <c r="CS297" s="448">
        <f>LUG!AW9</f>
        <v>0</v>
      </c>
      <c r="CT297" s="1100">
        <f>LUG!AY9</f>
        <v>0</v>
      </c>
      <c r="CU297" s="2"/>
    </row>
    <row r="298" spans="1:99" ht="14.25" hidden="1" customHeight="1" x14ac:dyDescent="0.2">
      <c r="A298" s="2"/>
      <c r="B298" s="151">
        <f t="shared" si="252"/>
        <v>45476</v>
      </c>
      <c r="C298" s="223">
        <f>IF(AND(E298&gt;(N$491-1),E298&lt;(R$491+1)),W$485,IF(ISERROR(HLOOKUP(E298,$N$484:$U$484,1,FALSE)),HLOOKUP(WEEKDAY(E298,2),IMPOSTAZIONI!$C$51:$P$56,6,FALSE),$W$484))</f>
        <v>0</v>
      </c>
      <c r="D298" s="103" t="str">
        <f t="shared" si="253"/>
        <v/>
      </c>
      <c r="E298" s="2380">
        <f t="shared" si="264"/>
        <v>45476</v>
      </c>
      <c r="F298" s="2381"/>
      <c r="G298" s="2325" t="str">
        <f>LUG!E10</f>
        <v xml:space="preserve">attiva trim.  </v>
      </c>
      <c r="H298" s="2326"/>
      <c r="I298" s="2327"/>
      <c r="J298" s="479" t="str">
        <f t="shared" si="249"/>
        <v/>
      </c>
      <c r="K298" s="480"/>
      <c r="L298" s="2319">
        <f t="shared" si="265"/>
        <v>27</v>
      </c>
      <c r="M298" s="2320"/>
      <c r="N298" s="478"/>
      <c r="O298" s="478"/>
      <c r="P298" s="478"/>
      <c r="Q298" s="2315">
        <f t="shared" si="254"/>
        <v>45476</v>
      </c>
      <c r="R298" s="2315"/>
      <c r="S298" s="478"/>
      <c r="T298" s="140">
        <f t="shared" si="255"/>
        <v>1</v>
      </c>
      <c r="U298" s="478"/>
      <c r="V298" s="478"/>
      <c r="W298" s="478"/>
      <c r="X298" s="478"/>
      <c r="Y298" s="478"/>
      <c r="Z298" s="478"/>
      <c r="AA298" s="478"/>
      <c r="AB298" s="478"/>
      <c r="AC298" s="478"/>
      <c r="AD298" s="478"/>
      <c r="AE298" s="478"/>
      <c r="AF298" s="478"/>
      <c r="AG298" s="140">
        <f t="shared" si="256"/>
        <v>0</v>
      </c>
      <c r="AH298" s="92" t="str">
        <f t="shared" si="257"/>
        <v/>
      </c>
      <c r="AI298" s="131">
        <f t="shared" si="258"/>
        <v>0</v>
      </c>
      <c r="AJ298" s="2"/>
      <c r="AK298" s="92">
        <f>IF(G298=G$481,0,IF(OR(G298&lt;&gt;0,CJ298&lt;&gt;0,C298="L"),COUNTIF(AK$114:AK297,"&gt;0")+1,0))</f>
        <v>0</v>
      </c>
      <c r="AL298" s="92" t="str">
        <f t="shared" si="259"/>
        <v/>
      </c>
      <c r="AM298" s="92" t="str">
        <f t="shared" si="260"/>
        <v/>
      </c>
      <c r="AN298" s="131">
        <f t="shared" si="250"/>
        <v>0</v>
      </c>
      <c r="AO298" s="447">
        <f>SUM(LUG!W10:Z10)</f>
        <v>0</v>
      </c>
      <c r="AP298" s="445">
        <f>SUMIF(LUG!$G$155:$J$155,AP$112,LUG!$R10:$U10)</f>
        <v>0</v>
      </c>
      <c r="AQ298" s="446">
        <f>SUMIF(LUG!$G$155:$J$155,AQ$112,LUG!$R10:$U10)</f>
        <v>0</v>
      </c>
      <c r="AR298" s="447">
        <f>SUMIF(LUG!$G$155:$J$155,AR$112,LUG!$R10:$U10)</f>
        <v>0</v>
      </c>
      <c r="AS298" s="448">
        <f>SUMIF(LUG!$G$155:$J$155,AS$112,LUG!$R10:$U10)</f>
        <v>0</v>
      </c>
      <c r="AT298" s="449">
        <f>LUG!AG10</f>
        <v>0</v>
      </c>
      <c r="AU298" s="445">
        <f>LUG!AH10</f>
        <v>0</v>
      </c>
      <c r="AV298" s="446">
        <f>LUG!AI10</f>
        <v>0</v>
      </c>
      <c r="AW298" s="447">
        <f>LUG!AJ10</f>
        <v>0</v>
      </c>
      <c r="AX298" s="448">
        <f>LUG!AK10</f>
        <v>0</v>
      </c>
      <c r="AY298" s="445">
        <f>SUMIF(LUG!$G$152:$J$152,"&gt;0",LUG!$W10:$Z10)</f>
        <v>0</v>
      </c>
      <c r="AZ298" s="1063">
        <f>SUM(LUG!AB10:AE10)</f>
        <v>0</v>
      </c>
      <c r="BA298" s="445">
        <f>SUMIF(LUG!$G$159:$J$159,BA$111,LUG!$R10:$U10)+SUMIF(LUG!$G$159:$J$159,BA$111,LUG!$W10:$Z10)</f>
        <v>0</v>
      </c>
      <c r="BB298" s="446">
        <f>SUMIF(LUG!$G$159:$J$159,BB$111,LUG!$R10:$U10)+SUMIF(LUG!$G$159:$J$159,BB$111,LUG!$W10:$Z10)</f>
        <v>0</v>
      </c>
      <c r="BC298" s="446">
        <f>SUMIF(LUG!$G$159:$J$159,BC$111,LUG!$R10:$U10)+SUMIF(LUG!$G$159:$J$159,BC$111,LUG!$W10:$Z10)</f>
        <v>0</v>
      </c>
      <c r="BD298" s="446">
        <f>SUMIF(LUG!$G$159:$J$159,BD$111,LUG!$R10:$U10)+SUMIF(LUG!$G$159:$J$159,BD$111,LUG!$W10:$Z10)</f>
        <v>0</v>
      </c>
      <c r="BE298" s="446">
        <f>SUMIF(LUG!$G$159:$J$159,BE$111,LUG!$R10:$U10)+SUMIF(LUG!$G$159:$J$159,BE$111,LUG!$W10:$Z10)</f>
        <v>0</v>
      </c>
      <c r="BF298" s="446">
        <f>SUMIF(LUG!$G$159:$J$159,BF$111,LUG!$R10:$U10)+SUMIF(LUG!$G$159:$J$159,BF$111,LUG!$W10:$Z10)</f>
        <v>0</v>
      </c>
      <c r="BG298" s="448">
        <f>SUMIF(LUG!$G$159:$J$159,BG$111,LUG!$R10:$U10)+SUMIF(LUG!$G$159:$J$159,BG$111,LUG!$W10:$Z10)</f>
        <v>0</v>
      </c>
      <c r="BH298" s="571"/>
      <c r="BI298" s="448"/>
      <c r="BJ298" s="470"/>
      <c r="BK298" s="445">
        <f>SUMIF(LUG!$G$157:$J$157,BK$111,LUG!$R10:$U10)+SUMIF(LUG!$G$157:$J$157,BK$111,LUG!$W10:$Z10)</f>
        <v>0</v>
      </c>
      <c r="BL298" s="446">
        <f>SUMIF(LUG!$G$157:$J$157,BL$111,LUG!$R10:$U10)+SUMIF(LUG!$G$157:$J$157,BL$111,LUG!$W10:$Z10)</f>
        <v>0</v>
      </c>
      <c r="BM298" s="446">
        <f>SUMIF(LUG!$G$157:$J$157,BM$111,LUG!$R10:$U10)+SUMIF(LUG!$G$157:$J$157,BM$111,LUG!$W10:$Z10)</f>
        <v>0</v>
      </c>
      <c r="BN298" s="446">
        <f>SUMIF(LUG!$G$157:$J$157,BN$111,LUG!$R10:$U10)+SUMIF(LUG!$G$157:$J$157,BN$111,LUG!$W10:$Z10)</f>
        <v>0</v>
      </c>
      <c r="BO298" s="446">
        <f>SUMIF(LUG!$G$157:$J$157,BO$111,LUG!$R10:$U10)+SUMIF(LUG!$G$157:$J$157,BO$111,LUG!$W10:$Z10)</f>
        <v>0</v>
      </c>
      <c r="BP298" s="446">
        <f>SUMIF(LUG!$G$157:$J$157,BP$111,LUG!$R10:$U10)+SUMIF(LUG!$G$157:$J$157,BP$111,LUG!$W10:$Z10)</f>
        <v>0</v>
      </c>
      <c r="BQ298" s="448">
        <f>SUMIF(LUG!$G$157:$J$157,BQ$111,LUG!$R10:$U10)+SUMIF(LUG!$G$157:$J$157,BQ$111,LUG!$W10:$Z10)</f>
        <v>0</v>
      </c>
      <c r="BR298" s="571"/>
      <c r="BS298" s="446"/>
      <c r="BT298" s="448"/>
      <c r="BU298" s="470"/>
      <c r="BV298" s="445">
        <f>SUMIF(LUG!$G$158:$J$158,BV$111,LUG!$R10:$U10)+SUMIF(LUG!$G$158:$J$158,BV$111,LUG!$W10:$Z10)</f>
        <v>0</v>
      </c>
      <c r="BW298" s="446">
        <f>SUMIF(LUG!$G$158:$J$158,BW$111,LUG!$R10:$U10)+SUMIF(LUG!$G$158:$J$158,BW$111,LUG!$W10:$Z10)</f>
        <v>0</v>
      </c>
      <c r="BX298" s="446">
        <f>SUMIF(LUG!$G$158:$J$158,BX$111,LUG!$R10:$U10)+SUMIF(LUG!$G$158:$J$158,BX$111,LUG!$W10:$Z10)</f>
        <v>0</v>
      </c>
      <c r="BY298" s="446">
        <f>SUMIF(LUG!$G$158:$J$158,BY$111,LUG!$R10:$U10)+SUMIF(LUG!$G$158:$J$158,BY$111,LUG!$W10:$Z10)</f>
        <v>0</v>
      </c>
      <c r="BZ298" s="446">
        <f>SUMIF(LUG!$G$158:$J$158,BZ$111,LUG!$R10:$U10)+SUMIF(LUG!$G$158:$J$158,BZ$111,LUG!$W10:$Z10)</f>
        <v>0</v>
      </c>
      <c r="CA298" s="446">
        <f>SUMIF(LUG!$G$158:$J$158,CA$111,LUG!$R10:$U10)+SUMIF(LUG!$G$158:$J$158,CA$111,LUG!$W10:$Z10)</f>
        <v>0</v>
      </c>
      <c r="CB298" s="448">
        <f>SUMIF(LUG!$G$158:$J$158,CB$111,LUG!$R10:$U10)+SUMIF(LUG!$G$158:$J$158,CB$111,LUG!$W10:$Z10)</f>
        <v>0</v>
      </c>
      <c r="CC298" s="571"/>
      <c r="CD298" s="448"/>
      <c r="CE298" s="92">
        <f t="shared" si="261"/>
        <v>0</v>
      </c>
      <c r="CF298" s="92">
        <f t="shared" si="262"/>
        <v>0</v>
      </c>
      <c r="CG298" s="151" t="str">
        <f t="shared" si="248"/>
        <v/>
      </c>
      <c r="CH298" s="92">
        <f t="shared" si="251"/>
        <v>0</v>
      </c>
      <c r="CI298" s="92" t="str">
        <f t="shared" si="263"/>
        <v/>
      </c>
      <c r="CJ298" s="1100">
        <f>LUG!AM10</f>
        <v>0</v>
      </c>
      <c r="CK298" s="445">
        <f>SUMIF(LUG!$G$155:$J$155,CK$112,LUG!$AN10:$AQ10)</f>
        <v>0</v>
      </c>
      <c r="CL298" s="446">
        <f>SUMIF(LUG!$G$155:$J$155,CL$112,LUG!$AN10:$AQ10)</f>
        <v>0</v>
      </c>
      <c r="CM298" s="447">
        <f>SUMIF(LUG!$G$155:$J$155,CM$112,LUG!$AN10:$AQ10)</f>
        <v>0</v>
      </c>
      <c r="CN298" s="448">
        <f>SUMIF(LUG!$G$155:$J$155,CN$112,LUG!$AN10:$AQ10)</f>
        <v>0</v>
      </c>
      <c r="CO298" s="1100">
        <f>LUG!AS10</f>
        <v>0</v>
      </c>
      <c r="CP298" s="445">
        <f>LUG!AT10</f>
        <v>0</v>
      </c>
      <c r="CQ298" s="446">
        <f>LUG!AU10</f>
        <v>0</v>
      </c>
      <c r="CR298" s="447">
        <f>LUG!AV10</f>
        <v>0</v>
      </c>
      <c r="CS298" s="448">
        <f>LUG!AW10</f>
        <v>0</v>
      </c>
      <c r="CT298" s="1100">
        <f>LUG!AY10</f>
        <v>0</v>
      </c>
      <c r="CU298" s="2"/>
    </row>
    <row r="299" spans="1:99" ht="14.25" hidden="1" customHeight="1" x14ac:dyDescent="0.2">
      <c r="A299" s="2"/>
      <c r="B299" s="151">
        <f t="shared" si="252"/>
        <v>45477</v>
      </c>
      <c r="C299" s="223">
        <f>IF(AND(E299&gt;(N$491-1),E299&lt;(R$491+1)),W$485,IF(ISERROR(HLOOKUP(E299,$N$484:$U$484,1,FALSE)),HLOOKUP(WEEKDAY(E299,2),IMPOSTAZIONI!$C$51:$P$56,6,FALSE),$W$484))</f>
        <v>0</v>
      </c>
      <c r="D299" s="103" t="str">
        <f t="shared" si="253"/>
        <v/>
      </c>
      <c r="E299" s="2380">
        <f t="shared" si="264"/>
        <v>45477</v>
      </c>
      <c r="F299" s="2381"/>
      <c r="G299" s="2325" t="str">
        <f>LUG!E11</f>
        <v xml:space="preserve">attiva trim.  </v>
      </c>
      <c r="H299" s="2326"/>
      <c r="I299" s="2327"/>
      <c r="J299" s="479" t="str">
        <f t="shared" si="249"/>
        <v/>
      </c>
      <c r="K299" s="480"/>
      <c r="L299" s="2319">
        <f t="shared" si="265"/>
        <v>27</v>
      </c>
      <c r="M299" s="2320"/>
      <c r="N299" s="478"/>
      <c r="O299" s="478"/>
      <c r="P299" s="478"/>
      <c r="Q299" s="2315">
        <f t="shared" si="254"/>
        <v>45477</v>
      </c>
      <c r="R299" s="2315"/>
      <c r="S299" s="478"/>
      <c r="T299" s="140">
        <f t="shared" si="255"/>
        <v>1</v>
      </c>
      <c r="U299" s="478"/>
      <c r="V299" s="478"/>
      <c r="W299" s="478"/>
      <c r="X299" s="478"/>
      <c r="Y299" s="478"/>
      <c r="Z299" s="478"/>
      <c r="AA299" s="478"/>
      <c r="AB299" s="478"/>
      <c r="AC299" s="478"/>
      <c r="AD299" s="478"/>
      <c r="AE299" s="478"/>
      <c r="AF299" s="478"/>
      <c r="AG299" s="140">
        <f t="shared" si="256"/>
        <v>0</v>
      </c>
      <c r="AH299" s="92" t="str">
        <f t="shared" si="257"/>
        <v/>
      </c>
      <c r="AI299" s="131">
        <f t="shared" si="258"/>
        <v>0</v>
      </c>
      <c r="AJ299" s="2"/>
      <c r="AK299" s="92">
        <f>IF(G299=G$481,0,IF(OR(G299&lt;&gt;0,CJ299&lt;&gt;0,C299="L"),COUNTIF(AK$114:AK298,"&gt;0")+1,0))</f>
        <v>0</v>
      </c>
      <c r="AL299" s="92" t="str">
        <f t="shared" si="259"/>
        <v/>
      </c>
      <c r="AM299" s="92" t="str">
        <f t="shared" si="260"/>
        <v/>
      </c>
      <c r="AN299" s="131">
        <f t="shared" si="250"/>
        <v>0</v>
      </c>
      <c r="AO299" s="447">
        <f>SUM(LUG!W11:Z11)</f>
        <v>0</v>
      </c>
      <c r="AP299" s="445">
        <f>SUMIF(LUG!$G$155:$J$155,AP$112,LUG!$R11:$U11)</f>
        <v>0</v>
      </c>
      <c r="AQ299" s="446">
        <f>SUMIF(LUG!$G$155:$J$155,AQ$112,LUG!$R11:$U11)</f>
        <v>0</v>
      </c>
      <c r="AR299" s="447">
        <f>SUMIF(LUG!$G$155:$J$155,AR$112,LUG!$R11:$U11)</f>
        <v>0</v>
      </c>
      <c r="AS299" s="448">
        <f>SUMIF(LUG!$G$155:$J$155,AS$112,LUG!$R11:$U11)</f>
        <v>0</v>
      </c>
      <c r="AT299" s="449">
        <f>LUG!AG11</f>
        <v>0</v>
      </c>
      <c r="AU299" s="445">
        <f>LUG!AH11</f>
        <v>0</v>
      </c>
      <c r="AV299" s="446">
        <f>LUG!AI11</f>
        <v>0</v>
      </c>
      <c r="AW299" s="447">
        <f>LUG!AJ11</f>
        <v>0</v>
      </c>
      <c r="AX299" s="448">
        <f>LUG!AK11</f>
        <v>0</v>
      </c>
      <c r="AY299" s="445">
        <f>SUMIF(LUG!$G$152:$J$152,"&gt;0",LUG!$W11:$Z11)</f>
        <v>0</v>
      </c>
      <c r="AZ299" s="1063">
        <f>SUM(LUG!AB11:AE11)</f>
        <v>0</v>
      </c>
      <c r="BA299" s="445">
        <f>SUMIF(LUG!$G$159:$J$159,BA$111,LUG!$R11:$U11)+SUMIF(LUG!$G$159:$J$159,BA$111,LUG!$W11:$Z11)</f>
        <v>0</v>
      </c>
      <c r="BB299" s="446">
        <f>SUMIF(LUG!$G$159:$J$159,BB$111,LUG!$R11:$U11)+SUMIF(LUG!$G$159:$J$159,BB$111,LUG!$W11:$Z11)</f>
        <v>0</v>
      </c>
      <c r="BC299" s="446">
        <f>SUMIF(LUG!$G$159:$J$159,BC$111,LUG!$R11:$U11)+SUMIF(LUG!$G$159:$J$159,BC$111,LUG!$W11:$Z11)</f>
        <v>0</v>
      </c>
      <c r="BD299" s="446">
        <f>SUMIF(LUG!$G$159:$J$159,BD$111,LUG!$R11:$U11)+SUMIF(LUG!$G$159:$J$159,BD$111,LUG!$W11:$Z11)</f>
        <v>0</v>
      </c>
      <c r="BE299" s="446">
        <f>SUMIF(LUG!$G$159:$J$159,BE$111,LUG!$R11:$U11)+SUMIF(LUG!$G$159:$J$159,BE$111,LUG!$W11:$Z11)</f>
        <v>0</v>
      </c>
      <c r="BF299" s="446">
        <f>SUMIF(LUG!$G$159:$J$159,BF$111,LUG!$R11:$U11)+SUMIF(LUG!$G$159:$J$159,BF$111,LUG!$W11:$Z11)</f>
        <v>0</v>
      </c>
      <c r="BG299" s="448">
        <f>SUMIF(LUG!$G$159:$J$159,BG$111,LUG!$R11:$U11)+SUMIF(LUG!$G$159:$J$159,BG$111,LUG!$W11:$Z11)</f>
        <v>0</v>
      </c>
      <c r="BH299" s="571"/>
      <c r="BI299" s="448"/>
      <c r="BJ299" s="470"/>
      <c r="BK299" s="445">
        <f>SUMIF(LUG!$G$157:$J$157,BK$111,LUG!$R11:$U11)+SUMIF(LUG!$G$157:$J$157,BK$111,LUG!$W11:$Z11)</f>
        <v>0</v>
      </c>
      <c r="BL299" s="446">
        <f>SUMIF(LUG!$G$157:$J$157,BL$111,LUG!$R11:$U11)+SUMIF(LUG!$G$157:$J$157,BL$111,LUG!$W11:$Z11)</f>
        <v>0</v>
      </c>
      <c r="BM299" s="446">
        <f>SUMIF(LUG!$G$157:$J$157,BM$111,LUG!$R11:$U11)+SUMIF(LUG!$G$157:$J$157,BM$111,LUG!$W11:$Z11)</f>
        <v>0</v>
      </c>
      <c r="BN299" s="446">
        <f>SUMIF(LUG!$G$157:$J$157,BN$111,LUG!$R11:$U11)+SUMIF(LUG!$G$157:$J$157,BN$111,LUG!$W11:$Z11)</f>
        <v>0</v>
      </c>
      <c r="BO299" s="446">
        <f>SUMIF(LUG!$G$157:$J$157,BO$111,LUG!$R11:$U11)+SUMIF(LUG!$G$157:$J$157,BO$111,LUG!$W11:$Z11)</f>
        <v>0</v>
      </c>
      <c r="BP299" s="446">
        <f>SUMIF(LUG!$G$157:$J$157,BP$111,LUG!$R11:$U11)+SUMIF(LUG!$G$157:$J$157,BP$111,LUG!$W11:$Z11)</f>
        <v>0</v>
      </c>
      <c r="BQ299" s="448">
        <f>SUMIF(LUG!$G$157:$J$157,BQ$111,LUG!$R11:$U11)+SUMIF(LUG!$G$157:$J$157,BQ$111,LUG!$W11:$Z11)</f>
        <v>0</v>
      </c>
      <c r="BR299" s="571"/>
      <c r="BS299" s="446"/>
      <c r="BT299" s="448"/>
      <c r="BU299" s="470"/>
      <c r="BV299" s="445">
        <f>SUMIF(LUG!$G$158:$J$158,BV$111,LUG!$R11:$U11)+SUMIF(LUG!$G$158:$J$158,BV$111,LUG!$W11:$Z11)</f>
        <v>0</v>
      </c>
      <c r="BW299" s="446">
        <f>SUMIF(LUG!$G$158:$J$158,BW$111,LUG!$R11:$U11)+SUMIF(LUG!$G$158:$J$158,BW$111,LUG!$W11:$Z11)</f>
        <v>0</v>
      </c>
      <c r="BX299" s="446">
        <f>SUMIF(LUG!$G$158:$J$158,BX$111,LUG!$R11:$U11)+SUMIF(LUG!$G$158:$J$158,BX$111,LUG!$W11:$Z11)</f>
        <v>0</v>
      </c>
      <c r="BY299" s="446">
        <f>SUMIF(LUG!$G$158:$J$158,BY$111,LUG!$R11:$U11)+SUMIF(LUG!$G$158:$J$158,BY$111,LUG!$W11:$Z11)</f>
        <v>0</v>
      </c>
      <c r="BZ299" s="446">
        <f>SUMIF(LUG!$G$158:$J$158,BZ$111,LUG!$R11:$U11)+SUMIF(LUG!$G$158:$J$158,BZ$111,LUG!$W11:$Z11)</f>
        <v>0</v>
      </c>
      <c r="CA299" s="446">
        <f>SUMIF(LUG!$G$158:$J$158,CA$111,LUG!$R11:$U11)+SUMIF(LUG!$G$158:$J$158,CA$111,LUG!$W11:$Z11)</f>
        <v>0</v>
      </c>
      <c r="CB299" s="448">
        <f>SUMIF(LUG!$G$158:$J$158,CB$111,LUG!$R11:$U11)+SUMIF(LUG!$G$158:$J$158,CB$111,LUG!$W11:$Z11)</f>
        <v>0</v>
      </c>
      <c r="CC299" s="571"/>
      <c r="CD299" s="448"/>
      <c r="CE299" s="92">
        <f t="shared" si="261"/>
        <v>0</v>
      </c>
      <c r="CF299" s="92">
        <f t="shared" si="262"/>
        <v>0</v>
      </c>
      <c r="CG299" s="151" t="str">
        <f t="shared" si="248"/>
        <v/>
      </c>
      <c r="CH299" s="92">
        <f t="shared" si="251"/>
        <v>0</v>
      </c>
      <c r="CI299" s="92" t="str">
        <f t="shared" si="263"/>
        <v/>
      </c>
      <c r="CJ299" s="1100">
        <f>LUG!AM11</f>
        <v>0</v>
      </c>
      <c r="CK299" s="445">
        <f>SUMIF(LUG!$G$155:$J$155,CK$112,LUG!$AN11:$AQ11)</f>
        <v>0</v>
      </c>
      <c r="CL299" s="446">
        <f>SUMIF(LUG!$G$155:$J$155,CL$112,LUG!$AN11:$AQ11)</f>
        <v>0</v>
      </c>
      <c r="CM299" s="447">
        <f>SUMIF(LUG!$G$155:$J$155,CM$112,LUG!$AN11:$AQ11)</f>
        <v>0</v>
      </c>
      <c r="CN299" s="448">
        <f>SUMIF(LUG!$G$155:$J$155,CN$112,LUG!$AN11:$AQ11)</f>
        <v>0</v>
      </c>
      <c r="CO299" s="1100">
        <f>LUG!AS11</f>
        <v>0</v>
      </c>
      <c r="CP299" s="445">
        <f>LUG!AT11</f>
        <v>0</v>
      </c>
      <c r="CQ299" s="446">
        <f>LUG!AU11</f>
        <v>0</v>
      </c>
      <c r="CR299" s="447">
        <f>LUG!AV11</f>
        <v>0</v>
      </c>
      <c r="CS299" s="448">
        <f>LUG!AW11</f>
        <v>0</v>
      </c>
      <c r="CT299" s="1100">
        <f>LUG!AY11</f>
        <v>0</v>
      </c>
      <c r="CU299" s="2"/>
    </row>
    <row r="300" spans="1:99" ht="14.25" hidden="1" customHeight="1" x14ac:dyDescent="0.2">
      <c r="A300" s="2"/>
      <c r="B300" s="151">
        <f t="shared" si="252"/>
        <v>45478</v>
      </c>
      <c r="C300" s="223">
        <f>IF(AND(E300&gt;(N$491-1),E300&lt;(R$491+1)),W$485,IF(ISERROR(HLOOKUP(E300,$N$484:$U$484,1,FALSE)),HLOOKUP(WEEKDAY(E300,2),IMPOSTAZIONI!$C$51:$P$56,6,FALSE),$W$484))</f>
        <v>0</v>
      </c>
      <c r="D300" s="103" t="str">
        <f t="shared" si="253"/>
        <v/>
      </c>
      <c r="E300" s="2380">
        <f t="shared" si="264"/>
        <v>45478</v>
      </c>
      <c r="F300" s="2381"/>
      <c r="G300" s="2325" t="str">
        <f>LUG!E12</f>
        <v xml:space="preserve">attiva trim.  </v>
      </c>
      <c r="H300" s="2326"/>
      <c r="I300" s="2327"/>
      <c r="J300" s="479" t="str">
        <f t="shared" si="249"/>
        <v/>
      </c>
      <c r="K300" s="480"/>
      <c r="L300" s="2319">
        <f t="shared" si="265"/>
        <v>27</v>
      </c>
      <c r="M300" s="2320"/>
      <c r="N300" s="478"/>
      <c r="O300" s="478"/>
      <c r="P300" s="478"/>
      <c r="Q300" s="2315">
        <f t="shared" si="254"/>
        <v>45478</v>
      </c>
      <c r="R300" s="2315"/>
      <c r="S300" s="478"/>
      <c r="T300" s="140">
        <f t="shared" si="255"/>
        <v>1</v>
      </c>
      <c r="U300" s="478"/>
      <c r="V300" s="478"/>
      <c r="W300" s="478"/>
      <c r="X300" s="478"/>
      <c r="Y300" s="478"/>
      <c r="Z300" s="478"/>
      <c r="AA300" s="478"/>
      <c r="AB300" s="478"/>
      <c r="AC300" s="478"/>
      <c r="AD300" s="478"/>
      <c r="AE300" s="478"/>
      <c r="AF300" s="478"/>
      <c r="AG300" s="140">
        <f t="shared" si="256"/>
        <v>0</v>
      </c>
      <c r="AH300" s="92" t="str">
        <f t="shared" si="257"/>
        <v/>
      </c>
      <c r="AI300" s="131">
        <f t="shared" si="258"/>
        <v>0</v>
      </c>
      <c r="AJ300" s="2"/>
      <c r="AK300" s="92">
        <f>IF(G300=G$481,0,IF(OR(G300&lt;&gt;0,CJ300&lt;&gt;0,C300="L"),COUNTIF(AK$114:AK299,"&gt;0")+1,0))</f>
        <v>0</v>
      </c>
      <c r="AL300" s="92" t="str">
        <f t="shared" si="259"/>
        <v/>
      </c>
      <c r="AM300" s="92" t="str">
        <f t="shared" si="260"/>
        <v/>
      </c>
      <c r="AN300" s="131">
        <f t="shared" si="250"/>
        <v>0</v>
      </c>
      <c r="AO300" s="447">
        <f>SUM(LUG!W12:Z12)</f>
        <v>0</v>
      </c>
      <c r="AP300" s="445">
        <f>SUMIF(LUG!$G$155:$J$155,AP$112,LUG!$R12:$U12)</f>
        <v>0</v>
      </c>
      <c r="AQ300" s="446">
        <f>SUMIF(LUG!$G$155:$J$155,AQ$112,LUG!$R12:$U12)</f>
        <v>0</v>
      </c>
      <c r="AR300" s="447">
        <f>SUMIF(LUG!$G$155:$J$155,AR$112,LUG!$R12:$U12)</f>
        <v>0</v>
      </c>
      <c r="AS300" s="448">
        <f>SUMIF(LUG!$G$155:$J$155,AS$112,LUG!$R12:$U12)</f>
        <v>0</v>
      </c>
      <c r="AT300" s="449">
        <f>LUG!AG12</f>
        <v>0</v>
      </c>
      <c r="AU300" s="445">
        <f>LUG!AH12</f>
        <v>0</v>
      </c>
      <c r="AV300" s="446">
        <f>LUG!AI12</f>
        <v>0</v>
      </c>
      <c r="AW300" s="447">
        <f>LUG!AJ12</f>
        <v>0</v>
      </c>
      <c r="AX300" s="448">
        <f>LUG!AK12</f>
        <v>0</v>
      </c>
      <c r="AY300" s="445">
        <f>SUMIF(LUG!$G$152:$J$152,"&gt;0",LUG!$W12:$Z12)</f>
        <v>0</v>
      </c>
      <c r="AZ300" s="1063">
        <f>SUM(LUG!AB12:AE12)</f>
        <v>0</v>
      </c>
      <c r="BA300" s="445">
        <f>SUMIF(LUG!$G$159:$J$159,BA$111,LUG!$R12:$U12)+SUMIF(LUG!$G$159:$J$159,BA$111,LUG!$W12:$Z12)</f>
        <v>0</v>
      </c>
      <c r="BB300" s="446">
        <f>SUMIF(LUG!$G$159:$J$159,BB$111,LUG!$R12:$U12)+SUMIF(LUG!$G$159:$J$159,BB$111,LUG!$W12:$Z12)</f>
        <v>0</v>
      </c>
      <c r="BC300" s="446">
        <f>SUMIF(LUG!$G$159:$J$159,BC$111,LUG!$R12:$U12)+SUMIF(LUG!$G$159:$J$159,BC$111,LUG!$W12:$Z12)</f>
        <v>0</v>
      </c>
      <c r="BD300" s="446">
        <f>SUMIF(LUG!$G$159:$J$159,BD$111,LUG!$R12:$U12)+SUMIF(LUG!$G$159:$J$159,BD$111,LUG!$W12:$Z12)</f>
        <v>0</v>
      </c>
      <c r="BE300" s="446">
        <f>SUMIF(LUG!$G$159:$J$159,BE$111,LUG!$R12:$U12)+SUMIF(LUG!$G$159:$J$159,BE$111,LUG!$W12:$Z12)</f>
        <v>0</v>
      </c>
      <c r="BF300" s="446">
        <f>SUMIF(LUG!$G$159:$J$159,BF$111,LUG!$R12:$U12)+SUMIF(LUG!$G$159:$J$159,BF$111,LUG!$W12:$Z12)</f>
        <v>0</v>
      </c>
      <c r="BG300" s="448">
        <f>SUMIF(LUG!$G$159:$J$159,BG$111,LUG!$R12:$U12)+SUMIF(LUG!$G$159:$J$159,BG$111,LUG!$W12:$Z12)</f>
        <v>0</v>
      </c>
      <c r="BH300" s="571"/>
      <c r="BI300" s="448"/>
      <c r="BJ300" s="470"/>
      <c r="BK300" s="445">
        <f>SUMIF(LUG!$G$157:$J$157,BK$111,LUG!$R12:$U12)+SUMIF(LUG!$G$157:$J$157,BK$111,LUG!$W12:$Z12)</f>
        <v>0</v>
      </c>
      <c r="BL300" s="446">
        <f>SUMIF(LUG!$G$157:$J$157,BL$111,LUG!$R12:$U12)+SUMIF(LUG!$G$157:$J$157,BL$111,LUG!$W12:$Z12)</f>
        <v>0</v>
      </c>
      <c r="BM300" s="446">
        <f>SUMIF(LUG!$G$157:$J$157,BM$111,LUG!$R12:$U12)+SUMIF(LUG!$G$157:$J$157,BM$111,LUG!$W12:$Z12)</f>
        <v>0</v>
      </c>
      <c r="BN300" s="446">
        <f>SUMIF(LUG!$G$157:$J$157,BN$111,LUG!$R12:$U12)+SUMIF(LUG!$G$157:$J$157,BN$111,LUG!$W12:$Z12)</f>
        <v>0</v>
      </c>
      <c r="BO300" s="446">
        <f>SUMIF(LUG!$G$157:$J$157,BO$111,LUG!$R12:$U12)+SUMIF(LUG!$G$157:$J$157,BO$111,LUG!$W12:$Z12)</f>
        <v>0</v>
      </c>
      <c r="BP300" s="446">
        <f>SUMIF(LUG!$G$157:$J$157,BP$111,LUG!$R12:$U12)+SUMIF(LUG!$G$157:$J$157,BP$111,LUG!$W12:$Z12)</f>
        <v>0</v>
      </c>
      <c r="BQ300" s="448">
        <f>SUMIF(LUG!$G$157:$J$157,BQ$111,LUG!$R12:$U12)+SUMIF(LUG!$G$157:$J$157,BQ$111,LUG!$W12:$Z12)</f>
        <v>0</v>
      </c>
      <c r="BR300" s="571"/>
      <c r="BS300" s="446"/>
      <c r="BT300" s="448"/>
      <c r="BU300" s="470"/>
      <c r="BV300" s="445">
        <f>SUMIF(LUG!$G$158:$J$158,BV$111,LUG!$R12:$U12)+SUMIF(LUG!$G$158:$J$158,BV$111,LUG!$W12:$Z12)</f>
        <v>0</v>
      </c>
      <c r="BW300" s="446">
        <f>SUMIF(LUG!$G$158:$J$158,BW$111,LUG!$R12:$U12)+SUMIF(LUG!$G$158:$J$158,BW$111,LUG!$W12:$Z12)</f>
        <v>0</v>
      </c>
      <c r="BX300" s="446">
        <f>SUMIF(LUG!$G$158:$J$158,BX$111,LUG!$R12:$U12)+SUMIF(LUG!$G$158:$J$158,BX$111,LUG!$W12:$Z12)</f>
        <v>0</v>
      </c>
      <c r="BY300" s="446">
        <f>SUMIF(LUG!$G$158:$J$158,BY$111,LUG!$R12:$U12)+SUMIF(LUG!$G$158:$J$158,BY$111,LUG!$W12:$Z12)</f>
        <v>0</v>
      </c>
      <c r="BZ300" s="446">
        <f>SUMIF(LUG!$G$158:$J$158,BZ$111,LUG!$R12:$U12)+SUMIF(LUG!$G$158:$J$158,BZ$111,LUG!$W12:$Z12)</f>
        <v>0</v>
      </c>
      <c r="CA300" s="446">
        <f>SUMIF(LUG!$G$158:$J$158,CA$111,LUG!$R12:$U12)+SUMIF(LUG!$G$158:$J$158,CA$111,LUG!$W12:$Z12)</f>
        <v>0</v>
      </c>
      <c r="CB300" s="448">
        <f>SUMIF(LUG!$G$158:$J$158,CB$111,LUG!$R12:$U12)+SUMIF(LUG!$G$158:$J$158,CB$111,LUG!$W12:$Z12)</f>
        <v>0</v>
      </c>
      <c r="CC300" s="571"/>
      <c r="CD300" s="448"/>
      <c r="CE300" s="92">
        <f t="shared" si="261"/>
        <v>0</v>
      </c>
      <c r="CF300" s="92">
        <f t="shared" si="262"/>
        <v>0</v>
      </c>
      <c r="CG300" s="151" t="str">
        <f t="shared" si="248"/>
        <v/>
      </c>
      <c r="CH300" s="92">
        <f t="shared" si="251"/>
        <v>0</v>
      </c>
      <c r="CI300" s="92" t="str">
        <f t="shared" si="263"/>
        <v/>
      </c>
      <c r="CJ300" s="1100">
        <f>LUG!AM12</f>
        <v>0</v>
      </c>
      <c r="CK300" s="445">
        <f>SUMIF(LUG!$G$155:$J$155,CK$112,LUG!$AN12:$AQ12)</f>
        <v>0</v>
      </c>
      <c r="CL300" s="446">
        <f>SUMIF(LUG!$G$155:$J$155,CL$112,LUG!$AN12:$AQ12)</f>
        <v>0</v>
      </c>
      <c r="CM300" s="447">
        <f>SUMIF(LUG!$G$155:$J$155,CM$112,LUG!$AN12:$AQ12)</f>
        <v>0</v>
      </c>
      <c r="CN300" s="448">
        <f>SUMIF(LUG!$G$155:$J$155,CN$112,LUG!$AN12:$AQ12)</f>
        <v>0</v>
      </c>
      <c r="CO300" s="1100">
        <f>LUG!AS12</f>
        <v>0</v>
      </c>
      <c r="CP300" s="445">
        <f>LUG!AT12</f>
        <v>0</v>
      </c>
      <c r="CQ300" s="446">
        <f>LUG!AU12</f>
        <v>0</v>
      </c>
      <c r="CR300" s="447">
        <f>LUG!AV12</f>
        <v>0</v>
      </c>
      <c r="CS300" s="448">
        <f>LUG!AW12</f>
        <v>0</v>
      </c>
      <c r="CT300" s="1100">
        <f>LUG!AY12</f>
        <v>0</v>
      </c>
      <c r="CU300" s="2"/>
    </row>
    <row r="301" spans="1:99" ht="14.25" hidden="1" customHeight="1" x14ac:dyDescent="0.2">
      <c r="A301" s="2"/>
      <c r="B301" s="151">
        <f t="shared" si="252"/>
        <v>45479</v>
      </c>
      <c r="C301" s="223">
        <f>IF(AND(E301&gt;(N$491-1),E301&lt;(R$491+1)),W$485,IF(ISERROR(HLOOKUP(E301,$N$484:$U$484,1,FALSE)),HLOOKUP(WEEKDAY(E301,2),IMPOSTAZIONI!$C$51:$P$56,6,FALSE),$W$484))</f>
        <v>0</v>
      </c>
      <c r="D301" s="103" t="str">
        <f t="shared" si="253"/>
        <v/>
      </c>
      <c r="E301" s="2380">
        <f t="shared" si="264"/>
        <v>45479</v>
      </c>
      <c r="F301" s="2381"/>
      <c r="G301" s="2325" t="str">
        <f>LUG!E13</f>
        <v xml:space="preserve">attiva trim.  </v>
      </c>
      <c r="H301" s="2326"/>
      <c r="I301" s="2327"/>
      <c r="J301" s="479" t="str">
        <f t="shared" si="249"/>
        <v/>
      </c>
      <c r="K301" s="480"/>
      <c r="L301" s="2319">
        <f t="shared" si="265"/>
        <v>27</v>
      </c>
      <c r="M301" s="2320"/>
      <c r="N301" s="478"/>
      <c r="O301" s="478"/>
      <c r="P301" s="478"/>
      <c r="Q301" s="2315">
        <f t="shared" si="254"/>
        <v>45479</v>
      </c>
      <c r="R301" s="2315"/>
      <c r="S301" s="478"/>
      <c r="T301" s="140">
        <f t="shared" si="255"/>
        <v>1</v>
      </c>
      <c r="U301" s="478"/>
      <c r="V301" s="478"/>
      <c r="W301" s="478"/>
      <c r="X301" s="478"/>
      <c r="Y301" s="478"/>
      <c r="Z301" s="478"/>
      <c r="AA301" s="478"/>
      <c r="AB301" s="478"/>
      <c r="AC301" s="478"/>
      <c r="AD301" s="478"/>
      <c r="AE301" s="478"/>
      <c r="AF301" s="478"/>
      <c r="AG301" s="140">
        <f t="shared" si="256"/>
        <v>0</v>
      </c>
      <c r="AH301" s="92" t="str">
        <f t="shared" si="257"/>
        <v/>
      </c>
      <c r="AI301" s="131">
        <f t="shared" si="258"/>
        <v>0</v>
      </c>
      <c r="AJ301" s="2"/>
      <c r="AK301" s="92">
        <f>IF(G301=G$481,0,IF(OR(G301&lt;&gt;0,CJ301&lt;&gt;0,C301="L"),COUNTIF(AK$114:AK300,"&gt;0")+1,0))</f>
        <v>0</v>
      </c>
      <c r="AL301" s="92" t="str">
        <f t="shared" si="259"/>
        <v/>
      </c>
      <c r="AM301" s="92" t="str">
        <f t="shared" si="260"/>
        <v/>
      </c>
      <c r="AN301" s="131">
        <f t="shared" si="250"/>
        <v>0</v>
      </c>
      <c r="AO301" s="447">
        <f>SUM(LUG!W13:Z13)</f>
        <v>0</v>
      </c>
      <c r="AP301" s="445">
        <f>SUMIF(LUG!$G$155:$J$155,AP$112,LUG!$R13:$U13)</f>
        <v>0</v>
      </c>
      <c r="AQ301" s="446">
        <f>SUMIF(LUG!$G$155:$J$155,AQ$112,LUG!$R13:$U13)</f>
        <v>0</v>
      </c>
      <c r="AR301" s="447">
        <f>SUMIF(LUG!$G$155:$J$155,AR$112,LUG!$R13:$U13)</f>
        <v>0</v>
      </c>
      <c r="AS301" s="448">
        <f>SUMIF(LUG!$G$155:$J$155,AS$112,LUG!$R13:$U13)</f>
        <v>0</v>
      </c>
      <c r="AT301" s="449">
        <f>LUG!AG13</f>
        <v>0</v>
      </c>
      <c r="AU301" s="445">
        <f>LUG!AH13</f>
        <v>0</v>
      </c>
      <c r="AV301" s="446">
        <f>LUG!AI13</f>
        <v>0</v>
      </c>
      <c r="AW301" s="447">
        <f>LUG!AJ13</f>
        <v>0</v>
      </c>
      <c r="AX301" s="448">
        <f>LUG!AK13</f>
        <v>0</v>
      </c>
      <c r="AY301" s="445">
        <f>SUMIF(LUG!$G$152:$J$152,"&gt;0",LUG!$W13:$Z13)</f>
        <v>0</v>
      </c>
      <c r="AZ301" s="1063">
        <f>SUM(LUG!AB13:AE13)</f>
        <v>0</v>
      </c>
      <c r="BA301" s="445">
        <f>SUMIF(LUG!$G$159:$J$159,BA$111,LUG!$R13:$U13)+SUMIF(LUG!$G$159:$J$159,BA$111,LUG!$W13:$Z13)</f>
        <v>0</v>
      </c>
      <c r="BB301" s="446">
        <f>SUMIF(LUG!$G$159:$J$159,BB$111,LUG!$R13:$U13)+SUMIF(LUG!$G$159:$J$159,BB$111,LUG!$W13:$Z13)</f>
        <v>0</v>
      </c>
      <c r="BC301" s="446">
        <f>SUMIF(LUG!$G$159:$J$159,BC$111,LUG!$R13:$U13)+SUMIF(LUG!$G$159:$J$159,BC$111,LUG!$W13:$Z13)</f>
        <v>0</v>
      </c>
      <c r="BD301" s="446">
        <f>SUMIF(LUG!$G$159:$J$159,BD$111,LUG!$R13:$U13)+SUMIF(LUG!$G$159:$J$159,BD$111,LUG!$W13:$Z13)</f>
        <v>0</v>
      </c>
      <c r="BE301" s="446">
        <f>SUMIF(LUG!$G$159:$J$159,BE$111,LUG!$R13:$U13)+SUMIF(LUG!$G$159:$J$159,BE$111,LUG!$W13:$Z13)</f>
        <v>0</v>
      </c>
      <c r="BF301" s="446">
        <f>SUMIF(LUG!$G$159:$J$159,BF$111,LUG!$R13:$U13)+SUMIF(LUG!$G$159:$J$159,BF$111,LUG!$W13:$Z13)</f>
        <v>0</v>
      </c>
      <c r="BG301" s="448">
        <f>SUMIF(LUG!$G$159:$J$159,BG$111,LUG!$R13:$U13)+SUMIF(LUG!$G$159:$J$159,BG$111,LUG!$W13:$Z13)</f>
        <v>0</v>
      </c>
      <c r="BH301" s="571"/>
      <c r="BI301" s="448"/>
      <c r="BJ301" s="470"/>
      <c r="BK301" s="445">
        <f>SUMIF(LUG!$G$157:$J$157,BK$111,LUG!$R13:$U13)+SUMIF(LUG!$G$157:$J$157,BK$111,LUG!$W13:$Z13)</f>
        <v>0</v>
      </c>
      <c r="BL301" s="446">
        <f>SUMIF(LUG!$G$157:$J$157,BL$111,LUG!$R13:$U13)+SUMIF(LUG!$G$157:$J$157,BL$111,LUG!$W13:$Z13)</f>
        <v>0</v>
      </c>
      <c r="BM301" s="446">
        <f>SUMIF(LUG!$G$157:$J$157,BM$111,LUG!$R13:$U13)+SUMIF(LUG!$G$157:$J$157,BM$111,LUG!$W13:$Z13)</f>
        <v>0</v>
      </c>
      <c r="BN301" s="446">
        <f>SUMIF(LUG!$G$157:$J$157,BN$111,LUG!$R13:$U13)+SUMIF(LUG!$G$157:$J$157,BN$111,LUG!$W13:$Z13)</f>
        <v>0</v>
      </c>
      <c r="BO301" s="446">
        <f>SUMIF(LUG!$G$157:$J$157,BO$111,LUG!$R13:$U13)+SUMIF(LUG!$G$157:$J$157,BO$111,LUG!$W13:$Z13)</f>
        <v>0</v>
      </c>
      <c r="BP301" s="446">
        <f>SUMIF(LUG!$G$157:$J$157,BP$111,LUG!$R13:$U13)+SUMIF(LUG!$G$157:$J$157,BP$111,LUG!$W13:$Z13)</f>
        <v>0</v>
      </c>
      <c r="BQ301" s="448">
        <f>SUMIF(LUG!$G$157:$J$157,BQ$111,LUG!$R13:$U13)+SUMIF(LUG!$G$157:$J$157,BQ$111,LUG!$W13:$Z13)</f>
        <v>0</v>
      </c>
      <c r="BR301" s="571"/>
      <c r="BS301" s="446"/>
      <c r="BT301" s="448"/>
      <c r="BU301" s="470"/>
      <c r="BV301" s="445">
        <f>SUMIF(LUG!$G$158:$J$158,BV$111,LUG!$R13:$U13)+SUMIF(LUG!$G$158:$J$158,BV$111,LUG!$W13:$Z13)</f>
        <v>0</v>
      </c>
      <c r="BW301" s="446">
        <f>SUMIF(LUG!$G$158:$J$158,BW$111,LUG!$R13:$U13)+SUMIF(LUG!$G$158:$J$158,BW$111,LUG!$W13:$Z13)</f>
        <v>0</v>
      </c>
      <c r="BX301" s="446">
        <f>SUMIF(LUG!$G$158:$J$158,BX$111,LUG!$R13:$U13)+SUMIF(LUG!$G$158:$J$158,BX$111,LUG!$W13:$Z13)</f>
        <v>0</v>
      </c>
      <c r="BY301" s="446">
        <f>SUMIF(LUG!$G$158:$J$158,BY$111,LUG!$R13:$U13)+SUMIF(LUG!$G$158:$J$158,BY$111,LUG!$W13:$Z13)</f>
        <v>0</v>
      </c>
      <c r="BZ301" s="446">
        <f>SUMIF(LUG!$G$158:$J$158,BZ$111,LUG!$R13:$U13)+SUMIF(LUG!$G$158:$J$158,BZ$111,LUG!$W13:$Z13)</f>
        <v>0</v>
      </c>
      <c r="CA301" s="446">
        <f>SUMIF(LUG!$G$158:$J$158,CA$111,LUG!$R13:$U13)+SUMIF(LUG!$G$158:$J$158,CA$111,LUG!$W13:$Z13)</f>
        <v>0</v>
      </c>
      <c r="CB301" s="448">
        <f>SUMIF(LUG!$G$158:$J$158,CB$111,LUG!$R13:$U13)+SUMIF(LUG!$G$158:$J$158,CB$111,LUG!$W13:$Z13)</f>
        <v>0</v>
      </c>
      <c r="CC301" s="571"/>
      <c r="CD301" s="448"/>
      <c r="CE301" s="92">
        <f t="shared" si="261"/>
        <v>0</v>
      </c>
      <c r="CF301" s="92">
        <f t="shared" si="262"/>
        <v>0</v>
      </c>
      <c r="CG301" s="151" t="str">
        <f t="shared" si="248"/>
        <v/>
      </c>
      <c r="CH301" s="92">
        <f t="shared" si="251"/>
        <v>0</v>
      </c>
      <c r="CI301" s="92" t="str">
        <f t="shared" si="263"/>
        <v/>
      </c>
      <c r="CJ301" s="1100">
        <f>LUG!AM13</f>
        <v>0</v>
      </c>
      <c r="CK301" s="445">
        <f>SUMIF(LUG!$G$155:$J$155,CK$112,LUG!$AN13:$AQ13)</f>
        <v>0</v>
      </c>
      <c r="CL301" s="446">
        <f>SUMIF(LUG!$G$155:$J$155,CL$112,LUG!$AN13:$AQ13)</f>
        <v>0</v>
      </c>
      <c r="CM301" s="447">
        <f>SUMIF(LUG!$G$155:$J$155,CM$112,LUG!$AN13:$AQ13)</f>
        <v>0</v>
      </c>
      <c r="CN301" s="448">
        <f>SUMIF(LUG!$G$155:$J$155,CN$112,LUG!$AN13:$AQ13)</f>
        <v>0</v>
      </c>
      <c r="CO301" s="1100">
        <f>LUG!AS13</f>
        <v>0</v>
      </c>
      <c r="CP301" s="445">
        <f>LUG!AT13</f>
        <v>0</v>
      </c>
      <c r="CQ301" s="446">
        <f>LUG!AU13</f>
        <v>0</v>
      </c>
      <c r="CR301" s="447">
        <f>LUG!AV13</f>
        <v>0</v>
      </c>
      <c r="CS301" s="448">
        <f>LUG!AW13</f>
        <v>0</v>
      </c>
      <c r="CT301" s="1100">
        <f>LUG!AY13</f>
        <v>0</v>
      </c>
      <c r="CU301" s="2"/>
    </row>
    <row r="302" spans="1:99" ht="14.25" hidden="1" customHeight="1" x14ac:dyDescent="0.2">
      <c r="A302" s="2"/>
      <c r="B302" s="151">
        <f t="shared" si="252"/>
        <v>45480</v>
      </c>
      <c r="C302" s="223">
        <f>IF(AND(E302&gt;(N$491-1),E302&lt;(R$491+1)),W$485,IF(ISERROR(HLOOKUP(E302,$N$484:$U$484,1,FALSE)),HLOOKUP(WEEKDAY(E302,2),IMPOSTAZIONI!$C$51:$P$56,6,FALSE),$W$484))</f>
        <v>0</v>
      </c>
      <c r="D302" s="103" t="str">
        <f t="shared" si="253"/>
        <v/>
      </c>
      <c r="E302" s="2380">
        <f t="shared" si="264"/>
        <v>45480</v>
      </c>
      <c r="F302" s="2381"/>
      <c r="G302" s="2325" t="str">
        <f>LUG!E14</f>
        <v xml:space="preserve">attiva trim.  </v>
      </c>
      <c r="H302" s="2326"/>
      <c r="I302" s="2327"/>
      <c r="J302" s="479" t="str">
        <f t="shared" si="249"/>
        <v/>
      </c>
      <c r="K302" s="480"/>
      <c r="L302" s="2321">
        <f t="shared" si="265"/>
        <v>27</v>
      </c>
      <c r="M302" s="2322"/>
      <c r="N302" s="478"/>
      <c r="O302" s="478"/>
      <c r="P302" s="478"/>
      <c r="Q302" s="2315">
        <f t="shared" si="254"/>
        <v>45480</v>
      </c>
      <c r="R302" s="2315"/>
      <c r="S302" s="478"/>
      <c r="T302" s="140">
        <f t="shared" si="255"/>
        <v>1</v>
      </c>
      <c r="U302" s="478"/>
      <c r="V302" s="478"/>
      <c r="W302" s="478"/>
      <c r="X302" s="478"/>
      <c r="Y302" s="478"/>
      <c r="Z302" s="478"/>
      <c r="AA302" s="478"/>
      <c r="AB302" s="478"/>
      <c r="AC302" s="478"/>
      <c r="AD302" s="478"/>
      <c r="AE302" s="478"/>
      <c r="AF302" s="478"/>
      <c r="AG302" s="140">
        <f t="shared" si="256"/>
        <v>0</v>
      </c>
      <c r="AH302" s="92" t="str">
        <f t="shared" si="257"/>
        <v/>
      </c>
      <c r="AI302" s="131">
        <f t="shared" si="258"/>
        <v>0</v>
      </c>
      <c r="AJ302" s="2"/>
      <c r="AK302" s="92">
        <f>IF(G302=G$481,0,IF(OR(G302&lt;&gt;0,CJ302&lt;&gt;0,C302="L"),COUNTIF(AK$114:AK301,"&gt;0")+1,0))</f>
        <v>0</v>
      </c>
      <c r="AL302" s="92" t="str">
        <f t="shared" si="259"/>
        <v/>
      </c>
      <c r="AM302" s="92" t="str">
        <f t="shared" si="260"/>
        <v/>
      </c>
      <c r="AN302" s="131">
        <f t="shared" si="250"/>
        <v>0</v>
      </c>
      <c r="AO302" s="447">
        <f>SUM(LUG!W14:Z14)</f>
        <v>0</v>
      </c>
      <c r="AP302" s="445">
        <f>SUMIF(LUG!$G$155:$J$155,AP$112,LUG!$R14:$U14)</f>
        <v>0</v>
      </c>
      <c r="AQ302" s="446">
        <f>SUMIF(LUG!$G$155:$J$155,AQ$112,LUG!$R14:$U14)</f>
        <v>0</v>
      </c>
      <c r="AR302" s="447">
        <f>SUMIF(LUG!$G$155:$J$155,AR$112,LUG!$R14:$U14)</f>
        <v>0</v>
      </c>
      <c r="AS302" s="448">
        <f>SUMIF(LUG!$G$155:$J$155,AS$112,LUG!$R14:$U14)</f>
        <v>0</v>
      </c>
      <c r="AT302" s="449">
        <f>LUG!AG14</f>
        <v>0</v>
      </c>
      <c r="AU302" s="445">
        <f>LUG!AH14</f>
        <v>0</v>
      </c>
      <c r="AV302" s="446">
        <f>LUG!AI14</f>
        <v>0</v>
      </c>
      <c r="AW302" s="447">
        <f>LUG!AJ14</f>
        <v>0</v>
      </c>
      <c r="AX302" s="448">
        <f>LUG!AK14</f>
        <v>0</v>
      </c>
      <c r="AY302" s="445">
        <f>SUMIF(LUG!$G$152:$J$152,"&gt;0",LUG!$W14:$Z14)</f>
        <v>0</v>
      </c>
      <c r="AZ302" s="1063">
        <f>SUM(LUG!AB14:AE14)</f>
        <v>0</v>
      </c>
      <c r="BA302" s="445">
        <f>SUMIF(LUG!$G$159:$J$159,BA$111,LUG!$R14:$U14)+SUMIF(LUG!$G$159:$J$159,BA$111,LUG!$W14:$Z14)</f>
        <v>0</v>
      </c>
      <c r="BB302" s="446">
        <f>SUMIF(LUG!$G$159:$J$159,BB$111,LUG!$R14:$U14)+SUMIF(LUG!$G$159:$J$159,BB$111,LUG!$W14:$Z14)</f>
        <v>0</v>
      </c>
      <c r="BC302" s="446">
        <f>SUMIF(LUG!$G$159:$J$159,BC$111,LUG!$R14:$U14)+SUMIF(LUG!$G$159:$J$159,BC$111,LUG!$W14:$Z14)</f>
        <v>0</v>
      </c>
      <c r="BD302" s="446">
        <f>SUMIF(LUG!$G$159:$J$159,BD$111,LUG!$R14:$U14)+SUMIF(LUG!$G$159:$J$159,BD$111,LUG!$W14:$Z14)</f>
        <v>0</v>
      </c>
      <c r="BE302" s="446">
        <f>SUMIF(LUG!$G$159:$J$159,BE$111,LUG!$R14:$U14)+SUMIF(LUG!$G$159:$J$159,BE$111,LUG!$W14:$Z14)</f>
        <v>0</v>
      </c>
      <c r="BF302" s="446">
        <f>SUMIF(LUG!$G$159:$J$159,BF$111,LUG!$R14:$U14)+SUMIF(LUG!$G$159:$J$159,BF$111,LUG!$W14:$Z14)</f>
        <v>0</v>
      </c>
      <c r="BG302" s="448">
        <f>SUMIF(LUG!$G$159:$J$159,BG$111,LUG!$R14:$U14)+SUMIF(LUG!$G$159:$J$159,BG$111,LUG!$W14:$Z14)</f>
        <v>0</v>
      </c>
      <c r="BH302" s="571"/>
      <c r="BI302" s="448"/>
      <c r="BJ302" s="470"/>
      <c r="BK302" s="445">
        <f>SUMIF(LUG!$G$157:$J$157,BK$111,LUG!$R14:$U14)+SUMIF(LUG!$G$157:$J$157,BK$111,LUG!$W14:$Z14)</f>
        <v>0</v>
      </c>
      <c r="BL302" s="446">
        <f>SUMIF(LUG!$G$157:$J$157,BL$111,LUG!$R14:$U14)+SUMIF(LUG!$G$157:$J$157,BL$111,LUG!$W14:$Z14)</f>
        <v>0</v>
      </c>
      <c r="BM302" s="446">
        <f>SUMIF(LUG!$G$157:$J$157,BM$111,LUG!$R14:$U14)+SUMIF(LUG!$G$157:$J$157,BM$111,LUG!$W14:$Z14)</f>
        <v>0</v>
      </c>
      <c r="BN302" s="446">
        <f>SUMIF(LUG!$G$157:$J$157,BN$111,LUG!$R14:$U14)+SUMIF(LUG!$G$157:$J$157,BN$111,LUG!$W14:$Z14)</f>
        <v>0</v>
      </c>
      <c r="BO302" s="446">
        <f>SUMIF(LUG!$G$157:$J$157,BO$111,LUG!$R14:$U14)+SUMIF(LUG!$G$157:$J$157,BO$111,LUG!$W14:$Z14)</f>
        <v>0</v>
      </c>
      <c r="BP302" s="446">
        <f>SUMIF(LUG!$G$157:$J$157,BP$111,LUG!$R14:$U14)+SUMIF(LUG!$G$157:$J$157,BP$111,LUG!$W14:$Z14)</f>
        <v>0</v>
      </c>
      <c r="BQ302" s="448">
        <f>SUMIF(LUG!$G$157:$J$157,BQ$111,LUG!$R14:$U14)+SUMIF(LUG!$G$157:$J$157,BQ$111,LUG!$W14:$Z14)</f>
        <v>0</v>
      </c>
      <c r="BR302" s="571"/>
      <c r="BS302" s="446"/>
      <c r="BT302" s="448"/>
      <c r="BU302" s="470"/>
      <c r="BV302" s="445">
        <f>SUMIF(LUG!$G$158:$J$158,BV$111,LUG!$R14:$U14)+SUMIF(LUG!$G$158:$J$158,BV$111,LUG!$W14:$Z14)</f>
        <v>0</v>
      </c>
      <c r="BW302" s="446">
        <f>SUMIF(LUG!$G$158:$J$158,BW$111,LUG!$R14:$U14)+SUMIF(LUG!$G$158:$J$158,BW$111,LUG!$W14:$Z14)</f>
        <v>0</v>
      </c>
      <c r="BX302" s="446">
        <f>SUMIF(LUG!$G$158:$J$158,BX$111,LUG!$R14:$U14)+SUMIF(LUG!$G$158:$J$158,BX$111,LUG!$W14:$Z14)</f>
        <v>0</v>
      </c>
      <c r="BY302" s="446">
        <f>SUMIF(LUG!$G$158:$J$158,BY$111,LUG!$R14:$U14)+SUMIF(LUG!$G$158:$J$158,BY$111,LUG!$W14:$Z14)</f>
        <v>0</v>
      </c>
      <c r="BZ302" s="446">
        <f>SUMIF(LUG!$G$158:$J$158,BZ$111,LUG!$R14:$U14)+SUMIF(LUG!$G$158:$J$158,BZ$111,LUG!$W14:$Z14)</f>
        <v>0</v>
      </c>
      <c r="CA302" s="446">
        <f>SUMIF(LUG!$G$158:$J$158,CA$111,LUG!$R14:$U14)+SUMIF(LUG!$G$158:$J$158,CA$111,LUG!$W14:$Z14)</f>
        <v>0</v>
      </c>
      <c r="CB302" s="448">
        <f>SUMIF(LUG!$G$158:$J$158,CB$111,LUG!$R14:$U14)+SUMIF(LUG!$G$158:$J$158,CB$111,LUG!$W14:$Z14)</f>
        <v>0</v>
      </c>
      <c r="CC302" s="571"/>
      <c r="CD302" s="448"/>
      <c r="CE302" s="92">
        <f t="shared" si="261"/>
        <v>0</v>
      </c>
      <c r="CF302" s="92">
        <f t="shared" si="262"/>
        <v>0</v>
      </c>
      <c r="CG302" s="151" t="str">
        <f t="shared" ref="CG302:CG365" si="266">IF(AL302="Y",E302,"")</f>
        <v/>
      </c>
      <c r="CH302" s="92">
        <f t="shared" si="251"/>
        <v>0</v>
      </c>
      <c r="CI302" s="92" t="str">
        <f t="shared" si="263"/>
        <v/>
      </c>
      <c r="CJ302" s="1100">
        <f>LUG!AM14</f>
        <v>0</v>
      </c>
      <c r="CK302" s="445">
        <f>SUMIF(LUG!$G$155:$J$155,CK$112,LUG!$AN14:$AQ14)</f>
        <v>0</v>
      </c>
      <c r="CL302" s="446">
        <f>SUMIF(LUG!$G$155:$J$155,CL$112,LUG!$AN14:$AQ14)</f>
        <v>0</v>
      </c>
      <c r="CM302" s="447">
        <f>SUMIF(LUG!$G$155:$J$155,CM$112,LUG!$AN14:$AQ14)</f>
        <v>0</v>
      </c>
      <c r="CN302" s="448">
        <f>SUMIF(LUG!$G$155:$J$155,CN$112,LUG!$AN14:$AQ14)</f>
        <v>0</v>
      </c>
      <c r="CO302" s="1100">
        <f>LUG!AS14</f>
        <v>0</v>
      </c>
      <c r="CP302" s="445">
        <f>LUG!AT14</f>
        <v>0</v>
      </c>
      <c r="CQ302" s="446">
        <f>LUG!AU14</f>
        <v>0</v>
      </c>
      <c r="CR302" s="447">
        <f>LUG!AV14</f>
        <v>0</v>
      </c>
      <c r="CS302" s="448">
        <f>LUG!AW14</f>
        <v>0</v>
      </c>
      <c r="CT302" s="1100">
        <f>LUG!AY14</f>
        <v>0</v>
      </c>
      <c r="CU302" s="2"/>
    </row>
    <row r="303" spans="1:99" ht="14.25" hidden="1" customHeight="1" x14ac:dyDescent="0.2">
      <c r="A303" s="2"/>
      <c r="B303" s="151">
        <f t="shared" si="252"/>
        <v>45481</v>
      </c>
      <c r="C303" s="223">
        <f>IF(AND(E303&gt;(N$491-1),E303&lt;(R$491+1)),W$485,IF(ISERROR(HLOOKUP(E303,$N$484:$U$484,1,FALSE)),HLOOKUP(WEEKDAY(E303,2),IMPOSTAZIONI!$C$51:$P$56,6,FALSE),$W$484))</f>
        <v>0</v>
      </c>
      <c r="D303" s="103" t="str">
        <f t="shared" si="253"/>
        <v/>
      </c>
      <c r="E303" s="2380">
        <f t="shared" si="264"/>
        <v>45481</v>
      </c>
      <c r="F303" s="2381"/>
      <c r="G303" s="2325" t="str">
        <f>LUG!E15</f>
        <v xml:space="preserve">attiva trim.  </v>
      </c>
      <c r="H303" s="2326"/>
      <c r="I303" s="2327"/>
      <c r="J303" s="479" t="str">
        <f t="shared" si="249"/>
        <v/>
      </c>
      <c r="K303" s="480"/>
      <c r="L303" s="2323">
        <f t="shared" si="265"/>
        <v>28</v>
      </c>
      <c r="M303" s="2324"/>
      <c r="N303" s="478"/>
      <c r="O303" s="478"/>
      <c r="P303" s="478"/>
      <c r="Q303" s="2315">
        <f t="shared" si="254"/>
        <v>45481</v>
      </c>
      <c r="R303" s="2315"/>
      <c r="S303" s="478"/>
      <c r="T303" s="140">
        <f t="shared" si="255"/>
        <v>1</v>
      </c>
      <c r="U303" s="478"/>
      <c r="V303" s="478"/>
      <c r="W303" s="478"/>
      <c r="X303" s="478"/>
      <c r="Y303" s="478"/>
      <c r="Z303" s="478"/>
      <c r="AA303" s="478"/>
      <c r="AB303" s="478"/>
      <c r="AC303" s="478"/>
      <c r="AD303" s="478"/>
      <c r="AE303" s="478"/>
      <c r="AF303" s="478"/>
      <c r="AG303" s="140">
        <f t="shared" si="256"/>
        <v>0</v>
      </c>
      <c r="AH303" s="92" t="str">
        <f t="shared" si="257"/>
        <v/>
      </c>
      <c r="AI303" s="131">
        <f t="shared" si="258"/>
        <v>0</v>
      </c>
      <c r="AJ303" s="2"/>
      <c r="AK303" s="92">
        <f>IF(G303=G$481,0,IF(OR(G303&lt;&gt;0,CJ303&lt;&gt;0,C303="L"),COUNTIF(AK$114:AK302,"&gt;0")+1,0))</f>
        <v>0</v>
      </c>
      <c r="AL303" s="92" t="str">
        <f t="shared" si="259"/>
        <v/>
      </c>
      <c r="AM303" s="92" t="str">
        <f t="shared" si="260"/>
        <v/>
      </c>
      <c r="AN303" s="131">
        <f t="shared" si="250"/>
        <v>0</v>
      </c>
      <c r="AO303" s="447">
        <f>SUM(LUG!W15:Z15)</f>
        <v>0</v>
      </c>
      <c r="AP303" s="445">
        <f>SUMIF(LUG!$G$155:$J$155,AP$112,LUG!$R15:$U15)</f>
        <v>0</v>
      </c>
      <c r="AQ303" s="446">
        <f>SUMIF(LUG!$G$155:$J$155,AQ$112,LUG!$R15:$U15)</f>
        <v>0</v>
      </c>
      <c r="AR303" s="447">
        <f>SUMIF(LUG!$G$155:$J$155,AR$112,LUG!$R15:$U15)</f>
        <v>0</v>
      </c>
      <c r="AS303" s="448">
        <f>SUMIF(LUG!$G$155:$J$155,AS$112,LUG!$R15:$U15)</f>
        <v>0</v>
      </c>
      <c r="AT303" s="449">
        <f>LUG!AG15</f>
        <v>0</v>
      </c>
      <c r="AU303" s="445">
        <f>LUG!AH15</f>
        <v>0</v>
      </c>
      <c r="AV303" s="446">
        <f>LUG!AI15</f>
        <v>0</v>
      </c>
      <c r="AW303" s="447">
        <f>LUG!AJ15</f>
        <v>0</v>
      </c>
      <c r="AX303" s="448">
        <f>LUG!AK15</f>
        <v>0</v>
      </c>
      <c r="AY303" s="445">
        <f>SUMIF(LUG!$G$152:$J$152,"&gt;0",LUG!$W15:$Z15)</f>
        <v>0</v>
      </c>
      <c r="AZ303" s="1063">
        <f>SUM(LUG!AB15:AE15)</f>
        <v>0</v>
      </c>
      <c r="BA303" s="445">
        <f>SUMIF(LUG!$G$159:$J$159,BA$111,LUG!$R15:$U15)+SUMIF(LUG!$G$159:$J$159,BA$111,LUG!$W15:$Z15)</f>
        <v>0</v>
      </c>
      <c r="BB303" s="446">
        <f>SUMIF(LUG!$G$159:$J$159,BB$111,LUG!$R15:$U15)+SUMIF(LUG!$G$159:$J$159,BB$111,LUG!$W15:$Z15)</f>
        <v>0</v>
      </c>
      <c r="BC303" s="446">
        <f>SUMIF(LUG!$G$159:$J$159,BC$111,LUG!$R15:$U15)+SUMIF(LUG!$G$159:$J$159,BC$111,LUG!$W15:$Z15)</f>
        <v>0</v>
      </c>
      <c r="BD303" s="446">
        <f>SUMIF(LUG!$G$159:$J$159,BD$111,LUG!$R15:$U15)+SUMIF(LUG!$G$159:$J$159,BD$111,LUG!$W15:$Z15)</f>
        <v>0</v>
      </c>
      <c r="BE303" s="446">
        <f>SUMIF(LUG!$G$159:$J$159,BE$111,LUG!$R15:$U15)+SUMIF(LUG!$G$159:$J$159,BE$111,LUG!$W15:$Z15)</f>
        <v>0</v>
      </c>
      <c r="BF303" s="446">
        <f>SUMIF(LUG!$G$159:$J$159,BF$111,LUG!$R15:$U15)+SUMIF(LUG!$G$159:$J$159,BF$111,LUG!$W15:$Z15)</f>
        <v>0</v>
      </c>
      <c r="BG303" s="448">
        <f>SUMIF(LUG!$G$159:$J$159,BG$111,LUG!$R15:$U15)+SUMIF(LUG!$G$159:$J$159,BG$111,LUG!$W15:$Z15)</f>
        <v>0</v>
      </c>
      <c r="BH303" s="571"/>
      <c r="BI303" s="448"/>
      <c r="BJ303" s="470"/>
      <c r="BK303" s="445">
        <f>SUMIF(LUG!$G$157:$J$157,BK$111,LUG!$R15:$U15)+SUMIF(LUG!$G$157:$J$157,BK$111,LUG!$W15:$Z15)</f>
        <v>0</v>
      </c>
      <c r="BL303" s="446">
        <f>SUMIF(LUG!$G$157:$J$157,BL$111,LUG!$R15:$U15)+SUMIF(LUG!$G$157:$J$157,BL$111,LUG!$W15:$Z15)</f>
        <v>0</v>
      </c>
      <c r="BM303" s="446">
        <f>SUMIF(LUG!$G$157:$J$157,BM$111,LUG!$R15:$U15)+SUMIF(LUG!$G$157:$J$157,BM$111,LUG!$W15:$Z15)</f>
        <v>0</v>
      </c>
      <c r="BN303" s="446">
        <f>SUMIF(LUG!$G$157:$J$157,BN$111,LUG!$R15:$U15)+SUMIF(LUG!$G$157:$J$157,BN$111,LUG!$W15:$Z15)</f>
        <v>0</v>
      </c>
      <c r="BO303" s="446">
        <f>SUMIF(LUG!$G$157:$J$157,BO$111,LUG!$R15:$U15)+SUMIF(LUG!$G$157:$J$157,BO$111,LUG!$W15:$Z15)</f>
        <v>0</v>
      </c>
      <c r="BP303" s="446">
        <f>SUMIF(LUG!$G$157:$J$157,BP$111,LUG!$R15:$U15)+SUMIF(LUG!$G$157:$J$157,BP$111,LUG!$W15:$Z15)</f>
        <v>0</v>
      </c>
      <c r="BQ303" s="448">
        <f>SUMIF(LUG!$G$157:$J$157,BQ$111,LUG!$R15:$U15)+SUMIF(LUG!$G$157:$J$157,BQ$111,LUG!$W15:$Z15)</f>
        <v>0</v>
      </c>
      <c r="BR303" s="571"/>
      <c r="BS303" s="446"/>
      <c r="BT303" s="448"/>
      <c r="BU303" s="470"/>
      <c r="BV303" s="445">
        <f>SUMIF(LUG!$G$158:$J$158,BV$111,LUG!$R15:$U15)+SUMIF(LUG!$G$158:$J$158,BV$111,LUG!$W15:$Z15)</f>
        <v>0</v>
      </c>
      <c r="BW303" s="446">
        <f>SUMIF(LUG!$G$158:$J$158,BW$111,LUG!$R15:$U15)+SUMIF(LUG!$G$158:$J$158,BW$111,LUG!$W15:$Z15)</f>
        <v>0</v>
      </c>
      <c r="BX303" s="446">
        <f>SUMIF(LUG!$G$158:$J$158,BX$111,LUG!$R15:$U15)+SUMIF(LUG!$G$158:$J$158,BX$111,LUG!$W15:$Z15)</f>
        <v>0</v>
      </c>
      <c r="BY303" s="446">
        <f>SUMIF(LUG!$G$158:$J$158,BY$111,LUG!$R15:$U15)+SUMIF(LUG!$G$158:$J$158,BY$111,LUG!$W15:$Z15)</f>
        <v>0</v>
      </c>
      <c r="BZ303" s="446">
        <f>SUMIF(LUG!$G$158:$J$158,BZ$111,LUG!$R15:$U15)+SUMIF(LUG!$G$158:$J$158,BZ$111,LUG!$W15:$Z15)</f>
        <v>0</v>
      </c>
      <c r="CA303" s="446">
        <f>SUMIF(LUG!$G$158:$J$158,CA$111,LUG!$R15:$U15)+SUMIF(LUG!$G$158:$J$158,CA$111,LUG!$W15:$Z15)</f>
        <v>0</v>
      </c>
      <c r="CB303" s="448">
        <f>SUMIF(LUG!$G$158:$J$158,CB$111,LUG!$R15:$U15)+SUMIF(LUG!$G$158:$J$158,CB$111,LUG!$W15:$Z15)</f>
        <v>0</v>
      </c>
      <c r="CC303" s="571"/>
      <c r="CD303" s="448"/>
      <c r="CE303" s="92">
        <f t="shared" si="261"/>
        <v>0</v>
      </c>
      <c r="CF303" s="92">
        <f t="shared" si="262"/>
        <v>0</v>
      </c>
      <c r="CG303" s="151" t="str">
        <f t="shared" si="266"/>
        <v/>
      </c>
      <c r="CH303" s="92">
        <f t="shared" si="251"/>
        <v>0</v>
      </c>
      <c r="CI303" s="92" t="str">
        <f t="shared" si="263"/>
        <v/>
      </c>
      <c r="CJ303" s="1100">
        <f>LUG!AM15</f>
        <v>0</v>
      </c>
      <c r="CK303" s="445">
        <f>SUMIF(LUG!$G$155:$J$155,CK$112,LUG!$AN15:$AQ15)</f>
        <v>0</v>
      </c>
      <c r="CL303" s="446">
        <f>SUMIF(LUG!$G$155:$J$155,CL$112,LUG!$AN15:$AQ15)</f>
        <v>0</v>
      </c>
      <c r="CM303" s="447">
        <f>SUMIF(LUG!$G$155:$J$155,CM$112,LUG!$AN15:$AQ15)</f>
        <v>0</v>
      </c>
      <c r="CN303" s="448">
        <f>SUMIF(LUG!$G$155:$J$155,CN$112,LUG!$AN15:$AQ15)</f>
        <v>0</v>
      </c>
      <c r="CO303" s="1100">
        <f>LUG!AS15</f>
        <v>0</v>
      </c>
      <c r="CP303" s="445">
        <f>LUG!AT15</f>
        <v>0</v>
      </c>
      <c r="CQ303" s="446">
        <f>LUG!AU15</f>
        <v>0</v>
      </c>
      <c r="CR303" s="447">
        <f>LUG!AV15</f>
        <v>0</v>
      </c>
      <c r="CS303" s="448">
        <f>LUG!AW15</f>
        <v>0</v>
      </c>
      <c r="CT303" s="1100">
        <f>LUG!AY15</f>
        <v>0</v>
      </c>
      <c r="CU303" s="2"/>
    </row>
    <row r="304" spans="1:99" ht="14.25" hidden="1" customHeight="1" x14ac:dyDescent="0.2">
      <c r="A304" s="2"/>
      <c r="B304" s="151">
        <f t="shared" si="252"/>
        <v>45482</v>
      </c>
      <c r="C304" s="223">
        <f>IF(AND(E304&gt;(N$491-1),E304&lt;(R$491+1)),W$485,IF(ISERROR(HLOOKUP(E304,$N$484:$U$484,1,FALSE)),HLOOKUP(WEEKDAY(E304,2),IMPOSTAZIONI!$C$51:$P$56,6,FALSE),$W$484))</f>
        <v>0</v>
      </c>
      <c r="D304" s="103" t="str">
        <f t="shared" si="253"/>
        <v/>
      </c>
      <c r="E304" s="2380">
        <f t="shared" si="264"/>
        <v>45482</v>
      </c>
      <c r="F304" s="2381"/>
      <c r="G304" s="2325" t="str">
        <f>LUG!E16</f>
        <v xml:space="preserve">attiva trim.  </v>
      </c>
      <c r="H304" s="2326"/>
      <c r="I304" s="2327"/>
      <c r="J304" s="479" t="str">
        <f t="shared" si="249"/>
        <v/>
      </c>
      <c r="K304" s="480"/>
      <c r="L304" s="2319">
        <f t="shared" si="265"/>
        <v>28</v>
      </c>
      <c r="M304" s="2320"/>
      <c r="N304" s="478"/>
      <c r="O304" s="478"/>
      <c r="P304" s="478"/>
      <c r="Q304" s="2315">
        <f t="shared" si="254"/>
        <v>45482</v>
      </c>
      <c r="R304" s="2315"/>
      <c r="S304" s="478"/>
      <c r="T304" s="140">
        <f t="shared" si="255"/>
        <v>1</v>
      </c>
      <c r="U304" s="478"/>
      <c r="V304" s="478"/>
      <c r="W304" s="478"/>
      <c r="X304" s="478"/>
      <c r="Y304" s="478"/>
      <c r="Z304" s="478"/>
      <c r="AA304" s="478"/>
      <c r="AB304" s="478"/>
      <c r="AC304" s="478"/>
      <c r="AD304" s="478"/>
      <c r="AE304" s="478"/>
      <c r="AF304" s="478"/>
      <c r="AG304" s="140">
        <f t="shared" si="256"/>
        <v>0</v>
      </c>
      <c r="AH304" s="92" t="str">
        <f t="shared" si="257"/>
        <v/>
      </c>
      <c r="AI304" s="131">
        <f t="shared" si="258"/>
        <v>0</v>
      </c>
      <c r="AJ304" s="2"/>
      <c r="AK304" s="92">
        <f>IF(G304=G$481,0,IF(OR(G304&lt;&gt;0,CJ304&lt;&gt;0,C304="L"),COUNTIF(AK$114:AK303,"&gt;0")+1,0))</f>
        <v>0</v>
      </c>
      <c r="AL304" s="92" t="str">
        <f t="shared" si="259"/>
        <v/>
      </c>
      <c r="AM304" s="92" t="str">
        <f t="shared" si="260"/>
        <v/>
      </c>
      <c r="AN304" s="131">
        <f t="shared" si="250"/>
        <v>0</v>
      </c>
      <c r="AO304" s="447">
        <f>SUM(LUG!W16:Z16)</f>
        <v>0</v>
      </c>
      <c r="AP304" s="445">
        <f>SUMIF(LUG!$G$155:$J$155,AP$112,LUG!$R16:$U16)</f>
        <v>0</v>
      </c>
      <c r="AQ304" s="446">
        <f>SUMIF(LUG!$G$155:$J$155,AQ$112,LUG!$R16:$U16)</f>
        <v>0</v>
      </c>
      <c r="AR304" s="447">
        <f>SUMIF(LUG!$G$155:$J$155,AR$112,LUG!$R16:$U16)</f>
        <v>0</v>
      </c>
      <c r="AS304" s="448">
        <f>SUMIF(LUG!$G$155:$J$155,AS$112,LUG!$R16:$U16)</f>
        <v>0</v>
      </c>
      <c r="AT304" s="449">
        <f>LUG!AG16</f>
        <v>0</v>
      </c>
      <c r="AU304" s="445">
        <f>LUG!AH16</f>
        <v>0</v>
      </c>
      <c r="AV304" s="446">
        <f>LUG!AI16</f>
        <v>0</v>
      </c>
      <c r="AW304" s="447">
        <f>LUG!AJ16</f>
        <v>0</v>
      </c>
      <c r="AX304" s="448">
        <f>LUG!AK16</f>
        <v>0</v>
      </c>
      <c r="AY304" s="445">
        <f>SUMIF(LUG!$G$152:$J$152,"&gt;0",LUG!$W16:$Z16)</f>
        <v>0</v>
      </c>
      <c r="AZ304" s="1063">
        <f>SUM(LUG!AB16:AE16)</f>
        <v>0</v>
      </c>
      <c r="BA304" s="445">
        <f>SUMIF(LUG!$G$159:$J$159,BA$111,LUG!$R16:$U16)+SUMIF(LUG!$G$159:$J$159,BA$111,LUG!$W16:$Z16)</f>
        <v>0</v>
      </c>
      <c r="BB304" s="446">
        <f>SUMIF(LUG!$G$159:$J$159,BB$111,LUG!$R16:$U16)+SUMIF(LUG!$G$159:$J$159,BB$111,LUG!$W16:$Z16)</f>
        <v>0</v>
      </c>
      <c r="BC304" s="446">
        <f>SUMIF(LUG!$G$159:$J$159,BC$111,LUG!$R16:$U16)+SUMIF(LUG!$G$159:$J$159,BC$111,LUG!$W16:$Z16)</f>
        <v>0</v>
      </c>
      <c r="BD304" s="446">
        <f>SUMIF(LUG!$G$159:$J$159,BD$111,LUG!$R16:$U16)+SUMIF(LUG!$G$159:$J$159,BD$111,LUG!$W16:$Z16)</f>
        <v>0</v>
      </c>
      <c r="BE304" s="446">
        <f>SUMIF(LUG!$G$159:$J$159,BE$111,LUG!$R16:$U16)+SUMIF(LUG!$G$159:$J$159,BE$111,LUG!$W16:$Z16)</f>
        <v>0</v>
      </c>
      <c r="BF304" s="446">
        <f>SUMIF(LUG!$G$159:$J$159,BF$111,LUG!$R16:$U16)+SUMIF(LUG!$G$159:$J$159,BF$111,LUG!$W16:$Z16)</f>
        <v>0</v>
      </c>
      <c r="BG304" s="448">
        <f>SUMIF(LUG!$G$159:$J$159,BG$111,LUG!$R16:$U16)+SUMIF(LUG!$G$159:$J$159,BG$111,LUG!$W16:$Z16)</f>
        <v>0</v>
      </c>
      <c r="BH304" s="571"/>
      <c r="BI304" s="448"/>
      <c r="BJ304" s="470"/>
      <c r="BK304" s="445">
        <f>SUMIF(LUG!$G$157:$J$157,BK$111,LUG!$R16:$U16)+SUMIF(LUG!$G$157:$J$157,BK$111,LUG!$W16:$Z16)</f>
        <v>0</v>
      </c>
      <c r="BL304" s="446">
        <f>SUMIF(LUG!$G$157:$J$157,BL$111,LUG!$R16:$U16)+SUMIF(LUG!$G$157:$J$157,BL$111,LUG!$W16:$Z16)</f>
        <v>0</v>
      </c>
      <c r="BM304" s="446">
        <f>SUMIF(LUG!$G$157:$J$157,BM$111,LUG!$R16:$U16)+SUMIF(LUG!$G$157:$J$157,BM$111,LUG!$W16:$Z16)</f>
        <v>0</v>
      </c>
      <c r="BN304" s="446">
        <f>SUMIF(LUG!$G$157:$J$157,BN$111,LUG!$R16:$U16)+SUMIF(LUG!$G$157:$J$157,BN$111,LUG!$W16:$Z16)</f>
        <v>0</v>
      </c>
      <c r="BO304" s="446">
        <f>SUMIF(LUG!$G$157:$J$157,BO$111,LUG!$R16:$U16)+SUMIF(LUG!$G$157:$J$157,BO$111,LUG!$W16:$Z16)</f>
        <v>0</v>
      </c>
      <c r="BP304" s="446">
        <f>SUMIF(LUG!$G$157:$J$157,BP$111,LUG!$R16:$U16)+SUMIF(LUG!$G$157:$J$157,BP$111,LUG!$W16:$Z16)</f>
        <v>0</v>
      </c>
      <c r="BQ304" s="448">
        <f>SUMIF(LUG!$G$157:$J$157,BQ$111,LUG!$R16:$U16)+SUMIF(LUG!$G$157:$J$157,BQ$111,LUG!$W16:$Z16)</f>
        <v>0</v>
      </c>
      <c r="BR304" s="571"/>
      <c r="BS304" s="446"/>
      <c r="BT304" s="448"/>
      <c r="BU304" s="470"/>
      <c r="BV304" s="445">
        <f>SUMIF(LUG!$G$158:$J$158,BV$111,LUG!$R16:$U16)+SUMIF(LUG!$G$158:$J$158,BV$111,LUG!$W16:$Z16)</f>
        <v>0</v>
      </c>
      <c r="BW304" s="446">
        <f>SUMIF(LUG!$G$158:$J$158,BW$111,LUG!$R16:$U16)+SUMIF(LUG!$G$158:$J$158,BW$111,LUG!$W16:$Z16)</f>
        <v>0</v>
      </c>
      <c r="BX304" s="446">
        <f>SUMIF(LUG!$G$158:$J$158,BX$111,LUG!$R16:$U16)+SUMIF(LUG!$G$158:$J$158,BX$111,LUG!$W16:$Z16)</f>
        <v>0</v>
      </c>
      <c r="BY304" s="446">
        <f>SUMIF(LUG!$G$158:$J$158,BY$111,LUG!$R16:$U16)+SUMIF(LUG!$G$158:$J$158,BY$111,LUG!$W16:$Z16)</f>
        <v>0</v>
      </c>
      <c r="BZ304" s="446">
        <f>SUMIF(LUG!$G$158:$J$158,BZ$111,LUG!$R16:$U16)+SUMIF(LUG!$G$158:$J$158,BZ$111,LUG!$W16:$Z16)</f>
        <v>0</v>
      </c>
      <c r="CA304" s="446">
        <f>SUMIF(LUG!$G$158:$J$158,CA$111,LUG!$R16:$U16)+SUMIF(LUG!$G$158:$J$158,CA$111,LUG!$W16:$Z16)</f>
        <v>0</v>
      </c>
      <c r="CB304" s="448">
        <f>SUMIF(LUG!$G$158:$J$158,CB$111,LUG!$R16:$U16)+SUMIF(LUG!$G$158:$J$158,CB$111,LUG!$W16:$Z16)</f>
        <v>0</v>
      </c>
      <c r="CC304" s="571"/>
      <c r="CD304" s="448"/>
      <c r="CE304" s="92">
        <f t="shared" si="261"/>
        <v>0</v>
      </c>
      <c r="CF304" s="92">
        <f t="shared" si="262"/>
        <v>0</v>
      </c>
      <c r="CG304" s="151" t="str">
        <f t="shared" si="266"/>
        <v/>
      </c>
      <c r="CH304" s="92">
        <f t="shared" si="251"/>
        <v>0</v>
      </c>
      <c r="CI304" s="92" t="str">
        <f t="shared" si="263"/>
        <v/>
      </c>
      <c r="CJ304" s="1100">
        <f>LUG!AM16</f>
        <v>0</v>
      </c>
      <c r="CK304" s="445">
        <f>SUMIF(LUG!$G$155:$J$155,CK$112,LUG!$AN16:$AQ16)</f>
        <v>0</v>
      </c>
      <c r="CL304" s="446">
        <f>SUMIF(LUG!$G$155:$J$155,CL$112,LUG!$AN16:$AQ16)</f>
        <v>0</v>
      </c>
      <c r="CM304" s="447">
        <f>SUMIF(LUG!$G$155:$J$155,CM$112,LUG!$AN16:$AQ16)</f>
        <v>0</v>
      </c>
      <c r="CN304" s="448">
        <f>SUMIF(LUG!$G$155:$J$155,CN$112,LUG!$AN16:$AQ16)</f>
        <v>0</v>
      </c>
      <c r="CO304" s="1100">
        <f>LUG!AS16</f>
        <v>0</v>
      </c>
      <c r="CP304" s="445">
        <f>LUG!AT16</f>
        <v>0</v>
      </c>
      <c r="CQ304" s="446">
        <f>LUG!AU16</f>
        <v>0</v>
      </c>
      <c r="CR304" s="447">
        <f>LUG!AV16</f>
        <v>0</v>
      </c>
      <c r="CS304" s="448">
        <f>LUG!AW16</f>
        <v>0</v>
      </c>
      <c r="CT304" s="1100">
        <f>LUG!AY16</f>
        <v>0</v>
      </c>
      <c r="CU304" s="2"/>
    </row>
    <row r="305" spans="1:99" ht="14.25" hidden="1" customHeight="1" x14ac:dyDescent="0.2">
      <c r="A305" s="2"/>
      <c r="B305" s="151">
        <f t="shared" si="252"/>
        <v>45483</v>
      </c>
      <c r="C305" s="223">
        <f>IF(AND(E305&gt;(N$491-1),E305&lt;(R$491+1)),W$485,IF(ISERROR(HLOOKUP(E305,$N$484:$U$484,1,FALSE)),HLOOKUP(WEEKDAY(E305,2),IMPOSTAZIONI!$C$51:$P$56,6,FALSE),$W$484))</f>
        <v>0</v>
      </c>
      <c r="D305" s="103" t="str">
        <f t="shared" si="253"/>
        <v/>
      </c>
      <c r="E305" s="2380">
        <f t="shared" si="264"/>
        <v>45483</v>
      </c>
      <c r="F305" s="2381"/>
      <c r="G305" s="2325" t="str">
        <f>LUG!E17</f>
        <v xml:space="preserve">attiva trim.  </v>
      </c>
      <c r="H305" s="2326"/>
      <c r="I305" s="2327"/>
      <c r="J305" s="479" t="str">
        <f t="shared" si="249"/>
        <v/>
      </c>
      <c r="K305" s="480"/>
      <c r="L305" s="2319">
        <f t="shared" si="265"/>
        <v>28</v>
      </c>
      <c r="M305" s="2320"/>
      <c r="N305" s="478"/>
      <c r="O305" s="478"/>
      <c r="P305" s="478"/>
      <c r="Q305" s="2315">
        <f t="shared" si="254"/>
        <v>45483</v>
      </c>
      <c r="R305" s="2315"/>
      <c r="S305" s="478"/>
      <c r="T305" s="140">
        <f t="shared" si="255"/>
        <v>1</v>
      </c>
      <c r="U305" s="478"/>
      <c r="V305" s="478"/>
      <c r="W305" s="478"/>
      <c r="X305" s="478"/>
      <c r="Y305" s="478"/>
      <c r="Z305" s="478"/>
      <c r="AA305" s="478"/>
      <c r="AB305" s="478"/>
      <c r="AC305" s="478"/>
      <c r="AD305" s="478"/>
      <c r="AE305" s="478"/>
      <c r="AF305" s="478"/>
      <c r="AG305" s="140">
        <f t="shared" si="256"/>
        <v>0</v>
      </c>
      <c r="AH305" s="92" t="str">
        <f t="shared" si="257"/>
        <v/>
      </c>
      <c r="AI305" s="131">
        <f t="shared" si="258"/>
        <v>0</v>
      </c>
      <c r="AJ305" s="2"/>
      <c r="AK305" s="92">
        <f>IF(G305=G$481,0,IF(OR(G305&lt;&gt;0,CJ305&lt;&gt;0,C305="L"),COUNTIF(AK$114:AK304,"&gt;0")+1,0))</f>
        <v>0</v>
      </c>
      <c r="AL305" s="92" t="str">
        <f t="shared" si="259"/>
        <v/>
      </c>
      <c r="AM305" s="92" t="str">
        <f t="shared" si="260"/>
        <v/>
      </c>
      <c r="AN305" s="131">
        <f t="shared" si="250"/>
        <v>0</v>
      </c>
      <c r="AO305" s="447">
        <f>SUM(LUG!W17:Z17)</f>
        <v>0</v>
      </c>
      <c r="AP305" s="445">
        <f>SUMIF(LUG!$G$155:$J$155,AP$112,LUG!$R17:$U17)</f>
        <v>0</v>
      </c>
      <c r="AQ305" s="446">
        <f>SUMIF(LUG!$G$155:$J$155,AQ$112,LUG!$R17:$U17)</f>
        <v>0</v>
      </c>
      <c r="AR305" s="447">
        <f>SUMIF(LUG!$G$155:$J$155,AR$112,LUG!$R17:$U17)</f>
        <v>0</v>
      </c>
      <c r="AS305" s="448">
        <f>SUMIF(LUG!$G$155:$J$155,AS$112,LUG!$R17:$U17)</f>
        <v>0</v>
      </c>
      <c r="AT305" s="449">
        <f>LUG!AG17</f>
        <v>0</v>
      </c>
      <c r="AU305" s="445">
        <f>LUG!AH17</f>
        <v>0</v>
      </c>
      <c r="AV305" s="446">
        <f>LUG!AI17</f>
        <v>0</v>
      </c>
      <c r="AW305" s="447">
        <f>LUG!AJ17</f>
        <v>0</v>
      </c>
      <c r="AX305" s="448">
        <f>LUG!AK17</f>
        <v>0</v>
      </c>
      <c r="AY305" s="445">
        <f>SUMIF(LUG!$G$152:$J$152,"&gt;0",LUG!$W17:$Z17)</f>
        <v>0</v>
      </c>
      <c r="AZ305" s="1063">
        <f>SUM(LUG!AB17:AE17)</f>
        <v>0</v>
      </c>
      <c r="BA305" s="445">
        <f>SUMIF(LUG!$G$159:$J$159,BA$111,LUG!$R17:$U17)+SUMIF(LUG!$G$159:$J$159,BA$111,LUG!$W17:$Z17)</f>
        <v>0</v>
      </c>
      <c r="BB305" s="446">
        <f>SUMIF(LUG!$G$159:$J$159,BB$111,LUG!$R17:$U17)+SUMIF(LUG!$G$159:$J$159,BB$111,LUG!$W17:$Z17)</f>
        <v>0</v>
      </c>
      <c r="BC305" s="446">
        <f>SUMIF(LUG!$G$159:$J$159,BC$111,LUG!$R17:$U17)+SUMIF(LUG!$G$159:$J$159,BC$111,LUG!$W17:$Z17)</f>
        <v>0</v>
      </c>
      <c r="BD305" s="446">
        <f>SUMIF(LUG!$G$159:$J$159,BD$111,LUG!$R17:$U17)+SUMIF(LUG!$G$159:$J$159,BD$111,LUG!$W17:$Z17)</f>
        <v>0</v>
      </c>
      <c r="BE305" s="446">
        <f>SUMIF(LUG!$G$159:$J$159,BE$111,LUG!$R17:$U17)+SUMIF(LUG!$G$159:$J$159,BE$111,LUG!$W17:$Z17)</f>
        <v>0</v>
      </c>
      <c r="BF305" s="446">
        <f>SUMIF(LUG!$G$159:$J$159,BF$111,LUG!$R17:$U17)+SUMIF(LUG!$G$159:$J$159,BF$111,LUG!$W17:$Z17)</f>
        <v>0</v>
      </c>
      <c r="BG305" s="448">
        <f>SUMIF(LUG!$G$159:$J$159,BG$111,LUG!$R17:$U17)+SUMIF(LUG!$G$159:$J$159,BG$111,LUG!$W17:$Z17)</f>
        <v>0</v>
      </c>
      <c r="BH305" s="571"/>
      <c r="BI305" s="448"/>
      <c r="BJ305" s="470"/>
      <c r="BK305" s="445">
        <f>SUMIF(LUG!$G$157:$J$157,BK$111,LUG!$R17:$U17)+SUMIF(LUG!$G$157:$J$157,BK$111,LUG!$W17:$Z17)</f>
        <v>0</v>
      </c>
      <c r="BL305" s="446">
        <f>SUMIF(LUG!$G$157:$J$157,BL$111,LUG!$R17:$U17)+SUMIF(LUG!$G$157:$J$157,BL$111,LUG!$W17:$Z17)</f>
        <v>0</v>
      </c>
      <c r="BM305" s="446">
        <f>SUMIF(LUG!$G$157:$J$157,BM$111,LUG!$R17:$U17)+SUMIF(LUG!$G$157:$J$157,BM$111,LUG!$W17:$Z17)</f>
        <v>0</v>
      </c>
      <c r="BN305" s="446">
        <f>SUMIF(LUG!$G$157:$J$157,BN$111,LUG!$R17:$U17)+SUMIF(LUG!$G$157:$J$157,BN$111,LUG!$W17:$Z17)</f>
        <v>0</v>
      </c>
      <c r="BO305" s="446">
        <f>SUMIF(LUG!$G$157:$J$157,BO$111,LUG!$R17:$U17)+SUMIF(LUG!$G$157:$J$157,BO$111,LUG!$W17:$Z17)</f>
        <v>0</v>
      </c>
      <c r="BP305" s="446">
        <f>SUMIF(LUG!$G$157:$J$157,BP$111,LUG!$R17:$U17)+SUMIF(LUG!$G$157:$J$157,BP$111,LUG!$W17:$Z17)</f>
        <v>0</v>
      </c>
      <c r="BQ305" s="448">
        <f>SUMIF(LUG!$G$157:$J$157,BQ$111,LUG!$R17:$U17)+SUMIF(LUG!$G$157:$J$157,BQ$111,LUG!$W17:$Z17)</f>
        <v>0</v>
      </c>
      <c r="BR305" s="571"/>
      <c r="BS305" s="446"/>
      <c r="BT305" s="448"/>
      <c r="BU305" s="470"/>
      <c r="BV305" s="445">
        <f>SUMIF(LUG!$G$158:$J$158,BV$111,LUG!$R17:$U17)+SUMIF(LUG!$G$158:$J$158,BV$111,LUG!$W17:$Z17)</f>
        <v>0</v>
      </c>
      <c r="BW305" s="446">
        <f>SUMIF(LUG!$G$158:$J$158,BW$111,LUG!$R17:$U17)+SUMIF(LUG!$G$158:$J$158,BW$111,LUG!$W17:$Z17)</f>
        <v>0</v>
      </c>
      <c r="BX305" s="446">
        <f>SUMIF(LUG!$G$158:$J$158,BX$111,LUG!$R17:$U17)+SUMIF(LUG!$G$158:$J$158,BX$111,LUG!$W17:$Z17)</f>
        <v>0</v>
      </c>
      <c r="BY305" s="446">
        <f>SUMIF(LUG!$G$158:$J$158,BY$111,LUG!$R17:$U17)+SUMIF(LUG!$G$158:$J$158,BY$111,LUG!$W17:$Z17)</f>
        <v>0</v>
      </c>
      <c r="BZ305" s="446">
        <f>SUMIF(LUG!$G$158:$J$158,BZ$111,LUG!$R17:$U17)+SUMIF(LUG!$G$158:$J$158,BZ$111,LUG!$W17:$Z17)</f>
        <v>0</v>
      </c>
      <c r="CA305" s="446">
        <f>SUMIF(LUG!$G$158:$J$158,CA$111,LUG!$R17:$U17)+SUMIF(LUG!$G$158:$J$158,CA$111,LUG!$W17:$Z17)</f>
        <v>0</v>
      </c>
      <c r="CB305" s="448">
        <f>SUMIF(LUG!$G$158:$J$158,CB$111,LUG!$R17:$U17)+SUMIF(LUG!$G$158:$J$158,CB$111,LUG!$W17:$Z17)</f>
        <v>0</v>
      </c>
      <c r="CC305" s="571"/>
      <c r="CD305" s="448"/>
      <c r="CE305" s="92">
        <f t="shared" si="261"/>
        <v>0</v>
      </c>
      <c r="CF305" s="92">
        <f t="shared" si="262"/>
        <v>0</v>
      </c>
      <c r="CG305" s="151" t="str">
        <f t="shared" si="266"/>
        <v/>
      </c>
      <c r="CH305" s="92">
        <f t="shared" si="251"/>
        <v>0</v>
      </c>
      <c r="CI305" s="92" t="str">
        <f t="shared" si="263"/>
        <v/>
      </c>
      <c r="CJ305" s="1100">
        <f>LUG!AM17</f>
        <v>0</v>
      </c>
      <c r="CK305" s="445">
        <f>SUMIF(LUG!$G$155:$J$155,CK$112,LUG!$AN17:$AQ17)</f>
        <v>0</v>
      </c>
      <c r="CL305" s="446">
        <f>SUMIF(LUG!$G$155:$J$155,CL$112,LUG!$AN17:$AQ17)</f>
        <v>0</v>
      </c>
      <c r="CM305" s="447">
        <f>SUMIF(LUG!$G$155:$J$155,CM$112,LUG!$AN17:$AQ17)</f>
        <v>0</v>
      </c>
      <c r="CN305" s="448">
        <f>SUMIF(LUG!$G$155:$J$155,CN$112,LUG!$AN17:$AQ17)</f>
        <v>0</v>
      </c>
      <c r="CO305" s="1100">
        <f>LUG!AS17</f>
        <v>0</v>
      </c>
      <c r="CP305" s="445">
        <f>LUG!AT17</f>
        <v>0</v>
      </c>
      <c r="CQ305" s="446">
        <f>LUG!AU17</f>
        <v>0</v>
      </c>
      <c r="CR305" s="447">
        <f>LUG!AV17</f>
        <v>0</v>
      </c>
      <c r="CS305" s="448">
        <f>LUG!AW17</f>
        <v>0</v>
      </c>
      <c r="CT305" s="1100">
        <f>LUG!AY17</f>
        <v>0</v>
      </c>
      <c r="CU305" s="2"/>
    </row>
    <row r="306" spans="1:99" ht="14.25" hidden="1" customHeight="1" x14ac:dyDescent="0.2">
      <c r="A306" s="2"/>
      <c r="B306" s="151">
        <f t="shared" si="252"/>
        <v>45484</v>
      </c>
      <c r="C306" s="223">
        <f>IF(AND(E306&gt;(N$491-1),E306&lt;(R$491+1)),W$485,IF(ISERROR(HLOOKUP(E306,$N$484:$U$484,1,FALSE)),HLOOKUP(WEEKDAY(E306,2),IMPOSTAZIONI!$C$51:$P$56,6,FALSE),$W$484))</f>
        <v>0</v>
      </c>
      <c r="D306" s="103" t="str">
        <f t="shared" si="253"/>
        <v/>
      </c>
      <c r="E306" s="2380">
        <f t="shared" si="264"/>
        <v>45484</v>
      </c>
      <c r="F306" s="2381"/>
      <c r="G306" s="2325" t="str">
        <f>LUG!E18</f>
        <v xml:space="preserve">attiva trim.  </v>
      </c>
      <c r="H306" s="2326"/>
      <c r="I306" s="2327"/>
      <c r="J306" s="479" t="str">
        <f t="shared" ref="J306:J369" si="267">IF(E306=T$5,"&gt;","")</f>
        <v/>
      </c>
      <c r="K306" s="480"/>
      <c r="L306" s="2319">
        <f t="shared" si="265"/>
        <v>28</v>
      </c>
      <c r="M306" s="2320"/>
      <c r="N306" s="478"/>
      <c r="O306" s="478"/>
      <c r="P306" s="478"/>
      <c r="Q306" s="2315">
        <f t="shared" si="254"/>
        <v>45484</v>
      </c>
      <c r="R306" s="2315"/>
      <c r="S306" s="478"/>
      <c r="T306" s="140">
        <f t="shared" si="255"/>
        <v>1</v>
      </c>
      <c r="U306" s="478"/>
      <c r="V306" s="478"/>
      <c r="W306" s="478"/>
      <c r="X306" s="478"/>
      <c r="Y306" s="478"/>
      <c r="Z306" s="478"/>
      <c r="AA306" s="478"/>
      <c r="AB306" s="478"/>
      <c r="AC306" s="478"/>
      <c r="AD306" s="478"/>
      <c r="AE306" s="478"/>
      <c r="AF306" s="478"/>
      <c r="AG306" s="140">
        <f t="shared" si="256"/>
        <v>0</v>
      </c>
      <c r="AH306" s="92" t="str">
        <f t="shared" si="257"/>
        <v/>
      </c>
      <c r="AI306" s="131">
        <f t="shared" si="258"/>
        <v>0</v>
      </c>
      <c r="AJ306" s="2"/>
      <c r="AK306" s="92">
        <f>IF(G306=G$481,0,IF(OR(G306&lt;&gt;0,CJ306&lt;&gt;0,C306="L"),COUNTIF(AK$114:AK305,"&gt;0")+1,0))</f>
        <v>0</v>
      </c>
      <c r="AL306" s="92" t="str">
        <f t="shared" si="259"/>
        <v/>
      </c>
      <c r="AM306" s="92" t="str">
        <f t="shared" si="260"/>
        <v/>
      </c>
      <c r="AN306" s="131">
        <f t="shared" ref="AN306:AN369" si="268">IF(AND(E306&gt;(AN$111-1),E306&lt;(AN$112+1)),C306,0)</f>
        <v>0</v>
      </c>
      <c r="AO306" s="447">
        <f>SUM(LUG!W18:Z18)</f>
        <v>0</v>
      </c>
      <c r="AP306" s="445">
        <f>SUMIF(LUG!$G$155:$J$155,AP$112,LUG!$R18:$U18)</f>
        <v>0</v>
      </c>
      <c r="AQ306" s="446">
        <f>SUMIF(LUG!$G$155:$J$155,AQ$112,LUG!$R18:$U18)</f>
        <v>0</v>
      </c>
      <c r="AR306" s="447">
        <f>SUMIF(LUG!$G$155:$J$155,AR$112,LUG!$R18:$U18)</f>
        <v>0</v>
      </c>
      <c r="AS306" s="448">
        <f>SUMIF(LUG!$G$155:$J$155,AS$112,LUG!$R18:$U18)</f>
        <v>0</v>
      </c>
      <c r="AT306" s="449">
        <f>LUG!AG18</f>
        <v>0</v>
      </c>
      <c r="AU306" s="445">
        <f>LUG!AH18</f>
        <v>0</v>
      </c>
      <c r="AV306" s="446">
        <f>LUG!AI18</f>
        <v>0</v>
      </c>
      <c r="AW306" s="447">
        <f>LUG!AJ18</f>
        <v>0</v>
      </c>
      <c r="AX306" s="448">
        <f>LUG!AK18</f>
        <v>0</v>
      </c>
      <c r="AY306" s="445">
        <f>SUMIF(LUG!$G$152:$J$152,"&gt;0",LUG!$W18:$Z18)</f>
        <v>0</v>
      </c>
      <c r="AZ306" s="1063">
        <f>SUM(LUG!AB18:AE18)</f>
        <v>0</v>
      </c>
      <c r="BA306" s="445">
        <f>SUMIF(LUG!$G$159:$J$159,BA$111,LUG!$R18:$U18)+SUMIF(LUG!$G$159:$J$159,BA$111,LUG!$W18:$Z18)</f>
        <v>0</v>
      </c>
      <c r="BB306" s="446">
        <f>SUMIF(LUG!$G$159:$J$159,BB$111,LUG!$R18:$U18)+SUMIF(LUG!$G$159:$J$159,BB$111,LUG!$W18:$Z18)</f>
        <v>0</v>
      </c>
      <c r="BC306" s="446">
        <f>SUMIF(LUG!$G$159:$J$159,BC$111,LUG!$R18:$U18)+SUMIF(LUG!$G$159:$J$159,BC$111,LUG!$W18:$Z18)</f>
        <v>0</v>
      </c>
      <c r="BD306" s="446">
        <f>SUMIF(LUG!$G$159:$J$159,BD$111,LUG!$R18:$U18)+SUMIF(LUG!$G$159:$J$159,BD$111,LUG!$W18:$Z18)</f>
        <v>0</v>
      </c>
      <c r="BE306" s="446">
        <f>SUMIF(LUG!$G$159:$J$159,BE$111,LUG!$R18:$U18)+SUMIF(LUG!$G$159:$J$159,BE$111,LUG!$W18:$Z18)</f>
        <v>0</v>
      </c>
      <c r="BF306" s="446">
        <f>SUMIF(LUG!$G$159:$J$159,BF$111,LUG!$R18:$U18)+SUMIF(LUG!$G$159:$J$159,BF$111,LUG!$W18:$Z18)</f>
        <v>0</v>
      </c>
      <c r="BG306" s="448">
        <f>SUMIF(LUG!$G$159:$J$159,BG$111,LUG!$R18:$U18)+SUMIF(LUG!$G$159:$J$159,BG$111,LUG!$W18:$Z18)</f>
        <v>0</v>
      </c>
      <c r="BH306" s="571"/>
      <c r="BI306" s="448"/>
      <c r="BJ306" s="470"/>
      <c r="BK306" s="445">
        <f>SUMIF(LUG!$G$157:$J$157,BK$111,LUG!$R18:$U18)+SUMIF(LUG!$G$157:$J$157,BK$111,LUG!$W18:$Z18)</f>
        <v>0</v>
      </c>
      <c r="BL306" s="446">
        <f>SUMIF(LUG!$G$157:$J$157,BL$111,LUG!$R18:$U18)+SUMIF(LUG!$G$157:$J$157,BL$111,LUG!$W18:$Z18)</f>
        <v>0</v>
      </c>
      <c r="BM306" s="446">
        <f>SUMIF(LUG!$G$157:$J$157,BM$111,LUG!$R18:$U18)+SUMIF(LUG!$G$157:$J$157,BM$111,LUG!$W18:$Z18)</f>
        <v>0</v>
      </c>
      <c r="BN306" s="446">
        <f>SUMIF(LUG!$G$157:$J$157,BN$111,LUG!$R18:$U18)+SUMIF(LUG!$G$157:$J$157,BN$111,LUG!$W18:$Z18)</f>
        <v>0</v>
      </c>
      <c r="BO306" s="446">
        <f>SUMIF(LUG!$G$157:$J$157,BO$111,LUG!$R18:$U18)+SUMIF(LUG!$G$157:$J$157,BO$111,LUG!$W18:$Z18)</f>
        <v>0</v>
      </c>
      <c r="BP306" s="446">
        <f>SUMIF(LUG!$G$157:$J$157,BP$111,LUG!$R18:$U18)+SUMIF(LUG!$G$157:$J$157,BP$111,LUG!$W18:$Z18)</f>
        <v>0</v>
      </c>
      <c r="BQ306" s="448">
        <f>SUMIF(LUG!$G$157:$J$157,BQ$111,LUG!$R18:$U18)+SUMIF(LUG!$G$157:$J$157,BQ$111,LUG!$W18:$Z18)</f>
        <v>0</v>
      </c>
      <c r="BR306" s="571"/>
      <c r="BS306" s="446"/>
      <c r="BT306" s="448"/>
      <c r="BU306" s="470"/>
      <c r="BV306" s="445">
        <f>SUMIF(LUG!$G$158:$J$158,BV$111,LUG!$R18:$U18)+SUMIF(LUG!$G$158:$J$158,BV$111,LUG!$W18:$Z18)</f>
        <v>0</v>
      </c>
      <c r="BW306" s="446">
        <f>SUMIF(LUG!$G$158:$J$158,BW$111,LUG!$R18:$U18)+SUMIF(LUG!$G$158:$J$158,BW$111,LUG!$W18:$Z18)</f>
        <v>0</v>
      </c>
      <c r="BX306" s="446">
        <f>SUMIF(LUG!$G$158:$J$158,BX$111,LUG!$R18:$U18)+SUMIF(LUG!$G$158:$J$158,BX$111,LUG!$W18:$Z18)</f>
        <v>0</v>
      </c>
      <c r="BY306" s="446">
        <f>SUMIF(LUG!$G$158:$J$158,BY$111,LUG!$R18:$U18)+SUMIF(LUG!$G$158:$J$158,BY$111,LUG!$W18:$Z18)</f>
        <v>0</v>
      </c>
      <c r="BZ306" s="446">
        <f>SUMIF(LUG!$G$158:$J$158,BZ$111,LUG!$R18:$U18)+SUMIF(LUG!$G$158:$J$158,BZ$111,LUG!$W18:$Z18)</f>
        <v>0</v>
      </c>
      <c r="CA306" s="446">
        <f>SUMIF(LUG!$G$158:$J$158,CA$111,LUG!$R18:$U18)+SUMIF(LUG!$G$158:$J$158,CA$111,LUG!$W18:$Z18)</f>
        <v>0</v>
      </c>
      <c r="CB306" s="448">
        <f>SUMIF(LUG!$G$158:$J$158,CB$111,LUG!$R18:$U18)+SUMIF(LUG!$G$158:$J$158,CB$111,LUG!$W18:$Z18)</f>
        <v>0</v>
      </c>
      <c r="CC306" s="571"/>
      <c r="CD306" s="448"/>
      <c r="CE306" s="92">
        <f t="shared" si="261"/>
        <v>0</v>
      </c>
      <c r="CF306" s="92">
        <f t="shared" si="262"/>
        <v>0</v>
      </c>
      <c r="CG306" s="151" t="str">
        <f t="shared" si="266"/>
        <v/>
      </c>
      <c r="CH306" s="92">
        <f t="shared" ref="CH306:CH369" si="269">IF(CI306="X",AK306,0)</f>
        <v>0</v>
      </c>
      <c r="CI306" s="92" t="str">
        <f t="shared" si="263"/>
        <v/>
      </c>
      <c r="CJ306" s="1100">
        <f>LUG!AM18</f>
        <v>0</v>
      </c>
      <c r="CK306" s="445">
        <f>SUMIF(LUG!$G$155:$J$155,CK$112,LUG!$AN18:$AQ18)</f>
        <v>0</v>
      </c>
      <c r="CL306" s="446">
        <f>SUMIF(LUG!$G$155:$J$155,CL$112,LUG!$AN18:$AQ18)</f>
        <v>0</v>
      </c>
      <c r="CM306" s="447">
        <f>SUMIF(LUG!$G$155:$J$155,CM$112,LUG!$AN18:$AQ18)</f>
        <v>0</v>
      </c>
      <c r="CN306" s="448">
        <f>SUMIF(LUG!$G$155:$J$155,CN$112,LUG!$AN18:$AQ18)</f>
        <v>0</v>
      </c>
      <c r="CO306" s="1100">
        <f>LUG!AS18</f>
        <v>0</v>
      </c>
      <c r="CP306" s="445">
        <f>LUG!AT18</f>
        <v>0</v>
      </c>
      <c r="CQ306" s="446">
        <f>LUG!AU18</f>
        <v>0</v>
      </c>
      <c r="CR306" s="447">
        <f>LUG!AV18</f>
        <v>0</v>
      </c>
      <c r="CS306" s="448">
        <f>LUG!AW18</f>
        <v>0</v>
      </c>
      <c r="CT306" s="1100">
        <f>LUG!AY18</f>
        <v>0</v>
      </c>
      <c r="CU306" s="2"/>
    </row>
    <row r="307" spans="1:99" ht="14.25" hidden="1" customHeight="1" x14ac:dyDescent="0.2">
      <c r="A307" s="2"/>
      <c r="B307" s="151">
        <f t="shared" ref="B307:B370" si="270">E307</f>
        <v>45485</v>
      </c>
      <c r="C307" s="223">
        <f>IF(AND(E307&gt;(N$491-1),E307&lt;(R$491+1)),W$485,IF(ISERROR(HLOOKUP(E307,$N$484:$U$484,1,FALSE)),HLOOKUP(WEEKDAY(E307,2),IMPOSTAZIONI!$C$51:$P$56,6,FALSE),$W$484))</f>
        <v>0</v>
      </c>
      <c r="D307" s="103" t="str">
        <f t="shared" ref="D307:D370" si="271">IF(C307="L",MONTH(E307),"")</f>
        <v/>
      </c>
      <c r="E307" s="2380">
        <f t="shared" si="264"/>
        <v>45485</v>
      </c>
      <c r="F307" s="2381"/>
      <c r="G307" s="2325" t="str">
        <f>LUG!E19</f>
        <v xml:space="preserve">attiva trim.  </v>
      </c>
      <c r="H307" s="2326"/>
      <c r="I307" s="2327"/>
      <c r="J307" s="479" t="str">
        <f t="shared" si="267"/>
        <v/>
      </c>
      <c r="K307" s="480"/>
      <c r="L307" s="2319">
        <f t="shared" si="265"/>
        <v>28</v>
      </c>
      <c r="M307" s="2320"/>
      <c r="N307" s="478"/>
      <c r="O307" s="478"/>
      <c r="P307" s="478"/>
      <c r="Q307" s="2315">
        <f t="shared" ref="Q307:Q370" si="272">E307</f>
        <v>45485</v>
      </c>
      <c r="R307" s="2315"/>
      <c r="S307" s="478"/>
      <c r="T307" s="140">
        <f t="shared" ref="T307:T370" si="273">IF(OR(G307&lt;&gt;0,CJ307&lt;&gt;0),1,0)</f>
        <v>1</v>
      </c>
      <c r="U307" s="478"/>
      <c r="V307" s="478"/>
      <c r="W307" s="478"/>
      <c r="X307" s="478"/>
      <c r="Y307" s="478"/>
      <c r="Z307" s="478"/>
      <c r="AA307" s="478"/>
      <c r="AB307" s="478"/>
      <c r="AC307" s="478"/>
      <c r="AD307" s="478"/>
      <c r="AE307" s="478"/>
      <c r="AF307" s="478"/>
      <c r="AG307" s="140">
        <f t="shared" ref="AG307:AG370" si="274">IF(AND(L307&gt;(AG$110-1),L307&lt;(AG$111+1)),1,0)</f>
        <v>0</v>
      </c>
      <c r="AH307" s="92" t="str">
        <f t="shared" ref="AH307:AH370" si="275">IF(AK307=0,"",IF(AH$111=5,IF(AND(L307&gt;(AG$110-1),L307&lt;(AG$111+1)),"Y",""),""))</f>
        <v/>
      </c>
      <c r="AI307" s="131">
        <f t="shared" ref="AI307:AI370" si="276">IF(AND($L307&gt;(AI$111-1),$L307&lt;(AI$112+1)),$C307,0)</f>
        <v>0</v>
      </c>
      <c r="AJ307" s="2"/>
      <c r="AK307" s="92">
        <f>IF(G307=G$481,0,IF(OR(G307&lt;&gt;0,CJ307&lt;&gt;0,C307="L"),COUNTIF(AK$114:AK306,"&gt;0")+1,0))</f>
        <v>0</v>
      </c>
      <c r="AL307" s="92" t="str">
        <f t="shared" ref="AL307:AL370" si="277">IF(AL$111=5,AH307,IF(AK307=0,"",IF(AL$111=1,IF(AND(AK307&gt;($CF$483-1),AK307&lt;($CF$484+1)),"Y",""),IF(AL$111=2,IF(AL$110=MONTH(E307),"Y",""),IF(AL$111=3,"Y",IF(AL$111=4,IF(AND(E307&gt;(AO$111-1),E307&lt;(AO$112+1)),"Y",""),IF(AL$111=5,IF(AG307=1,"Y",""),"")))))))</f>
        <v/>
      </c>
      <c r="AM307" s="92" t="str">
        <f t="shared" ref="AM307:AM370" si="278">IF(AM$109=AM$108,CI307,IF(AND(AN$111&gt;0,AN$112&gt;0),IF(AND(E307&gt;(AN$111-1),E307&lt;(AN$112+1),OR(AO307&lt;&gt;0,AN307=AM$111)),"X",""),""))</f>
        <v/>
      </c>
      <c r="AN307" s="131">
        <f t="shared" si="268"/>
        <v>0</v>
      </c>
      <c r="AO307" s="447">
        <f>SUM(LUG!W19:Z19)</f>
        <v>0</v>
      </c>
      <c r="AP307" s="445">
        <f>SUMIF(LUG!$G$155:$J$155,AP$112,LUG!$R19:$U19)</f>
        <v>0</v>
      </c>
      <c r="AQ307" s="446">
        <f>SUMIF(LUG!$G$155:$J$155,AQ$112,LUG!$R19:$U19)</f>
        <v>0</v>
      </c>
      <c r="AR307" s="447">
        <f>SUMIF(LUG!$G$155:$J$155,AR$112,LUG!$R19:$U19)</f>
        <v>0</v>
      </c>
      <c r="AS307" s="448">
        <f>SUMIF(LUG!$G$155:$J$155,AS$112,LUG!$R19:$U19)</f>
        <v>0</v>
      </c>
      <c r="AT307" s="449">
        <f>LUG!AG19</f>
        <v>0</v>
      </c>
      <c r="AU307" s="445">
        <f>LUG!AH19</f>
        <v>0</v>
      </c>
      <c r="AV307" s="446">
        <f>LUG!AI19</f>
        <v>0</v>
      </c>
      <c r="AW307" s="447">
        <f>LUG!AJ19</f>
        <v>0</v>
      </c>
      <c r="AX307" s="448">
        <f>LUG!AK19</f>
        <v>0</v>
      </c>
      <c r="AY307" s="445">
        <f>SUMIF(LUG!$G$152:$J$152,"&gt;0",LUG!$W19:$Z19)</f>
        <v>0</v>
      </c>
      <c r="AZ307" s="1063">
        <f>SUM(LUG!AB19:AE19)</f>
        <v>0</v>
      </c>
      <c r="BA307" s="445">
        <f>SUMIF(LUG!$G$159:$J$159,BA$111,LUG!$R19:$U19)+SUMIF(LUG!$G$159:$J$159,BA$111,LUG!$W19:$Z19)</f>
        <v>0</v>
      </c>
      <c r="BB307" s="446">
        <f>SUMIF(LUG!$G$159:$J$159,BB$111,LUG!$R19:$U19)+SUMIF(LUG!$G$159:$J$159,BB$111,LUG!$W19:$Z19)</f>
        <v>0</v>
      </c>
      <c r="BC307" s="446">
        <f>SUMIF(LUG!$G$159:$J$159,BC$111,LUG!$R19:$U19)+SUMIF(LUG!$G$159:$J$159,BC$111,LUG!$W19:$Z19)</f>
        <v>0</v>
      </c>
      <c r="BD307" s="446">
        <f>SUMIF(LUG!$G$159:$J$159,BD$111,LUG!$R19:$U19)+SUMIF(LUG!$G$159:$J$159,BD$111,LUG!$W19:$Z19)</f>
        <v>0</v>
      </c>
      <c r="BE307" s="446">
        <f>SUMIF(LUG!$G$159:$J$159,BE$111,LUG!$R19:$U19)+SUMIF(LUG!$G$159:$J$159,BE$111,LUG!$W19:$Z19)</f>
        <v>0</v>
      </c>
      <c r="BF307" s="446">
        <f>SUMIF(LUG!$G$159:$J$159,BF$111,LUG!$R19:$U19)+SUMIF(LUG!$G$159:$J$159,BF$111,LUG!$W19:$Z19)</f>
        <v>0</v>
      </c>
      <c r="BG307" s="448">
        <f>SUMIF(LUG!$G$159:$J$159,BG$111,LUG!$R19:$U19)+SUMIF(LUG!$G$159:$J$159,BG$111,LUG!$W19:$Z19)</f>
        <v>0</v>
      </c>
      <c r="BH307" s="571"/>
      <c r="BI307" s="448"/>
      <c r="BJ307" s="470"/>
      <c r="BK307" s="445">
        <f>SUMIF(LUG!$G$157:$J$157,BK$111,LUG!$R19:$U19)+SUMIF(LUG!$G$157:$J$157,BK$111,LUG!$W19:$Z19)</f>
        <v>0</v>
      </c>
      <c r="BL307" s="446">
        <f>SUMIF(LUG!$G$157:$J$157,BL$111,LUG!$R19:$U19)+SUMIF(LUG!$G$157:$J$157,BL$111,LUG!$W19:$Z19)</f>
        <v>0</v>
      </c>
      <c r="BM307" s="446">
        <f>SUMIF(LUG!$G$157:$J$157,BM$111,LUG!$R19:$U19)+SUMIF(LUG!$G$157:$J$157,BM$111,LUG!$W19:$Z19)</f>
        <v>0</v>
      </c>
      <c r="BN307" s="446">
        <f>SUMIF(LUG!$G$157:$J$157,BN$111,LUG!$R19:$U19)+SUMIF(LUG!$G$157:$J$157,BN$111,LUG!$W19:$Z19)</f>
        <v>0</v>
      </c>
      <c r="BO307" s="446">
        <f>SUMIF(LUG!$G$157:$J$157,BO$111,LUG!$R19:$U19)+SUMIF(LUG!$G$157:$J$157,BO$111,LUG!$W19:$Z19)</f>
        <v>0</v>
      </c>
      <c r="BP307" s="446">
        <f>SUMIF(LUG!$G$157:$J$157,BP$111,LUG!$R19:$U19)+SUMIF(LUG!$G$157:$J$157,BP$111,LUG!$W19:$Z19)</f>
        <v>0</v>
      </c>
      <c r="BQ307" s="448">
        <f>SUMIF(LUG!$G$157:$J$157,BQ$111,LUG!$R19:$U19)+SUMIF(LUG!$G$157:$J$157,BQ$111,LUG!$W19:$Z19)</f>
        <v>0</v>
      </c>
      <c r="BR307" s="571"/>
      <c r="BS307" s="446"/>
      <c r="BT307" s="448"/>
      <c r="BU307" s="470"/>
      <c r="BV307" s="445">
        <f>SUMIF(LUG!$G$158:$J$158,BV$111,LUG!$R19:$U19)+SUMIF(LUG!$G$158:$J$158,BV$111,LUG!$W19:$Z19)</f>
        <v>0</v>
      </c>
      <c r="BW307" s="446">
        <f>SUMIF(LUG!$G$158:$J$158,BW$111,LUG!$R19:$U19)+SUMIF(LUG!$G$158:$J$158,BW$111,LUG!$W19:$Z19)</f>
        <v>0</v>
      </c>
      <c r="BX307" s="446">
        <f>SUMIF(LUG!$G$158:$J$158,BX$111,LUG!$R19:$U19)+SUMIF(LUG!$G$158:$J$158,BX$111,LUG!$W19:$Z19)</f>
        <v>0</v>
      </c>
      <c r="BY307" s="446">
        <f>SUMIF(LUG!$G$158:$J$158,BY$111,LUG!$R19:$U19)+SUMIF(LUG!$G$158:$J$158,BY$111,LUG!$W19:$Z19)</f>
        <v>0</v>
      </c>
      <c r="BZ307" s="446">
        <f>SUMIF(LUG!$G$158:$J$158,BZ$111,LUG!$R19:$U19)+SUMIF(LUG!$G$158:$J$158,BZ$111,LUG!$W19:$Z19)</f>
        <v>0</v>
      </c>
      <c r="CA307" s="446">
        <f>SUMIF(LUG!$G$158:$J$158,CA$111,LUG!$R19:$U19)+SUMIF(LUG!$G$158:$J$158,CA$111,LUG!$W19:$Z19)</f>
        <v>0</v>
      </c>
      <c r="CB307" s="448">
        <f>SUMIF(LUG!$G$158:$J$158,CB$111,LUG!$R19:$U19)+SUMIF(LUG!$G$158:$J$158,CB$111,LUG!$W19:$Z19)</f>
        <v>0</v>
      </c>
      <c r="CC307" s="571"/>
      <c r="CD307" s="448"/>
      <c r="CE307" s="92">
        <f t="shared" ref="CE307:CE370" si="279">IF(AM307="X",AK307,0)</f>
        <v>0</v>
      </c>
      <c r="CF307" s="92">
        <f t="shared" ref="CF307:CF370" si="280">IF(AL307="Y",AK307,0)</f>
        <v>0</v>
      </c>
      <c r="CG307" s="151" t="str">
        <f t="shared" si="266"/>
        <v/>
      </c>
      <c r="CH307" s="92">
        <f t="shared" si="269"/>
        <v>0</v>
      </c>
      <c r="CI307" s="92" t="str">
        <f t="shared" ref="CI307:CI370" si="281">IF(AND(L307&gt;(AI$111-1),L307&lt;(AI$112+1),OR(AO307&lt;&gt;0,AI307=CI$111)),"X","")</f>
        <v/>
      </c>
      <c r="CJ307" s="1100">
        <f>LUG!AM19</f>
        <v>0</v>
      </c>
      <c r="CK307" s="445">
        <f>SUMIF(LUG!$G$155:$J$155,CK$112,LUG!$AN19:$AQ19)</f>
        <v>0</v>
      </c>
      <c r="CL307" s="446">
        <f>SUMIF(LUG!$G$155:$J$155,CL$112,LUG!$AN19:$AQ19)</f>
        <v>0</v>
      </c>
      <c r="CM307" s="447">
        <f>SUMIF(LUG!$G$155:$J$155,CM$112,LUG!$AN19:$AQ19)</f>
        <v>0</v>
      </c>
      <c r="CN307" s="448">
        <f>SUMIF(LUG!$G$155:$J$155,CN$112,LUG!$AN19:$AQ19)</f>
        <v>0</v>
      </c>
      <c r="CO307" s="1100">
        <f>LUG!AS19</f>
        <v>0</v>
      </c>
      <c r="CP307" s="445">
        <f>LUG!AT19</f>
        <v>0</v>
      </c>
      <c r="CQ307" s="446">
        <f>LUG!AU19</f>
        <v>0</v>
      </c>
      <c r="CR307" s="447">
        <f>LUG!AV19</f>
        <v>0</v>
      </c>
      <c r="CS307" s="448">
        <f>LUG!AW19</f>
        <v>0</v>
      </c>
      <c r="CT307" s="1100">
        <f>LUG!AY19</f>
        <v>0</v>
      </c>
      <c r="CU307" s="2"/>
    </row>
    <row r="308" spans="1:99" ht="14.25" hidden="1" customHeight="1" x14ac:dyDescent="0.2">
      <c r="A308" s="2"/>
      <c r="B308" s="151">
        <f t="shared" si="270"/>
        <v>45486</v>
      </c>
      <c r="C308" s="223">
        <f>IF(AND(E308&gt;(N$491-1),E308&lt;(R$491+1)),W$485,IF(ISERROR(HLOOKUP(E308,$N$484:$U$484,1,FALSE)),HLOOKUP(WEEKDAY(E308,2),IMPOSTAZIONI!$C$51:$P$56,6,FALSE),$W$484))</f>
        <v>0</v>
      </c>
      <c r="D308" s="103" t="str">
        <f t="shared" si="271"/>
        <v/>
      </c>
      <c r="E308" s="2380">
        <f t="shared" ref="E308:E371" si="282">E307+1</f>
        <v>45486</v>
      </c>
      <c r="F308" s="2381"/>
      <c r="G308" s="2325" t="str">
        <f>LUG!E20</f>
        <v xml:space="preserve">attiva trim.  </v>
      </c>
      <c r="H308" s="2326"/>
      <c r="I308" s="2327"/>
      <c r="J308" s="479" t="str">
        <f t="shared" si="267"/>
        <v/>
      </c>
      <c r="K308" s="480"/>
      <c r="L308" s="2319">
        <f t="shared" si="265"/>
        <v>28</v>
      </c>
      <c r="M308" s="2320"/>
      <c r="N308" s="478"/>
      <c r="O308" s="478"/>
      <c r="P308" s="478"/>
      <c r="Q308" s="2315">
        <f t="shared" si="272"/>
        <v>45486</v>
      </c>
      <c r="R308" s="2315"/>
      <c r="S308" s="478"/>
      <c r="T308" s="140">
        <f t="shared" si="273"/>
        <v>1</v>
      </c>
      <c r="U308" s="478"/>
      <c r="V308" s="478"/>
      <c r="W308" s="478"/>
      <c r="X308" s="478"/>
      <c r="Y308" s="478"/>
      <c r="Z308" s="478"/>
      <c r="AA308" s="478"/>
      <c r="AB308" s="478"/>
      <c r="AC308" s="478"/>
      <c r="AD308" s="478"/>
      <c r="AE308" s="478"/>
      <c r="AF308" s="478"/>
      <c r="AG308" s="140">
        <f t="shared" si="274"/>
        <v>0</v>
      </c>
      <c r="AH308" s="92" t="str">
        <f t="shared" si="275"/>
        <v/>
      </c>
      <c r="AI308" s="131">
        <f t="shared" si="276"/>
        <v>0</v>
      </c>
      <c r="AJ308" s="2"/>
      <c r="AK308" s="92">
        <f>IF(G308=G$481,0,IF(OR(G308&lt;&gt;0,CJ308&lt;&gt;0,C308="L"),COUNTIF(AK$114:AK307,"&gt;0")+1,0))</f>
        <v>0</v>
      </c>
      <c r="AL308" s="92" t="str">
        <f t="shared" si="277"/>
        <v/>
      </c>
      <c r="AM308" s="92" t="str">
        <f t="shared" si="278"/>
        <v/>
      </c>
      <c r="AN308" s="131">
        <f t="shared" si="268"/>
        <v>0</v>
      </c>
      <c r="AO308" s="447">
        <f>SUM(LUG!W20:Z20)</f>
        <v>0</v>
      </c>
      <c r="AP308" s="445">
        <f>SUMIF(LUG!$G$155:$J$155,AP$112,LUG!$R20:$U20)</f>
        <v>0</v>
      </c>
      <c r="AQ308" s="446">
        <f>SUMIF(LUG!$G$155:$J$155,AQ$112,LUG!$R20:$U20)</f>
        <v>0</v>
      </c>
      <c r="AR308" s="447">
        <f>SUMIF(LUG!$G$155:$J$155,AR$112,LUG!$R20:$U20)</f>
        <v>0</v>
      </c>
      <c r="AS308" s="448">
        <f>SUMIF(LUG!$G$155:$J$155,AS$112,LUG!$R20:$U20)</f>
        <v>0</v>
      </c>
      <c r="AT308" s="449">
        <f>LUG!AG20</f>
        <v>0</v>
      </c>
      <c r="AU308" s="445">
        <f>LUG!AH20</f>
        <v>0</v>
      </c>
      <c r="AV308" s="446">
        <f>LUG!AI20</f>
        <v>0</v>
      </c>
      <c r="AW308" s="447">
        <f>LUG!AJ20</f>
        <v>0</v>
      </c>
      <c r="AX308" s="448">
        <f>LUG!AK20</f>
        <v>0</v>
      </c>
      <c r="AY308" s="445">
        <f>SUMIF(LUG!$G$152:$J$152,"&gt;0",LUG!$W20:$Z20)</f>
        <v>0</v>
      </c>
      <c r="AZ308" s="1063">
        <f>SUM(LUG!AB20:AE20)</f>
        <v>0</v>
      </c>
      <c r="BA308" s="445">
        <f>SUMIF(LUG!$G$159:$J$159,BA$111,LUG!$R20:$U20)+SUMIF(LUG!$G$159:$J$159,BA$111,LUG!$W20:$Z20)</f>
        <v>0</v>
      </c>
      <c r="BB308" s="446">
        <f>SUMIF(LUG!$G$159:$J$159,BB$111,LUG!$R20:$U20)+SUMIF(LUG!$G$159:$J$159,BB$111,LUG!$W20:$Z20)</f>
        <v>0</v>
      </c>
      <c r="BC308" s="446">
        <f>SUMIF(LUG!$G$159:$J$159,BC$111,LUG!$R20:$U20)+SUMIF(LUG!$G$159:$J$159,BC$111,LUG!$W20:$Z20)</f>
        <v>0</v>
      </c>
      <c r="BD308" s="446">
        <f>SUMIF(LUG!$G$159:$J$159,BD$111,LUG!$R20:$U20)+SUMIF(LUG!$G$159:$J$159,BD$111,LUG!$W20:$Z20)</f>
        <v>0</v>
      </c>
      <c r="BE308" s="446">
        <f>SUMIF(LUG!$G$159:$J$159,BE$111,LUG!$R20:$U20)+SUMIF(LUG!$G$159:$J$159,BE$111,LUG!$W20:$Z20)</f>
        <v>0</v>
      </c>
      <c r="BF308" s="446">
        <f>SUMIF(LUG!$G$159:$J$159,BF$111,LUG!$R20:$U20)+SUMIF(LUG!$G$159:$J$159,BF$111,LUG!$W20:$Z20)</f>
        <v>0</v>
      </c>
      <c r="BG308" s="448">
        <f>SUMIF(LUG!$G$159:$J$159,BG$111,LUG!$R20:$U20)+SUMIF(LUG!$G$159:$J$159,BG$111,LUG!$W20:$Z20)</f>
        <v>0</v>
      </c>
      <c r="BH308" s="571"/>
      <c r="BI308" s="448"/>
      <c r="BJ308" s="470"/>
      <c r="BK308" s="445">
        <f>SUMIF(LUG!$G$157:$J$157,BK$111,LUG!$R20:$U20)+SUMIF(LUG!$G$157:$J$157,BK$111,LUG!$W20:$Z20)</f>
        <v>0</v>
      </c>
      <c r="BL308" s="446">
        <f>SUMIF(LUG!$G$157:$J$157,BL$111,LUG!$R20:$U20)+SUMIF(LUG!$G$157:$J$157,BL$111,LUG!$W20:$Z20)</f>
        <v>0</v>
      </c>
      <c r="BM308" s="446">
        <f>SUMIF(LUG!$G$157:$J$157,BM$111,LUG!$R20:$U20)+SUMIF(LUG!$G$157:$J$157,BM$111,LUG!$W20:$Z20)</f>
        <v>0</v>
      </c>
      <c r="BN308" s="446">
        <f>SUMIF(LUG!$G$157:$J$157,BN$111,LUG!$R20:$U20)+SUMIF(LUG!$G$157:$J$157,BN$111,LUG!$W20:$Z20)</f>
        <v>0</v>
      </c>
      <c r="BO308" s="446">
        <f>SUMIF(LUG!$G$157:$J$157,BO$111,LUG!$R20:$U20)+SUMIF(LUG!$G$157:$J$157,BO$111,LUG!$W20:$Z20)</f>
        <v>0</v>
      </c>
      <c r="BP308" s="446">
        <f>SUMIF(LUG!$G$157:$J$157,BP$111,LUG!$R20:$U20)+SUMIF(LUG!$G$157:$J$157,BP$111,LUG!$W20:$Z20)</f>
        <v>0</v>
      </c>
      <c r="BQ308" s="448">
        <f>SUMIF(LUG!$G$157:$J$157,BQ$111,LUG!$R20:$U20)+SUMIF(LUG!$G$157:$J$157,BQ$111,LUG!$W20:$Z20)</f>
        <v>0</v>
      </c>
      <c r="BR308" s="571"/>
      <c r="BS308" s="446"/>
      <c r="BT308" s="448"/>
      <c r="BU308" s="470"/>
      <c r="BV308" s="445">
        <f>SUMIF(LUG!$G$158:$J$158,BV$111,LUG!$R20:$U20)+SUMIF(LUG!$G$158:$J$158,BV$111,LUG!$W20:$Z20)</f>
        <v>0</v>
      </c>
      <c r="BW308" s="446">
        <f>SUMIF(LUG!$G$158:$J$158,BW$111,LUG!$R20:$U20)+SUMIF(LUG!$G$158:$J$158,BW$111,LUG!$W20:$Z20)</f>
        <v>0</v>
      </c>
      <c r="BX308" s="446">
        <f>SUMIF(LUG!$G$158:$J$158,BX$111,LUG!$R20:$U20)+SUMIF(LUG!$G$158:$J$158,BX$111,LUG!$W20:$Z20)</f>
        <v>0</v>
      </c>
      <c r="BY308" s="446">
        <f>SUMIF(LUG!$G$158:$J$158,BY$111,LUG!$R20:$U20)+SUMIF(LUG!$G$158:$J$158,BY$111,LUG!$W20:$Z20)</f>
        <v>0</v>
      </c>
      <c r="BZ308" s="446">
        <f>SUMIF(LUG!$G$158:$J$158,BZ$111,LUG!$R20:$U20)+SUMIF(LUG!$G$158:$J$158,BZ$111,LUG!$W20:$Z20)</f>
        <v>0</v>
      </c>
      <c r="CA308" s="446">
        <f>SUMIF(LUG!$G$158:$J$158,CA$111,LUG!$R20:$U20)+SUMIF(LUG!$G$158:$J$158,CA$111,LUG!$W20:$Z20)</f>
        <v>0</v>
      </c>
      <c r="CB308" s="448">
        <f>SUMIF(LUG!$G$158:$J$158,CB$111,LUG!$R20:$U20)+SUMIF(LUG!$G$158:$J$158,CB$111,LUG!$W20:$Z20)</f>
        <v>0</v>
      </c>
      <c r="CC308" s="571"/>
      <c r="CD308" s="448"/>
      <c r="CE308" s="92">
        <f t="shared" si="279"/>
        <v>0</v>
      </c>
      <c r="CF308" s="92">
        <f t="shared" si="280"/>
        <v>0</v>
      </c>
      <c r="CG308" s="151" t="str">
        <f t="shared" si="266"/>
        <v/>
      </c>
      <c r="CH308" s="92">
        <f t="shared" si="269"/>
        <v>0</v>
      </c>
      <c r="CI308" s="92" t="str">
        <f t="shared" si="281"/>
        <v/>
      </c>
      <c r="CJ308" s="1100">
        <f>LUG!AM20</f>
        <v>0</v>
      </c>
      <c r="CK308" s="445">
        <f>SUMIF(LUG!$G$155:$J$155,CK$112,LUG!$AN20:$AQ20)</f>
        <v>0</v>
      </c>
      <c r="CL308" s="446">
        <f>SUMIF(LUG!$G$155:$J$155,CL$112,LUG!$AN20:$AQ20)</f>
        <v>0</v>
      </c>
      <c r="CM308" s="447">
        <f>SUMIF(LUG!$G$155:$J$155,CM$112,LUG!$AN20:$AQ20)</f>
        <v>0</v>
      </c>
      <c r="CN308" s="448">
        <f>SUMIF(LUG!$G$155:$J$155,CN$112,LUG!$AN20:$AQ20)</f>
        <v>0</v>
      </c>
      <c r="CO308" s="1100">
        <f>LUG!AS20</f>
        <v>0</v>
      </c>
      <c r="CP308" s="445">
        <f>LUG!AT20</f>
        <v>0</v>
      </c>
      <c r="CQ308" s="446">
        <f>LUG!AU20</f>
        <v>0</v>
      </c>
      <c r="CR308" s="447">
        <f>LUG!AV20</f>
        <v>0</v>
      </c>
      <c r="CS308" s="448">
        <f>LUG!AW20</f>
        <v>0</v>
      </c>
      <c r="CT308" s="1100">
        <f>LUG!AY20</f>
        <v>0</v>
      </c>
      <c r="CU308" s="2"/>
    </row>
    <row r="309" spans="1:99" ht="14.25" hidden="1" customHeight="1" x14ac:dyDescent="0.2">
      <c r="A309" s="2"/>
      <c r="B309" s="151">
        <f t="shared" si="270"/>
        <v>45487</v>
      </c>
      <c r="C309" s="223">
        <f>IF(AND(E309&gt;(N$491-1),E309&lt;(R$491+1)),W$485,IF(ISERROR(HLOOKUP(E309,$N$484:$U$484,1,FALSE)),HLOOKUP(WEEKDAY(E309,2),IMPOSTAZIONI!$C$51:$P$56,6,FALSE),$W$484))</f>
        <v>0</v>
      </c>
      <c r="D309" s="103" t="str">
        <f t="shared" si="271"/>
        <v/>
      </c>
      <c r="E309" s="2380">
        <f t="shared" si="282"/>
        <v>45487</v>
      </c>
      <c r="F309" s="2381"/>
      <c r="G309" s="2325" t="str">
        <f>LUG!E21</f>
        <v xml:space="preserve">attiva trim.  </v>
      </c>
      <c r="H309" s="2326"/>
      <c r="I309" s="2327"/>
      <c r="J309" s="479" t="str">
        <f t="shared" si="267"/>
        <v/>
      </c>
      <c r="K309" s="480"/>
      <c r="L309" s="2321">
        <f t="shared" si="265"/>
        <v>28</v>
      </c>
      <c r="M309" s="2322"/>
      <c r="N309" s="478"/>
      <c r="O309" s="478"/>
      <c r="P309" s="478"/>
      <c r="Q309" s="2315">
        <f t="shared" si="272"/>
        <v>45487</v>
      </c>
      <c r="R309" s="2315"/>
      <c r="S309" s="478"/>
      <c r="T309" s="140">
        <f t="shared" si="273"/>
        <v>1</v>
      </c>
      <c r="U309" s="478"/>
      <c r="V309" s="478"/>
      <c r="W309" s="478"/>
      <c r="X309" s="478"/>
      <c r="Y309" s="478"/>
      <c r="Z309" s="478"/>
      <c r="AA309" s="478"/>
      <c r="AB309" s="478"/>
      <c r="AC309" s="478"/>
      <c r="AD309" s="478"/>
      <c r="AE309" s="478"/>
      <c r="AF309" s="478"/>
      <c r="AG309" s="140">
        <f t="shared" si="274"/>
        <v>0</v>
      </c>
      <c r="AH309" s="92" t="str">
        <f t="shared" si="275"/>
        <v/>
      </c>
      <c r="AI309" s="131">
        <f t="shared" si="276"/>
        <v>0</v>
      </c>
      <c r="AJ309" s="2"/>
      <c r="AK309" s="92">
        <f>IF(G309=G$481,0,IF(OR(G309&lt;&gt;0,CJ309&lt;&gt;0,C309="L"),COUNTIF(AK$114:AK308,"&gt;0")+1,0))</f>
        <v>0</v>
      </c>
      <c r="AL309" s="92" t="str">
        <f t="shared" si="277"/>
        <v/>
      </c>
      <c r="AM309" s="92" t="str">
        <f t="shared" si="278"/>
        <v/>
      </c>
      <c r="AN309" s="131">
        <f t="shared" si="268"/>
        <v>0</v>
      </c>
      <c r="AO309" s="447">
        <f>SUM(LUG!W21:Z21)</f>
        <v>0</v>
      </c>
      <c r="AP309" s="445">
        <f>SUMIF(LUG!$G$155:$J$155,AP$112,LUG!$R21:$U21)</f>
        <v>0</v>
      </c>
      <c r="AQ309" s="446">
        <f>SUMIF(LUG!$G$155:$J$155,AQ$112,LUG!$R21:$U21)</f>
        <v>0</v>
      </c>
      <c r="AR309" s="447">
        <f>SUMIF(LUG!$G$155:$J$155,AR$112,LUG!$R21:$U21)</f>
        <v>0</v>
      </c>
      <c r="AS309" s="448">
        <f>SUMIF(LUG!$G$155:$J$155,AS$112,LUG!$R21:$U21)</f>
        <v>0</v>
      </c>
      <c r="AT309" s="449">
        <f>LUG!AG21</f>
        <v>0</v>
      </c>
      <c r="AU309" s="445">
        <f>LUG!AH21</f>
        <v>0</v>
      </c>
      <c r="AV309" s="446">
        <f>LUG!AI21</f>
        <v>0</v>
      </c>
      <c r="AW309" s="447">
        <f>LUG!AJ21</f>
        <v>0</v>
      </c>
      <c r="AX309" s="448">
        <f>LUG!AK21</f>
        <v>0</v>
      </c>
      <c r="AY309" s="445">
        <f>SUMIF(LUG!$G$152:$J$152,"&gt;0",LUG!$W21:$Z21)</f>
        <v>0</v>
      </c>
      <c r="AZ309" s="1063">
        <f>SUM(LUG!AB21:AE21)</f>
        <v>0</v>
      </c>
      <c r="BA309" s="445">
        <f>SUMIF(LUG!$G$159:$J$159,BA$111,LUG!$R21:$U21)+SUMIF(LUG!$G$159:$J$159,BA$111,LUG!$W21:$Z21)</f>
        <v>0</v>
      </c>
      <c r="BB309" s="446">
        <f>SUMIF(LUG!$G$159:$J$159,BB$111,LUG!$R21:$U21)+SUMIF(LUG!$G$159:$J$159,BB$111,LUG!$W21:$Z21)</f>
        <v>0</v>
      </c>
      <c r="BC309" s="446">
        <f>SUMIF(LUG!$G$159:$J$159,BC$111,LUG!$R21:$U21)+SUMIF(LUG!$G$159:$J$159,BC$111,LUG!$W21:$Z21)</f>
        <v>0</v>
      </c>
      <c r="BD309" s="446">
        <f>SUMIF(LUG!$G$159:$J$159,BD$111,LUG!$R21:$U21)+SUMIF(LUG!$G$159:$J$159,BD$111,LUG!$W21:$Z21)</f>
        <v>0</v>
      </c>
      <c r="BE309" s="446">
        <f>SUMIF(LUG!$G$159:$J$159,BE$111,LUG!$R21:$U21)+SUMIF(LUG!$G$159:$J$159,BE$111,LUG!$W21:$Z21)</f>
        <v>0</v>
      </c>
      <c r="BF309" s="446">
        <f>SUMIF(LUG!$G$159:$J$159,BF$111,LUG!$R21:$U21)+SUMIF(LUG!$G$159:$J$159,BF$111,LUG!$W21:$Z21)</f>
        <v>0</v>
      </c>
      <c r="BG309" s="448">
        <f>SUMIF(LUG!$G$159:$J$159,BG$111,LUG!$R21:$U21)+SUMIF(LUG!$G$159:$J$159,BG$111,LUG!$W21:$Z21)</f>
        <v>0</v>
      </c>
      <c r="BH309" s="571"/>
      <c r="BI309" s="448"/>
      <c r="BJ309" s="470"/>
      <c r="BK309" s="445">
        <f>SUMIF(LUG!$G$157:$J$157,BK$111,LUG!$R21:$U21)+SUMIF(LUG!$G$157:$J$157,BK$111,LUG!$W21:$Z21)</f>
        <v>0</v>
      </c>
      <c r="BL309" s="446">
        <f>SUMIF(LUG!$G$157:$J$157,BL$111,LUG!$R21:$U21)+SUMIF(LUG!$G$157:$J$157,BL$111,LUG!$W21:$Z21)</f>
        <v>0</v>
      </c>
      <c r="BM309" s="446">
        <f>SUMIF(LUG!$G$157:$J$157,BM$111,LUG!$R21:$U21)+SUMIF(LUG!$G$157:$J$157,BM$111,LUG!$W21:$Z21)</f>
        <v>0</v>
      </c>
      <c r="BN309" s="446">
        <f>SUMIF(LUG!$G$157:$J$157,BN$111,LUG!$R21:$U21)+SUMIF(LUG!$G$157:$J$157,BN$111,LUG!$W21:$Z21)</f>
        <v>0</v>
      </c>
      <c r="BO309" s="446">
        <f>SUMIF(LUG!$G$157:$J$157,BO$111,LUG!$R21:$U21)+SUMIF(LUG!$G$157:$J$157,BO$111,LUG!$W21:$Z21)</f>
        <v>0</v>
      </c>
      <c r="BP309" s="446">
        <f>SUMIF(LUG!$G$157:$J$157,BP$111,LUG!$R21:$U21)+SUMIF(LUG!$G$157:$J$157,BP$111,LUG!$W21:$Z21)</f>
        <v>0</v>
      </c>
      <c r="BQ309" s="448">
        <f>SUMIF(LUG!$G$157:$J$157,BQ$111,LUG!$R21:$U21)+SUMIF(LUG!$G$157:$J$157,BQ$111,LUG!$W21:$Z21)</f>
        <v>0</v>
      </c>
      <c r="BR309" s="571"/>
      <c r="BS309" s="446"/>
      <c r="BT309" s="448"/>
      <c r="BU309" s="470"/>
      <c r="BV309" s="445">
        <f>SUMIF(LUG!$G$158:$J$158,BV$111,LUG!$R21:$U21)+SUMIF(LUG!$G$158:$J$158,BV$111,LUG!$W21:$Z21)</f>
        <v>0</v>
      </c>
      <c r="BW309" s="446">
        <f>SUMIF(LUG!$G$158:$J$158,BW$111,LUG!$R21:$U21)+SUMIF(LUG!$G$158:$J$158,BW$111,LUG!$W21:$Z21)</f>
        <v>0</v>
      </c>
      <c r="BX309" s="446">
        <f>SUMIF(LUG!$G$158:$J$158,BX$111,LUG!$R21:$U21)+SUMIF(LUG!$G$158:$J$158,BX$111,LUG!$W21:$Z21)</f>
        <v>0</v>
      </c>
      <c r="BY309" s="446">
        <f>SUMIF(LUG!$G$158:$J$158,BY$111,LUG!$R21:$U21)+SUMIF(LUG!$G$158:$J$158,BY$111,LUG!$W21:$Z21)</f>
        <v>0</v>
      </c>
      <c r="BZ309" s="446">
        <f>SUMIF(LUG!$G$158:$J$158,BZ$111,LUG!$R21:$U21)+SUMIF(LUG!$G$158:$J$158,BZ$111,LUG!$W21:$Z21)</f>
        <v>0</v>
      </c>
      <c r="CA309" s="446">
        <f>SUMIF(LUG!$G$158:$J$158,CA$111,LUG!$R21:$U21)+SUMIF(LUG!$G$158:$J$158,CA$111,LUG!$W21:$Z21)</f>
        <v>0</v>
      </c>
      <c r="CB309" s="448">
        <f>SUMIF(LUG!$G$158:$J$158,CB$111,LUG!$R21:$U21)+SUMIF(LUG!$G$158:$J$158,CB$111,LUG!$W21:$Z21)</f>
        <v>0</v>
      </c>
      <c r="CC309" s="571"/>
      <c r="CD309" s="448"/>
      <c r="CE309" s="92">
        <f t="shared" si="279"/>
        <v>0</v>
      </c>
      <c r="CF309" s="92">
        <f t="shared" si="280"/>
        <v>0</v>
      </c>
      <c r="CG309" s="151" t="str">
        <f t="shared" si="266"/>
        <v/>
      </c>
      <c r="CH309" s="92">
        <f t="shared" si="269"/>
        <v>0</v>
      </c>
      <c r="CI309" s="92" t="str">
        <f t="shared" si="281"/>
        <v/>
      </c>
      <c r="CJ309" s="1100">
        <f>LUG!AM21</f>
        <v>0</v>
      </c>
      <c r="CK309" s="445">
        <f>SUMIF(LUG!$G$155:$J$155,CK$112,LUG!$AN21:$AQ21)</f>
        <v>0</v>
      </c>
      <c r="CL309" s="446">
        <f>SUMIF(LUG!$G$155:$J$155,CL$112,LUG!$AN21:$AQ21)</f>
        <v>0</v>
      </c>
      <c r="CM309" s="447">
        <f>SUMIF(LUG!$G$155:$J$155,CM$112,LUG!$AN21:$AQ21)</f>
        <v>0</v>
      </c>
      <c r="CN309" s="448">
        <f>SUMIF(LUG!$G$155:$J$155,CN$112,LUG!$AN21:$AQ21)</f>
        <v>0</v>
      </c>
      <c r="CO309" s="1100">
        <f>LUG!AS21</f>
        <v>0</v>
      </c>
      <c r="CP309" s="445">
        <f>LUG!AT21</f>
        <v>0</v>
      </c>
      <c r="CQ309" s="446">
        <f>LUG!AU21</f>
        <v>0</v>
      </c>
      <c r="CR309" s="447">
        <f>LUG!AV21</f>
        <v>0</v>
      </c>
      <c r="CS309" s="448">
        <f>LUG!AW21</f>
        <v>0</v>
      </c>
      <c r="CT309" s="1100">
        <f>LUG!AY21</f>
        <v>0</v>
      </c>
      <c r="CU309" s="2"/>
    </row>
    <row r="310" spans="1:99" ht="14.25" hidden="1" customHeight="1" x14ac:dyDescent="0.2">
      <c r="A310" s="2"/>
      <c r="B310" s="151">
        <f t="shared" si="270"/>
        <v>45488</v>
      </c>
      <c r="C310" s="223">
        <f>IF(AND(E310&gt;(N$491-1),E310&lt;(R$491+1)),W$485,IF(ISERROR(HLOOKUP(E310,$N$484:$U$484,1,FALSE)),HLOOKUP(WEEKDAY(E310,2),IMPOSTAZIONI!$C$51:$P$56,6,FALSE),$W$484))</f>
        <v>0</v>
      </c>
      <c r="D310" s="103" t="str">
        <f t="shared" si="271"/>
        <v/>
      </c>
      <c r="E310" s="2380">
        <f t="shared" si="282"/>
        <v>45488</v>
      </c>
      <c r="F310" s="2381"/>
      <c r="G310" s="2325" t="str">
        <f>LUG!E22</f>
        <v xml:space="preserve">attiva trim.  </v>
      </c>
      <c r="H310" s="2326"/>
      <c r="I310" s="2327"/>
      <c r="J310" s="479" t="str">
        <f t="shared" si="267"/>
        <v/>
      </c>
      <c r="K310" s="480"/>
      <c r="L310" s="2323">
        <f t="shared" si="265"/>
        <v>29</v>
      </c>
      <c r="M310" s="2324"/>
      <c r="N310" s="478"/>
      <c r="O310" s="478"/>
      <c r="P310" s="478"/>
      <c r="Q310" s="2315">
        <f t="shared" si="272"/>
        <v>45488</v>
      </c>
      <c r="R310" s="2315"/>
      <c r="S310" s="478"/>
      <c r="T310" s="140">
        <f t="shared" si="273"/>
        <v>1</v>
      </c>
      <c r="U310" s="478"/>
      <c r="V310" s="478"/>
      <c r="W310" s="478"/>
      <c r="X310" s="478"/>
      <c r="Y310" s="478"/>
      <c r="Z310" s="478"/>
      <c r="AA310" s="478"/>
      <c r="AB310" s="478"/>
      <c r="AC310" s="478"/>
      <c r="AD310" s="478"/>
      <c r="AE310" s="478"/>
      <c r="AF310" s="478"/>
      <c r="AG310" s="140">
        <f t="shared" si="274"/>
        <v>0</v>
      </c>
      <c r="AH310" s="92" t="str">
        <f t="shared" si="275"/>
        <v/>
      </c>
      <c r="AI310" s="131">
        <f t="shared" si="276"/>
        <v>0</v>
      </c>
      <c r="AJ310" s="2"/>
      <c r="AK310" s="92">
        <f>IF(G310=G$481,0,IF(OR(G310&lt;&gt;0,CJ310&lt;&gt;0,C310="L"),COUNTIF(AK$114:AK309,"&gt;0")+1,0))</f>
        <v>0</v>
      </c>
      <c r="AL310" s="92" t="str">
        <f t="shared" si="277"/>
        <v/>
      </c>
      <c r="AM310" s="92" t="str">
        <f t="shared" si="278"/>
        <v/>
      </c>
      <c r="AN310" s="131">
        <f t="shared" si="268"/>
        <v>0</v>
      </c>
      <c r="AO310" s="447">
        <f>SUM(LUG!W22:Z22)</f>
        <v>0</v>
      </c>
      <c r="AP310" s="445">
        <f>SUMIF(LUG!$G$155:$J$155,AP$112,LUG!$R22:$U22)</f>
        <v>0</v>
      </c>
      <c r="AQ310" s="446">
        <f>SUMIF(LUG!$G$155:$J$155,AQ$112,LUG!$R22:$U22)</f>
        <v>0</v>
      </c>
      <c r="AR310" s="447">
        <f>SUMIF(LUG!$G$155:$J$155,AR$112,LUG!$R22:$U22)</f>
        <v>0</v>
      </c>
      <c r="AS310" s="448">
        <f>SUMIF(LUG!$G$155:$J$155,AS$112,LUG!$R22:$U22)</f>
        <v>0</v>
      </c>
      <c r="AT310" s="449">
        <f>LUG!AG22</f>
        <v>0</v>
      </c>
      <c r="AU310" s="445">
        <f>LUG!AH22</f>
        <v>0</v>
      </c>
      <c r="AV310" s="446">
        <f>LUG!AI22</f>
        <v>0</v>
      </c>
      <c r="AW310" s="447">
        <f>LUG!AJ22</f>
        <v>0</v>
      </c>
      <c r="AX310" s="448">
        <f>LUG!AK22</f>
        <v>0</v>
      </c>
      <c r="AY310" s="445">
        <f>SUMIF(LUG!$G$152:$J$152,"&gt;0",LUG!$W22:$Z22)</f>
        <v>0</v>
      </c>
      <c r="AZ310" s="1063">
        <f>SUM(LUG!AB22:AE22)</f>
        <v>0</v>
      </c>
      <c r="BA310" s="445">
        <f>SUMIF(LUG!$G$159:$J$159,BA$111,LUG!$R22:$U22)+SUMIF(LUG!$G$159:$J$159,BA$111,LUG!$W22:$Z22)</f>
        <v>0</v>
      </c>
      <c r="BB310" s="446">
        <f>SUMIF(LUG!$G$159:$J$159,BB$111,LUG!$R22:$U22)+SUMIF(LUG!$G$159:$J$159,BB$111,LUG!$W22:$Z22)</f>
        <v>0</v>
      </c>
      <c r="BC310" s="446">
        <f>SUMIF(LUG!$G$159:$J$159,BC$111,LUG!$R22:$U22)+SUMIF(LUG!$G$159:$J$159,BC$111,LUG!$W22:$Z22)</f>
        <v>0</v>
      </c>
      <c r="BD310" s="446">
        <f>SUMIF(LUG!$G$159:$J$159,BD$111,LUG!$R22:$U22)+SUMIF(LUG!$G$159:$J$159,BD$111,LUG!$W22:$Z22)</f>
        <v>0</v>
      </c>
      <c r="BE310" s="446">
        <f>SUMIF(LUG!$G$159:$J$159,BE$111,LUG!$R22:$U22)+SUMIF(LUG!$G$159:$J$159,BE$111,LUG!$W22:$Z22)</f>
        <v>0</v>
      </c>
      <c r="BF310" s="446">
        <f>SUMIF(LUG!$G$159:$J$159,BF$111,LUG!$R22:$U22)+SUMIF(LUG!$G$159:$J$159,BF$111,LUG!$W22:$Z22)</f>
        <v>0</v>
      </c>
      <c r="BG310" s="448">
        <f>SUMIF(LUG!$G$159:$J$159,BG$111,LUG!$R22:$U22)+SUMIF(LUG!$G$159:$J$159,BG$111,LUG!$W22:$Z22)</f>
        <v>0</v>
      </c>
      <c r="BH310" s="571"/>
      <c r="BI310" s="448"/>
      <c r="BJ310" s="470"/>
      <c r="BK310" s="445">
        <f>SUMIF(LUG!$G$157:$J$157,BK$111,LUG!$R22:$U22)+SUMIF(LUG!$G$157:$J$157,BK$111,LUG!$W22:$Z22)</f>
        <v>0</v>
      </c>
      <c r="BL310" s="446">
        <f>SUMIF(LUG!$G$157:$J$157,BL$111,LUG!$R22:$U22)+SUMIF(LUG!$G$157:$J$157,BL$111,LUG!$W22:$Z22)</f>
        <v>0</v>
      </c>
      <c r="BM310" s="446">
        <f>SUMIF(LUG!$G$157:$J$157,BM$111,LUG!$R22:$U22)+SUMIF(LUG!$G$157:$J$157,BM$111,LUG!$W22:$Z22)</f>
        <v>0</v>
      </c>
      <c r="BN310" s="446">
        <f>SUMIF(LUG!$G$157:$J$157,BN$111,LUG!$R22:$U22)+SUMIF(LUG!$G$157:$J$157,BN$111,LUG!$W22:$Z22)</f>
        <v>0</v>
      </c>
      <c r="BO310" s="446">
        <f>SUMIF(LUG!$G$157:$J$157,BO$111,LUG!$R22:$U22)+SUMIF(LUG!$G$157:$J$157,BO$111,LUG!$W22:$Z22)</f>
        <v>0</v>
      </c>
      <c r="BP310" s="446">
        <f>SUMIF(LUG!$G$157:$J$157,BP$111,LUG!$R22:$U22)+SUMIF(LUG!$G$157:$J$157,BP$111,LUG!$W22:$Z22)</f>
        <v>0</v>
      </c>
      <c r="BQ310" s="448">
        <f>SUMIF(LUG!$G$157:$J$157,BQ$111,LUG!$R22:$U22)+SUMIF(LUG!$G$157:$J$157,BQ$111,LUG!$W22:$Z22)</f>
        <v>0</v>
      </c>
      <c r="BR310" s="571"/>
      <c r="BS310" s="446"/>
      <c r="BT310" s="448"/>
      <c r="BU310" s="470"/>
      <c r="BV310" s="445">
        <f>SUMIF(LUG!$G$158:$J$158,BV$111,LUG!$R22:$U22)+SUMIF(LUG!$G$158:$J$158,BV$111,LUG!$W22:$Z22)</f>
        <v>0</v>
      </c>
      <c r="BW310" s="446">
        <f>SUMIF(LUG!$G$158:$J$158,BW$111,LUG!$R22:$U22)+SUMIF(LUG!$G$158:$J$158,BW$111,LUG!$W22:$Z22)</f>
        <v>0</v>
      </c>
      <c r="BX310" s="446">
        <f>SUMIF(LUG!$G$158:$J$158,BX$111,LUG!$R22:$U22)+SUMIF(LUG!$G$158:$J$158,BX$111,LUG!$W22:$Z22)</f>
        <v>0</v>
      </c>
      <c r="BY310" s="446">
        <f>SUMIF(LUG!$G$158:$J$158,BY$111,LUG!$R22:$U22)+SUMIF(LUG!$G$158:$J$158,BY$111,LUG!$W22:$Z22)</f>
        <v>0</v>
      </c>
      <c r="BZ310" s="446">
        <f>SUMIF(LUG!$G$158:$J$158,BZ$111,LUG!$R22:$U22)+SUMIF(LUG!$G$158:$J$158,BZ$111,LUG!$W22:$Z22)</f>
        <v>0</v>
      </c>
      <c r="CA310" s="446">
        <f>SUMIF(LUG!$G$158:$J$158,CA$111,LUG!$R22:$U22)+SUMIF(LUG!$G$158:$J$158,CA$111,LUG!$W22:$Z22)</f>
        <v>0</v>
      </c>
      <c r="CB310" s="448">
        <f>SUMIF(LUG!$G$158:$J$158,CB$111,LUG!$R22:$U22)+SUMIF(LUG!$G$158:$J$158,CB$111,LUG!$W22:$Z22)</f>
        <v>0</v>
      </c>
      <c r="CC310" s="571"/>
      <c r="CD310" s="448"/>
      <c r="CE310" s="92">
        <f t="shared" si="279"/>
        <v>0</v>
      </c>
      <c r="CF310" s="92">
        <f t="shared" si="280"/>
        <v>0</v>
      </c>
      <c r="CG310" s="151" t="str">
        <f t="shared" si="266"/>
        <v/>
      </c>
      <c r="CH310" s="92">
        <f t="shared" si="269"/>
        <v>0</v>
      </c>
      <c r="CI310" s="92" t="str">
        <f t="shared" si="281"/>
        <v/>
      </c>
      <c r="CJ310" s="1100">
        <f>LUG!AM22</f>
        <v>0</v>
      </c>
      <c r="CK310" s="445">
        <f>SUMIF(LUG!$G$155:$J$155,CK$112,LUG!$AN22:$AQ22)</f>
        <v>0</v>
      </c>
      <c r="CL310" s="446">
        <f>SUMIF(LUG!$G$155:$J$155,CL$112,LUG!$AN22:$AQ22)</f>
        <v>0</v>
      </c>
      <c r="CM310" s="447">
        <f>SUMIF(LUG!$G$155:$J$155,CM$112,LUG!$AN22:$AQ22)</f>
        <v>0</v>
      </c>
      <c r="CN310" s="448">
        <f>SUMIF(LUG!$G$155:$J$155,CN$112,LUG!$AN22:$AQ22)</f>
        <v>0</v>
      </c>
      <c r="CO310" s="1100">
        <f>LUG!AS22</f>
        <v>0</v>
      </c>
      <c r="CP310" s="445">
        <f>LUG!AT22</f>
        <v>0</v>
      </c>
      <c r="CQ310" s="446">
        <f>LUG!AU22</f>
        <v>0</v>
      </c>
      <c r="CR310" s="447">
        <f>LUG!AV22</f>
        <v>0</v>
      </c>
      <c r="CS310" s="448">
        <f>LUG!AW22</f>
        <v>0</v>
      </c>
      <c r="CT310" s="1100">
        <f>LUG!AY22</f>
        <v>0</v>
      </c>
      <c r="CU310" s="2"/>
    </row>
    <row r="311" spans="1:99" ht="14.25" hidden="1" customHeight="1" x14ac:dyDescent="0.2">
      <c r="A311" s="2"/>
      <c r="B311" s="151">
        <f t="shared" si="270"/>
        <v>45489</v>
      </c>
      <c r="C311" s="223">
        <f>IF(AND(E311&gt;(N$491-1),E311&lt;(R$491+1)),W$485,IF(ISERROR(HLOOKUP(E311,$N$484:$U$484,1,FALSE)),HLOOKUP(WEEKDAY(E311,2),IMPOSTAZIONI!$C$51:$P$56,6,FALSE),$W$484))</f>
        <v>0</v>
      </c>
      <c r="D311" s="103" t="str">
        <f t="shared" si="271"/>
        <v/>
      </c>
      <c r="E311" s="2380">
        <f t="shared" si="282"/>
        <v>45489</v>
      </c>
      <c r="F311" s="2381"/>
      <c r="G311" s="2325" t="str">
        <f>LUG!E23</f>
        <v xml:space="preserve">attiva trim.  </v>
      </c>
      <c r="H311" s="2326"/>
      <c r="I311" s="2327"/>
      <c r="J311" s="479" t="str">
        <f t="shared" si="267"/>
        <v/>
      </c>
      <c r="K311" s="480"/>
      <c r="L311" s="2319">
        <f t="shared" si="265"/>
        <v>29</v>
      </c>
      <c r="M311" s="2320"/>
      <c r="N311" s="478"/>
      <c r="O311" s="478"/>
      <c r="P311" s="478"/>
      <c r="Q311" s="2315">
        <f t="shared" si="272"/>
        <v>45489</v>
      </c>
      <c r="R311" s="2315"/>
      <c r="S311" s="478"/>
      <c r="T311" s="140">
        <f t="shared" si="273"/>
        <v>1</v>
      </c>
      <c r="U311" s="478"/>
      <c r="V311" s="478"/>
      <c r="W311" s="478"/>
      <c r="X311" s="478"/>
      <c r="Y311" s="478"/>
      <c r="Z311" s="478"/>
      <c r="AA311" s="478"/>
      <c r="AB311" s="478"/>
      <c r="AC311" s="478"/>
      <c r="AD311" s="478"/>
      <c r="AE311" s="478"/>
      <c r="AF311" s="478"/>
      <c r="AG311" s="140">
        <f t="shared" si="274"/>
        <v>0</v>
      </c>
      <c r="AH311" s="92" t="str">
        <f t="shared" si="275"/>
        <v/>
      </c>
      <c r="AI311" s="131">
        <f t="shared" si="276"/>
        <v>0</v>
      </c>
      <c r="AJ311" s="2"/>
      <c r="AK311" s="92">
        <f>IF(G311=G$481,0,IF(OR(G311&lt;&gt;0,CJ311&lt;&gt;0,C311="L"),COUNTIF(AK$114:AK310,"&gt;0")+1,0))</f>
        <v>0</v>
      </c>
      <c r="AL311" s="92" t="str">
        <f t="shared" si="277"/>
        <v/>
      </c>
      <c r="AM311" s="92" t="str">
        <f t="shared" si="278"/>
        <v/>
      </c>
      <c r="AN311" s="131">
        <f t="shared" si="268"/>
        <v>0</v>
      </c>
      <c r="AO311" s="447">
        <f>SUM(LUG!W23:Z23)</f>
        <v>0</v>
      </c>
      <c r="AP311" s="445">
        <f>SUMIF(LUG!$G$155:$J$155,AP$112,LUG!$R23:$U23)</f>
        <v>0</v>
      </c>
      <c r="AQ311" s="446">
        <f>SUMIF(LUG!$G$155:$J$155,AQ$112,LUG!$R23:$U23)</f>
        <v>0</v>
      </c>
      <c r="AR311" s="447">
        <f>SUMIF(LUG!$G$155:$J$155,AR$112,LUG!$R23:$U23)</f>
        <v>0</v>
      </c>
      <c r="AS311" s="448">
        <f>SUMIF(LUG!$G$155:$J$155,AS$112,LUG!$R23:$U23)</f>
        <v>0</v>
      </c>
      <c r="AT311" s="449">
        <f>LUG!AG23</f>
        <v>0</v>
      </c>
      <c r="AU311" s="445">
        <f>LUG!AH23</f>
        <v>0</v>
      </c>
      <c r="AV311" s="446">
        <f>LUG!AI23</f>
        <v>0</v>
      </c>
      <c r="AW311" s="447">
        <f>LUG!AJ23</f>
        <v>0</v>
      </c>
      <c r="AX311" s="448">
        <f>LUG!AK23</f>
        <v>0</v>
      </c>
      <c r="AY311" s="445">
        <f>SUMIF(LUG!$G$152:$J$152,"&gt;0",LUG!$W23:$Z23)</f>
        <v>0</v>
      </c>
      <c r="AZ311" s="1063">
        <f>SUM(LUG!AB23:AE23)</f>
        <v>0</v>
      </c>
      <c r="BA311" s="445">
        <f>SUMIF(LUG!$G$159:$J$159,BA$111,LUG!$R23:$U23)+SUMIF(LUG!$G$159:$J$159,BA$111,LUG!$W23:$Z23)</f>
        <v>0</v>
      </c>
      <c r="BB311" s="446">
        <f>SUMIF(LUG!$G$159:$J$159,BB$111,LUG!$R23:$U23)+SUMIF(LUG!$G$159:$J$159,BB$111,LUG!$W23:$Z23)</f>
        <v>0</v>
      </c>
      <c r="BC311" s="446">
        <f>SUMIF(LUG!$G$159:$J$159,BC$111,LUG!$R23:$U23)+SUMIF(LUG!$G$159:$J$159,BC$111,LUG!$W23:$Z23)</f>
        <v>0</v>
      </c>
      <c r="BD311" s="446">
        <f>SUMIF(LUG!$G$159:$J$159,BD$111,LUG!$R23:$U23)+SUMIF(LUG!$G$159:$J$159,BD$111,LUG!$W23:$Z23)</f>
        <v>0</v>
      </c>
      <c r="BE311" s="446">
        <f>SUMIF(LUG!$G$159:$J$159,BE$111,LUG!$R23:$U23)+SUMIF(LUG!$G$159:$J$159,BE$111,LUG!$W23:$Z23)</f>
        <v>0</v>
      </c>
      <c r="BF311" s="446">
        <f>SUMIF(LUG!$G$159:$J$159,BF$111,LUG!$R23:$U23)+SUMIF(LUG!$G$159:$J$159,BF$111,LUG!$W23:$Z23)</f>
        <v>0</v>
      </c>
      <c r="BG311" s="448">
        <f>SUMIF(LUG!$G$159:$J$159,BG$111,LUG!$R23:$U23)+SUMIF(LUG!$G$159:$J$159,BG$111,LUG!$W23:$Z23)</f>
        <v>0</v>
      </c>
      <c r="BH311" s="571"/>
      <c r="BI311" s="448"/>
      <c r="BJ311" s="470"/>
      <c r="BK311" s="445">
        <f>SUMIF(LUG!$G$157:$J$157,BK$111,LUG!$R23:$U23)+SUMIF(LUG!$G$157:$J$157,BK$111,LUG!$W23:$Z23)</f>
        <v>0</v>
      </c>
      <c r="BL311" s="446">
        <f>SUMIF(LUG!$G$157:$J$157,BL$111,LUG!$R23:$U23)+SUMIF(LUG!$G$157:$J$157,BL$111,LUG!$W23:$Z23)</f>
        <v>0</v>
      </c>
      <c r="BM311" s="446">
        <f>SUMIF(LUG!$G$157:$J$157,BM$111,LUG!$R23:$U23)+SUMIF(LUG!$G$157:$J$157,BM$111,LUG!$W23:$Z23)</f>
        <v>0</v>
      </c>
      <c r="BN311" s="446">
        <f>SUMIF(LUG!$G$157:$J$157,BN$111,LUG!$R23:$U23)+SUMIF(LUG!$G$157:$J$157,BN$111,LUG!$W23:$Z23)</f>
        <v>0</v>
      </c>
      <c r="BO311" s="446">
        <f>SUMIF(LUG!$G$157:$J$157,BO$111,LUG!$R23:$U23)+SUMIF(LUG!$G$157:$J$157,BO$111,LUG!$W23:$Z23)</f>
        <v>0</v>
      </c>
      <c r="BP311" s="446">
        <f>SUMIF(LUG!$G$157:$J$157,BP$111,LUG!$R23:$U23)+SUMIF(LUG!$G$157:$J$157,BP$111,LUG!$W23:$Z23)</f>
        <v>0</v>
      </c>
      <c r="BQ311" s="448">
        <f>SUMIF(LUG!$G$157:$J$157,BQ$111,LUG!$R23:$U23)+SUMIF(LUG!$G$157:$J$157,BQ$111,LUG!$W23:$Z23)</f>
        <v>0</v>
      </c>
      <c r="BR311" s="571"/>
      <c r="BS311" s="446"/>
      <c r="BT311" s="448"/>
      <c r="BU311" s="470"/>
      <c r="BV311" s="445">
        <f>SUMIF(LUG!$G$158:$J$158,BV$111,LUG!$R23:$U23)+SUMIF(LUG!$G$158:$J$158,BV$111,LUG!$W23:$Z23)</f>
        <v>0</v>
      </c>
      <c r="BW311" s="446">
        <f>SUMIF(LUG!$G$158:$J$158,BW$111,LUG!$R23:$U23)+SUMIF(LUG!$G$158:$J$158,BW$111,LUG!$W23:$Z23)</f>
        <v>0</v>
      </c>
      <c r="BX311" s="446">
        <f>SUMIF(LUG!$G$158:$J$158,BX$111,LUG!$R23:$U23)+SUMIF(LUG!$G$158:$J$158,BX$111,LUG!$W23:$Z23)</f>
        <v>0</v>
      </c>
      <c r="BY311" s="446">
        <f>SUMIF(LUG!$G$158:$J$158,BY$111,LUG!$R23:$U23)+SUMIF(LUG!$G$158:$J$158,BY$111,LUG!$W23:$Z23)</f>
        <v>0</v>
      </c>
      <c r="BZ311" s="446">
        <f>SUMIF(LUG!$G$158:$J$158,BZ$111,LUG!$R23:$U23)+SUMIF(LUG!$G$158:$J$158,BZ$111,LUG!$W23:$Z23)</f>
        <v>0</v>
      </c>
      <c r="CA311" s="446">
        <f>SUMIF(LUG!$G$158:$J$158,CA$111,LUG!$R23:$U23)+SUMIF(LUG!$G$158:$J$158,CA$111,LUG!$W23:$Z23)</f>
        <v>0</v>
      </c>
      <c r="CB311" s="448">
        <f>SUMIF(LUG!$G$158:$J$158,CB$111,LUG!$R23:$U23)+SUMIF(LUG!$G$158:$J$158,CB$111,LUG!$W23:$Z23)</f>
        <v>0</v>
      </c>
      <c r="CC311" s="571"/>
      <c r="CD311" s="448"/>
      <c r="CE311" s="92">
        <f t="shared" si="279"/>
        <v>0</v>
      </c>
      <c r="CF311" s="92">
        <f t="shared" si="280"/>
        <v>0</v>
      </c>
      <c r="CG311" s="151" t="str">
        <f t="shared" si="266"/>
        <v/>
      </c>
      <c r="CH311" s="92">
        <f t="shared" si="269"/>
        <v>0</v>
      </c>
      <c r="CI311" s="92" t="str">
        <f t="shared" si="281"/>
        <v/>
      </c>
      <c r="CJ311" s="1100">
        <f>LUG!AM23</f>
        <v>0</v>
      </c>
      <c r="CK311" s="445">
        <f>SUMIF(LUG!$G$155:$J$155,CK$112,LUG!$AN23:$AQ23)</f>
        <v>0</v>
      </c>
      <c r="CL311" s="446">
        <f>SUMIF(LUG!$G$155:$J$155,CL$112,LUG!$AN23:$AQ23)</f>
        <v>0</v>
      </c>
      <c r="CM311" s="447">
        <f>SUMIF(LUG!$G$155:$J$155,CM$112,LUG!$AN23:$AQ23)</f>
        <v>0</v>
      </c>
      <c r="CN311" s="448">
        <f>SUMIF(LUG!$G$155:$J$155,CN$112,LUG!$AN23:$AQ23)</f>
        <v>0</v>
      </c>
      <c r="CO311" s="1100">
        <f>LUG!AS23</f>
        <v>0</v>
      </c>
      <c r="CP311" s="445">
        <f>LUG!AT23</f>
        <v>0</v>
      </c>
      <c r="CQ311" s="446">
        <f>LUG!AU23</f>
        <v>0</v>
      </c>
      <c r="CR311" s="447">
        <f>LUG!AV23</f>
        <v>0</v>
      </c>
      <c r="CS311" s="448">
        <f>LUG!AW23</f>
        <v>0</v>
      </c>
      <c r="CT311" s="1100">
        <f>LUG!AY23</f>
        <v>0</v>
      </c>
      <c r="CU311" s="2"/>
    </row>
    <row r="312" spans="1:99" ht="14.25" hidden="1" customHeight="1" x14ac:dyDescent="0.2">
      <c r="A312" s="2"/>
      <c r="B312" s="151">
        <f t="shared" si="270"/>
        <v>45490</v>
      </c>
      <c r="C312" s="223">
        <f>IF(AND(E312&gt;(N$491-1),E312&lt;(R$491+1)),W$485,IF(ISERROR(HLOOKUP(E312,$N$484:$U$484,1,FALSE)),HLOOKUP(WEEKDAY(E312,2),IMPOSTAZIONI!$C$51:$P$56,6,FALSE),$W$484))</f>
        <v>0</v>
      </c>
      <c r="D312" s="103" t="str">
        <f t="shared" si="271"/>
        <v/>
      </c>
      <c r="E312" s="2380">
        <f t="shared" si="282"/>
        <v>45490</v>
      </c>
      <c r="F312" s="2381"/>
      <c r="G312" s="2325" t="str">
        <f>LUG!E24</f>
        <v xml:space="preserve">attiva trim.  </v>
      </c>
      <c r="H312" s="2326"/>
      <c r="I312" s="2327"/>
      <c r="J312" s="479" t="str">
        <f t="shared" si="267"/>
        <v/>
      </c>
      <c r="K312" s="480"/>
      <c r="L312" s="2319">
        <f t="shared" si="265"/>
        <v>29</v>
      </c>
      <c r="M312" s="2320"/>
      <c r="N312" s="478"/>
      <c r="O312" s="478"/>
      <c r="P312" s="478"/>
      <c r="Q312" s="2315">
        <f t="shared" si="272"/>
        <v>45490</v>
      </c>
      <c r="R312" s="2315"/>
      <c r="S312" s="478"/>
      <c r="T312" s="140">
        <f t="shared" si="273"/>
        <v>1</v>
      </c>
      <c r="U312" s="478"/>
      <c r="V312" s="478"/>
      <c r="W312" s="478"/>
      <c r="X312" s="478"/>
      <c r="Y312" s="478"/>
      <c r="Z312" s="478"/>
      <c r="AA312" s="478"/>
      <c r="AB312" s="478"/>
      <c r="AC312" s="478"/>
      <c r="AD312" s="478"/>
      <c r="AE312" s="478"/>
      <c r="AF312" s="478"/>
      <c r="AG312" s="140">
        <f t="shared" si="274"/>
        <v>0</v>
      </c>
      <c r="AH312" s="92" t="str">
        <f t="shared" si="275"/>
        <v/>
      </c>
      <c r="AI312" s="131">
        <f t="shared" si="276"/>
        <v>0</v>
      </c>
      <c r="AJ312" s="2"/>
      <c r="AK312" s="92">
        <f>IF(G312=G$481,0,IF(OR(G312&lt;&gt;0,CJ312&lt;&gt;0,C312="L"),COUNTIF(AK$114:AK311,"&gt;0")+1,0))</f>
        <v>0</v>
      </c>
      <c r="AL312" s="92" t="str">
        <f t="shared" si="277"/>
        <v/>
      </c>
      <c r="AM312" s="92" t="str">
        <f t="shared" si="278"/>
        <v/>
      </c>
      <c r="AN312" s="131">
        <f t="shared" si="268"/>
        <v>0</v>
      </c>
      <c r="AO312" s="447">
        <f>SUM(LUG!W24:Z24)</f>
        <v>0</v>
      </c>
      <c r="AP312" s="445">
        <f>SUMIF(LUG!$G$155:$J$155,AP$112,LUG!$R24:$U24)</f>
        <v>0</v>
      </c>
      <c r="AQ312" s="446">
        <f>SUMIF(LUG!$G$155:$J$155,AQ$112,LUG!$R24:$U24)</f>
        <v>0</v>
      </c>
      <c r="AR312" s="447">
        <f>SUMIF(LUG!$G$155:$J$155,AR$112,LUG!$R24:$U24)</f>
        <v>0</v>
      </c>
      <c r="AS312" s="448">
        <f>SUMIF(LUG!$G$155:$J$155,AS$112,LUG!$R24:$U24)</f>
        <v>0</v>
      </c>
      <c r="AT312" s="449">
        <f>LUG!AG24</f>
        <v>0</v>
      </c>
      <c r="AU312" s="445">
        <f>LUG!AH24</f>
        <v>0</v>
      </c>
      <c r="AV312" s="446">
        <f>LUG!AI24</f>
        <v>0</v>
      </c>
      <c r="AW312" s="447">
        <f>LUG!AJ24</f>
        <v>0</v>
      </c>
      <c r="AX312" s="448">
        <f>LUG!AK24</f>
        <v>0</v>
      </c>
      <c r="AY312" s="445">
        <f>SUMIF(LUG!$G$152:$J$152,"&gt;0",LUG!$W24:$Z24)</f>
        <v>0</v>
      </c>
      <c r="AZ312" s="1063">
        <f>SUM(LUG!AB24:AE24)</f>
        <v>0</v>
      </c>
      <c r="BA312" s="445">
        <f>SUMIF(LUG!$G$159:$J$159,BA$111,LUG!$R24:$U24)+SUMIF(LUG!$G$159:$J$159,BA$111,LUG!$W24:$Z24)</f>
        <v>0</v>
      </c>
      <c r="BB312" s="446">
        <f>SUMIF(LUG!$G$159:$J$159,BB$111,LUG!$R24:$U24)+SUMIF(LUG!$G$159:$J$159,BB$111,LUG!$W24:$Z24)</f>
        <v>0</v>
      </c>
      <c r="BC312" s="446">
        <f>SUMIF(LUG!$G$159:$J$159,BC$111,LUG!$R24:$U24)+SUMIF(LUG!$G$159:$J$159,BC$111,LUG!$W24:$Z24)</f>
        <v>0</v>
      </c>
      <c r="BD312" s="446">
        <f>SUMIF(LUG!$G$159:$J$159,BD$111,LUG!$R24:$U24)+SUMIF(LUG!$G$159:$J$159,BD$111,LUG!$W24:$Z24)</f>
        <v>0</v>
      </c>
      <c r="BE312" s="446">
        <f>SUMIF(LUG!$G$159:$J$159,BE$111,LUG!$R24:$U24)+SUMIF(LUG!$G$159:$J$159,BE$111,LUG!$W24:$Z24)</f>
        <v>0</v>
      </c>
      <c r="BF312" s="446">
        <f>SUMIF(LUG!$G$159:$J$159,BF$111,LUG!$R24:$U24)+SUMIF(LUG!$G$159:$J$159,BF$111,LUG!$W24:$Z24)</f>
        <v>0</v>
      </c>
      <c r="BG312" s="448">
        <f>SUMIF(LUG!$G$159:$J$159,BG$111,LUG!$R24:$U24)+SUMIF(LUG!$G$159:$J$159,BG$111,LUG!$W24:$Z24)</f>
        <v>0</v>
      </c>
      <c r="BH312" s="571"/>
      <c r="BI312" s="448"/>
      <c r="BJ312" s="470"/>
      <c r="BK312" s="445">
        <f>SUMIF(LUG!$G$157:$J$157,BK$111,LUG!$R24:$U24)+SUMIF(LUG!$G$157:$J$157,BK$111,LUG!$W24:$Z24)</f>
        <v>0</v>
      </c>
      <c r="BL312" s="446">
        <f>SUMIF(LUG!$G$157:$J$157,BL$111,LUG!$R24:$U24)+SUMIF(LUG!$G$157:$J$157,BL$111,LUG!$W24:$Z24)</f>
        <v>0</v>
      </c>
      <c r="BM312" s="446">
        <f>SUMIF(LUG!$G$157:$J$157,BM$111,LUG!$R24:$U24)+SUMIF(LUG!$G$157:$J$157,BM$111,LUG!$W24:$Z24)</f>
        <v>0</v>
      </c>
      <c r="BN312" s="446">
        <f>SUMIF(LUG!$G$157:$J$157,BN$111,LUG!$R24:$U24)+SUMIF(LUG!$G$157:$J$157,BN$111,LUG!$W24:$Z24)</f>
        <v>0</v>
      </c>
      <c r="BO312" s="446">
        <f>SUMIF(LUG!$G$157:$J$157,BO$111,LUG!$R24:$U24)+SUMIF(LUG!$G$157:$J$157,BO$111,LUG!$W24:$Z24)</f>
        <v>0</v>
      </c>
      <c r="BP312" s="446">
        <f>SUMIF(LUG!$G$157:$J$157,BP$111,LUG!$R24:$U24)+SUMIF(LUG!$G$157:$J$157,BP$111,LUG!$W24:$Z24)</f>
        <v>0</v>
      </c>
      <c r="BQ312" s="448">
        <f>SUMIF(LUG!$G$157:$J$157,BQ$111,LUG!$R24:$U24)+SUMIF(LUG!$G$157:$J$157,BQ$111,LUG!$W24:$Z24)</f>
        <v>0</v>
      </c>
      <c r="BR312" s="571"/>
      <c r="BS312" s="446"/>
      <c r="BT312" s="448"/>
      <c r="BU312" s="470"/>
      <c r="BV312" s="445">
        <f>SUMIF(LUG!$G$158:$J$158,BV$111,LUG!$R24:$U24)+SUMIF(LUG!$G$158:$J$158,BV$111,LUG!$W24:$Z24)</f>
        <v>0</v>
      </c>
      <c r="BW312" s="446">
        <f>SUMIF(LUG!$G$158:$J$158,BW$111,LUG!$R24:$U24)+SUMIF(LUG!$G$158:$J$158,BW$111,LUG!$W24:$Z24)</f>
        <v>0</v>
      </c>
      <c r="BX312" s="446">
        <f>SUMIF(LUG!$G$158:$J$158,BX$111,LUG!$R24:$U24)+SUMIF(LUG!$G$158:$J$158,BX$111,LUG!$W24:$Z24)</f>
        <v>0</v>
      </c>
      <c r="BY312" s="446">
        <f>SUMIF(LUG!$G$158:$J$158,BY$111,LUG!$R24:$U24)+SUMIF(LUG!$G$158:$J$158,BY$111,LUG!$W24:$Z24)</f>
        <v>0</v>
      </c>
      <c r="BZ312" s="446">
        <f>SUMIF(LUG!$G$158:$J$158,BZ$111,LUG!$R24:$U24)+SUMIF(LUG!$G$158:$J$158,BZ$111,LUG!$W24:$Z24)</f>
        <v>0</v>
      </c>
      <c r="CA312" s="446">
        <f>SUMIF(LUG!$G$158:$J$158,CA$111,LUG!$R24:$U24)+SUMIF(LUG!$G$158:$J$158,CA$111,LUG!$W24:$Z24)</f>
        <v>0</v>
      </c>
      <c r="CB312" s="448">
        <f>SUMIF(LUG!$G$158:$J$158,CB$111,LUG!$R24:$U24)+SUMIF(LUG!$G$158:$J$158,CB$111,LUG!$W24:$Z24)</f>
        <v>0</v>
      </c>
      <c r="CC312" s="571"/>
      <c r="CD312" s="448"/>
      <c r="CE312" s="92">
        <f t="shared" si="279"/>
        <v>0</v>
      </c>
      <c r="CF312" s="92">
        <f t="shared" si="280"/>
        <v>0</v>
      </c>
      <c r="CG312" s="151" t="str">
        <f t="shared" si="266"/>
        <v/>
      </c>
      <c r="CH312" s="92">
        <f t="shared" si="269"/>
        <v>0</v>
      </c>
      <c r="CI312" s="92" t="str">
        <f t="shared" si="281"/>
        <v/>
      </c>
      <c r="CJ312" s="1100">
        <f>LUG!AM24</f>
        <v>0</v>
      </c>
      <c r="CK312" s="445">
        <f>SUMIF(LUG!$G$155:$J$155,CK$112,LUG!$AN24:$AQ24)</f>
        <v>0</v>
      </c>
      <c r="CL312" s="446">
        <f>SUMIF(LUG!$G$155:$J$155,CL$112,LUG!$AN24:$AQ24)</f>
        <v>0</v>
      </c>
      <c r="CM312" s="447">
        <f>SUMIF(LUG!$G$155:$J$155,CM$112,LUG!$AN24:$AQ24)</f>
        <v>0</v>
      </c>
      <c r="CN312" s="448">
        <f>SUMIF(LUG!$G$155:$J$155,CN$112,LUG!$AN24:$AQ24)</f>
        <v>0</v>
      </c>
      <c r="CO312" s="1100">
        <f>LUG!AS24</f>
        <v>0</v>
      </c>
      <c r="CP312" s="445">
        <f>LUG!AT24</f>
        <v>0</v>
      </c>
      <c r="CQ312" s="446">
        <f>LUG!AU24</f>
        <v>0</v>
      </c>
      <c r="CR312" s="447">
        <f>LUG!AV24</f>
        <v>0</v>
      </c>
      <c r="CS312" s="448">
        <f>LUG!AW24</f>
        <v>0</v>
      </c>
      <c r="CT312" s="1100">
        <f>LUG!AY24</f>
        <v>0</v>
      </c>
      <c r="CU312" s="2"/>
    </row>
    <row r="313" spans="1:99" ht="14.25" hidden="1" customHeight="1" x14ac:dyDescent="0.2">
      <c r="A313" s="2"/>
      <c r="B313" s="151">
        <f t="shared" si="270"/>
        <v>45491</v>
      </c>
      <c r="C313" s="223">
        <f>IF(AND(E313&gt;(N$491-1),E313&lt;(R$491+1)),W$485,IF(ISERROR(HLOOKUP(E313,$N$484:$U$484,1,FALSE)),HLOOKUP(WEEKDAY(E313,2),IMPOSTAZIONI!$C$51:$P$56,6,FALSE),$W$484))</f>
        <v>0</v>
      </c>
      <c r="D313" s="103" t="str">
        <f t="shared" si="271"/>
        <v/>
      </c>
      <c r="E313" s="2380">
        <f t="shared" si="282"/>
        <v>45491</v>
      </c>
      <c r="F313" s="2381"/>
      <c r="G313" s="2325" t="str">
        <f>LUG!E25</f>
        <v xml:space="preserve">attiva trim.  </v>
      </c>
      <c r="H313" s="2326"/>
      <c r="I313" s="2327"/>
      <c r="J313" s="479" t="str">
        <f t="shared" si="267"/>
        <v/>
      </c>
      <c r="K313" s="480"/>
      <c r="L313" s="2319">
        <f t="shared" si="265"/>
        <v>29</v>
      </c>
      <c r="M313" s="2320"/>
      <c r="N313" s="478"/>
      <c r="O313" s="478"/>
      <c r="P313" s="478"/>
      <c r="Q313" s="2315">
        <f t="shared" si="272"/>
        <v>45491</v>
      </c>
      <c r="R313" s="2315"/>
      <c r="S313" s="478"/>
      <c r="T313" s="140">
        <f t="shared" si="273"/>
        <v>1</v>
      </c>
      <c r="U313" s="478"/>
      <c r="V313" s="478"/>
      <c r="W313" s="478"/>
      <c r="X313" s="478"/>
      <c r="Y313" s="478"/>
      <c r="Z313" s="478"/>
      <c r="AA313" s="478"/>
      <c r="AB313" s="478"/>
      <c r="AC313" s="478"/>
      <c r="AD313" s="478"/>
      <c r="AE313" s="478"/>
      <c r="AF313" s="478"/>
      <c r="AG313" s="140">
        <f t="shared" si="274"/>
        <v>0</v>
      </c>
      <c r="AH313" s="92" t="str">
        <f t="shared" si="275"/>
        <v/>
      </c>
      <c r="AI313" s="131">
        <f t="shared" si="276"/>
        <v>0</v>
      </c>
      <c r="AJ313" s="2"/>
      <c r="AK313" s="92">
        <f>IF(G313=G$481,0,IF(OR(G313&lt;&gt;0,CJ313&lt;&gt;0,C313="L"),COUNTIF(AK$114:AK312,"&gt;0")+1,0))</f>
        <v>0</v>
      </c>
      <c r="AL313" s="92" t="str">
        <f t="shared" si="277"/>
        <v/>
      </c>
      <c r="AM313" s="92" t="str">
        <f t="shared" si="278"/>
        <v/>
      </c>
      <c r="AN313" s="131">
        <f t="shared" si="268"/>
        <v>0</v>
      </c>
      <c r="AO313" s="447">
        <f>SUM(LUG!W25:Z25)</f>
        <v>0</v>
      </c>
      <c r="AP313" s="445">
        <f>SUMIF(LUG!$G$155:$J$155,AP$112,LUG!$R25:$U25)</f>
        <v>0</v>
      </c>
      <c r="AQ313" s="446">
        <f>SUMIF(LUG!$G$155:$J$155,AQ$112,LUG!$R25:$U25)</f>
        <v>0</v>
      </c>
      <c r="AR313" s="447">
        <f>SUMIF(LUG!$G$155:$J$155,AR$112,LUG!$R25:$U25)</f>
        <v>0</v>
      </c>
      <c r="AS313" s="448">
        <f>SUMIF(LUG!$G$155:$J$155,AS$112,LUG!$R25:$U25)</f>
        <v>0</v>
      </c>
      <c r="AT313" s="449">
        <f>LUG!AG25</f>
        <v>0</v>
      </c>
      <c r="AU313" s="445">
        <f>LUG!AH25</f>
        <v>0</v>
      </c>
      <c r="AV313" s="446">
        <f>LUG!AI25</f>
        <v>0</v>
      </c>
      <c r="AW313" s="447">
        <f>LUG!AJ25</f>
        <v>0</v>
      </c>
      <c r="AX313" s="448">
        <f>LUG!AK25</f>
        <v>0</v>
      </c>
      <c r="AY313" s="445">
        <f>SUMIF(LUG!$G$152:$J$152,"&gt;0",LUG!$W25:$Z25)</f>
        <v>0</v>
      </c>
      <c r="AZ313" s="1063">
        <f>SUM(LUG!AB25:AE25)</f>
        <v>0</v>
      </c>
      <c r="BA313" s="445">
        <f>SUMIF(LUG!$G$159:$J$159,BA$111,LUG!$R25:$U25)+SUMIF(LUG!$G$159:$J$159,BA$111,LUG!$W25:$Z25)</f>
        <v>0</v>
      </c>
      <c r="BB313" s="446">
        <f>SUMIF(LUG!$G$159:$J$159,BB$111,LUG!$R25:$U25)+SUMIF(LUG!$G$159:$J$159,BB$111,LUG!$W25:$Z25)</f>
        <v>0</v>
      </c>
      <c r="BC313" s="446">
        <f>SUMIF(LUG!$G$159:$J$159,BC$111,LUG!$R25:$U25)+SUMIF(LUG!$G$159:$J$159,BC$111,LUG!$W25:$Z25)</f>
        <v>0</v>
      </c>
      <c r="BD313" s="446">
        <f>SUMIF(LUG!$G$159:$J$159,BD$111,LUG!$R25:$U25)+SUMIF(LUG!$G$159:$J$159,BD$111,LUG!$W25:$Z25)</f>
        <v>0</v>
      </c>
      <c r="BE313" s="446">
        <f>SUMIF(LUG!$G$159:$J$159,BE$111,LUG!$R25:$U25)+SUMIF(LUG!$G$159:$J$159,BE$111,LUG!$W25:$Z25)</f>
        <v>0</v>
      </c>
      <c r="BF313" s="446">
        <f>SUMIF(LUG!$G$159:$J$159,BF$111,LUG!$R25:$U25)+SUMIF(LUG!$G$159:$J$159,BF$111,LUG!$W25:$Z25)</f>
        <v>0</v>
      </c>
      <c r="BG313" s="448">
        <f>SUMIF(LUG!$G$159:$J$159,BG$111,LUG!$R25:$U25)+SUMIF(LUG!$G$159:$J$159,BG$111,LUG!$W25:$Z25)</f>
        <v>0</v>
      </c>
      <c r="BH313" s="571"/>
      <c r="BI313" s="448"/>
      <c r="BJ313" s="470"/>
      <c r="BK313" s="445">
        <f>SUMIF(LUG!$G$157:$J$157,BK$111,LUG!$R25:$U25)+SUMIF(LUG!$G$157:$J$157,BK$111,LUG!$W25:$Z25)</f>
        <v>0</v>
      </c>
      <c r="BL313" s="446">
        <f>SUMIF(LUG!$G$157:$J$157,BL$111,LUG!$R25:$U25)+SUMIF(LUG!$G$157:$J$157,BL$111,LUG!$W25:$Z25)</f>
        <v>0</v>
      </c>
      <c r="BM313" s="446">
        <f>SUMIF(LUG!$G$157:$J$157,BM$111,LUG!$R25:$U25)+SUMIF(LUG!$G$157:$J$157,BM$111,LUG!$W25:$Z25)</f>
        <v>0</v>
      </c>
      <c r="BN313" s="446">
        <f>SUMIF(LUG!$G$157:$J$157,BN$111,LUG!$R25:$U25)+SUMIF(LUG!$G$157:$J$157,BN$111,LUG!$W25:$Z25)</f>
        <v>0</v>
      </c>
      <c r="BO313" s="446">
        <f>SUMIF(LUG!$G$157:$J$157,BO$111,LUG!$R25:$U25)+SUMIF(LUG!$G$157:$J$157,BO$111,LUG!$W25:$Z25)</f>
        <v>0</v>
      </c>
      <c r="BP313" s="446">
        <f>SUMIF(LUG!$G$157:$J$157,BP$111,LUG!$R25:$U25)+SUMIF(LUG!$G$157:$J$157,BP$111,LUG!$W25:$Z25)</f>
        <v>0</v>
      </c>
      <c r="BQ313" s="448">
        <f>SUMIF(LUG!$G$157:$J$157,BQ$111,LUG!$R25:$U25)+SUMIF(LUG!$G$157:$J$157,BQ$111,LUG!$W25:$Z25)</f>
        <v>0</v>
      </c>
      <c r="BR313" s="571"/>
      <c r="BS313" s="446"/>
      <c r="BT313" s="448"/>
      <c r="BU313" s="470"/>
      <c r="BV313" s="445">
        <f>SUMIF(LUG!$G$158:$J$158,BV$111,LUG!$R25:$U25)+SUMIF(LUG!$G$158:$J$158,BV$111,LUG!$W25:$Z25)</f>
        <v>0</v>
      </c>
      <c r="BW313" s="446">
        <f>SUMIF(LUG!$G$158:$J$158,BW$111,LUG!$R25:$U25)+SUMIF(LUG!$G$158:$J$158,BW$111,LUG!$W25:$Z25)</f>
        <v>0</v>
      </c>
      <c r="BX313" s="446">
        <f>SUMIF(LUG!$G$158:$J$158,BX$111,LUG!$R25:$U25)+SUMIF(LUG!$G$158:$J$158,BX$111,LUG!$W25:$Z25)</f>
        <v>0</v>
      </c>
      <c r="BY313" s="446">
        <f>SUMIF(LUG!$G$158:$J$158,BY$111,LUG!$R25:$U25)+SUMIF(LUG!$G$158:$J$158,BY$111,LUG!$W25:$Z25)</f>
        <v>0</v>
      </c>
      <c r="BZ313" s="446">
        <f>SUMIF(LUG!$G$158:$J$158,BZ$111,LUG!$R25:$U25)+SUMIF(LUG!$G$158:$J$158,BZ$111,LUG!$W25:$Z25)</f>
        <v>0</v>
      </c>
      <c r="CA313" s="446">
        <f>SUMIF(LUG!$G$158:$J$158,CA$111,LUG!$R25:$U25)+SUMIF(LUG!$G$158:$J$158,CA$111,LUG!$W25:$Z25)</f>
        <v>0</v>
      </c>
      <c r="CB313" s="448">
        <f>SUMIF(LUG!$G$158:$J$158,CB$111,LUG!$R25:$U25)+SUMIF(LUG!$G$158:$J$158,CB$111,LUG!$W25:$Z25)</f>
        <v>0</v>
      </c>
      <c r="CC313" s="571"/>
      <c r="CD313" s="448"/>
      <c r="CE313" s="92">
        <f t="shared" si="279"/>
        <v>0</v>
      </c>
      <c r="CF313" s="92">
        <f t="shared" si="280"/>
        <v>0</v>
      </c>
      <c r="CG313" s="151" t="str">
        <f t="shared" si="266"/>
        <v/>
      </c>
      <c r="CH313" s="92">
        <f t="shared" si="269"/>
        <v>0</v>
      </c>
      <c r="CI313" s="92" t="str">
        <f t="shared" si="281"/>
        <v/>
      </c>
      <c r="CJ313" s="1100">
        <f>LUG!AM25</f>
        <v>0</v>
      </c>
      <c r="CK313" s="445">
        <f>SUMIF(LUG!$G$155:$J$155,CK$112,LUG!$AN25:$AQ25)</f>
        <v>0</v>
      </c>
      <c r="CL313" s="446">
        <f>SUMIF(LUG!$G$155:$J$155,CL$112,LUG!$AN25:$AQ25)</f>
        <v>0</v>
      </c>
      <c r="CM313" s="447">
        <f>SUMIF(LUG!$G$155:$J$155,CM$112,LUG!$AN25:$AQ25)</f>
        <v>0</v>
      </c>
      <c r="CN313" s="448">
        <f>SUMIF(LUG!$G$155:$J$155,CN$112,LUG!$AN25:$AQ25)</f>
        <v>0</v>
      </c>
      <c r="CO313" s="1100">
        <f>LUG!AS25</f>
        <v>0</v>
      </c>
      <c r="CP313" s="445">
        <f>LUG!AT25</f>
        <v>0</v>
      </c>
      <c r="CQ313" s="446">
        <f>LUG!AU25</f>
        <v>0</v>
      </c>
      <c r="CR313" s="447">
        <f>LUG!AV25</f>
        <v>0</v>
      </c>
      <c r="CS313" s="448">
        <f>LUG!AW25</f>
        <v>0</v>
      </c>
      <c r="CT313" s="1100">
        <f>LUG!AY25</f>
        <v>0</v>
      </c>
      <c r="CU313" s="2"/>
    </row>
    <row r="314" spans="1:99" ht="14.25" hidden="1" customHeight="1" x14ac:dyDescent="0.2">
      <c r="A314" s="2"/>
      <c r="B314" s="151">
        <f t="shared" si="270"/>
        <v>45492</v>
      </c>
      <c r="C314" s="223">
        <f>IF(AND(E314&gt;(N$491-1),E314&lt;(R$491+1)),W$485,IF(ISERROR(HLOOKUP(E314,$N$484:$U$484,1,FALSE)),HLOOKUP(WEEKDAY(E314,2),IMPOSTAZIONI!$C$51:$P$56,6,FALSE),$W$484))</f>
        <v>0</v>
      </c>
      <c r="D314" s="103" t="str">
        <f t="shared" si="271"/>
        <v/>
      </c>
      <c r="E314" s="2380">
        <f t="shared" si="282"/>
        <v>45492</v>
      </c>
      <c r="F314" s="2381"/>
      <c r="G314" s="2325" t="str">
        <f>LUG!E26</f>
        <v xml:space="preserve">attiva trim.  </v>
      </c>
      <c r="H314" s="2326"/>
      <c r="I314" s="2327"/>
      <c r="J314" s="479" t="str">
        <f t="shared" si="267"/>
        <v/>
      </c>
      <c r="K314" s="480"/>
      <c r="L314" s="2319">
        <f t="shared" si="265"/>
        <v>29</v>
      </c>
      <c r="M314" s="2320"/>
      <c r="N314" s="478"/>
      <c r="O314" s="478"/>
      <c r="P314" s="478"/>
      <c r="Q314" s="2315">
        <f t="shared" si="272"/>
        <v>45492</v>
      </c>
      <c r="R314" s="2315"/>
      <c r="S314" s="478"/>
      <c r="T314" s="140">
        <f t="shared" si="273"/>
        <v>1</v>
      </c>
      <c r="U314" s="478"/>
      <c r="V314" s="478"/>
      <c r="W314" s="478"/>
      <c r="X314" s="478"/>
      <c r="Y314" s="478"/>
      <c r="Z314" s="478"/>
      <c r="AA314" s="478"/>
      <c r="AB314" s="478"/>
      <c r="AC314" s="478"/>
      <c r="AD314" s="478"/>
      <c r="AE314" s="478"/>
      <c r="AF314" s="478"/>
      <c r="AG314" s="140">
        <f t="shared" si="274"/>
        <v>0</v>
      </c>
      <c r="AH314" s="92" t="str">
        <f t="shared" si="275"/>
        <v/>
      </c>
      <c r="AI314" s="131">
        <f t="shared" si="276"/>
        <v>0</v>
      </c>
      <c r="AJ314" s="2"/>
      <c r="AK314" s="92">
        <f>IF(G314=G$481,0,IF(OR(G314&lt;&gt;0,CJ314&lt;&gt;0,C314="L"),COUNTIF(AK$114:AK313,"&gt;0")+1,0))</f>
        <v>0</v>
      </c>
      <c r="AL314" s="92" t="str">
        <f t="shared" si="277"/>
        <v/>
      </c>
      <c r="AM314" s="92" t="str">
        <f t="shared" si="278"/>
        <v/>
      </c>
      <c r="AN314" s="131">
        <f t="shared" si="268"/>
        <v>0</v>
      </c>
      <c r="AO314" s="447">
        <f>SUM(LUG!W26:Z26)</f>
        <v>0</v>
      </c>
      <c r="AP314" s="445">
        <f>SUMIF(LUG!$G$155:$J$155,AP$112,LUG!$R26:$U26)</f>
        <v>0</v>
      </c>
      <c r="AQ314" s="446">
        <f>SUMIF(LUG!$G$155:$J$155,AQ$112,LUG!$R26:$U26)</f>
        <v>0</v>
      </c>
      <c r="AR314" s="447">
        <f>SUMIF(LUG!$G$155:$J$155,AR$112,LUG!$R26:$U26)</f>
        <v>0</v>
      </c>
      <c r="AS314" s="448">
        <f>SUMIF(LUG!$G$155:$J$155,AS$112,LUG!$R26:$U26)</f>
        <v>0</v>
      </c>
      <c r="AT314" s="449">
        <f>LUG!AG26</f>
        <v>0</v>
      </c>
      <c r="AU314" s="445">
        <f>LUG!AH26</f>
        <v>0</v>
      </c>
      <c r="AV314" s="446">
        <f>LUG!AI26</f>
        <v>0</v>
      </c>
      <c r="AW314" s="447">
        <f>LUG!AJ26</f>
        <v>0</v>
      </c>
      <c r="AX314" s="448">
        <f>LUG!AK26</f>
        <v>0</v>
      </c>
      <c r="AY314" s="445">
        <f>SUMIF(LUG!$G$152:$J$152,"&gt;0",LUG!$W26:$Z26)</f>
        <v>0</v>
      </c>
      <c r="AZ314" s="1063">
        <f>SUM(LUG!AB26:AE26)</f>
        <v>0</v>
      </c>
      <c r="BA314" s="445">
        <f>SUMIF(LUG!$G$159:$J$159,BA$111,LUG!$R26:$U26)+SUMIF(LUG!$G$159:$J$159,BA$111,LUG!$W26:$Z26)</f>
        <v>0</v>
      </c>
      <c r="BB314" s="446">
        <f>SUMIF(LUG!$G$159:$J$159,BB$111,LUG!$R26:$U26)+SUMIF(LUG!$G$159:$J$159,BB$111,LUG!$W26:$Z26)</f>
        <v>0</v>
      </c>
      <c r="BC314" s="446">
        <f>SUMIF(LUG!$G$159:$J$159,BC$111,LUG!$R26:$U26)+SUMIF(LUG!$G$159:$J$159,BC$111,LUG!$W26:$Z26)</f>
        <v>0</v>
      </c>
      <c r="BD314" s="446">
        <f>SUMIF(LUG!$G$159:$J$159,BD$111,LUG!$R26:$U26)+SUMIF(LUG!$G$159:$J$159,BD$111,LUG!$W26:$Z26)</f>
        <v>0</v>
      </c>
      <c r="BE314" s="446">
        <f>SUMIF(LUG!$G$159:$J$159,BE$111,LUG!$R26:$U26)+SUMIF(LUG!$G$159:$J$159,BE$111,LUG!$W26:$Z26)</f>
        <v>0</v>
      </c>
      <c r="BF314" s="446">
        <f>SUMIF(LUG!$G$159:$J$159,BF$111,LUG!$R26:$U26)+SUMIF(LUG!$G$159:$J$159,BF$111,LUG!$W26:$Z26)</f>
        <v>0</v>
      </c>
      <c r="BG314" s="448">
        <f>SUMIF(LUG!$G$159:$J$159,BG$111,LUG!$R26:$U26)+SUMIF(LUG!$G$159:$J$159,BG$111,LUG!$W26:$Z26)</f>
        <v>0</v>
      </c>
      <c r="BH314" s="571"/>
      <c r="BI314" s="448"/>
      <c r="BJ314" s="470"/>
      <c r="BK314" s="445">
        <f>SUMIF(LUG!$G$157:$J$157,BK$111,LUG!$R26:$U26)+SUMIF(LUG!$G$157:$J$157,BK$111,LUG!$W26:$Z26)</f>
        <v>0</v>
      </c>
      <c r="BL314" s="446">
        <f>SUMIF(LUG!$G$157:$J$157,BL$111,LUG!$R26:$U26)+SUMIF(LUG!$G$157:$J$157,BL$111,LUG!$W26:$Z26)</f>
        <v>0</v>
      </c>
      <c r="BM314" s="446">
        <f>SUMIF(LUG!$G$157:$J$157,BM$111,LUG!$R26:$U26)+SUMIF(LUG!$G$157:$J$157,BM$111,LUG!$W26:$Z26)</f>
        <v>0</v>
      </c>
      <c r="BN314" s="446">
        <f>SUMIF(LUG!$G$157:$J$157,BN$111,LUG!$R26:$U26)+SUMIF(LUG!$G$157:$J$157,BN$111,LUG!$W26:$Z26)</f>
        <v>0</v>
      </c>
      <c r="BO314" s="446">
        <f>SUMIF(LUG!$G$157:$J$157,BO$111,LUG!$R26:$U26)+SUMIF(LUG!$G$157:$J$157,BO$111,LUG!$W26:$Z26)</f>
        <v>0</v>
      </c>
      <c r="BP314" s="446">
        <f>SUMIF(LUG!$G$157:$J$157,BP$111,LUG!$R26:$U26)+SUMIF(LUG!$G$157:$J$157,BP$111,LUG!$W26:$Z26)</f>
        <v>0</v>
      </c>
      <c r="BQ314" s="448">
        <f>SUMIF(LUG!$G$157:$J$157,BQ$111,LUG!$R26:$U26)+SUMIF(LUG!$G$157:$J$157,BQ$111,LUG!$W26:$Z26)</f>
        <v>0</v>
      </c>
      <c r="BR314" s="571"/>
      <c r="BS314" s="446"/>
      <c r="BT314" s="448"/>
      <c r="BU314" s="470"/>
      <c r="BV314" s="445">
        <f>SUMIF(LUG!$G$158:$J$158,BV$111,LUG!$R26:$U26)+SUMIF(LUG!$G$158:$J$158,BV$111,LUG!$W26:$Z26)</f>
        <v>0</v>
      </c>
      <c r="BW314" s="446">
        <f>SUMIF(LUG!$G$158:$J$158,BW$111,LUG!$R26:$U26)+SUMIF(LUG!$G$158:$J$158,BW$111,LUG!$W26:$Z26)</f>
        <v>0</v>
      </c>
      <c r="BX314" s="446">
        <f>SUMIF(LUG!$G$158:$J$158,BX$111,LUG!$R26:$U26)+SUMIF(LUG!$G$158:$J$158,BX$111,LUG!$W26:$Z26)</f>
        <v>0</v>
      </c>
      <c r="BY314" s="446">
        <f>SUMIF(LUG!$G$158:$J$158,BY$111,LUG!$R26:$U26)+SUMIF(LUG!$G$158:$J$158,BY$111,LUG!$W26:$Z26)</f>
        <v>0</v>
      </c>
      <c r="BZ314" s="446">
        <f>SUMIF(LUG!$G$158:$J$158,BZ$111,LUG!$R26:$U26)+SUMIF(LUG!$G$158:$J$158,BZ$111,LUG!$W26:$Z26)</f>
        <v>0</v>
      </c>
      <c r="CA314" s="446">
        <f>SUMIF(LUG!$G$158:$J$158,CA$111,LUG!$R26:$U26)+SUMIF(LUG!$G$158:$J$158,CA$111,LUG!$W26:$Z26)</f>
        <v>0</v>
      </c>
      <c r="CB314" s="448">
        <f>SUMIF(LUG!$G$158:$J$158,CB$111,LUG!$R26:$U26)+SUMIF(LUG!$G$158:$J$158,CB$111,LUG!$W26:$Z26)</f>
        <v>0</v>
      </c>
      <c r="CC314" s="571"/>
      <c r="CD314" s="448"/>
      <c r="CE314" s="92">
        <f t="shared" si="279"/>
        <v>0</v>
      </c>
      <c r="CF314" s="92">
        <f t="shared" si="280"/>
        <v>0</v>
      </c>
      <c r="CG314" s="151" t="str">
        <f t="shared" si="266"/>
        <v/>
      </c>
      <c r="CH314" s="92">
        <f t="shared" si="269"/>
        <v>0</v>
      </c>
      <c r="CI314" s="92" t="str">
        <f t="shared" si="281"/>
        <v/>
      </c>
      <c r="CJ314" s="1100">
        <f>LUG!AM26</f>
        <v>0</v>
      </c>
      <c r="CK314" s="445">
        <f>SUMIF(LUG!$G$155:$J$155,CK$112,LUG!$AN26:$AQ26)</f>
        <v>0</v>
      </c>
      <c r="CL314" s="446">
        <f>SUMIF(LUG!$G$155:$J$155,CL$112,LUG!$AN26:$AQ26)</f>
        <v>0</v>
      </c>
      <c r="CM314" s="447">
        <f>SUMIF(LUG!$G$155:$J$155,CM$112,LUG!$AN26:$AQ26)</f>
        <v>0</v>
      </c>
      <c r="CN314" s="448">
        <f>SUMIF(LUG!$G$155:$J$155,CN$112,LUG!$AN26:$AQ26)</f>
        <v>0</v>
      </c>
      <c r="CO314" s="1100">
        <f>LUG!AS26</f>
        <v>0</v>
      </c>
      <c r="CP314" s="445">
        <f>LUG!AT26</f>
        <v>0</v>
      </c>
      <c r="CQ314" s="446">
        <f>LUG!AU26</f>
        <v>0</v>
      </c>
      <c r="CR314" s="447">
        <f>LUG!AV26</f>
        <v>0</v>
      </c>
      <c r="CS314" s="448">
        <f>LUG!AW26</f>
        <v>0</v>
      </c>
      <c r="CT314" s="1100">
        <f>LUG!AY26</f>
        <v>0</v>
      </c>
      <c r="CU314" s="2"/>
    </row>
    <row r="315" spans="1:99" ht="14.25" hidden="1" customHeight="1" x14ac:dyDescent="0.2">
      <c r="A315" s="2"/>
      <c r="B315" s="151">
        <f t="shared" si="270"/>
        <v>45493</v>
      </c>
      <c r="C315" s="223">
        <f>IF(AND(E315&gt;(N$491-1),E315&lt;(R$491+1)),W$485,IF(ISERROR(HLOOKUP(E315,$N$484:$U$484,1,FALSE)),HLOOKUP(WEEKDAY(E315,2),IMPOSTAZIONI!$C$51:$P$56,6,FALSE),$W$484))</f>
        <v>0</v>
      </c>
      <c r="D315" s="103" t="str">
        <f t="shared" si="271"/>
        <v/>
      </c>
      <c r="E315" s="2380">
        <f t="shared" si="282"/>
        <v>45493</v>
      </c>
      <c r="F315" s="2381"/>
      <c r="G315" s="2325" t="str">
        <f>LUG!E27</f>
        <v xml:space="preserve">attiva trim.  </v>
      </c>
      <c r="H315" s="2326"/>
      <c r="I315" s="2327"/>
      <c r="J315" s="479" t="str">
        <f t="shared" si="267"/>
        <v/>
      </c>
      <c r="K315" s="480"/>
      <c r="L315" s="2319">
        <f t="shared" si="265"/>
        <v>29</v>
      </c>
      <c r="M315" s="2320"/>
      <c r="N315" s="478"/>
      <c r="O315" s="478"/>
      <c r="P315" s="478"/>
      <c r="Q315" s="2315">
        <f t="shared" si="272"/>
        <v>45493</v>
      </c>
      <c r="R315" s="2315"/>
      <c r="S315" s="478"/>
      <c r="T315" s="140">
        <f t="shared" si="273"/>
        <v>1</v>
      </c>
      <c r="U315" s="478"/>
      <c r="V315" s="478"/>
      <c r="W315" s="478"/>
      <c r="X315" s="478"/>
      <c r="Y315" s="478"/>
      <c r="Z315" s="478"/>
      <c r="AA315" s="478"/>
      <c r="AB315" s="478"/>
      <c r="AC315" s="478"/>
      <c r="AD315" s="478"/>
      <c r="AE315" s="478"/>
      <c r="AF315" s="478"/>
      <c r="AG315" s="140">
        <f t="shared" si="274"/>
        <v>0</v>
      </c>
      <c r="AH315" s="92" t="str">
        <f t="shared" si="275"/>
        <v/>
      </c>
      <c r="AI315" s="131">
        <f t="shared" si="276"/>
        <v>0</v>
      </c>
      <c r="AJ315" s="2"/>
      <c r="AK315" s="92">
        <f>IF(G315=G$481,0,IF(OR(G315&lt;&gt;0,CJ315&lt;&gt;0,C315="L"),COUNTIF(AK$114:AK314,"&gt;0")+1,0))</f>
        <v>0</v>
      </c>
      <c r="AL315" s="92" t="str">
        <f t="shared" si="277"/>
        <v/>
      </c>
      <c r="AM315" s="92" t="str">
        <f t="shared" si="278"/>
        <v/>
      </c>
      <c r="AN315" s="131">
        <f t="shared" si="268"/>
        <v>0</v>
      </c>
      <c r="AO315" s="447">
        <f>SUM(LUG!W27:Z27)</f>
        <v>0</v>
      </c>
      <c r="AP315" s="445">
        <f>SUMIF(LUG!$G$155:$J$155,AP$112,LUG!$R27:$U27)</f>
        <v>0</v>
      </c>
      <c r="AQ315" s="446">
        <f>SUMIF(LUG!$G$155:$J$155,AQ$112,LUG!$R27:$U27)</f>
        <v>0</v>
      </c>
      <c r="AR315" s="447">
        <f>SUMIF(LUG!$G$155:$J$155,AR$112,LUG!$R27:$U27)</f>
        <v>0</v>
      </c>
      <c r="AS315" s="448">
        <f>SUMIF(LUG!$G$155:$J$155,AS$112,LUG!$R27:$U27)</f>
        <v>0</v>
      </c>
      <c r="AT315" s="449">
        <f>LUG!AG27</f>
        <v>0</v>
      </c>
      <c r="AU315" s="445">
        <f>LUG!AH27</f>
        <v>0</v>
      </c>
      <c r="AV315" s="446">
        <f>LUG!AI27</f>
        <v>0</v>
      </c>
      <c r="AW315" s="447">
        <f>LUG!AJ27</f>
        <v>0</v>
      </c>
      <c r="AX315" s="448">
        <f>LUG!AK27</f>
        <v>0</v>
      </c>
      <c r="AY315" s="445">
        <f>SUMIF(LUG!$G$152:$J$152,"&gt;0",LUG!$W27:$Z27)</f>
        <v>0</v>
      </c>
      <c r="AZ315" s="1063">
        <f>SUM(LUG!AB27:AE27)</f>
        <v>0</v>
      </c>
      <c r="BA315" s="445">
        <f>SUMIF(LUG!$G$159:$J$159,BA$111,LUG!$R27:$U27)+SUMIF(LUG!$G$159:$J$159,BA$111,LUG!$W27:$Z27)</f>
        <v>0</v>
      </c>
      <c r="BB315" s="446">
        <f>SUMIF(LUG!$G$159:$J$159,BB$111,LUG!$R27:$U27)+SUMIF(LUG!$G$159:$J$159,BB$111,LUG!$W27:$Z27)</f>
        <v>0</v>
      </c>
      <c r="BC315" s="446">
        <f>SUMIF(LUG!$G$159:$J$159,BC$111,LUG!$R27:$U27)+SUMIF(LUG!$G$159:$J$159,BC$111,LUG!$W27:$Z27)</f>
        <v>0</v>
      </c>
      <c r="BD315" s="446">
        <f>SUMIF(LUG!$G$159:$J$159,BD$111,LUG!$R27:$U27)+SUMIF(LUG!$G$159:$J$159,BD$111,LUG!$W27:$Z27)</f>
        <v>0</v>
      </c>
      <c r="BE315" s="446">
        <f>SUMIF(LUG!$G$159:$J$159,BE$111,LUG!$R27:$U27)+SUMIF(LUG!$G$159:$J$159,BE$111,LUG!$W27:$Z27)</f>
        <v>0</v>
      </c>
      <c r="BF315" s="446">
        <f>SUMIF(LUG!$G$159:$J$159,BF$111,LUG!$R27:$U27)+SUMIF(LUG!$G$159:$J$159,BF$111,LUG!$W27:$Z27)</f>
        <v>0</v>
      </c>
      <c r="BG315" s="448">
        <f>SUMIF(LUG!$G$159:$J$159,BG$111,LUG!$R27:$U27)+SUMIF(LUG!$G$159:$J$159,BG$111,LUG!$W27:$Z27)</f>
        <v>0</v>
      </c>
      <c r="BH315" s="571"/>
      <c r="BI315" s="448"/>
      <c r="BJ315" s="470"/>
      <c r="BK315" s="445">
        <f>SUMIF(LUG!$G$157:$J$157,BK$111,LUG!$R27:$U27)+SUMIF(LUG!$G$157:$J$157,BK$111,LUG!$W27:$Z27)</f>
        <v>0</v>
      </c>
      <c r="BL315" s="446">
        <f>SUMIF(LUG!$G$157:$J$157,BL$111,LUG!$R27:$U27)+SUMIF(LUG!$G$157:$J$157,BL$111,LUG!$W27:$Z27)</f>
        <v>0</v>
      </c>
      <c r="BM315" s="446">
        <f>SUMIF(LUG!$G$157:$J$157,BM$111,LUG!$R27:$U27)+SUMIF(LUG!$G$157:$J$157,BM$111,LUG!$W27:$Z27)</f>
        <v>0</v>
      </c>
      <c r="BN315" s="446">
        <f>SUMIF(LUG!$G$157:$J$157,BN$111,LUG!$R27:$U27)+SUMIF(LUG!$G$157:$J$157,BN$111,LUG!$W27:$Z27)</f>
        <v>0</v>
      </c>
      <c r="BO315" s="446">
        <f>SUMIF(LUG!$G$157:$J$157,BO$111,LUG!$R27:$U27)+SUMIF(LUG!$G$157:$J$157,BO$111,LUG!$W27:$Z27)</f>
        <v>0</v>
      </c>
      <c r="BP315" s="446">
        <f>SUMIF(LUG!$G$157:$J$157,BP$111,LUG!$R27:$U27)+SUMIF(LUG!$G$157:$J$157,BP$111,LUG!$W27:$Z27)</f>
        <v>0</v>
      </c>
      <c r="BQ315" s="448">
        <f>SUMIF(LUG!$G$157:$J$157,BQ$111,LUG!$R27:$U27)+SUMIF(LUG!$G$157:$J$157,BQ$111,LUG!$W27:$Z27)</f>
        <v>0</v>
      </c>
      <c r="BR315" s="571"/>
      <c r="BS315" s="446"/>
      <c r="BT315" s="448"/>
      <c r="BU315" s="470"/>
      <c r="BV315" s="445">
        <f>SUMIF(LUG!$G$158:$J$158,BV$111,LUG!$R27:$U27)+SUMIF(LUG!$G$158:$J$158,BV$111,LUG!$W27:$Z27)</f>
        <v>0</v>
      </c>
      <c r="BW315" s="446">
        <f>SUMIF(LUG!$G$158:$J$158,BW$111,LUG!$R27:$U27)+SUMIF(LUG!$G$158:$J$158,BW$111,LUG!$W27:$Z27)</f>
        <v>0</v>
      </c>
      <c r="BX315" s="446">
        <f>SUMIF(LUG!$G$158:$J$158,BX$111,LUG!$R27:$U27)+SUMIF(LUG!$G$158:$J$158,BX$111,LUG!$W27:$Z27)</f>
        <v>0</v>
      </c>
      <c r="BY315" s="446">
        <f>SUMIF(LUG!$G$158:$J$158,BY$111,LUG!$R27:$U27)+SUMIF(LUG!$G$158:$J$158,BY$111,LUG!$W27:$Z27)</f>
        <v>0</v>
      </c>
      <c r="BZ315" s="446">
        <f>SUMIF(LUG!$G$158:$J$158,BZ$111,LUG!$R27:$U27)+SUMIF(LUG!$G$158:$J$158,BZ$111,LUG!$W27:$Z27)</f>
        <v>0</v>
      </c>
      <c r="CA315" s="446">
        <f>SUMIF(LUG!$G$158:$J$158,CA$111,LUG!$R27:$U27)+SUMIF(LUG!$G$158:$J$158,CA$111,LUG!$W27:$Z27)</f>
        <v>0</v>
      </c>
      <c r="CB315" s="448">
        <f>SUMIF(LUG!$G$158:$J$158,CB$111,LUG!$R27:$U27)+SUMIF(LUG!$G$158:$J$158,CB$111,LUG!$W27:$Z27)</f>
        <v>0</v>
      </c>
      <c r="CC315" s="571"/>
      <c r="CD315" s="448"/>
      <c r="CE315" s="92">
        <f t="shared" si="279"/>
        <v>0</v>
      </c>
      <c r="CF315" s="92">
        <f t="shared" si="280"/>
        <v>0</v>
      </c>
      <c r="CG315" s="151" t="str">
        <f t="shared" si="266"/>
        <v/>
      </c>
      <c r="CH315" s="92">
        <f t="shared" si="269"/>
        <v>0</v>
      </c>
      <c r="CI315" s="92" t="str">
        <f t="shared" si="281"/>
        <v/>
      </c>
      <c r="CJ315" s="1100">
        <f>LUG!AM27</f>
        <v>0</v>
      </c>
      <c r="CK315" s="445">
        <f>SUMIF(LUG!$G$155:$J$155,CK$112,LUG!$AN27:$AQ27)</f>
        <v>0</v>
      </c>
      <c r="CL315" s="446">
        <f>SUMIF(LUG!$G$155:$J$155,CL$112,LUG!$AN27:$AQ27)</f>
        <v>0</v>
      </c>
      <c r="CM315" s="447">
        <f>SUMIF(LUG!$G$155:$J$155,CM$112,LUG!$AN27:$AQ27)</f>
        <v>0</v>
      </c>
      <c r="CN315" s="448">
        <f>SUMIF(LUG!$G$155:$J$155,CN$112,LUG!$AN27:$AQ27)</f>
        <v>0</v>
      </c>
      <c r="CO315" s="1100">
        <f>LUG!AS27</f>
        <v>0</v>
      </c>
      <c r="CP315" s="445">
        <f>LUG!AT27</f>
        <v>0</v>
      </c>
      <c r="CQ315" s="446">
        <f>LUG!AU27</f>
        <v>0</v>
      </c>
      <c r="CR315" s="447">
        <f>LUG!AV27</f>
        <v>0</v>
      </c>
      <c r="CS315" s="448">
        <f>LUG!AW27</f>
        <v>0</v>
      </c>
      <c r="CT315" s="1100">
        <f>LUG!AY27</f>
        <v>0</v>
      </c>
      <c r="CU315" s="2"/>
    </row>
    <row r="316" spans="1:99" ht="14.25" hidden="1" customHeight="1" x14ac:dyDescent="0.2">
      <c r="A316" s="2"/>
      <c r="B316" s="151">
        <f t="shared" si="270"/>
        <v>45494</v>
      </c>
      <c r="C316" s="223">
        <f>IF(AND(E316&gt;(N$491-1),E316&lt;(R$491+1)),W$485,IF(ISERROR(HLOOKUP(E316,$N$484:$U$484,1,FALSE)),HLOOKUP(WEEKDAY(E316,2),IMPOSTAZIONI!$C$51:$P$56,6,FALSE),$W$484))</f>
        <v>0</v>
      </c>
      <c r="D316" s="103" t="str">
        <f t="shared" si="271"/>
        <v/>
      </c>
      <c r="E316" s="2380">
        <f t="shared" si="282"/>
        <v>45494</v>
      </c>
      <c r="F316" s="2381"/>
      <c r="G316" s="2325" t="str">
        <f>LUG!E28</f>
        <v xml:space="preserve">attiva trim.  </v>
      </c>
      <c r="H316" s="2326"/>
      <c r="I316" s="2327"/>
      <c r="J316" s="479" t="str">
        <f t="shared" si="267"/>
        <v/>
      </c>
      <c r="K316" s="480"/>
      <c r="L316" s="2321">
        <f t="shared" ref="L316:L379" si="283">L309+1</f>
        <v>29</v>
      </c>
      <c r="M316" s="2322"/>
      <c r="N316" s="478"/>
      <c r="O316" s="478"/>
      <c r="P316" s="478"/>
      <c r="Q316" s="2315">
        <f t="shared" si="272"/>
        <v>45494</v>
      </c>
      <c r="R316" s="2315"/>
      <c r="S316" s="478"/>
      <c r="T316" s="140">
        <f t="shared" si="273"/>
        <v>1</v>
      </c>
      <c r="U316" s="478"/>
      <c r="V316" s="478"/>
      <c r="W316" s="478"/>
      <c r="X316" s="478"/>
      <c r="Y316" s="478"/>
      <c r="Z316" s="478"/>
      <c r="AA316" s="478"/>
      <c r="AB316" s="478"/>
      <c r="AC316" s="478"/>
      <c r="AD316" s="478"/>
      <c r="AE316" s="478"/>
      <c r="AF316" s="478"/>
      <c r="AG316" s="140">
        <f t="shared" si="274"/>
        <v>0</v>
      </c>
      <c r="AH316" s="92" t="str">
        <f t="shared" si="275"/>
        <v/>
      </c>
      <c r="AI316" s="131">
        <f t="shared" si="276"/>
        <v>0</v>
      </c>
      <c r="AJ316" s="2"/>
      <c r="AK316" s="92">
        <f>IF(G316=G$481,0,IF(OR(G316&lt;&gt;0,CJ316&lt;&gt;0,C316="L"),COUNTIF(AK$114:AK315,"&gt;0")+1,0))</f>
        <v>0</v>
      </c>
      <c r="AL316" s="92" t="str">
        <f t="shared" si="277"/>
        <v/>
      </c>
      <c r="AM316" s="92" t="str">
        <f t="shared" si="278"/>
        <v/>
      </c>
      <c r="AN316" s="131">
        <f t="shared" si="268"/>
        <v>0</v>
      </c>
      <c r="AO316" s="447">
        <f>SUM(LUG!W28:Z28)</f>
        <v>0</v>
      </c>
      <c r="AP316" s="445">
        <f>SUMIF(LUG!$G$155:$J$155,AP$112,LUG!$R28:$U28)</f>
        <v>0</v>
      </c>
      <c r="AQ316" s="446">
        <f>SUMIF(LUG!$G$155:$J$155,AQ$112,LUG!$R28:$U28)</f>
        <v>0</v>
      </c>
      <c r="AR316" s="447">
        <f>SUMIF(LUG!$G$155:$J$155,AR$112,LUG!$R28:$U28)</f>
        <v>0</v>
      </c>
      <c r="AS316" s="448">
        <f>SUMIF(LUG!$G$155:$J$155,AS$112,LUG!$R28:$U28)</f>
        <v>0</v>
      </c>
      <c r="AT316" s="449">
        <f>LUG!AG28</f>
        <v>0</v>
      </c>
      <c r="AU316" s="445">
        <f>LUG!AH28</f>
        <v>0</v>
      </c>
      <c r="AV316" s="446">
        <f>LUG!AI28</f>
        <v>0</v>
      </c>
      <c r="AW316" s="447">
        <f>LUG!AJ28</f>
        <v>0</v>
      </c>
      <c r="AX316" s="448">
        <f>LUG!AK28</f>
        <v>0</v>
      </c>
      <c r="AY316" s="445">
        <f>SUMIF(LUG!$G$152:$J$152,"&gt;0",LUG!$W28:$Z28)</f>
        <v>0</v>
      </c>
      <c r="AZ316" s="1063">
        <f>SUM(LUG!AB28:AE28)</f>
        <v>0</v>
      </c>
      <c r="BA316" s="445">
        <f>SUMIF(LUG!$G$159:$J$159,BA$111,LUG!$R28:$U28)+SUMIF(LUG!$G$159:$J$159,BA$111,LUG!$W28:$Z28)</f>
        <v>0</v>
      </c>
      <c r="BB316" s="446">
        <f>SUMIF(LUG!$G$159:$J$159,BB$111,LUG!$R28:$U28)+SUMIF(LUG!$G$159:$J$159,BB$111,LUG!$W28:$Z28)</f>
        <v>0</v>
      </c>
      <c r="BC316" s="446">
        <f>SUMIF(LUG!$G$159:$J$159,BC$111,LUG!$R28:$U28)+SUMIF(LUG!$G$159:$J$159,BC$111,LUG!$W28:$Z28)</f>
        <v>0</v>
      </c>
      <c r="BD316" s="446">
        <f>SUMIF(LUG!$G$159:$J$159,BD$111,LUG!$R28:$U28)+SUMIF(LUG!$G$159:$J$159,BD$111,LUG!$W28:$Z28)</f>
        <v>0</v>
      </c>
      <c r="BE316" s="446">
        <f>SUMIF(LUG!$G$159:$J$159,BE$111,LUG!$R28:$U28)+SUMIF(LUG!$G$159:$J$159,BE$111,LUG!$W28:$Z28)</f>
        <v>0</v>
      </c>
      <c r="BF316" s="446">
        <f>SUMIF(LUG!$G$159:$J$159,BF$111,LUG!$R28:$U28)+SUMIF(LUG!$G$159:$J$159,BF$111,LUG!$W28:$Z28)</f>
        <v>0</v>
      </c>
      <c r="BG316" s="448">
        <f>SUMIF(LUG!$G$159:$J$159,BG$111,LUG!$R28:$U28)+SUMIF(LUG!$G$159:$J$159,BG$111,LUG!$W28:$Z28)</f>
        <v>0</v>
      </c>
      <c r="BH316" s="571"/>
      <c r="BI316" s="448"/>
      <c r="BJ316" s="470"/>
      <c r="BK316" s="445">
        <f>SUMIF(LUG!$G$157:$J$157,BK$111,LUG!$R28:$U28)+SUMIF(LUG!$G$157:$J$157,BK$111,LUG!$W28:$Z28)</f>
        <v>0</v>
      </c>
      <c r="BL316" s="446">
        <f>SUMIF(LUG!$G$157:$J$157,BL$111,LUG!$R28:$U28)+SUMIF(LUG!$G$157:$J$157,BL$111,LUG!$W28:$Z28)</f>
        <v>0</v>
      </c>
      <c r="BM316" s="446">
        <f>SUMIF(LUG!$G$157:$J$157,BM$111,LUG!$R28:$U28)+SUMIF(LUG!$G$157:$J$157,BM$111,LUG!$W28:$Z28)</f>
        <v>0</v>
      </c>
      <c r="BN316" s="446">
        <f>SUMIF(LUG!$G$157:$J$157,BN$111,LUG!$R28:$U28)+SUMIF(LUG!$G$157:$J$157,BN$111,LUG!$W28:$Z28)</f>
        <v>0</v>
      </c>
      <c r="BO316" s="446">
        <f>SUMIF(LUG!$G$157:$J$157,BO$111,LUG!$R28:$U28)+SUMIF(LUG!$G$157:$J$157,BO$111,LUG!$W28:$Z28)</f>
        <v>0</v>
      </c>
      <c r="BP316" s="446">
        <f>SUMIF(LUG!$G$157:$J$157,BP$111,LUG!$R28:$U28)+SUMIF(LUG!$G$157:$J$157,BP$111,LUG!$W28:$Z28)</f>
        <v>0</v>
      </c>
      <c r="BQ316" s="448">
        <f>SUMIF(LUG!$G$157:$J$157,BQ$111,LUG!$R28:$U28)+SUMIF(LUG!$G$157:$J$157,BQ$111,LUG!$W28:$Z28)</f>
        <v>0</v>
      </c>
      <c r="BR316" s="571"/>
      <c r="BS316" s="446"/>
      <c r="BT316" s="448"/>
      <c r="BU316" s="470"/>
      <c r="BV316" s="445">
        <f>SUMIF(LUG!$G$158:$J$158,BV$111,LUG!$R28:$U28)+SUMIF(LUG!$G$158:$J$158,BV$111,LUG!$W28:$Z28)</f>
        <v>0</v>
      </c>
      <c r="BW316" s="446">
        <f>SUMIF(LUG!$G$158:$J$158,BW$111,LUG!$R28:$U28)+SUMIF(LUG!$G$158:$J$158,BW$111,LUG!$W28:$Z28)</f>
        <v>0</v>
      </c>
      <c r="BX316" s="446">
        <f>SUMIF(LUG!$G$158:$J$158,BX$111,LUG!$R28:$U28)+SUMIF(LUG!$G$158:$J$158,BX$111,LUG!$W28:$Z28)</f>
        <v>0</v>
      </c>
      <c r="BY316" s="446">
        <f>SUMIF(LUG!$G$158:$J$158,BY$111,LUG!$R28:$U28)+SUMIF(LUG!$G$158:$J$158,BY$111,LUG!$W28:$Z28)</f>
        <v>0</v>
      </c>
      <c r="BZ316" s="446">
        <f>SUMIF(LUG!$G$158:$J$158,BZ$111,LUG!$R28:$U28)+SUMIF(LUG!$G$158:$J$158,BZ$111,LUG!$W28:$Z28)</f>
        <v>0</v>
      </c>
      <c r="CA316" s="446">
        <f>SUMIF(LUG!$G$158:$J$158,CA$111,LUG!$R28:$U28)+SUMIF(LUG!$G$158:$J$158,CA$111,LUG!$W28:$Z28)</f>
        <v>0</v>
      </c>
      <c r="CB316" s="448">
        <f>SUMIF(LUG!$G$158:$J$158,CB$111,LUG!$R28:$U28)+SUMIF(LUG!$G$158:$J$158,CB$111,LUG!$W28:$Z28)</f>
        <v>0</v>
      </c>
      <c r="CC316" s="571"/>
      <c r="CD316" s="448"/>
      <c r="CE316" s="92">
        <f t="shared" si="279"/>
        <v>0</v>
      </c>
      <c r="CF316" s="92">
        <f t="shared" si="280"/>
        <v>0</v>
      </c>
      <c r="CG316" s="151" t="str">
        <f t="shared" si="266"/>
        <v/>
      </c>
      <c r="CH316" s="92">
        <f t="shared" si="269"/>
        <v>0</v>
      </c>
      <c r="CI316" s="92" t="str">
        <f t="shared" si="281"/>
        <v/>
      </c>
      <c r="CJ316" s="1100">
        <f>LUG!AM28</f>
        <v>0</v>
      </c>
      <c r="CK316" s="445">
        <f>SUMIF(LUG!$G$155:$J$155,CK$112,LUG!$AN28:$AQ28)</f>
        <v>0</v>
      </c>
      <c r="CL316" s="446">
        <f>SUMIF(LUG!$G$155:$J$155,CL$112,LUG!$AN28:$AQ28)</f>
        <v>0</v>
      </c>
      <c r="CM316" s="447">
        <f>SUMIF(LUG!$G$155:$J$155,CM$112,LUG!$AN28:$AQ28)</f>
        <v>0</v>
      </c>
      <c r="CN316" s="448">
        <f>SUMIF(LUG!$G$155:$J$155,CN$112,LUG!$AN28:$AQ28)</f>
        <v>0</v>
      </c>
      <c r="CO316" s="1100">
        <f>LUG!AS28</f>
        <v>0</v>
      </c>
      <c r="CP316" s="445">
        <f>LUG!AT28</f>
        <v>0</v>
      </c>
      <c r="CQ316" s="446">
        <f>LUG!AU28</f>
        <v>0</v>
      </c>
      <c r="CR316" s="447">
        <f>LUG!AV28</f>
        <v>0</v>
      </c>
      <c r="CS316" s="448">
        <f>LUG!AW28</f>
        <v>0</v>
      </c>
      <c r="CT316" s="1100">
        <f>LUG!AY28</f>
        <v>0</v>
      </c>
      <c r="CU316" s="2"/>
    </row>
    <row r="317" spans="1:99" ht="14.25" hidden="1" customHeight="1" x14ac:dyDescent="0.2">
      <c r="A317" s="2"/>
      <c r="B317" s="151">
        <f t="shared" si="270"/>
        <v>45495</v>
      </c>
      <c r="C317" s="223">
        <f>IF(AND(E317&gt;(N$491-1),E317&lt;(R$491+1)),W$485,IF(ISERROR(HLOOKUP(E317,$N$484:$U$484,1,FALSE)),HLOOKUP(WEEKDAY(E317,2),IMPOSTAZIONI!$C$51:$P$56,6,FALSE),$W$484))</f>
        <v>0</v>
      </c>
      <c r="D317" s="103" t="str">
        <f t="shared" si="271"/>
        <v/>
      </c>
      <c r="E317" s="2380">
        <f t="shared" si="282"/>
        <v>45495</v>
      </c>
      <c r="F317" s="2381"/>
      <c r="G317" s="2325" t="str">
        <f>LUG!E29</f>
        <v xml:space="preserve">attiva trim.  </v>
      </c>
      <c r="H317" s="2326"/>
      <c r="I317" s="2327"/>
      <c r="J317" s="479" t="str">
        <f t="shared" si="267"/>
        <v/>
      </c>
      <c r="K317" s="480"/>
      <c r="L317" s="2323">
        <f t="shared" si="283"/>
        <v>30</v>
      </c>
      <c r="M317" s="2324"/>
      <c r="N317" s="478"/>
      <c r="O317" s="478"/>
      <c r="P317" s="478"/>
      <c r="Q317" s="2315">
        <f t="shared" si="272"/>
        <v>45495</v>
      </c>
      <c r="R317" s="2315"/>
      <c r="S317" s="478"/>
      <c r="T317" s="140">
        <f t="shared" si="273"/>
        <v>1</v>
      </c>
      <c r="U317" s="478"/>
      <c r="V317" s="478"/>
      <c r="W317" s="478"/>
      <c r="X317" s="478"/>
      <c r="Y317" s="478"/>
      <c r="Z317" s="478"/>
      <c r="AA317" s="478"/>
      <c r="AB317" s="478"/>
      <c r="AC317" s="478"/>
      <c r="AD317" s="478"/>
      <c r="AE317" s="478"/>
      <c r="AF317" s="478"/>
      <c r="AG317" s="140">
        <f t="shared" si="274"/>
        <v>0</v>
      </c>
      <c r="AH317" s="92" t="str">
        <f t="shared" si="275"/>
        <v/>
      </c>
      <c r="AI317" s="131">
        <f t="shared" si="276"/>
        <v>0</v>
      </c>
      <c r="AJ317" s="2"/>
      <c r="AK317" s="92">
        <f>IF(G317=G$481,0,IF(OR(G317&lt;&gt;0,CJ317&lt;&gt;0,C317="L"),COUNTIF(AK$114:AK316,"&gt;0")+1,0))</f>
        <v>0</v>
      </c>
      <c r="AL317" s="92" t="str">
        <f t="shared" si="277"/>
        <v/>
      </c>
      <c r="AM317" s="92" t="str">
        <f t="shared" si="278"/>
        <v/>
      </c>
      <c r="AN317" s="131">
        <f t="shared" si="268"/>
        <v>0</v>
      </c>
      <c r="AO317" s="447">
        <f>SUM(LUG!W29:Z29)</f>
        <v>0</v>
      </c>
      <c r="AP317" s="445">
        <f>SUMIF(LUG!$G$155:$J$155,AP$112,LUG!$R29:$U29)</f>
        <v>0</v>
      </c>
      <c r="AQ317" s="446">
        <f>SUMIF(LUG!$G$155:$J$155,AQ$112,LUG!$R29:$U29)</f>
        <v>0</v>
      </c>
      <c r="AR317" s="447">
        <f>SUMIF(LUG!$G$155:$J$155,AR$112,LUG!$R29:$U29)</f>
        <v>0</v>
      </c>
      <c r="AS317" s="448">
        <f>SUMIF(LUG!$G$155:$J$155,AS$112,LUG!$R29:$U29)</f>
        <v>0</v>
      </c>
      <c r="AT317" s="449">
        <f>LUG!AG29</f>
        <v>0</v>
      </c>
      <c r="AU317" s="445">
        <f>LUG!AH29</f>
        <v>0</v>
      </c>
      <c r="AV317" s="446">
        <f>LUG!AI29</f>
        <v>0</v>
      </c>
      <c r="AW317" s="447">
        <f>LUG!AJ29</f>
        <v>0</v>
      </c>
      <c r="AX317" s="448">
        <f>LUG!AK29</f>
        <v>0</v>
      </c>
      <c r="AY317" s="445">
        <f>SUMIF(LUG!$G$152:$J$152,"&gt;0",LUG!$W29:$Z29)</f>
        <v>0</v>
      </c>
      <c r="AZ317" s="1063">
        <f>SUM(LUG!AB29:AE29)</f>
        <v>0</v>
      </c>
      <c r="BA317" s="445">
        <f>SUMIF(LUG!$G$159:$J$159,BA$111,LUG!$R29:$U29)+SUMIF(LUG!$G$159:$J$159,BA$111,LUG!$W29:$Z29)</f>
        <v>0</v>
      </c>
      <c r="BB317" s="446">
        <f>SUMIF(LUG!$G$159:$J$159,BB$111,LUG!$R29:$U29)+SUMIF(LUG!$G$159:$J$159,BB$111,LUG!$W29:$Z29)</f>
        <v>0</v>
      </c>
      <c r="BC317" s="446">
        <f>SUMIF(LUG!$G$159:$J$159,BC$111,LUG!$R29:$U29)+SUMIF(LUG!$G$159:$J$159,BC$111,LUG!$W29:$Z29)</f>
        <v>0</v>
      </c>
      <c r="BD317" s="446">
        <f>SUMIF(LUG!$G$159:$J$159,BD$111,LUG!$R29:$U29)+SUMIF(LUG!$G$159:$J$159,BD$111,LUG!$W29:$Z29)</f>
        <v>0</v>
      </c>
      <c r="BE317" s="446">
        <f>SUMIF(LUG!$G$159:$J$159,BE$111,LUG!$R29:$U29)+SUMIF(LUG!$G$159:$J$159,BE$111,LUG!$W29:$Z29)</f>
        <v>0</v>
      </c>
      <c r="BF317" s="446">
        <f>SUMIF(LUG!$G$159:$J$159,BF$111,LUG!$R29:$U29)+SUMIF(LUG!$G$159:$J$159,BF$111,LUG!$W29:$Z29)</f>
        <v>0</v>
      </c>
      <c r="BG317" s="448">
        <f>SUMIF(LUG!$G$159:$J$159,BG$111,LUG!$R29:$U29)+SUMIF(LUG!$G$159:$J$159,BG$111,LUG!$W29:$Z29)</f>
        <v>0</v>
      </c>
      <c r="BH317" s="571"/>
      <c r="BI317" s="448"/>
      <c r="BJ317" s="470"/>
      <c r="BK317" s="445">
        <f>SUMIF(LUG!$G$157:$J$157,BK$111,LUG!$R29:$U29)+SUMIF(LUG!$G$157:$J$157,BK$111,LUG!$W29:$Z29)</f>
        <v>0</v>
      </c>
      <c r="BL317" s="446">
        <f>SUMIF(LUG!$G$157:$J$157,BL$111,LUG!$R29:$U29)+SUMIF(LUG!$G$157:$J$157,BL$111,LUG!$W29:$Z29)</f>
        <v>0</v>
      </c>
      <c r="BM317" s="446">
        <f>SUMIF(LUG!$G$157:$J$157,BM$111,LUG!$R29:$U29)+SUMIF(LUG!$G$157:$J$157,BM$111,LUG!$W29:$Z29)</f>
        <v>0</v>
      </c>
      <c r="BN317" s="446">
        <f>SUMIF(LUG!$G$157:$J$157,BN$111,LUG!$R29:$U29)+SUMIF(LUG!$G$157:$J$157,BN$111,LUG!$W29:$Z29)</f>
        <v>0</v>
      </c>
      <c r="BO317" s="446">
        <f>SUMIF(LUG!$G$157:$J$157,BO$111,LUG!$R29:$U29)+SUMIF(LUG!$G$157:$J$157,BO$111,LUG!$W29:$Z29)</f>
        <v>0</v>
      </c>
      <c r="BP317" s="446">
        <f>SUMIF(LUG!$G$157:$J$157,BP$111,LUG!$R29:$U29)+SUMIF(LUG!$G$157:$J$157,BP$111,LUG!$W29:$Z29)</f>
        <v>0</v>
      </c>
      <c r="BQ317" s="448">
        <f>SUMIF(LUG!$G$157:$J$157,BQ$111,LUG!$R29:$U29)+SUMIF(LUG!$G$157:$J$157,BQ$111,LUG!$W29:$Z29)</f>
        <v>0</v>
      </c>
      <c r="BR317" s="571"/>
      <c r="BS317" s="446"/>
      <c r="BT317" s="448"/>
      <c r="BU317" s="470"/>
      <c r="BV317" s="445">
        <f>SUMIF(LUG!$G$158:$J$158,BV$111,LUG!$R29:$U29)+SUMIF(LUG!$G$158:$J$158,BV$111,LUG!$W29:$Z29)</f>
        <v>0</v>
      </c>
      <c r="BW317" s="446">
        <f>SUMIF(LUG!$G$158:$J$158,BW$111,LUG!$R29:$U29)+SUMIF(LUG!$G$158:$J$158,BW$111,LUG!$W29:$Z29)</f>
        <v>0</v>
      </c>
      <c r="BX317" s="446">
        <f>SUMIF(LUG!$G$158:$J$158,BX$111,LUG!$R29:$U29)+SUMIF(LUG!$G$158:$J$158,BX$111,LUG!$W29:$Z29)</f>
        <v>0</v>
      </c>
      <c r="BY317" s="446">
        <f>SUMIF(LUG!$G$158:$J$158,BY$111,LUG!$R29:$U29)+SUMIF(LUG!$G$158:$J$158,BY$111,LUG!$W29:$Z29)</f>
        <v>0</v>
      </c>
      <c r="BZ317" s="446">
        <f>SUMIF(LUG!$G$158:$J$158,BZ$111,LUG!$R29:$U29)+SUMIF(LUG!$G$158:$J$158,BZ$111,LUG!$W29:$Z29)</f>
        <v>0</v>
      </c>
      <c r="CA317" s="446">
        <f>SUMIF(LUG!$G$158:$J$158,CA$111,LUG!$R29:$U29)+SUMIF(LUG!$G$158:$J$158,CA$111,LUG!$W29:$Z29)</f>
        <v>0</v>
      </c>
      <c r="CB317" s="448">
        <f>SUMIF(LUG!$G$158:$J$158,CB$111,LUG!$R29:$U29)+SUMIF(LUG!$G$158:$J$158,CB$111,LUG!$W29:$Z29)</f>
        <v>0</v>
      </c>
      <c r="CC317" s="571"/>
      <c r="CD317" s="448"/>
      <c r="CE317" s="92">
        <f t="shared" si="279"/>
        <v>0</v>
      </c>
      <c r="CF317" s="92">
        <f t="shared" si="280"/>
        <v>0</v>
      </c>
      <c r="CG317" s="151" t="str">
        <f t="shared" si="266"/>
        <v/>
      </c>
      <c r="CH317" s="92">
        <f t="shared" si="269"/>
        <v>0</v>
      </c>
      <c r="CI317" s="92" t="str">
        <f t="shared" si="281"/>
        <v/>
      </c>
      <c r="CJ317" s="1100">
        <f>LUG!AM29</f>
        <v>0</v>
      </c>
      <c r="CK317" s="445">
        <f>SUMIF(LUG!$G$155:$J$155,CK$112,LUG!$AN29:$AQ29)</f>
        <v>0</v>
      </c>
      <c r="CL317" s="446">
        <f>SUMIF(LUG!$G$155:$J$155,CL$112,LUG!$AN29:$AQ29)</f>
        <v>0</v>
      </c>
      <c r="CM317" s="447">
        <f>SUMIF(LUG!$G$155:$J$155,CM$112,LUG!$AN29:$AQ29)</f>
        <v>0</v>
      </c>
      <c r="CN317" s="448">
        <f>SUMIF(LUG!$G$155:$J$155,CN$112,LUG!$AN29:$AQ29)</f>
        <v>0</v>
      </c>
      <c r="CO317" s="1100">
        <f>LUG!AS29</f>
        <v>0</v>
      </c>
      <c r="CP317" s="445">
        <f>LUG!AT29</f>
        <v>0</v>
      </c>
      <c r="CQ317" s="446">
        <f>LUG!AU29</f>
        <v>0</v>
      </c>
      <c r="CR317" s="447">
        <f>LUG!AV29</f>
        <v>0</v>
      </c>
      <c r="CS317" s="448">
        <f>LUG!AW29</f>
        <v>0</v>
      </c>
      <c r="CT317" s="1100">
        <f>LUG!AY29</f>
        <v>0</v>
      </c>
      <c r="CU317" s="2"/>
    </row>
    <row r="318" spans="1:99" ht="14.25" hidden="1" customHeight="1" x14ac:dyDescent="0.2">
      <c r="A318" s="2"/>
      <c r="B318" s="151">
        <f t="shared" si="270"/>
        <v>45496</v>
      </c>
      <c r="C318" s="223">
        <f>IF(AND(E318&gt;(N$491-1),E318&lt;(R$491+1)),W$485,IF(ISERROR(HLOOKUP(E318,$N$484:$U$484,1,FALSE)),HLOOKUP(WEEKDAY(E318,2),IMPOSTAZIONI!$C$51:$P$56,6,FALSE),$W$484))</f>
        <v>0</v>
      </c>
      <c r="D318" s="103" t="str">
        <f t="shared" si="271"/>
        <v/>
      </c>
      <c r="E318" s="2380">
        <f t="shared" si="282"/>
        <v>45496</v>
      </c>
      <c r="F318" s="2381"/>
      <c r="G318" s="2325" t="str">
        <f>LUG!E30</f>
        <v xml:space="preserve">attiva trim.  </v>
      </c>
      <c r="H318" s="2326"/>
      <c r="I318" s="2327"/>
      <c r="J318" s="479" t="str">
        <f t="shared" si="267"/>
        <v/>
      </c>
      <c r="K318" s="480"/>
      <c r="L318" s="2319">
        <f t="shared" si="283"/>
        <v>30</v>
      </c>
      <c r="M318" s="2320"/>
      <c r="N318" s="478"/>
      <c r="O318" s="478"/>
      <c r="P318" s="478"/>
      <c r="Q318" s="2315">
        <f t="shared" si="272"/>
        <v>45496</v>
      </c>
      <c r="R318" s="2315"/>
      <c r="S318" s="478"/>
      <c r="T318" s="140">
        <f t="shared" si="273"/>
        <v>1</v>
      </c>
      <c r="U318" s="478"/>
      <c r="V318" s="478"/>
      <c r="W318" s="478"/>
      <c r="X318" s="478"/>
      <c r="Y318" s="478"/>
      <c r="Z318" s="478"/>
      <c r="AA318" s="478"/>
      <c r="AB318" s="478"/>
      <c r="AC318" s="478"/>
      <c r="AD318" s="478"/>
      <c r="AE318" s="478"/>
      <c r="AF318" s="478"/>
      <c r="AG318" s="140">
        <f t="shared" si="274"/>
        <v>0</v>
      </c>
      <c r="AH318" s="92" t="str">
        <f t="shared" si="275"/>
        <v/>
      </c>
      <c r="AI318" s="131">
        <f t="shared" si="276"/>
        <v>0</v>
      </c>
      <c r="AJ318" s="2"/>
      <c r="AK318" s="92">
        <f>IF(G318=G$481,0,IF(OR(G318&lt;&gt;0,CJ318&lt;&gt;0,C318="L"),COUNTIF(AK$114:AK317,"&gt;0")+1,0))</f>
        <v>0</v>
      </c>
      <c r="AL318" s="92" t="str">
        <f t="shared" si="277"/>
        <v/>
      </c>
      <c r="AM318" s="92" t="str">
        <f t="shared" si="278"/>
        <v/>
      </c>
      <c r="AN318" s="131">
        <f t="shared" si="268"/>
        <v>0</v>
      </c>
      <c r="AO318" s="447">
        <f>SUM(LUG!W30:Z30)</f>
        <v>0</v>
      </c>
      <c r="AP318" s="445">
        <f>SUMIF(LUG!$G$155:$J$155,AP$112,LUG!$R30:$U30)</f>
        <v>0</v>
      </c>
      <c r="AQ318" s="446">
        <f>SUMIF(LUG!$G$155:$J$155,AQ$112,LUG!$R30:$U30)</f>
        <v>0</v>
      </c>
      <c r="AR318" s="447">
        <f>SUMIF(LUG!$G$155:$J$155,AR$112,LUG!$R30:$U30)</f>
        <v>0</v>
      </c>
      <c r="AS318" s="448">
        <f>SUMIF(LUG!$G$155:$J$155,AS$112,LUG!$R30:$U30)</f>
        <v>0</v>
      </c>
      <c r="AT318" s="449">
        <f>LUG!AG30</f>
        <v>0</v>
      </c>
      <c r="AU318" s="445">
        <f>LUG!AH30</f>
        <v>0</v>
      </c>
      <c r="AV318" s="446">
        <f>LUG!AI30</f>
        <v>0</v>
      </c>
      <c r="AW318" s="447">
        <f>LUG!AJ30</f>
        <v>0</v>
      </c>
      <c r="AX318" s="448">
        <f>LUG!AK30</f>
        <v>0</v>
      </c>
      <c r="AY318" s="445">
        <f>SUMIF(LUG!$G$152:$J$152,"&gt;0",LUG!$W30:$Z30)</f>
        <v>0</v>
      </c>
      <c r="AZ318" s="1063">
        <f>SUM(LUG!AB30:AE30)</f>
        <v>0</v>
      </c>
      <c r="BA318" s="445">
        <f>SUMIF(LUG!$G$159:$J$159,BA$111,LUG!$R30:$U30)+SUMIF(LUG!$G$159:$J$159,BA$111,LUG!$W30:$Z30)</f>
        <v>0</v>
      </c>
      <c r="BB318" s="446">
        <f>SUMIF(LUG!$G$159:$J$159,BB$111,LUG!$R30:$U30)+SUMIF(LUG!$G$159:$J$159,BB$111,LUG!$W30:$Z30)</f>
        <v>0</v>
      </c>
      <c r="BC318" s="446">
        <f>SUMIF(LUG!$G$159:$J$159,BC$111,LUG!$R30:$U30)+SUMIF(LUG!$G$159:$J$159,BC$111,LUG!$W30:$Z30)</f>
        <v>0</v>
      </c>
      <c r="BD318" s="446">
        <f>SUMIF(LUG!$G$159:$J$159,BD$111,LUG!$R30:$U30)+SUMIF(LUG!$G$159:$J$159,BD$111,LUG!$W30:$Z30)</f>
        <v>0</v>
      </c>
      <c r="BE318" s="446">
        <f>SUMIF(LUG!$G$159:$J$159,BE$111,LUG!$R30:$U30)+SUMIF(LUG!$G$159:$J$159,BE$111,LUG!$W30:$Z30)</f>
        <v>0</v>
      </c>
      <c r="BF318" s="446">
        <f>SUMIF(LUG!$G$159:$J$159,BF$111,LUG!$R30:$U30)+SUMIF(LUG!$G$159:$J$159,BF$111,LUG!$W30:$Z30)</f>
        <v>0</v>
      </c>
      <c r="BG318" s="448">
        <f>SUMIF(LUG!$G$159:$J$159,BG$111,LUG!$R30:$U30)+SUMIF(LUG!$G$159:$J$159,BG$111,LUG!$W30:$Z30)</f>
        <v>0</v>
      </c>
      <c r="BH318" s="571"/>
      <c r="BI318" s="448"/>
      <c r="BJ318" s="470"/>
      <c r="BK318" s="445">
        <f>SUMIF(LUG!$G$157:$J$157,BK$111,LUG!$R30:$U30)+SUMIF(LUG!$G$157:$J$157,BK$111,LUG!$W30:$Z30)</f>
        <v>0</v>
      </c>
      <c r="BL318" s="446">
        <f>SUMIF(LUG!$G$157:$J$157,BL$111,LUG!$R30:$U30)+SUMIF(LUG!$G$157:$J$157,BL$111,LUG!$W30:$Z30)</f>
        <v>0</v>
      </c>
      <c r="BM318" s="446">
        <f>SUMIF(LUG!$G$157:$J$157,BM$111,LUG!$R30:$U30)+SUMIF(LUG!$G$157:$J$157,BM$111,LUG!$W30:$Z30)</f>
        <v>0</v>
      </c>
      <c r="BN318" s="446">
        <f>SUMIF(LUG!$G$157:$J$157,BN$111,LUG!$R30:$U30)+SUMIF(LUG!$G$157:$J$157,BN$111,LUG!$W30:$Z30)</f>
        <v>0</v>
      </c>
      <c r="BO318" s="446">
        <f>SUMIF(LUG!$G$157:$J$157,BO$111,LUG!$R30:$U30)+SUMIF(LUG!$G$157:$J$157,BO$111,LUG!$W30:$Z30)</f>
        <v>0</v>
      </c>
      <c r="BP318" s="446">
        <f>SUMIF(LUG!$G$157:$J$157,BP$111,LUG!$R30:$U30)+SUMIF(LUG!$G$157:$J$157,BP$111,LUG!$W30:$Z30)</f>
        <v>0</v>
      </c>
      <c r="BQ318" s="448">
        <f>SUMIF(LUG!$G$157:$J$157,BQ$111,LUG!$R30:$U30)+SUMIF(LUG!$G$157:$J$157,BQ$111,LUG!$W30:$Z30)</f>
        <v>0</v>
      </c>
      <c r="BR318" s="571"/>
      <c r="BS318" s="446"/>
      <c r="BT318" s="448"/>
      <c r="BU318" s="470"/>
      <c r="BV318" s="445">
        <f>SUMIF(LUG!$G$158:$J$158,BV$111,LUG!$R30:$U30)+SUMIF(LUG!$G$158:$J$158,BV$111,LUG!$W30:$Z30)</f>
        <v>0</v>
      </c>
      <c r="BW318" s="446">
        <f>SUMIF(LUG!$G$158:$J$158,BW$111,LUG!$R30:$U30)+SUMIF(LUG!$G$158:$J$158,BW$111,LUG!$W30:$Z30)</f>
        <v>0</v>
      </c>
      <c r="BX318" s="446">
        <f>SUMIF(LUG!$G$158:$J$158,BX$111,LUG!$R30:$U30)+SUMIF(LUG!$G$158:$J$158,BX$111,LUG!$W30:$Z30)</f>
        <v>0</v>
      </c>
      <c r="BY318" s="446">
        <f>SUMIF(LUG!$G$158:$J$158,BY$111,LUG!$R30:$U30)+SUMIF(LUG!$G$158:$J$158,BY$111,LUG!$W30:$Z30)</f>
        <v>0</v>
      </c>
      <c r="BZ318" s="446">
        <f>SUMIF(LUG!$G$158:$J$158,BZ$111,LUG!$R30:$U30)+SUMIF(LUG!$G$158:$J$158,BZ$111,LUG!$W30:$Z30)</f>
        <v>0</v>
      </c>
      <c r="CA318" s="446">
        <f>SUMIF(LUG!$G$158:$J$158,CA$111,LUG!$R30:$U30)+SUMIF(LUG!$G$158:$J$158,CA$111,LUG!$W30:$Z30)</f>
        <v>0</v>
      </c>
      <c r="CB318" s="448">
        <f>SUMIF(LUG!$G$158:$J$158,CB$111,LUG!$R30:$U30)+SUMIF(LUG!$G$158:$J$158,CB$111,LUG!$W30:$Z30)</f>
        <v>0</v>
      </c>
      <c r="CC318" s="571"/>
      <c r="CD318" s="448"/>
      <c r="CE318" s="92">
        <f t="shared" si="279"/>
        <v>0</v>
      </c>
      <c r="CF318" s="92">
        <f t="shared" si="280"/>
        <v>0</v>
      </c>
      <c r="CG318" s="151" t="str">
        <f t="shared" si="266"/>
        <v/>
      </c>
      <c r="CH318" s="92">
        <f t="shared" si="269"/>
        <v>0</v>
      </c>
      <c r="CI318" s="92" t="str">
        <f t="shared" si="281"/>
        <v/>
      </c>
      <c r="CJ318" s="1100">
        <f>LUG!AM30</f>
        <v>0</v>
      </c>
      <c r="CK318" s="445">
        <f>SUMIF(LUG!$G$155:$J$155,CK$112,LUG!$AN30:$AQ30)</f>
        <v>0</v>
      </c>
      <c r="CL318" s="446">
        <f>SUMIF(LUG!$G$155:$J$155,CL$112,LUG!$AN30:$AQ30)</f>
        <v>0</v>
      </c>
      <c r="CM318" s="447">
        <f>SUMIF(LUG!$G$155:$J$155,CM$112,LUG!$AN30:$AQ30)</f>
        <v>0</v>
      </c>
      <c r="CN318" s="448">
        <f>SUMIF(LUG!$G$155:$J$155,CN$112,LUG!$AN30:$AQ30)</f>
        <v>0</v>
      </c>
      <c r="CO318" s="1100">
        <f>LUG!AS30</f>
        <v>0</v>
      </c>
      <c r="CP318" s="445">
        <f>LUG!AT30</f>
        <v>0</v>
      </c>
      <c r="CQ318" s="446">
        <f>LUG!AU30</f>
        <v>0</v>
      </c>
      <c r="CR318" s="447">
        <f>LUG!AV30</f>
        <v>0</v>
      </c>
      <c r="CS318" s="448">
        <f>LUG!AW30</f>
        <v>0</v>
      </c>
      <c r="CT318" s="1100">
        <f>LUG!AY30</f>
        <v>0</v>
      </c>
      <c r="CU318" s="2"/>
    </row>
    <row r="319" spans="1:99" ht="14.25" hidden="1" customHeight="1" x14ac:dyDescent="0.2">
      <c r="A319" s="2"/>
      <c r="B319" s="151">
        <f t="shared" si="270"/>
        <v>45497</v>
      </c>
      <c r="C319" s="223">
        <f>IF(AND(E319&gt;(N$491-1),E319&lt;(R$491+1)),W$485,IF(ISERROR(HLOOKUP(E319,$N$484:$U$484,1,FALSE)),HLOOKUP(WEEKDAY(E319,2),IMPOSTAZIONI!$C$51:$P$56,6,FALSE),$W$484))</f>
        <v>0</v>
      </c>
      <c r="D319" s="103" t="str">
        <f t="shared" si="271"/>
        <v/>
      </c>
      <c r="E319" s="2380">
        <f t="shared" si="282"/>
        <v>45497</v>
      </c>
      <c r="F319" s="2381"/>
      <c r="G319" s="2325" t="str">
        <f>LUG!E31</f>
        <v xml:space="preserve">attiva trim.  </v>
      </c>
      <c r="H319" s="2326"/>
      <c r="I319" s="2327"/>
      <c r="J319" s="479" t="str">
        <f t="shared" si="267"/>
        <v/>
      </c>
      <c r="K319" s="480"/>
      <c r="L319" s="2319">
        <f t="shared" si="283"/>
        <v>30</v>
      </c>
      <c r="M319" s="2320"/>
      <c r="N319" s="478"/>
      <c r="O319" s="478"/>
      <c r="P319" s="478"/>
      <c r="Q319" s="2315">
        <f t="shared" si="272"/>
        <v>45497</v>
      </c>
      <c r="R319" s="2315"/>
      <c r="S319" s="478"/>
      <c r="T319" s="140">
        <f t="shared" si="273"/>
        <v>1</v>
      </c>
      <c r="U319" s="478"/>
      <c r="V319" s="478"/>
      <c r="W319" s="478"/>
      <c r="X319" s="478"/>
      <c r="Y319" s="478"/>
      <c r="Z319" s="478"/>
      <c r="AA319" s="478"/>
      <c r="AB319" s="478"/>
      <c r="AC319" s="478"/>
      <c r="AD319" s="478"/>
      <c r="AE319" s="478"/>
      <c r="AF319" s="478"/>
      <c r="AG319" s="140">
        <f t="shared" si="274"/>
        <v>0</v>
      </c>
      <c r="AH319" s="92" t="str">
        <f t="shared" si="275"/>
        <v/>
      </c>
      <c r="AI319" s="131">
        <f t="shared" si="276"/>
        <v>0</v>
      </c>
      <c r="AJ319" s="2"/>
      <c r="AK319" s="92">
        <f>IF(G319=G$481,0,IF(OR(G319&lt;&gt;0,CJ319&lt;&gt;0,C319="L"),COUNTIF(AK$114:AK318,"&gt;0")+1,0))</f>
        <v>0</v>
      </c>
      <c r="AL319" s="92" t="str">
        <f t="shared" si="277"/>
        <v/>
      </c>
      <c r="AM319" s="92" t="str">
        <f t="shared" si="278"/>
        <v/>
      </c>
      <c r="AN319" s="131">
        <f t="shared" si="268"/>
        <v>0</v>
      </c>
      <c r="AO319" s="447">
        <f>SUM(LUG!W31:Z31)</f>
        <v>0</v>
      </c>
      <c r="AP319" s="445">
        <f>SUMIF(LUG!$G$155:$J$155,AP$112,LUG!$R31:$U31)</f>
        <v>0</v>
      </c>
      <c r="AQ319" s="446">
        <f>SUMIF(LUG!$G$155:$J$155,AQ$112,LUG!$R31:$U31)</f>
        <v>0</v>
      </c>
      <c r="AR319" s="447">
        <f>SUMIF(LUG!$G$155:$J$155,AR$112,LUG!$R31:$U31)</f>
        <v>0</v>
      </c>
      <c r="AS319" s="448">
        <f>SUMIF(LUG!$G$155:$J$155,AS$112,LUG!$R31:$U31)</f>
        <v>0</v>
      </c>
      <c r="AT319" s="449">
        <f>LUG!AG31</f>
        <v>0</v>
      </c>
      <c r="AU319" s="445">
        <f>LUG!AH31</f>
        <v>0</v>
      </c>
      <c r="AV319" s="446">
        <f>LUG!AI31</f>
        <v>0</v>
      </c>
      <c r="AW319" s="447">
        <f>LUG!AJ31</f>
        <v>0</v>
      </c>
      <c r="AX319" s="448">
        <f>LUG!AK31</f>
        <v>0</v>
      </c>
      <c r="AY319" s="445">
        <f>SUMIF(LUG!$G$152:$J$152,"&gt;0",LUG!$W31:$Z31)</f>
        <v>0</v>
      </c>
      <c r="AZ319" s="1063">
        <f>SUM(LUG!AB31:AE31)</f>
        <v>0</v>
      </c>
      <c r="BA319" s="445">
        <f>SUMIF(LUG!$G$159:$J$159,BA$111,LUG!$R31:$U31)+SUMIF(LUG!$G$159:$J$159,BA$111,LUG!$W31:$Z31)</f>
        <v>0</v>
      </c>
      <c r="BB319" s="446">
        <f>SUMIF(LUG!$G$159:$J$159,BB$111,LUG!$R31:$U31)+SUMIF(LUG!$G$159:$J$159,BB$111,LUG!$W31:$Z31)</f>
        <v>0</v>
      </c>
      <c r="BC319" s="446">
        <f>SUMIF(LUG!$G$159:$J$159,BC$111,LUG!$R31:$U31)+SUMIF(LUG!$G$159:$J$159,BC$111,LUG!$W31:$Z31)</f>
        <v>0</v>
      </c>
      <c r="BD319" s="446">
        <f>SUMIF(LUG!$G$159:$J$159,BD$111,LUG!$R31:$U31)+SUMIF(LUG!$G$159:$J$159,BD$111,LUG!$W31:$Z31)</f>
        <v>0</v>
      </c>
      <c r="BE319" s="446">
        <f>SUMIF(LUG!$G$159:$J$159,BE$111,LUG!$R31:$U31)+SUMIF(LUG!$G$159:$J$159,BE$111,LUG!$W31:$Z31)</f>
        <v>0</v>
      </c>
      <c r="BF319" s="446">
        <f>SUMIF(LUG!$G$159:$J$159,BF$111,LUG!$R31:$U31)+SUMIF(LUG!$G$159:$J$159,BF$111,LUG!$W31:$Z31)</f>
        <v>0</v>
      </c>
      <c r="BG319" s="448">
        <f>SUMIF(LUG!$G$159:$J$159,BG$111,LUG!$R31:$U31)+SUMIF(LUG!$G$159:$J$159,BG$111,LUG!$W31:$Z31)</f>
        <v>0</v>
      </c>
      <c r="BH319" s="571"/>
      <c r="BI319" s="448"/>
      <c r="BJ319" s="470"/>
      <c r="BK319" s="445">
        <f>SUMIF(LUG!$G$157:$J$157,BK$111,LUG!$R31:$U31)+SUMIF(LUG!$G$157:$J$157,BK$111,LUG!$W31:$Z31)</f>
        <v>0</v>
      </c>
      <c r="BL319" s="446">
        <f>SUMIF(LUG!$G$157:$J$157,BL$111,LUG!$R31:$U31)+SUMIF(LUG!$G$157:$J$157,BL$111,LUG!$W31:$Z31)</f>
        <v>0</v>
      </c>
      <c r="BM319" s="446">
        <f>SUMIF(LUG!$G$157:$J$157,BM$111,LUG!$R31:$U31)+SUMIF(LUG!$G$157:$J$157,BM$111,LUG!$W31:$Z31)</f>
        <v>0</v>
      </c>
      <c r="BN319" s="446">
        <f>SUMIF(LUG!$G$157:$J$157,BN$111,LUG!$R31:$U31)+SUMIF(LUG!$G$157:$J$157,BN$111,LUG!$W31:$Z31)</f>
        <v>0</v>
      </c>
      <c r="BO319" s="446">
        <f>SUMIF(LUG!$G$157:$J$157,BO$111,LUG!$R31:$U31)+SUMIF(LUG!$G$157:$J$157,BO$111,LUG!$W31:$Z31)</f>
        <v>0</v>
      </c>
      <c r="BP319" s="446">
        <f>SUMIF(LUG!$G$157:$J$157,BP$111,LUG!$R31:$U31)+SUMIF(LUG!$G$157:$J$157,BP$111,LUG!$W31:$Z31)</f>
        <v>0</v>
      </c>
      <c r="BQ319" s="448">
        <f>SUMIF(LUG!$G$157:$J$157,BQ$111,LUG!$R31:$U31)+SUMIF(LUG!$G$157:$J$157,BQ$111,LUG!$W31:$Z31)</f>
        <v>0</v>
      </c>
      <c r="BR319" s="571"/>
      <c r="BS319" s="446"/>
      <c r="BT319" s="448"/>
      <c r="BU319" s="470"/>
      <c r="BV319" s="445">
        <f>SUMIF(LUG!$G$158:$J$158,BV$111,LUG!$R31:$U31)+SUMIF(LUG!$G$158:$J$158,BV$111,LUG!$W31:$Z31)</f>
        <v>0</v>
      </c>
      <c r="BW319" s="446">
        <f>SUMIF(LUG!$G$158:$J$158,BW$111,LUG!$R31:$U31)+SUMIF(LUG!$G$158:$J$158,BW$111,LUG!$W31:$Z31)</f>
        <v>0</v>
      </c>
      <c r="BX319" s="446">
        <f>SUMIF(LUG!$G$158:$J$158,BX$111,LUG!$R31:$U31)+SUMIF(LUG!$G$158:$J$158,BX$111,LUG!$W31:$Z31)</f>
        <v>0</v>
      </c>
      <c r="BY319" s="446">
        <f>SUMIF(LUG!$G$158:$J$158,BY$111,LUG!$R31:$U31)+SUMIF(LUG!$G$158:$J$158,BY$111,LUG!$W31:$Z31)</f>
        <v>0</v>
      </c>
      <c r="BZ319" s="446">
        <f>SUMIF(LUG!$G$158:$J$158,BZ$111,LUG!$R31:$U31)+SUMIF(LUG!$G$158:$J$158,BZ$111,LUG!$W31:$Z31)</f>
        <v>0</v>
      </c>
      <c r="CA319" s="446">
        <f>SUMIF(LUG!$G$158:$J$158,CA$111,LUG!$R31:$U31)+SUMIF(LUG!$G$158:$J$158,CA$111,LUG!$W31:$Z31)</f>
        <v>0</v>
      </c>
      <c r="CB319" s="448">
        <f>SUMIF(LUG!$G$158:$J$158,CB$111,LUG!$R31:$U31)+SUMIF(LUG!$G$158:$J$158,CB$111,LUG!$W31:$Z31)</f>
        <v>0</v>
      </c>
      <c r="CC319" s="571"/>
      <c r="CD319" s="448"/>
      <c r="CE319" s="92">
        <f t="shared" si="279"/>
        <v>0</v>
      </c>
      <c r="CF319" s="92">
        <f t="shared" si="280"/>
        <v>0</v>
      </c>
      <c r="CG319" s="151" t="str">
        <f t="shared" si="266"/>
        <v/>
      </c>
      <c r="CH319" s="92">
        <f t="shared" si="269"/>
        <v>0</v>
      </c>
      <c r="CI319" s="92" t="str">
        <f t="shared" si="281"/>
        <v/>
      </c>
      <c r="CJ319" s="1100">
        <f>LUG!AM31</f>
        <v>0</v>
      </c>
      <c r="CK319" s="445">
        <f>SUMIF(LUG!$G$155:$J$155,CK$112,LUG!$AN31:$AQ31)</f>
        <v>0</v>
      </c>
      <c r="CL319" s="446">
        <f>SUMIF(LUG!$G$155:$J$155,CL$112,LUG!$AN31:$AQ31)</f>
        <v>0</v>
      </c>
      <c r="CM319" s="447">
        <f>SUMIF(LUG!$G$155:$J$155,CM$112,LUG!$AN31:$AQ31)</f>
        <v>0</v>
      </c>
      <c r="CN319" s="448">
        <f>SUMIF(LUG!$G$155:$J$155,CN$112,LUG!$AN31:$AQ31)</f>
        <v>0</v>
      </c>
      <c r="CO319" s="1100">
        <f>LUG!AS31</f>
        <v>0</v>
      </c>
      <c r="CP319" s="445">
        <f>LUG!AT31</f>
        <v>0</v>
      </c>
      <c r="CQ319" s="446">
        <f>LUG!AU31</f>
        <v>0</v>
      </c>
      <c r="CR319" s="447">
        <f>LUG!AV31</f>
        <v>0</v>
      </c>
      <c r="CS319" s="448">
        <f>LUG!AW31</f>
        <v>0</v>
      </c>
      <c r="CT319" s="1100">
        <f>LUG!AY31</f>
        <v>0</v>
      </c>
      <c r="CU319" s="2"/>
    </row>
    <row r="320" spans="1:99" ht="14.25" hidden="1" customHeight="1" x14ac:dyDescent="0.2">
      <c r="A320" s="2"/>
      <c r="B320" s="151">
        <f t="shared" si="270"/>
        <v>45498</v>
      </c>
      <c r="C320" s="223">
        <f>IF(AND(E320&gt;(N$491-1),E320&lt;(R$491+1)),W$485,IF(ISERROR(HLOOKUP(E320,$N$484:$U$484,1,FALSE)),HLOOKUP(WEEKDAY(E320,2),IMPOSTAZIONI!$C$51:$P$56,6,FALSE),$W$484))</f>
        <v>0</v>
      </c>
      <c r="D320" s="103" t="str">
        <f t="shared" si="271"/>
        <v/>
      </c>
      <c r="E320" s="2380">
        <f t="shared" si="282"/>
        <v>45498</v>
      </c>
      <c r="F320" s="2381"/>
      <c r="G320" s="2325" t="str">
        <f>LUG!E32</f>
        <v xml:space="preserve">attiva trim.  </v>
      </c>
      <c r="H320" s="2326"/>
      <c r="I320" s="2327"/>
      <c r="J320" s="479" t="str">
        <f t="shared" si="267"/>
        <v/>
      </c>
      <c r="K320" s="480"/>
      <c r="L320" s="2319">
        <f t="shared" si="283"/>
        <v>30</v>
      </c>
      <c r="M320" s="2320"/>
      <c r="N320" s="478"/>
      <c r="O320" s="478"/>
      <c r="P320" s="478"/>
      <c r="Q320" s="2315">
        <f t="shared" si="272"/>
        <v>45498</v>
      </c>
      <c r="R320" s="2315"/>
      <c r="S320" s="478"/>
      <c r="T320" s="140">
        <f t="shared" si="273"/>
        <v>1</v>
      </c>
      <c r="U320" s="478"/>
      <c r="V320" s="478"/>
      <c r="W320" s="478"/>
      <c r="X320" s="478"/>
      <c r="Y320" s="478"/>
      <c r="Z320" s="478"/>
      <c r="AA320" s="478"/>
      <c r="AB320" s="478"/>
      <c r="AC320" s="478"/>
      <c r="AD320" s="478"/>
      <c r="AE320" s="478"/>
      <c r="AF320" s="478"/>
      <c r="AG320" s="140">
        <f t="shared" si="274"/>
        <v>0</v>
      </c>
      <c r="AH320" s="92" t="str">
        <f t="shared" si="275"/>
        <v/>
      </c>
      <c r="AI320" s="131">
        <f t="shared" si="276"/>
        <v>0</v>
      </c>
      <c r="AJ320" s="2"/>
      <c r="AK320" s="92">
        <f>IF(G320=G$481,0,IF(OR(G320&lt;&gt;0,CJ320&lt;&gt;0,C320="L"),COUNTIF(AK$114:AK319,"&gt;0")+1,0))</f>
        <v>0</v>
      </c>
      <c r="AL320" s="92" t="str">
        <f t="shared" si="277"/>
        <v/>
      </c>
      <c r="AM320" s="92" t="str">
        <f t="shared" si="278"/>
        <v/>
      </c>
      <c r="AN320" s="131">
        <f t="shared" si="268"/>
        <v>0</v>
      </c>
      <c r="AO320" s="447">
        <f>SUM(LUG!W32:Z32)</f>
        <v>0</v>
      </c>
      <c r="AP320" s="445">
        <f>SUMIF(LUG!$G$155:$J$155,AP$112,LUG!$R32:$U32)</f>
        <v>0</v>
      </c>
      <c r="AQ320" s="446">
        <f>SUMIF(LUG!$G$155:$J$155,AQ$112,LUG!$R32:$U32)</f>
        <v>0</v>
      </c>
      <c r="AR320" s="447">
        <f>SUMIF(LUG!$G$155:$J$155,AR$112,LUG!$R32:$U32)</f>
        <v>0</v>
      </c>
      <c r="AS320" s="448">
        <f>SUMIF(LUG!$G$155:$J$155,AS$112,LUG!$R32:$U32)</f>
        <v>0</v>
      </c>
      <c r="AT320" s="449">
        <f>LUG!AG32</f>
        <v>0</v>
      </c>
      <c r="AU320" s="445">
        <f>LUG!AH32</f>
        <v>0</v>
      </c>
      <c r="AV320" s="446">
        <f>LUG!AI32</f>
        <v>0</v>
      </c>
      <c r="AW320" s="447">
        <f>LUG!AJ32</f>
        <v>0</v>
      </c>
      <c r="AX320" s="448">
        <f>LUG!AK32</f>
        <v>0</v>
      </c>
      <c r="AY320" s="445">
        <f>SUMIF(LUG!$G$152:$J$152,"&gt;0",LUG!$W32:$Z32)</f>
        <v>0</v>
      </c>
      <c r="AZ320" s="1063">
        <f>SUM(LUG!AB32:AE32)</f>
        <v>0</v>
      </c>
      <c r="BA320" s="445">
        <f>SUMIF(LUG!$G$159:$J$159,BA$111,LUG!$R32:$U32)+SUMIF(LUG!$G$159:$J$159,BA$111,LUG!$W32:$Z32)</f>
        <v>0</v>
      </c>
      <c r="BB320" s="446">
        <f>SUMIF(LUG!$G$159:$J$159,BB$111,LUG!$R32:$U32)+SUMIF(LUG!$G$159:$J$159,BB$111,LUG!$W32:$Z32)</f>
        <v>0</v>
      </c>
      <c r="BC320" s="446">
        <f>SUMIF(LUG!$G$159:$J$159,BC$111,LUG!$R32:$U32)+SUMIF(LUG!$G$159:$J$159,BC$111,LUG!$W32:$Z32)</f>
        <v>0</v>
      </c>
      <c r="BD320" s="446">
        <f>SUMIF(LUG!$G$159:$J$159,BD$111,LUG!$R32:$U32)+SUMIF(LUG!$G$159:$J$159,BD$111,LUG!$W32:$Z32)</f>
        <v>0</v>
      </c>
      <c r="BE320" s="446">
        <f>SUMIF(LUG!$G$159:$J$159,BE$111,LUG!$R32:$U32)+SUMIF(LUG!$G$159:$J$159,BE$111,LUG!$W32:$Z32)</f>
        <v>0</v>
      </c>
      <c r="BF320" s="446">
        <f>SUMIF(LUG!$G$159:$J$159,BF$111,LUG!$R32:$U32)+SUMIF(LUG!$G$159:$J$159,BF$111,LUG!$W32:$Z32)</f>
        <v>0</v>
      </c>
      <c r="BG320" s="448">
        <f>SUMIF(LUG!$G$159:$J$159,BG$111,LUG!$R32:$U32)+SUMIF(LUG!$G$159:$J$159,BG$111,LUG!$W32:$Z32)</f>
        <v>0</v>
      </c>
      <c r="BH320" s="571"/>
      <c r="BI320" s="448"/>
      <c r="BJ320" s="470"/>
      <c r="BK320" s="445">
        <f>SUMIF(LUG!$G$157:$J$157,BK$111,LUG!$R32:$U32)+SUMIF(LUG!$G$157:$J$157,BK$111,LUG!$W32:$Z32)</f>
        <v>0</v>
      </c>
      <c r="BL320" s="446">
        <f>SUMIF(LUG!$G$157:$J$157,BL$111,LUG!$R32:$U32)+SUMIF(LUG!$G$157:$J$157,BL$111,LUG!$W32:$Z32)</f>
        <v>0</v>
      </c>
      <c r="BM320" s="446">
        <f>SUMIF(LUG!$G$157:$J$157,BM$111,LUG!$R32:$U32)+SUMIF(LUG!$G$157:$J$157,BM$111,LUG!$W32:$Z32)</f>
        <v>0</v>
      </c>
      <c r="BN320" s="446">
        <f>SUMIF(LUG!$G$157:$J$157,BN$111,LUG!$R32:$U32)+SUMIF(LUG!$G$157:$J$157,BN$111,LUG!$W32:$Z32)</f>
        <v>0</v>
      </c>
      <c r="BO320" s="446">
        <f>SUMIF(LUG!$G$157:$J$157,BO$111,LUG!$R32:$U32)+SUMIF(LUG!$G$157:$J$157,BO$111,LUG!$W32:$Z32)</f>
        <v>0</v>
      </c>
      <c r="BP320" s="446">
        <f>SUMIF(LUG!$G$157:$J$157,BP$111,LUG!$R32:$U32)+SUMIF(LUG!$G$157:$J$157,BP$111,LUG!$W32:$Z32)</f>
        <v>0</v>
      </c>
      <c r="BQ320" s="448">
        <f>SUMIF(LUG!$G$157:$J$157,BQ$111,LUG!$R32:$U32)+SUMIF(LUG!$G$157:$J$157,BQ$111,LUG!$W32:$Z32)</f>
        <v>0</v>
      </c>
      <c r="BR320" s="571"/>
      <c r="BS320" s="446"/>
      <c r="BT320" s="448"/>
      <c r="BU320" s="470"/>
      <c r="BV320" s="445">
        <f>SUMIF(LUG!$G$158:$J$158,BV$111,LUG!$R32:$U32)+SUMIF(LUG!$G$158:$J$158,BV$111,LUG!$W32:$Z32)</f>
        <v>0</v>
      </c>
      <c r="BW320" s="446">
        <f>SUMIF(LUG!$G$158:$J$158,BW$111,LUG!$R32:$U32)+SUMIF(LUG!$G$158:$J$158,BW$111,LUG!$W32:$Z32)</f>
        <v>0</v>
      </c>
      <c r="BX320" s="446">
        <f>SUMIF(LUG!$G$158:$J$158,BX$111,LUG!$R32:$U32)+SUMIF(LUG!$G$158:$J$158,BX$111,LUG!$W32:$Z32)</f>
        <v>0</v>
      </c>
      <c r="BY320" s="446">
        <f>SUMIF(LUG!$G$158:$J$158,BY$111,LUG!$R32:$U32)+SUMIF(LUG!$G$158:$J$158,BY$111,LUG!$W32:$Z32)</f>
        <v>0</v>
      </c>
      <c r="BZ320" s="446">
        <f>SUMIF(LUG!$G$158:$J$158,BZ$111,LUG!$R32:$U32)+SUMIF(LUG!$G$158:$J$158,BZ$111,LUG!$W32:$Z32)</f>
        <v>0</v>
      </c>
      <c r="CA320" s="446">
        <f>SUMIF(LUG!$G$158:$J$158,CA$111,LUG!$R32:$U32)+SUMIF(LUG!$G$158:$J$158,CA$111,LUG!$W32:$Z32)</f>
        <v>0</v>
      </c>
      <c r="CB320" s="448">
        <f>SUMIF(LUG!$G$158:$J$158,CB$111,LUG!$R32:$U32)+SUMIF(LUG!$G$158:$J$158,CB$111,LUG!$W32:$Z32)</f>
        <v>0</v>
      </c>
      <c r="CC320" s="571"/>
      <c r="CD320" s="448"/>
      <c r="CE320" s="92">
        <f t="shared" si="279"/>
        <v>0</v>
      </c>
      <c r="CF320" s="92">
        <f t="shared" si="280"/>
        <v>0</v>
      </c>
      <c r="CG320" s="151" t="str">
        <f t="shared" si="266"/>
        <v/>
      </c>
      <c r="CH320" s="92">
        <f t="shared" si="269"/>
        <v>0</v>
      </c>
      <c r="CI320" s="92" t="str">
        <f t="shared" si="281"/>
        <v/>
      </c>
      <c r="CJ320" s="1100">
        <f>LUG!AM32</f>
        <v>0</v>
      </c>
      <c r="CK320" s="445">
        <f>SUMIF(LUG!$G$155:$J$155,CK$112,LUG!$AN32:$AQ32)</f>
        <v>0</v>
      </c>
      <c r="CL320" s="446">
        <f>SUMIF(LUG!$G$155:$J$155,CL$112,LUG!$AN32:$AQ32)</f>
        <v>0</v>
      </c>
      <c r="CM320" s="447">
        <f>SUMIF(LUG!$G$155:$J$155,CM$112,LUG!$AN32:$AQ32)</f>
        <v>0</v>
      </c>
      <c r="CN320" s="448">
        <f>SUMIF(LUG!$G$155:$J$155,CN$112,LUG!$AN32:$AQ32)</f>
        <v>0</v>
      </c>
      <c r="CO320" s="1100">
        <f>LUG!AS32</f>
        <v>0</v>
      </c>
      <c r="CP320" s="445">
        <f>LUG!AT32</f>
        <v>0</v>
      </c>
      <c r="CQ320" s="446">
        <f>LUG!AU32</f>
        <v>0</v>
      </c>
      <c r="CR320" s="447">
        <f>LUG!AV32</f>
        <v>0</v>
      </c>
      <c r="CS320" s="448">
        <f>LUG!AW32</f>
        <v>0</v>
      </c>
      <c r="CT320" s="1100">
        <f>LUG!AY32</f>
        <v>0</v>
      </c>
      <c r="CU320" s="2"/>
    </row>
    <row r="321" spans="1:99" ht="14.25" hidden="1" customHeight="1" x14ac:dyDescent="0.2">
      <c r="A321" s="2"/>
      <c r="B321" s="151">
        <f t="shared" si="270"/>
        <v>45499</v>
      </c>
      <c r="C321" s="223">
        <f>IF(AND(E321&gt;(N$491-1),E321&lt;(R$491+1)),W$485,IF(ISERROR(HLOOKUP(E321,$N$484:$U$484,1,FALSE)),HLOOKUP(WEEKDAY(E321,2),IMPOSTAZIONI!$C$51:$P$56,6,FALSE),$W$484))</f>
        <v>0</v>
      </c>
      <c r="D321" s="103" t="str">
        <f t="shared" si="271"/>
        <v/>
      </c>
      <c r="E321" s="2380">
        <f t="shared" si="282"/>
        <v>45499</v>
      </c>
      <c r="F321" s="2381"/>
      <c r="G321" s="2325" t="str">
        <f>LUG!E33</f>
        <v xml:space="preserve">attiva trim.  </v>
      </c>
      <c r="H321" s="2326"/>
      <c r="I321" s="2327"/>
      <c r="J321" s="479" t="str">
        <f t="shared" si="267"/>
        <v/>
      </c>
      <c r="K321" s="480"/>
      <c r="L321" s="2319">
        <f t="shared" si="283"/>
        <v>30</v>
      </c>
      <c r="M321" s="2320"/>
      <c r="N321" s="478"/>
      <c r="O321" s="478"/>
      <c r="P321" s="478"/>
      <c r="Q321" s="2315">
        <f t="shared" si="272"/>
        <v>45499</v>
      </c>
      <c r="R321" s="2315"/>
      <c r="S321" s="478"/>
      <c r="T321" s="140">
        <f t="shared" si="273"/>
        <v>1</v>
      </c>
      <c r="U321" s="478"/>
      <c r="V321" s="478"/>
      <c r="W321" s="478"/>
      <c r="X321" s="478"/>
      <c r="Y321" s="478"/>
      <c r="Z321" s="478"/>
      <c r="AA321" s="478"/>
      <c r="AB321" s="478"/>
      <c r="AC321" s="478"/>
      <c r="AD321" s="478"/>
      <c r="AE321" s="478"/>
      <c r="AF321" s="478"/>
      <c r="AG321" s="140">
        <f t="shared" si="274"/>
        <v>0</v>
      </c>
      <c r="AH321" s="92" t="str">
        <f t="shared" si="275"/>
        <v/>
      </c>
      <c r="AI321" s="131">
        <f t="shared" si="276"/>
        <v>0</v>
      </c>
      <c r="AJ321" s="2"/>
      <c r="AK321" s="92">
        <f>IF(G321=G$481,0,IF(OR(G321&lt;&gt;0,CJ321&lt;&gt;0,C321="L"),COUNTIF(AK$114:AK320,"&gt;0")+1,0))</f>
        <v>0</v>
      </c>
      <c r="AL321" s="92" t="str">
        <f t="shared" si="277"/>
        <v/>
      </c>
      <c r="AM321" s="92" t="str">
        <f t="shared" si="278"/>
        <v/>
      </c>
      <c r="AN321" s="131">
        <f t="shared" si="268"/>
        <v>0</v>
      </c>
      <c r="AO321" s="447">
        <f>SUM(LUG!W33:Z33)</f>
        <v>0</v>
      </c>
      <c r="AP321" s="445">
        <f>SUMIF(LUG!$G$155:$J$155,AP$112,LUG!$R33:$U33)</f>
        <v>0</v>
      </c>
      <c r="AQ321" s="446">
        <f>SUMIF(LUG!$G$155:$J$155,AQ$112,LUG!$R33:$U33)</f>
        <v>0</v>
      </c>
      <c r="AR321" s="447">
        <f>SUMIF(LUG!$G$155:$J$155,AR$112,LUG!$R33:$U33)</f>
        <v>0</v>
      </c>
      <c r="AS321" s="448">
        <f>SUMIF(LUG!$G$155:$J$155,AS$112,LUG!$R33:$U33)</f>
        <v>0</v>
      </c>
      <c r="AT321" s="449">
        <f>LUG!AG33</f>
        <v>0</v>
      </c>
      <c r="AU321" s="445">
        <f>LUG!AH33</f>
        <v>0</v>
      </c>
      <c r="AV321" s="446">
        <f>LUG!AI33</f>
        <v>0</v>
      </c>
      <c r="AW321" s="447">
        <f>LUG!AJ33</f>
        <v>0</v>
      </c>
      <c r="AX321" s="448">
        <f>LUG!AK33</f>
        <v>0</v>
      </c>
      <c r="AY321" s="445">
        <f>SUMIF(LUG!$G$152:$J$152,"&gt;0",LUG!$W33:$Z33)</f>
        <v>0</v>
      </c>
      <c r="AZ321" s="1063">
        <f>SUM(LUG!AB33:AE33)</f>
        <v>0</v>
      </c>
      <c r="BA321" s="445">
        <f>SUMIF(LUG!$G$159:$J$159,BA$111,LUG!$R33:$U33)+SUMIF(LUG!$G$159:$J$159,BA$111,LUG!$W33:$Z33)</f>
        <v>0</v>
      </c>
      <c r="BB321" s="446">
        <f>SUMIF(LUG!$G$159:$J$159,BB$111,LUG!$R33:$U33)+SUMIF(LUG!$G$159:$J$159,BB$111,LUG!$W33:$Z33)</f>
        <v>0</v>
      </c>
      <c r="BC321" s="446">
        <f>SUMIF(LUG!$G$159:$J$159,BC$111,LUG!$R33:$U33)+SUMIF(LUG!$G$159:$J$159,BC$111,LUG!$W33:$Z33)</f>
        <v>0</v>
      </c>
      <c r="BD321" s="446">
        <f>SUMIF(LUG!$G$159:$J$159,BD$111,LUG!$R33:$U33)+SUMIF(LUG!$G$159:$J$159,BD$111,LUG!$W33:$Z33)</f>
        <v>0</v>
      </c>
      <c r="BE321" s="446">
        <f>SUMIF(LUG!$G$159:$J$159,BE$111,LUG!$R33:$U33)+SUMIF(LUG!$G$159:$J$159,BE$111,LUG!$W33:$Z33)</f>
        <v>0</v>
      </c>
      <c r="BF321" s="446">
        <f>SUMIF(LUG!$G$159:$J$159,BF$111,LUG!$R33:$U33)+SUMIF(LUG!$G$159:$J$159,BF$111,LUG!$W33:$Z33)</f>
        <v>0</v>
      </c>
      <c r="BG321" s="448">
        <f>SUMIF(LUG!$G$159:$J$159,BG$111,LUG!$R33:$U33)+SUMIF(LUG!$G$159:$J$159,BG$111,LUG!$W33:$Z33)</f>
        <v>0</v>
      </c>
      <c r="BH321" s="571"/>
      <c r="BI321" s="448"/>
      <c r="BJ321" s="470"/>
      <c r="BK321" s="445">
        <f>SUMIF(LUG!$G$157:$J$157,BK$111,LUG!$R33:$U33)+SUMIF(LUG!$G$157:$J$157,BK$111,LUG!$W33:$Z33)</f>
        <v>0</v>
      </c>
      <c r="BL321" s="446">
        <f>SUMIF(LUG!$G$157:$J$157,BL$111,LUG!$R33:$U33)+SUMIF(LUG!$G$157:$J$157,BL$111,LUG!$W33:$Z33)</f>
        <v>0</v>
      </c>
      <c r="BM321" s="446">
        <f>SUMIF(LUG!$G$157:$J$157,BM$111,LUG!$R33:$U33)+SUMIF(LUG!$G$157:$J$157,BM$111,LUG!$W33:$Z33)</f>
        <v>0</v>
      </c>
      <c r="BN321" s="446">
        <f>SUMIF(LUG!$G$157:$J$157,BN$111,LUG!$R33:$U33)+SUMIF(LUG!$G$157:$J$157,BN$111,LUG!$W33:$Z33)</f>
        <v>0</v>
      </c>
      <c r="BO321" s="446">
        <f>SUMIF(LUG!$G$157:$J$157,BO$111,LUG!$R33:$U33)+SUMIF(LUG!$G$157:$J$157,BO$111,LUG!$W33:$Z33)</f>
        <v>0</v>
      </c>
      <c r="BP321" s="446">
        <f>SUMIF(LUG!$G$157:$J$157,BP$111,LUG!$R33:$U33)+SUMIF(LUG!$G$157:$J$157,BP$111,LUG!$W33:$Z33)</f>
        <v>0</v>
      </c>
      <c r="BQ321" s="448">
        <f>SUMIF(LUG!$G$157:$J$157,BQ$111,LUG!$R33:$U33)+SUMIF(LUG!$G$157:$J$157,BQ$111,LUG!$W33:$Z33)</f>
        <v>0</v>
      </c>
      <c r="BR321" s="571"/>
      <c r="BS321" s="446"/>
      <c r="BT321" s="448"/>
      <c r="BU321" s="470"/>
      <c r="BV321" s="445">
        <f>SUMIF(LUG!$G$158:$J$158,BV$111,LUG!$R33:$U33)+SUMIF(LUG!$G$158:$J$158,BV$111,LUG!$W33:$Z33)</f>
        <v>0</v>
      </c>
      <c r="BW321" s="446">
        <f>SUMIF(LUG!$G$158:$J$158,BW$111,LUG!$R33:$U33)+SUMIF(LUG!$G$158:$J$158,BW$111,LUG!$W33:$Z33)</f>
        <v>0</v>
      </c>
      <c r="BX321" s="446">
        <f>SUMIF(LUG!$G$158:$J$158,BX$111,LUG!$R33:$U33)+SUMIF(LUG!$G$158:$J$158,BX$111,LUG!$W33:$Z33)</f>
        <v>0</v>
      </c>
      <c r="BY321" s="446">
        <f>SUMIF(LUG!$G$158:$J$158,BY$111,LUG!$R33:$U33)+SUMIF(LUG!$G$158:$J$158,BY$111,LUG!$W33:$Z33)</f>
        <v>0</v>
      </c>
      <c r="BZ321" s="446">
        <f>SUMIF(LUG!$G$158:$J$158,BZ$111,LUG!$R33:$U33)+SUMIF(LUG!$G$158:$J$158,BZ$111,LUG!$W33:$Z33)</f>
        <v>0</v>
      </c>
      <c r="CA321" s="446">
        <f>SUMIF(LUG!$G$158:$J$158,CA$111,LUG!$R33:$U33)+SUMIF(LUG!$G$158:$J$158,CA$111,LUG!$W33:$Z33)</f>
        <v>0</v>
      </c>
      <c r="CB321" s="448">
        <f>SUMIF(LUG!$G$158:$J$158,CB$111,LUG!$R33:$U33)+SUMIF(LUG!$G$158:$J$158,CB$111,LUG!$W33:$Z33)</f>
        <v>0</v>
      </c>
      <c r="CC321" s="571"/>
      <c r="CD321" s="448"/>
      <c r="CE321" s="92">
        <f t="shared" si="279"/>
        <v>0</v>
      </c>
      <c r="CF321" s="92">
        <f t="shared" si="280"/>
        <v>0</v>
      </c>
      <c r="CG321" s="151" t="str">
        <f t="shared" si="266"/>
        <v/>
      </c>
      <c r="CH321" s="92">
        <f t="shared" si="269"/>
        <v>0</v>
      </c>
      <c r="CI321" s="92" t="str">
        <f t="shared" si="281"/>
        <v/>
      </c>
      <c r="CJ321" s="1100">
        <f>LUG!AM33</f>
        <v>0</v>
      </c>
      <c r="CK321" s="445">
        <f>SUMIF(LUG!$G$155:$J$155,CK$112,LUG!$AN33:$AQ33)</f>
        <v>0</v>
      </c>
      <c r="CL321" s="446">
        <f>SUMIF(LUG!$G$155:$J$155,CL$112,LUG!$AN33:$AQ33)</f>
        <v>0</v>
      </c>
      <c r="CM321" s="447">
        <f>SUMIF(LUG!$G$155:$J$155,CM$112,LUG!$AN33:$AQ33)</f>
        <v>0</v>
      </c>
      <c r="CN321" s="448">
        <f>SUMIF(LUG!$G$155:$J$155,CN$112,LUG!$AN33:$AQ33)</f>
        <v>0</v>
      </c>
      <c r="CO321" s="1100">
        <f>LUG!AS33</f>
        <v>0</v>
      </c>
      <c r="CP321" s="445">
        <f>LUG!AT33</f>
        <v>0</v>
      </c>
      <c r="CQ321" s="446">
        <f>LUG!AU33</f>
        <v>0</v>
      </c>
      <c r="CR321" s="447">
        <f>LUG!AV33</f>
        <v>0</v>
      </c>
      <c r="CS321" s="448">
        <f>LUG!AW33</f>
        <v>0</v>
      </c>
      <c r="CT321" s="1100">
        <f>LUG!AY33</f>
        <v>0</v>
      </c>
      <c r="CU321" s="2"/>
    </row>
    <row r="322" spans="1:99" ht="14.25" hidden="1" customHeight="1" x14ac:dyDescent="0.2">
      <c r="A322" s="2"/>
      <c r="B322" s="151">
        <f t="shared" si="270"/>
        <v>45500</v>
      </c>
      <c r="C322" s="223">
        <f>IF(AND(E322&gt;(N$491-1),E322&lt;(R$491+1)),W$485,IF(ISERROR(HLOOKUP(E322,$N$484:$U$484,1,FALSE)),HLOOKUP(WEEKDAY(E322,2),IMPOSTAZIONI!$C$51:$P$56,6,FALSE),$W$484))</f>
        <v>0</v>
      </c>
      <c r="D322" s="103" t="str">
        <f t="shared" si="271"/>
        <v/>
      </c>
      <c r="E322" s="2380">
        <f t="shared" si="282"/>
        <v>45500</v>
      </c>
      <c r="F322" s="2381"/>
      <c r="G322" s="2325" t="str">
        <f>LUG!E34</f>
        <v xml:space="preserve">attiva trim.  </v>
      </c>
      <c r="H322" s="2326"/>
      <c r="I322" s="2327"/>
      <c r="J322" s="479" t="str">
        <f t="shared" si="267"/>
        <v/>
      </c>
      <c r="K322" s="480"/>
      <c r="L322" s="2319">
        <f t="shared" si="283"/>
        <v>30</v>
      </c>
      <c r="M322" s="2320"/>
      <c r="N322" s="478"/>
      <c r="O322" s="478"/>
      <c r="P322" s="478"/>
      <c r="Q322" s="2315">
        <f t="shared" si="272"/>
        <v>45500</v>
      </c>
      <c r="R322" s="2315"/>
      <c r="S322" s="478"/>
      <c r="T322" s="140">
        <f t="shared" si="273"/>
        <v>1</v>
      </c>
      <c r="U322" s="478"/>
      <c r="V322" s="478"/>
      <c r="W322" s="478"/>
      <c r="X322" s="478"/>
      <c r="Y322" s="478"/>
      <c r="Z322" s="478"/>
      <c r="AA322" s="478"/>
      <c r="AB322" s="478"/>
      <c r="AC322" s="478"/>
      <c r="AD322" s="478"/>
      <c r="AE322" s="478"/>
      <c r="AF322" s="478"/>
      <c r="AG322" s="140">
        <f t="shared" si="274"/>
        <v>0</v>
      </c>
      <c r="AH322" s="92" t="str">
        <f t="shared" si="275"/>
        <v/>
      </c>
      <c r="AI322" s="131">
        <f t="shared" si="276"/>
        <v>0</v>
      </c>
      <c r="AJ322" s="2"/>
      <c r="AK322" s="92">
        <f>IF(G322=G$481,0,IF(OR(G322&lt;&gt;0,CJ322&lt;&gt;0,C322="L"),COUNTIF(AK$114:AK321,"&gt;0")+1,0))</f>
        <v>0</v>
      </c>
      <c r="AL322" s="92" t="str">
        <f t="shared" si="277"/>
        <v/>
      </c>
      <c r="AM322" s="92" t="str">
        <f t="shared" si="278"/>
        <v/>
      </c>
      <c r="AN322" s="131">
        <f t="shared" si="268"/>
        <v>0</v>
      </c>
      <c r="AO322" s="447">
        <f>SUM(LUG!W34:Z34)</f>
        <v>0</v>
      </c>
      <c r="AP322" s="445">
        <f>SUMIF(LUG!$G$155:$J$155,AP$112,LUG!$R34:$U34)</f>
        <v>0</v>
      </c>
      <c r="AQ322" s="446">
        <f>SUMIF(LUG!$G$155:$J$155,AQ$112,LUG!$R34:$U34)</f>
        <v>0</v>
      </c>
      <c r="AR322" s="447">
        <f>SUMIF(LUG!$G$155:$J$155,AR$112,LUG!$R34:$U34)</f>
        <v>0</v>
      </c>
      <c r="AS322" s="448">
        <f>SUMIF(LUG!$G$155:$J$155,AS$112,LUG!$R34:$U34)</f>
        <v>0</v>
      </c>
      <c r="AT322" s="449">
        <f>LUG!AG34</f>
        <v>0</v>
      </c>
      <c r="AU322" s="445">
        <f>LUG!AH34</f>
        <v>0</v>
      </c>
      <c r="AV322" s="446">
        <f>LUG!AI34</f>
        <v>0</v>
      </c>
      <c r="AW322" s="447">
        <f>LUG!AJ34</f>
        <v>0</v>
      </c>
      <c r="AX322" s="448">
        <f>LUG!AK34</f>
        <v>0</v>
      </c>
      <c r="AY322" s="445">
        <f>SUMIF(LUG!$G$152:$J$152,"&gt;0",LUG!$W34:$Z34)</f>
        <v>0</v>
      </c>
      <c r="AZ322" s="1063">
        <f>SUM(LUG!AB34:AE34)</f>
        <v>0</v>
      </c>
      <c r="BA322" s="445">
        <f>SUMIF(LUG!$G$159:$J$159,BA$111,LUG!$R34:$U34)+SUMIF(LUG!$G$159:$J$159,BA$111,LUG!$W34:$Z34)</f>
        <v>0</v>
      </c>
      <c r="BB322" s="446">
        <f>SUMIF(LUG!$G$159:$J$159,BB$111,LUG!$R34:$U34)+SUMIF(LUG!$G$159:$J$159,BB$111,LUG!$W34:$Z34)</f>
        <v>0</v>
      </c>
      <c r="BC322" s="446">
        <f>SUMIF(LUG!$G$159:$J$159,BC$111,LUG!$R34:$U34)+SUMIF(LUG!$G$159:$J$159,BC$111,LUG!$W34:$Z34)</f>
        <v>0</v>
      </c>
      <c r="BD322" s="446">
        <f>SUMIF(LUG!$G$159:$J$159,BD$111,LUG!$R34:$U34)+SUMIF(LUG!$G$159:$J$159,BD$111,LUG!$W34:$Z34)</f>
        <v>0</v>
      </c>
      <c r="BE322" s="446">
        <f>SUMIF(LUG!$G$159:$J$159,BE$111,LUG!$R34:$U34)+SUMIF(LUG!$G$159:$J$159,BE$111,LUG!$W34:$Z34)</f>
        <v>0</v>
      </c>
      <c r="BF322" s="446">
        <f>SUMIF(LUG!$G$159:$J$159,BF$111,LUG!$R34:$U34)+SUMIF(LUG!$G$159:$J$159,BF$111,LUG!$W34:$Z34)</f>
        <v>0</v>
      </c>
      <c r="BG322" s="448">
        <f>SUMIF(LUG!$G$159:$J$159,BG$111,LUG!$R34:$U34)+SUMIF(LUG!$G$159:$J$159,BG$111,LUG!$W34:$Z34)</f>
        <v>0</v>
      </c>
      <c r="BH322" s="571"/>
      <c r="BI322" s="448"/>
      <c r="BJ322" s="470"/>
      <c r="BK322" s="445">
        <f>SUMIF(LUG!$G$157:$J$157,BK$111,LUG!$R34:$U34)+SUMIF(LUG!$G$157:$J$157,BK$111,LUG!$W34:$Z34)</f>
        <v>0</v>
      </c>
      <c r="BL322" s="446">
        <f>SUMIF(LUG!$G$157:$J$157,BL$111,LUG!$R34:$U34)+SUMIF(LUG!$G$157:$J$157,BL$111,LUG!$W34:$Z34)</f>
        <v>0</v>
      </c>
      <c r="BM322" s="446">
        <f>SUMIF(LUG!$G$157:$J$157,BM$111,LUG!$R34:$U34)+SUMIF(LUG!$G$157:$J$157,BM$111,LUG!$W34:$Z34)</f>
        <v>0</v>
      </c>
      <c r="BN322" s="446">
        <f>SUMIF(LUG!$G$157:$J$157,BN$111,LUG!$R34:$U34)+SUMIF(LUG!$G$157:$J$157,BN$111,LUG!$W34:$Z34)</f>
        <v>0</v>
      </c>
      <c r="BO322" s="446">
        <f>SUMIF(LUG!$G$157:$J$157,BO$111,LUG!$R34:$U34)+SUMIF(LUG!$G$157:$J$157,BO$111,LUG!$W34:$Z34)</f>
        <v>0</v>
      </c>
      <c r="BP322" s="446">
        <f>SUMIF(LUG!$G$157:$J$157,BP$111,LUG!$R34:$U34)+SUMIF(LUG!$G$157:$J$157,BP$111,LUG!$W34:$Z34)</f>
        <v>0</v>
      </c>
      <c r="BQ322" s="448">
        <f>SUMIF(LUG!$G$157:$J$157,BQ$111,LUG!$R34:$U34)+SUMIF(LUG!$G$157:$J$157,BQ$111,LUG!$W34:$Z34)</f>
        <v>0</v>
      </c>
      <c r="BR322" s="571"/>
      <c r="BS322" s="446"/>
      <c r="BT322" s="448"/>
      <c r="BU322" s="470"/>
      <c r="BV322" s="445">
        <f>SUMIF(LUG!$G$158:$J$158,BV$111,LUG!$R34:$U34)+SUMIF(LUG!$G$158:$J$158,BV$111,LUG!$W34:$Z34)</f>
        <v>0</v>
      </c>
      <c r="BW322" s="446">
        <f>SUMIF(LUG!$G$158:$J$158,BW$111,LUG!$R34:$U34)+SUMIF(LUG!$G$158:$J$158,BW$111,LUG!$W34:$Z34)</f>
        <v>0</v>
      </c>
      <c r="BX322" s="446">
        <f>SUMIF(LUG!$G$158:$J$158,BX$111,LUG!$R34:$U34)+SUMIF(LUG!$G$158:$J$158,BX$111,LUG!$W34:$Z34)</f>
        <v>0</v>
      </c>
      <c r="BY322" s="446">
        <f>SUMIF(LUG!$G$158:$J$158,BY$111,LUG!$R34:$U34)+SUMIF(LUG!$G$158:$J$158,BY$111,LUG!$W34:$Z34)</f>
        <v>0</v>
      </c>
      <c r="BZ322" s="446">
        <f>SUMIF(LUG!$G$158:$J$158,BZ$111,LUG!$R34:$U34)+SUMIF(LUG!$G$158:$J$158,BZ$111,LUG!$W34:$Z34)</f>
        <v>0</v>
      </c>
      <c r="CA322" s="446">
        <f>SUMIF(LUG!$G$158:$J$158,CA$111,LUG!$R34:$U34)+SUMIF(LUG!$G$158:$J$158,CA$111,LUG!$W34:$Z34)</f>
        <v>0</v>
      </c>
      <c r="CB322" s="448">
        <f>SUMIF(LUG!$G$158:$J$158,CB$111,LUG!$R34:$U34)+SUMIF(LUG!$G$158:$J$158,CB$111,LUG!$W34:$Z34)</f>
        <v>0</v>
      </c>
      <c r="CC322" s="571"/>
      <c r="CD322" s="448"/>
      <c r="CE322" s="92">
        <f t="shared" si="279"/>
        <v>0</v>
      </c>
      <c r="CF322" s="92">
        <f t="shared" si="280"/>
        <v>0</v>
      </c>
      <c r="CG322" s="151" t="str">
        <f t="shared" si="266"/>
        <v/>
      </c>
      <c r="CH322" s="92">
        <f t="shared" si="269"/>
        <v>0</v>
      </c>
      <c r="CI322" s="92" t="str">
        <f t="shared" si="281"/>
        <v/>
      </c>
      <c r="CJ322" s="1100">
        <f>LUG!AM34</f>
        <v>0</v>
      </c>
      <c r="CK322" s="445">
        <f>SUMIF(LUG!$G$155:$J$155,CK$112,LUG!$AN34:$AQ34)</f>
        <v>0</v>
      </c>
      <c r="CL322" s="446">
        <f>SUMIF(LUG!$G$155:$J$155,CL$112,LUG!$AN34:$AQ34)</f>
        <v>0</v>
      </c>
      <c r="CM322" s="447">
        <f>SUMIF(LUG!$G$155:$J$155,CM$112,LUG!$AN34:$AQ34)</f>
        <v>0</v>
      </c>
      <c r="CN322" s="448">
        <f>SUMIF(LUG!$G$155:$J$155,CN$112,LUG!$AN34:$AQ34)</f>
        <v>0</v>
      </c>
      <c r="CO322" s="1100">
        <f>LUG!AS34</f>
        <v>0</v>
      </c>
      <c r="CP322" s="445">
        <f>LUG!AT34</f>
        <v>0</v>
      </c>
      <c r="CQ322" s="446">
        <f>LUG!AU34</f>
        <v>0</v>
      </c>
      <c r="CR322" s="447">
        <f>LUG!AV34</f>
        <v>0</v>
      </c>
      <c r="CS322" s="448">
        <f>LUG!AW34</f>
        <v>0</v>
      </c>
      <c r="CT322" s="1100">
        <f>LUG!AY34</f>
        <v>0</v>
      </c>
      <c r="CU322" s="2"/>
    </row>
    <row r="323" spans="1:99" ht="14.25" hidden="1" customHeight="1" x14ac:dyDescent="0.2">
      <c r="A323" s="2"/>
      <c r="B323" s="151">
        <f t="shared" si="270"/>
        <v>45501</v>
      </c>
      <c r="C323" s="223">
        <f>IF(AND(E323&gt;(N$491-1),E323&lt;(R$491+1)),W$485,IF(ISERROR(HLOOKUP(E323,$N$484:$U$484,1,FALSE)),HLOOKUP(WEEKDAY(E323,2),IMPOSTAZIONI!$C$51:$P$56,6,FALSE),$W$484))</f>
        <v>0</v>
      </c>
      <c r="D323" s="103" t="str">
        <f t="shared" si="271"/>
        <v/>
      </c>
      <c r="E323" s="2380">
        <f t="shared" si="282"/>
        <v>45501</v>
      </c>
      <c r="F323" s="2381"/>
      <c r="G323" s="2325" t="str">
        <f>LUG!E35</f>
        <v xml:space="preserve">attiva trim.  </v>
      </c>
      <c r="H323" s="2326"/>
      <c r="I323" s="2327"/>
      <c r="J323" s="479" t="str">
        <f t="shared" si="267"/>
        <v/>
      </c>
      <c r="K323" s="480"/>
      <c r="L323" s="2321">
        <f t="shared" si="283"/>
        <v>30</v>
      </c>
      <c r="M323" s="2322"/>
      <c r="N323" s="478"/>
      <c r="O323" s="478"/>
      <c r="P323" s="478"/>
      <c r="Q323" s="2315">
        <f t="shared" si="272"/>
        <v>45501</v>
      </c>
      <c r="R323" s="2315"/>
      <c r="S323" s="478"/>
      <c r="T323" s="140">
        <f t="shared" si="273"/>
        <v>1</v>
      </c>
      <c r="U323" s="478"/>
      <c r="V323" s="478"/>
      <c r="W323" s="478"/>
      <c r="X323" s="478"/>
      <c r="Y323" s="478"/>
      <c r="Z323" s="478"/>
      <c r="AA323" s="478"/>
      <c r="AB323" s="478"/>
      <c r="AC323" s="478"/>
      <c r="AD323" s="478"/>
      <c r="AE323" s="478"/>
      <c r="AF323" s="478"/>
      <c r="AG323" s="140">
        <f t="shared" si="274"/>
        <v>0</v>
      </c>
      <c r="AH323" s="92" t="str">
        <f t="shared" si="275"/>
        <v/>
      </c>
      <c r="AI323" s="131">
        <f t="shared" si="276"/>
        <v>0</v>
      </c>
      <c r="AJ323" s="2"/>
      <c r="AK323" s="92">
        <f>IF(G323=G$481,0,IF(OR(G323&lt;&gt;0,CJ323&lt;&gt;0,C323="L"),COUNTIF(AK$114:AK322,"&gt;0")+1,0))</f>
        <v>0</v>
      </c>
      <c r="AL323" s="92" t="str">
        <f t="shared" si="277"/>
        <v/>
      </c>
      <c r="AM323" s="92" t="str">
        <f t="shared" si="278"/>
        <v/>
      </c>
      <c r="AN323" s="131">
        <f t="shared" si="268"/>
        <v>0</v>
      </c>
      <c r="AO323" s="447">
        <f>SUM(LUG!W35:Z35)</f>
        <v>0</v>
      </c>
      <c r="AP323" s="445">
        <f>SUMIF(LUG!$G$155:$J$155,AP$112,LUG!$R35:$U35)</f>
        <v>0</v>
      </c>
      <c r="AQ323" s="446">
        <f>SUMIF(LUG!$G$155:$J$155,AQ$112,LUG!$R35:$U35)</f>
        <v>0</v>
      </c>
      <c r="AR323" s="447">
        <f>SUMIF(LUG!$G$155:$J$155,AR$112,LUG!$R35:$U35)</f>
        <v>0</v>
      </c>
      <c r="AS323" s="448">
        <f>SUMIF(LUG!$G$155:$J$155,AS$112,LUG!$R35:$U35)</f>
        <v>0</v>
      </c>
      <c r="AT323" s="449">
        <f>LUG!AG35</f>
        <v>0</v>
      </c>
      <c r="AU323" s="445">
        <f>LUG!AH35</f>
        <v>0</v>
      </c>
      <c r="AV323" s="446">
        <f>LUG!AI35</f>
        <v>0</v>
      </c>
      <c r="AW323" s="447">
        <f>LUG!AJ35</f>
        <v>0</v>
      </c>
      <c r="AX323" s="448">
        <f>LUG!AK35</f>
        <v>0</v>
      </c>
      <c r="AY323" s="445">
        <f>SUMIF(LUG!$G$152:$J$152,"&gt;0",LUG!$W35:$Z35)</f>
        <v>0</v>
      </c>
      <c r="AZ323" s="1063">
        <f>SUM(LUG!AB35:AE35)</f>
        <v>0</v>
      </c>
      <c r="BA323" s="445">
        <f>SUMIF(LUG!$G$159:$J$159,BA$111,LUG!$R35:$U35)+SUMIF(LUG!$G$159:$J$159,BA$111,LUG!$W35:$Z35)</f>
        <v>0</v>
      </c>
      <c r="BB323" s="446">
        <f>SUMIF(LUG!$G$159:$J$159,BB$111,LUG!$R35:$U35)+SUMIF(LUG!$G$159:$J$159,BB$111,LUG!$W35:$Z35)</f>
        <v>0</v>
      </c>
      <c r="BC323" s="446">
        <f>SUMIF(LUG!$G$159:$J$159,BC$111,LUG!$R35:$U35)+SUMIF(LUG!$G$159:$J$159,BC$111,LUG!$W35:$Z35)</f>
        <v>0</v>
      </c>
      <c r="BD323" s="446">
        <f>SUMIF(LUG!$G$159:$J$159,BD$111,LUG!$R35:$U35)+SUMIF(LUG!$G$159:$J$159,BD$111,LUG!$W35:$Z35)</f>
        <v>0</v>
      </c>
      <c r="BE323" s="446">
        <f>SUMIF(LUG!$G$159:$J$159,BE$111,LUG!$R35:$U35)+SUMIF(LUG!$G$159:$J$159,BE$111,LUG!$W35:$Z35)</f>
        <v>0</v>
      </c>
      <c r="BF323" s="446">
        <f>SUMIF(LUG!$G$159:$J$159,BF$111,LUG!$R35:$U35)+SUMIF(LUG!$G$159:$J$159,BF$111,LUG!$W35:$Z35)</f>
        <v>0</v>
      </c>
      <c r="BG323" s="448">
        <f>SUMIF(LUG!$G$159:$J$159,BG$111,LUG!$R35:$U35)+SUMIF(LUG!$G$159:$J$159,BG$111,LUG!$W35:$Z35)</f>
        <v>0</v>
      </c>
      <c r="BH323" s="571"/>
      <c r="BI323" s="448"/>
      <c r="BJ323" s="470"/>
      <c r="BK323" s="445">
        <f>SUMIF(LUG!$G$157:$J$157,BK$111,LUG!$R35:$U35)+SUMIF(LUG!$G$157:$J$157,BK$111,LUG!$W35:$Z35)</f>
        <v>0</v>
      </c>
      <c r="BL323" s="446">
        <f>SUMIF(LUG!$G$157:$J$157,BL$111,LUG!$R35:$U35)+SUMIF(LUG!$G$157:$J$157,BL$111,LUG!$W35:$Z35)</f>
        <v>0</v>
      </c>
      <c r="BM323" s="446">
        <f>SUMIF(LUG!$G$157:$J$157,BM$111,LUG!$R35:$U35)+SUMIF(LUG!$G$157:$J$157,BM$111,LUG!$W35:$Z35)</f>
        <v>0</v>
      </c>
      <c r="BN323" s="446">
        <f>SUMIF(LUG!$G$157:$J$157,BN$111,LUG!$R35:$U35)+SUMIF(LUG!$G$157:$J$157,BN$111,LUG!$W35:$Z35)</f>
        <v>0</v>
      </c>
      <c r="BO323" s="446">
        <f>SUMIF(LUG!$G$157:$J$157,BO$111,LUG!$R35:$U35)+SUMIF(LUG!$G$157:$J$157,BO$111,LUG!$W35:$Z35)</f>
        <v>0</v>
      </c>
      <c r="BP323" s="446">
        <f>SUMIF(LUG!$G$157:$J$157,BP$111,LUG!$R35:$U35)+SUMIF(LUG!$G$157:$J$157,BP$111,LUG!$W35:$Z35)</f>
        <v>0</v>
      </c>
      <c r="BQ323" s="448">
        <f>SUMIF(LUG!$G$157:$J$157,BQ$111,LUG!$R35:$U35)+SUMIF(LUG!$G$157:$J$157,BQ$111,LUG!$W35:$Z35)</f>
        <v>0</v>
      </c>
      <c r="BR323" s="571"/>
      <c r="BS323" s="446"/>
      <c r="BT323" s="448"/>
      <c r="BU323" s="470"/>
      <c r="BV323" s="445">
        <f>SUMIF(LUG!$G$158:$J$158,BV$111,LUG!$R35:$U35)+SUMIF(LUG!$G$158:$J$158,BV$111,LUG!$W35:$Z35)</f>
        <v>0</v>
      </c>
      <c r="BW323" s="446">
        <f>SUMIF(LUG!$G$158:$J$158,BW$111,LUG!$R35:$U35)+SUMIF(LUG!$G$158:$J$158,BW$111,LUG!$W35:$Z35)</f>
        <v>0</v>
      </c>
      <c r="BX323" s="446">
        <f>SUMIF(LUG!$G$158:$J$158,BX$111,LUG!$R35:$U35)+SUMIF(LUG!$G$158:$J$158,BX$111,LUG!$W35:$Z35)</f>
        <v>0</v>
      </c>
      <c r="BY323" s="446">
        <f>SUMIF(LUG!$G$158:$J$158,BY$111,LUG!$R35:$U35)+SUMIF(LUG!$G$158:$J$158,BY$111,LUG!$W35:$Z35)</f>
        <v>0</v>
      </c>
      <c r="BZ323" s="446">
        <f>SUMIF(LUG!$G$158:$J$158,BZ$111,LUG!$R35:$U35)+SUMIF(LUG!$G$158:$J$158,BZ$111,LUG!$W35:$Z35)</f>
        <v>0</v>
      </c>
      <c r="CA323" s="446">
        <f>SUMIF(LUG!$G$158:$J$158,CA$111,LUG!$R35:$U35)+SUMIF(LUG!$G$158:$J$158,CA$111,LUG!$W35:$Z35)</f>
        <v>0</v>
      </c>
      <c r="CB323" s="448">
        <f>SUMIF(LUG!$G$158:$J$158,CB$111,LUG!$R35:$U35)+SUMIF(LUG!$G$158:$J$158,CB$111,LUG!$W35:$Z35)</f>
        <v>0</v>
      </c>
      <c r="CC323" s="571"/>
      <c r="CD323" s="448"/>
      <c r="CE323" s="92">
        <f t="shared" si="279"/>
        <v>0</v>
      </c>
      <c r="CF323" s="92">
        <f t="shared" si="280"/>
        <v>0</v>
      </c>
      <c r="CG323" s="151" t="str">
        <f t="shared" si="266"/>
        <v/>
      </c>
      <c r="CH323" s="92">
        <f t="shared" si="269"/>
        <v>0</v>
      </c>
      <c r="CI323" s="92" t="str">
        <f t="shared" si="281"/>
        <v/>
      </c>
      <c r="CJ323" s="1100">
        <f>LUG!AM35</f>
        <v>0</v>
      </c>
      <c r="CK323" s="445">
        <f>SUMIF(LUG!$G$155:$J$155,CK$112,LUG!$AN35:$AQ35)</f>
        <v>0</v>
      </c>
      <c r="CL323" s="446">
        <f>SUMIF(LUG!$G$155:$J$155,CL$112,LUG!$AN35:$AQ35)</f>
        <v>0</v>
      </c>
      <c r="CM323" s="447">
        <f>SUMIF(LUG!$G$155:$J$155,CM$112,LUG!$AN35:$AQ35)</f>
        <v>0</v>
      </c>
      <c r="CN323" s="448">
        <f>SUMIF(LUG!$G$155:$J$155,CN$112,LUG!$AN35:$AQ35)</f>
        <v>0</v>
      </c>
      <c r="CO323" s="1100">
        <f>LUG!AS35</f>
        <v>0</v>
      </c>
      <c r="CP323" s="445">
        <f>LUG!AT35</f>
        <v>0</v>
      </c>
      <c r="CQ323" s="446">
        <f>LUG!AU35</f>
        <v>0</v>
      </c>
      <c r="CR323" s="447">
        <f>LUG!AV35</f>
        <v>0</v>
      </c>
      <c r="CS323" s="448">
        <f>LUG!AW35</f>
        <v>0</v>
      </c>
      <c r="CT323" s="1100">
        <f>LUG!AY35</f>
        <v>0</v>
      </c>
      <c r="CU323" s="2"/>
    </row>
    <row r="324" spans="1:99" ht="14.25" hidden="1" customHeight="1" x14ac:dyDescent="0.2">
      <c r="A324" s="2"/>
      <c r="B324" s="151">
        <f t="shared" si="270"/>
        <v>45502</v>
      </c>
      <c r="C324" s="223">
        <f>IF(AND(E324&gt;(N$491-1),E324&lt;(R$491+1)),W$485,IF(ISERROR(HLOOKUP(E324,$N$484:$U$484,1,FALSE)),HLOOKUP(WEEKDAY(E324,2),IMPOSTAZIONI!$C$51:$P$56,6,FALSE),$W$484))</f>
        <v>0</v>
      </c>
      <c r="D324" s="103" t="str">
        <f t="shared" si="271"/>
        <v/>
      </c>
      <c r="E324" s="2380">
        <f t="shared" si="282"/>
        <v>45502</v>
      </c>
      <c r="F324" s="2381"/>
      <c r="G324" s="2325" t="str">
        <f>LUG!E36</f>
        <v xml:space="preserve">attiva trim.  </v>
      </c>
      <c r="H324" s="2326"/>
      <c r="I324" s="2327"/>
      <c r="J324" s="479" t="str">
        <f t="shared" si="267"/>
        <v/>
      </c>
      <c r="K324" s="480"/>
      <c r="L324" s="2323">
        <f t="shared" si="283"/>
        <v>31</v>
      </c>
      <c r="M324" s="2324"/>
      <c r="N324" s="478"/>
      <c r="O324" s="478"/>
      <c r="P324" s="478"/>
      <c r="Q324" s="2315">
        <f t="shared" si="272"/>
        <v>45502</v>
      </c>
      <c r="R324" s="2315"/>
      <c r="S324" s="478"/>
      <c r="T324" s="140">
        <f t="shared" si="273"/>
        <v>1</v>
      </c>
      <c r="U324" s="478"/>
      <c r="V324" s="478"/>
      <c r="W324" s="478"/>
      <c r="X324" s="478"/>
      <c r="Y324" s="478"/>
      <c r="Z324" s="478"/>
      <c r="AA324" s="478"/>
      <c r="AB324" s="478"/>
      <c r="AC324" s="478"/>
      <c r="AD324" s="478"/>
      <c r="AE324" s="478"/>
      <c r="AF324" s="478"/>
      <c r="AG324" s="140">
        <f t="shared" si="274"/>
        <v>0</v>
      </c>
      <c r="AH324" s="92" t="str">
        <f t="shared" si="275"/>
        <v/>
      </c>
      <c r="AI324" s="131">
        <f t="shared" si="276"/>
        <v>0</v>
      </c>
      <c r="AJ324" s="2"/>
      <c r="AK324" s="92">
        <f>IF(G324=G$481,0,IF(OR(G324&lt;&gt;0,CJ324&lt;&gt;0,C324="L"),COUNTIF(AK$114:AK323,"&gt;0")+1,0))</f>
        <v>0</v>
      </c>
      <c r="AL324" s="92" t="str">
        <f t="shared" si="277"/>
        <v/>
      </c>
      <c r="AM324" s="92" t="str">
        <f t="shared" si="278"/>
        <v/>
      </c>
      <c r="AN324" s="131">
        <f t="shared" si="268"/>
        <v>0</v>
      </c>
      <c r="AO324" s="447">
        <f>SUM(LUG!W36:Z36)</f>
        <v>0</v>
      </c>
      <c r="AP324" s="445">
        <f>SUMIF(LUG!$G$155:$J$155,AP$112,LUG!$R36:$U36)</f>
        <v>0</v>
      </c>
      <c r="AQ324" s="446">
        <f>SUMIF(LUG!$G$155:$J$155,AQ$112,LUG!$R36:$U36)</f>
        <v>0</v>
      </c>
      <c r="AR324" s="447">
        <f>SUMIF(LUG!$G$155:$J$155,AR$112,LUG!$R36:$U36)</f>
        <v>0</v>
      </c>
      <c r="AS324" s="448">
        <f>SUMIF(LUG!$G$155:$J$155,AS$112,LUG!$R36:$U36)</f>
        <v>0</v>
      </c>
      <c r="AT324" s="449">
        <f>LUG!AG36</f>
        <v>0</v>
      </c>
      <c r="AU324" s="445">
        <f>LUG!AH36</f>
        <v>0</v>
      </c>
      <c r="AV324" s="446">
        <f>LUG!AI36</f>
        <v>0</v>
      </c>
      <c r="AW324" s="447">
        <f>LUG!AJ36</f>
        <v>0</v>
      </c>
      <c r="AX324" s="448">
        <f>LUG!AK36</f>
        <v>0</v>
      </c>
      <c r="AY324" s="445">
        <f>SUMIF(LUG!$G$152:$J$152,"&gt;0",LUG!$W36:$Z36)</f>
        <v>0</v>
      </c>
      <c r="AZ324" s="1063">
        <f>SUM(LUG!AB36:AE36)</f>
        <v>0</v>
      </c>
      <c r="BA324" s="445">
        <f>SUMIF(LUG!$G$159:$J$159,BA$111,LUG!$R36:$U36)+SUMIF(LUG!$G$159:$J$159,BA$111,LUG!$W36:$Z36)</f>
        <v>0</v>
      </c>
      <c r="BB324" s="446">
        <f>SUMIF(LUG!$G$159:$J$159,BB$111,LUG!$R36:$U36)+SUMIF(LUG!$G$159:$J$159,BB$111,LUG!$W36:$Z36)</f>
        <v>0</v>
      </c>
      <c r="BC324" s="446">
        <f>SUMIF(LUG!$G$159:$J$159,BC$111,LUG!$R36:$U36)+SUMIF(LUG!$G$159:$J$159,BC$111,LUG!$W36:$Z36)</f>
        <v>0</v>
      </c>
      <c r="BD324" s="446">
        <f>SUMIF(LUG!$G$159:$J$159,BD$111,LUG!$R36:$U36)+SUMIF(LUG!$G$159:$J$159,BD$111,LUG!$W36:$Z36)</f>
        <v>0</v>
      </c>
      <c r="BE324" s="446">
        <f>SUMIF(LUG!$G$159:$J$159,BE$111,LUG!$R36:$U36)+SUMIF(LUG!$G$159:$J$159,BE$111,LUG!$W36:$Z36)</f>
        <v>0</v>
      </c>
      <c r="BF324" s="446">
        <f>SUMIF(LUG!$G$159:$J$159,BF$111,LUG!$R36:$U36)+SUMIF(LUG!$G$159:$J$159,BF$111,LUG!$W36:$Z36)</f>
        <v>0</v>
      </c>
      <c r="BG324" s="448">
        <f>SUMIF(LUG!$G$159:$J$159,BG$111,LUG!$R36:$U36)+SUMIF(LUG!$G$159:$J$159,BG$111,LUG!$W36:$Z36)</f>
        <v>0</v>
      </c>
      <c r="BH324" s="571"/>
      <c r="BI324" s="448"/>
      <c r="BJ324" s="470"/>
      <c r="BK324" s="445">
        <f>SUMIF(LUG!$G$157:$J$157,BK$111,LUG!$R36:$U36)+SUMIF(LUG!$G$157:$J$157,BK$111,LUG!$W36:$Z36)</f>
        <v>0</v>
      </c>
      <c r="BL324" s="446">
        <f>SUMIF(LUG!$G$157:$J$157,BL$111,LUG!$R36:$U36)+SUMIF(LUG!$G$157:$J$157,BL$111,LUG!$W36:$Z36)</f>
        <v>0</v>
      </c>
      <c r="BM324" s="446">
        <f>SUMIF(LUG!$G$157:$J$157,BM$111,LUG!$R36:$U36)+SUMIF(LUG!$G$157:$J$157,BM$111,LUG!$W36:$Z36)</f>
        <v>0</v>
      </c>
      <c r="BN324" s="446">
        <f>SUMIF(LUG!$G$157:$J$157,BN$111,LUG!$R36:$U36)+SUMIF(LUG!$G$157:$J$157,BN$111,LUG!$W36:$Z36)</f>
        <v>0</v>
      </c>
      <c r="BO324" s="446">
        <f>SUMIF(LUG!$G$157:$J$157,BO$111,LUG!$R36:$U36)+SUMIF(LUG!$G$157:$J$157,BO$111,LUG!$W36:$Z36)</f>
        <v>0</v>
      </c>
      <c r="BP324" s="446">
        <f>SUMIF(LUG!$G$157:$J$157,BP$111,LUG!$R36:$U36)+SUMIF(LUG!$G$157:$J$157,BP$111,LUG!$W36:$Z36)</f>
        <v>0</v>
      </c>
      <c r="BQ324" s="448">
        <f>SUMIF(LUG!$G$157:$J$157,BQ$111,LUG!$R36:$U36)+SUMIF(LUG!$G$157:$J$157,BQ$111,LUG!$W36:$Z36)</f>
        <v>0</v>
      </c>
      <c r="BR324" s="571"/>
      <c r="BS324" s="446"/>
      <c r="BT324" s="448"/>
      <c r="BU324" s="470"/>
      <c r="BV324" s="445">
        <f>SUMIF(LUG!$G$158:$J$158,BV$111,LUG!$R36:$U36)+SUMIF(LUG!$G$158:$J$158,BV$111,LUG!$W36:$Z36)</f>
        <v>0</v>
      </c>
      <c r="BW324" s="446">
        <f>SUMIF(LUG!$G$158:$J$158,BW$111,LUG!$R36:$U36)+SUMIF(LUG!$G$158:$J$158,BW$111,LUG!$W36:$Z36)</f>
        <v>0</v>
      </c>
      <c r="BX324" s="446">
        <f>SUMIF(LUG!$G$158:$J$158,BX$111,LUG!$R36:$U36)+SUMIF(LUG!$G$158:$J$158,BX$111,LUG!$W36:$Z36)</f>
        <v>0</v>
      </c>
      <c r="BY324" s="446">
        <f>SUMIF(LUG!$G$158:$J$158,BY$111,LUG!$R36:$U36)+SUMIF(LUG!$G$158:$J$158,BY$111,LUG!$W36:$Z36)</f>
        <v>0</v>
      </c>
      <c r="BZ324" s="446">
        <f>SUMIF(LUG!$G$158:$J$158,BZ$111,LUG!$R36:$U36)+SUMIF(LUG!$G$158:$J$158,BZ$111,LUG!$W36:$Z36)</f>
        <v>0</v>
      </c>
      <c r="CA324" s="446">
        <f>SUMIF(LUG!$G$158:$J$158,CA$111,LUG!$R36:$U36)+SUMIF(LUG!$G$158:$J$158,CA$111,LUG!$W36:$Z36)</f>
        <v>0</v>
      </c>
      <c r="CB324" s="448">
        <f>SUMIF(LUG!$G$158:$J$158,CB$111,LUG!$R36:$U36)+SUMIF(LUG!$G$158:$J$158,CB$111,LUG!$W36:$Z36)</f>
        <v>0</v>
      </c>
      <c r="CC324" s="571"/>
      <c r="CD324" s="448"/>
      <c r="CE324" s="92">
        <f t="shared" si="279"/>
        <v>0</v>
      </c>
      <c r="CF324" s="92">
        <f t="shared" si="280"/>
        <v>0</v>
      </c>
      <c r="CG324" s="151" t="str">
        <f t="shared" si="266"/>
        <v/>
      </c>
      <c r="CH324" s="92">
        <f t="shared" si="269"/>
        <v>0</v>
      </c>
      <c r="CI324" s="92" t="str">
        <f t="shared" si="281"/>
        <v/>
      </c>
      <c r="CJ324" s="1100">
        <f>LUG!AM36</f>
        <v>0</v>
      </c>
      <c r="CK324" s="445">
        <f>SUMIF(LUG!$G$155:$J$155,CK$112,LUG!$AN36:$AQ36)</f>
        <v>0</v>
      </c>
      <c r="CL324" s="446">
        <f>SUMIF(LUG!$G$155:$J$155,CL$112,LUG!$AN36:$AQ36)</f>
        <v>0</v>
      </c>
      <c r="CM324" s="447">
        <f>SUMIF(LUG!$G$155:$J$155,CM$112,LUG!$AN36:$AQ36)</f>
        <v>0</v>
      </c>
      <c r="CN324" s="448">
        <f>SUMIF(LUG!$G$155:$J$155,CN$112,LUG!$AN36:$AQ36)</f>
        <v>0</v>
      </c>
      <c r="CO324" s="1100">
        <f>LUG!AS36</f>
        <v>0</v>
      </c>
      <c r="CP324" s="445">
        <f>LUG!AT36</f>
        <v>0</v>
      </c>
      <c r="CQ324" s="446">
        <f>LUG!AU36</f>
        <v>0</v>
      </c>
      <c r="CR324" s="447">
        <f>LUG!AV36</f>
        <v>0</v>
      </c>
      <c r="CS324" s="448">
        <f>LUG!AW36</f>
        <v>0</v>
      </c>
      <c r="CT324" s="1100">
        <f>LUG!AY36</f>
        <v>0</v>
      </c>
      <c r="CU324" s="2"/>
    </row>
    <row r="325" spans="1:99" ht="14.25" hidden="1" customHeight="1" x14ac:dyDescent="0.2">
      <c r="A325" s="2"/>
      <c r="B325" s="151">
        <f t="shared" si="270"/>
        <v>45503</v>
      </c>
      <c r="C325" s="223">
        <f>IF(AND(E325&gt;(N$491-1),E325&lt;(R$491+1)),W$485,IF(ISERROR(HLOOKUP(E325,$N$484:$U$484,1,FALSE)),HLOOKUP(WEEKDAY(E325,2),IMPOSTAZIONI!$C$51:$P$56,6,FALSE),$W$484))</f>
        <v>0</v>
      </c>
      <c r="D325" s="103" t="str">
        <f t="shared" si="271"/>
        <v/>
      </c>
      <c r="E325" s="2380">
        <f t="shared" si="282"/>
        <v>45503</v>
      </c>
      <c r="F325" s="2381"/>
      <c r="G325" s="2325" t="str">
        <f>LUG!E37</f>
        <v xml:space="preserve">attiva trim.  </v>
      </c>
      <c r="H325" s="2326"/>
      <c r="I325" s="2327"/>
      <c r="J325" s="479" t="str">
        <f t="shared" si="267"/>
        <v/>
      </c>
      <c r="K325" s="480"/>
      <c r="L325" s="2319">
        <f t="shared" si="283"/>
        <v>31</v>
      </c>
      <c r="M325" s="2320"/>
      <c r="N325" s="478"/>
      <c r="O325" s="478"/>
      <c r="P325" s="478"/>
      <c r="Q325" s="2315">
        <f t="shared" si="272"/>
        <v>45503</v>
      </c>
      <c r="R325" s="2315"/>
      <c r="S325" s="478"/>
      <c r="T325" s="140">
        <f t="shared" si="273"/>
        <v>1</v>
      </c>
      <c r="U325" s="478"/>
      <c r="V325" s="478"/>
      <c r="W325" s="478"/>
      <c r="X325" s="478"/>
      <c r="Y325" s="478"/>
      <c r="Z325" s="478"/>
      <c r="AA325" s="478"/>
      <c r="AB325" s="478"/>
      <c r="AC325" s="478"/>
      <c r="AD325" s="478"/>
      <c r="AE325" s="478"/>
      <c r="AF325" s="478"/>
      <c r="AG325" s="140">
        <f t="shared" si="274"/>
        <v>0</v>
      </c>
      <c r="AH325" s="92" t="str">
        <f t="shared" si="275"/>
        <v/>
      </c>
      <c r="AI325" s="131">
        <f t="shared" si="276"/>
        <v>0</v>
      </c>
      <c r="AJ325" s="2"/>
      <c r="AK325" s="92">
        <f>IF(G325=G$481,0,IF(OR(G325&lt;&gt;0,CJ325&lt;&gt;0,C325="L"),COUNTIF(AK$114:AK324,"&gt;0")+1,0))</f>
        <v>0</v>
      </c>
      <c r="AL325" s="92" t="str">
        <f t="shared" si="277"/>
        <v/>
      </c>
      <c r="AM325" s="92" t="str">
        <f t="shared" si="278"/>
        <v/>
      </c>
      <c r="AN325" s="131">
        <f t="shared" si="268"/>
        <v>0</v>
      </c>
      <c r="AO325" s="447">
        <f>SUM(LUG!W37:Z37)</f>
        <v>0</v>
      </c>
      <c r="AP325" s="445">
        <f>SUMIF(LUG!$G$155:$J$155,AP$112,LUG!$R37:$U37)</f>
        <v>0</v>
      </c>
      <c r="AQ325" s="446">
        <f>SUMIF(LUG!$G$155:$J$155,AQ$112,LUG!$R37:$U37)</f>
        <v>0</v>
      </c>
      <c r="AR325" s="447">
        <f>SUMIF(LUG!$G$155:$J$155,AR$112,LUG!$R37:$U37)</f>
        <v>0</v>
      </c>
      <c r="AS325" s="448">
        <f>SUMIF(LUG!$G$155:$J$155,AS$112,LUG!$R37:$U37)</f>
        <v>0</v>
      </c>
      <c r="AT325" s="449">
        <f>LUG!AG37</f>
        <v>0</v>
      </c>
      <c r="AU325" s="445">
        <f>LUG!AH37</f>
        <v>0</v>
      </c>
      <c r="AV325" s="446">
        <f>LUG!AI37</f>
        <v>0</v>
      </c>
      <c r="AW325" s="447">
        <f>LUG!AJ37</f>
        <v>0</v>
      </c>
      <c r="AX325" s="448">
        <f>LUG!AK37</f>
        <v>0</v>
      </c>
      <c r="AY325" s="445">
        <f>SUMIF(LUG!$G$152:$J$152,"&gt;0",LUG!$W37:$Z37)</f>
        <v>0</v>
      </c>
      <c r="AZ325" s="1063">
        <f>SUM(LUG!AB37:AE37)</f>
        <v>0</v>
      </c>
      <c r="BA325" s="445">
        <f>SUMIF(LUG!$G$159:$J$159,BA$111,LUG!$R37:$U37)+SUMIF(LUG!$G$159:$J$159,BA$111,LUG!$W37:$Z37)</f>
        <v>0</v>
      </c>
      <c r="BB325" s="446">
        <f>SUMIF(LUG!$G$159:$J$159,BB$111,LUG!$R37:$U37)+SUMIF(LUG!$G$159:$J$159,BB$111,LUG!$W37:$Z37)</f>
        <v>0</v>
      </c>
      <c r="BC325" s="446">
        <f>SUMIF(LUG!$G$159:$J$159,BC$111,LUG!$R37:$U37)+SUMIF(LUG!$G$159:$J$159,BC$111,LUG!$W37:$Z37)</f>
        <v>0</v>
      </c>
      <c r="BD325" s="446">
        <f>SUMIF(LUG!$G$159:$J$159,BD$111,LUG!$R37:$U37)+SUMIF(LUG!$G$159:$J$159,BD$111,LUG!$W37:$Z37)</f>
        <v>0</v>
      </c>
      <c r="BE325" s="446">
        <f>SUMIF(LUG!$G$159:$J$159,BE$111,LUG!$R37:$U37)+SUMIF(LUG!$G$159:$J$159,BE$111,LUG!$W37:$Z37)</f>
        <v>0</v>
      </c>
      <c r="BF325" s="446">
        <f>SUMIF(LUG!$G$159:$J$159,BF$111,LUG!$R37:$U37)+SUMIF(LUG!$G$159:$J$159,BF$111,LUG!$W37:$Z37)</f>
        <v>0</v>
      </c>
      <c r="BG325" s="448">
        <f>SUMIF(LUG!$G$159:$J$159,BG$111,LUG!$R37:$U37)+SUMIF(LUG!$G$159:$J$159,BG$111,LUG!$W37:$Z37)</f>
        <v>0</v>
      </c>
      <c r="BH325" s="571"/>
      <c r="BI325" s="448"/>
      <c r="BJ325" s="470"/>
      <c r="BK325" s="445">
        <f>SUMIF(LUG!$G$157:$J$157,BK$111,LUG!$R37:$U37)+SUMIF(LUG!$G$157:$J$157,BK$111,LUG!$W37:$Z37)</f>
        <v>0</v>
      </c>
      <c r="BL325" s="446">
        <f>SUMIF(LUG!$G$157:$J$157,BL$111,LUG!$R37:$U37)+SUMIF(LUG!$G$157:$J$157,BL$111,LUG!$W37:$Z37)</f>
        <v>0</v>
      </c>
      <c r="BM325" s="446">
        <f>SUMIF(LUG!$G$157:$J$157,BM$111,LUG!$R37:$U37)+SUMIF(LUG!$G$157:$J$157,BM$111,LUG!$W37:$Z37)</f>
        <v>0</v>
      </c>
      <c r="BN325" s="446">
        <f>SUMIF(LUG!$G$157:$J$157,BN$111,LUG!$R37:$U37)+SUMIF(LUG!$G$157:$J$157,BN$111,LUG!$W37:$Z37)</f>
        <v>0</v>
      </c>
      <c r="BO325" s="446">
        <f>SUMIF(LUG!$G$157:$J$157,BO$111,LUG!$R37:$U37)+SUMIF(LUG!$G$157:$J$157,BO$111,LUG!$W37:$Z37)</f>
        <v>0</v>
      </c>
      <c r="BP325" s="446">
        <f>SUMIF(LUG!$G$157:$J$157,BP$111,LUG!$R37:$U37)+SUMIF(LUG!$G$157:$J$157,BP$111,LUG!$W37:$Z37)</f>
        <v>0</v>
      </c>
      <c r="BQ325" s="448">
        <f>SUMIF(LUG!$G$157:$J$157,BQ$111,LUG!$R37:$U37)+SUMIF(LUG!$G$157:$J$157,BQ$111,LUG!$W37:$Z37)</f>
        <v>0</v>
      </c>
      <c r="BR325" s="571"/>
      <c r="BS325" s="446"/>
      <c r="BT325" s="448"/>
      <c r="BU325" s="470"/>
      <c r="BV325" s="445">
        <f>SUMIF(LUG!$G$158:$J$158,BV$111,LUG!$R37:$U37)+SUMIF(LUG!$G$158:$J$158,BV$111,LUG!$W37:$Z37)</f>
        <v>0</v>
      </c>
      <c r="BW325" s="446">
        <f>SUMIF(LUG!$G$158:$J$158,BW$111,LUG!$R37:$U37)+SUMIF(LUG!$G$158:$J$158,BW$111,LUG!$W37:$Z37)</f>
        <v>0</v>
      </c>
      <c r="BX325" s="446">
        <f>SUMIF(LUG!$G$158:$J$158,BX$111,LUG!$R37:$U37)+SUMIF(LUG!$G$158:$J$158,BX$111,LUG!$W37:$Z37)</f>
        <v>0</v>
      </c>
      <c r="BY325" s="446">
        <f>SUMIF(LUG!$G$158:$J$158,BY$111,LUG!$R37:$U37)+SUMIF(LUG!$G$158:$J$158,BY$111,LUG!$W37:$Z37)</f>
        <v>0</v>
      </c>
      <c r="BZ325" s="446">
        <f>SUMIF(LUG!$G$158:$J$158,BZ$111,LUG!$R37:$U37)+SUMIF(LUG!$G$158:$J$158,BZ$111,LUG!$W37:$Z37)</f>
        <v>0</v>
      </c>
      <c r="CA325" s="446">
        <f>SUMIF(LUG!$G$158:$J$158,CA$111,LUG!$R37:$U37)+SUMIF(LUG!$G$158:$J$158,CA$111,LUG!$W37:$Z37)</f>
        <v>0</v>
      </c>
      <c r="CB325" s="448">
        <f>SUMIF(LUG!$G$158:$J$158,CB$111,LUG!$R37:$U37)+SUMIF(LUG!$G$158:$J$158,CB$111,LUG!$W37:$Z37)</f>
        <v>0</v>
      </c>
      <c r="CC325" s="571"/>
      <c r="CD325" s="448"/>
      <c r="CE325" s="92">
        <f t="shared" si="279"/>
        <v>0</v>
      </c>
      <c r="CF325" s="92">
        <f t="shared" si="280"/>
        <v>0</v>
      </c>
      <c r="CG325" s="151" t="str">
        <f t="shared" si="266"/>
        <v/>
      </c>
      <c r="CH325" s="92">
        <f t="shared" si="269"/>
        <v>0</v>
      </c>
      <c r="CI325" s="92" t="str">
        <f t="shared" si="281"/>
        <v/>
      </c>
      <c r="CJ325" s="1100">
        <f>LUG!AM37</f>
        <v>0</v>
      </c>
      <c r="CK325" s="445">
        <f>SUMIF(LUG!$G$155:$J$155,CK$112,LUG!$AN37:$AQ37)</f>
        <v>0</v>
      </c>
      <c r="CL325" s="446">
        <f>SUMIF(LUG!$G$155:$J$155,CL$112,LUG!$AN37:$AQ37)</f>
        <v>0</v>
      </c>
      <c r="CM325" s="447">
        <f>SUMIF(LUG!$G$155:$J$155,CM$112,LUG!$AN37:$AQ37)</f>
        <v>0</v>
      </c>
      <c r="CN325" s="448">
        <f>SUMIF(LUG!$G$155:$J$155,CN$112,LUG!$AN37:$AQ37)</f>
        <v>0</v>
      </c>
      <c r="CO325" s="1100">
        <f>LUG!AS37</f>
        <v>0</v>
      </c>
      <c r="CP325" s="445">
        <f>LUG!AT37</f>
        <v>0</v>
      </c>
      <c r="CQ325" s="446">
        <f>LUG!AU37</f>
        <v>0</v>
      </c>
      <c r="CR325" s="447">
        <f>LUG!AV37</f>
        <v>0</v>
      </c>
      <c r="CS325" s="448">
        <f>LUG!AW37</f>
        <v>0</v>
      </c>
      <c r="CT325" s="1100">
        <f>LUG!AY37</f>
        <v>0</v>
      </c>
      <c r="CU325" s="2"/>
    </row>
    <row r="326" spans="1:99" ht="14.25" hidden="1" customHeight="1" x14ac:dyDescent="0.2">
      <c r="A326" s="2"/>
      <c r="B326" s="151">
        <f t="shared" si="270"/>
        <v>45504</v>
      </c>
      <c r="C326" s="223">
        <f>IF(AND(E326&gt;(N$491-1),E326&lt;(R$491+1)),W$485,IF(ISERROR(HLOOKUP(E326,$N$484:$U$484,1,FALSE)),HLOOKUP(WEEKDAY(E326,2),IMPOSTAZIONI!$C$51:$P$56,6,FALSE),$W$484))</f>
        <v>0</v>
      </c>
      <c r="D326" s="103" t="str">
        <f t="shared" si="271"/>
        <v/>
      </c>
      <c r="E326" s="2445">
        <f t="shared" si="282"/>
        <v>45504</v>
      </c>
      <c r="F326" s="2446"/>
      <c r="G326" s="2316" t="str">
        <f>LUG!E38</f>
        <v xml:space="preserve">attiva trim.  </v>
      </c>
      <c r="H326" s="2317"/>
      <c r="I326" s="2318"/>
      <c r="J326" s="479" t="str">
        <f t="shared" si="267"/>
        <v/>
      </c>
      <c r="K326" s="480"/>
      <c r="L326" s="2319">
        <f t="shared" si="283"/>
        <v>31</v>
      </c>
      <c r="M326" s="2320"/>
      <c r="N326" s="478"/>
      <c r="O326" s="478"/>
      <c r="P326" s="478"/>
      <c r="Q326" s="2315">
        <f t="shared" si="272"/>
        <v>45504</v>
      </c>
      <c r="R326" s="2315"/>
      <c r="S326" s="478"/>
      <c r="T326" s="140">
        <f t="shared" si="273"/>
        <v>1</v>
      </c>
      <c r="U326" s="478"/>
      <c r="V326" s="478"/>
      <c r="W326" s="478"/>
      <c r="X326" s="478"/>
      <c r="Y326" s="478"/>
      <c r="Z326" s="478"/>
      <c r="AA326" s="478"/>
      <c r="AB326" s="478"/>
      <c r="AC326" s="478"/>
      <c r="AD326" s="478"/>
      <c r="AE326" s="478"/>
      <c r="AF326" s="478"/>
      <c r="AG326" s="140">
        <f t="shared" si="274"/>
        <v>0</v>
      </c>
      <c r="AH326" s="92" t="str">
        <f t="shared" si="275"/>
        <v/>
      </c>
      <c r="AI326" s="131">
        <f t="shared" si="276"/>
        <v>0</v>
      </c>
      <c r="AJ326" s="2"/>
      <c r="AK326" s="92">
        <f>IF(G326=G$481,0,IF(OR(G326&lt;&gt;0,CJ326&lt;&gt;0,C326="L"),COUNTIF(AK$114:AK325,"&gt;0")+1,0))</f>
        <v>0</v>
      </c>
      <c r="AL326" s="92" t="str">
        <f t="shared" si="277"/>
        <v/>
      </c>
      <c r="AM326" s="92" t="str">
        <f t="shared" si="278"/>
        <v/>
      </c>
      <c r="AN326" s="131">
        <f t="shared" si="268"/>
        <v>0</v>
      </c>
      <c r="AO326" s="452">
        <f>SUM(LUG!W38:Z38)</f>
        <v>0</v>
      </c>
      <c r="AP326" s="450">
        <f>SUMIF(LUG!$G$155:$J$155,AP$112,LUG!$R38:$U38)</f>
        <v>0</v>
      </c>
      <c r="AQ326" s="451">
        <f>SUMIF(LUG!$G$155:$J$155,AQ$112,LUG!$R38:$U38)</f>
        <v>0</v>
      </c>
      <c r="AR326" s="452">
        <f>SUMIF(LUG!$G$155:$J$155,AR$112,LUG!$R38:$U38)</f>
        <v>0</v>
      </c>
      <c r="AS326" s="453">
        <f>SUMIF(LUG!$G$155:$J$155,AS$112,LUG!$R38:$U38)</f>
        <v>0</v>
      </c>
      <c r="AT326" s="454">
        <f>LUG!AG38</f>
        <v>0</v>
      </c>
      <c r="AU326" s="450">
        <f>LUG!AH38</f>
        <v>0</v>
      </c>
      <c r="AV326" s="451">
        <f>LUG!AI38</f>
        <v>0</v>
      </c>
      <c r="AW326" s="452">
        <f>LUG!AJ38</f>
        <v>0</v>
      </c>
      <c r="AX326" s="453">
        <f>LUG!AK38</f>
        <v>0</v>
      </c>
      <c r="AY326" s="450">
        <f>SUMIF(LUG!$G$152:$J$152,"&gt;0",LUG!$W38:$Z38)</f>
        <v>0</v>
      </c>
      <c r="AZ326" s="1064">
        <f>SUM(LUG!AB38:AE38)</f>
        <v>0</v>
      </c>
      <c r="BA326" s="450">
        <f>SUMIF(LUG!$G$159:$J$159,BA$111,LUG!$R38:$U38)+SUMIF(LUG!$G$159:$J$159,BA$111,LUG!$W38:$Z38)</f>
        <v>0</v>
      </c>
      <c r="BB326" s="451">
        <f>SUMIF(LUG!$G$159:$J$159,BB$111,LUG!$R38:$U38)+SUMIF(LUG!$G$159:$J$159,BB$111,LUG!$W38:$Z38)</f>
        <v>0</v>
      </c>
      <c r="BC326" s="451">
        <f>SUMIF(LUG!$G$159:$J$159,BC$111,LUG!$R38:$U38)+SUMIF(LUG!$G$159:$J$159,BC$111,LUG!$W38:$Z38)</f>
        <v>0</v>
      </c>
      <c r="BD326" s="451">
        <f>SUMIF(LUG!$G$159:$J$159,BD$111,LUG!$R38:$U38)+SUMIF(LUG!$G$159:$J$159,BD$111,LUG!$W38:$Z38)</f>
        <v>0</v>
      </c>
      <c r="BE326" s="451">
        <f>SUMIF(LUG!$G$159:$J$159,BE$111,LUG!$R38:$U38)+SUMIF(LUG!$G$159:$J$159,BE$111,LUG!$W38:$Z38)</f>
        <v>0</v>
      </c>
      <c r="BF326" s="451">
        <f>SUMIF(LUG!$G$159:$J$159,BF$111,LUG!$R38:$U38)+SUMIF(LUG!$G$159:$J$159,BF$111,LUG!$W38:$Z38)</f>
        <v>0</v>
      </c>
      <c r="BG326" s="453">
        <f>SUMIF(LUG!$G$159:$J$159,BG$111,LUG!$R38:$U38)+SUMIF(LUG!$G$159:$J$159,BG$111,LUG!$W38:$Z38)</f>
        <v>0</v>
      </c>
      <c r="BH326" s="572"/>
      <c r="BI326" s="453"/>
      <c r="BJ326" s="470"/>
      <c r="BK326" s="450">
        <f>SUMIF(LUG!$G$157:$J$157,BK$111,LUG!$R38:$U38)+SUMIF(LUG!$G$157:$J$157,BK$111,LUG!$W38:$Z38)</f>
        <v>0</v>
      </c>
      <c r="BL326" s="451">
        <f>SUMIF(LUG!$G$157:$J$157,BL$111,LUG!$R38:$U38)+SUMIF(LUG!$G$157:$J$157,BL$111,LUG!$W38:$Z38)</f>
        <v>0</v>
      </c>
      <c r="BM326" s="451">
        <f>SUMIF(LUG!$G$157:$J$157,BM$111,LUG!$R38:$U38)+SUMIF(LUG!$G$157:$J$157,BM$111,LUG!$W38:$Z38)</f>
        <v>0</v>
      </c>
      <c r="BN326" s="451">
        <f>SUMIF(LUG!$G$157:$J$157,BN$111,LUG!$R38:$U38)+SUMIF(LUG!$G$157:$J$157,BN$111,LUG!$W38:$Z38)</f>
        <v>0</v>
      </c>
      <c r="BO326" s="451">
        <f>SUMIF(LUG!$G$157:$J$157,BO$111,LUG!$R38:$U38)+SUMIF(LUG!$G$157:$J$157,BO$111,LUG!$W38:$Z38)</f>
        <v>0</v>
      </c>
      <c r="BP326" s="451">
        <f>SUMIF(LUG!$G$157:$J$157,BP$111,LUG!$R38:$U38)+SUMIF(LUG!$G$157:$J$157,BP$111,LUG!$W38:$Z38)</f>
        <v>0</v>
      </c>
      <c r="BQ326" s="453">
        <f>SUMIF(LUG!$G$157:$J$157,BQ$111,LUG!$R38:$U38)+SUMIF(LUG!$G$157:$J$157,BQ$111,LUG!$W38:$Z38)</f>
        <v>0</v>
      </c>
      <c r="BR326" s="572"/>
      <c r="BS326" s="451"/>
      <c r="BT326" s="453"/>
      <c r="BU326" s="470"/>
      <c r="BV326" s="450">
        <f>SUMIF(LUG!$G$158:$J$158,BV$111,LUG!$R38:$U38)+SUMIF(LUG!$G$158:$J$158,BV$111,LUG!$W38:$Z38)</f>
        <v>0</v>
      </c>
      <c r="BW326" s="451">
        <f>SUMIF(LUG!$G$158:$J$158,BW$111,LUG!$R38:$U38)+SUMIF(LUG!$G$158:$J$158,BW$111,LUG!$W38:$Z38)</f>
        <v>0</v>
      </c>
      <c r="BX326" s="451">
        <f>SUMIF(LUG!$G$158:$J$158,BX$111,LUG!$R38:$U38)+SUMIF(LUG!$G$158:$J$158,BX$111,LUG!$W38:$Z38)</f>
        <v>0</v>
      </c>
      <c r="BY326" s="451">
        <f>SUMIF(LUG!$G$158:$J$158,BY$111,LUG!$R38:$U38)+SUMIF(LUG!$G$158:$J$158,BY$111,LUG!$W38:$Z38)</f>
        <v>0</v>
      </c>
      <c r="BZ326" s="451">
        <f>SUMIF(LUG!$G$158:$J$158,BZ$111,LUG!$R38:$U38)+SUMIF(LUG!$G$158:$J$158,BZ$111,LUG!$W38:$Z38)</f>
        <v>0</v>
      </c>
      <c r="CA326" s="451">
        <f>SUMIF(LUG!$G$158:$J$158,CA$111,LUG!$R38:$U38)+SUMIF(LUG!$G$158:$J$158,CA$111,LUG!$W38:$Z38)</f>
        <v>0</v>
      </c>
      <c r="CB326" s="453">
        <f>SUMIF(LUG!$G$158:$J$158,CB$111,LUG!$R38:$U38)+SUMIF(LUG!$G$158:$J$158,CB$111,LUG!$W38:$Z38)</f>
        <v>0</v>
      </c>
      <c r="CC326" s="572"/>
      <c r="CD326" s="453"/>
      <c r="CE326" s="92">
        <f t="shared" si="279"/>
        <v>0</v>
      </c>
      <c r="CF326" s="92">
        <f t="shared" si="280"/>
        <v>0</v>
      </c>
      <c r="CG326" s="151" t="str">
        <f t="shared" si="266"/>
        <v/>
      </c>
      <c r="CH326" s="92">
        <f t="shared" si="269"/>
        <v>0</v>
      </c>
      <c r="CI326" s="92" t="str">
        <f t="shared" si="281"/>
        <v/>
      </c>
      <c r="CJ326" s="1101">
        <f>LUG!AM38</f>
        <v>0</v>
      </c>
      <c r="CK326" s="450">
        <f>SUMIF(LUG!$G$155:$J$155,CK$112,LUG!$AN38:$AQ38)</f>
        <v>0</v>
      </c>
      <c r="CL326" s="451">
        <f>SUMIF(LUG!$G$155:$J$155,CL$112,LUG!$AN38:$AQ38)</f>
        <v>0</v>
      </c>
      <c r="CM326" s="452">
        <f>SUMIF(LUG!$G$155:$J$155,CM$112,LUG!$AN38:$AQ38)</f>
        <v>0</v>
      </c>
      <c r="CN326" s="453">
        <f>SUMIF(LUG!$G$155:$J$155,CN$112,LUG!$AN38:$AQ38)</f>
        <v>0</v>
      </c>
      <c r="CO326" s="1101">
        <f>LUG!AS38</f>
        <v>0</v>
      </c>
      <c r="CP326" s="450">
        <f>LUG!AT38</f>
        <v>0</v>
      </c>
      <c r="CQ326" s="451">
        <f>LUG!AU38</f>
        <v>0</v>
      </c>
      <c r="CR326" s="452">
        <f>LUG!AV38</f>
        <v>0</v>
      </c>
      <c r="CS326" s="453">
        <f>LUG!AW38</f>
        <v>0</v>
      </c>
      <c r="CT326" s="1101">
        <f>LUG!AY38</f>
        <v>0</v>
      </c>
      <c r="CU326" s="2"/>
    </row>
    <row r="327" spans="1:99" ht="14.25" hidden="1" customHeight="1" x14ac:dyDescent="0.2">
      <c r="A327" s="2"/>
      <c r="B327" s="151">
        <f t="shared" si="270"/>
        <v>45505</v>
      </c>
      <c r="C327" s="223">
        <f>IF(AND(E327&gt;(N$492-1),E327&lt;(R$492+1)),W$485,IF(ISERROR(HLOOKUP(E327,$N$485:$U$485,1,FALSE)),HLOOKUP(WEEKDAY(E327,2),IMPOSTAZIONI!$C$51:$P$56,6,FALSE),$W$484))</f>
        <v>0</v>
      </c>
      <c r="D327" s="103" t="str">
        <f t="shared" si="271"/>
        <v/>
      </c>
      <c r="E327" s="2447">
        <f t="shared" si="282"/>
        <v>45505</v>
      </c>
      <c r="F327" s="2448"/>
      <c r="G327" s="2449" t="str">
        <f>AGO!E8</f>
        <v xml:space="preserve">attiva trim.  </v>
      </c>
      <c r="H327" s="2450"/>
      <c r="I327" s="2451"/>
      <c r="J327" s="479" t="str">
        <f t="shared" si="267"/>
        <v/>
      </c>
      <c r="K327" s="480"/>
      <c r="L327" s="2319">
        <f t="shared" si="283"/>
        <v>31</v>
      </c>
      <c r="M327" s="2320"/>
      <c r="N327" s="478"/>
      <c r="O327" s="478"/>
      <c r="P327" s="478"/>
      <c r="Q327" s="2315">
        <f t="shared" si="272"/>
        <v>45505</v>
      </c>
      <c r="R327" s="2315"/>
      <c r="S327" s="478"/>
      <c r="T327" s="140">
        <f t="shared" si="273"/>
        <v>1</v>
      </c>
      <c r="U327" s="478"/>
      <c r="V327" s="478"/>
      <c r="W327" s="478"/>
      <c r="X327" s="478"/>
      <c r="Y327" s="478"/>
      <c r="Z327" s="478"/>
      <c r="AA327" s="478"/>
      <c r="AB327" s="478"/>
      <c r="AC327" s="478"/>
      <c r="AD327" s="478"/>
      <c r="AE327" s="478"/>
      <c r="AF327" s="478"/>
      <c r="AG327" s="140">
        <f t="shared" si="274"/>
        <v>0</v>
      </c>
      <c r="AH327" s="92" t="str">
        <f t="shared" si="275"/>
        <v/>
      </c>
      <c r="AI327" s="131">
        <f t="shared" si="276"/>
        <v>0</v>
      </c>
      <c r="AJ327" s="131">
        <f>IF(G327=G481,0,COUNTIF(T327:T357,"&gt;0"))</f>
        <v>0</v>
      </c>
      <c r="AK327" s="92">
        <f>IF(G327=G$481,0,IF(OR(G327&lt;&gt;0,CJ327&lt;&gt;0,C327="L"),COUNTIF(AK$114:AK326,"&gt;0")+1,0))</f>
        <v>0</v>
      </c>
      <c r="AL327" s="92" t="str">
        <f t="shared" si="277"/>
        <v/>
      </c>
      <c r="AM327" s="92" t="str">
        <f t="shared" si="278"/>
        <v/>
      </c>
      <c r="AN327" s="131">
        <f t="shared" si="268"/>
        <v>0</v>
      </c>
      <c r="AO327" s="447">
        <f>SUM(AGO!W8:Z8)</f>
        <v>0</v>
      </c>
      <c r="AP327" s="445">
        <f>SUMIF(AGO!$G$155:$J$155,AP$112,AGO!$R8:$U8)</f>
        <v>0</v>
      </c>
      <c r="AQ327" s="446">
        <f>SUMIF(AGO!$G$155:$J$155,AQ$112,AGO!$R8:$U8)</f>
        <v>0</v>
      </c>
      <c r="AR327" s="447">
        <f>SUMIF(AGO!$G$155:$J$155,AR$112,AGO!$R8:$U8)</f>
        <v>0</v>
      </c>
      <c r="AS327" s="448">
        <f>SUMIF(AGO!$G$155:$J$155,AS$112,AGO!$R8:$U8)</f>
        <v>0</v>
      </c>
      <c r="AT327" s="449">
        <f>AGO!AG8</f>
        <v>0</v>
      </c>
      <c r="AU327" s="445">
        <f>AGO!AH8</f>
        <v>0</v>
      </c>
      <c r="AV327" s="446">
        <f>AGO!AI8</f>
        <v>0</v>
      </c>
      <c r="AW327" s="447">
        <f>AGO!AJ8</f>
        <v>0</v>
      </c>
      <c r="AX327" s="448">
        <f>AGO!AK8</f>
        <v>0</v>
      </c>
      <c r="AY327" s="445">
        <f>SUMIF(AGO!$G$152:$J$152,"&gt;0",AGO!$W8:$Z8)</f>
        <v>0</v>
      </c>
      <c r="AZ327" s="1062">
        <f>SUM(AGO!AB8:AE8)</f>
        <v>0</v>
      </c>
      <c r="BA327" s="472">
        <f>SUMIF(AGO!$G$159:$J$159,BA$111,AGO!$R8:$U8)+SUMIF(AGO!$G$159:$J$159,BA$111,AGO!$W8:$Z8)</f>
        <v>0</v>
      </c>
      <c r="BB327" s="473">
        <f>SUMIF(AGO!$G$159:$J$159,BB$111,AGO!$R8:$U8)+SUMIF(AGO!$G$159:$J$159,BB$111,AGO!$W8:$Z8)</f>
        <v>0</v>
      </c>
      <c r="BC327" s="473">
        <f>SUMIF(AGO!$G$159:$J$159,BC$111,AGO!$R8:$U8)+SUMIF(AGO!$G$159:$J$159,BC$111,AGO!$W8:$Z8)</f>
        <v>0</v>
      </c>
      <c r="BD327" s="473">
        <f>SUMIF(AGO!$G$159:$J$159,BD$111,AGO!$R8:$U8)+SUMIF(AGO!$G$159:$J$159,BD$111,AGO!$W8:$Z8)</f>
        <v>0</v>
      </c>
      <c r="BE327" s="473">
        <f>SUMIF(AGO!$G$159:$J$159,BE$111,AGO!$R8:$U8)+SUMIF(AGO!$G$159:$J$159,BE$111,AGO!$W8:$Z8)</f>
        <v>0</v>
      </c>
      <c r="BF327" s="473">
        <f>SUMIF(AGO!$G$159:$J$159,BF$111,AGO!$R8:$U8)+SUMIF(AGO!$G$159:$J$159,BF$111,AGO!$W8:$Z8)</f>
        <v>0</v>
      </c>
      <c r="BG327" s="474">
        <f>SUMIF(AGO!$G$159:$J$159,BG$111,AGO!$R8:$U8)+SUMIF(AGO!$G$159:$J$159,BG$111,AGO!$W8:$Z8)</f>
        <v>0</v>
      </c>
      <c r="BH327" s="570"/>
      <c r="BI327" s="474"/>
      <c r="BJ327" s="470"/>
      <c r="BK327" s="472">
        <f>SUMIF(AGO!$G$157:$J$157,BK$111,AGO!$R8:$U8)+SUMIF(AGO!$G$157:$J$157,BK$111,AGO!$W8:$Z8)</f>
        <v>0</v>
      </c>
      <c r="BL327" s="473">
        <f>SUMIF(AGO!$G$157:$J$157,BL$111,AGO!$R8:$U8)+SUMIF(AGO!$G$157:$J$157,BL$111,AGO!$W8:$Z8)</f>
        <v>0</v>
      </c>
      <c r="BM327" s="473">
        <f>SUMIF(AGO!$G$157:$J$157,BM$111,AGO!$R8:$U8)+SUMIF(AGO!$G$157:$J$157,BM$111,AGO!$W8:$Z8)</f>
        <v>0</v>
      </c>
      <c r="BN327" s="473">
        <f>SUMIF(AGO!$G$157:$J$157,BN$111,AGO!$R8:$U8)+SUMIF(AGO!$G$157:$J$157,BN$111,AGO!$W8:$Z8)</f>
        <v>0</v>
      </c>
      <c r="BO327" s="473">
        <f>SUMIF(AGO!$G$157:$J$157,BO$111,AGO!$R8:$U8)+SUMIF(AGO!$G$157:$J$157,BO$111,AGO!$W8:$Z8)</f>
        <v>0</v>
      </c>
      <c r="BP327" s="473">
        <f>SUMIF(AGO!$G$157:$J$157,BP$111,AGO!$R8:$U8)+SUMIF(AGO!$G$157:$J$157,BP$111,AGO!$W8:$Z8)</f>
        <v>0</v>
      </c>
      <c r="BQ327" s="474">
        <f>SUMIF(AGO!$G$157:$J$157,BQ$111,AGO!$R8:$U8)+SUMIF(AGO!$G$157:$J$157,BQ$111,AGO!$W8:$Z8)</f>
        <v>0</v>
      </c>
      <c r="BR327" s="570"/>
      <c r="BS327" s="473"/>
      <c r="BT327" s="474"/>
      <c r="BU327" s="470"/>
      <c r="BV327" s="472">
        <f>SUMIF(AGO!$G$158:$J$158,BV$111,AGO!$R8:$U8)+SUMIF(AGO!$G$158:$J$158,BV$111,AGO!$W8:$Z8)</f>
        <v>0</v>
      </c>
      <c r="BW327" s="473">
        <f>SUMIF(AGO!$G$158:$J$158,BW$111,AGO!$R8:$U8)+SUMIF(AGO!$G$158:$J$158,BW$111,AGO!$W8:$Z8)</f>
        <v>0</v>
      </c>
      <c r="BX327" s="473">
        <f>SUMIF(AGO!$G$158:$J$158,BX$111,AGO!$R8:$U8)+SUMIF(AGO!$G$158:$J$158,BX$111,AGO!$W8:$Z8)</f>
        <v>0</v>
      </c>
      <c r="BY327" s="473">
        <f>SUMIF(AGO!$G$158:$J$158,BY$111,AGO!$R8:$U8)+SUMIF(AGO!$G$158:$J$158,BY$111,AGO!$W8:$Z8)</f>
        <v>0</v>
      </c>
      <c r="BZ327" s="473">
        <f>SUMIF(AGO!$G$158:$J$158,BZ$111,AGO!$R8:$U8)+SUMIF(AGO!$G$158:$J$158,BZ$111,AGO!$W8:$Z8)</f>
        <v>0</v>
      </c>
      <c r="CA327" s="473">
        <f>SUMIF(AGO!$G$158:$J$158,CA$111,AGO!$R8:$U8)+SUMIF(AGO!$G$158:$J$158,CA$111,AGO!$W8:$Z8)</f>
        <v>0</v>
      </c>
      <c r="CB327" s="474">
        <f>SUMIF(AGO!$G$158:$J$158,CB$111,AGO!$R8:$U8)+SUMIF(AGO!$G$158:$J$158,CB$111,AGO!$W8:$Z8)</f>
        <v>0</v>
      </c>
      <c r="CC327" s="570"/>
      <c r="CD327" s="474"/>
      <c r="CE327" s="92">
        <f t="shared" si="279"/>
        <v>0</v>
      </c>
      <c r="CF327" s="92">
        <f t="shared" si="280"/>
        <v>0</v>
      </c>
      <c r="CG327" s="151" t="str">
        <f t="shared" si="266"/>
        <v/>
      </c>
      <c r="CH327" s="92">
        <f t="shared" si="269"/>
        <v>0</v>
      </c>
      <c r="CI327" s="92" t="str">
        <f t="shared" si="281"/>
        <v/>
      </c>
      <c r="CJ327" s="1102">
        <f>AGO!AM8</f>
        <v>0</v>
      </c>
      <c r="CK327" s="445">
        <f>SUMIF(AGO!$G$155:$J$155,CK$112,AGO!$AN8:$AQ8)</f>
        <v>0</v>
      </c>
      <c r="CL327" s="446">
        <f>SUMIF(AGO!$G$155:$J$155,CL$112,AGO!$AN8:$AQ8)</f>
        <v>0</v>
      </c>
      <c r="CM327" s="447">
        <f>SUMIF(AGO!$G$155:$J$155,CM$112,AGO!$AN8:$AQ8)</f>
        <v>0</v>
      </c>
      <c r="CN327" s="448">
        <f>SUMIF(AGO!$G$155:$J$155,CN$112,AGO!$AN8:$AQ8)</f>
        <v>0</v>
      </c>
      <c r="CO327" s="1102">
        <f>AGO!AS8</f>
        <v>0</v>
      </c>
      <c r="CP327" s="445">
        <f>AGO!AT8</f>
        <v>0</v>
      </c>
      <c r="CQ327" s="446">
        <f>AGO!AU8</f>
        <v>0</v>
      </c>
      <c r="CR327" s="447">
        <f>AGO!AV8</f>
        <v>0</v>
      </c>
      <c r="CS327" s="448">
        <f>AGO!AW8</f>
        <v>0</v>
      </c>
      <c r="CT327" s="1102">
        <f>AGO!AY8</f>
        <v>0</v>
      </c>
      <c r="CU327" s="2"/>
    </row>
    <row r="328" spans="1:99" ht="14.25" hidden="1" customHeight="1" x14ac:dyDescent="0.2">
      <c r="A328" s="2"/>
      <c r="B328" s="151">
        <f t="shared" si="270"/>
        <v>45506</v>
      </c>
      <c r="C328" s="223">
        <f>IF(AND(E328&gt;(N$492-1),E328&lt;(R$492+1)),W$485,IF(ISERROR(HLOOKUP(E328,$N$485:$U$485,1,FALSE)),HLOOKUP(WEEKDAY(E328,2),IMPOSTAZIONI!$C$51:$P$56,6,FALSE),$W$484))</f>
        <v>0</v>
      </c>
      <c r="D328" s="103" t="str">
        <f t="shared" si="271"/>
        <v/>
      </c>
      <c r="E328" s="2380">
        <f t="shared" si="282"/>
        <v>45506</v>
      </c>
      <c r="F328" s="2381"/>
      <c r="G328" s="2325" t="str">
        <f>AGO!E9</f>
        <v xml:space="preserve">attiva trim.  </v>
      </c>
      <c r="H328" s="2326"/>
      <c r="I328" s="2327"/>
      <c r="J328" s="479" t="str">
        <f t="shared" si="267"/>
        <v/>
      </c>
      <c r="K328" s="480"/>
      <c r="L328" s="2319">
        <f t="shared" si="283"/>
        <v>31</v>
      </c>
      <c r="M328" s="2320"/>
      <c r="N328" s="478"/>
      <c r="O328" s="478"/>
      <c r="P328" s="478"/>
      <c r="Q328" s="2315">
        <f t="shared" si="272"/>
        <v>45506</v>
      </c>
      <c r="R328" s="2315"/>
      <c r="S328" s="478"/>
      <c r="T328" s="140">
        <f t="shared" si="273"/>
        <v>1</v>
      </c>
      <c r="U328" s="478"/>
      <c r="V328" s="478"/>
      <c r="W328" s="478"/>
      <c r="X328" s="478"/>
      <c r="Y328" s="478"/>
      <c r="Z328" s="478"/>
      <c r="AA328" s="478"/>
      <c r="AB328" s="478"/>
      <c r="AC328" s="478"/>
      <c r="AD328" s="478"/>
      <c r="AE328" s="478"/>
      <c r="AF328" s="478"/>
      <c r="AG328" s="140">
        <f t="shared" si="274"/>
        <v>0</v>
      </c>
      <c r="AH328" s="92" t="str">
        <f t="shared" si="275"/>
        <v/>
      </c>
      <c r="AI328" s="131">
        <f t="shared" si="276"/>
        <v>0</v>
      </c>
      <c r="AJ328" s="2"/>
      <c r="AK328" s="92">
        <f>IF(G328=G$481,0,IF(OR(G328&lt;&gt;0,CJ328&lt;&gt;0,C328="L"),COUNTIF(AK$114:AK327,"&gt;0")+1,0))</f>
        <v>0</v>
      </c>
      <c r="AL328" s="92" t="str">
        <f t="shared" si="277"/>
        <v/>
      </c>
      <c r="AM328" s="92" t="str">
        <f t="shared" si="278"/>
        <v/>
      </c>
      <c r="AN328" s="131">
        <f t="shared" si="268"/>
        <v>0</v>
      </c>
      <c r="AO328" s="447">
        <f>SUM(AGO!W9:Z9)</f>
        <v>0</v>
      </c>
      <c r="AP328" s="445">
        <f>SUMIF(AGO!$G$155:$J$155,AP$112,AGO!$R9:$U9)</f>
        <v>0</v>
      </c>
      <c r="AQ328" s="446">
        <f>SUMIF(AGO!$G$155:$J$155,AQ$112,AGO!$R9:$U9)</f>
        <v>0</v>
      </c>
      <c r="AR328" s="447">
        <f>SUMIF(AGO!$G$155:$J$155,AR$112,AGO!$R9:$U9)</f>
        <v>0</v>
      </c>
      <c r="AS328" s="448">
        <f>SUMIF(AGO!$G$155:$J$155,AS$112,AGO!$R9:$U9)</f>
        <v>0</v>
      </c>
      <c r="AT328" s="449">
        <f>AGO!AG9</f>
        <v>0</v>
      </c>
      <c r="AU328" s="445">
        <f>AGO!AH9</f>
        <v>0</v>
      </c>
      <c r="AV328" s="446">
        <f>AGO!AI9</f>
        <v>0</v>
      </c>
      <c r="AW328" s="447">
        <f>AGO!AJ9</f>
        <v>0</v>
      </c>
      <c r="AX328" s="448">
        <f>AGO!AK9</f>
        <v>0</v>
      </c>
      <c r="AY328" s="445">
        <f>SUMIF(AGO!$G$152:$J$152,"&gt;0",AGO!$W9:$Z9)</f>
        <v>0</v>
      </c>
      <c r="AZ328" s="1063">
        <f>SUM(AGO!AB9:AE9)</f>
        <v>0</v>
      </c>
      <c r="BA328" s="445">
        <f>SUMIF(AGO!$G$159:$J$159,BA$111,AGO!$R9:$U9)+SUMIF(AGO!$G$159:$J$159,BA$111,AGO!$W9:$Z9)</f>
        <v>0</v>
      </c>
      <c r="BB328" s="446">
        <f>SUMIF(AGO!$G$159:$J$159,BB$111,AGO!$R9:$U9)+SUMIF(AGO!$G$159:$J$159,BB$111,AGO!$W9:$Z9)</f>
        <v>0</v>
      </c>
      <c r="BC328" s="446">
        <f>SUMIF(AGO!$G$159:$J$159,BC$111,AGO!$R9:$U9)+SUMIF(AGO!$G$159:$J$159,BC$111,AGO!$W9:$Z9)</f>
        <v>0</v>
      </c>
      <c r="BD328" s="446">
        <f>SUMIF(AGO!$G$159:$J$159,BD$111,AGO!$R9:$U9)+SUMIF(AGO!$G$159:$J$159,BD$111,AGO!$W9:$Z9)</f>
        <v>0</v>
      </c>
      <c r="BE328" s="446">
        <f>SUMIF(AGO!$G$159:$J$159,BE$111,AGO!$R9:$U9)+SUMIF(AGO!$G$159:$J$159,BE$111,AGO!$W9:$Z9)</f>
        <v>0</v>
      </c>
      <c r="BF328" s="446">
        <f>SUMIF(AGO!$G$159:$J$159,BF$111,AGO!$R9:$U9)+SUMIF(AGO!$G$159:$J$159,BF$111,AGO!$W9:$Z9)</f>
        <v>0</v>
      </c>
      <c r="BG328" s="448">
        <f>SUMIF(AGO!$G$159:$J$159,BG$111,AGO!$R9:$U9)+SUMIF(AGO!$G$159:$J$159,BG$111,AGO!$W9:$Z9)</f>
        <v>0</v>
      </c>
      <c r="BH328" s="571"/>
      <c r="BI328" s="448"/>
      <c r="BJ328" s="470"/>
      <c r="BK328" s="445">
        <f>SUMIF(AGO!$G$157:$J$157,BK$111,AGO!$R9:$U9)+SUMIF(AGO!$G$157:$J$157,BK$111,AGO!$W9:$Z9)</f>
        <v>0</v>
      </c>
      <c r="BL328" s="446">
        <f>SUMIF(AGO!$G$157:$J$157,BL$111,AGO!$R9:$U9)+SUMIF(AGO!$G$157:$J$157,BL$111,AGO!$W9:$Z9)</f>
        <v>0</v>
      </c>
      <c r="BM328" s="446">
        <f>SUMIF(AGO!$G$157:$J$157,BM$111,AGO!$R9:$U9)+SUMIF(AGO!$G$157:$J$157,BM$111,AGO!$W9:$Z9)</f>
        <v>0</v>
      </c>
      <c r="BN328" s="446">
        <f>SUMIF(AGO!$G$157:$J$157,BN$111,AGO!$R9:$U9)+SUMIF(AGO!$G$157:$J$157,BN$111,AGO!$W9:$Z9)</f>
        <v>0</v>
      </c>
      <c r="BO328" s="446">
        <f>SUMIF(AGO!$G$157:$J$157,BO$111,AGO!$R9:$U9)+SUMIF(AGO!$G$157:$J$157,BO$111,AGO!$W9:$Z9)</f>
        <v>0</v>
      </c>
      <c r="BP328" s="446">
        <f>SUMIF(AGO!$G$157:$J$157,BP$111,AGO!$R9:$U9)+SUMIF(AGO!$G$157:$J$157,BP$111,AGO!$W9:$Z9)</f>
        <v>0</v>
      </c>
      <c r="BQ328" s="448">
        <f>SUMIF(AGO!$G$157:$J$157,BQ$111,AGO!$R9:$U9)+SUMIF(AGO!$G$157:$J$157,BQ$111,AGO!$W9:$Z9)</f>
        <v>0</v>
      </c>
      <c r="BR328" s="571"/>
      <c r="BS328" s="446"/>
      <c r="BT328" s="448"/>
      <c r="BU328" s="470"/>
      <c r="BV328" s="445">
        <f>SUMIF(AGO!$G$158:$J$158,BV$111,AGO!$R9:$U9)+SUMIF(AGO!$G$158:$J$158,BV$111,AGO!$W9:$Z9)</f>
        <v>0</v>
      </c>
      <c r="BW328" s="446">
        <f>SUMIF(AGO!$G$158:$J$158,BW$111,AGO!$R9:$U9)+SUMIF(AGO!$G$158:$J$158,BW$111,AGO!$W9:$Z9)</f>
        <v>0</v>
      </c>
      <c r="BX328" s="446">
        <f>SUMIF(AGO!$G$158:$J$158,BX$111,AGO!$R9:$U9)+SUMIF(AGO!$G$158:$J$158,BX$111,AGO!$W9:$Z9)</f>
        <v>0</v>
      </c>
      <c r="BY328" s="446">
        <f>SUMIF(AGO!$G$158:$J$158,BY$111,AGO!$R9:$U9)+SUMIF(AGO!$G$158:$J$158,BY$111,AGO!$W9:$Z9)</f>
        <v>0</v>
      </c>
      <c r="BZ328" s="446">
        <f>SUMIF(AGO!$G$158:$J$158,BZ$111,AGO!$R9:$U9)+SUMIF(AGO!$G$158:$J$158,BZ$111,AGO!$W9:$Z9)</f>
        <v>0</v>
      </c>
      <c r="CA328" s="446">
        <f>SUMIF(AGO!$G$158:$J$158,CA$111,AGO!$R9:$U9)+SUMIF(AGO!$G$158:$J$158,CA$111,AGO!$W9:$Z9)</f>
        <v>0</v>
      </c>
      <c r="CB328" s="448">
        <f>SUMIF(AGO!$G$158:$J$158,CB$111,AGO!$R9:$U9)+SUMIF(AGO!$G$158:$J$158,CB$111,AGO!$W9:$Z9)</f>
        <v>0</v>
      </c>
      <c r="CC328" s="571"/>
      <c r="CD328" s="448"/>
      <c r="CE328" s="92">
        <f t="shared" si="279"/>
        <v>0</v>
      </c>
      <c r="CF328" s="92">
        <f t="shared" si="280"/>
        <v>0</v>
      </c>
      <c r="CG328" s="151" t="str">
        <f t="shared" si="266"/>
        <v/>
      </c>
      <c r="CH328" s="92">
        <f t="shared" si="269"/>
        <v>0</v>
      </c>
      <c r="CI328" s="92" t="str">
        <f t="shared" si="281"/>
        <v/>
      </c>
      <c r="CJ328" s="1100">
        <f>AGO!AM9</f>
        <v>0</v>
      </c>
      <c r="CK328" s="445">
        <f>SUMIF(AGO!$G$155:$J$155,CK$112,AGO!$AN9:$AQ9)</f>
        <v>0</v>
      </c>
      <c r="CL328" s="446">
        <f>SUMIF(AGO!$G$155:$J$155,CL$112,AGO!$AN9:$AQ9)</f>
        <v>0</v>
      </c>
      <c r="CM328" s="447">
        <f>SUMIF(AGO!$G$155:$J$155,CM$112,AGO!$AN9:$AQ9)</f>
        <v>0</v>
      </c>
      <c r="CN328" s="448">
        <f>SUMIF(AGO!$G$155:$J$155,CN$112,AGO!$AN9:$AQ9)</f>
        <v>0</v>
      </c>
      <c r="CO328" s="1100">
        <f>AGO!AS9</f>
        <v>0</v>
      </c>
      <c r="CP328" s="445">
        <f>AGO!AT9</f>
        <v>0</v>
      </c>
      <c r="CQ328" s="446">
        <f>AGO!AU9</f>
        <v>0</v>
      </c>
      <c r="CR328" s="447">
        <f>AGO!AV9</f>
        <v>0</v>
      </c>
      <c r="CS328" s="448">
        <f>AGO!AW9</f>
        <v>0</v>
      </c>
      <c r="CT328" s="1100">
        <f>AGO!AY9</f>
        <v>0</v>
      </c>
      <c r="CU328" s="2"/>
    </row>
    <row r="329" spans="1:99" ht="14.25" hidden="1" customHeight="1" x14ac:dyDescent="0.2">
      <c r="A329" s="2"/>
      <c r="B329" s="151">
        <f t="shared" si="270"/>
        <v>45507</v>
      </c>
      <c r="C329" s="223">
        <f>IF(AND(E329&gt;(N$492-1),E329&lt;(R$492+1)),W$485,IF(ISERROR(HLOOKUP(E329,$N$485:$U$485,1,FALSE)),HLOOKUP(WEEKDAY(E329,2),IMPOSTAZIONI!$C$51:$P$56,6,FALSE),$W$484))</f>
        <v>0</v>
      </c>
      <c r="D329" s="103" t="str">
        <f t="shared" si="271"/>
        <v/>
      </c>
      <c r="E329" s="2380">
        <f t="shared" si="282"/>
        <v>45507</v>
      </c>
      <c r="F329" s="2381"/>
      <c r="G329" s="2325" t="str">
        <f>AGO!E10</f>
        <v xml:space="preserve">attiva trim.  </v>
      </c>
      <c r="H329" s="2326"/>
      <c r="I329" s="2327"/>
      <c r="J329" s="479" t="str">
        <f t="shared" si="267"/>
        <v/>
      </c>
      <c r="K329" s="480"/>
      <c r="L329" s="2319">
        <f t="shared" si="283"/>
        <v>31</v>
      </c>
      <c r="M329" s="2320"/>
      <c r="N329" s="478"/>
      <c r="O329" s="478"/>
      <c r="P329" s="478"/>
      <c r="Q329" s="2315">
        <f t="shared" si="272"/>
        <v>45507</v>
      </c>
      <c r="R329" s="2315"/>
      <c r="S329" s="478"/>
      <c r="T329" s="140">
        <f t="shared" si="273"/>
        <v>1</v>
      </c>
      <c r="U329" s="478"/>
      <c r="V329" s="478"/>
      <c r="W329" s="478"/>
      <c r="X329" s="478"/>
      <c r="Y329" s="478"/>
      <c r="Z329" s="478"/>
      <c r="AA329" s="478"/>
      <c r="AB329" s="478"/>
      <c r="AC329" s="478"/>
      <c r="AD329" s="478"/>
      <c r="AE329" s="478"/>
      <c r="AF329" s="478"/>
      <c r="AG329" s="140">
        <f t="shared" si="274"/>
        <v>0</v>
      </c>
      <c r="AH329" s="92" t="str">
        <f t="shared" si="275"/>
        <v/>
      </c>
      <c r="AI329" s="131">
        <f t="shared" si="276"/>
        <v>0</v>
      </c>
      <c r="AJ329" s="2"/>
      <c r="AK329" s="92">
        <f>IF(G329=G$481,0,IF(OR(G329&lt;&gt;0,CJ329&lt;&gt;0,C329="L"),COUNTIF(AK$114:AK328,"&gt;0")+1,0))</f>
        <v>0</v>
      </c>
      <c r="AL329" s="92" t="str">
        <f t="shared" si="277"/>
        <v/>
      </c>
      <c r="AM329" s="92" t="str">
        <f t="shared" si="278"/>
        <v/>
      </c>
      <c r="AN329" s="131">
        <f t="shared" si="268"/>
        <v>0</v>
      </c>
      <c r="AO329" s="447">
        <f>SUM(AGO!W10:Z10)</f>
        <v>0</v>
      </c>
      <c r="AP329" s="445">
        <f>SUMIF(AGO!$G$155:$J$155,AP$112,AGO!$R10:$U10)</f>
        <v>0</v>
      </c>
      <c r="AQ329" s="446">
        <f>SUMIF(AGO!$G$155:$J$155,AQ$112,AGO!$R10:$U10)</f>
        <v>0</v>
      </c>
      <c r="AR329" s="447">
        <f>SUMIF(AGO!$G$155:$J$155,AR$112,AGO!$R10:$U10)</f>
        <v>0</v>
      </c>
      <c r="AS329" s="448">
        <f>SUMIF(AGO!$G$155:$J$155,AS$112,AGO!$R10:$U10)</f>
        <v>0</v>
      </c>
      <c r="AT329" s="449">
        <f>AGO!AG10</f>
        <v>0</v>
      </c>
      <c r="AU329" s="445">
        <f>AGO!AH10</f>
        <v>0</v>
      </c>
      <c r="AV329" s="446">
        <f>AGO!AI10</f>
        <v>0</v>
      </c>
      <c r="AW329" s="447">
        <f>AGO!AJ10</f>
        <v>0</v>
      </c>
      <c r="AX329" s="448">
        <f>AGO!AK10</f>
        <v>0</v>
      </c>
      <c r="AY329" s="445">
        <f>SUMIF(AGO!$G$152:$J$152,"&gt;0",AGO!$W10:$Z10)</f>
        <v>0</v>
      </c>
      <c r="AZ329" s="1063">
        <f>SUM(AGO!AB10:AE10)</f>
        <v>0</v>
      </c>
      <c r="BA329" s="445">
        <f>SUMIF(AGO!$G$159:$J$159,BA$111,AGO!$R10:$U10)+SUMIF(AGO!$G$159:$J$159,BA$111,AGO!$W10:$Z10)</f>
        <v>0</v>
      </c>
      <c r="BB329" s="446">
        <f>SUMIF(AGO!$G$159:$J$159,BB$111,AGO!$R10:$U10)+SUMIF(AGO!$G$159:$J$159,BB$111,AGO!$W10:$Z10)</f>
        <v>0</v>
      </c>
      <c r="BC329" s="446">
        <f>SUMIF(AGO!$G$159:$J$159,BC$111,AGO!$R10:$U10)+SUMIF(AGO!$G$159:$J$159,BC$111,AGO!$W10:$Z10)</f>
        <v>0</v>
      </c>
      <c r="BD329" s="446">
        <f>SUMIF(AGO!$G$159:$J$159,BD$111,AGO!$R10:$U10)+SUMIF(AGO!$G$159:$J$159,BD$111,AGO!$W10:$Z10)</f>
        <v>0</v>
      </c>
      <c r="BE329" s="446">
        <f>SUMIF(AGO!$G$159:$J$159,BE$111,AGO!$R10:$U10)+SUMIF(AGO!$G$159:$J$159,BE$111,AGO!$W10:$Z10)</f>
        <v>0</v>
      </c>
      <c r="BF329" s="446">
        <f>SUMIF(AGO!$G$159:$J$159,BF$111,AGO!$R10:$U10)+SUMIF(AGO!$G$159:$J$159,BF$111,AGO!$W10:$Z10)</f>
        <v>0</v>
      </c>
      <c r="BG329" s="448">
        <f>SUMIF(AGO!$G$159:$J$159,BG$111,AGO!$R10:$U10)+SUMIF(AGO!$G$159:$J$159,BG$111,AGO!$W10:$Z10)</f>
        <v>0</v>
      </c>
      <c r="BH329" s="571"/>
      <c r="BI329" s="448"/>
      <c r="BJ329" s="470"/>
      <c r="BK329" s="445">
        <f>SUMIF(AGO!$G$157:$J$157,BK$111,AGO!$R10:$U10)+SUMIF(AGO!$G$157:$J$157,BK$111,AGO!$W10:$Z10)</f>
        <v>0</v>
      </c>
      <c r="BL329" s="446">
        <f>SUMIF(AGO!$G$157:$J$157,BL$111,AGO!$R10:$U10)+SUMIF(AGO!$G$157:$J$157,BL$111,AGO!$W10:$Z10)</f>
        <v>0</v>
      </c>
      <c r="BM329" s="446">
        <f>SUMIF(AGO!$G$157:$J$157,BM$111,AGO!$R10:$U10)+SUMIF(AGO!$G$157:$J$157,BM$111,AGO!$W10:$Z10)</f>
        <v>0</v>
      </c>
      <c r="BN329" s="446">
        <f>SUMIF(AGO!$G$157:$J$157,BN$111,AGO!$R10:$U10)+SUMIF(AGO!$G$157:$J$157,BN$111,AGO!$W10:$Z10)</f>
        <v>0</v>
      </c>
      <c r="BO329" s="446">
        <f>SUMIF(AGO!$G$157:$J$157,BO$111,AGO!$R10:$U10)+SUMIF(AGO!$G$157:$J$157,BO$111,AGO!$W10:$Z10)</f>
        <v>0</v>
      </c>
      <c r="BP329" s="446">
        <f>SUMIF(AGO!$G$157:$J$157,BP$111,AGO!$R10:$U10)+SUMIF(AGO!$G$157:$J$157,BP$111,AGO!$W10:$Z10)</f>
        <v>0</v>
      </c>
      <c r="BQ329" s="448">
        <f>SUMIF(AGO!$G$157:$J$157,BQ$111,AGO!$R10:$U10)+SUMIF(AGO!$G$157:$J$157,BQ$111,AGO!$W10:$Z10)</f>
        <v>0</v>
      </c>
      <c r="BR329" s="571"/>
      <c r="BS329" s="446"/>
      <c r="BT329" s="448"/>
      <c r="BU329" s="470"/>
      <c r="BV329" s="445">
        <f>SUMIF(AGO!$G$158:$J$158,BV$111,AGO!$R10:$U10)+SUMIF(AGO!$G$158:$J$158,BV$111,AGO!$W10:$Z10)</f>
        <v>0</v>
      </c>
      <c r="BW329" s="446">
        <f>SUMIF(AGO!$G$158:$J$158,BW$111,AGO!$R10:$U10)+SUMIF(AGO!$G$158:$J$158,BW$111,AGO!$W10:$Z10)</f>
        <v>0</v>
      </c>
      <c r="BX329" s="446">
        <f>SUMIF(AGO!$G$158:$J$158,BX$111,AGO!$R10:$U10)+SUMIF(AGO!$G$158:$J$158,BX$111,AGO!$W10:$Z10)</f>
        <v>0</v>
      </c>
      <c r="BY329" s="446">
        <f>SUMIF(AGO!$G$158:$J$158,BY$111,AGO!$R10:$U10)+SUMIF(AGO!$G$158:$J$158,BY$111,AGO!$W10:$Z10)</f>
        <v>0</v>
      </c>
      <c r="BZ329" s="446">
        <f>SUMIF(AGO!$G$158:$J$158,BZ$111,AGO!$R10:$U10)+SUMIF(AGO!$G$158:$J$158,BZ$111,AGO!$W10:$Z10)</f>
        <v>0</v>
      </c>
      <c r="CA329" s="446">
        <f>SUMIF(AGO!$G$158:$J$158,CA$111,AGO!$R10:$U10)+SUMIF(AGO!$G$158:$J$158,CA$111,AGO!$W10:$Z10)</f>
        <v>0</v>
      </c>
      <c r="CB329" s="448">
        <f>SUMIF(AGO!$G$158:$J$158,CB$111,AGO!$R10:$U10)+SUMIF(AGO!$G$158:$J$158,CB$111,AGO!$W10:$Z10)</f>
        <v>0</v>
      </c>
      <c r="CC329" s="571"/>
      <c r="CD329" s="448"/>
      <c r="CE329" s="92">
        <f t="shared" si="279"/>
        <v>0</v>
      </c>
      <c r="CF329" s="92">
        <f t="shared" si="280"/>
        <v>0</v>
      </c>
      <c r="CG329" s="151" t="str">
        <f t="shared" si="266"/>
        <v/>
      </c>
      <c r="CH329" s="92">
        <f t="shared" si="269"/>
        <v>0</v>
      </c>
      <c r="CI329" s="92" t="str">
        <f t="shared" si="281"/>
        <v/>
      </c>
      <c r="CJ329" s="1100">
        <f>AGO!AM10</f>
        <v>0</v>
      </c>
      <c r="CK329" s="445">
        <f>SUMIF(AGO!$G$155:$J$155,CK$112,AGO!$AN10:$AQ10)</f>
        <v>0</v>
      </c>
      <c r="CL329" s="446">
        <f>SUMIF(AGO!$G$155:$J$155,CL$112,AGO!$AN10:$AQ10)</f>
        <v>0</v>
      </c>
      <c r="CM329" s="447">
        <f>SUMIF(AGO!$G$155:$J$155,CM$112,AGO!$AN10:$AQ10)</f>
        <v>0</v>
      </c>
      <c r="CN329" s="448">
        <f>SUMIF(AGO!$G$155:$J$155,CN$112,AGO!$AN10:$AQ10)</f>
        <v>0</v>
      </c>
      <c r="CO329" s="1100">
        <f>AGO!AS10</f>
        <v>0</v>
      </c>
      <c r="CP329" s="445">
        <f>AGO!AT10</f>
        <v>0</v>
      </c>
      <c r="CQ329" s="446">
        <f>AGO!AU10</f>
        <v>0</v>
      </c>
      <c r="CR329" s="447">
        <f>AGO!AV10</f>
        <v>0</v>
      </c>
      <c r="CS329" s="448">
        <f>AGO!AW10</f>
        <v>0</v>
      </c>
      <c r="CT329" s="1100">
        <f>AGO!AY10</f>
        <v>0</v>
      </c>
      <c r="CU329" s="2"/>
    </row>
    <row r="330" spans="1:99" ht="14.25" hidden="1" customHeight="1" x14ac:dyDescent="0.2">
      <c r="A330" s="2"/>
      <c r="B330" s="151">
        <f t="shared" si="270"/>
        <v>45508</v>
      </c>
      <c r="C330" s="223">
        <f>IF(AND(E330&gt;(N$492-1),E330&lt;(R$492+1)),W$485,IF(ISERROR(HLOOKUP(E330,$N$485:$U$485,1,FALSE)),HLOOKUP(WEEKDAY(E330,2),IMPOSTAZIONI!$C$51:$P$56,6,FALSE),$W$484))</f>
        <v>0</v>
      </c>
      <c r="D330" s="103" t="str">
        <f t="shared" si="271"/>
        <v/>
      </c>
      <c r="E330" s="2380">
        <f t="shared" si="282"/>
        <v>45508</v>
      </c>
      <c r="F330" s="2381"/>
      <c r="G330" s="2325" t="str">
        <f>AGO!E11</f>
        <v xml:space="preserve">attiva trim.  </v>
      </c>
      <c r="H330" s="2326"/>
      <c r="I330" s="2327"/>
      <c r="J330" s="479" t="str">
        <f t="shared" si="267"/>
        <v/>
      </c>
      <c r="K330" s="480"/>
      <c r="L330" s="2321">
        <f t="shared" si="283"/>
        <v>31</v>
      </c>
      <c r="M330" s="2322"/>
      <c r="N330" s="478"/>
      <c r="O330" s="478"/>
      <c r="P330" s="478"/>
      <c r="Q330" s="2315">
        <f t="shared" si="272"/>
        <v>45508</v>
      </c>
      <c r="R330" s="2315"/>
      <c r="S330" s="478"/>
      <c r="T330" s="140">
        <f t="shared" si="273"/>
        <v>1</v>
      </c>
      <c r="U330" s="478"/>
      <c r="V330" s="478"/>
      <c r="W330" s="478"/>
      <c r="X330" s="478"/>
      <c r="Y330" s="478"/>
      <c r="Z330" s="478"/>
      <c r="AA330" s="478"/>
      <c r="AB330" s="478"/>
      <c r="AC330" s="478"/>
      <c r="AD330" s="478"/>
      <c r="AE330" s="478"/>
      <c r="AF330" s="478"/>
      <c r="AG330" s="140">
        <f t="shared" si="274"/>
        <v>0</v>
      </c>
      <c r="AH330" s="92" t="str">
        <f t="shared" si="275"/>
        <v/>
      </c>
      <c r="AI330" s="131">
        <f t="shared" si="276"/>
        <v>0</v>
      </c>
      <c r="AJ330" s="2"/>
      <c r="AK330" s="92">
        <f>IF(G330=G$481,0,IF(OR(G330&lt;&gt;0,CJ330&lt;&gt;0,C330="L"),COUNTIF(AK$114:AK329,"&gt;0")+1,0))</f>
        <v>0</v>
      </c>
      <c r="AL330" s="92" t="str">
        <f t="shared" si="277"/>
        <v/>
      </c>
      <c r="AM330" s="92" t="str">
        <f t="shared" si="278"/>
        <v/>
      </c>
      <c r="AN330" s="131">
        <f t="shared" si="268"/>
        <v>0</v>
      </c>
      <c r="AO330" s="447">
        <f>SUM(AGO!W11:Z11)</f>
        <v>0</v>
      </c>
      <c r="AP330" s="445">
        <f>SUMIF(AGO!$G$155:$J$155,AP$112,AGO!$R11:$U11)</f>
        <v>0</v>
      </c>
      <c r="AQ330" s="446">
        <f>SUMIF(AGO!$G$155:$J$155,AQ$112,AGO!$R11:$U11)</f>
        <v>0</v>
      </c>
      <c r="AR330" s="447">
        <f>SUMIF(AGO!$G$155:$J$155,AR$112,AGO!$R11:$U11)</f>
        <v>0</v>
      </c>
      <c r="AS330" s="448">
        <f>SUMIF(AGO!$G$155:$J$155,AS$112,AGO!$R11:$U11)</f>
        <v>0</v>
      </c>
      <c r="AT330" s="449">
        <f>AGO!AG11</f>
        <v>0</v>
      </c>
      <c r="AU330" s="445">
        <f>AGO!AH11</f>
        <v>0</v>
      </c>
      <c r="AV330" s="446">
        <f>AGO!AI11</f>
        <v>0</v>
      </c>
      <c r="AW330" s="447">
        <f>AGO!AJ11</f>
        <v>0</v>
      </c>
      <c r="AX330" s="448">
        <f>AGO!AK11</f>
        <v>0</v>
      </c>
      <c r="AY330" s="445">
        <f>SUMIF(AGO!$G$152:$J$152,"&gt;0",AGO!$W11:$Z11)</f>
        <v>0</v>
      </c>
      <c r="AZ330" s="1063">
        <f>SUM(AGO!AB11:AE11)</f>
        <v>0</v>
      </c>
      <c r="BA330" s="445">
        <f>SUMIF(AGO!$G$159:$J$159,BA$111,AGO!$R11:$U11)+SUMIF(AGO!$G$159:$J$159,BA$111,AGO!$W11:$Z11)</f>
        <v>0</v>
      </c>
      <c r="BB330" s="446">
        <f>SUMIF(AGO!$G$159:$J$159,BB$111,AGO!$R11:$U11)+SUMIF(AGO!$G$159:$J$159,BB$111,AGO!$W11:$Z11)</f>
        <v>0</v>
      </c>
      <c r="BC330" s="446">
        <f>SUMIF(AGO!$G$159:$J$159,BC$111,AGO!$R11:$U11)+SUMIF(AGO!$G$159:$J$159,BC$111,AGO!$W11:$Z11)</f>
        <v>0</v>
      </c>
      <c r="BD330" s="446">
        <f>SUMIF(AGO!$G$159:$J$159,BD$111,AGO!$R11:$U11)+SUMIF(AGO!$G$159:$J$159,BD$111,AGO!$W11:$Z11)</f>
        <v>0</v>
      </c>
      <c r="BE330" s="446">
        <f>SUMIF(AGO!$G$159:$J$159,BE$111,AGO!$R11:$U11)+SUMIF(AGO!$G$159:$J$159,BE$111,AGO!$W11:$Z11)</f>
        <v>0</v>
      </c>
      <c r="BF330" s="446">
        <f>SUMIF(AGO!$G$159:$J$159,BF$111,AGO!$R11:$U11)+SUMIF(AGO!$G$159:$J$159,BF$111,AGO!$W11:$Z11)</f>
        <v>0</v>
      </c>
      <c r="BG330" s="448">
        <f>SUMIF(AGO!$G$159:$J$159,BG$111,AGO!$R11:$U11)+SUMIF(AGO!$G$159:$J$159,BG$111,AGO!$W11:$Z11)</f>
        <v>0</v>
      </c>
      <c r="BH330" s="571"/>
      <c r="BI330" s="448"/>
      <c r="BJ330" s="470"/>
      <c r="BK330" s="445">
        <f>SUMIF(AGO!$G$157:$J$157,BK$111,AGO!$R11:$U11)+SUMIF(AGO!$G$157:$J$157,BK$111,AGO!$W11:$Z11)</f>
        <v>0</v>
      </c>
      <c r="BL330" s="446">
        <f>SUMIF(AGO!$G$157:$J$157,BL$111,AGO!$R11:$U11)+SUMIF(AGO!$G$157:$J$157,BL$111,AGO!$W11:$Z11)</f>
        <v>0</v>
      </c>
      <c r="BM330" s="446">
        <f>SUMIF(AGO!$G$157:$J$157,BM$111,AGO!$R11:$U11)+SUMIF(AGO!$G$157:$J$157,BM$111,AGO!$W11:$Z11)</f>
        <v>0</v>
      </c>
      <c r="BN330" s="446">
        <f>SUMIF(AGO!$G$157:$J$157,BN$111,AGO!$R11:$U11)+SUMIF(AGO!$G$157:$J$157,BN$111,AGO!$W11:$Z11)</f>
        <v>0</v>
      </c>
      <c r="BO330" s="446">
        <f>SUMIF(AGO!$G$157:$J$157,BO$111,AGO!$R11:$U11)+SUMIF(AGO!$G$157:$J$157,BO$111,AGO!$W11:$Z11)</f>
        <v>0</v>
      </c>
      <c r="BP330" s="446">
        <f>SUMIF(AGO!$G$157:$J$157,BP$111,AGO!$R11:$U11)+SUMIF(AGO!$G$157:$J$157,BP$111,AGO!$W11:$Z11)</f>
        <v>0</v>
      </c>
      <c r="BQ330" s="448">
        <f>SUMIF(AGO!$G$157:$J$157,BQ$111,AGO!$R11:$U11)+SUMIF(AGO!$G$157:$J$157,BQ$111,AGO!$W11:$Z11)</f>
        <v>0</v>
      </c>
      <c r="BR330" s="571"/>
      <c r="BS330" s="446"/>
      <c r="BT330" s="448"/>
      <c r="BU330" s="470"/>
      <c r="BV330" s="445">
        <f>SUMIF(AGO!$G$158:$J$158,BV$111,AGO!$R11:$U11)+SUMIF(AGO!$G$158:$J$158,BV$111,AGO!$W11:$Z11)</f>
        <v>0</v>
      </c>
      <c r="BW330" s="446">
        <f>SUMIF(AGO!$G$158:$J$158,BW$111,AGO!$R11:$U11)+SUMIF(AGO!$G$158:$J$158,BW$111,AGO!$W11:$Z11)</f>
        <v>0</v>
      </c>
      <c r="BX330" s="446">
        <f>SUMIF(AGO!$G$158:$J$158,BX$111,AGO!$R11:$U11)+SUMIF(AGO!$G$158:$J$158,BX$111,AGO!$W11:$Z11)</f>
        <v>0</v>
      </c>
      <c r="BY330" s="446">
        <f>SUMIF(AGO!$G$158:$J$158,BY$111,AGO!$R11:$U11)+SUMIF(AGO!$G$158:$J$158,BY$111,AGO!$W11:$Z11)</f>
        <v>0</v>
      </c>
      <c r="BZ330" s="446">
        <f>SUMIF(AGO!$G$158:$J$158,BZ$111,AGO!$R11:$U11)+SUMIF(AGO!$G$158:$J$158,BZ$111,AGO!$W11:$Z11)</f>
        <v>0</v>
      </c>
      <c r="CA330" s="446">
        <f>SUMIF(AGO!$G$158:$J$158,CA$111,AGO!$R11:$U11)+SUMIF(AGO!$G$158:$J$158,CA$111,AGO!$W11:$Z11)</f>
        <v>0</v>
      </c>
      <c r="CB330" s="448">
        <f>SUMIF(AGO!$G$158:$J$158,CB$111,AGO!$R11:$U11)+SUMIF(AGO!$G$158:$J$158,CB$111,AGO!$W11:$Z11)</f>
        <v>0</v>
      </c>
      <c r="CC330" s="571"/>
      <c r="CD330" s="448"/>
      <c r="CE330" s="92">
        <f t="shared" si="279"/>
        <v>0</v>
      </c>
      <c r="CF330" s="92">
        <f t="shared" si="280"/>
        <v>0</v>
      </c>
      <c r="CG330" s="151" t="str">
        <f t="shared" si="266"/>
        <v/>
      </c>
      <c r="CH330" s="92">
        <f t="shared" si="269"/>
        <v>0</v>
      </c>
      <c r="CI330" s="92" t="str">
        <f t="shared" si="281"/>
        <v/>
      </c>
      <c r="CJ330" s="1100">
        <f>AGO!AM11</f>
        <v>0</v>
      </c>
      <c r="CK330" s="445">
        <f>SUMIF(AGO!$G$155:$J$155,CK$112,AGO!$AN11:$AQ11)</f>
        <v>0</v>
      </c>
      <c r="CL330" s="446">
        <f>SUMIF(AGO!$G$155:$J$155,CL$112,AGO!$AN11:$AQ11)</f>
        <v>0</v>
      </c>
      <c r="CM330" s="447">
        <f>SUMIF(AGO!$G$155:$J$155,CM$112,AGO!$AN11:$AQ11)</f>
        <v>0</v>
      </c>
      <c r="CN330" s="448">
        <f>SUMIF(AGO!$G$155:$J$155,CN$112,AGO!$AN11:$AQ11)</f>
        <v>0</v>
      </c>
      <c r="CO330" s="1100">
        <f>AGO!AS11</f>
        <v>0</v>
      </c>
      <c r="CP330" s="445">
        <f>AGO!AT11</f>
        <v>0</v>
      </c>
      <c r="CQ330" s="446">
        <f>AGO!AU11</f>
        <v>0</v>
      </c>
      <c r="CR330" s="447">
        <f>AGO!AV11</f>
        <v>0</v>
      </c>
      <c r="CS330" s="448">
        <f>AGO!AW11</f>
        <v>0</v>
      </c>
      <c r="CT330" s="1100">
        <f>AGO!AY11</f>
        <v>0</v>
      </c>
      <c r="CU330" s="2"/>
    </row>
    <row r="331" spans="1:99" ht="14.25" hidden="1" customHeight="1" x14ac:dyDescent="0.2">
      <c r="A331" s="2"/>
      <c r="B331" s="151">
        <f t="shared" si="270"/>
        <v>45509</v>
      </c>
      <c r="C331" s="223">
        <f>IF(AND(E331&gt;(N$492-1),E331&lt;(R$492+1)),W$485,IF(ISERROR(HLOOKUP(E331,$N$485:$U$485,1,FALSE)),HLOOKUP(WEEKDAY(E331,2),IMPOSTAZIONI!$C$51:$P$56,6,FALSE),$W$484))</f>
        <v>0</v>
      </c>
      <c r="D331" s="103" t="str">
        <f t="shared" si="271"/>
        <v/>
      </c>
      <c r="E331" s="2380">
        <f t="shared" si="282"/>
        <v>45509</v>
      </c>
      <c r="F331" s="2381"/>
      <c r="G331" s="2325" t="str">
        <f>AGO!E12</f>
        <v xml:space="preserve">attiva trim.  </v>
      </c>
      <c r="H331" s="2326"/>
      <c r="I331" s="2327"/>
      <c r="J331" s="479" t="str">
        <f t="shared" si="267"/>
        <v/>
      </c>
      <c r="K331" s="480"/>
      <c r="L331" s="2323">
        <f t="shared" si="283"/>
        <v>32</v>
      </c>
      <c r="M331" s="2324"/>
      <c r="N331" s="478"/>
      <c r="O331" s="478"/>
      <c r="P331" s="478"/>
      <c r="Q331" s="2315">
        <f t="shared" si="272"/>
        <v>45509</v>
      </c>
      <c r="R331" s="2315"/>
      <c r="S331" s="478"/>
      <c r="T331" s="140">
        <f t="shared" si="273"/>
        <v>1</v>
      </c>
      <c r="U331" s="478"/>
      <c r="V331" s="478"/>
      <c r="W331" s="478"/>
      <c r="X331" s="478"/>
      <c r="Y331" s="478"/>
      <c r="Z331" s="478"/>
      <c r="AA331" s="478"/>
      <c r="AB331" s="478"/>
      <c r="AC331" s="478"/>
      <c r="AD331" s="478"/>
      <c r="AE331" s="478"/>
      <c r="AF331" s="478"/>
      <c r="AG331" s="140">
        <f t="shared" si="274"/>
        <v>0</v>
      </c>
      <c r="AH331" s="92" t="str">
        <f t="shared" si="275"/>
        <v/>
      </c>
      <c r="AI331" s="131">
        <f t="shared" si="276"/>
        <v>0</v>
      </c>
      <c r="AJ331" s="2"/>
      <c r="AK331" s="92">
        <f>IF(G331=G$481,0,IF(OR(G331&lt;&gt;0,CJ331&lt;&gt;0,C331="L"),COUNTIF(AK$114:AK330,"&gt;0")+1,0))</f>
        <v>0</v>
      </c>
      <c r="AL331" s="92" t="str">
        <f t="shared" si="277"/>
        <v/>
      </c>
      <c r="AM331" s="92" t="str">
        <f t="shared" si="278"/>
        <v/>
      </c>
      <c r="AN331" s="131">
        <f t="shared" si="268"/>
        <v>0</v>
      </c>
      <c r="AO331" s="447">
        <f>SUM(AGO!W12:Z12)</f>
        <v>0</v>
      </c>
      <c r="AP331" s="445">
        <f>SUMIF(AGO!$G$155:$J$155,AP$112,AGO!$R12:$U12)</f>
        <v>0</v>
      </c>
      <c r="AQ331" s="446">
        <f>SUMIF(AGO!$G$155:$J$155,AQ$112,AGO!$R12:$U12)</f>
        <v>0</v>
      </c>
      <c r="AR331" s="447">
        <f>SUMIF(AGO!$G$155:$J$155,AR$112,AGO!$R12:$U12)</f>
        <v>0</v>
      </c>
      <c r="AS331" s="448">
        <f>SUMIF(AGO!$G$155:$J$155,AS$112,AGO!$R12:$U12)</f>
        <v>0</v>
      </c>
      <c r="AT331" s="449">
        <f>AGO!AG12</f>
        <v>0</v>
      </c>
      <c r="AU331" s="445">
        <f>AGO!AH12</f>
        <v>0</v>
      </c>
      <c r="AV331" s="446">
        <f>AGO!AI12</f>
        <v>0</v>
      </c>
      <c r="AW331" s="447">
        <f>AGO!AJ12</f>
        <v>0</v>
      </c>
      <c r="AX331" s="448">
        <f>AGO!AK12</f>
        <v>0</v>
      </c>
      <c r="AY331" s="445">
        <f>SUMIF(AGO!$G$152:$J$152,"&gt;0",AGO!$W12:$Z12)</f>
        <v>0</v>
      </c>
      <c r="AZ331" s="1063">
        <f>SUM(AGO!AB12:AE12)</f>
        <v>0</v>
      </c>
      <c r="BA331" s="445">
        <f>SUMIF(AGO!$G$159:$J$159,BA$111,AGO!$R12:$U12)+SUMIF(AGO!$G$159:$J$159,BA$111,AGO!$W12:$Z12)</f>
        <v>0</v>
      </c>
      <c r="BB331" s="446">
        <f>SUMIF(AGO!$G$159:$J$159,BB$111,AGO!$R12:$U12)+SUMIF(AGO!$G$159:$J$159,BB$111,AGO!$W12:$Z12)</f>
        <v>0</v>
      </c>
      <c r="BC331" s="446">
        <f>SUMIF(AGO!$G$159:$J$159,BC$111,AGO!$R12:$U12)+SUMIF(AGO!$G$159:$J$159,BC$111,AGO!$W12:$Z12)</f>
        <v>0</v>
      </c>
      <c r="BD331" s="446">
        <f>SUMIF(AGO!$G$159:$J$159,BD$111,AGO!$R12:$U12)+SUMIF(AGO!$G$159:$J$159,BD$111,AGO!$W12:$Z12)</f>
        <v>0</v>
      </c>
      <c r="BE331" s="446">
        <f>SUMIF(AGO!$G$159:$J$159,BE$111,AGO!$R12:$U12)+SUMIF(AGO!$G$159:$J$159,BE$111,AGO!$W12:$Z12)</f>
        <v>0</v>
      </c>
      <c r="BF331" s="446">
        <f>SUMIF(AGO!$G$159:$J$159,BF$111,AGO!$R12:$U12)+SUMIF(AGO!$G$159:$J$159,BF$111,AGO!$W12:$Z12)</f>
        <v>0</v>
      </c>
      <c r="BG331" s="448">
        <f>SUMIF(AGO!$G$159:$J$159,BG$111,AGO!$R12:$U12)+SUMIF(AGO!$G$159:$J$159,BG$111,AGO!$W12:$Z12)</f>
        <v>0</v>
      </c>
      <c r="BH331" s="571"/>
      <c r="BI331" s="448"/>
      <c r="BJ331" s="470"/>
      <c r="BK331" s="445">
        <f>SUMIF(AGO!$G$157:$J$157,BK$111,AGO!$R12:$U12)+SUMIF(AGO!$G$157:$J$157,BK$111,AGO!$W12:$Z12)</f>
        <v>0</v>
      </c>
      <c r="BL331" s="446">
        <f>SUMIF(AGO!$G$157:$J$157,BL$111,AGO!$R12:$U12)+SUMIF(AGO!$G$157:$J$157,BL$111,AGO!$W12:$Z12)</f>
        <v>0</v>
      </c>
      <c r="BM331" s="446">
        <f>SUMIF(AGO!$G$157:$J$157,BM$111,AGO!$R12:$U12)+SUMIF(AGO!$G$157:$J$157,BM$111,AGO!$W12:$Z12)</f>
        <v>0</v>
      </c>
      <c r="BN331" s="446">
        <f>SUMIF(AGO!$G$157:$J$157,BN$111,AGO!$R12:$U12)+SUMIF(AGO!$G$157:$J$157,BN$111,AGO!$W12:$Z12)</f>
        <v>0</v>
      </c>
      <c r="BO331" s="446">
        <f>SUMIF(AGO!$G$157:$J$157,BO$111,AGO!$R12:$U12)+SUMIF(AGO!$G$157:$J$157,BO$111,AGO!$W12:$Z12)</f>
        <v>0</v>
      </c>
      <c r="BP331" s="446">
        <f>SUMIF(AGO!$G$157:$J$157,BP$111,AGO!$R12:$U12)+SUMIF(AGO!$G$157:$J$157,BP$111,AGO!$W12:$Z12)</f>
        <v>0</v>
      </c>
      <c r="BQ331" s="448">
        <f>SUMIF(AGO!$G$157:$J$157,BQ$111,AGO!$R12:$U12)+SUMIF(AGO!$G$157:$J$157,BQ$111,AGO!$W12:$Z12)</f>
        <v>0</v>
      </c>
      <c r="BR331" s="571"/>
      <c r="BS331" s="446"/>
      <c r="BT331" s="448"/>
      <c r="BU331" s="470"/>
      <c r="BV331" s="445">
        <f>SUMIF(AGO!$G$158:$J$158,BV$111,AGO!$R12:$U12)+SUMIF(AGO!$G$158:$J$158,BV$111,AGO!$W12:$Z12)</f>
        <v>0</v>
      </c>
      <c r="BW331" s="446">
        <f>SUMIF(AGO!$G$158:$J$158,BW$111,AGO!$R12:$U12)+SUMIF(AGO!$G$158:$J$158,BW$111,AGO!$W12:$Z12)</f>
        <v>0</v>
      </c>
      <c r="BX331" s="446">
        <f>SUMIF(AGO!$G$158:$J$158,BX$111,AGO!$R12:$U12)+SUMIF(AGO!$G$158:$J$158,BX$111,AGO!$W12:$Z12)</f>
        <v>0</v>
      </c>
      <c r="BY331" s="446">
        <f>SUMIF(AGO!$G$158:$J$158,BY$111,AGO!$R12:$U12)+SUMIF(AGO!$G$158:$J$158,BY$111,AGO!$W12:$Z12)</f>
        <v>0</v>
      </c>
      <c r="BZ331" s="446">
        <f>SUMIF(AGO!$G$158:$J$158,BZ$111,AGO!$R12:$U12)+SUMIF(AGO!$G$158:$J$158,BZ$111,AGO!$W12:$Z12)</f>
        <v>0</v>
      </c>
      <c r="CA331" s="446">
        <f>SUMIF(AGO!$G$158:$J$158,CA$111,AGO!$R12:$U12)+SUMIF(AGO!$G$158:$J$158,CA$111,AGO!$W12:$Z12)</f>
        <v>0</v>
      </c>
      <c r="CB331" s="448">
        <f>SUMIF(AGO!$G$158:$J$158,CB$111,AGO!$R12:$U12)+SUMIF(AGO!$G$158:$J$158,CB$111,AGO!$W12:$Z12)</f>
        <v>0</v>
      </c>
      <c r="CC331" s="571"/>
      <c r="CD331" s="448"/>
      <c r="CE331" s="92">
        <f t="shared" si="279"/>
        <v>0</v>
      </c>
      <c r="CF331" s="92">
        <f t="shared" si="280"/>
        <v>0</v>
      </c>
      <c r="CG331" s="151" t="str">
        <f t="shared" si="266"/>
        <v/>
      </c>
      <c r="CH331" s="92">
        <f t="shared" si="269"/>
        <v>0</v>
      </c>
      <c r="CI331" s="92" t="str">
        <f t="shared" si="281"/>
        <v/>
      </c>
      <c r="CJ331" s="1100">
        <f>AGO!AM12</f>
        <v>0</v>
      </c>
      <c r="CK331" s="445">
        <f>SUMIF(AGO!$G$155:$J$155,CK$112,AGO!$AN12:$AQ12)</f>
        <v>0</v>
      </c>
      <c r="CL331" s="446">
        <f>SUMIF(AGO!$G$155:$J$155,CL$112,AGO!$AN12:$AQ12)</f>
        <v>0</v>
      </c>
      <c r="CM331" s="447">
        <f>SUMIF(AGO!$G$155:$J$155,CM$112,AGO!$AN12:$AQ12)</f>
        <v>0</v>
      </c>
      <c r="CN331" s="448">
        <f>SUMIF(AGO!$G$155:$J$155,CN$112,AGO!$AN12:$AQ12)</f>
        <v>0</v>
      </c>
      <c r="CO331" s="1100">
        <f>AGO!AS12</f>
        <v>0</v>
      </c>
      <c r="CP331" s="445">
        <f>AGO!AT12</f>
        <v>0</v>
      </c>
      <c r="CQ331" s="446">
        <f>AGO!AU12</f>
        <v>0</v>
      </c>
      <c r="CR331" s="447">
        <f>AGO!AV12</f>
        <v>0</v>
      </c>
      <c r="CS331" s="448">
        <f>AGO!AW12</f>
        <v>0</v>
      </c>
      <c r="CT331" s="1100">
        <f>AGO!AY12</f>
        <v>0</v>
      </c>
      <c r="CU331" s="2"/>
    </row>
    <row r="332" spans="1:99" ht="14.25" hidden="1" customHeight="1" x14ac:dyDescent="0.2">
      <c r="A332" s="2"/>
      <c r="B332" s="151">
        <f t="shared" si="270"/>
        <v>45510</v>
      </c>
      <c r="C332" s="223">
        <f>IF(AND(E332&gt;(N$492-1),E332&lt;(R$492+1)),W$485,IF(ISERROR(HLOOKUP(E332,$N$485:$U$485,1,FALSE)),HLOOKUP(WEEKDAY(E332,2),IMPOSTAZIONI!$C$51:$P$56,6,FALSE),$W$484))</f>
        <v>0</v>
      </c>
      <c r="D332" s="103" t="str">
        <f t="shared" si="271"/>
        <v/>
      </c>
      <c r="E332" s="2380">
        <f t="shared" si="282"/>
        <v>45510</v>
      </c>
      <c r="F332" s="2381"/>
      <c r="G332" s="2325" t="str">
        <f>AGO!E13</f>
        <v xml:space="preserve">attiva trim.  </v>
      </c>
      <c r="H332" s="2326"/>
      <c r="I332" s="2327"/>
      <c r="J332" s="479" t="str">
        <f t="shared" si="267"/>
        <v/>
      </c>
      <c r="K332" s="480"/>
      <c r="L332" s="2319">
        <f t="shared" si="283"/>
        <v>32</v>
      </c>
      <c r="M332" s="2320"/>
      <c r="N332" s="478"/>
      <c r="O332" s="478"/>
      <c r="P332" s="478"/>
      <c r="Q332" s="2315">
        <f t="shared" si="272"/>
        <v>45510</v>
      </c>
      <c r="R332" s="2315"/>
      <c r="S332" s="478"/>
      <c r="T332" s="140">
        <f t="shared" si="273"/>
        <v>1</v>
      </c>
      <c r="U332" s="478"/>
      <c r="V332" s="478"/>
      <c r="W332" s="478"/>
      <c r="X332" s="478"/>
      <c r="Y332" s="478"/>
      <c r="Z332" s="478"/>
      <c r="AA332" s="478"/>
      <c r="AB332" s="478"/>
      <c r="AC332" s="478"/>
      <c r="AD332" s="478"/>
      <c r="AE332" s="478"/>
      <c r="AF332" s="478"/>
      <c r="AG332" s="140">
        <f t="shared" si="274"/>
        <v>0</v>
      </c>
      <c r="AH332" s="92" t="str">
        <f t="shared" si="275"/>
        <v/>
      </c>
      <c r="AI332" s="131">
        <f t="shared" si="276"/>
        <v>0</v>
      </c>
      <c r="AJ332" s="2"/>
      <c r="AK332" s="92">
        <f>IF(G332=G$481,0,IF(OR(G332&lt;&gt;0,CJ332&lt;&gt;0,C332="L"),COUNTIF(AK$114:AK331,"&gt;0")+1,0))</f>
        <v>0</v>
      </c>
      <c r="AL332" s="92" t="str">
        <f t="shared" si="277"/>
        <v/>
      </c>
      <c r="AM332" s="92" t="str">
        <f t="shared" si="278"/>
        <v/>
      </c>
      <c r="AN332" s="131">
        <f t="shared" si="268"/>
        <v>0</v>
      </c>
      <c r="AO332" s="447">
        <f>SUM(AGO!W13:Z13)</f>
        <v>0</v>
      </c>
      <c r="AP332" s="445">
        <f>SUMIF(AGO!$G$155:$J$155,AP$112,AGO!$R13:$U13)</f>
        <v>0</v>
      </c>
      <c r="AQ332" s="446">
        <f>SUMIF(AGO!$G$155:$J$155,AQ$112,AGO!$R13:$U13)</f>
        <v>0</v>
      </c>
      <c r="AR332" s="447">
        <f>SUMIF(AGO!$G$155:$J$155,AR$112,AGO!$R13:$U13)</f>
        <v>0</v>
      </c>
      <c r="AS332" s="448">
        <f>SUMIF(AGO!$G$155:$J$155,AS$112,AGO!$R13:$U13)</f>
        <v>0</v>
      </c>
      <c r="AT332" s="449">
        <f>AGO!AG13</f>
        <v>0</v>
      </c>
      <c r="AU332" s="445">
        <f>AGO!AH13</f>
        <v>0</v>
      </c>
      <c r="AV332" s="446">
        <f>AGO!AI13</f>
        <v>0</v>
      </c>
      <c r="AW332" s="447">
        <f>AGO!AJ13</f>
        <v>0</v>
      </c>
      <c r="AX332" s="448">
        <f>AGO!AK13</f>
        <v>0</v>
      </c>
      <c r="AY332" s="445">
        <f>SUMIF(AGO!$G$152:$J$152,"&gt;0",AGO!$W13:$Z13)</f>
        <v>0</v>
      </c>
      <c r="AZ332" s="1063">
        <f>SUM(AGO!AB13:AE13)</f>
        <v>0</v>
      </c>
      <c r="BA332" s="445">
        <f>SUMIF(AGO!$G$159:$J$159,BA$111,AGO!$R13:$U13)+SUMIF(AGO!$G$159:$J$159,BA$111,AGO!$W13:$Z13)</f>
        <v>0</v>
      </c>
      <c r="BB332" s="446">
        <f>SUMIF(AGO!$G$159:$J$159,BB$111,AGO!$R13:$U13)+SUMIF(AGO!$G$159:$J$159,BB$111,AGO!$W13:$Z13)</f>
        <v>0</v>
      </c>
      <c r="BC332" s="446">
        <f>SUMIF(AGO!$G$159:$J$159,BC$111,AGO!$R13:$U13)+SUMIF(AGO!$G$159:$J$159,BC$111,AGO!$W13:$Z13)</f>
        <v>0</v>
      </c>
      <c r="BD332" s="446">
        <f>SUMIF(AGO!$G$159:$J$159,BD$111,AGO!$R13:$U13)+SUMIF(AGO!$G$159:$J$159,BD$111,AGO!$W13:$Z13)</f>
        <v>0</v>
      </c>
      <c r="BE332" s="446">
        <f>SUMIF(AGO!$G$159:$J$159,BE$111,AGO!$R13:$U13)+SUMIF(AGO!$G$159:$J$159,BE$111,AGO!$W13:$Z13)</f>
        <v>0</v>
      </c>
      <c r="BF332" s="446">
        <f>SUMIF(AGO!$G$159:$J$159,BF$111,AGO!$R13:$U13)+SUMIF(AGO!$G$159:$J$159,BF$111,AGO!$W13:$Z13)</f>
        <v>0</v>
      </c>
      <c r="BG332" s="448">
        <f>SUMIF(AGO!$G$159:$J$159,BG$111,AGO!$R13:$U13)+SUMIF(AGO!$G$159:$J$159,BG$111,AGO!$W13:$Z13)</f>
        <v>0</v>
      </c>
      <c r="BH332" s="571"/>
      <c r="BI332" s="448"/>
      <c r="BJ332" s="470"/>
      <c r="BK332" s="445">
        <f>SUMIF(AGO!$G$157:$J$157,BK$111,AGO!$R13:$U13)+SUMIF(AGO!$G$157:$J$157,BK$111,AGO!$W13:$Z13)</f>
        <v>0</v>
      </c>
      <c r="BL332" s="446">
        <f>SUMIF(AGO!$G$157:$J$157,BL$111,AGO!$R13:$U13)+SUMIF(AGO!$G$157:$J$157,BL$111,AGO!$W13:$Z13)</f>
        <v>0</v>
      </c>
      <c r="BM332" s="446">
        <f>SUMIF(AGO!$G$157:$J$157,BM$111,AGO!$R13:$U13)+SUMIF(AGO!$G$157:$J$157,BM$111,AGO!$W13:$Z13)</f>
        <v>0</v>
      </c>
      <c r="BN332" s="446">
        <f>SUMIF(AGO!$G$157:$J$157,BN$111,AGO!$R13:$U13)+SUMIF(AGO!$G$157:$J$157,BN$111,AGO!$W13:$Z13)</f>
        <v>0</v>
      </c>
      <c r="BO332" s="446">
        <f>SUMIF(AGO!$G$157:$J$157,BO$111,AGO!$R13:$U13)+SUMIF(AGO!$G$157:$J$157,BO$111,AGO!$W13:$Z13)</f>
        <v>0</v>
      </c>
      <c r="BP332" s="446">
        <f>SUMIF(AGO!$G$157:$J$157,BP$111,AGO!$R13:$U13)+SUMIF(AGO!$G$157:$J$157,BP$111,AGO!$W13:$Z13)</f>
        <v>0</v>
      </c>
      <c r="BQ332" s="448">
        <f>SUMIF(AGO!$G$157:$J$157,BQ$111,AGO!$R13:$U13)+SUMIF(AGO!$G$157:$J$157,BQ$111,AGO!$W13:$Z13)</f>
        <v>0</v>
      </c>
      <c r="BR332" s="571"/>
      <c r="BS332" s="446"/>
      <c r="BT332" s="448"/>
      <c r="BU332" s="470"/>
      <c r="BV332" s="445">
        <f>SUMIF(AGO!$G$158:$J$158,BV$111,AGO!$R13:$U13)+SUMIF(AGO!$G$158:$J$158,BV$111,AGO!$W13:$Z13)</f>
        <v>0</v>
      </c>
      <c r="BW332" s="446">
        <f>SUMIF(AGO!$G$158:$J$158,BW$111,AGO!$R13:$U13)+SUMIF(AGO!$G$158:$J$158,BW$111,AGO!$W13:$Z13)</f>
        <v>0</v>
      </c>
      <c r="BX332" s="446">
        <f>SUMIF(AGO!$G$158:$J$158,BX$111,AGO!$R13:$U13)+SUMIF(AGO!$G$158:$J$158,BX$111,AGO!$W13:$Z13)</f>
        <v>0</v>
      </c>
      <c r="BY332" s="446">
        <f>SUMIF(AGO!$G$158:$J$158,BY$111,AGO!$R13:$U13)+SUMIF(AGO!$G$158:$J$158,BY$111,AGO!$W13:$Z13)</f>
        <v>0</v>
      </c>
      <c r="BZ332" s="446">
        <f>SUMIF(AGO!$G$158:$J$158,BZ$111,AGO!$R13:$U13)+SUMIF(AGO!$G$158:$J$158,BZ$111,AGO!$W13:$Z13)</f>
        <v>0</v>
      </c>
      <c r="CA332" s="446">
        <f>SUMIF(AGO!$G$158:$J$158,CA$111,AGO!$R13:$U13)+SUMIF(AGO!$G$158:$J$158,CA$111,AGO!$W13:$Z13)</f>
        <v>0</v>
      </c>
      <c r="CB332" s="448">
        <f>SUMIF(AGO!$G$158:$J$158,CB$111,AGO!$R13:$U13)+SUMIF(AGO!$G$158:$J$158,CB$111,AGO!$W13:$Z13)</f>
        <v>0</v>
      </c>
      <c r="CC332" s="571"/>
      <c r="CD332" s="448"/>
      <c r="CE332" s="92">
        <f t="shared" si="279"/>
        <v>0</v>
      </c>
      <c r="CF332" s="92">
        <f t="shared" si="280"/>
        <v>0</v>
      </c>
      <c r="CG332" s="151" t="str">
        <f t="shared" si="266"/>
        <v/>
      </c>
      <c r="CH332" s="92">
        <f t="shared" si="269"/>
        <v>0</v>
      </c>
      <c r="CI332" s="92" t="str">
        <f t="shared" si="281"/>
        <v/>
      </c>
      <c r="CJ332" s="1100">
        <f>AGO!AM13</f>
        <v>0</v>
      </c>
      <c r="CK332" s="445">
        <f>SUMIF(AGO!$G$155:$J$155,CK$112,AGO!$AN13:$AQ13)</f>
        <v>0</v>
      </c>
      <c r="CL332" s="446">
        <f>SUMIF(AGO!$G$155:$J$155,CL$112,AGO!$AN13:$AQ13)</f>
        <v>0</v>
      </c>
      <c r="CM332" s="447">
        <f>SUMIF(AGO!$G$155:$J$155,CM$112,AGO!$AN13:$AQ13)</f>
        <v>0</v>
      </c>
      <c r="CN332" s="448">
        <f>SUMIF(AGO!$G$155:$J$155,CN$112,AGO!$AN13:$AQ13)</f>
        <v>0</v>
      </c>
      <c r="CO332" s="1100">
        <f>AGO!AS13</f>
        <v>0</v>
      </c>
      <c r="CP332" s="445">
        <f>AGO!AT13</f>
        <v>0</v>
      </c>
      <c r="CQ332" s="446">
        <f>AGO!AU13</f>
        <v>0</v>
      </c>
      <c r="CR332" s="447">
        <f>AGO!AV13</f>
        <v>0</v>
      </c>
      <c r="CS332" s="448">
        <f>AGO!AW13</f>
        <v>0</v>
      </c>
      <c r="CT332" s="1100">
        <f>AGO!AY13</f>
        <v>0</v>
      </c>
      <c r="CU332" s="2"/>
    </row>
    <row r="333" spans="1:99" ht="14.25" hidden="1" customHeight="1" x14ac:dyDescent="0.2">
      <c r="A333" s="2"/>
      <c r="B333" s="151">
        <f t="shared" si="270"/>
        <v>45511</v>
      </c>
      <c r="C333" s="223">
        <f>IF(AND(E333&gt;(N$492-1),E333&lt;(R$492+1)),W$485,IF(ISERROR(HLOOKUP(E333,$N$485:$U$485,1,FALSE)),HLOOKUP(WEEKDAY(E333,2),IMPOSTAZIONI!$C$51:$P$56,6,FALSE),$W$484))</f>
        <v>0</v>
      </c>
      <c r="D333" s="103" t="str">
        <f t="shared" si="271"/>
        <v/>
      </c>
      <c r="E333" s="2380">
        <f t="shared" si="282"/>
        <v>45511</v>
      </c>
      <c r="F333" s="2381"/>
      <c r="G333" s="2325" t="str">
        <f>AGO!E14</f>
        <v xml:space="preserve">attiva trim.  </v>
      </c>
      <c r="H333" s="2326"/>
      <c r="I333" s="2327"/>
      <c r="J333" s="479" t="str">
        <f t="shared" si="267"/>
        <v/>
      </c>
      <c r="K333" s="480"/>
      <c r="L333" s="2319">
        <f t="shared" si="283"/>
        <v>32</v>
      </c>
      <c r="M333" s="2320"/>
      <c r="N333" s="478"/>
      <c r="O333" s="478"/>
      <c r="P333" s="478"/>
      <c r="Q333" s="2315">
        <f t="shared" si="272"/>
        <v>45511</v>
      </c>
      <c r="R333" s="2315"/>
      <c r="S333" s="478"/>
      <c r="T333" s="140">
        <f t="shared" si="273"/>
        <v>1</v>
      </c>
      <c r="U333" s="478"/>
      <c r="V333" s="478"/>
      <c r="W333" s="478"/>
      <c r="X333" s="478"/>
      <c r="Y333" s="478"/>
      <c r="Z333" s="478"/>
      <c r="AA333" s="478"/>
      <c r="AB333" s="478"/>
      <c r="AC333" s="478"/>
      <c r="AD333" s="478"/>
      <c r="AE333" s="478"/>
      <c r="AF333" s="478"/>
      <c r="AG333" s="140">
        <f t="shared" si="274"/>
        <v>0</v>
      </c>
      <c r="AH333" s="92" t="str">
        <f t="shared" si="275"/>
        <v/>
      </c>
      <c r="AI333" s="131">
        <f t="shared" si="276"/>
        <v>0</v>
      </c>
      <c r="AJ333" s="2"/>
      <c r="AK333" s="92">
        <f>IF(G333=G$481,0,IF(OR(G333&lt;&gt;0,CJ333&lt;&gt;0,C333="L"),COUNTIF(AK$114:AK332,"&gt;0")+1,0))</f>
        <v>0</v>
      </c>
      <c r="AL333" s="92" t="str">
        <f t="shared" si="277"/>
        <v/>
      </c>
      <c r="AM333" s="92" t="str">
        <f t="shared" si="278"/>
        <v/>
      </c>
      <c r="AN333" s="131">
        <f t="shared" si="268"/>
        <v>0</v>
      </c>
      <c r="AO333" s="447">
        <f>SUM(AGO!W14:Z14)</f>
        <v>0</v>
      </c>
      <c r="AP333" s="445">
        <f>SUMIF(AGO!$G$155:$J$155,AP$112,AGO!$R14:$U14)</f>
        <v>0</v>
      </c>
      <c r="AQ333" s="446">
        <f>SUMIF(AGO!$G$155:$J$155,AQ$112,AGO!$R14:$U14)</f>
        <v>0</v>
      </c>
      <c r="AR333" s="447">
        <f>SUMIF(AGO!$G$155:$J$155,AR$112,AGO!$R14:$U14)</f>
        <v>0</v>
      </c>
      <c r="AS333" s="448">
        <f>SUMIF(AGO!$G$155:$J$155,AS$112,AGO!$R14:$U14)</f>
        <v>0</v>
      </c>
      <c r="AT333" s="449">
        <f>AGO!AG14</f>
        <v>0</v>
      </c>
      <c r="AU333" s="445">
        <f>AGO!AH14</f>
        <v>0</v>
      </c>
      <c r="AV333" s="446">
        <f>AGO!AI14</f>
        <v>0</v>
      </c>
      <c r="AW333" s="447">
        <f>AGO!AJ14</f>
        <v>0</v>
      </c>
      <c r="AX333" s="448">
        <f>AGO!AK14</f>
        <v>0</v>
      </c>
      <c r="AY333" s="445">
        <f>SUMIF(AGO!$G$152:$J$152,"&gt;0",AGO!$W14:$Z14)</f>
        <v>0</v>
      </c>
      <c r="AZ333" s="1063">
        <f>SUM(AGO!AB14:AE14)</f>
        <v>0</v>
      </c>
      <c r="BA333" s="445">
        <f>SUMIF(AGO!$G$159:$J$159,BA$111,AGO!$R14:$U14)+SUMIF(AGO!$G$159:$J$159,BA$111,AGO!$W14:$Z14)</f>
        <v>0</v>
      </c>
      <c r="BB333" s="446">
        <f>SUMIF(AGO!$G$159:$J$159,BB$111,AGO!$R14:$U14)+SUMIF(AGO!$G$159:$J$159,BB$111,AGO!$W14:$Z14)</f>
        <v>0</v>
      </c>
      <c r="BC333" s="446">
        <f>SUMIF(AGO!$G$159:$J$159,BC$111,AGO!$R14:$U14)+SUMIF(AGO!$G$159:$J$159,BC$111,AGO!$W14:$Z14)</f>
        <v>0</v>
      </c>
      <c r="BD333" s="446">
        <f>SUMIF(AGO!$G$159:$J$159,BD$111,AGO!$R14:$U14)+SUMIF(AGO!$G$159:$J$159,BD$111,AGO!$W14:$Z14)</f>
        <v>0</v>
      </c>
      <c r="BE333" s="446">
        <f>SUMIF(AGO!$G$159:$J$159,BE$111,AGO!$R14:$U14)+SUMIF(AGO!$G$159:$J$159,BE$111,AGO!$W14:$Z14)</f>
        <v>0</v>
      </c>
      <c r="BF333" s="446">
        <f>SUMIF(AGO!$G$159:$J$159,BF$111,AGO!$R14:$U14)+SUMIF(AGO!$G$159:$J$159,BF$111,AGO!$W14:$Z14)</f>
        <v>0</v>
      </c>
      <c r="BG333" s="448">
        <f>SUMIF(AGO!$G$159:$J$159,BG$111,AGO!$R14:$U14)+SUMIF(AGO!$G$159:$J$159,BG$111,AGO!$W14:$Z14)</f>
        <v>0</v>
      </c>
      <c r="BH333" s="571"/>
      <c r="BI333" s="448"/>
      <c r="BJ333" s="470"/>
      <c r="BK333" s="445">
        <f>SUMIF(AGO!$G$157:$J$157,BK$111,AGO!$R14:$U14)+SUMIF(AGO!$G$157:$J$157,BK$111,AGO!$W14:$Z14)</f>
        <v>0</v>
      </c>
      <c r="BL333" s="446">
        <f>SUMIF(AGO!$G$157:$J$157,BL$111,AGO!$R14:$U14)+SUMIF(AGO!$G$157:$J$157,BL$111,AGO!$W14:$Z14)</f>
        <v>0</v>
      </c>
      <c r="BM333" s="446">
        <f>SUMIF(AGO!$G$157:$J$157,BM$111,AGO!$R14:$U14)+SUMIF(AGO!$G$157:$J$157,BM$111,AGO!$W14:$Z14)</f>
        <v>0</v>
      </c>
      <c r="BN333" s="446">
        <f>SUMIF(AGO!$G$157:$J$157,BN$111,AGO!$R14:$U14)+SUMIF(AGO!$G$157:$J$157,BN$111,AGO!$W14:$Z14)</f>
        <v>0</v>
      </c>
      <c r="BO333" s="446">
        <f>SUMIF(AGO!$G$157:$J$157,BO$111,AGO!$R14:$U14)+SUMIF(AGO!$G$157:$J$157,BO$111,AGO!$W14:$Z14)</f>
        <v>0</v>
      </c>
      <c r="BP333" s="446">
        <f>SUMIF(AGO!$G$157:$J$157,BP$111,AGO!$R14:$U14)+SUMIF(AGO!$G$157:$J$157,BP$111,AGO!$W14:$Z14)</f>
        <v>0</v>
      </c>
      <c r="BQ333" s="448">
        <f>SUMIF(AGO!$G$157:$J$157,BQ$111,AGO!$R14:$U14)+SUMIF(AGO!$G$157:$J$157,BQ$111,AGO!$W14:$Z14)</f>
        <v>0</v>
      </c>
      <c r="BR333" s="571"/>
      <c r="BS333" s="446"/>
      <c r="BT333" s="448"/>
      <c r="BU333" s="470"/>
      <c r="BV333" s="445">
        <f>SUMIF(AGO!$G$158:$J$158,BV$111,AGO!$R14:$U14)+SUMIF(AGO!$G$158:$J$158,BV$111,AGO!$W14:$Z14)</f>
        <v>0</v>
      </c>
      <c r="BW333" s="446">
        <f>SUMIF(AGO!$G$158:$J$158,BW$111,AGO!$R14:$U14)+SUMIF(AGO!$G$158:$J$158,BW$111,AGO!$W14:$Z14)</f>
        <v>0</v>
      </c>
      <c r="BX333" s="446">
        <f>SUMIF(AGO!$G$158:$J$158,BX$111,AGO!$R14:$U14)+SUMIF(AGO!$G$158:$J$158,BX$111,AGO!$W14:$Z14)</f>
        <v>0</v>
      </c>
      <c r="BY333" s="446">
        <f>SUMIF(AGO!$G$158:$J$158,BY$111,AGO!$R14:$U14)+SUMIF(AGO!$G$158:$J$158,BY$111,AGO!$W14:$Z14)</f>
        <v>0</v>
      </c>
      <c r="BZ333" s="446">
        <f>SUMIF(AGO!$G$158:$J$158,BZ$111,AGO!$R14:$U14)+SUMIF(AGO!$G$158:$J$158,BZ$111,AGO!$W14:$Z14)</f>
        <v>0</v>
      </c>
      <c r="CA333" s="446">
        <f>SUMIF(AGO!$G$158:$J$158,CA$111,AGO!$R14:$U14)+SUMIF(AGO!$G$158:$J$158,CA$111,AGO!$W14:$Z14)</f>
        <v>0</v>
      </c>
      <c r="CB333" s="448">
        <f>SUMIF(AGO!$G$158:$J$158,CB$111,AGO!$R14:$U14)+SUMIF(AGO!$G$158:$J$158,CB$111,AGO!$W14:$Z14)</f>
        <v>0</v>
      </c>
      <c r="CC333" s="571"/>
      <c r="CD333" s="448"/>
      <c r="CE333" s="92">
        <f t="shared" si="279"/>
        <v>0</v>
      </c>
      <c r="CF333" s="92">
        <f t="shared" si="280"/>
        <v>0</v>
      </c>
      <c r="CG333" s="151" t="str">
        <f t="shared" si="266"/>
        <v/>
      </c>
      <c r="CH333" s="92">
        <f t="shared" si="269"/>
        <v>0</v>
      </c>
      <c r="CI333" s="92" t="str">
        <f t="shared" si="281"/>
        <v/>
      </c>
      <c r="CJ333" s="1100">
        <f>AGO!AM14</f>
        <v>0</v>
      </c>
      <c r="CK333" s="445">
        <f>SUMIF(AGO!$G$155:$J$155,CK$112,AGO!$AN14:$AQ14)</f>
        <v>0</v>
      </c>
      <c r="CL333" s="446">
        <f>SUMIF(AGO!$G$155:$J$155,CL$112,AGO!$AN14:$AQ14)</f>
        <v>0</v>
      </c>
      <c r="CM333" s="447">
        <f>SUMIF(AGO!$G$155:$J$155,CM$112,AGO!$AN14:$AQ14)</f>
        <v>0</v>
      </c>
      <c r="CN333" s="448">
        <f>SUMIF(AGO!$G$155:$J$155,CN$112,AGO!$AN14:$AQ14)</f>
        <v>0</v>
      </c>
      <c r="CO333" s="1100">
        <f>AGO!AS14</f>
        <v>0</v>
      </c>
      <c r="CP333" s="445">
        <f>AGO!AT14</f>
        <v>0</v>
      </c>
      <c r="CQ333" s="446">
        <f>AGO!AU14</f>
        <v>0</v>
      </c>
      <c r="CR333" s="447">
        <f>AGO!AV14</f>
        <v>0</v>
      </c>
      <c r="CS333" s="448">
        <f>AGO!AW14</f>
        <v>0</v>
      </c>
      <c r="CT333" s="1100">
        <f>AGO!AY14</f>
        <v>0</v>
      </c>
      <c r="CU333" s="2"/>
    </row>
    <row r="334" spans="1:99" ht="14.25" hidden="1" customHeight="1" x14ac:dyDescent="0.2">
      <c r="A334" s="2"/>
      <c r="B334" s="151">
        <f t="shared" si="270"/>
        <v>45512</v>
      </c>
      <c r="C334" s="223">
        <f>IF(AND(E334&gt;(N$492-1),E334&lt;(R$492+1)),W$485,IF(ISERROR(HLOOKUP(E334,$N$485:$U$485,1,FALSE)),HLOOKUP(WEEKDAY(E334,2),IMPOSTAZIONI!$C$51:$P$56,6,FALSE),$W$484))</f>
        <v>0</v>
      </c>
      <c r="D334" s="103" t="str">
        <f t="shared" si="271"/>
        <v/>
      </c>
      <c r="E334" s="2380">
        <f t="shared" si="282"/>
        <v>45512</v>
      </c>
      <c r="F334" s="2381"/>
      <c r="G334" s="2325" t="str">
        <f>AGO!E15</f>
        <v xml:space="preserve">attiva trim.  </v>
      </c>
      <c r="H334" s="2326"/>
      <c r="I334" s="2327"/>
      <c r="J334" s="479" t="str">
        <f t="shared" si="267"/>
        <v/>
      </c>
      <c r="K334" s="480"/>
      <c r="L334" s="2319">
        <f t="shared" si="283"/>
        <v>32</v>
      </c>
      <c r="M334" s="2320"/>
      <c r="N334" s="478"/>
      <c r="O334" s="478"/>
      <c r="P334" s="478"/>
      <c r="Q334" s="2315">
        <f t="shared" si="272"/>
        <v>45512</v>
      </c>
      <c r="R334" s="2315"/>
      <c r="S334" s="478"/>
      <c r="T334" s="140">
        <f t="shared" si="273"/>
        <v>1</v>
      </c>
      <c r="U334" s="478"/>
      <c r="V334" s="478"/>
      <c r="W334" s="478"/>
      <c r="X334" s="478"/>
      <c r="Y334" s="478"/>
      <c r="Z334" s="478"/>
      <c r="AA334" s="478"/>
      <c r="AB334" s="478"/>
      <c r="AC334" s="478"/>
      <c r="AD334" s="478"/>
      <c r="AE334" s="478"/>
      <c r="AF334" s="478"/>
      <c r="AG334" s="140">
        <f t="shared" si="274"/>
        <v>0</v>
      </c>
      <c r="AH334" s="92" t="str">
        <f t="shared" si="275"/>
        <v/>
      </c>
      <c r="AI334" s="131">
        <f t="shared" si="276"/>
        <v>0</v>
      </c>
      <c r="AJ334" s="2"/>
      <c r="AK334" s="92">
        <f>IF(G334=G$481,0,IF(OR(G334&lt;&gt;0,CJ334&lt;&gt;0,C334="L"),COUNTIF(AK$114:AK333,"&gt;0")+1,0))</f>
        <v>0</v>
      </c>
      <c r="AL334" s="92" t="str">
        <f t="shared" si="277"/>
        <v/>
      </c>
      <c r="AM334" s="92" t="str">
        <f t="shared" si="278"/>
        <v/>
      </c>
      <c r="AN334" s="131">
        <f t="shared" si="268"/>
        <v>0</v>
      </c>
      <c r="AO334" s="447">
        <f>SUM(AGO!W15:Z15)</f>
        <v>0</v>
      </c>
      <c r="AP334" s="445">
        <f>SUMIF(AGO!$G$155:$J$155,AP$112,AGO!$R15:$U15)</f>
        <v>0</v>
      </c>
      <c r="AQ334" s="446">
        <f>SUMIF(AGO!$G$155:$J$155,AQ$112,AGO!$R15:$U15)</f>
        <v>0</v>
      </c>
      <c r="AR334" s="447">
        <f>SUMIF(AGO!$G$155:$J$155,AR$112,AGO!$R15:$U15)</f>
        <v>0</v>
      </c>
      <c r="AS334" s="448">
        <f>SUMIF(AGO!$G$155:$J$155,AS$112,AGO!$R15:$U15)</f>
        <v>0</v>
      </c>
      <c r="AT334" s="449">
        <f>AGO!AG15</f>
        <v>0</v>
      </c>
      <c r="AU334" s="445">
        <f>AGO!AH15</f>
        <v>0</v>
      </c>
      <c r="AV334" s="446">
        <f>AGO!AI15</f>
        <v>0</v>
      </c>
      <c r="AW334" s="447">
        <f>AGO!AJ15</f>
        <v>0</v>
      </c>
      <c r="AX334" s="448">
        <f>AGO!AK15</f>
        <v>0</v>
      </c>
      <c r="AY334" s="445">
        <f>SUMIF(AGO!$G$152:$J$152,"&gt;0",AGO!$W15:$Z15)</f>
        <v>0</v>
      </c>
      <c r="AZ334" s="1063">
        <f>SUM(AGO!AB15:AE15)</f>
        <v>0</v>
      </c>
      <c r="BA334" s="445">
        <f>SUMIF(AGO!$G$159:$J$159,BA$111,AGO!$R15:$U15)+SUMIF(AGO!$G$159:$J$159,BA$111,AGO!$W15:$Z15)</f>
        <v>0</v>
      </c>
      <c r="BB334" s="446">
        <f>SUMIF(AGO!$G$159:$J$159,BB$111,AGO!$R15:$U15)+SUMIF(AGO!$G$159:$J$159,BB$111,AGO!$W15:$Z15)</f>
        <v>0</v>
      </c>
      <c r="BC334" s="446">
        <f>SUMIF(AGO!$G$159:$J$159,BC$111,AGO!$R15:$U15)+SUMIF(AGO!$G$159:$J$159,BC$111,AGO!$W15:$Z15)</f>
        <v>0</v>
      </c>
      <c r="BD334" s="446">
        <f>SUMIF(AGO!$G$159:$J$159,BD$111,AGO!$R15:$U15)+SUMIF(AGO!$G$159:$J$159,BD$111,AGO!$W15:$Z15)</f>
        <v>0</v>
      </c>
      <c r="BE334" s="446">
        <f>SUMIF(AGO!$G$159:$J$159,BE$111,AGO!$R15:$U15)+SUMIF(AGO!$G$159:$J$159,BE$111,AGO!$W15:$Z15)</f>
        <v>0</v>
      </c>
      <c r="BF334" s="446">
        <f>SUMIF(AGO!$G$159:$J$159,BF$111,AGO!$R15:$U15)+SUMIF(AGO!$G$159:$J$159,BF$111,AGO!$W15:$Z15)</f>
        <v>0</v>
      </c>
      <c r="BG334" s="448">
        <f>SUMIF(AGO!$G$159:$J$159,BG$111,AGO!$R15:$U15)+SUMIF(AGO!$G$159:$J$159,BG$111,AGO!$W15:$Z15)</f>
        <v>0</v>
      </c>
      <c r="BH334" s="571"/>
      <c r="BI334" s="448"/>
      <c r="BJ334" s="470"/>
      <c r="BK334" s="445">
        <f>SUMIF(AGO!$G$157:$J$157,BK$111,AGO!$R15:$U15)+SUMIF(AGO!$G$157:$J$157,BK$111,AGO!$W15:$Z15)</f>
        <v>0</v>
      </c>
      <c r="BL334" s="446">
        <f>SUMIF(AGO!$G$157:$J$157,BL$111,AGO!$R15:$U15)+SUMIF(AGO!$G$157:$J$157,BL$111,AGO!$W15:$Z15)</f>
        <v>0</v>
      </c>
      <c r="BM334" s="446">
        <f>SUMIF(AGO!$G$157:$J$157,BM$111,AGO!$R15:$U15)+SUMIF(AGO!$G$157:$J$157,BM$111,AGO!$W15:$Z15)</f>
        <v>0</v>
      </c>
      <c r="BN334" s="446">
        <f>SUMIF(AGO!$G$157:$J$157,BN$111,AGO!$R15:$U15)+SUMIF(AGO!$G$157:$J$157,BN$111,AGO!$W15:$Z15)</f>
        <v>0</v>
      </c>
      <c r="BO334" s="446">
        <f>SUMIF(AGO!$G$157:$J$157,BO$111,AGO!$R15:$U15)+SUMIF(AGO!$G$157:$J$157,BO$111,AGO!$W15:$Z15)</f>
        <v>0</v>
      </c>
      <c r="BP334" s="446">
        <f>SUMIF(AGO!$G$157:$J$157,BP$111,AGO!$R15:$U15)+SUMIF(AGO!$G$157:$J$157,BP$111,AGO!$W15:$Z15)</f>
        <v>0</v>
      </c>
      <c r="BQ334" s="448">
        <f>SUMIF(AGO!$G$157:$J$157,BQ$111,AGO!$R15:$U15)+SUMIF(AGO!$G$157:$J$157,BQ$111,AGO!$W15:$Z15)</f>
        <v>0</v>
      </c>
      <c r="BR334" s="571"/>
      <c r="BS334" s="446"/>
      <c r="BT334" s="448"/>
      <c r="BU334" s="470"/>
      <c r="BV334" s="445">
        <f>SUMIF(AGO!$G$158:$J$158,BV$111,AGO!$R15:$U15)+SUMIF(AGO!$G$158:$J$158,BV$111,AGO!$W15:$Z15)</f>
        <v>0</v>
      </c>
      <c r="BW334" s="446">
        <f>SUMIF(AGO!$G$158:$J$158,BW$111,AGO!$R15:$U15)+SUMIF(AGO!$G$158:$J$158,BW$111,AGO!$W15:$Z15)</f>
        <v>0</v>
      </c>
      <c r="BX334" s="446">
        <f>SUMIF(AGO!$G$158:$J$158,BX$111,AGO!$R15:$U15)+SUMIF(AGO!$G$158:$J$158,BX$111,AGO!$W15:$Z15)</f>
        <v>0</v>
      </c>
      <c r="BY334" s="446">
        <f>SUMIF(AGO!$G$158:$J$158,BY$111,AGO!$R15:$U15)+SUMIF(AGO!$G$158:$J$158,BY$111,AGO!$W15:$Z15)</f>
        <v>0</v>
      </c>
      <c r="BZ334" s="446">
        <f>SUMIF(AGO!$G$158:$J$158,BZ$111,AGO!$R15:$U15)+SUMIF(AGO!$G$158:$J$158,BZ$111,AGO!$W15:$Z15)</f>
        <v>0</v>
      </c>
      <c r="CA334" s="446">
        <f>SUMIF(AGO!$G$158:$J$158,CA$111,AGO!$R15:$U15)+SUMIF(AGO!$G$158:$J$158,CA$111,AGO!$W15:$Z15)</f>
        <v>0</v>
      </c>
      <c r="CB334" s="448">
        <f>SUMIF(AGO!$G$158:$J$158,CB$111,AGO!$R15:$U15)+SUMIF(AGO!$G$158:$J$158,CB$111,AGO!$W15:$Z15)</f>
        <v>0</v>
      </c>
      <c r="CC334" s="571"/>
      <c r="CD334" s="448"/>
      <c r="CE334" s="92">
        <f t="shared" si="279"/>
        <v>0</v>
      </c>
      <c r="CF334" s="92">
        <f t="shared" si="280"/>
        <v>0</v>
      </c>
      <c r="CG334" s="151" t="str">
        <f t="shared" si="266"/>
        <v/>
      </c>
      <c r="CH334" s="92">
        <f t="shared" si="269"/>
        <v>0</v>
      </c>
      <c r="CI334" s="92" t="str">
        <f t="shared" si="281"/>
        <v/>
      </c>
      <c r="CJ334" s="1100">
        <f>AGO!AM15</f>
        <v>0</v>
      </c>
      <c r="CK334" s="445">
        <f>SUMIF(AGO!$G$155:$J$155,CK$112,AGO!$AN15:$AQ15)</f>
        <v>0</v>
      </c>
      <c r="CL334" s="446">
        <f>SUMIF(AGO!$G$155:$J$155,CL$112,AGO!$AN15:$AQ15)</f>
        <v>0</v>
      </c>
      <c r="CM334" s="447">
        <f>SUMIF(AGO!$G$155:$J$155,CM$112,AGO!$AN15:$AQ15)</f>
        <v>0</v>
      </c>
      <c r="CN334" s="448">
        <f>SUMIF(AGO!$G$155:$J$155,CN$112,AGO!$AN15:$AQ15)</f>
        <v>0</v>
      </c>
      <c r="CO334" s="1100">
        <f>AGO!AS15</f>
        <v>0</v>
      </c>
      <c r="CP334" s="445">
        <f>AGO!AT15</f>
        <v>0</v>
      </c>
      <c r="CQ334" s="446">
        <f>AGO!AU15</f>
        <v>0</v>
      </c>
      <c r="CR334" s="447">
        <f>AGO!AV15</f>
        <v>0</v>
      </c>
      <c r="CS334" s="448">
        <f>AGO!AW15</f>
        <v>0</v>
      </c>
      <c r="CT334" s="1100">
        <f>AGO!AY15</f>
        <v>0</v>
      </c>
      <c r="CU334" s="2"/>
    </row>
    <row r="335" spans="1:99" ht="14.25" hidden="1" customHeight="1" x14ac:dyDescent="0.2">
      <c r="A335" s="2"/>
      <c r="B335" s="151">
        <f t="shared" si="270"/>
        <v>45513</v>
      </c>
      <c r="C335" s="223">
        <f>IF(AND(E335&gt;(N$492-1),E335&lt;(R$492+1)),W$485,IF(ISERROR(HLOOKUP(E335,$N$485:$U$485,1,FALSE)),HLOOKUP(WEEKDAY(E335,2),IMPOSTAZIONI!$C$51:$P$56,6,FALSE),$W$484))</f>
        <v>0</v>
      </c>
      <c r="D335" s="103" t="str">
        <f t="shared" si="271"/>
        <v/>
      </c>
      <c r="E335" s="2380">
        <f t="shared" si="282"/>
        <v>45513</v>
      </c>
      <c r="F335" s="2381"/>
      <c r="G335" s="2325" t="str">
        <f>AGO!E16</f>
        <v xml:space="preserve">attiva trim.  </v>
      </c>
      <c r="H335" s="2326"/>
      <c r="I335" s="2327"/>
      <c r="J335" s="479" t="str">
        <f t="shared" si="267"/>
        <v/>
      </c>
      <c r="K335" s="480"/>
      <c r="L335" s="2319">
        <f t="shared" si="283"/>
        <v>32</v>
      </c>
      <c r="M335" s="2320"/>
      <c r="N335" s="478"/>
      <c r="O335" s="478"/>
      <c r="P335" s="478"/>
      <c r="Q335" s="2315">
        <f t="shared" si="272"/>
        <v>45513</v>
      </c>
      <c r="R335" s="2315"/>
      <c r="S335" s="478"/>
      <c r="T335" s="140">
        <f t="shared" si="273"/>
        <v>1</v>
      </c>
      <c r="U335" s="478"/>
      <c r="V335" s="478"/>
      <c r="W335" s="478"/>
      <c r="X335" s="478"/>
      <c r="Y335" s="478"/>
      <c r="Z335" s="478"/>
      <c r="AA335" s="478"/>
      <c r="AB335" s="478"/>
      <c r="AC335" s="478"/>
      <c r="AD335" s="478"/>
      <c r="AE335" s="478"/>
      <c r="AF335" s="478"/>
      <c r="AG335" s="140">
        <f t="shared" si="274"/>
        <v>0</v>
      </c>
      <c r="AH335" s="92" t="str">
        <f t="shared" si="275"/>
        <v/>
      </c>
      <c r="AI335" s="131">
        <f t="shared" si="276"/>
        <v>0</v>
      </c>
      <c r="AJ335" s="2"/>
      <c r="AK335" s="92">
        <f>IF(G335=G$481,0,IF(OR(G335&lt;&gt;0,CJ335&lt;&gt;0,C335="L"),COUNTIF(AK$114:AK334,"&gt;0")+1,0))</f>
        <v>0</v>
      </c>
      <c r="AL335" s="92" t="str">
        <f t="shared" si="277"/>
        <v/>
      </c>
      <c r="AM335" s="92" t="str">
        <f t="shared" si="278"/>
        <v/>
      </c>
      <c r="AN335" s="131">
        <f t="shared" si="268"/>
        <v>0</v>
      </c>
      <c r="AO335" s="447">
        <f>SUM(AGO!W16:Z16)</f>
        <v>0</v>
      </c>
      <c r="AP335" s="445">
        <f>SUMIF(AGO!$G$155:$J$155,AP$112,AGO!$R16:$U16)</f>
        <v>0</v>
      </c>
      <c r="AQ335" s="446">
        <f>SUMIF(AGO!$G$155:$J$155,AQ$112,AGO!$R16:$U16)</f>
        <v>0</v>
      </c>
      <c r="AR335" s="447">
        <f>SUMIF(AGO!$G$155:$J$155,AR$112,AGO!$R16:$U16)</f>
        <v>0</v>
      </c>
      <c r="AS335" s="448">
        <f>SUMIF(AGO!$G$155:$J$155,AS$112,AGO!$R16:$U16)</f>
        <v>0</v>
      </c>
      <c r="AT335" s="449">
        <f>AGO!AG16</f>
        <v>0</v>
      </c>
      <c r="AU335" s="445">
        <f>AGO!AH16</f>
        <v>0</v>
      </c>
      <c r="AV335" s="446">
        <f>AGO!AI16</f>
        <v>0</v>
      </c>
      <c r="AW335" s="447">
        <f>AGO!AJ16</f>
        <v>0</v>
      </c>
      <c r="AX335" s="448">
        <f>AGO!AK16</f>
        <v>0</v>
      </c>
      <c r="AY335" s="445">
        <f>SUMIF(AGO!$G$152:$J$152,"&gt;0",AGO!$W16:$Z16)</f>
        <v>0</v>
      </c>
      <c r="AZ335" s="1063">
        <f>SUM(AGO!AB16:AE16)</f>
        <v>0</v>
      </c>
      <c r="BA335" s="445">
        <f>SUMIF(AGO!$G$159:$J$159,BA$111,AGO!$R16:$U16)+SUMIF(AGO!$G$159:$J$159,BA$111,AGO!$W16:$Z16)</f>
        <v>0</v>
      </c>
      <c r="BB335" s="446">
        <f>SUMIF(AGO!$G$159:$J$159,BB$111,AGO!$R16:$U16)+SUMIF(AGO!$G$159:$J$159,BB$111,AGO!$W16:$Z16)</f>
        <v>0</v>
      </c>
      <c r="BC335" s="446">
        <f>SUMIF(AGO!$G$159:$J$159,BC$111,AGO!$R16:$U16)+SUMIF(AGO!$G$159:$J$159,BC$111,AGO!$W16:$Z16)</f>
        <v>0</v>
      </c>
      <c r="BD335" s="446">
        <f>SUMIF(AGO!$G$159:$J$159,BD$111,AGO!$R16:$U16)+SUMIF(AGO!$G$159:$J$159,BD$111,AGO!$W16:$Z16)</f>
        <v>0</v>
      </c>
      <c r="BE335" s="446">
        <f>SUMIF(AGO!$G$159:$J$159,BE$111,AGO!$R16:$U16)+SUMIF(AGO!$G$159:$J$159,BE$111,AGO!$W16:$Z16)</f>
        <v>0</v>
      </c>
      <c r="BF335" s="446">
        <f>SUMIF(AGO!$G$159:$J$159,BF$111,AGO!$R16:$U16)+SUMIF(AGO!$G$159:$J$159,BF$111,AGO!$W16:$Z16)</f>
        <v>0</v>
      </c>
      <c r="BG335" s="448">
        <f>SUMIF(AGO!$G$159:$J$159,BG$111,AGO!$R16:$U16)+SUMIF(AGO!$G$159:$J$159,BG$111,AGO!$W16:$Z16)</f>
        <v>0</v>
      </c>
      <c r="BH335" s="571"/>
      <c r="BI335" s="448"/>
      <c r="BJ335" s="470"/>
      <c r="BK335" s="445">
        <f>SUMIF(AGO!$G$157:$J$157,BK$111,AGO!$R16:$U16)+SUMIF(AGO!$G$157:$J$157,BK$111,AGO!$W16:$Z16)</f>
        <v>0</v>
      </c>
      <c r="BL335" s="446">
        <f>SUMIF(AGO!$G$157:$J$157,BL$111,AGO!$R16:$U16)+SUMIF(AGO!$G$157:$J$157,BL$111,AGO!$W16:$Z16)</f>
        <v>0</v>
      </c>
      <c r="BM335" s="446">
        <f>SUMIF(AGO!$G$157:$J$157,BM$111,AGO!$R16:$U16)+SUMIF(AGO!$G$157:$J$157,BM$111,AGO!$W16:$Z16)</f>
        <v>0</v>
      </c>
      <c r="BN335" s="446">
        <f>SUMIF(AGO!$G$157:$J$157,BN$111,AGO!$R16:$U16)+SUMIF(AGO!$G$157:$J$157,BN$111,AGO!$W16:$Z16)</f>
        <v>0</v>
      </c>
      <c r="BO335" s="446">
        <f>SUMIF(AGO!$G$157:$J$157,BO$111,AGO!$R16:$U16)+SUMIF(AGO!$G$157:$J$157,BO$111,AGO!$W16:$Z16)</f>
        <v>0</v>
      </c>
      <c r="BP335" s="446">
        <f>SUMIF(AGO!$G$157:$J$157,BP$111,AGO!$R16:$U16)+SUMIF(AGO!$G$157:$J$157,BP$111,AGO!$W16:$Z16)</f>
        <v>0</v>
      </c>
      <c r="BQ335" s="448">
        <f>SUMIF(AGO!$G$157:$J$157,BQ$111,AGO!$R16:$U16)+SUMIF(AGO!$G$157:$J$157,BQ$111,AGO!$W16:$Z16)</f>
        <v>0</v>
      </c>
      <c r="BR335" s="571"/>
      <c r="BS335" s="446"/>
      <c r="BT335" s="448"/>
      <c r="BU335" s="470"/>
      <c r="BV335" s="445">
        <f>SUMIF(AGO!$G$158:$J$158,BV$111,AGO!$R16:$U16)+SUMIF(AGO!$G$158:$J$158,BV$111,AGO!$W16:$Z16)</f>
        <v>0</v>
      </c>
      <c r="BW335" s="446">
        <f>SUMIF(AGO!$G$158:$J$158,BW$111,AGO!$R16:$U16)+SUMIF(AGO!$G$158:$J$158,BW$111,AGO!$W16:$Z16)</f>
        <v>0</v>
      </c>
      <c r="BX335" s="446">
        <f>SUMIF(AGO!$G$158:$J$158,BX$111,AGO!$R16:$U16)+SUMIF(AGO!$G$158:$J$158,BX$111,AGO!$W16:$Z16)</f>
        <v>0</v>
      </c>
      <c r="BY335" s="446">
        <f>SUMIF(AGO!$G$158:$J$158,BY$111,AGO!$R16:$U16)+SUMIF(AGO!$G$158:$J$158,BY$111,AGO!$W16:$Z16)</f>
        <v>0</v>
      </c>
      <c r="BZ335" s="446">
        <f>SUMIF(AGO!$G$158:$J$158,BZ$111,AGO!$R16:$U16)+SUMIF(AGO!$G$158:$J$158,BZ$111,AGO!$W16:$Z16)</f>
        <v>0</v>
      </c>
      <c r="CA335" s="446">
        <f>SUMIF(AGO!$G$158:$J$158,CA$111,AGO!$R16:$U16)+SUMIF(AGO!$G$158:$J$158,CA$111,AGO!$W16:$Z16)</f>
        <v>0</v>
      </c>
      <c r="CB335" s="448">
        <f>SUMIF(AGO!$G$158:$J$158,CB$111,AGO!$R16:$U16)+SUMIF(AGO!$G$158:$J$158,CB$111,AGO!$W16:$Z16)</f>
        <v>0</v>
      </c>
      <c r="CC335" s="571"/>
      <c r="CD335" s="448"/>
      <c r="CE335" s="92">
        <f t="shared" si="279"/>
        <v>0</v>
      </c>
      <c r="CF335" s="92">
        <f t="shared" si="280"/>
        <v>0</v>
      </c>
      <c r="CG335" s="151" t="str">
        <f t="shared" si="266"/>
        <v/>
      </c>
      <c r="CH335" s="92">
        <f t="shared" si="269"/>
        <v>0</v>
      </c>
      <c r="CI335" s="92" t="str">
        <f t="shared" si="281"/>
        <v/>
      </c>
      <c r="CJ335" s="1100">
        <f>AGO!AM16</f>
        <v>0</v>
      </c>
      <c r="CK335" s="445">
        <f>SUMIF(AGO!$G$155:$J$155,CK$112,AGO!$AN16:$AQ16)</f>
        <v>0</v>
      </c>
      <c r="CL335" s="446">
        <f>SUMIF(AGO!$G$155:$J$155,CL$112,AGO!$AN16:$AQ16)</f>
        <v>0</v>
      </c>
      <c r="CM335" s="447">
        <f>SUMIF(AGO!$G$155:$J$155,CM$112,AGO!$AN16:$AQ16)</f>
        <v>0</v>
      </c>
      <c r="CN335" s="448">
        <f>SUMIF(AGO!$G$155:$J$155,CN$112,AGO!$AN16:$AQ16)</f>
        <v>0</v>
      </c>
      <c r="CO335" s="1100">
        <f>AGO!AS16</f>
        <v>0</v>
      </c>
      <c r="CP335" s="445">
        <f>AGO!AT16</f>
        <v>0</v>
      </c>
      <c r="CQ335" s="446">
        <f>AGO!AU16</f>
        <v>0</v>
      </c>
      <c r="CR335" s="447">
        <f>AGO!AV16</f>
        <v>0</v>
      </c>
      <c r="CS335" s="448">
        <f>AGO!AW16</f>
        <v>0</v>
      </c>
      <c r="CT335" s="1100">
        <f>AGO!AY16</f>
        <v>0</v>
      </c>
      <c r="CU335" s="2"/>
    </row>
    <row r="336" spans="1:99" ht="14.25" hidden="1" customHeight="1" x14ac:dyDescent="0.2">
      <c r="A336" s="2"/>
      <c r="B336" s="151">
        <f t="shared" si="270"/>
        <v>45514</v>
      </c>
      <c r="C336" s="223">
        <f>IF(AND(E336&gt;(N$492-1),E336&lt;(R$492+1)),W$485,IF(ISERROR(HLOOKUP(E336,$N$485:$U$485,1,FALSE)),HLOOKUP(WEEKDAY(E336,2),IMPOSTAZIONI!$C$51:$P$56,6,FALSE),$W$484))</f>
        <v>0</v>
      </c>
      <c r="D336" s="103" t="str">
        <f t="shared" si="271"/>
        <v/>
      </c>
      <c r="E336" s="2380">
        <f t="shared" si="282"/>
        <v>45514</v>
      </c>
      <c r="F336" s="2381"/>
      <c r="G336" s="2325" t="str">
        <f>AGO!E17</f>
        <v xml:space="preserve">attiva trim.  </v>
      </c>
      <c r="H336" s="2326"/>
      <c r="I336" s="2327"/>
      <c r="J336" s="479" t="str">
        <f t="shared" si="267"/>
        <v/>
      </c>
      <c r="K336" s="480"/>
      <c r="L336" s="2319">
        <f t="shared" si="283"/>
        <v>32</v>
      </c>
      <c r="M336" s="2320"/>
      <c r="N336" s="478"/>
      <c r="O336" s="478"/>
      <c r="P336" s="478"/>
      <c r="Q336" s="2315">
        <f t="shared" si="272"/>
        <v>45514</v>
      </c>
      <c r="R336" s="2315"/>
      <c r="S336" s="478"/>
      <c r="T336" s="140">
        <f t="shared" si="273"/>
        <v>1</v>
      </c>
      <c r="U336" s="478"/>
      <c r="V336" s="478"/>
      <c r="W336" s="478"/>
      <c r="X336" s="478"/>
      <c r="Y336" s="478"/>
      <c r="Z336" s="478"/>
      <c r="AA336" s="478"/>
      <c r="AB336" s="478"/>
      <c r="AC336" s="478"/>
      <c r="AD336" s="478"/>
      <c r="AE336" s="478"/>
      <c r="AF336" s="478"/>
      <c r="AG336" s="140">
        <f t="shared" si="274"/>
        <v>0</v>
      </c>
      <c r="AH336" s="92" t="str">
        <f t="shared" si="275"/>
        <v/>
      </c>
      <c r="AI336" s="131">
        <f t="shared" si="276"/>
        <v>0</v>
      </c>
      <c r="AJ336" s="2"/>
      <c r="AK336" s="92">
        <f>IF(G336=G$481,0,IF(OR(G336&lt;&gt;0,CJ336&lt;&gt;0,C336="L"),COUNTIF(AK$114:AK335,"&gt;0")+1,0))</f>
        <v>0</v>
      </c>
      <c r="AL336" s="92" t="str">
        <f t="shared" si="277"/>
        <v/>
      </c>
      <c r="AM336" s="92" t="str">
        <f t="shared" si="278"/>
        <v/>
      </c>
      <c r="AN336" s="131">
        <f t="shared" si="268"/>
        <v>0</v>
      </c>
      <c r="AO336" s="447">
        <f>SUM(AGO!W17:Z17)</f>
        <v>0</v>
      </c>
      <c r="AP336" s="445">
        <f>SUMIF(AGO!$G$155:$J$155,AP$112,AGO!$R17:$U17)</f>
        <v>0</v>
      </c>
      <c r="AQ336" s="446">
        <f>SUMIF(AGO!$G$155:$J$155,AQ$112,AGO!$R17:$U17)</f>
        <v>0</v>
      </c>
      <c r="AR336" s="447">
        <f>SUMIF(AGO!$G$155:$J$155,AR$112,AGO!$R17:$U17)</f>
        <v>0</v>
      </c>
      <c r="AS336" s="448">
        <f>SUMIF(AGO!$G$155:$J$155,AS$112,AGO!$R17:$U17)</f>
        <v>0</v>
      </c>
      <c r="AT336" s="449">
        <f>AGO!AG17</f>
        <v>0</v>
      </c>
      <c r="AU336" s="445">
        <f>AGO!AH17</f>
        <v>0</v>
      </c>
      <c r="AV336" s="446">
        <f>AGO!AI17</f>
        <v>0</v>
      </c>
      <c r="AW336" s="447">
        <f>AGO!AJ17</f>
        <v>0</v>
      </c>
      <c r="AX336" s="448">
        <f>AGO!AK17</f>
        <v>0</v>
      </c>
      <c r="AY336" s="445">
        <f>SUMIF(AGO!$G$152:$J$152,"&gt;0",AGO!$W17:$Z17)</f>
        <v>0</v>
      </c>
      <c r="AZ336" s="1063">
        <f>SUM(AGO!AB17:AE17)</f>
        <v>0</v>
      </c>
      <c r="BA336" s="445">
        <f>SUMIF(AGO!$G$159:$J$159,BA$111,AGO!$R17:$U17)+SUMIF(AGO!$G$159:$J$159,BA$111,AGO!$W17:$Z17)</f>
        <v>0</v>
      </c>
      <c r="BB336" s="446">
        <f>SUMIF(AGO!$G$159:$J$159,BB$111,AGO!$R17:$U17)+SUMIF(AGO!$G$159:$J$159,BB$111,AGO!$W17:$Z17)</f>
        <v>0</v>
      </c>
      <c r="BC336" s="446">
        <f>SUMIF(AGO!$G$159:$J$159,BC$111,AGO!$R17:$U17)+SUMIF(AGO!$G$159:$J$159,BC$111,AGO!$W17:$Z17)</f>
        <v>0</v>
      </c>
      <c r="BD336" s="446">
        <f>SUMIF(AGO!$G$159:$J$159,BD$111,AGO!$R17:$U17)+SUMIF(AGO!$G$159:$J$159,BD$111,AGO!$W17:$Z17)</f>
        <v>0</v>
      </c>
      <c r="BE336" s="446">
        <f>SUMIF(AGO!$G$159:$J$159,BE$111,AGO!$R17:$U17)+SUMIF(AGO!$G$159:$J$159,BE$111,AGO!$W17:$Z17)</f>
        <v>0</v>
      </c>
      <c r="BF336" s="446">
        <f>SUMIF(AGO!$G$159:$J$159,BF$111,AGO!$R17:$U17)+SUMIF(AGO!$G$159:$J$159,BF$111,AGO!$W17:$Z17)</f>
        <v>0</v>
      </c>
      <c r="BG336" s="448">
        <f>SUMIF(AGO!$G$159:$J$159,BG$111,AGO!$R17:$U17)+SUMIF(AGO!$G$159:$J$159,BG$111,AGO!$W17:$Z17)</f>
        <v>0</v>
      </c>
      <c r="BH336" s="571"/>
      <c r="BI336" s="448"/>
      <c r="BJ336" s="470"/>
      <c r="BK336" s="445">
        <f>SUMIF(AGO!$G$157:$J$157,BK$111,AGO!$R17:$U17)+SUMIF(AGO!$G$157:$J$157,BK$111,AGO!$W17:$Z17)</f>
        <v>0</v>
      </c>
      <c r="BL336" s="446">
        <f>SUMIF(AGO!$G$157:$J$157,BL$111,AGO!$R17:$U17)+SUMIF(AGO!$G$157:$J$157,BL$111,AGO!$W17:$Z17)</f>
        <v>0</v>
      </c>
      <c r="BM336" s="446">
        <f>SUMIF(AGO!$G$157:$J$157,BM$111,AGO!$R17:$U17)+SUMIF(AGO!$G$157:$J$157,BM$111,AGO!$W17:$Z17)</f>
        <v>0</v>
      </c>
      <c r="BN336" s="446">
        <f>SUMIF(AGO!$G$157:$J$157,BN$111,AGO!$R17:$U17)+SUMIF(AGO!$G$157:$J$157,BN$111,AGO!$W17:$Z17)</f>
        <v>0</v>
      </c>
      <c r="BO336" s="446">
        <f>SUMIF(AGO!$G$157:$J$157,BO$111,AGO!$R17:$U17)+SUMIF(AGO!$G$157:$J$157,BO$111,AGO!$W17:$Z17)</f>
        <v>0</v>
      </c>
      <c r="BP336" s="446">
        <f>SUMIF(AGO!$G$157:$J$157,BP$111,AGO!$R17:$U17)+SUMIF(AGO!$G$157:$J$157,BP$111,AGO!$W17:$Z17)</f>
        <v>0</v>
      </c>
      <c r="BQ336" s="448">
        <f>SUMIF(AGO!$G$157:$J$157,BQ$111,AGO!$R17:$U17)+SUMIF(AGO!$G$157:$J$157,BQ$111,AGO!$W17:$Z17)</f>
        <v>0</v>
      </c>
      <c r="BR336" s="571"/>
      <c r="BS336" s="446"/>
      <c r="BT336" s="448"/>
      <c r="BU336" s="470"/>
      <c r="BV336" s="445">
        <f>SUMIF(AGO!$G$158:$J$158,BV$111,AGO!$R17:$U17)+SUMIF(AGO!$G$158:$J$158,BV$111,AGO!$W17:$Z17)</f>
        <v>0</v>
      </c>
      <c r="BW336" s="446">
        <f>SUMIF(AGO!$G$158:$J$158,BW$111,AGO!$R17:$U17)+SUMIF(AGO!$G$158:$J$158,BW$111,AGO!$W17:$Z17)</f>
        <v>0</v>
      </c>
      <c r="BX336" s="446">
        <f>SUMIF(AGO!$G$158:$J$158,BX$111,AGO!$R17:$U17)+SUMIF(AGO!$G$158:$J$158,BX$111,AGO!$W17:$Z17)</f>
        <v>0</v>
      </c>
      <c r="BY336" s="446">
        <f>SUMIF(AGO!$G$158:$J$158,BY$111,AGO!$R17:$U17)+SUMIF(AGO!$G$158:$J$158,BY$111,AGO!$W17:$Z17)</f>
        <v>0</v>
      </c>
      <c r="BZ336" s="446">
        <f>SUMIF(AGO!$G$158:$J$158,BZ$111,AGO!$R17:$U17)+SUMIF(AGO!$G$158:$J$158,BZ$111,AGO!$W17:$Z17)</f>
        <v>0</v>
      </c>
      <c r="CA336" s="446">
        <f>SUMIF(AGO!$G$158:$J$158,CA$111,AGO!$R17:$U17)+SUMIF(AGO!$G$158:$J$158,CA$111,AGO!$W17:$Z17)</f>
        <v>0</v>
      </c>
      <c r="CB336" s="448">
        <f>SUMIF(AGO!$G$158:$J$158,CB$111,AGO!$R17:$U17)+SUMIF(AGO!$G$158:$J$158,CB$111,AGO!$W17:$Z17)</f>
        <v>0</v>
      </c>
      <c r="CC336" s="571"/>
      <c r="CD336" s="448"/>
      <c r="CE336" s="92">
        <f t="shared" si="279"/>
        <v>0</v>
      </c>
      <c r="CF336" s="92">
        <f t="shared" si="280"/>
        <v>0</v>
      </c>
      <c r="CG336" s="151" t="str">
        <f t="shared" si="266"/>
        <v/>
      </c>
      <c r="CH336" s="92">
        <f t="shared" si="269"/>
        <v>0</v>
      </c>
      <c r="CI336" s="92" t="str">
        <f t="shared" si="281"/>
        <v/>
      </c>
      <c r="CJ336" s="1100">
        <f>AGO!AM17</f>
        <v>0</v>
      </c>
      <c r="CK336" s="445">
        <f>SUMIF(AGO!$G$155:$J$155,CK$112,AGO!$AN17:$AQ17)</f>
        <v>0</v>
      </c>
      <c r="CL336" s="446">
        <f>SUMIF(AGO!$G$155:$J$155,CL$112,AGO!$AN17:$AQ17)</f>
        <v>0</v>
      </c>
      <c r="CM336" s="447">
        <f>SUMIF(AGO!$G$155:$J$155,CM$112,AGO!$AN17:$AQ17)</f>
        <v>0</v>
      </c>
      <c r="CN336" s="448">
        <f>SUMIF(AGO!$G$155:$J$155,CN$112,AGO!$AN17:$AQ17)</f>
        <v>0</v>
      </c>
      <c r="CO336" s="1100">
        <f>AGO!AS17</f>
        <v>0</v>
      </c>
      <c r="CP336" s="445">
        <f>AGO!AT17</f>
        <v>0</v>
      </c>
      <c r="CQ336" s="446">
        <f>AGO!AU17</f>
        <v>0</v>
      </c>
      <c r="CR336" s="447">
        <f>AGO!AV17</f>
        <v>0</v>
      </c>
      <c r="CS336" s="448">
        <f>AGO!AW17</f>
        <v>0</v>
      </c>
      <c r="CT336" s="1100">
        <f>AGO!AY17</f>
        <v>0</v>
      </c>
      <c r="CU336" s="2"/>
    </row>
    <row r="337" spans="1:99" ht="14.25" hidden="1" customHeight="1" x14ac:dyDescent="0.2">
      <c r="A337" s="2"/>
      <c r="B337" s="151">
        <f t="shared" si="270"/>
        <v>45515</v>
      </c>
      <c r="C337" s="223">
        <f>IF(AND(E337&gt;(N$492-1),E337&lt;(R$492+1)),W$485,IF(ISERROR(HLOOKUP(E337,$N$485:$U$485,1,FALSE)),HLOOKUP(WEEKDAY(E337,2),IMPOSTAZIONI!$C$51:$P$56,6,FALSE),$W$484))</f>
        <v>0</v>
      </c>
      <c r="D337" s="103" t="str">
        <f t="shared" si="271"/>
        <v/>
      </c>
      <c r="E337" s="2380">
        <f t="shared" si="282"/>
        <v>45515</v>
      </c>
      <c r="F337" s="2381"/>
      <c r="G337" s="2325" t="str">
        <f>AGO!E18</f>
        <v xml:space="preserve">attiva trim.  </v>
      </c>
      <c r="H337" s="2326"/>
      <c r="I337" s="2327"/>
      <c r="J337" s="479" t="str">
        <f t="shared" si="267"/>
        <v/>
      </c>
      <c r="K337" s="480"/>
      <c r="L337" s="2321">
        <f t="shared" si="283"/>
        <v>32</v>
      </c>
      <c r="M337" s="2322"/>
      <c r="N337" s="478"/>
      <c r="O337" s="478"/>
      <c r="P337" s="478"/>
      <c r="Q337" s="2315">
        <f t="shared" si="272"/>
        <v>45515</v>
      </c>
      <c r="R337" s="2315"/>
      <c r="S337" s="478"/>
      <c r="T337" s="140">
        <f t="shared" si="273"/>
        <v>1</v>
      </c>
      <c r="U337" s="478"/>
      <c r="V337" s="478"/>
      <c r="W337" s="478"/>
      <c r="X337" s="478"/>
      <c r="Y337" s="478"/>
      <c r="Z337" s="478"/>
      <c r="AA337" s="478"/>
      <c r="AB337" s="478"/>
      <c r="AC337" s="478"/>
      <c r="AD337" s="478"/>
      <c r="AE337" s="478"/>
      <c r="AF337" s="478"/>
      <c r="AG337" s="140">
        <f t="shared" si="274"/>
        <v>0</v>
      </c>
      <c r="AH337" s="92" t="str">
        <f t="shared" si="275"/>
        <v/>
      </c>
      <c r="AI337" s="131">
        <f t="shared" si="276"/>
        <v>0</v>
      </c>
      <c r="AJ337" s="2"/>
      <c r="AK337" s="92">
        <f>IF(G337=G$481,0,IF(OR(G337&lt;&gt;0,CJ337&lt;&gt;0,C337="L"),COUNTIF(AK$114:AK336,"&gt;0")+1,0))</f>
        <v>0</v>
      </c>
      <c r="AL337" s="92" t="str">
        <f t="shared" si="277"/>
        <v/>
      </c>
      <c r="AM337" s="92" t="str">
        <f t="shared" si="278"/>
        <v/>
      </c>
      <c r="AN337" s="131">
        <f t="shared" si="268"/>
        <v>0</v>
      </c>
      <c r="AO337" s="447">
        <f>SUM(AGO!W18:Z18)</f>
        <v>0</v>
      </c>
      <c r="AP337" s="445">
        <f>SUMIF(AGO!$G$155:$J$155,AP$112,AGO!$R18:$U18)</f>
        <v>0</v>
      </c>
      <c r="AQ337" s="446">
        <f>SUMIF(AGO!$G$155:$J$155,AQ$112,AGO!$R18:$U18)</f>
        <v>0</v>
      </c>
      <c r="AR337" s="447">
        <f>SUMIF(AGO!$G$155:$J$155,AR$112,AGO!$R18:$U18)</f>
        <v>0</v>
      </c>
      <c r="AS337" s="448">
        <f>SUMIF(AGO!$G$155:$J$155,AS$112,AGO!$R18:$U18)</f>
        <v>0</v>
      </c>
      <c r="AT337" s="449">
        <f>AGO!AG18</f>
        <v>0</v>
      </c>
      <c r="AU337" s="445">
        <f>AGO!AH18</f>
        <v>0</v>
      </c>
      <c r="AV337" s="446">
        <f>AGO!AI18</f>
        <v>0</v>
      </c>
      <c r="AW337" s="447">
        <f>AGO!AJ18</f>
        <v>0</v>
      </c>
      <c r="AX337" s="448">
        <f>AGO!AK18</f>
        <v>0</v>
      </c>
      <c r="AY337" s="445">
        <f>SUMIF(AGO!$G$152:$J$152,"&gt;0",AGO!$W18:$Z18)</f>
        <v>0</v>
      </c>
      <c r="AZ337" s="1063">
        <f>SUM(AGO!AB18:AE18)</f>
        <v>0</v>
      </c>
      <c r="BA337" s="445">
        <f>SUMIF(AGO!$G$159:$J$159,BA$111,AGO!$R18:$U18)+SUMIF(AGO!$G$159:$J$159,BA$111,AGO!$W18:$Z18)</f>
        <v>0</v>
      </c>
      <c r="BB337" s="446">
        <f>SUMIF(AGO!$G$159:$J$159,BB$111,AGO!$R18:$U18)+SUMIF(AGO!$G$159:$J$159,BB$111,AGO!$W18:$Z18)</f>
        <v>0</v>
      </c>
      <c r="BC337" s="446">
        <f>SUMIF(AGO!$G$159:$J$159,BC$111,AGO!$R18:$U18)+SUMIF(AGO!$G$159:$J$159,BC$111,AGO!$W18:$Z18)</f>
        <v>0</v>
      </c>
      <c r="BD337" s="446">
        <f>SUMIF(AGO!$G$159:$J$159,BD$111,AGO!$R18:$U18)+SUMIF(AGO!$G$159:$J$159,BD$111,AGO!$W18:$Z18)</f>
        <v>0</v>
      </c>
      <c r="BE337" s="446">
        <f>SUMIF(AGO!$G$159:$J$159,BE$111,AGO!$R18:$U18)+SUMIF(AGO!$G$159:$J$159,BE$111,AGO!$W18:$Z18)</f>
        <v>0</v>
      </c>
      <c r="BF337" s="446">
        <f>SUMIF(AGO!$G$159:$J$159,BF$111,AGO!$R18:$U18)+SUMIF(AGO!$G$159:$J$159,BF$111,AGO!$W18:$Z18)</f>
        <v>0</v>
      </c>
      <c r="BG337" s="448">
        <f>SUMIF(AGO!$G$159:$J$159,BG$111,AGO!$R18:$U18)+SUMIF(AGO!$G$159:$J$159,BG$111,AGO!$W18:$Z18)</f>
        <v>0</v>
      </c>
      <c r="BH337" s="571"/>
      <c r="BI337" s="448"/>
      <c r="BJ337" s="470"/>
      <c r="BK337" s="445">
        <f>SUMIF(AGO!$G$157:$J$157,BK$111,AGO!$R18:$U18)+SUMIF(AGO!$G$157:$J$157,BK$111,AGO!$W18:$Z18)</f>
        <v>0</v>
      </c>
      <c r="BL337" s="446">
        <f>SUMIF(AGO!$G$157:$J$157,BL$111,AGO!$R18:$U18)+SUMIF(AGO!$G$157:$J$157,BL$111,AGO!$W18:$Z18)</f>
        <v>0</v>
      </c>
      <c r="BM337" s="446">
        <f>SUMIF(AGO!$G$157:$J$157,BM$111,AGO!$R18:$U18)+SUMIF(AGO!$G$157:$J$157,BM$111,AGO!$W18:$Z18)</f>
        <v>0</v>
      </c>
      <c r="BN337" s="446">
        <f>SUMIF(AGO!$G$157:$J$157,BN$111,AGO!$R18:$U18)+SUMIF(AGO!$G$157:$J$157,BN$111,AGO!$W18:$Z18)</f>
        <v>0</v>
      </c>
      <c r="BO337" s="446">
        <f>SUMIF(AGO!$G$157:$J$157,BO$111,AGO!$R18:$U18)+SUMIF(AGO!$G$157:$J$157,BO$111,AGO!$W18:$Z18)</f>
        <v>0</v>
      </c>
      <c r="BP337" s="446">
        <f>SUMIF(AGO!$G$157:$J$157,BP$111,AGO!$R18:$U18)+SUMIF(AGO!$G$157:$J$157,BP$111,AGO!$W18:$Z18)</f>
        <v>0</v>
      </c>
      <c r="BQ337" s="448">
        <f>SUMIF(AGO!$G$157:$J$157,BQ$111,AGO!$R18:$U18)+SUMIF(AGO!$G$157:$J$157,BQ$111,AGO!$W18:$Z18)</f>
        <v>0</v>
      </c>
      <c r="BR337" s="571"/>
      <c r="BS337" s="446"/>
      <c r="BT337" s="448"/>
      <c r="BU337" s="470"/>
      <c r="BV337" s="445">
        <f>SUMIF(AGO!$G$158:$J$158,BV$111,AGO!$R18:$U18)+SUMIF(AGO!$G$158:$J$158,BV$111,AGO!$W18:$Z18)</f>
        <v>0</v>
      </c>
      <c r="BW337" s="446">
        <f>SUMIF(AGO!$G$158:$J$158,BW$111,AGO!$R18:$U18)+SUMIF(AGO!$G$158:$J$158,BW$111,AGO!$W18:$Z18)</f>
        <v>0</v>
      </c>
      <c r="BX337" s="446">
        <f>SUMIF(AGO!$G$158:$J$158,BX$111,AGO!$R18:$U18)+SUMIF(AGO!$G$158:$J$158,BX$111,AGO!$W18:$Z18)</f>
        <v>0</v>
      </c>
      <c r="BY337" s="446">
        <f>SUMIF(AGO!$G$158:$J$158,BY$111,AGO!$R18:$U18)+SUMIF(AGO!$G$158:$J$158,BY$111,AGO!$W18:$Z18)</f>
        <v>0</v>
      </c>
      <c r="BZ337" s="446">
        <f>SUMIF(AGO!$G$158:$J$158,BZ$111,AGO!$R18:$U18)+SUMIF(AGO!$G$158:$J$158,BZ$111,AGO!$W18:$Z18)</f>
        <v>0</v>
      </c>
      <c r="CA337" s="446">
        <f>SUMIF(AGO!$G$158:$J$158,CA$111,AGO!$R18:$U18)+SUMIF(AGO!$G$158:$J$158,CA$111,AGO!$W18:$Z18)</f>
        <v>0</v>
      </c>
      <c r="CB337" s="448">
        <f>SUMIF(AGO!$G$158:$J$158,CB$111,AGO!$R18:$U18)+SUMIF(AGO!$G$158:$J$158,CB$111,AGO!$W18:$Z18)</f>
        <v>0</v>
      </c>
      <c r="CC337" s="571"/>
      <c r="CD337" s="448"/>
      <c r="CE337" s="92">
        <f t="shared" si="279"/>
        <v>0</v>
      </c>
      <c r="CF337" s="92">
        <f t="shared" si="280"/>
        <v>0</v>
      </c>
      <c r="CG337" s="151" t="str">
        <f t="shared" si="266"/>
        <v/>
      </c>
      <c r="CH337" s="92">
        <f t="shared" si="269"/>
        <v>0</v>
      </c>
      <c r="CI337" s="92" t="str">
        <f t="shared" si="281"/>
        <v/>
      </c>
      <c r="CJ337" s="1100">
        <f>AGO!AM18</f>
        <v>0</v>
      </c>
      <c r="CK337" s="445">
        <f>SUMIF(AGO!$G$155:$J$155,CK$112,AGO!$AN18:$AQ18)</f>
        <v>0</v>
      </c>
      <c r="CL337" s="446">
        <f>SUMIF(AGO!$G$155:$J$155,CL$112,AGO!$AN18:$AQ18)</f>
        <v>0</v>
      </c>
      <c r="CM337" s="447">
        <f>SUMIF(AGO!$G$155:$J$155,CM$112,AGO!$AN18:$AQ18)</f>
        <v>0</v>
      </c>
      <c r="CN337" s="448">
        <f>SUMIF(AGO!$G$155:$J$155,CN$112,AGO!$AN18:$AQ18)</f>
        <v>0</v>
      </c>
      <c r="CO337" s="1100">
        <f>AGO!AS18</f>
        <v>0</v>
      </c>
      <c r="CP337" s="445">
        <f>AGO!AT18</f>
        <v>0</v>
      </c>
      <c r="CQ337" s="446">
        <f>AGO!AU18</f>
        <v>0</v>
      </c>
      <c r="CR337" s="447">
        <f>AGO!AV18</f>
        <v>0</v>
      </c>
      <c r="CS337" s="448">
        <f>AGO!AW18</f>
        <v>0</v>
      </c>
      <c r="CT337" s="1100">
        <f>AGO!AY18</f>
        <v>0</v>
      </c>
      <c r="CU337" s="2"/>
    </row>
    <row r="338" spans="1:99" ht="14.25" hidden="1" customHeight="1" x14ac:dyDescent="0.2">
      <c r="A338" s="2"/>
      <c r="B338" s="151">
        <f t="shared" si="270"/>
        <v>45516</v>
      </c>
      <c r="C338" s="223">
        <f>IF(AND(E338&gt;(N$492-1),E338&lt;(R$492+1)),W$485,IF(ISERROR(HLOOKUP(E338,$N$485:$U$485,1,FALSE)),HLOOKUP(WEEKDAY(E338,2),IMPOSTAZIONI!$C$51:$P$56,6,FALSE),$W$484))</f>
        <v>0</v>
      </c>
      <c r="D338" s="103" t="str">
        <f t="shared" si="271"/>
        <v/>
      </c>
      <c r="E338" s="2380">
        <f t="shared" si="282"/>
        <v>45516</v>
      </c>
      <c r="F338" s="2381"/>
      <c r="G338" s="2325" t="str">
        <f>AGO!E19</f>
        <v xml:space="preserve">attiva trim.  </v>
      </c>
      <c r="H338" s="2326"/>
      <c r="I338" s="2327"/>
      <c r="J338" s="479" t="str">
        <f t="shared" si="267"/>
        <v/>
      </c>
      <c r="K338" s="480"/>
      <c r="L338" s="2323">
        <f t="shared" si="283"/>
        <v>33</v>
      </c>
      <c r="M338" s="2324"/>
      <c r="N338" s="478"/>
      <c r="O338" s="478"/>
      <c r="P338" s="478"/>
      <c r="Q338" s="2315">
        <f t="shared" si="272"/>
        <v>45516</v>
      </c>
      <c r="R338" s="2315"/>
      <c r="S338" s="478"/>
      <c r="T338" s="140">
        <f t="shared" si="273"/>
        <v>1</v>
      </c>
      <c r="U338" s="478"/>
      <c r="V338" s="478"/>
      <c r="W338" s="478"/>
      <c r="X338" s="478"/>
      <c r="Y338" s="478"/>
      <c r="Z338" s="478"/>
      <c r="AA338" s="478"/>
      <c r="AB338" s="478"/>
      <c r="AC338" s="478"/>
      <c r="AD338" s="478"/>
      <c r="AE338" s="478"/>
      <c r="AF338" s="478"/>
      <c r="AG338" s="140">
        <f t="shared" si="274"/>
        <v>0</v>
      </c>
      <c r="AH338" s="92" t="str">
        <f t="shared" si="275"/>
        <v/>
      </c>
      <c r="AI338" s="131">
        <f t="shared" si="276"/>
        <v>0</v>
      </c>
      <c r="AJ338" s="2"/>
      <c r="AK338" s="92">
        <f>IF(G338=G$481,0,IF(OR(G338&lt;&gt;0,CJ338&lt;&gt;0,C338="L"),COUNTIF(AK$114:AK337,"&gt;0")+1,0))</f>
        <v>0</v>
      </c>
      <c r="AL338" s="92" t="str">
        <f t="shared" si="277"/>
        <v/>
      </c>
      <c r="AM338" s="92" t="str">
        <f t="shared" si="278"/>
        <v/>
      </c>
      <c r="AN338" s="131">
        <f t="shared" si="268"/>
        <v>0</v>
      </c>
      <c r="AO338" s="447">
        <f>SUM(AGO!W19:Z19)</f>
        <v>0</v>
      </c>
      <c r="AP338" s="445">
        <f>SUMIF(AGO!$G$155:$J$155,AP$112,AGO!$R19:$U19)</f>
        <v>0</v>
      </c>
      <c r="AQ338" s="446">
        <f>SUMIF(AGO!$G$155:$J$155,AQ$112,AGO!$R19:$U19)</f>
        <v>0</v>
      </c>
      <c r="AR338" s="447">
        <f>SUMIF(AGO!$G$155:$J$155,AR$112,AGO!$R19:$U19)</f>
        <v>0</v>
      </c>
      <c r="AS338" s="448">
        <f>SUMIF(AGO!$G$155:$J$155,AS$112,AGO!$R19:$U19)</f>
        <v>0</v>
      </c>
      <c r="AT338" s="449">
        <f>AGO!AG19</f>
        <v>0</v>
      </c>
      <c r="AU338" s="445">
        <f>AGO!AH19</f>
        <v>0</v>
      </c>
      <c r="AV338" s="446">
        <f>AGO!AI19</f>
        <v>0</v>
      </c>
      <c r="AW338" s="447">
        <f>AGO!AJ19</f>
        <v>0</v>
      </c>
      <c r="AX338" s="448">
        <f>AGO!AK19</f>
        <v>0</v>
      </c>
      <c r="AY338" s="445">
        <f>SUMIF(AGO!$G$152:$J$152,"&gt;0",AGO!$W19:$Z19)</f>
        <v>0</v>
      </c>
      <c r="AZ338" s="1063">
        <f>SUM(AGO!AB19:AE19)</f>
        <v>0</v>
      </c>
      <c r="BA338" s="445">
        <f>SUMIF(AGO!$G$159:$J$159,BA$111,AGO!$R19:$U19)+SUMIF(AGO!$G$159:$J$159,BA$111,AGO!$W19:$Z19)</f>
        <v>0</v>
      </c>
      <c r="BB338" s="446">
        <f>SUMIF(AGO!$G$159:$J$159,BB$111,AGO!$R19:$U19)+SUMIF(AGO!$G$159:$J$159,BB$111,AGO!$W19:$Z19)</f>
        <v>0</v>
      </c>
      <c r="BC338" s="446">
        <f>SUMIF(AGO!$G$159:$J$159,BC$111,AGO!$R19:$U19)+SUMIF(AGO!$G$159:$J$159,BC$111,AGO!$W19:$Z19)</f>
        <v>0</v>
      </c>
      <c r="BD338" s="446">
        <f>SUMIF(AGO!$G$159:$J$159,BD$111,AGO!$R19:$U19)+SUMIF(AGO!$G$159:$J$159,BD$111,AGO!$W19:$Z19)</f>
        <v>0</v>
      </c>
      <c r="BE338" s="446">
        <f>SUMIF(AGO!$G$159:$J$159,BE$111,AGO!$R19:$U19)+SUMIF(AGO!$G$159:$J$159,BE$111,AGO!$W19:$Z19)</f>
        <v>0</v>
      </c>
      <c r="BF338" s="446">
        <f>SUMIF(AGO!$G$159:$J$159,BF$111,AGO!$R19:$U19)+SUMIF(AGO!$G$159:$J$159,BF$111,AGO!$W19:$Z19)</f>
        <v>0</v>
      </c>
      <c r="BG338" s="448">
        <f>SUMIF(AGO!$G$159:$J$159,BG$111,AGO!$R19:$U19)+SUMIF(AGO!$G$159:$J$159,BG$111,AGO!$W19:$Z19)</f>
        <v>0</v>
      </c>
      <c r="BH338" s="571"/>
      <c r="BI338" s="448"/>
      <c r="BJ338" s="470"/>
      <c r="BK338" s="445">
        <f>SUMIF(AGO!$G$157:$J$157,BK$111,AGO!$R19:$U19)+SUMIF(AGO!$G$157:$J$157,BK$111,AGO!$W19:$Z19)</f>
        <v>0</v>
      </c>
      <c r="BL338" s="446">
        <f>SUMIF(AGO!$G$157:$J$157,BL$111,AGO!$R19:$U19)+SUMIF(AGO!$G$157:$J$157,BL$111,AGO!$W19:$Z19)</f>
        <v>0</v>
      </c>
      <c r="BM338" s="446">
        <f>SUMIF(AGO!$G$157:$J$157,BM$111,AGO!$R19:$U19)+SUMIF(AGO!$G$157:$J$157,BM$111,AGO!$W19:$Z19)</f>
        <v>0</v>
      </c>
      <c r="BN338" s="446">
        <f>SUMIF(AGO!$G$157:$J$157,BN$111,AGO!$R19:$U19)+SUMIF(AGO!$G$157:$J$157,BN$111,AGO!$W19:$Z19)</f>
        <v>0</v>
      </c>
      <c r="BO338" s="446">
        <f>SUMIF(AGO!$G$157:$J$157,BO$111,AGO!$R19:$U19)+SUMIF(AGO!$G$157:$J$157,BO$111,AGO!$W19:$Z19)</f>
        <v>0</v>
      </c>
      <c r="BP338" s="446">
        <f>SUMIF(AGO!$G$157:$J$157,BP$111,AGO!$R19:$U19)+SUMIF(AGO!$G$157:$J$157,BP$111,AGO!$W19:$Z19)</f>
        <v>0</v>
      </c>
      <c r="BQ338" s="448">
        <f>SUMIF(AGO!$G$157:$J$157,BQ$111,AGO!$R19:$U19)+SUMIF(AGO!$G$157:$J$157,BQ$111,AGO!$W19:$Z19)</f>
        <v>0</v>
      </c>
      <c r="BR338" s="571"/>
      <c r="BS338" s="446"/>
      <c r="BT338" s="448"/>
      <c r="BU338" s="470"/>
      <c r="BV338" s="445">
        <f>SUMIF(AGO!$G$158:$J$158,BV$111,AGO!$R19:$U19)+SUMIF(AGO!$G$158:$J$158,BV$111,AGO!$W19:$Z19)</f>
        <v>0</v>
      </c>
      <c r="BW338" s="446">
        <f>SUMIF(AGO!$G$158:$J$158,BW$111,AGO!$R19:$U19)+SUMIF(AGO!$G$158:$J$158,BW$111,AGO!$W19:$Z19)</f>
        <v>0</v>
      </c>
      <c r="BX338" s="446">
        <f>SUMIF(AGO!$G$158:$J$158,BX$111,AGO!$R19:$U19)+SUMIF(AGO!$G$158:$J$158,BX$111,AGO!$W19:$Z19)</f>
        <v>0</v>
      </c>
      <c r="BY338" s="446">
        <f>SUMIF(AGO!$G$158:$J$158,BY$111,AGO!$R19:$U19)+SUMIF(AGO!$G$158:$J$158,BY$111,AGO!$W19:$Z19)</f>
        <v>0</v>
      </c>
      <c r="BZ338" s="446">
        <f>SUMIF(AGO!$G$158:$J$158,BZ$111,AGO!$R19:$U19)+SUMIF(AGO!$G$158:$J$158,BZ$111,AGO!$W19:$Z19)</f>
        <v>0</v>
      </c>
      <c r="CA338" s="446">
        <f>SUMIF(AGO!$G$158:$J$158,CA$111,AGO!$R19:$U19)+SUMIF(AGO!$G$158:$J$158,CA$111,AGO!$W19:$Z19)</f>
        <v>0</v>
      </c>
      <c r="CB338" s="448">
        <f>SUMIF(AGO!$G$158:$J$158,CB$111,AGO!$R19:$U19)+SUMIF(AGO!$G$158:$J$158,CB$111,AGO!$W19:$Z19)</f>
        <v>0</v>
      </c>
      <c r="CC338" s="571"/>
      <c r="CD338" s="448"/>
      <c r="CE338" s="92">
        <f t="shared" si="279"/>
        <v>0</v>
      </c>
      <c r="CF338" s="92">
        <f t="shared" si="280"/>
        <v>0</v>
      </c>
      <c r="CG338" s="151" t="str">
        <f t="shared" si="266"/>
        <v/>
      </c>
      <c r="CH338" s="92">
        <f t="shared" si="269"/>
        <v>0</v>
      </c>
      <c r="CI338" s="92" t="str">
        <f t="shared" si="281"/>
        <v/>
      </c>
      <c r="CJ338" s="1100">
        <f>AGO!AM19</f>
        <v>0</v>
      </c>
      <c r="CK338" s="445">
        <f>SUMIF(AGO!$G$155:$J$155,CK$112,AGO!$AN19:$AQ19)</f>
        <v>0</v>
      </c>
      <c r="CL338" s="446">
        <f>SUMIF(AGO!$G$155:$J$155,CL$112,AGO!$AN19:$AQ19)</f>
        <v>0</v>
      </c>
      <c r="CM338" s="447">
        <f>SUMIF(AGO!$G$155:$J$155,CM$112,AGO!$AN19:$AQ19)</f>
        <v>0</v>
      </c>
      <c r="CN338" s="448">
        <f>SUMIF(AGO!$G$155:$J$155,CN$112,AGO!$AN19:$AQ19)</f>
        <v>0</v>
      </c>
      <c r="CO338" s="1100">
        <f>AGO!AS19</f>
        <v>0</v>
      </c>
      <c r="CP338" s="445">
        <f>AGO!AT19</f>
        <v>0</v>
      </c>
      <c r="CQ338" s="446">
        <f>AGO!AU19</f>
        <v>0</v>
      </c>
      <c r="CR338" s="447">
        <f>AGO!AV19</f>
        <v>0</v>
      </c>
      <c r="CS338" s="448">
        <f>AGO!AW19</f>
        <v>0</v>
      </c>
      <c r="CT338" s="1100">
        <f>AGO!AY19</f>
        <v>0</v>
      </c>
      <c r="CU338" s="2"/>
    </row>
    <row r="339" spans="1:99" ht="14.25" hidden="1" customHeight="1" x14ac:dyDescent="0.2">
      <c r="A339" s="2"/>
      <c r="B339" s="151">
        <f t="shared" si="270"/>
        <v>45517</v>
      </c>
      <c r="C339" s="223">
        <f>IF(AND(E339&gt;(N$492-1),E339&lt;(R$492+1)),W$485,IF(ISERROR(HLOOKUP(E339,$N$485:$U$485,1,FALSE)),HLOOKUP(WEEKDAY(E339,2),IMPOSTAZIONI!$C$51:$P$56,6,FALSE),$W$484))</f>
        <v>0</v>
      </c>
      <c r="D339" s="103" t="str">
        <f t="shared" si="271"/>
        <v/>
      </c>
      <c r="E339" s="2380">
        <f t="shared" si="282"/>
        <v>45517</v>
      </c>
      <c r="F339" s="2381"/>
      <c r="G339" s="2325" t="str">
        <f>AGO!E20</f>
        <v xml:space="preserve">attiva trim.  </v>
      </c>
      <c r="H339" s="2326"/>
      <c r="I339" s="2327"/>
      <c r="J339" s="479" t="str">
        <f t="shared" si="267"/>
        <v/>
      </c>
      <c r="K339" s="480"/>
      <c r="L339" s="2319">
        <f t="shared" si="283"/>
        <v>33</v>
      </c>
      <c r="M339" s="2320"/>
      <c r="N339" s="478"/>
      <c r="O339" s="478"/>
      <c r="P339" s="478"/>
      <c r="Q339" s="2315">
        <f t="shared" si="272"/>
        <v>45517</v>
      </c>
      <c r="R339" s="2315"/>
      <c r="S339" s="478"/>
      <c r="T339" s="140">
        <f t="shared" si="273"/>
        <v>1</v>
      </c>
      <c r="U339" s="478"/>
      <c r="V339" s="478"/>
      <c r="W339" s="478"/>
      <c r="X339" s="478"/>
      <c r="Y339" s="478"/>
      <c r="Z339" s="478"/>
      <c r="AA339" s="478"/>
      <c r="AB339" s="478"/>
      <c r="AC339" s="478"/>
      <c r="AD339" s="478"/>
      <c r="AE339" s="478"/>
      <c r="AF339" s="478"/>
      <c r="AG339" s="140">
        <f t="shared" si="274"/>
        <v>0</v>
      </c>
      <c r="AH339" s="92" t="str">
        <f t="shared" si="275"/>
        <v/>
      </c>
      <c r="AI339" s="131">
        <f t="shared" si="276"/>
        <v>0</v>
      </c>
      <c r="AJ339" s="2"/>
      <c r="AK339" s="92">
        <f>IF(G339=G$481,0,IF(OR(G339&lt;&gt;0,CJ339&lt;&gt;0,C339="L"),COUNTIF(AK$114:AK338,"&gt;0")+1,0))</f>
        <v>0</v>
      </c>
      <c r="AL339" s="92" t="str">
        <f t="shared" si="277"/>
        <v/>
      </c>
      <c r="AM339" s="92" t="str">
        <f t="shared" si="278"/>
        <v/>
      </c>
      <c r="AN339" s="131">
        <f t="shared" si="268"/>
        <v>0</v>
      </c>
      <c r="AO339" s="447">
        <f>SUM(AGO!W20:Z20)</f>
        <v>0</v>
      </c>
      <c r="AP339" s="445">
        <f>SUMIF(AGO!$G$155:$J$155,AP$112,AGO!$R20:$U20)</f>
        <v>0</v>
      </c>
      <c r="AQ339" s="446">
        <f>SUMIF(AGO!$G$155:$J$155,AQ$112,AGO!$R20:$U20)</f>
        <v>0</v>
      </c>
      <c r="AR339" s="447">
        <f>SUMIF(AGO!$G$155:$J$155,AR$112,AGO!$R20:$U20)</f>
        <v>0</v>
      </c>
      <c r="AS339" s="448">
        <f>SUMIF(AGO!$G$155:$J$155,AS$112,AGO!$R20:$U20)</f>
        <v>0</v>
      </c>
      <c r="AT339" s="449">
        <f>AGO!AG20</f>
        <v>0</v>
      </c>
      <c r="AU339" s="445">
        <f>AGO!AH20</f>
        <v>0</v>
      </c>
      <c r="AV339" s="446">
        <f>AGO!AI20</f>
        <v>0</v>
      </c>
      <c r="AW339" s="447">
        <f>AGO!AJ20</f>
        <v>0</v>
      </c>
      <c r="AX339" s="448">
        <f>AGO!AK20</f>
        <v>0</v>
      </c>
      <c r="AY339" s="445">
        <f>SUMIF(AGO!$G$152:$J$152,"&gt;0",AGO!$W20:$Z20)</f>
        <v>0</v>
      </c>
      <c r="AZ339" s="1063">
        <f>SUM(AGO!AB20:AE20)</f>
        <v>0</v>
      </c>
      <c r="BA339" s="445">
        <f>SUMIF(AGO!$G$159:$J$159,BA$111,AGO!$R20:$U20)+SUMIF(AGO!$G$159:$J$159,BA$111,AGO!$W20:$Z20)</f>
        <v>0</v>
      </c>
      <c r="BB339" s="446">
        <f>SUMIF(AGO!$G$159:$J$159,BB$111,AGO!$R20:$U20)+SUMIF(AGO!$G$159:$J$159,BB$111,AGO!$W20:$Z20)</f>
        <v>0</v>
      </c>
      <c r="BC339" s="446">
        <f>SUMIF(AGO!$G$159:$J$159,BC$111,AGO!$R20:$U20)+SUMIF(AGO!$G$159:$J$159,BC$111,AGO!$W20:$Z20)</f>
        <v>0</v>
      </c>
      <c r="BD339" s="446">
        <f>SUMIF(AGO!$G$159:$J$159,BD$111,AGO!$R20:$U20)+SUMIF(AGO!$G$159:$J$159,BD$111,AGO!$W20:$Z20)</f>
        <v>0</v>
      </c>
      <c r="BE339" s="446">
        <f>SUMIF(AGO!$G$159:$J$159,BE$111,AGO!$R20:$U20)+SUMIF(AGO!$G$159:$J$159,BE$111,AGO!$W20:$Z20)</f>
        <v>0</v>
      </c>
      <c r="BF339" s="446">
        <f>SUMIF(AGO!$G$159:$J$159,BF$111,AGO!$R20:$U20)+SUMIF(AGO!$G$159:$J$159,BF$111,AGO!$W20:$Z20)</f>
        <v>0</v>
      </c>
      <c r="BG339" s="448">
        <f>SUMIF(AGO!$G$159:$J$159,BG$111,AGO!$R20:$U20)+SUMIF(AGO!$G$159:$J$159,BG$111,AGO!$W20:$Z20)</f>
        <v>0</v>
      </c>
      <c r="BH339" s="571"/>
      <c r="BI339" s="448"/>
      <c r="BJ339" s="470"/>
      <c r="BK339" s="445">
        <f>SUMIF(AGO!$G$157:$J$157,BK$111,AGO!$R20:$U20)+SUMIF(AGO!$G$157:$J$157,BK$111,AGO!$W20:$Z20)</f>
        <v>0</v>
      </c>
      <c r="BL339" s="446">
        <f>SUMIF(AGO!$G$157:$J$157,BL$111,AGO!$R20:$U20)+SUMIF(AGO!$G$157:$J$157,BL$111,AGO!$W20:$Z20)</f>
        <v>0</v>
      </c>
      <c r="BM339" s="446">
        <f>SUMIF(AGO!$G$157:$J$157,BM$111,AGO!$R20:$U20)+SUMIF(AGO!$G$157:$J$157,BM$111,AGO!$W20:$Z20)</f>
        <v>0</v>
      </c>
      <c r="BN339" s="446">
        <f>SUMIF(AGO!$G$157:$J$157,BN$111,AGO!$R20:$U20)+SUMIF(AGO!$G$157:$J$157,BN$111,AGO!$W20:$Z20)</f>
        <v>0</v>
      </c>
      <c r="BO339" s="446">
        <f>SUMIF(AGO!$G$157:$J$157,BO$111,AGO!$R20:$U20)+SUMIF(AGO!$G$157:$J$157,BO$111,AGO!$W20:$Z20)</f>
        <v>0</v>
      </c>
      <c r="BP339" s="446">
        <f>SUMIF(AGO!$G$157:$J$157,BP$111,AGO!$R20:$U20)+SUMIF(AGO!$G$157:$J$157,BP$111,AGO!$W20:$Z20)</f>
        <v>0</v>
      </c>
      <c r="BQ339" s="448">
        <f>SUMIF(AGO!$G$157:$J$157,BQ$111,AGO!$R20:$U20)+SUMIF(AGO!$G$157:$J$157,BQ$111,AGO!$W20:$Z20)</f>
        <v>0</v>
      </c>
      <c r="BR339" s="571"/>
      <c r="BS339" s="446"/>
      <c r="BT339" s="448"/>
      <c r="BU339" s="470"/>
      <c r="BV339" s="445">
        <f>SUMIF(AGO!$G$158:$J$158,BV$111,AGO!$R20:$U20)+SUMIF(AGO!$G$158:$J$158,BV$111,AGO!$W20:$Z20)</f>
        <v>0</v>
      </c>
      <c r="BW339" s="446">
        <f>SUMIF(AGO!$G$158:$J$158,BW$111,AGO!$R20:$U20)+SUMIF(AGO!$G$158:$J$158,BW$111,AGO!$W20:$Z20)</f>
        <v>0</v>
      </c>
      <c r="BX339" s="446">
        <f>SUMIF(AGO!$G$158:$J$158,BX$111,AGO!$R20:$U20)+SUMIF(AGO!$G$158:$J$158,BX$111,AGO!$W20:$Z20)</f>
        <v>0</v>
      </c>
      <c r="BY339" s="446">
        <f>SUMIF(AGO!$G$158:$J$158,BY$111,AGO!$R20:$U20)+SUMIF(AGO!$G$158:$J$158,BY$111,AGO!$W20:$Z20)</f>
        <v>0</v>
      </c>
      <c r="BZ339" s="446">
        <f>SUMIF(AGO!$G$158:$J$158,BZ$111,AGO!$R20:$U20)+SUMIF(AGO!$G$158:$J$158,BZ$111,AGO!$W20:$Z20)</f>
        <v>0</v>
      </c>
      <c r="CA339" s="446">
        <f>SUMIF(AGO!$G$158:$J$158,CA$111,AGO!$R20:$U20)+SUMIF(AGO!$G$158:$J$158,CA$111,AGO!$W20:$Z20)</f>
        <v>0</v>
      </c>
      <c r="CB339" s="448">
        <f>SUMIF(AGO!$G$158:$J$158,CB$111,AGO!$R20:$U20)+SUMIF(AGO!$G$158:$J$158,CB$111,AGO!$W20:$Z20)</f>
        <v>0</v>
      </c>
      <c r="CC339" s="571"/>
      <c r="CD339" s="448"/>
      <c r="CE339" s="92">
        <f t="shared" si="279"/>
        <v>0</v>
      </c>
      <c r="CF339" s="92">
        <f t="shared" si="280"/>
        <v>0</v>
      </c>
      <c r="CG339" s="151" t="str">
        <f t="shared" si="266"/>
        <v/>
      </c>
      <c r="CH339" s="92">
        <f t="shared" si="269"/>
        <v>0</v>
      </c>
      <c r="CI339" s="92" t="str">
        <f t="shared" si="281"/>
        <v/>
      </c>
      <c r="CJ339" s="1100">
        <f>AGO!AM20</f>
        <v>0</v>
      </c>
      <c r="CK339" s="445">
        <f>SUMIF(AGO!$G$155:$J$155,CK$112,AGO!$AN20:$AQ20)</f>
        <v>0</v>
      </c>
      <c r="CL339" s="446">
        <f>SUMIF(AGO!$G$155:$J$155,CL$112,AGO!$AN20:$AQ20)</f>
        <v>0</v>
      </c>
      <c r="CM339" s="447">
        <f>SUMIF(AGO!$G$155:$J$155,CM$112,AGO!$AN20:$AQ20)</f>
        <v>0</v>
      </c>
      <c r="CN339" s="448">
        <f>SUMIF(AGO!$G$155:$J$155,CN$112,AGO!$AN20:$AQ20)</f>
        <v>0</v>
      </c>
      <c r="CO339" s="1100">
        <f>AGO!AS20</f>
        <v>0</v>
      </c>
      <c r="CP339" s="445">
        <f>AGO!AT20</f>
        <v>0</v>
      </c>
      <c r="CQ339" s="446">
        <f>AGO!AU20</f>
        <v>0</v>
      </c>
      <c r="CR339" s="447">
        <f>AGO!AV20</f>
        <v>0</v>
      </c>
      <c r="CS339" s="448">
        <f>AGO!AW20</f>
        <v>0</v>
      </c>
      <c r="CT339" s="1100">
        <f>AGO!AY20</f>
        <v>0</v>
      </c>
      <c r="CU339" s="2"/>
    </row>
    <row r="340" spans="1:99" ht="14.25" hidden="1" customHeight="1" x14ac:dyDescent="0.2">
      <c r="A340" s="2"/>
      <c r="B340" s="151">
        <f t="shared" si="270"/>
        <v>45518</v>
      </c>
      <c r="C340" s="223">
        <f>IF(AND(E340&gt;(N$492-1),E340&lt;(R$492+1)),W$485,IF(ISERROR(HLOOKUP(E340,$N$485:$U$485,1,FALSE)),HLOOKUP(WEEKDAY(E340,2),IMPOSTAZIONI!$C$51:$P$56,6,FALSE),$W$484))</f>
        <v>0</v>
      </c>
      <c r="D340" s="103" t="str">
        <f t="shared" si="271"/>
        <v/>
      </c>
      <c r="E340" s="2380">
        <f t="shared" si="282"/>
        <v>45518</v>
      </c>
      <c r="F340" s="2381"/>
      <c r="G340" s="2325" t="str">
        <f>AGO!E21</f>
        <v xml:space="preserve">attiva trim.  </v>
      </c>
      <c r="H340" s="2326"/>
      <c r="I340" s="2327"/>
      <c r="J340" s="479" t="str">
        <f t="shared" si="267"/>
        <v/>
      </c>
      <c r="K340" s="480"/>
      <c r="L340" s="2319">
        <f t="shared" si="283"/>
        <v>33</v>
      </c>
      <c r="M340" s="2320"/>
      <c r="N340" s="478"/>
      <c r="O340" s="478"/>
      <c r="P340" s="478"/>
      <c r="Q340" s="2315">
        <f t="shared" si="272"/>
        <v>45518</v>
      </c>
      <c r="R340" s="2315"/>
      <c r="S340" s="478"/>
      <c r="T340" s="140">
        <f t="shared" si="273"/>
        <v>1</v>
      </c>
      <c r="U340" s="478"/>
      <c r="V340" s="478"/>
      <c r="W340" s="478"/>
      <c r="X340" s="478"/>
      <c r="Y340" s="478"/>
      <c r="Z340" s="478"/>
      <c r="AA340" s="478"/>
      <c r="AB340" s="478"/>
      <c r="AC340" s="478"/>
      <c r="AD340" s="478"/>
      <c r="AE340" s="478"/>
      <c r="AF340" s="478"/>
      <c r="AG340" s="140">
        <f t="shared" si="274"/>
        <v>0</v>
      </c>
      <c r="AH340" s="92" t="str">
        <f t="shared" si="275"/>
        <v/>
      </c>
      <c r="AI340" s="131">
        <f t="shared" si="276"/>
        <v>0</v>
      </c>
      <c r="AJ340" s="2"/>
      <c r="AK340" s="92">
        <f>IF(G340=G$481,0,IF(OR(G340&lt;&gt;0,CJ340&lt;&gt;0,C340="L"),COUNTIF(AK$114:AK339,"&gt;0")+1,0))</f>
        <v>0</v>
      </c>
      <c r="AL340" s="92" t="str">
        <f t="shared" si="277"/>
        <v/>
      </c>
      <c r="AM340" s="92" t="str">
        <f t="shared" si="278"/>
        <v/>
      </c>
      <c r="AN340" s="131">
        <f t="shared" si="268"/>
        <v>0</v>
      </c>
      <c r="AO340" s="447">
        <f>SUM(AGO!W21:Z21)</f>
        <v>0</v>
      </c>
      <c r="AP340" s="445">
        <f>SUMIF(AGO!$G$155:$J$155,AP$112,AGO!$R21:$U21)</f>
        <v>0</v>
      </c>
      <c r="AQ340" s="446">
        <f>SUMIF(AGO!$G$155:$J$155,AQ$112,AGO!$R21:$U21)</f>
        <v>0</v>
      </c>
      <c r="AR340" s="447">
        <f>SUMIF(AGO!$G$155:$J$155,AR$112,AGO!$R21:$U21)</f>
        <v>0</v>
      </c>
      <c r="AS340" s="448">
        <f>SUMIF(AGO!$G$155:$J$155,AS$112,AGO!$R21:$U21)</f>
        <v>0</v>
      </c>
      <c r="AT340" s="449">
        <f>AGO!AG21</f>
        <v>0</v>
      </c>
      <c r="AU340" s="445">
        <f>AGO!AH21</f>
        <v>0</v>
      </c>
      <c r="AV340" s="446">
        <f>AGO!AI21</f>
        <v>0</v>
      </c>
      <c r="AW340" s="447">
        <f>AGO!AJ21</f>
        <v>0</v>
      </c>
      <c r="AX340" s="448">
        <f>AGO!AK21</f>
        <v>0</v>
      </c>
      <c r="AY340" s="445">
        <f>SUMIF(AGO!$G$152:$J$152,"&gt;0",AGO!$W21:$Z21)</f>
        <v>0</v>
      </c>
      <c r="AZ340" s="1063">
        <f>SUM(AGO!AB21:AE21)</f>
        <v>0</v>
      </c>
      <c r="BA340" s="445">
        <f>SUMIF(AGO!$G$159:$J$159,BA$111,AGO!$R21:$U21)+SUMIF(AGO!$G$159:$J$159,BA$111,AGO!$W21:$Z21)</f>
        <v>0</v>
      </c>
      <c r="BB340" s="446">
        <f>SUMIF(AGO!$G$159:$J$159,BB$111,AGO!$R21:$U21)+SUMIF(AGO!$G$159:$J$159,BB$111,AGO!$W21:$Z21)</f>
        <v>0</v>
      </c>
      <c r="BC340" s="446">
        <f>SUMIF(AGO!$G$159:$J$159,BC$111,AGO!$R21:$U21)+SUMIF(AGO!$G$159:$J$159,BC$111,AGO!$W21:$Z21)</f>
        <v>0</v>
      </c>
      <c r="BD340" s="446">
        <f>SUMIF(AGO!$G$159:$J$159,BD$111,AGO!$R21:$U21)+SUMIF(AGO!$G$159:$J$159,BD$111,AGO!$W21:$Z21)</f>
        <v>0</v>
      </c>
      <c r="BE340" s="446">
        <f>SUMIF(AGO!$G$159:$J$159,BE$111,AGO!$R21:$U21)+SUMIF(AGO!$G$159:$J$159,BE$111,AGO!$W21:$Z21)</f>
        <v>0</v>
      </c>
      <c r="BF340" s="446">
        <f>SUMIF(AGO!$G$159:$J$159,BF$111,AGO!$R21:$U21)+SUMIF(AGO!$G$159:$J$159,BF$111,AGO!$W21:$Z21)</f>
        <v>0</v>
      </c>
      <c r="BG340" s="448">
        <f>SUMIF(AGO!$G$159:$J$159,BG$111,AGO!$R21:$U21)+SUMIF(AGO!$G$159:$J$159,BG$111,AGO!$W21:$Z21)</f>
        <v>0</v>
      </c>
      <c r="BH340" s="571"/>
      <c r="BI340" s="448"/>
      <c r="BJ340" s="470"/>
      <c r="BK340" s="445">
        <f>SUMIF(AGO!$G$157:$J$157,BK$111,AGO!$R21:$U21)+SUMIF(AGO!$G$157:$J$157,BK$111,AGO!$W21:$Z21)</f>
        <v>0</v>
      </c>
      <c r="BL340" s="446">
        <f>SUMIF(AGO!$G$157:$J$157,BL$111,AGO!$R21:$U21)+SUMIF(AGO!$G$157:$J$157,BL$111,AGO!$W21:$Z21)</f>
        <v>0</v>
      </c>
      <c r="BM340" s="446">
        <f>SUMIF(AGO!$G$157:$J$157,BM$111,AGO!$R21:$U21)+SUMIF(AGO!$G$157:$J$157,BM$111,AGO!$W21:$Z21)</f>
        <v>0</v>
      </c>
      <c r="BN340" s="446">
        <f>SUMIF(AGO!$G$157:$J$157,BN$111,AGO!$R21:$U21)+SUMIF(AGO!$G$157:$J$157,BN$111,AGO!$W21:$Z21)</f>
        <v>0</v>
      </c>
      <c r="BO340" s="446">
        <f>SUMIF(AGO!$G$157:$J$157,BO$111,AGO!$R21:$U21)+SUMIF(AGO!$G$157:$J$157,BO$111,AGO!$W21:$Z21)</f>
        <v>0</v>
      </c>
      <c r="BP340" s="446">
        <f>SUMIF(AGO!$G$157:$J$157,BP$111,AGO!$R21:$U21)+SUMIF(AGO!$G$157:$J$157,BP$111,AGO!$W21:$Z21)</f>
        <v>0</v>
      </c>
      <c r="BQ340" s="448">
        <f>SUMIF(AGO!$G$157:$J$157,BQ$111,AGO!$R21:$U21)+SUMIF(AGO!$G$157:$J$157,BQ$111,AGO!$W21:$Z21)</f>
        <v>0</v>
      </c>
      <c r="BR340" s="571"/>
      <c r="BS340" s="446"/>
      <c r="BT340" s="448"/>
      <c r="BU340" s="470"/>
      <c r="BV340" s="445">
        <f>SUMIF(AGO!$G$158:$J$158,BV$111,AGO!$R21:$U21)+SUMIF(AGO!$G$158:$J$158,BV$111,AGO!$W21:$Z21)</f>
        <v>0</v>
      </c>
      <c r="BW340" s="446">
        <f>SUMIF(AGO!$G$158:$J$158,BW$111,AGO!$R21:$U21)+SUMIF(AGO!$G$158:$J$158,BW$111,AGO!$W21:$Z21)</f>
        <v>0</v>
      </c>
      <c r="BX340" s="446">
        <f>SUMIF(AGO!$G$158:$J$158,BX$111,AGO!$R21:$U21)+SUMIF(AGO!$G$158:$J$158,BX$111,AGO!$W21:$Z21)</f>
        <v>0</v>
      </c>
      <c r="BY340" s="446">
        <f>SUMIF(AGO!$G$158:$J$158,BY$111,AGO!$R21:$U21)+SUMIF(AGO!$G$158:$J$158,BY$111,AGO!$W21:$Z21)</f>
        <v>0</v>
      </c>
      <c r="BZ340" s="446">
        <f>SUMIF(AGO!$G$158:$J$158,BZ$111,AGO!$R21:$U21)+SUMIF(AGO!$G$158:$J$158,BZ$111,AGO!$W21:$Z21)</f>
        <v>0</v>
      </c>
      <c r="CA340" s="446">
        <f>SUMIF(AGO!$G$158:$J$158,CA$111,AGO!$R21:$U21)+SUMIF(AGO!$G$158:$J$158,CA$111,AGO!$W21:$Z21)</f>
        <v>0</v>
      </c>
      <c r="CB340" s="448">
        <f>SUMIF(AGO!$G$158:$J$158,CB$111,AGO!$R21:$U21)+SUMIF(AGO!$G$158:$J$158,CB$111,AGO!$W21:$Z21)</f>
        <v>0</v>
      </c>
      <c r="CC340" s="571"/>
      <c r="CD340" s="448"/>
      <c r="CE340" s="92">
        <f t="shared" si="279"/>
        <v>0</v>
      </c>
      <c r="CF340" s="92">
        <f t="shared" si="280"/>
        <v>0</v>
      </c>
      <c r="CG340" s="151" t="str">
        <f t="shared" si="266"/>
        <v/>
      </c>
      <c r="CH340" s="92">
        <f t="shared" si="269"/>
        <v>0</v>
      </c>
      <c r="CI340" s="92" t="str">
        <f t="shared" si="281"/>
        <v/>
      </c>
      <c r="CJ340" s="1100">
        <f>AGO!AM21</f>
        <v>0</v>
      </c>
      <c r="CK340" s="445">
        <f>SUMIF(AGO!$G$155:$J$155,CK$112,AGO!$AN21:$AQ21)</f>
        <v>0</v>
      </c>
      <c r="CL340" s="446">
        <f>SUMIF(AGO!$G$155:$J$155,CL$112,AGO!$AN21:$AQ21)</f>
        <v>0</v>
      </c>
      <c r="CM340" s="447">
        <f>SUMIF(AGO!$G$155:$J$155,CM$112,AGO!$AN21:$AQ21)</f>
        <v>0</v>
      </c>
      <c r="CN340" s="448">
        <f>SUMIF(AGO!$G$155:$J$155,CN$112,AGO!$AN21:$AQ21)</f>
        <v>0</v>
      </c>
      <c r="CO340" s="1100">
        <f>AGO!AS21</f>
        <v>0</v>
      </c>
      <c r="CP340" s="445">
        <f>AGO!AT21</f>
        <v>0</v>
      </c>
      <c r="CQ340" s="446">
        <f>AGO!AU21</f>
        <v>0</v>
      </c>
      <c r="CR340" s="447">
        <f>AGO!AV21</f>
        <v>0</v>
      </c>
      <c r="CS340" s="448">
        <f>AGO!AW21</f>
        <v>0</v>
      </c>
      <c r="CT340" s="1100">
        <f>AGO!AY21</f>
        <v>0</v>
      </c>
      <c r="CU340" s="2"/>
    </row>
    <row r="341" spans="1:99" ht="14.25" hidden="1" customHeight="1" x14ac:dyDescent="0.2">
      <c r="A341" s="2"/>
      <c r="B341" s="151">
        <f t="shared" si="270"/>
        <v>45519</v>
      </c>
      <c r="C341" s="223" t="str">
        <f>IF(AND(E341&gt;(N$492-1),E341&lt;(R$492+1)),W$485,IF(ISERROR(HLOOKUP(E341,$N$485:$U$485,1,FALSE)),HLOOKUP(WEEKDAY(E341,2),IMPOSTAZIONI!$C$51:$P$56,6,FALSE),$W$484))</f>
        <v>F</v>
      </c>
      <c r="D341" s="103" t="str">
        <f t="shared" si="271"/>
        <v/>
      </c>
      <c r="E341" s="2380">
        <f t="shared" si="282"/>
        <v>45519</v>
      </c>
      <c r="F341" s="2381"/>
      <c r="G341" s="2325" t="str">
        <f>AGO!E22</f>
        <v xml:space="preserve">attiva trim.  </v>
      </c>
      <c r="H341" s="2326"/>
      <c r="I341" s="2327"/>
      <c r="J341" s="479" t="str">
        <f t="shared" si="267"/>
        <v/>
      </c>
      <c r="K341" s="480"/>
      <c r="L341" s="2319">
        <f t="shared" si="283"/>
        <v>33</v>
      </c>
      <c r="M341" s="2320"/>
      <c r="N341" s="478"/>
      <c r="O341" s="478"/>
      <c r="P341" s="478"/>
      <c r="Q341" s="2315">
        <f t="shared" si="272"/>
        <v>45519</v>
      </c>
      <c r="R341" s="2315"/>
      <c r="S341" s="478"/>
      <c r="T341" s="140">
        <f t="shared" si="273"/>
        <v>1</v>
      </c>
      <c r="U341" s="478"/>
      <c r="V341" s="478"/>
      <c r="W341" s="478"/>
      <c r="X341" s="478"/>
      <c r="Y341" s="478"/>
      <c r="Z341" s="478"/>
      <c r="AA341" s="478"/>
      <c r="AB341" s="478"/>
      <c r="AC341" s="478"/>
      <c r="AD341" s="478"/>
      <c r="AE341" s="478"/>
      <c r="AF341" s="478"/>
      <c r="AG341" s="140">
        <f t="shared" si="274"/>
        <v>0</v>
      </c>
      <c r="AH341" s="92" t="str">
        <f t="shared" si="275"/>
        <v/>
      </c>
      <c r="AI341" s="131">
        <f t="shared" si="276"/>
        <v>0</v>
      </c>
      <c r="AJ341" s="2"/>
      <c r="AK341" s="92">
        <f>IF(G341=G$481,0,IF(OR(G341&lt;&gt;0,CJ341&lt;&gt;0,C341="L"),COUNTIF(AK$114:AK340,"&gt;0")+1,0))</f>
        <v>0</v>
      </c>
      <c r="AL341" s="92" t="str">
        <f t="shared" si="277"/>
        <v/>
      </c>
      <c r="AM341" s="92" t="str">
        <f t="shared" si="278"/>
        <v/>
      </c>
      <c r="AN341" s="131">
        <f t="shared" si="268"/>
        <v>0</v>
      </c>
      <c r="AO341" s="447">
        <f>SUM(AGO!W22:Z22)</f>
        <v>0</v>
      </c>
      <c r="AP341" s="445">
        <f>SUMIF(AGO!$G$155:$J$155,AP$112,AGO!$R22:$U22)</f>
        <v>0</v>
      </c>
      <c r="AQ341" s="446">
        <f>SUMIF(AGO!$G$155:$J$155,AQ$112,AGO!$R22:$U22)</f>
        <v>0</v>
      </c>
      <c r="AR341" s="447">
        <f>SUMIF(AGO!$G$155:$J$155,AR$112,AGO!$R22:$U22)</f>
        <v>0</v>
      </c>
      <c r="AS341" s="448">
        <f>SUMIF(AGO!$G$155:$J$155,AS$112,AGO!$R22:$U22)</f>
        <v>0</v>
      </c>
      <c r="AT341" s="449">
        <f>AGO!AG22</f>
        <v>0</v>
      </c>
      <c r="AU341" s="445">
        <f>AGO!AH22</f>
        <v>0</v>
      </c>
      <c r="AV341" s="446">
        <f>AGO!AI22</f>
        <v>0</v>
      </c>
      <c r="AW341" s="447">
        <f>AGO!AJ22</f>
        <v>0</v>
      </c>
      <c r="AX341" s="448">
        <f>AGO!AK22</f>
        <v>0</v>
      </c>
      <c r="AY341" s="445">
        <f>SUMIF(AGO!$G$152:$J$152,"&gt;0",AGO!$W22:$Z22)</f>
        <v>0</v>
      </c>
      <c r="AZ341" s="1063">
        <f>SUM(AGO!AB22:AE22)</f>
        <v>0</v>
      </c>
      <c r="BA341" s="445">
        <f>SUMIF(AGO!$G$159:$J$159,BA$111,AGO!$R22:$U22)+SUMIF(AGO!$G$159:$J$159,BA$111,AGO!$W22:$Z22)</f>
        <v>0</v>
      </c>
      <c r="BB341" s="446">
        <f>SUMIF(AGO!$G$159:$J$159,BB$111,AGO!$R22:$U22)+SUMIF(AGO!$G$159:$J$159,BB$111,AGO!$W22:$Z22)</f>
        <v>0</v>
      </c>
      <c r="BC341" s="446">
        <f>SUMIF(AGO!$G$159:$J$159,BC$111,AGO!$R22:$U22)+SUMIF(AGO!$G$159:$J$159,BC$111,AGO!$W22:$Z22)</f>
        <v>0</v>
      </c>
      <c r="BD341" s="446">
        <f>SUMIF(AGO!$G$159:$J$159,BD$111,AGO!$R22:$U22)+SUMIF(AGO!$G$159:$J$159,BD$111,AGO!$W22:$Z22)</f>
        <v>0</v>
      </c>
      <c r="BE341" s="446">
        <f>SUMIF(AGO!$G$159:$J$159,BE$111,AGO!$R22:$U22)+SUMIF(AGO!$G$159:$J$159,BE$111,AGO!$W22:$Z22)</f>
        <v>0</v>
      </c>
      <c r="BF341" s="446">
        <f>SUMIF(AGO!$G$159:$J$159,BF$111,AGO!$R22:$U22)+SUMIF(AGO!$G$159:$J$159,BF$111,AGO!$W22:$Z22)</f>
        <v>0</v>
      </c>
      <c r="BG341" s="448">
        <f>SUMIF(AGO!$G$159:$J$159,BG$111,AGO!$R22:$U22)+SUMIF(AGO!$G$159:$J$159,BG$111,AGO!$W22:$Z22)</f>
        <v>0</v>
      </c>
      <c r="BH341" s="571"/>
      <c r="BI341" s="448"/>
      <c r="BJ341" s="470"/>
      <c r="BK341" s="445">
        <f>SUMIF(AGO!$G$157:$J$157,BK$111,AGO!$R22:$U22)+SUMIF(AGO!$G$157:$J$157,BK$111,AGO!$W22:$Z22)</f>
        <v>0</v>
      </c>
      <c r="BL341" s="446">
        <f>SUMIF(AGO!$G$157:$J$157,BL$111,AGO!$R22:$U22)+SUMIF(AGO!$G$157:$J$157,BL$111,AGO!$W22:$Z22)</f>
        <v>0</v>
      </c>
      <c r="BM341" s="446">
        <f>SUMIF(AGO!$G$157:$J$157,BM$111,AGO!$R22:$U22)+SUMIF(AGO!$G$157:$J$157,BM$111,AGO!$W22:$Z22)</f>
        <v>0</v>
      </c>
      <c r="BN341" s="446">
        <f>SUMIF(AGO!$G$157:$J$157,BN$111,AGO!$R22:$U22)+SUMIF(AGO!$G$157:$J$157,BN$111,AGO!$W22:$Z22)</f>
        <v>0</v>
      </c>
      <c r="BO341" s="446">
        <f>SUMIF(AGO!$G$157:$J$157,BO$111,AGO!$R22:$U22)+SUMIF(AGO!$G$157:$J$157,BO$111,AGO!$W22:$Z22)</f>
        <v>0</v>
      </c>
      <c r="BP341" s="446">
        <f>SUMIF(AGO!$G$157:$J$157,BP$111,AGO!$R22:$U22)+SUMIF(AGO!$G$157:$J$157,BP$111,AGO!$W22:$Z22)</f>
        <v>0</v>
      </c>
      <c r="BQ341" s="448">
        <f>SUMIF(AGO!$G$157:$J$157,BQ$111,AGO!$R22:$U22)+SUMIF(AGO!$G$157:$J$157,BQ$111,AGO!$W22:$Z22)</f>
        <v>0</v>
      </c>
      <c r="BR341" s="571"/>
      <c r="BS341" s="446"/>
      <c r="BT341" s="448"/>
      <c r="BU341" s="470"/>
      <c r="BV341" s="445">
        <f>SUMIF(AGO!$G$158:$J$158,BV$111,AGO!$R22:$U22)+SUMIF(AGO!$G$158:$J$158,BV$111,AGO!$W22:$Z22)</f>
        <v>0</v>
      </c>
      <c r="BW341" s="446">
        <f>SUMIF(AGO!$G$158:$J$158,BW$111,AGO!$R22:$U22)+SUMIF(AGO!$G$158:$J$158,BW$111,AGO!$W22:$Z22)</f>
        <v>0</v>
      </c>
      <c r="BX341" s="446">
        <f>SUMIF(AGO!$G$158:$J$158,BX$111,AGO!$R22:$U22)+SUMIF(AGO!$G$158:$J$158,BX$111,AGO!$W22:$Z22)</f>
        <v>0</v>
      </c>
      <c r="BY341" s="446">
        <f>SUMIF(AGO!$G$158:$J$158,BY$111,AGO!$R22:$U22)+SUMIF(AGO!$G$158:$J$158,BY$111,AGO!$W22:$Z22)</f>
        <v>0</v>
      </c>
      <c r="BZ341" s="446">
        <f>SUMIF(AGO!$G$158:$J$158,BZ$111,AGO!$R22:$U22)+SUMIF(AGO!$G$158:$J$158,BZ$111,AGO!$W22:$Z22)</f>
        <v>0</v>
      </c>
      <c r="CA341" s="446">
        <f>SUMIF(AGO!$G$158:$J$158,CA$111,AGO!$R22:$U22)+SUMIF(AGO!$G$158:$J$158,CA$111,AGO!$W22:$Z22)</f>
        <v>0</v>
      </c>
      <c r="CB341" s="448">
        <f>SUMIF(AGO!$G$158:$J$158,CB$111,AGO!$R22:$U22)+SUMIF(AGO!$G$158:$J$158,CB$111,AGO!$W22:$Z22)</f>
        <v>0</v>
      </c>
      <c r="CC341" s="571"/>
      <c r="CD341" s="448"/>
      <c r="CE341" s="92">
        <f t="shared" si="279"/>
        <v>0</v>
      </c>
      <c r="CF341" s="92">
        <f t="shared" si="280"/>
        <v>0</v>
      </c>
      <c r="CG341" s="151" t="str">
        <f t="shared" si="266"/>
        <v/>
      </c>
      <c r="CH341" s="92">
        <f t="shared" si="269"/>
        <v>0</v>
      </c>
      <c r="CI341" s="92" t="str">
        <f t="shared" si="281"/>
        <v/>
      </c>
      <c r="CJ341" s="1100">
        <f>AGO!AM22</f>
        <v>0</v>
      </c>
      <c r="CK341" s="445">
        <f>SUMIF(AGO!$G$155:$J$155,CK$112,AGO!$AN22:$AQ22)</f>
        <v>0</v>
      </c>
      <c r="CL341" s="446">
        <f>SUMIF(AGO!$G$155:$J$155,CL$112,AGO!$AN22:$AQ22)</f>
        <v>0</v>
      </c>
      <c r="CM341" s="447">
        <f>SUMIF(AGO!$G$155:$J$155,CM$112,AGO!$AN22:$AQ22)</f>
        <v>0</v>
      </c>
      <c r="CN341" s="448">
        <f>SUMIF(AGO!$G$155:$J$155,CN$112,AGO!$AN22:$AQ22)</f>
        <v>0</v>
      </c>
      <c r="CO341" s="1100">
        <f>AGO!AS22</f>
        <v>0</v>
      </c>
      <c r="CP341" s="445">
        <f>AGO!AT22</f>
        <v>0</v>
      </c>
      <c r="CQ341" s="446">
        <f>AGO!AU22</f>
        <v>0</v>
      </c>
      <c r="CR341" s="447">
        <f>AGO!AV22</f>
        <v>0</v>
      </c>
      <c r="CS341" s="448">
        <f>AGO!AW22</f>
        <v>0</v>
      </c>
      <c r="CT341" s="1100">
        <f>AGO!AY22</f>
        <v>0</v>
      </c>
      <c r="CU341" s="2"/>
    </row>
    <row r="342" spans="1:99" ht="14.25" hidden="1" customHeight="1" x14ac:dyDescent="0.2">
      <c r="A342" s="2"/>
      <c r="B342" s="151">
        <f t="shared" si="270"/>
        <v>45520</v>
      </c>
      <c r="C342" s="223">
        <f>IF(AND(E342&gt;(N$492-1),E342&lt;(R$492+1)),W$485,IF(ISERROR(HLOOKUP(E342,$N$485:$U$485,1,FALSE)),HLOOKUP(WEEKDAY(E342,2),IMPOSTAZIONI!$C$51:$P$56,6,FALSE),$W$484))</f>
        <v>0</v>
      </c>
      <c r="D342" s="103" t="str">
        <f t="shared" si="271"/>
        <v/>
      </c>
      <c r="E342" s="2380">
        <f t="shared" si="282"/>
        <v>45520</v>
      </c>
      <c r="F342" s="2381"/>
      <c r="G342" s="2325" t="str">
        <f>AGO!E23</f>
        <v xml:space="preserve">attiva trim.  </v>
      </c>
      <c r="H342" s="2326"/>
      <c r="I342" s="2327"/>
      <c r="J342" s="479" t="str">
        <f t="shared" si="267"/>
        <v/>
      </c>
      <c r="K342" s="480"/>
      <c r="L342" s="2319">
        <f t="shared" si="283"/>
        <v>33</v>
      </c>
      <c r="M342" s="2320"/>
      <c r="N342" s="478"/>
      <c r="O342" s="478"/>
      <c r="P342" s="478"/>
      <c r="Q342" s="2315">
        <f t="shared" si="272"/>
        <v>45520</v>
      </c>
      <c r="R342" s="2315"/>
      <c r="S342" s="478"/>
      <c r="T342" s="140">
        <f t="shared" si="273"/>
        <v>1</v>
      </c>
      <c r="U342" s="478"/>
      <c r="V342" s="478"/>
      <c r="W342" s="478"/>
      <c r="X342" s="478"/>
      <c r="Y342" s="478"/>
      <c r="Z342" s="478"/>
      <c r="AA342" s="478"/>
      <c r="AB342" s="478"/>
      <c r="AC342" s="478"/>
      <c r="AD342" s="478"/>
      <c r="AE342" s="478"/>
      <c r="AF342" s="478"/>
      <c r="AG342" s="140">
        <f t="shared" si="274"/>
        <v>0</v>
      </c>
      <c r="AH342" s="92" t="str">
        <f t="shared" si="275"/>
        <v/>
      </c>
      <c r="AI342" s="131">
        <f t="shared" si="276"/>
        <v>0</v>
      </c>
      <c r="AJ342" s="2"/>
      <c r="AK342" s="92">
        <f>IF(G342=G$481,0,IF(OR(G342&lt;&gt;0,CJ342&lt;&gt;0,C342="L"),COUNTIF(AK$114:AK341,"&gt;0")+1,0))</f>
        <v>0</v>
      </c>
      <c r="AL342" s="92" t="str">
        <f t="shared" si="277"/>
        <v/>
      </c>
      <c r="AM342" s="92" t="str">
        <f t="shared" si="278"/>
        <v/>
      </c>
      <c r="AN342" s="131">
        <f t="shared" si="268"/>
        <v>0</v>
      </c>
      <c r="AO342" s="447">
        <f>SUM(AGO!W23:Z23)</f>
        <v>0</v>
      </c>
      <c r="AP342" s="445">
        <f>SUMIF(AGO!$G$155:$J$155,AP$112,AGO!$R23:$U23)</f>
        <v>0</v>
      </c>
      <c r="AQ342" s="446">
        <f>SUMIF(AGO!$G$155:$J$155,AQ$112,AGO!$R23:$U23)</f>
        <v>0</v>
      </c>
      <c r="AR342" s="447">
        <f>SUMIF(AGO!$G$155:$J$155,AR$112,AGO!$R23:$U23)</f>
        <v>0</v>
      </c>
      <c r="AS342" s="448">
        <f>SUMIF(AGO!$G$155:$J$155,AS$112,AGO!$R23:$U23)</f>
        <v>0</v>
      </c>
      <c r="AT342" s="449">
        <f>AGO!AG23</f>
        <v>0</v>
      </c>
      <c r="AU342" s="445">
        <f>AGO!AH23</f>
        <v>0</v>
      </c>
      <c r="AV342" s="446">
        <f>AGO!AI23</f>
        <v>0</v>
      </c>
      <c r="AW342" s="447">
        <f>AGO!AJ23</f>
        <v>0</v>
      </c>
      <c r="AX342" s="448">
        <f>AGO!AK23</f>
        <v>0</v>
      </c>
      <c r="AY342" s="445">
        <f>SUMIF(AGO!$G$152:$J$152,"&gt;0",AGO!$W23:$Z23)</f>
        <v>0</v>
      </c>
      <c r="AZ342" s="1063">
        <f>SUM(AGO!AB23:AE23)</f>
        <v>0</v>
      </c>
      <c r="BA342" s="445">
        <f>SUMIF(AGO!$G$159:$J$159,BA$111,AGO!$R23:$U23)+SUMIF(AGO!$G$159:$J$159,BA$111,AGO!$W23:$Z23)</f>
        <v>0</v>
      </c>
      <c r="BB342" s="446">
        <f>SUMIF(AGO!$G$159:$J$159,BB$111,AGO!$R23:$U23)+SUMIF(AGO!$G$159:$J$159,BB$111,AGO!$W23:$Z23)</f>
        <v>0</v>
      </c>
      <c r="BC342" s="446">
        <f>SUMIF(AGO!$G$159:$J$159,BC$111,AGO!$R23:$U23)+SUMIF(AGO!$G$159:$J$159,BC$111,AGO!$W23:$Z23)</f>
        <v>0</v>
      </c>
      <c r="BD342" s="446">
        <f>SUMIF(AGO!$G$159:$J$159,BD$111,AGO!$R23:$U23)+SUMIF(AGO!$G$159:$J$159,BD$111,AGO!$W23:$Z23)</f>
        <v>0</v>
      </c>
      <c r="BE342" s="446">
        <f>SUMIF(AGO!$G$159:$J$159,BE$111,AGO!$R23:$U23)+SUMIF(AGO!$G$159:$J$159,BE$111,AGO!$W23:$Z23)</f>
        <v>0</v>
      </c>
      <c r="BF342" s="446">
        <f>SUMIF(AGO!$G$159:$J$159,BF$111,AGO!$R23:$U23)+SUMIF(AGO!$G$159:$J$159,BF$111,AGO!$W23:$Z23)</f>
        <v>0</v>
      </c>
      <c r="BG342" s="448">
        <f>SUMIF(AGO!$G$159:$J$159,BG$111,AGO!$R23:$U23)+SUMIF(AGO!$G$159:$J$159,BG$111,AGO!$W23:$Z23)</f>
        <v>0</v>
      </c>
      <c r="BH342" s="571"/>
      <c r="BI342" s="448"/>
      <c r="BJ342" s="470"/>
      <c r="BK342" s="445">
        <f>SUMIF(AGO!$G$157:$J$157,BK$111,AGO!$R23:$U23)+SUMIF(AGO!$G$157:$J$157,BK$111,AGO!$W23:$Z23)</f>
        <v>0</v>
      </c>
      <c r="BL342" s="446">
        <f>SUMIF(AGO!$G$157:$J$157,BL$111,AGO!$R23:$U23)+SUMIF(AGO!$G$157:$J$157,BL$111,AGO!$W23:$Z23)</f>
        <v>0</v>
      </c>
      <c r="BM342" s="446">
        <f>SUMIF(AGO!$G$157:$J$157,BM$111,AGO!$R23:$U23)+SUMIF(AGO!$G$157:$J$157,BM$111,AGO!$W23:$Z23)</f>
        <v>0</v>
      </c>
      <c r="BN342" s="446">
        <f>SUMIF(AGO!$G$157:$J$157,BN$111,AGO!$R23:$U23)+SUMIF(AGO!$G$157:$J$157,BN$111,AGO!$W23:$Z23)</f>
        <v>0</v>
      </c>
      <c r="BO342" s="446">
        <f>SUMIF(AGO!$G$157:$J$157,BO$111,AGO!$R23:$U23)+SUMIF(AGO!$G$157:$J$157,BO$111,AGO!$W23:$Z23)</f>
        <v>0</v>
      </c>
      <c r="BP342" s="446">
        <f>SUMIF(AGO!$G$157:$J$157,BP$111,AGO!$R23:$U23)+SUMIF(AGO!$G$157:$J$157,BP$111,AGO!$W23:$Z23)</f>
        <v>0</v>
      </c>
      <c r="BQ342" s="448">
        <f>SUMIF(AGO!$G$157:$J$157,BQ$111,AGO!$R23:$U23)+SUMIF(AGO!$G$157:$J$157,BQ$111,AGO!$W23:$Z23)</f>
        <v>0</v>
      </c>
      <c r="BR342" s="571"/>
      <c r="BS342" s="446"/>
      <c r="BT342" s="448"/>
      <c r="BU342" s="470"/>
      <c r="BV342" s="445">
        <f>SUMIF(AGO!$G$158:$J$158,BV$111,AGO!$R23:$U23)+SUMIF(AGO!$G$158:$J$158,BV$111,AGO!$W23:$Z23)</f>
        <v>0</v>
      </c>
      <c r="BW342" s="446">
        <f>SUMIF(AGO!$G$158:$J$158,BW$111,AGO!$R23:$U23)+SUMIF(AGO!$G$158:$J$158,BW$111,AGO!$W23:$Z23)</f>
        <v>0</v>
      </c>
      <c r="BX342" s="446">
        <f>SUMIF(AGO!$G$158:$J$158,BX$111,AGO!$R23:$U23)+SUMIF(AGO!$G$158:$J$158,BX$111,AGO!$W23:$Z23)</f>
        <v>0</v>
      </c>
      <c r="BY342" s="446">
        <f>SUMIF(AGO!$G$158:$J$158,BY$111,AGO!$R23:$U23)+SUMIF(AGO!$G$158:$J$158,BY$111,AGO!$W23:$Z23)</f>
        <v>0</v>
      </c>
      <c r="BZ342" s="446">
        <f>SUMIF(AGO!$G$158:$J$158,BZ$111,AGO!$R23:$U23)+SUMIF(AGO!$G$158:$J$158,BZ$111,AGO!$W23:$Z23)</f>
        <v>0</v>
      </c>
      <c r="CA342" s="446">
        <f>SUMIF(AGO!$G$158:$J$158,CA$111,AGO!$R23:$U23)+SUMIF(AGO!$G$158:$J$158,CA$111,AGO!$W23:$Z23)</f>
        <v>0</v>
      </c>
      <c r="CB342" s="448">
        <f>SUMIF(AGO!$G$158:$J$158,CB$111,AGO!$R23:$U23)+SUMIF(AGO!$G$158:$J$158,CB$111,AGO!$W23:$Z23)</f>
        <v>0</v>
      </c>
      <c r="CC342" s="571"/>
      <c r="CD342" s="448"/>
      <c r="CE342" s="92">
        <f t="shared" si="279"/>
        <v>0</v>
      </c>
      <c r="CF342" s="92">
        <f t="shared" si="280"/>
        <v>0</v>
      </c>
      <c r="CG342" s="151" t="str">
        <f t="shared" si="266"/>
        <v/>
      </c>
      <c r="CH342" s="92">
        <f t="shared" si="269"/>
        <v>0</v>
      </c>
      <c r="CI342" s="92" t="str">
        <f t="shared" si="281"/>
        <v/>
      </c>
      <c r="CJ342" s="1100">
        <f>AGO!AM23</f>
        <v>0</v>
      </c>
      <c r="CK342" s="445">
        <f>SUMIF(AGO!$G$155:$J$155,CK$112,AGO!$AN23:$AQ23)</f>
        <v>0</v>
      </c>
      <c r="CL342" s="446">
        <f>SUMIF(AGO!$G$155:$J$155,CL$112,AGO!$AN23:$AQ23)</f>
        <v>0</v>
      </c>
      <c r="CM342" s="447">
        <f>SUMIF(AGO!$G$155:$J$155,CM$112,AGO!$AN23:$AQ23)</f>
        <v>0</v>
      </c>
      <c r="CN342" s="448">
        <f>SUMIF(AGO!$G$155:$J$155,CN$112,AGO!$AN23:$AQ23)</f>
        <v>0</v>
      </c>
      <c r="CO342" s="1100">
        <f>AGO!AS23</f>
        <v>0</v>
      </c>
      <c r="CP342" s="445">
        <f>AGO!AT23</f>
        <v>0</v>
      </c>
      <c r="CQ342" s="446">
        <f>AGO!AU23</f>
        <v>0</v>
      </c>
      <c r="CR342" s="447">
        <f>AGO!AV23</f>
        <v>0</v>
      </c>
      <c r="CS342" s="448">
        <f>AGO!AW23</f>
        <v>0</v>
      </c>
      <c r="CT342" s="1100">
        <f>AGO!AY23</f>
        <v>0</v>
      </c>
      <c r="CU342" s="2"/>
    </row>
    <row r="343" spans="1:99" ht="14.25" hidden="1" customHeight="1" x14ac:dyDescent="0.2">
      <c r="A343" s="2"/>
      <c r="B343" s="151">
        <f t="shared" si="270"/>
        <v>45521</v>
      </c>
      <c r="C343" s="223">
        <f>IF(AND(E343&gt;(N$492-1),E343&lt;(R$492+1)),W$485,IF(ISERROR(HLOOKUP(E343,$N$485:$U$485,1,FALSE)),HLOOKUP(WEEKDAY(E343,2),IMPOSTAZIONI!$C$51:$P$56,6,FALSE),$W$484))</f>
        <v>0</v>
      </c>
      <c r="D343" s="103" t="str">
        <f t="shared" si="271"/>
        <v/>
      </c>
      <c r="E343" s="2380">
        <f t="shared" si="282"/>
        <v>45521</v>
      </c>
      <c r="F343" s="2381"/>
      <c r="G343" s="2325" t="str">
        <f>AGO!E24</f>
        <v xml:space="preserve">attiva trim.  </v>
      </c>
      <c r="H343" s="2326"/>
      <c r="I343" s="2327"/>
      <c r="J343" s="479" t="str">
        <f t="shared" si="267"/>
        <v/>
      </c>
      <c r="K343" s="480"/>
      <c r="L343" s="2319">
        <f t="shared" si="283"/>
        <v>33</v>
      </c>
      <c r="M343" s="2320"/>
      <c r="N343" s="478"/>
      <c r="O343" s="478"/>
      <c r="P343" s="478"/>
      <c r="Q343" s="2315">
        <f t="shared" si="272"/>
        <v>45521</v>
      </c>
      <c r="R343" s="2315"/>
      <c r="S343" s="478"/>
      <c r="T343" s="140">
        <f t="shared" si="273"/>
        <v>1</v>
      </c>
      <c r="U343" s="478"/>
      <c r="V343" s="478"/>
      <c r="W343" s="478"/>
      <c r="X343" s="478"/>
      <c r="Y343" s="478"/>
      <c r="Z343" s="478"/>
      <c r="AA343" s="478"/>
      <c r="AB343" s="478"/>
      <c r="AC343" s="478"/>
      <c r="AD343" s="478"/>
      <c r="AE343" s="478"/>
      <c r="AF343" s="478"/>
      <c r="AG343" s="140">
        <f t="shared" si="274"/>
        <v>0</v>
      </c>
      <c r="AH343" s="92" t="str">
        <f t="shared" si="275"/>
        <v/>
      </c>
      <c r="AI343" s="131">
        <f t="shared" si="276"/>
        <v>0</v>
      </c>
      <c r="AJ343" s="2"/>
      <c r="AK343" s="92">
        <f>IF(G343=G$481,0,IF(OR(G343&lt;&gt;0,CJ343&lt;&gt;0,C343="L"),COUNTIF(AK$114:AK342,"&gt;0")+1,0))</f>
        <v>0</v>
      </c>
      <c r="AL343" s="92" t="str">
        <f t="shared" si="277"/>
        <v/>
      </c>
      <c r="AM343" s="92" t="str">
        <f t="shared" si="278"/>
        <v/>
      </c>
      <c r="AN343" s="131">
        <f t="shared" si="268"/>
        <v>0</v>
      </c>
      <c r="AO343" s="447">
        <f>SUM(AGO!W24:Z24)</f>
        <v>0</v>
      </c>
      <c r="AP343" s="445">
        <f>SUMIF(AGO!$G$155:$J$155,AP$112,AGO!$R24:$U24)</f>
        <v>0</v>
      </c>
      <c r="AQ343" s="446">
        <f>SUMIF(AGO!$G$155:$J$155,AQ$112,AGO!$R24:$U24)</f>
        <v>0</v>
      </c>
      <c r="AR343" s="447">
        <f>SUMIF(AGO!$G$155:$J$155,AR$112,AGO!$R24:$U24)</f>
        <v>0</v>
      </c>
      <c r="AS343" s="448">
        <f>SUMIF(AGO!$G$155:$J$155,AS$112,AGO!$R24:$U24)</f>
        <v>0</v>
      </c>
      <c r="AT343" s="449">
        <f>AGO!AG24</f>
        <v>0</v>
      </c>
      <c r="AU343" s="445">
        <f>AGO!AH24</f>
        <v>0</v>
      </c>
      <c r="AV343" s="446">
        <f>AGO!AI24</f>
        <v>0</v>
      </c>
      <c r="AW343" s="447">
        <f>AGO!AJ24</f>
        <v>0</v>
      </c>
      <c r="AX343" s="448">
        <f>AGO!AK24</f>
        <v>0</v>
      </c>
      <c r="AY343" s="445">
        <f>SUMIF(AGO!$G$152:$J$152,"&gt;0",AGO!$W24:$Z24)</f>
        <v>0</v>
      </c>
      <c r="AZ343" s="1063">
        <f>SUM(AGO!AB24:AE24)</f>
        <v>0</v>
      </c>
      <c r="BA343" s="445">
        <f>SUMIF(AGO!$G$159:$J$159,BA$111,AGO!$R24:$U24)+SUMIF(AGO!$G$159:$J$159,BA$111,AGO!$W24:$Z24)</f>
        <v>0</v>
      </c>
      <c r="BB343" s="446">
        <f>SUMIF(AGO!$G$159:$J$159,BB$111,AGO!$R24:$U24)+SUMIF(AGO!$G$159:$J$159,BB$111,AGO!$W24:$Z24)</f>
        <v>0</v>
      </c>
      <c r="BC343" s="446">
        <f>SUMIF(AGO!$G$159:$J$159,BC$111,AGO!$R24:$U24)+SUMIF(AGO!$G$159:$J$159,BC$111,AGO!$W24:$Z24)</f>
        <v>0</v>
      </c>
      <c r="BD343" s="446">
        <f>SUMIF(AGO!$G$159:$J$159,BD$111,AGO!$R24:$U24)+SUMIF(AGO!$G$159:$J$159,BD$111,AGO!$W24:$Z24)</f>
        <v>0</v>
      </c>
      <c r="BE343" s="446">
        <f>SUMIF(AGO!$G$159:$J$159,BE$111,AGO!$R24:$U24)+SUMIF(AGO!$G$159:$J$159,BE$111,AGO!$W24:$Z24)</f>
        <v>0</v>
      </c>
      <c r="BF343" s="446">
        <f>SUMIF(AGO!$G$159:$J$159,BF$111,AGO!$R24:$U24)+SUMIF(AGO!$G$159:$J$159,BF$111,AGO!$W24:$Z24)</f>
        <v>0</v>
      </c>
      <c r="BG343" s="448">
        <f>SUMIF(AGO!$G$159:$J$159,BG$111,AGO!$R24:$U24)+SUMIF(AGO!$G$159:$J$159,BG$111,AGO!$W24:$Z24)</f>
        <v>0</v>
      </c>
      <c r="BH343" s="571"/>
      <c r="BI343" s="448"/>
      <c r="BJ343" s="470"/>
      <c r="BK343" s="445">
        <f>SUMIF(AGO!$G$157:$J$157,BK$111,AGO!$R24:$U24)+SUMIF(AGO!$G$157:$J$157,BK$111,AGO!$W24:$Z24)</f>
        <v>0</v>
      </c>
      <c r="BL343" s="446">
        <f>SUMIF(AGO!$G$157:$J$157,BL$111,AGO!$R24:$U24)+SUMIF(AGO!$G$157:$J$157,BL$111,AGO!$W24:$Z24)</f>
        <v>0</v>
      </c>
      <c r="BM343" s="446">
        <f>SUMIF(AGO!$G$157:$J$157,BM$111,AGO!$R24:$U24)+SUMIF(AGO!$G$157:$J$157,BM$111,AGO!$W24:$Z24)</f>
        <v>0</v>
      </c>
      <c r="BN343" s="446">
        <f>SUMIF(AGO!$G$157:$J$157,BN$111,AGO!$R24:$U24)+SUMIF(AGO!$G$157:$J$157,BN$111,AGO!$W24:$Z24)</f>
        <v>0</v>
      </c>
      <c r="BO343" s="446">
        <f>SUMIF(AGO!$G$157:$J$157,BO$111,AGO!$R24:$U24)+SUMIF(AGO!$G$157:$J$157,BO$111,AGO!$W24:$Z24)</f>
        <v>0</v>
      </c>
      <c r="BP343" s="446">
        <f>SUMIF(AGO!$G$157:$J$157,BP$111,AGO!$R24:$U24)+SUMIF(AGO!$G$157:$J$157,BP$111,AGO!$W24:$Z24)</f>
        <v>0</v>
      </c>
      <c r="BQ343" s="448">
        <f>SUMIF(AGO!$G$157:$J$157,BQ$111,AGO!$R24:$U24)+SUMIF(AGO!$G$157:$J$157,BQ$111,AGO!$W24:$Z24)</f>
        <v>0</v>
      </c>
      <c r="BR343" s="571"/>
      <c r="BS343" s="446"/>
      <c r="BT343" s="448"/>
      <c r="BU343" s="470"/>
      <c r="BV343" s="445">
        <f>SUMIF(AGO!$G$158:$J$158,BV$111,AGO!$R24:$U24)+SUMIF(AGO!$G$158:$J$158,BV$111,AGO!$W24:$Z24)</f>
        <v>0</v>
      </c>
      <c r="BW343" s="446">
        <f>SUMIF(AGO!$G$158:$J$158,BW$111,AGO!$R24:$U24)+SUMIF(AGO!$G$158:$J$158,BW$111,AGO!$W24:$Z24)</f>
        <v>0</v>
      </c>
      <c r="BX343" s="446">
        <f>SUMIF(AGO!$G$158:$J$158,BX$111,AGO!$R24:$U24)+SUMIF(AGO!$G$158:$J$158,BX$111,AGO!$W24:$Z24)</f>
        <v>0</v>
      </c>
      <c r="BY343" s="446">
        <f>SUMIF(AGO!$G$158:$J$158,BY$111,AGO!$R24:$U24)+SUMIF(AGO!$G$158:$J$158,BY$111,AGO!$W24:$Z24)</f>
        <v>0</v>
      </c>
      <c r="BZ343" s="446">
        <f>SUMIF(AGO!$G$158:$J$158,BZ$111,AGO!$R24:$U24)+SUMIF(AGO!$G$158:$J$158,BZ$111,AGO!$W24:$Z24)</f>
        <v>0</v>
      </c>
      <c r="CA343" s="446">
        <f>SUMIF(AGO!$G$158:$J$158,CA$111,AGO!$R24:$U24)+SUMIF(AGO!$G$158:$J$158,CA$111,AGO!$W24:$Z24)</f>
        <v>0</v>
      </c>
      <c r="CB343" s="448">
        <f>SUMIF(AGO!$G$158:$J$158,CB$111,AGO!$R24:$U24)+SUMIF(AGO!$G$158:$J$158,CB$111,AGO!$W24:$Z24)</f>
        <v>0</v>
      </c>
      <c r="CC343" s="571"/>
      <c r="CD343" s="448"/>
      <c r="CE343" s="92">
        <f t="shared" si="279"/>
        <v>0</v>
      </c>
      <c r="CF343" s="92">
        <f t="shared" si="280"/>
        <v>0</v>
      </c>
      <c r="CG343" s="151" t="str">
        <f t="shared" si="266"/>
        <v/>
      </c>
      <c r="CH343" s="92">
        <f t="shared" si="269"/>
        <v>0</v>
      </c>
      <c r="CI343" s="92" t="str">
        <f t="shared" si="281"/>
        <v/>
      </c>
      <c r="CJ343" s="1100">
        <f>AGO!AM24</f>
        <v>0</v>
      </c>
      <c r="CK343" s="445">
        <f>SUMIF(AGO!$G$155:$J$155,CK$112,AGO!$AN24:$AQ24)</f>
        <v>0</v>
      </c>
      <c r="CL343" s="446">
        <f>SUMIF(AGO!$G$155:$J$155,CL$112,AGO!$AN24:$AQ24)</f>
        <v>0</v>
      </c>
      <c r="CM343" s="447">
        <f>SUMIF(AGO!$G$155:$J$155,CM$112,AGO!$AN24:$AQ24)</f>
        <v>0</v>
      </c>
      <c r="CN343" s="448">
        <f>SUMIF(AGO!$G$155:$J$155,CN$112,AGO!$AN24:$AQ24)</f>
        <v>0</v>
      </c>
      <c r="CO343" s="1100">
        <f>AGO!AS24</f>
        <v>0</v>
      </c>
      <c r="CP343" s="445">
        <f>AGO!AT24</f>
        <v>0</v>
      </c>
      <c r="CQ343" s="446">
        <f>AGO!AU24</f>
        <v>0</v>
      </c>
      <c r="CR343" s="447">
        <f>AGO!AV24</f>
        <v>0</v>
      </c>
      <c r="CS343" s="448">
        <f>AGO!AW24</f>
        <v>0</v>
      </c>
      <c r="CT343" s="1100">
        <f>AGO!AY24</f>
        <v>0</v>
      </c>
      <c r="CU343" s="2"/>
    </row>
    <row r="344" spans="1:99" ht="14.25" hidden="1" customHeight="1" x14ac:dyDescent="0.2">
      <c r="A344" s="2"/>
      <c r="B344" s="151">
        <f t="shared" si="270"/>
        <v>45522</v>
      </c>
      <c r="C344" s="223">
        <f>IF(AND(E344&gt;(N$492-1),E344&lt;(R$492+1)),W$485,IF(ISERROR(HLOOKUP(E344,$N$485:$U$485,1,FALSE)),HLOOKUP(WEEKDAY(E344,2),IMPOSTAZIONI!$C$51:$P$56,6,FALSE),$W$484))</f>
        <v>0</v>
      </c>
      <c r="D344" s="103" t="str">
        <f t="shared" si="271"/>
        <v/>
      </c>
      <c r="E344" s="2380">
        <f t="shared" si="282"/>
        <v>45522</v>
      </c>
      <c r="F344" s="2381"/>
      <c r="G344" s="2325" t="str">
        <f>AGO!E25</f>
        <v xml:space="preserve">attiva trim.  </v>
      </c>
      <c r="H344" s="2326"/>
      <c r="I344" s="2327"/>
      <c r="J344" s="479" t="str">
        <f t="shared" si="267"/>
        <v/>
      </c>
      <c r="K344" s="480"/>
      <c r="L344" s="2321">
        <f t="shared" si="283"/>
        <v>33</v>
      </c>
      <c r="M344" s="2322"/>
      <c r="N344" s="478"/>
      <c r="O344" s="478"/>
      <c r="P344" s="478"/>
      <c r="Q344" s="2315">
        <f t="shared" si="272"/>
        <v>45522</v>
      </c>
      <c r="R344" s="2315"/>
      <c r="S344" s="478"/>
      <c r="T344" s="140">
        <f t="shared" si="273"/>
        <v>1</v>
      </c>
      <c r="U344" s="478"/>
      <c r="V344" s="478"/>
      <c r="W344" s="478"/>
      <c r="X344" s="478"/>
      <c r="Y344" s="478"/>
      <c r="Z344" s="478"/>
      <c r="AA344" s="478"/>
      <c r="AB344" s="478"/>
      <c r="AC344" s="478"/>
      <c r="AD344" s="478"/>
      <c r="AE344" s="478"/>
      <c r="AF344" s="478"/>
      <c r="AG344" s="140">
        <f t="shared" si="274"/>
        <v>0</v>
      </c>
      <c r="AH344" s="92" t="str">
        <f t="shared" si="275"/>
        <v/>
      </c>
      <c r="AI344" s="131">
        <f t="shared" si="276"/>
        <v>0</v>
      </c>
      <c r="AJ344" s="2"/>
      <c r="AK344" s="92">
        <f>IF(G344=G$481,0,IF(OR(G344&lt;&gt;0,CJ344&lt;&gt;0,C344="L"),COUNTIF(AK$114:AK343,"&gt;0")+1,0))</f>
        <v>0</v>
      </c>
      <c r="AL344" s="92" t="str">
        <f t="shared" si="277"/>
        <v/>
      </c>
      <c r="AM344" s="92" t="str">
        <f t="shared" si="278"/>
        <v/>
      </c>
      <c r="AN344" s="131">
        <f t="shared" si="268"/>
        <v>0</v>
      </c>
      <c r="AO344" s="447">
        <f>SUM(AGO!W25:Z25)</f>
        <v>0</v>
      </c>
      <c r="AP344" s="445">
        <f>SUMIF(AGO!$G$155:$J$155,AP$112,AGO!$R25:$U25)</f>
        <v>0</v>
      </c>
      <c r="AQ344" s="446">
        <f>SUMIF(AGO!$G$155:$J$155,AQ$112,AGO!$R25:$U25)</f>
        <v>0</v>
      </c>
      <c r="AR344" s="447">
        <f>SUMIF(AGO!$G$155:$J$155,AR$112,AGO!$R25:$U25)</f>
        <v>0</v>
      </c>
      <c r="AS344" s="448">
        <f>SUMIF(AGO!$G$155:$J$155,AS$112,AGO!$R25:$U25)</f>
        <v>0</v>
      </c>
      <c r="AT344" s="449">
        <f>AGO!AG25</f>
        <v>0</v>
      </c>
      <c r="AU344" s="445">
        <f>AGO!AH25</f>
        <v>0</v>
      </c>
      <c r="AV344" s="446">
        <f>AGO!AI25</f>
        <v>0</v>
      </c>
      <c r="AW344" s="447">
        <f>AGO!AJ25</f>
        <v>0</v>
      </c>
      <c r="AX344" s="448">
        <f>AGO!AK25</f>
        <v>0</v>
      </c>
      <c r="AY344" s="445">
        <f>SUMIF(AGO!$G$152:$J$152,"&gt;0",AGO!$W25:$Z25)</f>
        <v>0</v>
      </c>
      <c r="AZ344" s="1063">
        <f>SUM(AGO!AB25:AE25)</f>
        <v>0</v>
      </c>
      <c r="BA344" s="445">
        <f>SUMIF(AGO!$G$159:$J$159,BA$111,AGO!$R25:$U25)+SUMIF(AGO!$G$159:$J$159,BA$111,AGO!$W25:$Z25)</f>
        <v>0</v>
      </c>
      <c r="BB344" s="446">
        <f>SUMIF(AGO!$G$159:$J$159,BB$111,AGO!$R25:$U25)+SUMIF(AGO!$G$159:$J$159,BB$111,AGO!$W25:$Z25)</f>
        <v>0</v>
      </c>
      <c r="BC344" s="446">
        <f>SUMIF(AGO!$G$159:$J$159,BC$111,AGO!$R25:$U25)+SUMIF(AGO!$G$159:$J$159,BC$111,AGO!$W25:$Z25)</f>
        <v>0</v>
      </c>
      <c r="BD344" s="446">
        <f>SUMIF(AGO!$G$159:$J$159,BD$111,AGO!$R25:$U25)+SUMIF(AGO!$G$159:$J$159,BD$111,AGO!$W25:$Z25)</f>
        <v>0</v>
      </c>
      <c r="BE344" s="446">
        <f>SUMIF(AGO!$G$159:$J$159,BE$111,AGO!$R25:$U25)+SUMIF(AGO!$G$159:$J$159,BE$111,AGO!$W25:$Z25)</f>
        <v>0</v>
      </c>
      <c r="BF344" s="446">
        <f>SUMIF(AGO!$G$159:$J$159,BF$111,AGO!$R25:$U25)+SUMIF(AGO!$G$159:$J$159,BF$111,AGO!$W25:$Z25)</f>
        <v>0</v>
      </c>
      <c r="BG344" s="448">
        <f>SUMIF(AGO!$G$159:$J$159,BG$111,AGO!$R25:$U25)+SUMIF(AGO!$G$159:$J$159,BG$111,AGO!$W25:$Z25)</f>
        <v>0</v>
      </c>
      <c r="BH344" s="571"/>
      <c r="BI344" s="448"/>
      <c r="BJ344" s="470"/>
      <c r="BK344" s="445">
        <f>SUMIF(AGO!$G$157:$J$157,BK$111,AGO!$R25:$U25)+SUMIF(AGO!$G$157:$J$157,BK$111,AGO!$W25:$Z25)</f>
        <v>0</v>
      </c>
      <c r="BL344" s="446">
        <f>SUMIF(AGO!$G$157:$J$157,BL$111,AGO!$R25:$U25)+SUMIF(AGO!$G$157:$J$157,BL$111,AGO!$W25:$Z25)</f>
        <v>0</v>
      </c>
      <c r="BM344" s="446">
        <f>SUMIF(AGO!$G$157:$J$157,BM$111,AGO!$R25:$U25)+SUMIF(AGO!$G$157:$J$157,BM$111,AGO!$W25:$Z25)</f>
        <v>0</v>
      </c>
      <c r="BN344" s="446">
        <f>SUMIF(AGO!$G$157:$J$157,BN$111,AGO!$R25:$U25)+SUMIF(AGO!$G$157:$J$157,BN$111,AGO!$W25:$Z25)</f>
        <v>0</v>
      </c>
      <c r="BO344" s="446">
        <f>SUMIF(AGO!$G$157:$J$157,BO$111,AGO!$R25:$U25)+SUMIF(AGO!$G$157:$J$157,BO$111,AGO!$W25:$Z25)</f>
        <v>0</v>
      </c>
      <c r="BP344" s="446">
        <f>SUMIF(AGO!$G$157:$J$157,BP$111,AGO!$R25:$U25)+SUMIF(AGO!$G$157:$J$157,BP$111,AGO!$W25:$Z25)</f>
        <v>0</v>
      </c>
      <c r="BQ344" s="448">
        <f>SUMIF(AGO!$G$157:$J$157,BQ$111,AGO!$R25:$U25)+SUMIF(AGO!$G$157:$J$157,BQ$111,AGO!$W25:$Z25)</f>
        <v>0</v>
      </c>
      <c r="BR344" s="571"/>
      <c r="BS344" s="446"/>
      <c r="BT344" s="448"/>
      <c r="BU344" s="470"/>
      <c r="BV344" s="445">
        <f>SUMIF(AGO!$G$158:$J$158,BV$111,AGO!$R25:$U25)+SUMIF(AGO!$G$158:$J$158,BV$111,AGO!$W25:$Z25)</f>
        <v>0</v>
      </c>
      <c r="BW344" s="446">
        <f>SUMIF(AGO!$G$158:$J$158,BW$111,AGO!$R25:$U25)+SUMIF(AGO!$G$158:$J$158,BW$111,AGO!$W25:$Z25)</f>
        <v>0</v>
      </c>
      <c r="BX344" s="446">
        <f>SUMIF(AGO!$G$158:$J$158,BX$111,AGO!$R25:$U25)+SUMIF(AGO!$G$158:$J$158,BX$111,AGO!$W25:$Z25)</f>
        <v>0</v>
      </c>
      <c r="BY344" s="446">
        <f>SUMIF(AGO!$G$158:$J$158,BY$111,AGO!$R25:$U25)+SUMIF(AGO!$G$158:$J$158,BY$111,AGO!$W25:$Z25)</f>
        <v>0</v>
      </c>
      <c r="BZ344" s="446">
        <f>SUMIF(AGO!$G$158:$J$158,BZ$111,AGO!$R25:$U25)+SUMIF(AGO!$G$158:$J$158,BZ$111,AGO!$W25:$Z25)</f>
        <v>0</v>
      </c>
      <c r="CA344" s="446">
        <f>SUMIF(AGO!$G$158:$J$158,CA$111,AGO!$R25:$U25)+SUMIF(AGO!$G$158:$J$158,CA$111,AGO!$W25:$Z25)</f>
        <v>0</v>
      </c>
      <c r="CB344" s="448">
        <f>SUMIF(AGO!$G$158:$J$158,CB$111,AGO!$R25:$U25)+SUMIF(AGO!$G$158:$J$158,CB$111,AGO!$W25:$Z25)</f>
        <v>0</v>
      </c>
      <c r="CC344" s="571"/>
      <c r="CD344" s="448"/>
      <c r="CE344" s="92">
        <f t="shared" si="279"/>
        <v>0</v>
      </c>
      <c r="CF344" s="92">
        <f t="shared" si="280"/>
        <v>0</v>
      </c>
      <c r="CG344" s="151" t="str">
        <f t="shared" si="266"/>
        <v/>
      </c>
      <c r="CH344" s="92">
        <f t="shared" si="269"/>
        <v>0</v>
      </c>
      <c r="CI344" s="92" t="str">
        <f t="shared" si="281"/>
        <v/>
      </c>
      <c r="CJ344" s="1100">
        <f>AGO!AM25</f>
        <v>0</v>
      </c>
      <c r="CK344" s="445">
        <f>SUMIF(AGO!$G$155:$J$155,CK$112,AGO!$AN25:$AQ25)</f>
        <v>0</v>
      </c>
      <c r="CL344" s="446">
        <f>SUMIF(AGO!$G$155:$J$155,CL$112,AGO!$AN25:$AQ25)</f>
        <v>0</v>
      </c>
      <c r="CM344" s="447">
        <f>SUMIF(AGO!$G$155:$J$155,CM$112,AGO!$AN25:$AQ25)</f>
        <v>0</v>
      </c>
      <c r="CN344" s="448">
        <f>SUMIF(AGO!$G$155:$J$155,CN$112,AGO!$AN25:$AQ25)</f>
        <v>0</v>
      </c>
      <c r="CO344" s="1100">
        <f>AGO!AS25</f>
        <v>0</v>
      </c>
      <c r="CP344" s="445">
        <f>AGO!AT25</f>
        <v>0</v>
      </c>
      <c r="CQ344" s="446">
        <f>AGO!AU25</f>
        <v>0</v>
      </c>
      <c r="CR344" s="447">
        <f>AGO!AV25</f>
        <v>0</v>
      </c>
      <c r="CS344" s="448">
        <f>AGO!AW25</f>
        <v>0</v>
      </c>
      <c r="CT344" s="1100">
        <f>AGO!AY25</f>
        <v>0</v>
      </c>
      <c r="CU344" s="2"/>
    </row>
    <row r="345" spans="1:99" ht="14.25" hidden="1" customHeight="1" x14ac:dyDescent="0.2">
      <c r="A345" s="2"/>
      <c r="B345" s="151">
        <f t="shared" si="270"/>
        <v>45523</v>
      </c>
      <c r="C345" s="223">
        <f>IF(AND(E345&gt;(N$492-1),E345&lt;(R$492+1)),W$485,IF(ISERROR(HLOOKUP(E345,$N$485:$U$485,1,FALSE)),HLOOKUP(WEEKDAY(E345,2),IMPOSTAZIONI!$C$51:$P$56,6,FALSE),$W$484))</f>
        <v>0</v>
      </c>
      <c r="D345" s="103" t="str">
        <f t="shared" si="271"/>
        <v/>
      </c>
      <c r="E345" s="2380">
        <f t="shared" si="282"/>
        <v>45523</v>
      </c>
      <c r="F345" s="2381"/>
      <c r="G345" s="2325" t="str">
        <f>AGO!E26</f>
        <v xml:space="preserve">attiva trim.  </v>
      </c>
      <c r="H345" s="2326"/>
      <c r="I345" s="2327"/>
      <c r="J345" s="479" t="str">
        <f t="shared" si="267"/>
        <v/>
      </c>
      <c r="K345" s="480"/>
      <c r="L345" s="2323">
        <f t="shared" si="283"/>
        <v>34</v>
      </c>
      <c r="M345" s="2324"/>
      <c r="N345" s="478"/>
      <c r="O345" s="478"/>
      <c r="P345" s="478"/>
      <c r="Q345" s="2315">
        <f t="shared" si="272"/>
        <v>45523</v>
      </c>
      <c r="R345" s="2315"/>
      <c r="S345" s="478"/>
      <c r="T345" s="140">
        <f t="shared" si="273"/>
        <v>1</v>
      </c>
      <c r="U345" s="478"/>
      <c r="V345" s="478"/>
      <c r="W345" s="478"/>
      <c r="X345" s="478"/>
      <c r="Y345" s="478"/>
      <c r="Z345" s="478"/>
      <c r="AA345" s="478"/>
      <c r="AB345" s="478"/>
      <c r="AC345" s="478"/>
      <c r="AD345" s="478"/>
      <c r="AE345" s="478"/>
      <c r="AF345" s="478"/>
      <c r="AG345" s="140">
        <f t="shared" si="274"/>
        <v>0</v>
      </c>
      <c r="AH345" s="92" t="str">
        <f t="shared" si="275"/>
        <v/>
      </c>
      <c r="AI345" s="131">
        <f t="shared" si="276"/>
        <v>0</v>
      </c>
      <c r="AJ345" s="2"/>
      <c r="AK345" s="92">
        <f>IF(G345=G$481,0,IF(OR(G345&lt;&gt;0,CJ345&lt;&gt;0,C345="L"),COUNTIF(AK$114:AK344,"&gt;0")+1,0))</f>
        <v>0</v>
      </c>
      <c r="AL345" s="92" t="str">
        <f t="shared" si="277"/>
        <v/>
      </c>
      <c r="AM345" s="92" t="str">
        <f t="shared" si="278"/>
        <v/>
      </c>
      <c r="AN345" s="131">
        <f t="shared" si="268"/>
        <v>0</v>
      </c>
      <c r="AO345" s="447">
        <f>SUM(AGO!W26:Z26)</f>
        <v>0</v>
      </c>
      <c r="AP345" s="445">
        <f>SUMIF(AGO!$G$155:$J$155,AP$112,AGO!$R26:$U26)</f>
        <v>0</v>
      </c>
      <c r="AQ345" s="446">
        <f>SUMIF(AGO!$G$155:$J$155,AQ$112,AGO!$R26:$U26)</f>
        <v>0</v>
      </c>
      <c r="AR345" s="447">
        <f>SUMIF(AGO!$G$155:$J$155,AR$112,AGO!$R26:$U26)</f>
        <v>0</v>
      </c>
      <c r="AS345" s="448">
        <f>SUMIF(AGO!$G$155:$J$155,AS$112,AGO!$R26:$U26)</f>
        <v>0</v>
      </c>
      <c r="AT345" s="449">
        <f>AGO!AG26</f>
        <v>0</v>
      </c>
      <c r="AU345" s="445">
        <f>AGO!AH26</f>
        <v>0</v>
      </c>
      <c r="AV345" s="446">
        <f>AGO!AI26</f>
        <v>0</v>
      </c>
      <c r="AW345" s="447">
        <f>AGO!AJ26</f>
        <v>0</v>
      </c>
      <c r="AX345" s="448">
        <f>AGO!AK26</f>
        <v>0</v>
      </c>
      <c r="AY345" s="445">
        <f>SUMIF(AGO!$G$152:$J$152,"&gt;0",AGO!$W26:$Z26)</f>
        <v>0</v>
      </c>
      <c r="AZ345" s="1063">
        <f>SUM(AGO!AB26:AE26)</f>
        <v>0</v>
      </c>
      <c r="BA345" s="445">
        <f>SUMIF(AGO!$G$159:$J$159,BA$111,AGO!$R26:$U26)+SUMIF(AGO!$G$159:$J$159,BA$111,AGO!$W26:$Z26)</f>
        <v>0</v>
      </c>
      <c r="BB345" s="446">
        <f>SUMIF(AGO!$G$159:$J$159,BB$111,AGO!$R26:$U26)+SUMIF(AGO!$G$159:$J$159,BB$111,AGO!$W26:$Z26)</f>
        <v>0</v>
      </c>
      <c r="BC345" s="446">
        <f>SUMIF(AGO!$G$159:$J$159,BC$111,AGO!$R26:$U26)+SUMIF(AGO!$G$159:$J$159,BC$111,AGO!$W26:$Z26)</f>
        <v>0</v>
      </c>
      <c r="BD345" s="446">
        <f>SUMIF(AGO!$G$159:$J$159,BD$111,AGO!$R26:$U26)+SUMIF(AGO!$G$159:$J$159,BD$111,AGO!$W26:$Z26)</f>
        <v>0</v>
      </c>
      <c r="BE345" s="446">
        <f>SUMIF(AGO!$G$159:$J$159,BE$111,AGO!$R26:$U26)+SUMIF(AGO!$G$159:$J$159,BE$111,AGO!$W26:$Z26)</f>
        <v>0</v>
      </c>
      <c r="BF345" s="446">
        <f>SUMIF(AGO!$G$159:$J$159,BF$111,AGO!$R26:$U26)+SUMIF(AGO!$G$159:$J$159,BF$111,AGO!$W26:$Z26)</f>
        <v>0</v>
      </c>
      <c r="BG345" s="448">
        <f>SUMIF(AGO!$G$159:$J$159,BG$111,AGO!$R26:$U26)+SUMIF(AGO!$G$159:$J$159,BG$111,AGO!$W26:$Z26)</f>
        <v>0</v>
      </c>
      <c r="BH345" s="571"/>
      <c r="BI345" s="448"/>
      <c r="BJ345" s="470"/>
      <c r="BK345" s="445">
        <f>SUMIF(AGO!$G$157:$J$157,BK$111,AGO!$R26:$U26)+SUMIF(AGO!$G$157:$J$157,BK$111,AGO!$W26:$Z26)</f>
        <v>0</v>
      </c>
      <c r="BL345" s="446">
        <f>SUMIF(AGO!$G$157:$J$157,BL$111,AGO!$R26:$U26)+SUMIF(AGO!$G$157:$J$157,BL$111,AGO!$W26:$Z26)</f>
        <v>0</v>
      </c>
      <c r="BM345" s="446">
        <f>SUMIF(AGO!$G$157:$J$157,BM$111,AGO!$R26:$U26)+SUMIF(AGO!$G$157:$J$157,BM$111,AGO!$W26:$Z26)</f>
        <v>0</v>
      </c>
      <c r="BN345" s="446">
        <f>SUMIF(AGO!$G$157:$J$157,BN$111,AGO!$R26:$U26)+SUMIF(AGO!$G$157:$J$157,BN$111,AGO!$W26:$Z26)</f>
        <v>0</v>
      </c>
      <c r="BO345" s="446">
        <f>SUMIF(AGO!$G$157:$J$157,BO$111,AGO!$R26:$U26)+SUMIF(AGO!$G$157:$J$157,BO$111,AGO!$W26:$Z26)</f>
        <v>0</v>
      </c>
      <c r="BP345" s="446">
        <f>SUMIF(AGO!$G$157:$J$157,BP$111,AGO!$R26:$U26)+SUMIF(AGO!$G$157:$J$157,BP$111,AGO!$W26:$Z26)</f>
        <v>0</v>
      </c>
      <c r="BQ345" s="448">
        <f>SUMIF(AGO!$G$157:$J$157,BQ$111,AGO!$R26:$U26)+SUMIF(AGO!$G$157:$J$157,BQ$111,AGO!$W26:$Z26)</f>
        <v>0</v>
      </c>
      <c r="BR345" s="571"/>
      <c r="BS345" s="446"/>
      <c r="BT345" s="448"/>
      <c r="BU345" s="470"/>
      <c r="BV345" s="445">
        <f>SUMIF(AGO!$G$158:$J$158,BV$111,AGO!$R26:$U26)+SUMIF(AGO!$G$158:$J$158,BV$111,AGO!$W26:$Z26)</f>
        <v>0</v>
      </c>
      <c r="BW345" s="446">
        <f>SUMIF(AGO!$G$158:$J$158,BW$111,AGO!$R26:$U26)+SUMIF(AGO!$G$158:$J$158,BW$111,AGO!$W26:$Z26)</f>
        <v>0</v>
      </c>
      <c r="BX345" s="446">
        <f>SUMIF(AGO!$G$158:$J$158,BX$111,AGO!$R26:$U26)+SUMIF(AGO!$G$158:$J$158,BX$111,AGO!$W26:$Z26)</f>
        <v>0</v>
      </c>
      <c r="BY345" s="446">
        <f>SUMIF(AGO!$G$158:$J$158,BY$111,AGO!$R26:$U26)+SUMIF(AGO!$G$158:$J$158,BY$111,AGO!$W26:$Z26)</f>
        <v>0</v>
      </c>
      <c r="BZ345" s="446">
        <f>SUMIF(AGO!$G$158:$J$158,BZ$111,AGO!$R26:$U26)+SUMIF(AGO!$G$158:$J$158,BZ$111,AGO!$W26:$Z26)</f>
        <v>0</v>
      </c>
      <c r="CA345" s="446">
        <f>SUMIF(AGO!$G$158:$J$158,CA$111,AGO!$R26:$U26)+SUMIF(AGO!$G$158:$J$158,CA$111,AGO!$W26:$Z26)</f>
        <v>0</v>
      </c>
      <c r="CB345" s="448">
        <f>SUMIF(AGO!$G$158:$J$158,CB$111,AGO!$R26:$U26)+SUMIF(AGO!$G$158:$J$158,CB$111,AGO!$W26:$Z26)</f>
        <v>0</v>
      </c>
      <c r="CC345" s="571"/>
      <c r="CD345" s="448"/>
      <c r="CE345" s="92">
        <f t="shared" si="279"/>
        <v>0</v>
      </c>
      <c r="CF345" s="92">
        <f t="shared" si="280"/>
        <v>0</v>
      </c>
      <c r="CG345" s="151" t="str">
        <f t="shared" si="266"/>
        <v/>
      </c>
      <c r="CH345" s="92">
        <f t="shared" si="269"/>
        <v>0</v>
      </c>
      <c r="CI345" s="92" t="str">
        <f t="shared" si="281"/>
        <v/>
      </c>
      <c r="CJ345" s="1100">
        <f>AGO!AM26</f>
        <v>0</v>
      </c>
      <c r="CK345" s="445">
        <f>SUMIF(AGO!$G$155:$J$155,CK$112,AGO!$AN26:$AQ26)</f>
        <v>0</v>
      </c>
      <c r="CL345" s="446">
        <f>SUMIF(AGO!$G$155:$J$155,CL$112,AGO!$AN26:$AQ26)</f>
        <v>0</v>
      </c>
      <c r="CM345" s="447">
        <f>SUMIF(AGO!$G$155:$J$155,CM$112,AGO!$AN26:$AQ26)</f>
        <v>0</v>
      </c>
      <c r="CN345" s="448">
        <f>SUMIF(AGO!$G$155:$J$155,CN$112,AGO!$AN26:$AQ26)</f>
        <v>0</v>
      </c>
      <c r="CO345" s="1100">
        <f>AGO!AS26</f>
        <v>0</v>
      </c>
      <c r="CP345" s="445">
        <f>AGO!AT26</f>
        <v>0</v>
      </c>
      <c r="CQ345" s="446">
        <f>AGO!AU26</f>
        <v>0</v>
      </c>
      <c r="CR345" s="447">
        <f>AGO!AV26</f>
        <v>0</v>
      </c>
      <c r="CS345" s="448">
        <f>AGO!AW26</f>
        <v>0</v>
      </c>
      <c r="CT345" s="1100">
        <f>AGO!AY26</f>
        <v>0</v>
      </c>
      <c r="CU345" s="2"/>
    </row>
    <row r="346" spans="1:99" ht="14.25" hidden="1" customHeight="1" x14ac:dyDescent="0.2">
      <c r="A346" s="2"/>
      <c r="B346" s="151">
        <f t="shared" si="270"/>
        <v>45524</v>
      </c>
      <c r="C346" s="223">
        <f>IF(AND(E346&gt;(N$492-1),E346&lt;(R$492+1)),W$485,IF(ISERROR(HLOOKUP(E346,$N$485:$U$485,1,FALSE)),HLOOKUP(WEEKDAY(E346,2),IMPOSTAZIONI!$C$51:$P$56,6,FALSE),$W$484))</f>
        <v>0</v>
      </c>
      <c r="D346" s="103" t="str">
        <f t="shared" si="271"/>
        <v/>
      </c>
      <c r="E346" s="2380">
        <f t="shared" si="282"/>
        <v>45524</v>
      </c>
      <c r="F346" s="2381"/>
      <c r="G346" s="2325" t="str">
        <f>AGO!E27</f>
        <v xml:space="preserve">attiva trim.  </v>
      </c>
      <c r="H346" s="2326"/>
      <c r="I346" s="2327"/>
      <c r="J346" s="479" t="str">
        <f t="shared" si="267"/>
        <v/>
      </c>
      <c r="K346" s="480"/>
      <c r="L346" s="2319">
        <f t="shared" si="283"/>
        <v>34</v>
      </c>
      <c r="M346" s="2320"/>
      <c r="N346" s="478"/>
      <c r="O346" s="478"/>
      <c r="P346" s="478"/>
      <c r="Q346" s="2315">
        <f t="shared" si="272"/>
        <v>45524</v>
      </c>
      <c r="R346" s="2315"/>
      <c r="S346" s="478"/>
      <c r="T346" s="140">
        <f t="shared" si="273"/>
        <v>1</v>
      </c>
      <c r="U346" s="478"/>
      <c r="V346" s="478"/>
      <c r="W346" s="478"/>
      <c r="X346" s="478"/>
      <c r="Y346" s="478"/>
      <c r="Z346" s="478"/>
      <c r="AA346" s="478"/>
      <c r="AB346" s="478"/>
      <c r="AC346" s="478"/>
      <c r="AD346" s="478"/>
      <c r="AE346" s="478"/>
      <c r="AF346" s="478"/>
      <c r="AG346" s="140">
        <f t="shared" si="274"/>
        <v>0</v>
      </c>
      <c r="AH346" s="92" t="str">
        <f t="shared" si="275"/>
        <v/>
      </c>
      <c r="AI346" s="131">
        <f t="shared" si="276"/>
        <v>0</v>
      </c>
      <c r="AJ346" s="2"/>
      <c r="AK346" s="92">
        <f>IF(G346=G$481,0,IF(OR(G346&lt;&gt;0,CJ346&lt;&gt;0,C346="L"),COUNTIF(AK$114:AK345,"&gt;0")+1,0))</f>
        <v>0</v>
      </c>
      <c r="AL346" s="92" t="str">
        <f t="shared" si="277"/>
        <v/>
      </c>
      <c r="AM346" s="92" t="str">
        <f t="shared" si="278"/>
        <v/>
      </c>
      <c r="AN346" s="131">
        <f t="shared" si="268"/>
        <v>0</v>
      </c>
      <c r="AO346" s="447">
        <f>SUM(AGO!W27:Z27)</f>
        <v>0</v>
      </c>
      <c r="AP346" s="445">
        <f>SUMIF(AGO!$G$155:$J$155,AP$112,AGO!$R27:$U27)</f>
        <v>0</v>
      </c>
      <c r="AQ346" s="446">
        <f>SUMIF(AGO!$G$155:$J$155,AQ$112,AGO!$R27:$U27)</f>
        <v>0</v>
      </c>
      <c r="AR346" s="447">
        <f>SUMIF(AGO!$G$155:$J$155,AR$112,AGO!$R27:$U27)</f>
        <v>0</v>
      </c>
      <c r="AS346" s="448">
        <f>SUMIF(AGO!$G$155:$J$155,AS$112,AGO!$R27:$U27)</f>
        <v>0</v>
      </c>
      <c r="AT346" s="449">
        <f>AGO!AG27</f>
        <v>0</v>
      </c>
      <c r="AU346" s="445">
        <f>AGO!AH27</f>
        <v>0</v>
      </c>
      <c r="AV346" s="446">
        <f>AGO!AI27</f>
        <v>0</v>
      </c>
      <c r="AW346" s="447">
        <f>AGO!AJ27</f>
        <v>0</v>
      </c>
      <c r="AX346" s="448">
        <f>AGO!AK27</f>
        <v>0</v>
      </c>
      <c r="AY346" s="445">
        <f>SUMIF(AGO!$G$152:$J$152,"&gt;0",AGO!$W27:$Z27)</f>
        <v>0</v>
      </c>
      <c r="AZ346" s="1063">
        <f>SUM(AGO!AB27:AE27)</f>
        <v>0</v>
      </c>
      <c r="BA346" s="445">
        <f>SUMIF(AGO!$G$159:$J$159,BA$111,AGO!$R27:$U27)+SUMIF(AGO!$G$159:$J$159,BA$111,AGO!$W27:$Z27)</f>
        <v>0</v>
      </c>
      <c r="BB346" s="446">
        <f>SUMIF(AGO!$G$159:$J$159,BB$111,AGO!$R27:$U27)+SUMIF(AGO!$G$159:$J$159,BB$111,AGO!$W27:$Z27)</f>
        <v>0</v>
      </c>
      <c r="BC346" s="446">
        <f>SUMIF(AGO!$G$159:$J$159,BC$111,AGO!$R27:$U27)+SUMIF(AGO!$G$159:$J$159,BC$111,AGO!$W27:$Z27)</f>
        <v>0</v>
      </c>
      <c r="BD346" s="446">
        <f>SUMIF(AGO!$G$159:$J$159,BD$111,AGO!$R27:$U27)+SUMIF(AGO!$G$159:$J$159,BD$111,AGO!$W27:$Z27)</f>
        <v>0</v>
      </c>
      <c r="BE346" s="446">
        <f>SUMIF(AGO!$G$159:$J$159,BE$111,AGO!$R27:$U27)+SUMIF(AGO!$G$159:$J$159,BE$111,AGO!$W27:$Z27)</f>
        <v>0</v>
      </c>
      <c r="BF346" s="446">
        <f>SUMIF(AGO!$G$159:$J$159,BF$111,AGO!$R27:$U27)+SUMIF(AGO!$G$159:$J$159,BF$111,AGO!$W27:$Z27)</f>
        <v>0</v>
      </c>
      <c r="BG346" s="448">
        <f>SUMIF(AGO!$G$159:$J$159,BG$111,AGO!$R27:$U27)+SUMIF(AGO!$G$159:$J$159,BG$111,AGO!$W27:$Z27)</f>
        <v>0</v>
      </c>
      <c r="BH346" s="571"/>
      <c r="BI346" s="448"/>
      <c r="BJ346" s="470"/>
      <c r="BK346" s="445">
        <f>SUMIF(AGO!$G$157:$J$157,BK$111,AGO!$R27:$U27)+SUMIF(AGO!$G$157:$J$157,BK$111,AGO!$W27:$Z27)</f>
        <v>0</v>
      </c>
      <c r="BL346" s="446">
        <f>SUMIF(AGO!$G$157:$J$157,BL$111,AGO!$R27:$U27)+SUMIF(AGO!$G$157:$J$157,BL$111,AGO!$W27:$Z27)</f>
        <v>0</v>
      </c>
      <c r="BM346" s="446">
        <f>SUMIF(AGO!$G$157:$J$157,BM$111,AGO!$R27:$U27)+SUMIF(AGO!$G$157:$J$157,BM$111,AGO!$W27:$Z27)</f>
        <v>0</v>
      </c>
      <c r="BN346" s="446">
        <f>SUMIF(AGO!$G$157:$J$157,BN$111,AGO!$R27:$U27)+SUMIF(AGO!$G$157:$J$157,BN$111,AGO!$W27:$Z27)</f>
        <v>0</v>
      </c>
      <c r="BO346" s="446">
        <f>SUMIF(AGO!$G$157:$J$157,BO$111,AGO!$R27:$U27)+SUMIF(AGO!$G$157:$J$157,BO$111,AGO!$W27:$Z27)</f>
        <v>0</v>
      </c>
      <c r="BP346" s="446">
        <f>SUMIF(AGO!$G$157:$J$157,BP$111,AGO!$R27:$U27)+SUMIF(AGO!$G$157:$J$157,BP$111,AGO!$W27:$Z27)</f>
        <v>0</v>
      </c>
      <c r="BQ346" s="448">
        <f>SUMIF(AGO!$G$157:$J$157,BQ$111,AGO!$R27:$U27)+SUMIF(AGO!$G$157:$J$157,BQ$111,AGO!$W27:$Z27)</f>
        <v>0</v>
      </c>
      <c r="BR346" s="571"/>
      <c r="BS346" s="446"/>
      <c r="BT346" s="448"/>
      <c r="BU346" s="470"/>
      <c r="BV346" s="445">
        <f>SUMIF(AGO!$G$158:$J$158,BV$111,AGO!$R27:$U27)+SUMIF(AGO!$G$158:$J$158,BV$111,AGO!$W27:$Z27)</f>
        <v>0</v>
      </c>
      <c r="BW346" s="446">
        <f>SUMIF(AGO!$G$158:$J$158,BW$111,AGO!$R27:$U27)+SUMIF(AGO!$G$158:$J$158,BW$111,AGO!$W27:$Z27)</f>
        <v>0</v>
      </c>
      <c r="BX346" s="446">
        <f>SUMIF(AGO!$G$158:$J$158,BX$111,AGO!$R27:$U27)+SUMIF(AGO!$G$158:$J$158,BX$111,AGO!$W27:$Z27)</f>
        <v>0</v>
      </c>
      <c r="BY346" s="446">
        <f>SUMIF(AGO!$G$158:$J$158,BY$111,AGO!$R27:$U27)+SUMIF(AGO!$G$158:$J$158,BY$111,AGO!$W27:$Z27)</f>
        <v>0</v>
      </c>
      <c r="BZ346" s="446">
        <f>SUMIF(AGO!$G$158:$J$158,BZ$111,AGO!$R27:$U27)+SUMIF(AGO!$G$158:$J$158,BZ$111,AGO!$W27:$Z27)</f>
        <v>0</v>
      </c>
      <c r="CA346" s="446">
        <f>SUMIF(AGO!$G$158:$J$158,CA$111,AGO!$R27:$U27)+SUMIF(AGO!$G$158:$J$158,CA$111,AGO!$W27:$Z27)</f>
        <v>0</v>
      </c>
      <c r="CB346" s="448">
        <f>SUMIF(AGO!$G$158:$J$158,CB$111,AGO!$R27:$U27)+SUMIF(AGO!$G$158:$J$158,CB$111,AGO!$W27:$Z27)</f>
        <v>0</v>
      </c>
      <c r="CC346" s="571"/>
      <c r="CD346" s="448"/>
      <c r="CE346" s="92">
        <f t="shared" si="279"/>
        <v>0</v>
      </c>
      <c r="CF346" s="92">
        <f t="shared" si="280"/>
        <v>0</v>
      </c>
      <c r="CG346" s="151" t="str">
        <f t="shared" si="266"/>
        <v/>
      </c>
      <c r="CH346" s="92">
        <f t="shared" si="269"/>
        <v>0</v>
      </c>
      <c r="CI346" s="92" t="str">
        <f t="shared" si="281"/>
        <v/>
      </c>
      <c r="CJ346" s="1100">
        <f>AGO!AM27</f>
        <v>0</v>
      </c>
      <c r="CK346" s="445">
        <f>SUMIF(AGO!$G$155:$J$155,CK$112,AGO!$AN27:$AQ27)</f>
        <v>0</v>
      </c>
      <c r="CL346" s="446">
        <f>SUMIF(AGO!$G$155:$J$155,CL$112,AGO!$AN27:$AQ27)</f>
        <v>0</v>
      </c>
      <c r="CM346" s="447">
        <f>SUMIF(AGO!$G$155:$J$155,CM$112,AGO!$AN27:$AQ27)</f>
        <v>0</v>
      </c>
      <c r="CN346" s="448">
        <f>SUMIF(AGO!$G$155:$J$155,CN$112,AGO!$AN27:$AQ27)</f>
        <v>0</v>
      </c>
      <c r="CO346" s="1100">
        <f>AGO!AS27</f>
        <v>0</v>
      </c>
      <c r="CP346" s="445">
        <f>AGO!AT27</f>
        <v>0</v>
      </c>
      <c r="CQ346" s="446">
        <f>AGO!AU27</f>
        <v>0</v>
      </c>
      <c r="CR346" s="447">
        <f>AGO!AV27</f>
        <v>0</v>
      </c>
      <c r="CS346" s="448">
        <f>AGO!AW27</f>
        <v>0</v>
      </c>
      <c r="CT346" s="1100">
        <f>AGO!AY27</f>
        <v>0</v>
      </c>
      <c r="CU346" s="2"/>
    </row>
    <row r="347" spans="1:99" ht="14.25" hidden="1" customHeight="1" x14ac:dyDescent="0.2">
      <c r="A347" s="2"/>
      <c r="B347" s="151">
        <f t="shared" si="270"/>
        <v>45525</v>
      </c>
      <c r="C347" s="223">
        <f>IF(AND(E347&gt;(N$492-1),E347&lt;(R$492+1)),W$485,IF(ISERROR(HLOOKUP(E347,$N$485:$U$485,1,FALSE)),HLOOKUP(WEEKDAY(E347,2),IMPOSTAZIONI!$C$51:$P$56,6,FALSE),$W$484))</f>
        <v>0</v>
      </c>
      <c r="D347" s="103" t="str">
        <f t="shared" si="271"/>
        <v/>
      </c>
      <c r="E347" s="2380">
        <f t="shared" si="282"/>
        <v>45525</v>
      </c>
      <c r="F347" s="2381"/>
      <c r="G347" s="2325" t="str">
        <f>AGO!E28</f>
        <v xml:space="preserve">attiva trim.  </v>
      </c>
      <c r="H347" s="2326"/>
      <c r="I347" s="2327"/>
      <c r="J347" s="479" t="str">
        <f t="shared" si="267"/>
        <v/>
      </c>
      <c r="K347" s="480"/>
      <c r="L347" s="2319">
        <f t="shared" si="283"/>
        <v>34</v>
      </c>
      <c r="M347" s="2320"/>
      <c r="N347" s="478"/>
      <c r="O347" s="478"/>
      <c r="P347" s="478"/>
      <c r="Q347" s="2315">
        <f t="shared" si="272"/>
        <v>45525</v>
      </c>
      <c r="R347" s="2315"/>
      <c r="S347" s="478"/>
      <c r="T347" s="140">
        <f t="shared" si="273"/>
        <v>1</v>
      </c>
      <c r="U347" s="478"/>
      <c r="V347" s="478"/>
      <c r="W347" s="478"/>
      <c r="X347" s="478"/>
      <c r="Y347" s="478"/>
      <c r="Z347" s="478"/>
      <c r="AA347" s="478"/>
      <c r="AB347" s="478"/>
      <c r="AC347" s="478"/>
      <c r="AD347" s="478"/>
      <c r="AE347" s="478"/>
      <c r="AF347" s="478"/>
      <c r="AG347" s="140">
        <f t="shared" si="274"/>
        <v>0</v>
      </c>
      <c r="AH347" s="92" t="str">
        <f t="shared" si="275"/>
        <v/>
      </c>
      <c r="AI347" s="131">
        <f t="shared" si="276"/>
        <v>0</v>
      </c>
      <c r="AJ347" s="2"/>
      <c r="AK347" s="92">
        <f>IF(G347=G$481,0,IF(OR(G347&lt;&gt;0,CJ347&lt;&gt;0,C347="L"),COUNTIF(AK$114:AK346,"&gt;0")+1,0))</f>
        <v>0</v>
      </c>
      <c r="AL347" s="92" t="str">
        <f t="shared" si="277"/>
        <v/>
      </c>
      <c r="AM347" s="92" t="str">
        <f t="shared" si="278"/>
        <v/>
      </c>
      <c r="AN347" s="131">
        <f t="shared" si="268"/>
        <v>0</v>
      </c>
      <c r="AO347" s="447">
        <f>SUM(AGO!W28:Z28)</f>
        <v>0</v>
      </c>
      <c r="AP347" s="445">
        <f>SUMIF(AGO!$G$155:$J$155,AP$112,AGO!$R28:$U28)</f>
        <v>0</v>
      </c>
      <c r="AQ347" s="446">
        <f>SUMIF(AGO!$G$155:$J$155,AQ$112,AGO!$R28:$U28)</f>
        <v>0</v>
      </c>
      <c r="AR347" s="447">
        <f>SUMIF(AGO!$G$155:$J$155,AR$112,AGO!$R28:$U28)</f>
        <v>0</v>
      </c>
      <c r="AS347" s="448">
        <f>SUMIF(AGO!$G$155:$J$155,AS$112,AGO!$R28:$U28)</f>
        <v>0</v>
      </c>
      <c r="AT347" s="449">
        <f>AGO!AG28</f>
        <v>0</v>
      </c>
      <c r="AU347" s="445">
        <f>AGO!AH28</f>
        <v>0</v>
      </c>
      <c r="AV347" s="446">
        <f>AGO!AI28</f>
        <v>0</v>
      </c>
      <c r="AW347" s="447">
        <f>AGO!AJ28</f>
        <v>0</v>
      </c>
      <c r="AX347" s="448">
        <f>AGO!AK28</f>
        <v>0</v>
      </c>
      <c r="AY347" s="445">
        <f>SUMIF(AGO!$G$152:$J$152,"&gt;0",AGO!$W28:$Z28)</f>
        <v>0</v>
      </c>
      <c r="AZ347" s="1063">
        <f>SUM(AGO!AB28:AE28)</f>
        <v>0</v>
      </c>
      <c r="BA347" s="445">
        <f>SUMIF(AGO!$G$159:$J$159,BA$111,AGO!$R28:$U28)+SUMIF(AGO!$G$159:$J$159,BA$111,AGO!$W28:$Z28)</f>
        <v>0</v>
      </c>
      <c r="BB347" s="446">
        <f>SUMIF(AGO!$G$159:$J$159,BB$111,AGO!$R28:$U28)+SUMIF(AGO!$G$159:$J$159,BB$111,AGO!$W28:$Z28)</f>
        <v>0</v>
      </c>
      <c r="BC347" s="446">
        <f>SUMIF(AGO!$G$159:$J$159,BC$111,AGO!$R28:$U28)+SUMIF(AGO!$G$159:$J$159,BC$111,AGO!$W28:$Z28)</f>
        <v>0</v>
      </c>
      <c r="BD347" s="446">
        <f>SUMIF(AGO!$G$159:$J$159,BD$111,AGO!$R28:$U28)+SUMIF(AGO!$G$159:$J$159,BD$111,AGO!$W28:$Z28)</f>
        <v>0</v>
      </c>
      <c r="BE347" s="446">
        <f>SUMIF(AGO!$G$159:$J$159,BE$111,AGO!$R28:$U28)+SUMIF(AGO!$G$159:$J$159,BE$111,AGO!$W28:$Z28)</f>
        <v>0</v>
      </c>
      <c r="BF347" s="446">
        <f>SUMIF(AGO!$G$159:$J$159,BF$111,AGO!$R28:$U28)+SUMIF(AGO!$G$159:$J$159,BF$111,AGO!$W28:$Z28)</f>
        <v>0</v>
      </c>
      <c r="BG347" s="448">
        <f>SUMIF(AGO!$G$159:$J$159,BG$111,AGO!$R28:$U28)+SUMIF(AGO!$G$159:$J$159,BG$111,AGO!$W28:$Z28)</f>
        <v>0</v>
      </c>
      <c r="BH347" s="571"/>
      <c r="BI347" s="448"/>
      <c r="BJ347" s="470"/>
      <c r="BK347" s="445">
        <f>SUMIF(AGO!$G$157:$J$157,BK$111,AGO!$R28:$U28)+SUMIF(AGO!$G$157:$J$157,BK$111,AGO!$W28:$Z28)</f>
        <v>0</v>
      </c>
      <c r="BL347" s="446">
        <f>SUMIF(AGO!$G$157:$J$157,BL$111,AGO!$R28:$U28)+SUMIF(AGO!$G$157:$J$157,BL$111,AGO!$W28:$Z28)</f>
        <v>0</v>
      </c>
      <c r="BM347" s="446">
        <f>SUMIF(AGO!$G$157:$J$157,BM$111,AGO!$R28:$U28)+SUMIF(AGO!$G$157:$J$157,BM$111,AGO!$W28:$Z28)</f>
        <v>0</v>
      </c>
      <c r="BN347" s="446">
        <f>SUMIF(AGO!$G$157:$J$157,BN$111,AGO!$R28:$U28)+SUMIF(AGO!$G$157:$J$157,BN$111,AGO!$W28:$Z28)</f>
        <v>0</v>
      </c>
      <c r="BO347" s="446">
        <f>SUMIF(AGO!$G$157:$J$157,BO$111,AGO!$R28:$U28)+SUMIF(AGO!$G$157:$J$157,BO$111,AGO!$W28:$Z28)</f>
        <v>0</v>
      </c>
      <c r="BP347" s="446">
        <f>SUMIF(AGO!$G$157:$J$157,BP$111,AGO!$R28:$U28)+SUMIF(AGO!$G$157:$J$157,BP$111,AGO!$W28:$Z28)</f>
        <v>0</v>
      </c>
      <c r="BQ347" s="448">
        <f>SUMIF(AGO!$G$157:$J$157,BQ$111,AGO!$R28:$U28)+SUMIF(AGO!$G$157:$J$157,BQ$111,AGO!$W28:$Z28)</f>
        <v>0</v>
      </c>
      <c r="BR347" s="571"/>
      <c r="BS347" s="446"/>
      <c r="BT347" s="448"/>
      <c r="BU347" s="470"/>
      <c r="BV347" s="445">
        <f>SUMIF(AGO!$G$158:$J$158,BV$111,AGO!$R28:$U28)+SUMIF(AGO!$G$158:$J$158,BV$111,AGO!$W28:$Z28)</f>
        <v>0</v>
      </c>
      <c r="BW347" s="446">
        <f>SUMIF(AGO!$G$158:$J$158,BW$111,AGO!$R28:$U28)+SUMIF(AGO!$G$158:$J$158,BW$111,AGO!$W28:$Z28)</f>
        <v>0</v>
      </c>
      <c r="BX347" s="446">
        <f>SUMIF(AGO!$G$158:$J$158,BX$111,AGO!$R28:$U28)+SUMIF(AGO!$G$158:$J$158,BX$111,AGO!$W28:$Z28)</f>
        <v>0</v>
      </c>
      <c r="BY347" s="446">
        <f>SUMIF(AGO!$G$158:$J$158,BY$111,AGO!$R28:$U28)+SUMIF(AGO!$G$158:$J$158,BY$111,AGO!$W28:$Z28)</f>
        <v>0</v>
      </c>
      <c r="BZ347" s="446">
        <f>SUMIF(AGO!$G$158:$J$158,BZ$111,AGO!$R28:$U28)+SUMIF(AGO!$G$158:$J$158,BZ$111,AGO!$W28:$Z28)</f>
        <v>0</v>
      </c>
      <c r="CA347" s="446">
        <f>SUMIF(AGO!$G$158:$J$158,CA$111,AGO!$R28:$U28)+SUMIF(AGO!$G$158:$J$158,CA$111,AGO!$W28:$Z28)</f>
        <v>0</v>
      </c>
      <c r="CB347" s="448">
        <f>SUMIF(AGO!$G$158:$J$158,CB$111,AGO!$R28:$U28)+SUMIF(AGO!$G$158:$J$158,CB$111,AGO!$W28:$Z28)</f>
        <v>0</v>
      </c>
      <c r="CC347" s="571"/>
      <c r="CD347" s="448"/>
      <c r="CE347" s="92">
        <f t="shared" si="279"/>
        <v>0</v>
      </c>
      <c r="CF347" s="92">
        <f t="shared" si="280"/>
        <v>0</v>
      </c>
      <c r="CG347" s="151" t="str">
        <f t="shared" si="266"/>
        <v/>
      </c>
      <c r="CH347" s="92">
        <f t="shared" si="269"/>
        <v>0</v>
      </c>
      <c r="CI347" s="92" t="str">
        <f t="shared" si="281"/>
        <v/>
      </c>
      <c r="CJ347" s="1100">
        <f>AGO!AM28</f>
        <v>0</v>
      </c>
      <c r="CK347" s="445">
        <f>SUMIF(AGO!$G$155:$J$155,CK$112,AGO!$AN28:$AQ28)</f>
        <v>0</v>
      </c>
      <c r="CL347" s="446">
        <f>SUMIF(AGO!$G$155:$J$155,CL$112,AGO!$AN28:$AQ28)</f>
        <v>0</v>
      </c>
      <c r="CM347" s="447">
        <f>SUMIF(AGO!$G$155:$J$155,CM$112,AGO!$AN28:$AQ28)</f>
        <v>0</v>
      </c>
      <c r="CN347" s="448">
        <f>SUMIF(AGO!$G$155:$J$155,CN$112,AGO!$AN28:$AQ28)</f>
        <v>0</v>
      </c>
      <c r="CO347" s="1100">
        <f>AGO!AS28</f>
        <v>0</v>
      </c>
      <c r="CP347" s="445">
        <f>AGO!AT28</f>
        <v>0</v>
      </c>
      <c r="CQ347" s="446">
        <f>AGO!AU28</f>
        <v>0</v>
      </c>
      <c r="CR347" s="447">
        <f>AGO!AV28</f>
        <v>0</v>
      </c>
      <c r="CS347" s="448">
        <f>AGO!AW28</f>
        <v>0</v>
      </c>
      <c r="CT347" s="1100">
        <f>AGO!AY28</f>
        <v>0</v>
      </c>
      <c r="CU347" s="2"/>
    </row>
    <row r="348" spans="1:99" ht="14.25" hidden="1" customHeight="1" x14ac:dyDescent="0.2">
      <c r="A348" s="2"/>
      <c r="B348" s="151">
        <f t="shared" si="270"/>
        <v>45526</v>
      </c>
      <c r="C348" s="223">
        <f>IF(AND(E348&gt;(N$492-1),E348&lt;(R$492+1)),W$485,IF(ISERROR(HLOOKUP(E348,$N$485:$U$485,1,FALSE)),HLOOKUP(WEEKDAY(E348,2),IMPOSTAZIONI!$C$51:$P$56,6,FALSE),$W$484))</f>
        <v>0</v>
      </c>
      <c r="D348" s="103" t="str">
        <f t="shared" si="271"/>
        <v/>
      </c>
      <c r="E348" s="2380">
        <f t="shared" si="282"/>
        <v>45526</v>
      </c>
      <c r="F348" s="2381"/>
      <c r="G348" s="2325" t="str">
        <f>AGO!E29</f>
        <v xml:space="preserve">attiva trim.  </v>
      </c>
      <c r="H348" s="2326"/>
      <c r="I348" s="2327"/>
      <c r="J348" s="479" t="str">
        <f t="shared" si="267"/>
        <v/>
      </c>
      <c r="K348" s="480"/>
      <c r="L348" s="2319">
        <f t="shared" si="283"/>
        <v>34</v>
      </c>
      <c r="M348" s="2320"/>
      <c r="N348" s="478"/>
      <c r="O348" s="478"/>
      <c r="P348" s="478"/>
      <c r="Q348" s="2315">
        <f t="shared" si="272"/>
        <v>45526</v>
      </c>
      <c r="R348" s="2315"/>
      <c r="S348" s="478"/>
      <c r="T348" s="140">
        <f t="shared" si="273"/>
        <v>1</v>
      </c>
      <c r="U348" s="478"/>
      <c r="V348" s="478"/>
      <c r="W348" s="478"/>
      <c r="X348" s="478"/>
      <c r="Y348" s="478"/>
      <c r="Z348" s="478"/>
      <c r="AA348" s="478"/>
      <c r="AB348" s="478"/>
      <c r="AC348" s="478"/>
      <c r="AD348" s="478"/>
      <c r="AE348" s="478"/>
      <c r="AF348" s="478"/>
      <c r="AG348" s="140">
        <f t="shared" si="274"/>
        <v>0</v>
      </c>
      <c r="AH348" s="92" t="str">
        <f t="shared" si="275"/>
        <v/>
      </c>
      <c r="AI348" s="131">
        <f t="shared" si="276"/>
        <v>0</v>
      </c>
      <c r="AJ348" s="2"/>
      <c r="AK348" s="92">
        <f>IF(G348=G$481,0,IF(OR(G348&lt;&gt;0,CJ348&lt;&gt;0,C348="L"),COUNTIF(AK$114:AK347,"&gt;0")+1,0))</f>
        <v>0</v>
      </c>
      <c r="AL348" s="92" t="str">
        <f t="shared" si="277"/>
        <v/>
      </c>
      <c r="AM348" s="92" t="str">
        <f t="shared" si="278"/>
        <v/>
      </c>
      <c r="AN348" s="131">
        <f t="shared" si="268"/>
        <v>0</v>
      </c>
      <c r="AO348" s="447">
        <f>SUM(AGO!W29:Z29)</f>
        <v>0</v>
      </c>
      <c r="AP348" s="445">
        <f>SUMIF(AGO!$G$155:$J$155,AP$112,AGO!$R29:$U29)</f>
        <v>0</v>
      </c>
      <c r="AQ348" s="446">
        <f>SUMIF(AGO!$G$155:$J$155,AQ$112,AGO!$R29:$U29)</f>
        <v>0</v>
      </c>
      <c r="AR348" s="447">
        <f>SUMIF(AGO!$G$155:$J$155,AR$112,AGO!$R29:$U29)</f>
        <v>0</v>
      </c>
      <c r="AS348" s="448">
        <f>SUMIF(AGO!$G$155:$J$155,AS$112,AGO!$R29:$U29)</f>
        <v>0</v>
      </c>
      <c r="AT348" s="449">
        <f>AGO!AG29</f>
        <v>0</v>
      </c>
      <c r="AU348" s="445">
        <f>AGO!AH29</f>
        <v>0</v>
      </c>
      <c r="AV348" s="446">
        <f>AGO!AI29</f>
        <v>0</v>
      </c>
      <c r="AW348" s="447">
        <f>AGO!AJ29</f>
        <v>0</v>
      </c>
      <c r="AX348" s="448">
        <f>AGO!AK29</f>
        <v>0</v>
      </c>
      <c r="AY348" s="445">
        <f>SUMIF(AGO!$G$152:$J$152,"&gt;0",AGO!$W29:$Z29)</f>
        <v>0</v>
      </c>
      <c r="AZ348" s="1063">
        <f>SUM(AGO!AB29:AE29)</f>
        <v>0</v>
      </c>
      <c r="BA348" s="445">
        <f>SUMIF(AGO!$G$159:$J$159,BA$111,AGO!$R29:$U29)+SUMIF(AGO!$G$159:$J$159,BA$111,AGO!$W29:$Z29)</f>
        <v>0</v>
      </c>
      <c r="BB348" s="446">
        <f>SUMIF(AGO!$G$159:$J$159,BB$111,AGO!$R29:$U29)+SUMIF(AGO!$G$159:$J$159,BB$111,AGO!$W29:$Z29)</f>
        <v>0</v>
      </c>
      <c r="BC348" s="446">
        <f>SUMIF(AGO!$G$159:$J$159,BC$111,AGO!$R29:$U29)+SUMIF(AGO!$G$159:$J$159,BC$111,AGO!$W29:$Z29)</f>
        <v>0</v>
      </c>
      <c r="BD348" s="446">
        <f>SUMIF(AGO!$G$159:$J$159,BD$111,AGO!$R29:$U29)+SUMIF(AGO!$G$159:$J$159,BD$111,AGO!$W29:$Z29)</f>
        <v>0</v>
      </c>
      <c r="BE348" s="446">
        <f>SUMIF(AGO!$G$159:$J$159,BE$111,AGO!$R29:$U29)+SUMIF(AGO!$G$159:$J$159,BE$111,AGO!$W29:$Z29)</f>
        <v>0</v>
      </c>
      <c r="BF348" s="446">
        <f>SUMIF(AGO!$G$159:$J$159,BF$111,AGO!$R29:$U29)+SUMIF(AGO!$G$159:$J$159,BF$111,AGO!$W29:$Z29)</f>
        <v>0</v>
      </c>
      <c r="BG348" s="448">
        <f>SUMIF(AGO!$G$159:$J$159,BG$111,AGO!$R29:$U29)+SUMIF(AGO!$G$159:$J$159,BG$111,AGO!$W29:$Z29)</f>
        <v>0</v>
      </c>
      <c r="BH348" s="571"/>
      <c r="BI348" s="448"/>
      <c r="BJ348" s="470"/>
      <c r="BK348" s="445">
        <f>SUMIF(AGO!$G$157:$J$157,BK$111,AGO!$R29:$U29)+SUMIF(AGO!$G$157:$J$157,BK$111,AGO!$W29:$Z29)</f>
        <v>0</v>
      </c>
      <c r="BL348" s="446">
        <f>SUMIF(AGO!$G$157:$J$157,BL$111,AGO!$R29:$U29)+SUMIF(AGO!$G$157:$J$157,BL$111,AGO!$W29:$Z29)</f>
        <v>0</v>
      </c>
      <c r="BM348" s="446">
        <f>SUMIF(AGO!$G$157:$J$157,BM$111,AGO!$R29:$U29)+SUMIF(AGO!$G$157:$J$157,BM$111,AGO!$W29:$Z29)</f>
        <v>0</v>
      </c>
      <c r="BN348" s="446">
        <f>SUMIF(AGO!$G$157:$J$157,BN$111,AGO!$R29:$U29)+SUMIF(AGO!$G$157:$J$157,BN$111,AGO!$W29:$Z29)</f>
        <v>0</v>
      </c>
      <c r="BO348" s="446">
        <f>SUMIF(AGO!$G$157:$J$157,BO$111,AGO!$R29:$U29)+SUMIF(AGO!$G$157:$J$157,BO$111,AGO!$W29:$Z29)</f>
        <v>0</v>
      </c>
      <c r="BP348" s="446">
        <f>SUMIF(AGO!$G$157:$J$157,BP$111,AGO!$R29:$U29)+SUMIF(AGO!$G$157:$J$157,BP$111,AGO!$W29:$Z29)</f>
        <v>0</v>
      </c>
      <c r="BQ348" s="448">
        <f>SUMIF(AGO!$G$157:$J$157,BQ$111,AGO!$R29:$U29)+SUMIF(AGO!$G$157:$J$157,BQ$111,AGO!$W29:$Z29)</f>
        <v>0</v>
      </c>
      <c r="BR348" s="571"/>
      <c r="BS348" s="446"/>
      <c r="BT348" s="448"/>
      <c r="BU348" s="470"/>
      <c r="BV348" s="445">
        <f>SUMIF(AGO!$G$158:$J$158,BV$111,AGO!$R29:$U29)+SUMIF(AGO!$G$158:$J$158,BV$111,AGO!$W29:$Z29)</f>
        <v>0</v>
      </c>
      <c r="BW348" s="446">
        <f>SUMIF(AGO!$G$158:$J$158,BW$111,AGO!$R29:$U29)+SUMIF(AGO!$G$158:$J$158,BW$111,AGO!$W29:$Z29)</f>
        <v>0</v>
      </c>
      <c r="BX348" s="446">
        <f>SUMIF(AGO!$G$158:$J$158,BX$111,AGO!$R29:$U29)+SUMIF(AGO!$G$158:$J$158,BX$111,AGO!$W29:$Z29)</f>
        <v>0</v>
      </c>
      <c r="BY348" s="446">
        <f>SUMIF(AGO!$G$158:$J$158,BY$111,AGO!$R29:$U29)+SUMIF(AGO!$G$158:$J$158,BY$111,AGO!$W29:$Z29)</f>
        <v>0</v>
      </c>
      <c r="BZ348" s="446">
        <f>SUMIF(AGO!$G$158:$J$158,BZ$111,AGO!$R29:$U29)+SUMIF(AGO!$G$158:$J$158,BZ$111,AGO!$W29:$Z29)</f>
        <v>0</v>
      </c>
      <c r="CA348" s="446">
        <f>SUMIF(AGO!$G$158:$J$158,CA$111,AGO!$R29:$U29)+SUMIF(AGO!$G$158:$J$158,CA$111,AGO!$W29:$Z29)</f>
        <v>0</v>
      </c>
      <c r="CB348" s="448">
        <f>SUMIF(AGO!$G$158:$J$158,CB$111,AGO!$R29:$U29)+SUMIF(AGO!$G$158:$J$158,CB$111,AGO!$W29:$Z29)</f>
        <v>0</v>
      </c>
      <c r="CC348" s="571"/>
      <c r="CD348" s="448"/>
      <c r="CE348" s="92">
        <f t="shared" si="279"/>
        <v>0</v>
      </c>
      <c r="CF348" s="92">
        <f t="shared" si="280"/>
        <v>0</v>
      </c>
      <c r="CG348" s="151" t="str">
        <f t="shared" si="266"/>
        <v/>
      </c>
      <c r="CH348" s="92">
        <f t="shared" si="269"/>
        <v>0</v>
      </c>
      <c r="CI348" s="92" t="str">
        <f t="shared" si="281"/>
        <v/>
      </c>
      <c r="CJ348" s="1100">
        <f>AGO!AM29</f>
        <v>0</v>
      </c>
      <c r="CK348" s="445">
        <f>SUMIF(AGO!$G$155:$J$155,CK$112,AGO!$AN29:$AQ29)</f>
        <v>0</v>
      </c>
      <c r="CL348" s="446">
        <f>SUMIF(AGO!$G$155:$J$155,CL$112,AGO!$AN29:$AQ29)</f>
        <v>0</v>
      </c>
      <c r="CM348" s="447">
        <f>SUMIF(AGO!$G$155:$J$155,CM$112,AGO!$AN29:$AQ29)</f>
        <v>0</v>
      </c>
      <c r="CN348" s="448">
        <f>SUMIF(AGO!$G$155:$J$155,CN$112,AGO!$AN29:$AQ29)</f>
        <v>0</v>
      </c>
      <c r="CO348" s="1100">
        <f>AGO!AS29</f>
        <v>0</v>
      </c>
      <c r="CP348" s="445">
        <f>AGO!AT29</f>
        <v>0</v>
      </c>
      <c r="CQ348" s="446">
        <f>AGO!AU29</f>
        <v>0</v>
      </c>
      <c r="CR348" s="447">
        <f>AGO!AV29</f>
        <v>0</v>
      </c>
      <c r="CS348" s="448">
        <f>AGO!AW29</f>
        <v>0</v>
      </c>
      <c r="CT348" s="1100">
        <f>AGO!AY29</f>
        <v>0</v>
      </c>
      <c r="CU348" s="2"/>
    </row>
    <row r="349" spans="1:99" ht="14.25" hidden="1" customHeight="1" x14ac:dyDescent="0.2">
      <c r="A349" s="2"/>
      <c r="B349" s="151">
        <f t="shared" si="270"/>
        <v>45527</v>
      </c>
      <c r="C349" s="223">
        <f>IF(AND(E349&gt;(N$492-1),E349&lt;(R$492+1)),W$485,IF(ISERROR(HLOOKUP(E349,$N$485:$U$485,1,FALSE)),HLOOKUP(WEEKDAY(E349,2),IMPOSTAZIONI!$C$51:$P$56,6,FALSE),$W$484))</f>
        <v>0</v>
      </c>
      <c r="D349" s="103" t="str">
        <f t="shared" si="271"/>
        <v/>
      </c>
      <c r="E349" s="2380">
        <f t="shared" si="282"/>
        <v>45527</v>
      </c>
      <c r="F349" s="2381"/>
      <c r="G349" s="2325" t="str">
        <f>AGO!E30</f>
        <v xml:space="preserve">attiva trim.  </v>
      </c>
      <c r="H349" s="2326"/>
      <c r="I349" s="2327"/>
      <c r="J349" s="479" t="str">
        <f t="shared" si="267"/>
        <v/>
      </c>
      <c r="K349" s="480"/>
      <c r="L349" s="2319">
        <f t="shared" si="283"/>
        <v>34</v>
      </c>
      <c r="M349" s="2320"/>
      <c r="N349" s="478"/>
      <c r="O349" s="478"/>
      <c r="P349" s="478"/>
      <c r="Q349" s="2315">
        <f t="shared" si="272"/>
        <v>45527</v>
      </c>
      <c r="R349" s="2315"/>
      <c r="S349" s="478"/>
      <c r="T349" s="140">
        <f t="shared" si="273"/>
        <v>1</v>
      </c>
      <c r="U349" s="478"/>
      <c r="V349" s="478"/>
      <c r="W349" s="478"/>
      <c r="X349" s="478"/>
      <c r="Y349" s="478"/>
      <c r="Z349" s="478"/>
      <c r="AA349" s="478"/>
      <c r="AB349" s="478"/>
      <c r="AC349" s="478"/>
      <c r="AD349" s="478"/>
      <c r="AE349" s="478"/>
      <c r="AF349" s="478"/>
      <c r="AG349" s="140">
        <f t="shared" si="274"/>
        <v>0</v>
      </c>
      <c r="AH349" s="92" t="str">
        <f t="shared" si="275"/>
        <v/>
      </c>
      <c r="AI349" s="131">
        <f t="shared" si="276"/>
        <v>0</v>
      </c>
      <c r="AJ349" s="2"/>
      <c r="AK349" s="92">
        <f>IF(G349=G$481,0,IF(OR(G349&lt;&gt;0,CJ349&lt;&gt;0,C349="L"),COUNTIF(AK$114:AK348,"&gt;0")+1,0))</f>
        <v>0</v>
      </c>
      <c r="AL349" s="92" t="str">
        <f t="shared" si="277"/>
        <v/>
      </c>
      <c r="AM349" s="92" t="str">
        <f t="shared" si="278"/>
        <v/>
      </c>
      <c r="AN349" s="131">
        <f t="shared" si="268"/>
        <v>0</v>
      </c>
      <c r="AO349" s="447">
        <f>SUM(AGO!W30:Z30)</f>
        <v>0</v>
      </c>
      <c r="AP349" s="445">
        <f>SUMIF(AGO!$G$155:$J$155,AP$112,AGO!$R30:$U30)</f>
        <v>0</v>
      </c>
      <c r="AQ349" s="446">
        <f>SUMIF(AGO!$G$155:$J$155,AQ$112,AGO!$R30:$U30)</f>
        <v>0</v>
      </c>
      <c r="AR349" s="447">
        <f>SUMIF(AGO!$G$155:$J$155,AR$112,AGO!$R30:$U30)</f>
        <v>0</v>
      </c>
      <c r="AS349" s="448">
        <f>SUMIF(AGO!$G$155:$J$155,AS$112,AGO!$R30:$U30)</f>
        <v>0</v>
      </c>
      <c r="AT349" s="449">
        <f>AGO!AG30</f>
        <v>0</v>
      </c>
      <c r="AU349" s="445">
        <f>AGO!AH30</f>
        <v>0</v>
      </c>
      <c r="AV349" s="446">
        <f>AGO!AI30</f>
        <v>0</v>
      </c>
      <c r="AW349" s="447">
        <f>AGO!AJ30</f>
        <v>0</v>
      </c>
      <c r="AX349" s="448">
        <f>AGO!AK30</f>
        <v>0</v>
      </c>
      <c r="AY349" s="445">
        <f>SUMIF(AGO!$G$152:$J$152,"&gt;0",AGO!$W30:$Z30)</f>
        <v>0</v>
      </c>
      <c r="AZ349" s="1063">
        <f>SUM(AGO!AB30:AE30)</f>
        <v>0</v>
      </c>
      <c r="BA349" s="445">
        <f>SUMIF(AGO!$G$159:$J$159,BA$111,AGO!$R30:$U30)+SUMIF(AGO!$G$159:$J$159,BA$111,AGO!$W30:$Z30)</f>
        <v>0</v>
      </c>
      <c r="BB349" s="446">
        <f>SUMIF(AGO!$G$159:$J$159,BB$111,AGO!$R30:$U30)+SUMIF(AGO!$G$159:$J$159,BB$111,AGO!$W30:$Z30)</f>
        <v>0</v>
      </c>
      <c r="BC349" s="446">
        <f>SUMIF(AGO!$G$159:$J$159,BC$111,AGO!$R30:$U30)+SUMIF(AGO!$G$159:$J$159,BC$111,AGO!$W30:$Z30)</f>
        <v>0</v>
      </c>
      <c r="BD349" s="446">
        <f>SUMIF(AGO!$G$159:$J$159,BD$111,AGO!$R30:$U30)+SUMIF(AGO!$G$159:$J$159,BD$111,AGO!$W30:$Z30)</f>
        <v>0</v>
      </c>
      <c r="BE349" s="446">
        <f>SUMIF(AGO!$G$159:$J$159,BE$111,AGO!$R30:$U30)+SUMIF(AGO!$G$159:$J$159,BE$111,AGO!$W30:$Z30)</f>
        <v>0</v>
      </c>
      <c r="BF349" s="446">
        <f>SUMIF(AGO!$G$159:$J$159,BF$111,AGO!$R30:$U30)+SUMIF(AGO!$G$159:$J$159,BF$111,AGO!$W30:$Z30)</f>
        <v>0</v>
      </c>
      <c r="BG349" s="448">
        <f>SUMIF(AGO!$G$159:$J$159,BG$111,AGO!$R30:$U30)+SUMIF(AGO!$G$159:$J$159,BG$111,AGO!$W30:$Z30)</f>
        <v>0</v>
      </c>
      <c r="BH349" s="571"/>
      <c r="BI349" s="448"/>
      <c r="BJ349" s="470"/>
      <c r="BK349" s="445">
        <f>SUMIF(AGO!$G$157:$J$157,BK$111,AGO!$R30:$U30)+SUMIF(AGO!$G$157:$J$157,BK$111,AGO!$W30:$Z30)</f>
        <v>0</v>
      </c>
      <c r="BL349" s="446">
        <f>SUMIF(AGO!$G$157:$J$157,BL$111,AGO!$R30:$U30)+SUMIF(AGO!$G$157:$J$157,BL$111,AGO!$W30:$Z30)</f>
        <v>0</v>
      </c>
      <c r="BM349" s="446">
        <f>SUMIF(AGO!$G$157:$J$157,BM$111,AGO!$R30:$U30)+SUMIF(AGO!$G$157:$J$157,BM$111,AGO!$W30:$Z30)</f>
        <v>0</v>
      </c>
      <c r="BN349" s="446">
        <f>SUMIF(AGO!$G$157:$J$157,BN$111,AGO!$R30:$U30)+SUMIF(AGO!$G$157:$J$157,BN$111,AGO!$W30:$Z30)</f>
        <v>0</v>
      </c>
      <c r="BO349" s="446">
        <f>SUMIF(AGO!$G$157:$J$157,BO$111,AGO!$R30:$U30)+SUMIF(AGO!$G$157:$J$157,BO$111,AGO!$W30:$Z30)</f>
        <v>0</v>
      </c>
      <c r="BP349" s="446">
        <f>SUMIF(AGO!$G$157:$J$157,BP$111,AGO!$R30:$U30)+SUMIF(AGO!$G$157:$J$157,BP$111,AGO!$W30:$Z30)</f>
        <v>0</v>
      </c>
      <c r="BQ349" s="448">
        <f>SUMIF(AGO!$G$157:$J$157,BQ$111,AGO!$R30:$U30)+SUMIF(AGO!$G$157:$J$157,BQ$111,AGO!$W30:$Z30)</f>
        <v>0</v>
      </c>
      <c r="BR349" s="571"/>
      <c r="BS349" s="446"/>
      <c r="BT349" s="448"/>
      <c r="BU349" s="470"/>
      <c r="BV349" s="445">
        <f>SUMIF(AGO!$G$158:$J$158,BV$111,AGO!$R30:$U30)+SUMIF(AGO!$G$158:$J$158,BV$111,AGO!$W30:$Z30)</f>
        <v>0</v>
      </c>
      <c r="BW349" s="446">
        <f>SUMIF(AGO!$G$158:$J$158,BW$111,AGO!$R30:$U30)+SUMIF(AGO!$G$158:$J$158,BW$111,AGO!$W30:$Z30)</f>
        <v>0</v>
      </c>
      <c r="BX349" s="446">
        <f>SUMIF(AGO!$G$158:$J$158,BX$111,AGO!$R30:$U30)+SUMIF(AGO!$G$158:$J$158,BX$111,AGO!$W30:$Z30)</f>
        <v>0</v>
      </c>
      <c r="BY349" s="446">
        <f>SUMIF(AGO!$G$158:$J$158,BY$111,AGO!$R30:$U30)+SUMIF(AGO!$G$158:$J$158,BY$111,AGO!$W30:$Z30)</f>
        <v>0</v>
      </c>
      <c r="BZ349" s="446">
        <f>SUMIF(AGO!$G$158:$J$158,BZ$111,AGO!$R30:$U30)+SUMIF(AGO!$G$158:$J$158,BZ$111,AGO!$W30:$Z30)</f>
        <v>0</v>
      </c>
      <c r="CA349" s="446">
        <f>SUMIF(AGO!$G$158:$J$158,CA$111,AGO!$R30:$U30)+SUMIF(AGO!$G$158:$J$158,CA$111,AGO!$W30:$Z30)</f>
        <v>0</v>
      </c>
      <c r="CB349" s="448">
        <f>SUMIF(AGO!$G$158:$J$158,CB$111,AGO!$R30:$U30)+SUMIF(AGO!$G$158:$J$158,CB$111,AGO!$W30:$Z30)</f>
        <v>0</v>
      </c>
      <c r="CC349" s="571"/>
      <c r="CD349" s="448"/>
      <c r="CE349" s="92">
        <f t="shared" si="279"/>
        <v>0</v>
      </c>
      <c r="CF349" s="92">
        <f t="shared" si="280"/>
        <v>0</v>
      </c>
      <c r="CG349" s="151" t="str">
        <f t="shared" si="266"/>
        <v/>
      </c>
      <c r="CH349" s="92">
        <f t="shared" si="269"/>
        <v>0</v>
      </c>
      <c r="CI349" s="92" t="str">
        <f t="shared" si="281"/>
        <v/>
      </c>
      <c r="CJ349" s="1100">
        <f>AGO!AM30</f>
        <v>0</v>
      </c>
      <c r="CK349" s="445">
        <f>SUMIF(AGO!$G$155:$J$155,CK$112,AGO!$AN30:$AQ30)</f>
        <v>0</v>
      </c>
      <c r="CL349" s="446">
        <f>SUMIF(AGO!$G$155:$J$155,CL$112,AGO!$AN30:$AQ30)</f>
        <v>0</v>
      </c>
      <c r="CM349" s="447">
        <f>SUMIF(AGO!$G$155:$J$155,CM$112,AGO!$AN30:$AQ30)</f>
        <v>0</v>
      </c>
      <c r="CN349" s="448">
        <f>SUMIF(AGO!$G$155:$J$155,CN$112,AGO!$AN30:$AQ30)</f>
        <v>0</v>
      </c>
      <c r="CO349" s="1100">
        <f>AGO!AS30</f>
        <v>0</v>
      </c>
      <c r="CP349" s="445">
        <f>AGO!AT30</f>
        <v>0</v>
      </c>
      <c r="CQ349" s="446">
        <f>AGO!AU30</f>
        <v>0</v>
      </c>
      <c r="CR349" s="447">
        <f>AGO!AV30</f>
        <v>0</v>
      </c>
      <c r="CS349" s="448">
        <f>AGO!AW30</f>
        <v>0</v>
      </c>
      <c r="CT349" s="1100">
        <f>AGO!AY30</f>
        <v>0</v>
      </c>
      <c r="CU349" s="2"/>
    </row>
    <row r="350" spans="1:99" ht="14.25" hidden="1" customHeight="1" x14ac:dyDescent="0.2">
      <c r="A350" s="2"/>
      <c r="B350" s="151">
        <f t="shared" si="270"/>
        <v>45528</v>
      </c>
      <c r="C350" s="223">
        <f>IF(AND(E350&gt;(N$492-1),E350&lt;(R$492+1)),W$485,IF(ISERROR(HLOOKUP(E350,$N$485:$U$485,1,FALSE)),HLOOKUP(WEEKDAY(E350,2),IMPOSTAZIONI!$C$51:$P$56,6,FALSE),$W$484))</f>
        <v>0</v>
      </c>
      <c r="D350" s="103" t="str">
        <f t="shared" si="271"/>
        <v/>
      </c>
      <c r="E350" s="2380">
        <f t="shared" si="282"/>
        <v>45528</v>
      </c>
      <c r="F350" s="2381"/>
      <c r="G350" s="2325" t="str">
        <f>AGO!E31</f>
        <v xml:space="preserve">attiva trim.  </v>
      </c>
      <c r="H350" s="2326"/>
      <c r="I350" s="2327"/>
      <c r="J350" s="479" t="str">
        <f t="shared" si="267"/>
        <v/>
      </c>
      <c r="K350" s="480"/>
      <c r="L350" s="2319">
        <f t="shared" si="283"/>
        <v>34</v>
      </c>
      <c r="M350" s="2320"/>
      <c r="N350" s="478"/>
      <c r="O350" s="478"/>
      <c r="P350" s="478"/>
      <c r="Q350" s="2315">
        <f t="shared" si="272"/>
        <v>45528</v>
      </c>
      <c r="R350" s="2315"/>
      <c r="S350" s="478"/>
      <c r="T350" s="140">
        <f t="shared" si="273"/>
        <v>1</v>
      </c>
      <c r="U350" s="478"/>
      <c r="V350" s="478"/>
      <c r="W350" s="478"/>
      <c r="X350" s="478"/>
      <c r="Y350" s="478"/>
      <c r="Z350" s="478"/>
      <c r="AA350" s="478"/>
      <c r="AB350" s="478"/>
      <c r="AC350" s="478"/>
      <c r="AD350" s="478"/>
      <c r="AE350" s="478"/>
      <c r="AF350" s="478"/>
      <c r="AG350" s="140">
        <f t="shared" si="274"/>
        <v>0</v>
      </c>
      <c r="AH350" s="92" t="str">
        <f t="shared" si="275"/>
        <v/>
      </c>
      <c r="AI350" s="131">
        <f t="shared" si="276"/>
        <v>0</v>
      </c>
      <c r="AJ350" s="2"/>
      <c r="AK350" s="92">
        <f>IF(G350=G$481,0,IF(OR(G350&lt;&gt;0,CJ350&lt;&gt;0,C350="L"),COUNTIF(AK$114:AK349,"&gt;0")+1,0))</f>
        <v>0</v>
      </c>
      <c r="AL350" s="92" t="str">
        <f t="shared" si="277"/>
        <v/>
      </c>
      <c r="AM350" s="92" t="str">
        <f t="shared" si="278"/>
        <v/>
      </c>
      <c r="AN350" s="131">
        <f t="shared" si="268"/>
        <v>0</v>
      </c>
      <c r="AO350" s="447">
        <f>SUM(AGO!W31:Z31)</f>
        <v>0</v>
      </c>
      <c r="AP350" s="445">
        <f>SUMIF(AGO!$G$155:$J$155,AP$112,AGO!$R31:$U31)</f>
        <v>0</v>
      </c>
      <c r="AQ350" s="446">
        <f>SUMIF(AGO!$G$155:$J$155,AQ$112,AGO!$R31:$U31)</f>
        <v>0</v>
      </c>
      <c r="AR350" s="447">
        <f>SUMIF(AGO!$G$155:$J$155,AR$112,AGO!$R31:$U31)</f>
        <v>0</v>
      </c>
      <c r="AS350" s="448">
        <f>SUMIF(AGO!$G$155:$J$155,AS$112,AGO!$R31:$U31)</f>
        <v>0</v>
      </c>
      <c r="AT350" s="449">
        <f>AGO!AG31</f>
        <v>0</v>
      </c>
      <c r="AU350" s="445">
        <f>AGO!AH31</f>
        <v>0</v>
      </c>
      <c r="AV350" s="446">
        <f>AGO!AI31</f>
        <v>0</v>
      </c>
      <c r="AW350" s="447">
        <f>AGO!AJ31</f>
        <v>0</v>
      </c>
      <c r="AX350" s="448">
        <f>AGO!AK31</f>
        <v>0</v>
      </c>
      <c r="AY350" s="445">
        <f>SUMIF(AGO!$G$152:$J$152,"&gt;0",AGO!$W31:$Z31)</f>
        <v>0</v>
      </c>
      <c r="AZ350" s="1063">
        <f>SUM(AGO!AB31:AE31)</f>
        <v>0</v>
      </c>
      <c r="BA350" s="445">
        <f>SUMIF(AGO!$G$159:$J$159,BA$111,AGO!$R31:$U31)+SUMIF(AGO!$G$159:$J$159,BA$111,AGO!$W31:$Z31)</f>
        <v>0</v>
      </c>
      <c r="BB350" s="446">
        <f>SUMIF(AGO!$G$159:$J$159,BB$111,AGO!$R31:$U31)+SUMIF(AGO!$G$159:$J$159,BB$111,AGO!$W31:$Z31)</f>
        <v>0</v>
      </c>
      <c r="BC350" s="446">
        <f>SUMIF(AGO!$G$159:$J$159,BC$111,AGO!$R31:$U31)+SUMIF(AGO!$G$159:$J$159,BC$111,AGO!$W31:$Z31)</f>
        <v>0</v>
      </c>
      <c r="BD350" s="446">
        <f>SUMIF(AGO!$G$159:$J$159,BD$111,AGO!$R31:$U31)+SUMIF(AGO!$G$159:$J$159,BD$111,AGO!$W31:$Z31)</f>
        <v>0</v>
      </c>
      <c r="BE350" s="446">
        <f>SUMIF(AGO!$G$159:$J$159,BE$111,AGO!$R31:$U31)+SUMIF(AGO!$G$159:$J$159,BE$111,AGO!$W31:$Z31)</f>
        <v>0</v>
      </c>
      <c r="BF350" s="446">
        <f>SUMIF(AGO!$G$159:$J$159,BF$111,AGO!$R31:$U31)+SUMIF(AGO!$G$159:$J$159,BF$111,AGO!$W31:$Z31)</f>
        <v>0</v>
      </c>
      <c r="BG350" s="448">
        <f>SUMIF(AGO!$G$159:$J$159,BG$111,AGO!$R31:$U31)+SUMIF(AGO!$G$159:$J$159,BG$111,AGO!$W31:$Z31)</f>
        <v>0</v>
      </c>
      <c r="BH350" s="571"/>
      <c r="BI350" s="448"/>
      <c r="BJ350" s="470"/>
      <c r="BK350" s="445">
        <f>SUMIF(AGO!$G$157:$J$157,BK$111,AGO!$R31:$U31)+SUMIF(AGO!$G$157:$J$157,BK$111,AGO!$W31:$Z31)</f>
        <v>0</v>
      </c>
      <c r="BL350" s="446">
        <f>SUMIF(AGO!$G$157:$J$157,BL$111,AGO!$R31:$U31)+SUMIF(AGO!$G$157:$J$157,BL$111,AGO!$W31:$Z31)</f>
        <v>0</v>
      </c>
      <c r="BM350" s="446">
        <f>SUMIF(AGO!$G$157:$J$157,BM$111,AGO!$R31:$U31)+SUMIF(AGO!$G$157:$J$157,BM$111,AGO!$W31:$Z31)</f>
        <v>0</v>
      </c>
      <c r="BN350" s="446">
        <f>SUMIF(AGO!$G$157:$J$157,BN$111,AGO!$R31:$U31)+SUMIF(AGO!$G$157:$J$157,BN$111,AGO!$W31:$Z31)</f>
        <v>0</v>
      </c>
      <c r="BO350" s="446">
        <f>SUMIF(AGO!$G$157:$J$157,BO$111,AGO!$R31:$U31)+SUMIF(AGO!$G$157:$J$157,BO$111,AGO!$W31:$Z31)</f>
        <v>0</v>
      </c>
      <c r="BP350" s="446">
        <f>SUMIF(AGO!$G$157:$J$157,BP$111,AGO!$R31:$U31)+SUMIF(AGO!$G$157:$J$157,BP$111,AGO!$W31:$Z31)</f>
        <v>0</v>
      </c>
      <c r="BQ350" s="448">
        <f>SUMIF(AGO!$G$157:$J$157,BQ$111,AGO!$R31:$U31)+SUMIF(AGO!$G$157:$J$157,BQ$111,AGO!$W31:$Z31)</f>
        <v>0</v>
      </c>
      <c r="BR350" s="571"/>
      <c r="BS350" s="446"/>
      <c r="BT350" s="448"/>
      <c r="BU350" s="470"/>
      <c r="BV350" s="445">
        <f>SUMIF(AGO!$G$158:$J$158,BV$111,AGO!$R31:$U31)+SUMIF(AGO!$G$158:$J$158,BV$111,AGO!$W31:$Z31)</f>
        <v>0</v>
      </c>
      <c r="BW350" s="446">
        <f>SUMIF(AGO!$G$158:$J$158,BW$111,AGO!$R31:$U31)+SUMIF(AGO!$G$158:$J$158,BW$111,AGO!$W31:$Z31)</f>
        <v>0</v>
      </c>
      <c r="BX350" s="446">
        <f>SUMIF(AGO!$G$158:$J$158,BX$111,AGO!$R31:$U31)+SUMIF(AGO!$G$158:$J$158,BX$111,AGO!$W31:$Z31)</f>
        <v>0</v>
      </c>
      <c r="BY350" s="446">
        <f>SUMIF(AGO!$G$158:$J$158,BY$111,AGO!$R31:$U31)+SUMIF(AGO!$G$158:$J$158,BY$111,AGO!$W31:$Z31)</f>
        <v>0</v>
      </c>
      <c r="BZ350" s="446">
        <f>SUMIF(AGO!$G$158:$J$158,BZ$111,AGO!$R31:$U31)+SUMIF(AGO!$G$158:$J$158,BZ$111,AGO!$W31:$Z31)</f>
        <v>0</v>
      </c>
      <c r="CA350" s="446">
        <f>SUMIF(AGO!$G$158:$J$158,CA$111,AGO!$R31:$U31)+SUMIF(AGO!$G$158:$J$158,CA$111,AGO!$W31:$Z31)</f>
        <v>0</v>
      </c>
      <c r="CB350" s="448">
        <f>SUMIF(AGO!$G$158:$J$158,CB$111,AGO!$R31:$U31)+SUMIF(AGO!$G$158:$J$158,CB$111,AGO!$W31:$Z31)</f>
        <v>0</v>
      </c>
      <c r="CC350" s="571"/>
      <c r="CD350" s="448"/>
      <c r="CE350" s="92">
        <f t="shared" si="279"/>
        <v>0</v>
      </c>
      <c r="CF350" s="92">
        <f t="shared" si="280"/>
        <v>0</v>
      </c>
      <c r="CG350" s="151" t="str">
        <f t="shared" si="266"/>
        <v/>
      </c>
      <c r="CH350" s="92">
        <f t="shared" si="269"/>
        <v>0</v>
      </c>
      <c r="CI350" s="92" t="str">
        <f t="shared" si="281"/>
        <v/>
      </c>
      <c r="CJ350" s="1100">
        <f>AGO!AM31</f>
        <v>0</v>
      </c>
      <c r="CK350" s="445">
        <f>SUMIF(AGO!$G$155:$J$155,CK$112,AGO!$AN31:$AQ31)</f>
        <v>0</v>
      </c>
      <c r="CL350" s="446">
        <f>SUMIF(AGO!$G$155:$J$155,CL$112,AGO!$AN31:$AQ31)</f>
        <v>0</v>
      </c>
      <c r="CM350" s="447">
        <f>SUMIF(AGO!$G$155:$J$155,CM$112,AGO!$AN31:$AQ31)</f>
        <v>0</v>
      </c>
      <c r="CN350" s="448">
        <f>SUMIF(AGO!$G$155:$J$155,CN$112,AGO!$AN31:$AQ31)</f>
        <v>0</v>
      </c>
      <c r="CO350" s="1100">
        <f>AGO!AS31</f>
        <v>0</v>
      </c>
      <c r="CP350" s="445">
        <f>AGO!AT31</f>
        <v>0</v>
      </c>
      <c r="CQ350" s="446">
        <f>AGO!AU31</f>
        <v>0</v>
      </c>
      <c r="CR350" s="447">
        <f>AGO!AV31</f>
        <v>0</v>
      </c>
      <c r="CS350" s="448">
        <f>AGO!AW31</f>
        <v>0</v>
      </c>
      <c r="CT350" s="1100">
        <f>AGO!AY31</f>
        <v>0</v>
      </c>
      <c r="CU350" s="2"/>
    </row>
    <row r="351" spans="1:99" ht="14.25" hidden="1" customHeight="1" x14ac:dyDescent="0.2">
      <c r="A351" s="2"/>
      <c r="B351" s="151">
        <f t="shared" si="270"/>
        <v>45529</v>
      </c>
      <c r="C351" s="223">
        <f>IF(AND(E351&gt;(N$492-1),E351&lt;(R$492+1)),W$485,IF(ISERROR(HLOOKUP(E351,$N$485:$U$485,1,FALSE)),HLOOKUP(WEEKDAY(E351,2),IMPOSTAZIONI!$C$51:$P$56,6,FALSE),$W$484))</f>
        <v>0</v>
      </c>
      <c r="D351" s="103" t="str">
        <f t="shared" si="271"/>
        <v/>
      </c>
      <c r="E351" s="2380">
        <f t="shared" si="282"/>
        <v>45529</v>
      </c>
      <c r="F351" s="2381"/>
      <c r="G351" s="2325" t="str">
        <f>AGO!E32</f>
        <v xml:space="preserve">attiva trim.  </v>
      </c>
      <c r="H351" s="2326"/>
      <c r="I351" s="2327"/>
      <c r="J351" s="479" t="str">
        <f t="shared" si="267"/>
        <v/>
      </c>
      <c r="K351" s="480"/>
      <c r="L351" s="2321">
        <f t="shared" si="283"/>
        <v>34</v>
      </c>
      <c r="M351" s="2322"/>
      <c r="N351" s="478"/>
      <c r="O351" s="478"/>
      <c r="P351" s="478"/>
      <c r="Q351" s="2315">
        <f t="shared" si="272"/>
        <v>45529</v>
      </c>
      <c r="R351" s="2315"/>
      <c r="S351" s="478"/>
      <c r="T351" s="140">
        <f t="shared" si="273"/>
        <v>1</v>
      </c>
      <c r="U351" s="478"/>
      <c r="V351" s="478"/>
      <c r="W351" s="478"/>
      <c r="X351" s="478"/>
      <c r="Y351" s="478"/>
      <c r="Z351" s="478"/>
      <c r="AA351" s="478"/>
      <c r="AB351" s="478"/>
      <c r="AC351" s="478"/>
      <c r="AD351" s="478"/>
      <c r="AE351" s="478"/>
      <c r="AF351" s="478"/>
      <c r="AG351" s="140">
        <f t="shared" si="274"/>
        <v>0</v>
      </c>
      <c r="AH351" s="92" t="str">
        <f t="shared" si="275"/>
        <v/>
      </c>
      <c r="AI351" s="131">
        <f t="shared" si="276"/>
        <v>0</v>
      </c>
      <c r="AJ351" s="2"/>
      <c r="AK351" s="92">
        <f>IF(G351=G$481,0,IF(OR(G351&lt;&gt;0,CJ351&lt;&gt;0,C351="L"),COUNTIF(AK$114:AK350,"&gt;0")+1,0))</f>
        <v>0</v>
      </c>
      <c r="AL351" s="92" t="str">
        <f t="shared" si="277"/>
        <v/>
      </c>
      <c r="AM351" s="92" t="str">
        <f t="shared" si="278"/>
        <v/>
      </c>
      <c r="AN351" s="131">
        <f t="shared" si="268"/>
        <v>0</v>
      </c>
      <c r="AO351" s="447">
        <f>SUM(AGO!W32:Z32)</f>
        <v>0</v>
      </c>
      <c r="AP351" s="445">
        <f>SUMIF(AGO!$G$155:$J$155,AP$112,AGO!$R32:$U32)</f>
        <v>0</v>
      </c>
      <c r="AQ351" s="446">
        <f>SUMIF(AGO!$G$155:$J$155,AQ$112,AGO!$R32:$U32)</f>
        <v>0</v>
      </c>
      <c r="AR351" s="447">
        <f>SUMIF(AGO!$G$155:$J$155,AR$112,AGO!$R32:$U32)</f>
        <v>0</v>
      </c>
      <c r="AS351" s="448">
        <f>SUMIF(AGO!$G$155:$J$155,AS$112,AGO!$R32:$U32)</f>
        <v>0</v>
      </c>
      <c r="AT351" s="449">
        <f>AGO!AG32</f>
        <v>0</v>
      </c>
      <c r="AU351" s="445">
        <f>AGO!AH32</f>
        <v>0</v>
      </c>
      <c r="AV351" s="446">
        <f>AGO!AI32</f>
        <v>0</v>
      </c>
      <c r="AW351" s="447">
        <f>AGO!AJ32</f>
        <v>0</v>
      </c>
      <c r="AX351" s="448">
        <f>AGO!AK32</f>
        <v>0</v>
      </c>
      <c r="AY351" s="445">
        <f>SUMIF(AGO!$G$152:$J$152,"&gt;0",AGO!$W32:$Z32)</f>
        <v>0</v>
      </c>
      <c r="AZ351" s="1063">
        <f>SUM(AGO!AB32:AE32)</f>
        <v>0</v>
      </c>
      <c r="BA351" s="445">
        <f>SUMIF(AGO!$G$159:$J$159,BA$111,AGO!$R32:$U32)+SUMIF(AGO!$G$159:$J$159,BA$111,AGO!$W32:$Z32)</f>
        <v>0</v>
      </c>
      <c r="BB351" s="446">
        <f>SUMIF(AGO!$G$159:$J$159,BB$111,AGO!$R32:$U32)+SUMIF(AGO!$G$159:$J$159,BB$111,AGO!$W32:$Z32)</f>
        <v>0</v>
      </c>
      <c r="BC351" s="446">
        <f>SUMIF(AGO!$G$159:$J$159,BC$111,AGO!$R32:$U32)+SUMIF(AGO!$G$159:$J$159,BC$111,AGO!$W32:$Z32)</f>
        <v>0</v>
      </c>
      <c r="BD351" s="446">
        <f>SUMIF(AGO!$G$159:$J$159,BD$111,AGO!$R32:$U32)+SUMIF(AGO!$G$159:$J$159,BD$111,AGO!$W32:$Z32)</f>
        <v>0</v>
      </c>
      <c r="BE351" s="446">
        <f>SUMIF(AGO!$G$159:$J$159,BE$111,AGO!$R32:$U32)+SUMIF(AGO!$G$159:$J$159,BE$111,AGO!$W32:$Z32)</f>
        <v>0</v>
      </c>
      <c r="BF351" s="446">
        <f>SUMIF(AGO!$G$159:$J$159,BF$111,AGO!$R32:$U32)+SUMIF(AGO!$G$159:$J$159,BF$111,AGO!$W32:$Z32)</f>
        <v>0</v>
      </c>
      <c r="BG351" s="448">
        <f>SUMIF(AGO!$G$159:$J$159,BG$111,AGO!$R32:$U32)+SUMIF(AGO!$G$159:$J$159,BG$111,AGO!$W32:$Z32)</f>
        <v>0</v>
      </c>
      <c r="BH351" s="571"/>
      <c r="BI351" s="448"/>
      <c r="BJ351" s="470"/>
      <c r="BK351" s="445">
        <f>SUMIF(AGO!$G$157:$J$157,BK$111,AGO!$R32:$U32)+SUMIF(AGO!$G$157:$J$157,BK$111,AGO!$W32:$Z32)</f>
        <v>0</v>
      </c>
      <c r="BL351" s="446">
        <f>SUMIF(AGO!$G$157:$J$157,BL$111,AGO!$R32:$U32)+SUMIF(AGO!$G$157:$J$157,BL$111,AGO!$W32:$Z32)</f>
        <v>0</v>
      </c>
      <c r="BM351" s="446">
        <f>SUMIF(AGO!$G$157:$J$157,BM$111,AGO!$R32:$U32)+SUMIF(AGO!$G$157:$J$157,BM$111,AGO!$W32:$Z32)</f>
        <v>0</v>
      </c>
      <c r="BN351" s="446">
        <f>SUMIF(AGO!$G$157:$J$157,BN$111,AGO!$R32:$U32)+SUMIF(AGO!$G$157:$J$157,BN$111,AGO!$W32:$Z32)</f>
        <v>0</v>
      </c>
      <c r="BO351" s="446">
        <f>SUMIF(AGO!$G$157:$J$157,BO$111,AGO!$R32:$U32)+SUMIF(AGO!$G$157:$J$157,BO$111,AGO!$W32:$Z32)</f>
        <v>0</v>
      </c>
      <c r="BP351" s="446">
        <f>SUMIF(AGO!$G$157:$J$157,BP$111,AGO!$R32:$U32)+SUMIF(AGO!$G$157:$J$157,BP$111,AGO!$W32:$Z32)</f>
        <v>0</v>
      </c>
      <c r="BQ351" s="448">
        <f>SUMIF(AGO!$G$157:$J$157,BQ$111,AGO!$R32:$U32)+SUMIF(AGO!$G$157:$J$157,BQ$111,AGO!$W32:$Z32)</f>
        <v>0</v>
      </c>
      <c r="BR351" s="571"/>
      <c r="BS351" s="446"/>
      <c r="BT351" s="448"/>
      <c r="BU351" s="470"/>
      <c r="BV351" s="445">
        <f>SUMIF(AGO!$G$158:$J$158,BV$111,AGO!$R32:$U32)+SUMIF(AGO!$G$158:$J$158,BV$111,AGO!$W32:$Z32)</f>
        <v>0</v>
      </c>
      <c r="BW351" s="446">
        <f>SUMIF(AGO!$G$158:$J$158,BW$111,AGO!$R32:$U32)+SUMIF(AGO!$G$158:$J$158,BW$111,AGO!$W32:$Z32)</f>
        <v>0</v>
      </c>
      <c r="BX351" s="446">
        <f>SUMIF(AGO!$G$158:$J$158,BX$111,AGO!$R32:$U32)+SUMIF(AGO!$G$158:$J$158,BX$111,AGO!$W32:$Z32)</f>
        <v>0</v>
      </c>
      <c r="BY351" s="446">
        <f>SUMIF(AGO!$G$158:$J$158,BY$111,AGO!$R32:$U32)+SUMIF(AGO!$G$158:$J$158,BY$111,AGO!$W32:$Z32)</f>
        <v>0</v>
      </c>
      <c r="BZ351" s="446">
        <f>SUMIF(AGO!$G$158:$J$158,BZ$111,AGO!$R32:$U32)+SUMIF(AGO!$G$158:$J$158,BZ$111,AGO!$W32:$Z32)</f>
        <v>0</v>
      </c>
      <c r="CA351" s="446">
        <f>SUMIF(AGO!$G$158:$J$158,CA$111,AGO!$R32:$U32)+SUMIF(AGO!$G$158:$J$158,CA$111,AGO!$W32:$Z32)</f>
        <v>0</v>
      </c>
      <c r="CB351" s="448">
        <f>SUMIF(AGO!$G$158:$J$158,CB$111,AGO!$R32:$U32)+SUMIF(AGO!$G$158:$J$158,CB$111,AGO!$W32:$Z32)</f>
        <v>0</v>
      </c>
      <c r="CC351" s="571"/>
      <c r="CD351" s="448"/>
      <c r="CE351" s="92">
        <f t="shared" si="279"/>
        <v>0</v>
      </c>
      <c r="CF351" s="92">
        <f t="shared" si="280"/>
        <v>0</v>
      </c>
      <c r="CG351" s="151" t="str">
        <f t="shared" si="266"/>
        <v/>
      </c>
      <c r="CH351" s="92">
        <f t="shared" si="269"/>
        <v>0</v>
      </c>
      <c r="CI351" s="92" t="str">
        <f t="shared" si="281"/>
        <v/>
      </c>
      <c r="CJ351" s="1100">
        <f>AGO!AM32</f>
        <v>0</v>
      </c>
      <c r="CK351" s="445">
        <f>SUMIF(AGO!$G$155:$J$155,CK$112,AGO!$AN32:$AQ32)</f>
        <v>0</v>
      </c>
      <c r="CL351" s="446">
        <f>SUMIF(AGO!$G$155:$J$155,CL$112,AGO!$AN32:$AQ32)</f>
        <v>0</v>
      </c>
      <c r="CM351" s="447">
        <f>SUMIF(AGO!$G$155:$J$155,CM$112,AGO!$AN32:$AQ32)</f>
        <v>0</v>
      </c>
      <c r="CN351" s="448">
        <f>SUMIF(AGO!$G$155:$J$155,CN$112,AGO!$AN32:$AQ32)</f>
        <v>0</v>
      </c>
      <c r="CO351" s="1100">
        <f>AGO!AS32</f>
        <v>0</v>
      </c>
      <c r="CP351" s="445">
        <f>AGO!AT32</f>
        <v>0</v>
      </c>
      <c r="CQ351" s="446">
        <f>AGO!AU32</f>
        <v>0</v>
      </c>
      <c r="CR351" s="447">
        <f>AGO!AV32</f>
        <v>0</v>
      </c>
      <c r="CS351" s="448">
        <f>AGO!AW32</f>
        <v>0</v>
      </c>
      <c r="CT351" s="1100">
        <f>AGO!AY32</f>
        <v>0</v>
      </c>
      <c r="CU351" s="2"/>
    </row>
    <row r="352" spans="1:99" ht="14.25" hidden="1" customHeight="1" x14ac:dyDescent="0.2">
      <c r="A352" s="2"/>
      <c r="B352" s="151">
        <f t="shared" si="270"/>
        <v>45530</v>
      </c>
      <c r="C352" s="223">
        <f>IF(AND(E352&gt;(N$492-1),E352&lt;(R$492+1)),W$485,IF(ISERROR(HLOOKUP(E352,$N$485:$U$485,1,FALSE)),HLOOKUP(WEEKDAY(E352,2),IMPOSTAZIONI!$C$51:$P$56,6,FALSE),$W$484))</f>
        <v>0</v>
      </c>
      <c r="D352" s="103" t="str">
        <f t="shared" si="271"/>
        <v/>
      </c>
      <c r="E352" s="2380">
        <f t="shared" si="282"/>
        <v>45530</v>
      </c>
      <c r="F352" s="2381"/>
      <c r="G352" s="2325" t="str">
        <f>AGO!E33</f>
        <v xml:space="preserve">attiva trim.  </v>
      </c>
      <c r="H352" s="2326"/>
      <c r="I352" s="2327"/>
      <c r="J352" s="479" t="str">
        <f t="shared" si="267"/>
        <v/>
      </c>
      <c r="K352" s="480"/>
      <c r="L352" s="2323">
        <f t="shared" si="283"/>
        <v>35</v>
      </c>
      <c r="M352" s="2324"/>
      <c r="N352" s="478"/>
      <c r="O352" s="478"/>
      <c r="P352" s="478"/>
      <c r="Q352" s="2315">
        <f t="shared" si="272"/>
        <v>45530</v>
      </c>
      <c r="R352" s="2315"/>
      <c r="S352" s="478"/>
      <c r="T352" s="140">
        <f t="shared" si="273"/>
        <v>1</v>
      </c>
      <c r="U352" s="478"/>
      <c r="V352" s="478"/>
      <c r="W352" s="478"/>
      <c r="X352" s="478"/>
      <c r="Y352" s="478"/>
      <c r="Z352" s="478"/>
      <c r="AA352" s="478"/>
      <c r="AB352" s="478"/>
      <c r="AC352" s="478"/>
      <c r="AD352" s="478"/>
      <c r="AE352" s="478"/>
      <c r="AF352" s="478"/>
      <c r="AG352" s="140">
        <f t="shared" si="274"/>
        <v>0</v>
      </c>
      <c r="AH352" s="92" t="str">
        <f t="shared" si="275"/>
        <v/>
      </c>
      <c r="AI352" s="131">
        <f t="shared" si="276"/>
        <v>0</v>
      </c>
      <c r="AJ352" s="2"/>
      <c r="AK352" s="92">
        <f>IF(G352=G$481,0,IF(OR(G352&lt;&gt;0,CJ352&lt;&gt;0,C352="L"),COUNTIF(AK$114:AK351,"&gt;0")+1,0))</f>
        <v>0</v>
      </c>
      <c r="AL352" s="92" t="str">
        <f t="shared" si="277"/>
        <v/>
      </c>
      <c r="AM352" s="92" t="str">
        <f t="shared" si="278"/>
        <v/>
      </c>
      <c r="AN352" s="131">
        <f t="shared" si="268"/>
        <v>0</v>
      </c>
      <c r="AO352" s="447">
        <f>SUM(AGO!W33:Z33)</f>
        <v>0</v>
      </c>
      <c r="AP352" s="445">
        <f>SUMIF(AGO!$G$155:$J$155,AP$112,AGO!$R33:$U33)</f>
        <v>0</v>
      </c>
      <c r="AQ352" s="446">
        <f>SUMIF(AGO!$G$155:$J$155,AQ$112,AGO!$R33:$U33)</f>
        <v>0</v>
      </c>
      <c r="AR352" s="447">
        <f>SUMIF(AGO!$G$155:$J$155,AR$112,AGO!$R33:$U33)</f>
        <v>0</v>
      </c>
      <c r="AS352" s="448">
        <f>SUMIF(AGO!$G$155:$J$155,AS$112,AGO!$R33:$U33)</f>
        <v>0</v>
      </c>
      <c r="AT352" s="449">
        <f>AGO!AG33</f>
        <v>0</v>
      </c>
      <c r="AU352" s="445">
        <f>AGO!AH33</f>
        <v>0</v>
      </c>
      <c r="AV352" s="446">
        <f>AGO!AI33</f>
        <v>0</v>
      </c>
      <c r="AW352" s="447">
        <f>AGO!AJ33</f>
        <v>0</v>
      </c>
      <c r="AX352" s="448">
        <f>AGO!AK33</f>
        <v>0</v>
      </c>
      <c r="AY352" s="445">
        <f>SUMIF(AGO!$G$152:$J$152,"&gt;0",AGO!$W33:$Z33)</f>
        <v>0</v>
      </c>
      <c r="AZ352" s="1063">
        <f>SUM(AGO!AB33:AE33)</f>
        <v>0</v>
      </c>
      <c r="BA352" s="445">
        <f>SUMIF(AGO!$G$159:$J$159,BA$111,AGO!$R33:$U33)+SUMIF(AGO!$G$159:$J$159,BA$111,AGO!$W33:$Z33)</f>
        <v>0</v>
      </c>
      <c r="BB352" s="446">
        <f>SUMIF(AGO!$G$159:$J$159,BB$111,AGO!$R33:$U33)+SUMIF(AGO!$G$159:$J$159,BB$111,AGO!$W33:$Z33)</f>
        <v>0</v>
      </c>
      <c r="BC352" s="446">
        <f>SUMIF(AGO!$G$159:$J$159,BC$111,AGO!$R33:$U33)+SUMIF(AGO!$G$159:$J$159,BC$111,AGO!$W33:$Z33)</f>
        <v>0</v>
      </c>
      <c r="BD352" s="446">
        <f>SUMIF(AGO!$G$159:$J$159,BD$111,AGO!$R33:$U33)+SUMIF(AGO!$G$159:$J$159,BD$111,AGO!$W33:$Z33)</f>
        <v>0</v>
      </c>
      <c r="BE352" s="446">
        <f>SUMIF(AGO!$G$159:$J$159,BE$111,AGO!$R33:$U33)+SUMIF(AGO!$G$159:$J$159,BE$111,AGO!$W33:$Z33)</f>
        <v>0</v>
      </c>
      <c r="BF352" s="446">
        <f>SUMIF(AGO!$G$159:$J$159,BF$111,AGO!$R33:$U33)+SUMIF(AGO!$G$159:$J$159,BF$111,AGO!$W33:$Z33)</f>
        <v>0</v>
      </c>
      <c r="BG352" s="448">
        <f>SUMIF(AGO!$G$159:$J$159,BG$111,AGO!$R33:$U33)+SUMIF(AGO!$G$159:$J$159,BG$111,AGO!$W33:$Z33)</f>
        <v>0</v>
      </c>
      <c r="BH352" s="571"/>
      <c r="BI352" s="448"/>
      <c r="BJ352" s="470"/>
      <c r="BK352" s="445">
        <f>SUMIF(AGO!$G$157:$J$157,BK$111,AGO!$R33:$U33)+SUMIF(AGO!$G$157:$J$157,BK$111,AGO!$W33:$Z33)</f>
        <v>0</v>
      </c>
      <c r="BL352" s="446">
        <f>SUMIF(AGO!$G$157:$J$157,BL$111,AGO!$R33:$U33)+SUMIF(AGO!$G$157:$J$157,BL$111,AGO!$W33:$Z33)</f>
        <v>0</v>
      </c>
      <c r="BM352" s="446">
        <f>SUMIF(AGO!$G$157:$J$157,BM$111,AGO!$R33:$U33)+SUMIF(AGO!$G$157:$J$157,BM$111,AGO!$W33:$Z33)</f>
        <v>0</v>
      </c>
      <c r="BN352" s="446">
        <f>SUMIF(AGO!$G$157:$J$157,BN$111,AGO!$R33:$U33)+SUMIF(AGO!$G$157:$J$157,BN$111,AGO!$W33:$Z33)</f>
        <v>0</v>
      </c>
      <c r="BO352" s="446">
        <f>SUMIF(AGO!$G$157:$J$157,BO$111,AGO!$R33:$U33)+SUMIF(AGO!$G$157:$J$157,BO$111,AGO!$W33:$Z33)</f>
        <v>0</v>
      </c>
      <c r="BP352" s="446">
        <f>SUMIF(AGO!$G$157:$J$157,BP$111,AGO!$R33:$U33)+SUMIF(AGO!$G$157:$J$157,BP$111,AGO!$W33:$Z33)</f>
        <v>0</v>
      </c>
      <c r="BQ352" s="448">
        <f>SUMIF(AGO!$G$157:$J$157,BQ$111,AGO!$R33:$U33)+SUMIF(AGO!$G$157:$J$157,BQ$111,AGO!$W33:$Z33)</f>
        <v>0</v>
      </c>
      <c r="BR352" s="571"/>
      <c r="BS352" s="446"/>
      <c r="BT352" s="448"/>
      <c r="BU352" s="470"/>
      <c r="BV352" s="445">
        <f>SUMIF(AGO!$G$158:$J$158,BV$111,AGO!$R33:$U33)+SUMIF(AGO!$G$158:$J$158,BV$111,AGO!$W33:$Z33)</f>
        <v>0</v>
      </c>
      <c r="BW352" s="446">
        <f>SUMIF(AGO!$G$158:$J$158,BW$111,AGO!$R33:$U33)+SUMIF(AGO!$G$158:$J$158,BW$111,AGO!$W33:$Z33)</f>
        <v>0</v>
      </c>
      <c r="BX352" s="446">
        <f>SUMIF(AGO!$G$158:$J$158,BX$111,AGO!$R33:$U33)+SUMIF(AGO!$G$158:$J$158,BX$111,AGO!$W33:$Z33)</f>
        <v>0</v>
      </c>
      <c r="BY352" s="446">
        <f>SUMIF(AGO!$G$158:$J$158,BY$111,AGO!$R33:$U33)+SUMIF(AGO!$G$158:$J$158,BY$111,AGO!$W33:$Z33)</f>
        <v>0</v>
      </c>
      <c r="BZ352" s="446">
        <f>SUMIF(AGO!$G$158:$J$158,BZ$111,AGO!$R33:$U33)+SUMIF(AGO!$G$158:$J$158,BZ$111,AGO!$W33:$Z33)</f>
        <v>0</v>
      </c>
      <c r="CA352" s="446">
        <f>SUMIF(AGO!$G$158:$J$158,CA$111,AGO!$R33:$U33)+SUMIF(AGO!$G$158:$J$158,CA$111,AGO!$W33:$Z33)</f>
        <v>0</v>
      </c>
      <c r="CB352" s="448">
        <f>SUMIF(AGO!$G$158:$J$158,CB$111,AGO!$R33:$U33)+SUMIF(AGO!$G$158:$J$158,CB$111,AGO!$W33:$Z33)</f>
        <v>0</v>
      </c>
      <c r="CC352" s="571"/>
      <c r="CD352" s="448"/>
      <c r="CE352" s="92">
        <f t="shared" si="279"/>
        <v>0</v>
      </c>
      <c r="CF352" s="92">
        <f t="shared" si="280"/>
        <v>0</v>
      </c>
      <c r="CG352" s="151" t="str">
        <f t="shared" si="266"/>
        <v/>
      </c>
      <c r="CH352" s="92">
        <f t="shared" si="269"/>
        <v>0</v>
      </c>
      <c r="CI352" s="92" t="str">
        <f t="shared" si="281"/>
        <v/>
      </c>
      <c r="CJ352" s="1100">
        <f>AGO!AM33</f>
        <v>0</v>
      </c>
      <c r="CK352" s="445">
        <f>SUMIF(AGO!$G$155:$J$155,CK$112,AGO!$AN33:$AQ33)</f>
        <v>0</v>
      </c>
      <c r="CL352" s="446">
        <f>SUMIF(AGO!$G$155:$J$155,CL$112,AGO!$AN33:$AQ33)</f>
        <v>0</v>
      </c>
      <c r="CM352" s="447">
        <f>SUMIF(AGO!$G$155:$J$155,CM$112,AGO!$AN33:$AQ33)</f>
        <v>0</v>
      </c>
      <c r="CN352" s="448">
        <f>SUMIF(AGO!$G$155:$J$155,CN$112,AGO!$AN33:$AQ33)</f>
        <v>0</v>
      </c>
      <c r="CO352" s="1100">
        <f>AGO!AS33</f>
        <v>0</v>
      </c>
      <c r="CP352" s="445">
        <f>AGO!AT33</f>
        <v>0</v>
      </c>
      <c r="CQ352" s="446">
        <f>AGO!AU33</f>
        <v>0</v>
      </c>
      <c r="CR352" s="447">
        <f>AGO!AV33</f>
        <v>0</v>
      </c>
      <c r="CS352" s="448">
        <f>AGO!AW33</f>
        <v>0</v>
      </c>
      <c r="CT352" s="1100">
        <f>AGO!AY33</f>
        <v>0</v>
      </c>
      <c r="CU352" s="2"/>
    </row>
    <row r="353" spans="1:99" ht="14.25" hidden="1" customHeight="1" x14ac:dyDescent="0.2">
      <c r="A353" s="2"/>
      <c r="B353" s="151">
        <f t="shared" si="270"/>
        <v>45531</v>
      </c>
      <c r="C353" s="223">
        <f>IF(AND(E353&gt;(N$492-1),E353&lt;(R$492+1)),W$485,IF(ISERROR(HLOOKUP(E353,$N$485:$U$485,1,FALSE)),HLOOKUP(WEEKDAY(E353,2),IMPOSTAZIONI!$C$51:$P$56,6,FALSE),$W$484))</f>
        <v>0</v>
      </c>
      <c r="D353" s="103" t="str">
        <f t="shared" si="271"/>
        <v/>
      </c>
      <c r="E353" s="2380">
        <f t="shared" si="282"/>
        <v>45531</v>
      </c>
      <c r="F353" s="2381"/>
      <c r="G353" s="2325" t="str">
        <f>AGO!E34</f>
        <v xml:space="preserve">attiva trim.  </v>
      </c>
      <c r="H353" s="2326"/>
      <c r="I353" s="2327"/>
      <c r="J353" s="479" t="str">
        <f t="shared" si="267"/>
        <v/>
      </c>
      <c r="K353" s="480"/>
      <c r="L353" s="2319">
        <f t="shared" si="283"/>
        <v>35</v>
      </c>
      <c r="M353" s="2320"/>
      <c r="N353" s="478"/>
      <c r="O353" s="478"/>
      <c r="P353" s="478"/>
      <c r="Q353" s="2315">
        <f t="shared" si="272"/>
        <v>45531</v>
      </c>
      <c r="R353" s="2315"/>
      <c r="S353" s="478"/>
      <c r="T353" s="140">
        <f t="shared" si="273"/>
        <v>1</v>
      </c>
      <c r="U353" s="478"/>
      <c r="V353" s="478"/>
      <c r="W353" s="478"/>
      <c r="X353" s="478"/>
      <c r="Y353" s="478"/>
      <c r="Z353" s="478"/>
      <c r="AA353" s="478"/>
      <c r="AB353" s="478"/>
      <c r="AC353" s="478"/>
      <c r="AD353" s="478"/>
      <c r="AE353" s="478"/>
      <c r="AF353" s="478"/>
      <c r="AG353" s="140">
        <f t="shared" si="274"/>
        <v>0</v>
      </c>
      <c r="AH353" s="92" t="str">
        <f t="shared" si="275"/>
        <v/>
      </c>
      <c r="AI353" s="131">
        <f t="shared" si="276"/>
        <v>0</v>
      </c>
      <c r="AJ353" s="2"/>
      <c r="AK353" s="92">
        <f>IF(G353=G$481,0,IF(OR(G353&lt;&gt;0,CJ353&lt;&gt;0,C353="L"),COUNTIF(AK$114:AK352,"&gt;0")+1,0))</f>
        <v>0</v>
      </c>
      <c r="AL353" s="92" t="str">
        <f t="shared" si="277"/>
        <v/>
      </c>
      <c r="AM353" s="92" t="str">
        <f t="shared" si="278"/>
        <v/>
      </c>
      <c r="AN353" s="131">
        <f t="shared" si="268"/>
        <v>0</v>
      </c>
      <c r="AO353" s="447">
        <f>SUM(AGO!W34:Z34)</f>
        <v>0</v>
      </c>
      <c r="AP353" s="445">
        <f>SUMIF(AGO!$G$155:$J$155,AP$112,AGO!$R34:$U34)</f>
        <v>0</v>
      </c>
      <c r="AQ353" s="446">
        <f>SUMIF(AGO!$G$155:$J$155,AQ$112,AGO!$R34:$U34)</f>
        <v>0</v>
      </c>
      <c r="AR353" s="447">
        <f>SUMIF(AGO!$G$155:$J$155,AR$112,AGO!$R34:$U34)</f>
        <v>0</v>
      </c>
      <c r="AS353" s="448">
        <f>SUMIF(AGO!$G$155:$J$155,AS$112,AGO!$R34:$U34)</f>
        <v>0</v>
      </c>
      <c r="AT353" s="449">
        <f>AGO!AG34</f>
        <v>0</v>
      </c>
      <c r="AU353" s="445">
        <f>AGO!AH34</f>
        <v>0</v>
      </c>
      <c r="AV353" s="446">
        <f>AGO!AI34</f>
        <v>0</v>
      </c>
      <c r="AW353" s="447">
        <f>AGO!AJ34</f>
        <v>0</v>
      </c>
      <c r="AX353" s="448">
        <f>AGO!AK34</f>
        <v>0</v>
      </c>
      <c r="AY353" s="445">
        <f>SUMIF(AGO!$G$152:$J$152,"&gt;0",AGO!$W34:$Z34)</f>
        <v>0</v>
      </c>
      <c r="AZ353" s="1063">
        <f>SUM(AGO!AB34:AE34)</f>
        <v>0</v>
      </c>
      <c r="BA353" s="445">
        <f>SUMIF(AGO!$G$159:$J$159,BA$111,AGO!$R34:$U34)+SUMIF(AGO!$G$159:$J$159,BA$111,AGO!$W34:$Z34)</f>
        <v>0</v>
      </c>
      <c r="BB353" s="446">
        <f>SUMIF(AGO!$G$159:$J$159,BB$111,AGO!$R34:$U34)+SUMIF(AGO!$G$159:$J$159,BB$111,AGO!$W34:$Z34)</f>
        <v>0</v>
      </c>
      <c r="BC353" s="446">
        <f>SUMIF(AGO!$G$159:$J$159,BC$111,AGO!$R34:$U34)+SUMIF(AGO!$G$159:$J$159,BC$111,AGO!$W34:$Z34)</f>
        <v>0</v>
      </c>
      <c r="BD353" s="446">
        <f>SUMIF(AGO!$G$159:$J$159,BD$111,AGO!$R34:$U34)+SUMIF(AGO!$G$159:$J$159,BD$111,AGO!$W34:$Z34)</f>
        <v>0</v>
      </c>
      <c r="BE353" s="446">
        <f>SUMIF(AGO!$G$159:$J$159,BE$111,AGO!$R34:$U34)+SUMIF(AGO!$G$159:$J$159,BE$111,AGO!$W34:$Z34)</f>
        <v>0</v>
      </c>
      <c r="BF353" s="446">
        <f>SUMIF(AGO!$G$159:$J$159,BF$111,AGO!$R34:$U34)+SUMIF(AGO!$G$159:$J$159,BF$111,AGO!$W34:$Z34)</f>
        <v>0</v>
      </c>
      <c r="BG353" s="448">
        <f>SUMIF(AGO!$G$159:$J$159,BG$111,AGO!$R34:$U34)+SUMIF(AGO!$G$159:$J$159,BG$111,AGO!$W34:$Z34)</f>
        <v>0</v>
      </c>
      <c r="BH353" s="571"/>
      <c r="BI353" s="448"/>
      <c r="BJ353" s="470"/>
      <c r="BK353" s="445">
        <f>SUMIF(AGO!$G$157:$J$157,BK$111,AGO!$R34:$U34)+SUMIF(AGO!$G$157:$J$157,BK$111,AGO!$W34:$Z34)</f>
        <v>0</v>
      </c>
      <c r="BL353" s="446">
        <f>SUMIF(AGO!$G$157:$J$157,BL$111,AGO!$R34:$U34)+SUMIF(AGO!$G$157:$J$157,BL$111,AGO!$W34:$Z34)</f>
        <v>0</v>
      </c>
      <c r="BM353" s="446">
        <f>SUMIF(AGO!$G$157:$J$157,BM$111,AGO!$R34:$U34)+SUMIF(AGO!$G$157:$J$157,BM$111,AGO!$W34:$Z34)</f>
        <v>0</v>
      </c>
      <c r="BN353" s="446">
        <f>SUMIF(AGO!$G$157:$J$157,BN$111,AGO!$R34:$U34)+SUMIF(AGO!$G$157:$J$157,BN$111,AGO!$W34:$Z34)</f>
        <v>0</v>
      </c>
      <c r="BO353" s="446">
        <f>SUMIF(AGO!$G$157:$J$157,BO$111,AGO!$R34:$U34)+SUMIF(AGO!$G$157:$J$157,BO$111,AGO!$W34:$Z34)</f>
        <v>0</v>
      </c>
      <c r="BP353" s="446">
        <f>SUMIF(AGO!$G$157:$J$157,BP$111,AGO!$R34:$U34)+SUMIF(AGO!$G$157:$J$157,BP$111,AGO!$W34:$Z34)</f>
        <v>0</v>
      </c>
      <c r="BQ353" s="448">
        <f>SUMIF(AGO!$G$157:$J$157,BQ$111,AGO!$R34:$U34)+SUMIF(AGO!$G$157:$J$157,BQ$111,AGO!$W34:$Z34)</f>
        <v>0</v>
      </c>
      <c r="BR353" s="571"/>
      <c r="BS353" s="446"/>
      <c r="BT353" s="448"/>
      <c r="BU353" s="470"/>
      <c r="BV353" s="445">
        <f>SUMIF(AGO!$G$158:$J$158,BV$111,AGO!$R34:$U34)+SUMIF(AGO!$G$158:$J$158,BV$111,AGO!$W34:$Z34)</f>
        <v>0</v>
      </c>
      <c r="BW353" s="446">
        <f>SUMIF(AGO!$G$158:$J$158,BW$111,AGO!$R34:$U34)+SUMIF(AGO!$G$158:$J$158,BW$111,AGO!$W34:$Z34)</f>
        <v>0</v>
      </c>
      <c r="BX353" s="446">
        <f>SUMIF(AGO!$G$158:$J$158,BX$111,AGO!$R34:$U34)+SUMIF(AGO!$G$158:$J$158,BX$111,AGO!$W34:$Z34)</f>
        <v>0</v>
      </c>
      <c r="BY353" s="446">
        <f>SUMIF(AGO!$G$158:$J$158,BY$111,AGO!$R34:$U34)+SUMIF(AGO!$G$158:$J$158,BY$111,AGO!$W34:$Z34)</f>
        <v>0</v>
      </c>
      <c r="BZ353" s="446">
        <f>SUMIF(AGO!$G$158:$J$158,BZ$111,AGO!$R34:$U34)+SUMIF(AGO!$G$158:$J$158,BZ$111,AGO!$W34:$Z34)</f>
        <v>0</v>
      </c>
      <c r="CA353" s="446">
        <f>SUMIF(AGO!$G$158:$J$158,CA$111,AGO!$R34:$U34)+SUMIF(AGO!$G$158:$J$158,CA$111,AGO!$W34:$Z34)</f>
        <v>0</v>
      </c>
      <c r="CB353" s="448">
        <f>SUMIF(AGO!$G$158:$J$158,CB$111,AGO!$R34:$U34)+SUMIF(AGO!$G$158:$J$158,CB$111,AGO!$W34:$Z34)</f>
        <v>0</v>
      </c>
      <c r="CC353" s="571"/>
      <c r="CD353" s="448"/>
      <c r="CE353" s="92">
        <f t="shared" si="279"/>
        <v>0</v>
      </c>
      <c r="CF353" s="92">
        <f t="shared" si="280"/>
        <v>0</v>
      </c>
      <c r="CG353" s="151" t="str">
        <f t="shared" si="266"/>
        <v/>
      </c>
      <c r="CH353" s="92">
        <f t="shared" si="269"/>
        <v>0</v>
      </c>
      <c r="CI353" s="92" t="str">
        <f t="shared" si="281"/>
        <v/>
      </c>
      <c r="CJ353" s="1100">
        <f>AGO!AM34</f>
        <v>0</v>
      </c>
      <c r="CK353" s="445">
        <f>SUMIF(AGO!$G$155:$J$155,CK$112,AGO!$AN34:$AQ34)</f>
        <v>0</v>
      </c>
      <c r="CL353" s="446">
        <f>SUMIF(AGO!$G$155:$J$155,CL$112,AGO!$AN34:$AQ34)</f>
        <v>0</v>
      </c>
      <c r="CM353" s="447">
        <f>SUMIF(AGO!$G$155:$J$155,CM$112,AGO!$AN34:$AQ34)</f>
        <v>0</v>
      </c>
      <c r="CN353" s="448">
        <f>SUMIF(AGO!$G$155:$J$155,CN$112,AGO!$AN34:$AQ34)</f>
        <v>0</v>
      </c>
      <c r="CO353" s="1100">
        <f>AGO!AS34</f>
        <v>0</v>
      </c>
      <c r="CP353" s="445">
        <f>AGO!AT34</f>
        <v>0</v>
      </c>
      <c r="CQ353" s="446">
        <f>AGO!AU34</f>
        <v>0</v>
      </c>
      <c r="CR353" s="447">
        <f>AGO!AV34</f>
        <v>0</v>
      </c>
      <c r="CS353" s="448">
        <f>AGO!AW34</f>
        <v>0</v>
      </c>
      <c r="CT353" s="1100">
        <f>AGO!AY34</f>
        <v>0</v>
      </c>
      <c r="CU353" s="2"/>
    </row>
    <row r="354" spans="1:99" ht="14.25" hidden="1" customHeight="1" x14ac:dyDescent="0.2">
      <c r="A354" s="2"/>
      <c r="B354" s="151">
        <f t="shared" si="270"/>
        <v>45532</v>
      </c>
      <c r="C354" s="223">
        <f>IF(AND(E354&gt;(N$492-1),E354&lt;(R$492+1)),W$485,IF(ISERROR(HLOOKUP(E354,$N$485:$U$485,1,FALSE)),HLOOKUP(WEEKDAY(E354,2),IMPOSTAZIONI!$C$51:$P$56,6,FALSE),$W$484))</f>
        <v>0</v>
      </c>
      <c r="D354" s="103" t="str">
        <f t="shared" si="271"/>
        <v/>
      </c>
      <c r="E354" s="2380">
        <f t="shared" si="282"/>
        <v>45532</v>
      </c>
      <c r="F354" s="2381"/>
      <c r="G354" s="2325" t="str">
        <f>AGO!E35</f>
        <v xml:space="preserve">attiva trim.  </v>
      </c>
      <c r="H354" s="2326"/>
      <c r="I354" s="2327"/>
      <c r="J354" s="479" t="str">
        <f t="shared" si="267"/>
        <v/>
      </c>
      <c r="K354" s="480"/>
      <c r="L354" s="2319">
        <f t="shared" si="283"/>
        <v>35</v>
      </c>
      <c r="M354" s="2320"/>
      <c r="N354" s="478"/>
      <c r="O354" s="478"/>
      <c r="P354" s="478"/>
      <c r="Q354" s="2315">
        <f t="shared" si="272"/>
        <v>45532</v>
      </c>
      <c r="R354" s="2315"/>
      <c r="S354" s="478"/>
      <c r="T354" s="140">
        <f t="shared" si="273"/>
        <v>1</v>
      </c>
      <c r="U354" s="478"/>
      <c r="V354" s="478"/>
      <c r="W354" s="478"/>
      <c r="X354" s="478"/>
      <c r="Y354" s="478"/>
      <c r="Z354" s="478"/>
      <c r="AA354" s="478"/>
      <c r="AB354" s="478"/>
      <c r="AC354" s="478"/>
      <c r="AD354" s="478"/>
      <c r="AE354" s="478"/>
      <c r="AF354" s="478"/>
      <c r="AG354" s="140">
        <f t="shared" si="274"/>
        <v>0</v>
      </c>
      <c r="AH354" s="92" t="str">
        <f t="shared" si="275"/>
        <v/>
      </c>
      <c r="AI354" s="131">
        <f t="shared" si="276"/>
        <v>0</v>
      </c>
      <c r="AJ354" s="2"/>
      <c r="AK354" s="92">
        <f>IF(G354=G$481,0,IF(OR(G354&lt;&gt;0,CJ354&lt;&gt;0,C354="L"),COUNTIF(AK$114:AK353,"&gt;0")+1,0))</f>
        <v>0</v>
      </c>
      <c r="AL354" s="92" t="str">
        <f t="shared" si="277"/>
        <v/>
      </c>
      <c r="AM354" s="92" t="str">
        <f t="shared" si="278"/>
        <v/>
      </c>
      <c r="AN354" s="131">
        <f t="shared" si="268"/>
        <v>0</v>
      </c>
      <c r="AO354" s="447">
        <f>SUM(AGO!W35:Z35)</f>
        <v>0</v>
      </c>
      <c r="AP354" s="445">
        <f>SUMIF(AGO!$G$155:$J$155,AP$112,AGO!$R35:$U35)</f>
        <v>0</v>
      </c>
      <c r="AQ354" s="446">
        <f>SUMIF(AGO!$G$155:$J$155,AQ$112,AGO!$R35:$U35)</f>
        <v>0</v>
      </c>
      <c r="AR354" s="447">
        <f>SUMIF(AGO!$G$155:$J$155,AR$112,AGO!$R35:$U35)</f>
        <v>0</v>
      </c>
      <c r="AS354" s="448">
        <f>SUMIF(AGO!$G$155:$J$155,AS$112,AGO!$R35:$U35)</f>
        <v>0</v>
      </c>
      <c r="AT354" s="449">
        <f>AGO!AG35</f>
        <v>0</v>
      </c>
      <c r="AU354" s="445">
        <f>AGO!AH35</f>
        <v>0</v>
      </c>
      <c r="AV354" s="446">
        <f>AGO!AI35</f>
        <v>0</v>
      </c>
      <c r="AW354" s="447">
        <f>AGO!AJ35</f>
        <v>0</v>
      </c>
      <c r="AX354" s="448">
        <f>AGO!AK35</f>
        <v>0</v>
      </c>
      <c r="AY354" s="445">
        <f>SUMIF(AGO!$G$152:$J$152,"&gt;0",AGO!$W35:$Z35)</f>
        <v>0</v>
      </c>
      <c r="AZ354" s="1063">
        <f>SUM(AGO!AB35:AE35)</f>
        <v>0</v>
      </c>
      <c r="BA354" s="445">
        <f>SUMIF(AGO!$G$159:$J$159,BA$111,AGO!$R35:$U35)+SUMIF(AGO!$G$159:$J$159,BA$111,AGO!$W35:$Z35)</f>
        <v>0</v>
      </c>
      <c r="BB354" s="446">
        <f>SUMIF(AGO!$G$159:$J$159,BB$111,AGO!$R35:$U35)+SUMIF(AGO!$G$159:$J$159,BB$111,AGO!$W35:$Z35)</f>
        <v>0</v>
      </c>
      <c r="BC354" s="446">
        <f>SUMIF(AGO!$G$159:$J$159,BC$111,AGO!$R35:$U35)+SUMIF(AGO!$G$159:$J$159,BC$111,AGO!$W35:$Z35)</f>
        <v>0</v>
      </c>
      <c r="BD354" s="446">
        <f>SUMIF(AGO!$G$159:$J$159,BD$111,AGO!$R35:$U35)+SUMIF(AGO!$G$159:$J$159,BD$111,AGO!$W35:$Z35)</f>
        <v>0</v>
      </c>
      <c r="BE354" s="446">
        <f>SUMIF(AGO!$G$159:$J$159,BE$111,AGO!$R35:$U35)+SUMIF(AGO!$G$159:$J$159,BE$111,AGO!$W35:$Z35)</f>
        <v>0</v>
      </c>
      <c r="BF354" s="446">
        <f>SUMIF(AGO!$G$159:$J$159,BF$111,AGO!$R35:$U35)+SUMIF(AGO!$G$159:$J$159,BF$111,AGO!$W35:$Z35)</f>
        <v>0</v>
      </c>
      <c r="BG354" s="448">
        <f>SUMIF(AGO!$G$159:$J$159,BG$111,AGO!$R35:$U35)+SUMIF(AGO!$G$159:$J$159,BG$111,AGO!$W35:$Z35)</f>
        <v>0</v>
      </c>
      <c r="BH354" s="571"/>
      <c r="BI354" s="448"/>
      <c r="BJ354" s="470"/>
      <c r="BK354" s="445">
        <f>SUMIF(AGO!$G$157:$J$157,BK$111,AGO!$R35:$U35)+SUMIF(AGO!$G$157:$J$157,BK$111,AGO!$W35:$Z35)</f>
        <v>0</v>
      </c>
      <c r="BL354" s="446">
        <f>SUMIF(AGO!$G$157:$J$157,BL$111,AGO!$R35:$U35)+SUMIF(AGO!$G$157:$J$157,BL$111,AGO!$W35:$Z35)</f>
        <v>0</v>
      </c>
      <c r="BM354" s="446">
        <f>SUMIF(AGO!$G$157:$J$157,BM$111,AGO!$R35:$U35)+SUMIF(AGO!$G$157:$J$157,BM$111,AGO!$W35:$Z35)</f>
        <v>0</v>
      </c>
      <c r="BN354" s="446">
        <f>SUMIF(AGO!$G$157:$J$157,BN$111,AGO!$R35:$U35)+SUMIF(AGO!$G$157:$J$157,BN$111,AGO!$W35:$Z35)</f>
        <v>0</v>
      </c>
      <c r="BO354" s="446">
        <f>SUMIF(AGO!$G$157:$J$157,BO$111,AGO!$R35:$U35)+SUMIF(AGO!$G$157:$J$157,BO$111,AGO!$W35:$Z35)</f>
        <v>0</v>
      </c>
      <c r="BP354" s="446">
        <f>SUMIF(AGO!$G$157:$J$157,BP$111,AGO!$R35:$U35)+SUMIF(AGO!$G$157:$J$157,BP$111,AGO!$W35:$Z35)</f>
        <v>0</v>
      </c>
      <c r="BQ354" s="448">
        <f>SUMIF(AGO!$G$157:$J$157,BQ$111,AGO!$R35:$U35)+SUMIF(AGO!$G$157:$J$157,BQ$111,AGO!$W35:$Z35)</f>
        <v>0</v>
      </c>
      <c r="BR354" s="571"/>
      <c r="BS354" s="446"/>
      <c r="BT354" s="448"/>
      <c r="BU354" s="470"/>
      <c r="BV354" s="445">
        <f>SUMIF(AGO!$G$158:$J$158,BV$111,AGO!$R35:$U35)+SUMIF(AGO!$G$158:$J$158,BV$111,AGO!$W35:$Z35)</f>
        <v>0</v>
      </c>
      <c r="BW354" s="446">
        <f>SUMIF(AGO!$G$158:$J$158,BW$111,AGO!$R35:$U35)+SUMIF(AGO!$G$158:$J$158,BW$111,AGO!$W35:$Z35)</f>
        <v>0</v>
      </c>
      <c r="BX354" s="446">
        <f>SUMIF(AGO!$G$158:$J$158,BX$111,AGO!$R35:$U35)+SUMIF(AGO!$G$158:$J$158,BX$111,AGO!$W35:$Z35)</f>
        <v>0</v>
      </c>
      <c r="BY354" s="446">
        <f>SUMIF(AGO!$G$158:$J$158,BY$111,AGO!$R35:$U35)+SUMIF(AGO!$G$158:$J$158,BY$111,AGO!$W35:$Z35)</f>
        <v>0</v>
      </c>
      <c r="BZ354" s="446">
        <f>SUMIF(AGO!$G$158:$J$158,BZ$111,AGO!$R35:$U35)+SUMIF(AGO!$G$158:$J$158,BZ$111,AGO!$W35:$Z35)</f>
        <v>0</v>
      </c>
      <c r="CA354" s="446">
        <f>SUMIF(AGO!$G$158:$J$158,CA$111,AGO!$R35:$U35)+SUMIF(AGO!$G$158:$J$158,CA$111,AGO!$W35:$Z35)</f>
        <v>0</v>
      </c>
      <c r="CB354" s="448">
        <f>SUMIF(AGO!$G$158:$J$158,CB$111,AGO!$R35:$U35)+SUMIF(AGO!$G$158:$J$158,CB$111,AGO!$W35:$Z35)</f>
        <v>0</v>
      </c>
      <c r="CC354" s="571"/>
      <c r="CD354" s="448"/>
      <c r="CE354" s="92">
        <f t="shared" si="279"/>
        <v>0</v>
      </c>
      <c r="CF354" s="92">
        <f t="shared" si="280"/>
        <v>0</v>
      </c>
      <c r="CG354" s="151" t="str">
        <f t="shared" si="266"/>
        <v/>
      </c>
      <c r="CH354" s="92">
        <f t="shared" si="269"/>
        <v>0</v>
      </c>
      <c r="CI354" s="92" t="str">
        <f t="shared" si="281"/>
        <v/>
      </c>
      <c r="CJ354" s="1100">
        <f>AGO!AM35</f>
        <v>0</v>
      </c>
      <c r="CK354" s="445">
        <f>SUMIF(AGO!$G$155:$J$155,CK$112,AGO!$AN35:$AQ35)</f>
        <v>0</v>
      </c>
      <c r="CL354" s="446">
        <f>SUMIF(AGO!$G$155:$J$155,CL$112,AGO!$AN35:$AQ35)</f>
        <v>0</v>
      </c>
      <c r="CM354" s="447">
        <f>SUMIF(AGO!$G$155:$J$155,CM$112,AGO!$AN35:$AQ35)</f>
        <v>0</v>
      </c>
      <c r="CN354" s="448">
        <f>SUMIF(AGO!$G$155:$J$155,CN$112,AGO!$AN35:$AQ35)</f>
        <v>0</v>
      </c>
      <c r="CO354" s="1100">
        <f>AGO!AS35</f>
        <v>0</v>
      </c>
      <c r="CP354" s="445">
        <f>AGO!AT35</f>
        <v>0</v>
      </c>
      <c r="CQ354" s="446">
        <f>AGO!AU35</f>
        <v>0</v>
      </c>
      <c r="CR354" s="447">
        <f>AGO!AV35</f>
        <v>0</v>
      </c>
      <c r="CS354" s="448">
        <f>AGO!AW35</f>
        <v>0</v>
      </c>
      <c r="CT354" s="1100">
        <f>AGO!AY35</f>
        <v>0</v>
      </c>
      <c r="CU354" s="2"/>
    </row>
    <row r="355" spans="1:99" ht="14.25" hidden="1" customHeight="1" x14ac:dyDescent="0.2">
      <c r="A355" s="2"/>
      <c r="B355" s="151">
        <f t="shared" si="270"/>
        <v>45533</v>
      </c>
      <c r="C355" s="223">
        <f>IF(AND(E355&gt;(N$492-1),E355&lt;(R$492+1)),W$485,IF(ISERROR(HLOOKUP(E355,$N$485:$U$485,1,FALSE)),HLOOKUP(WEEKDAY(E355,2),IMPOSTAZIONI!$C$51:$P$56,6,FALSE),$W$484))</f>
        <v>0</v>
      </c>
      <c r="D355" s="103" t="str">
        <f t="shared" si="271"/>
        <v/>
      </c>
      <c r="E355" s="2380">
        <f t="shared" si="282"/>
        <v>45533</v>
      </c>
      <c r="F355" s="2381"/>
      <c r="G355" s="2325" t="str">
        <f>AGO!E36</f>
        <v xml:space="preserve">attiva trim.  </v>
      </c>
      <c r="H355" s="2326"/>
      <c r="I355" s="2327"/>
      <c r="J355" s="479" t="str">
        <f t="shared" si="267"/>
        <v/>
      </c>
      <c r="K355" s="480"/>
      <c r="L355" s="2319">
        <f t="shared" si="283"/>
        <v>35</v>
      </c>
      <c r="M355" s="2320"/>
      <c r="N355" s="478"/>
      <c r="O355" s="478"/>
      <c r="P355" s="478"/>
      <c r="Q355" s="2315">
        <f t="shared" si="272"/>
        <v>45533</v>
      </c>
      <c r="R355" s="2315"/>
      <c r="S355" s="478"/>
      <c r="T355" s="140">
        <f t="shared" si="273"/>
        <v>1</v>
      </c>
      <c r="U355" s="478"/>
      <c r="V355" s="478"/>
      <c r="W355" s="478"/>
      <c r="X355" s="478"/>
      <c r="Y355" s="478"/>
      <c r="Z355" s="478"/>
      <c r="AA355" s="478"/>
      <c r="AB355" s="478"/>
      <c r="AC355" s="478"/>
      <c r="AD355" s="478"/>
      <c r="AE355" s="478"/>
      <c r="AF355" s="478"/>
      <c r="AG355" s="140">
        <f t="shared" si="274"/>
        <v>0</v>
      </c>
      <c r="AH355" s="92" t="str">
        <f t="shared" si="275"/>
        <v/>
      </c>
      <c r="AI355" s="131">
        <f t="shared" si="276"/>
        <v>0</v>
      </c>
      <c r="AJ355" s="2"/>
      <c r="AK355" s="92">
        <f>IF(G355=G$481,0,IF(OR(G355&lt;&gt;0,CJ355&lt;&gt;0,C355="L"),COUNTIF(AK$114:AK354,"&gt;0")+1,0))</f>
        <v>0</v>
      </c>
      <c r="AL355" s="92" t="str">
        <f t="shared" si="277"/>
        <v/>
      </c>
      <c r="AM355" s="92" t="str">
        <f t="shared" si="278"/>
        <v/>
      </c>
      <c r="AN355" s="131">
        <f t="shared" si="268"/>
        <v>0</v>
      </c>
      <c r="AO355" s="447">
        <f>SUM(AGO!W36:Z36)</f>
        <v>0</v>
      </c>
      <c r="AP355" s="445">
        <f>SUMIF(AGO!$G$155:$J$155,AP$112,AGO!$R36:$U36)</f>
        <v>0</v>
      </c>
      <c r="AQ355" s="446">
        <f>SUMIF(AGO!$G$155:$J$155,AQ$112,AGO!$R36:$U36)</f>
        <v>0</v>
      </c>
      <c r="AR355" s="447">
        <f>SUMIF(AGO!$G$155:$J$155,AR$112,AGO!$R36:$U36)</f>
        <v>0</v>
      </c>
      <c r="AS355" s="448">
        <f>SUMIF(AGO!$G$155:$J$155,AS$112,AGO!$R36:$U36)</f>
        <v>0</v>
      </c>
      <c r="AT355" s="449">
        <f>AGO!AG36</f>
        <v>0</v>
      </c>
      <c r="AU355" s="445">
        <f>AGO!AH36</f>
        <v>0</v>
      </c>
      <c r="AV355" s="446">
        <f>AGO!AI36</f>
        <v>0</v>
      </c>
      <c r="AW355" s="447">
        <f>AGO!AJ36</f>
        <v>0</v>
      </c>
      <c r="AX355" s="448">
        <f>AGO!AK36</f>
        <v>0</v>
      </c>
      <c r="AY355" s="445">
        <f>SUMIF(AGO!$G$152:$J$152,"&gt;0",AGO!$W36:$Z36)</f>
        <v>0</v>
      </c>
      <c r="AZ355" s="1063">
        <f>SUM(AGO!AB36:AE36)</f>
        <v>0</v>
      </c>
      <c r="BA355" s="445">
        <f>SUMIF(AGO!$G$159:$J$159,BA$111,AGO!$R36:$U36)+SUMIF(AGO!$G$159:$J$159,BA$111,AGO!$W36:$Z36)</f>
        <v>0</v>
      </c>
      <c r="BB355" s="446">
        <f>SUMIF(AGO!$G$159:$J$159,BB$111,AGO!$R36:$U36)+SUMIF(AGO!$G$159:$J$159,BB$111,AGO!$W36:$Z36)</f>
        <v>0</v>
      </c>
      <c r="BC355" s="446">
        <f>SUMIF(AGO!$G$159:$J$159,BC$111,AGO!$R36:$U36)+SUMIF(AGO!$G$159:$J$159,BC$111,AGO!$W36:$Z36)</f>
        <v>0</v>
      </c>
      <c r="BD355" s="446">
        <f>SUMIF(AGO!$G$159:$J$159,BD$111,AGO!$R36:$U36)+SUMIF(AGO!$G$159:$J$159,BD$111,AGO!$W36:$Z36)</f>
        <v>0</v>
      </c>
      <c r="BE355" s="446">
        <f>SUMIF(AGO!$G$159:$J$159,BE$111,AGO!$R36:$U36)+SUMIF(AGO!$G$159:$J$159,BE$111,AGO!$W36:$Z36)</f>
        <v>0</v>
      </c>
      <c r="BF355" s="446">
        <f>SUMIF(AGO!$G$159:$J$159,BF$111,AGO!$R36:$U36)+SUMIF(AGO!$G$159:$J$159,BF$111,AGO!$W36:$Z36)</f>
        <v>0</v>
      </c>
      <c r="BG355" s="448">
        <f>SUMIF(AGO!$G$159:$J$159,BG$111,AGO!$R36:$U36)+SUMIF(AGO!$G$159:$J$159,BG$111,AGO!$W36:$Z36)</f>
        <v>0</v>
      </c>
      <c r="BH355" s="571"/>
      <c r="BI355" s="448"/>
      <c r="BJ355" s="470"/>
      <c r="BK355" s="445">
        <f>SUMIF(AGO!$G$157:$J$157,BK$111,AGO!$R36:$U36)+SUMIF(AGO!$G$157:$J$157,BK$111,AGO!$W36:$Z36)</f>
        <v>0</v>
      </c>
      <c r="BL355" s="446">
        <f>SUMIF(AGO!$G$157:$J$157,BL$111,AGO!$R36:$U36)+SUMIF(AGO!$G$157:$J$157,BL$111,AGO!$W36:$Z36)</f>
        <v>0</v>
      </c>
      <c r="BM355" s="446">
        <f>SUMIF(AGO!$G$157:$J$157,BM$111,AGO!$R36:$U36)+SUMIF(AGO!$G$157:$J$157,BM$111,AGO!$W36:$Z36)</f>
        <v>0</v>
      </c>
      <c r="BN355" s="446">
        <f>SUMIF(AGO!$G$157:$J$157,BN$111,AGO!$R36:$U36)+SUMIF(AGO!$G$157:$J$157,BN$111,AGO!$W36:$Z36)</f>
        <v>0</v>
      </c>
      <c r="BO355" s="446">
        <f>SUMIF(AGO!$G$157:$J$157,BO$111,AGO!$R36:$U36)+SUMIF(AGO!$G$157:$J$157,BO$111,AGO!$W36:$Z36)</f>
        <v>0</v>
      </c>
      <c r="BP355" s="446">
        <f>SUMIF(AGO!$G$157:$J$157,BP$111,AGO!$R36:$U36)+SUMIF(AGO!$G$157:$J$157,BP$111,AGO!$W36:$Z36)</f>
        <v>0</v>
      </c>
      <c r="BQ355" s="448">
        <f>SUMIF(AGO!$G$157:$J$157,BQ$111,AGO!$R36:$U36)+SUMIF(AGO!$G$157:$J$157,BQ$111,AGO!$W36:$Z36)</f>
        <v>0</v>
      </c>
      <c r="BR355" s="571"/>
      <c r="BS355" s="446"/>
      <c r="BT355" s="448"/>
      <c r="BU355" s="470"/>
      <c r="BV355" s="445">
        <f>SUMIF(AGO!$G$158:$J$158,BV$111,AGO!$R36:$U36)+SUMIF(AGO!$G$158:$J$158,BV$111,AGO!$W36:$Z36)</f>
        <v>0</v>
      </c>
      <c r="BW355" s="446">
        <f>SUMIF(AGO!$G$158:$J$158,BW$111,AGO!$R36:$U36)+SUMIF(AGO!$G$158:$J$158,BW$111,AGO!$W36:$Z36)</f>
        <v>0</v>
      </c>
      <c r="BX355" s="446">
        <f>SUMIF(AGO!$G$158:$J$158,BX$111,AGO!$R36:$U36)+SUMIF(AGO!$G$158:$J$158,BX$111,AGO!$W36:$Z36)</f>
        <v>0</v>
      </c>
      <c r="BY355" s="446">
        <f>SUMIF(AGO!$G$158:$J$158,BY$111,AGO!$R36:$U36)+SUMIF(AGO!$G$158:$J$158,BY$111,AGO!$W36:$Z36)</f>
        <v>0</v>
      </c>
      <c r="BZ355" s="446">
        <f>SUMIF(AGO!$G$158:$J$158,BZ$111,AGO!$R36:$U36)+SUMIF(AGO!$G$158:$J$158,BZ$111,AGO!$W36:$Z36)</f>
        <v>0</v>
      </c>
      <c r="CA355" s="446">
        <f>SUMIF(AGO!$G$158:$J$158,CA$111,AGO!$R36:$U36)+SUMIF(AGO!$G$158:$J$158,CA$111,AGO!$W36:$Z36)</f>
        <v>0</v>
      </c>
      <c r="CB355" s="448">
        <f>SUMIF(AGO!$G$158:$J$158,CB$111,AGO!$R36:$U36)+SUMIF(AGO!$G$158:$J$158,CB$111,AGO!$W36:$Z36)</f>
        <v>0</v>
      </c>
      <c r="CC355" s="571"/>
      <c r="CD355" s="448"/>
      <c r="CE355" s="92">
        <f t="shared" si="279"/>
        <v>0</v>
      </c>
      <c r="CF355" s="92">
        <f t="shared" si="280"/>
        <v>0</v>
      </c>
      <c r="CG355" s="151" t="str">
        <f t="shared" si="266"/>
        <v/>
      </c>
      <c r="CH355" s="92">
        <f t="shared" si="269"/>
        <v>0</v>
      </c>
      <c r="CI355" s="92" t="str">
        <f t="shared" si="281"/>
        <v/>
      </c>
      <c r="CJ355" s="1100">
        <f>AGO!AM36</f>
        <v>0</v>
      </c>
      <c r="CK355" s="445">
        <f>SUMIF(AGO!$G$155:$J$155,CK$112,AGO!$AN36:$AQ36)</f>
        <v>0</v>
      </c>
      <c r="CL355" s="446">
        <f>SUMIF(AGO!$G$155:$J$155,CL$112,AGO!$AN36:$AQ36)</f>
        <v>0</v>
      </c>
      <c r="CM355" s="447">
        <f>SUMIF(AGO!$G$155:$J$155,CM$112,AGO!$AN36:$AQ36)</f>
        <v>0</v>
      </c>
      <c r="CN355" s="448">
        <f>SUMIF(AGO!$G$155:$J$155,CN$112,AGO!$AN36:$AQ36)</f>
        <v>0</v>
      </c>
      <c r="CO355" s="1100">
        <f>AGO!AS36</f>
        <v>0</v>
      </c>
      <c r="CP355" s="445">
        <f>AGO!AT36</f>
        <v>0</v>
      </c>
      <c r="CQ355" s="446">
        <f>AGO!AU36</f>
        <v>0</v>
      </c>
      <c r="CR355" s="447">
        <f>AGO!AV36</f>
        <v>0</v>
      </c>
      <c r="CS355" s="448">
        <f>AGO!AW36</f>
        <v>0</v>
      </c>
      <c r="CT355" s="1100">
        <f>AGO!AY36</f>
        <v>0</v>
      </c>
      <c r="CU355" s="2"/>
    </row>
    <row r="356" spans="1:99" ht="14.25" hidden="1" customHeight="1" x14ac:dyDescent="0.2">
      <c r="A356" s="2"/>
      <c r="B356" s="151">
        <f t="shared" si="270"/>
        <v>45534</v>
      </c>
      <c r="C356" s="223">
        <f>IF(AND(E356&gt;(N$492-1),E356&lt;(R$492+1)),W$485,IF(ISERROR(HLOOKUP(E356,$N$485:$U$485,1,FALSE)),HLOOKUP(WEEKDAY(E356,2),IMPOSTAZIONI!$C$51:$P$56,6,FALSE),$W$484))</f>
        <v>0</v>
      </c>
      <c r="D356" s="103" t="str">
        <f t="shared" si="271"/>
        <v/>
      </c>
      <c r="E356" s="2380">
        <f t="shared" si="282"/>
        <v>45534</v>
      </c>
      <c r="F356" s="2381"/>
      <c r="G356" s="2325" t="str">
        <f>AGO!E37</f>
        <v xml:space="preserve">attiva trim.  </v>
      </c>
      <c r="H356" s="2326"/>
      <c r="I356" s="2327"/>
      <c r="J356" s="479" t="str">
        <f t="shared" si="267"/>
        <v/>
      </c>
      <c r="K356" s="480"/>
      <c r="L356" s="2319">
        <f t="shared" si="283"/>
        <v>35</v>
      </c>
      <c r="M356" s="2320"/>
      <c r="N356" s="478"/>
      <c r="O356" s="478"/>
      <c r="P356" s="478"/>
      <c r="Q356" s="2315">
        <f t="shared" si="272"/>
        <v>45534</v>
      </c>
      <c r="R356" s="2315"/>
      <c r="S356" s="478"/>
      <c r="T356" s="140">
        <f t="shared" si="273"/>
        <v>1</v>
      </c>
      <c r="U356" s="478"/>
      <c r="V356" s="478"/>
      <c r="W356" s="478"/>
      <c r="X356" s="478"/>
      <c r="Y356" s="478"/>
      <c r="Z356" s="478"/>
      <c r="AA356" s="478"/>
      <c r="AB356" s="478"/>
      <c r="AC356" s="478"/>
      <c r="AD356" s="478"/>
      <c r="AE356" s="478"/>
      <c r="AF356" s="478"/>
      <c r="AG356" s="140">
        <f t="shared" si="274"/>
        <v>0</v>
      </c>
      <c r="AH356" s="92" t="str">
        <f t="shared" si="275"/>
        <v/>
      </c>
      <c r="AI356" s="131">
        <f t="shared" si="276"/>
        <v>0</v>
      </c>
      <c r="AJ356" s="2"/>
      <c r="AK356" s="92">
        <f>IF(G356=G$481,0,IF(OR(G356&lt;&gt;0,CJ356&lt;&gt;0,C356="L"),COUNTIF(AK$114:AK355,"&gt;0")+1,0))</f>
        <v>0</v>
      </c>
      <c r="AL356" s="92" t="str">
        <f t="shared" si="277"/>
        <v/>
      </c>
      <c r="AM356" s="92" t="str">
        <f t="shared" si="278"/>
        <v/>
      </c>
      <c r="AN356" s="131">
        <f t="shared" si="268"/>
        <v>0</v>
      </c>
      <c r="AO356" s="447">
        <f>SUM(AGO!W37:Z37)</f>
        <v>0</v>
      </c>
      <c r="AP356" s="445">
        <f>SUMIF(AGO!$G$155:$J$155,AP$112,AGO!$R37:$U37)</f>
        <v>0</v>
      </c>
      <c r="AQ356" s="446">
        <f>SUMIF(AGO!$G$155:$J$155,AQ$112,AGO!$R37:$U37)</f>
        <v>0</v>
      </c>
      <c r="AR356" s="447">
        <f>SUMIF(AGO!$G$155:$J$155,AR$112,AGO!$R37:$U37)</f>
        <v>0</v>
      </c>
      <c r="AS356" s="448">
        <f>SUMIF(AGO!$G$155:$J$155,AS$112,AGO!$R37:$U37)</f>
        <v>0</v>
      </c>
      <c r="AT356" s="449">
        <f>AGO!AG37</f>
        <v>0</v>
      </c>
      <c r="AU356" s="445">
        <f>AGO!AH37</f>
        <v>0</v>
      </c>
      <c r="AV356" s="446">
        <f>AGO!AI37</f>
        <v>0</v>
      </c>
      <c r="AW356" s="447">
        <f>AGO!AJ37</f>
        <v>0</v>
      </c>
      <c r="AX356" s="448">
        <f>AGO!AK37</f>
        <v>0</v>
      </c>
      <c r="AY356" s="445">
        <f>SUMIF(AGO!$G$152:$J$152,"&gt;0",AGO!$W37:$Z37)</f>
        <v>0</v>
      </c>
      <c r="AZ356" s="1063">
        <f>SUM(AGO!AB37:AE37)</f>
        <v>0</v>
      </c>
      <c r="BA356" s="445">
        <f>SUMIF(AGO!$G$159:$J$159,BA$111,AGO!$R37:$U37)+SUMIF(AGO!$G$159:$J$159,BA$111,AGO!$W37:$Z37)</f>
        <v>0</v>
      </c>
      <c r="BB356" s="446">
        <f>SUMIF(AGO!$G$159:$J$159,BB$111,AGO!$R37:$U37)+SUMIF(AGO!$G$159:$J$159,BB$111,AGO!$W37:$Z37)</f>
        <v>0</v>
      </c>
      <c r="BC356" s="446">
        <f>SUMIF(AGO!$G$159:$J$159,BC$111,AGO!$R37:$U37)+SUMIF(AGO!$G$159:$J$159,BC$111,AGO!$W37:$Z37)</f>
        <v>0</v>
      </c>
      <c r="BD356" s="446">
        <f>SUMIF(AGO!$G$159:$J$159,BD$111,AGO!$R37:$U37)+SUMIF(AGO!$G$159:$J$159,BD$111,AGO!$W37:$Z37)</f>
        <v>0</v>
      </c>
      <c r="BE356" s="446">
        <f>SUMIF(AGO!$G$159:$J$159,BE$111,AGO!$R37:$U37)+SUMIF(AGO!$G$159:$J$159,BE$111,AGO!$W37:$Z37)</f>
        <v>0</v>
      </c>
      <c r="BF356" s="446">
        <f>SUMIF(AGO!$G$159:$J$159,BF$111,AGO!$R37:$U37)+SUMIF(AGO!$G$159:$J$159,BF$111,AGO!$W37:$Z37)</f>
        <v>0</v>
      </c>
      <c r="BG356" s="448">
        <f>SUMIF(AGO!$G$159:$J$159,BG$111,AGO!$R37:$U37)+SUMIF(AGO!$G$159:$J$159,BG$111,AGO!$W37:$Z37)</f>
        <v>0</v>
      </c>
      <c r="BH356" s="571"/>
      <c r="BI356" s="448"/>
      <c r="BJ356" s="470"/>
      <c r="BK356" s="445">
        <f>SUMIF(AGO!$G$157:$J$157,BK$111,AGO!$R37:$U37)+SUMIF(AGO!$G$157:$J$157,BK$111,AGO!$W37:$Z37)</f>
        <v>0</v>
      </c>
      <c r="BL356" s="446">
        <f>SUMIF(AGO!$G$157:$J$157,BL$111,AGO!$R37:$U37)+SUMIF(AGO!$G$157:$J$157,BL$111,AGO!$W37:$Z37)</f>
        <v>0</v>
      </c>
      <c r="BM356" s="446">
        <f>SUMIF(AGO!$G$157:$J$157,BM$111,AGO!$R37:$U37)+SUMIF(AGO!$G$157:$J$157,BM$111,AGO!$W37:$Z37)</f>
        <v>0</v>
      </c>
      <c r="BN356" s="446">
        <f>SUMIF(AGO!$G$157:$J$157,BN$111,AGO!$R37:$U37)+SUMIF(AGO!$G$157:$J$157,BN$111,AGO!$W37:$Z37)</f>
        <v>0</v>
      </c>
      <c r="BO356" s="446">
        <f>SUMIF(AGO!$G$157:$J$157,BO$111,AGO!$R37:$U37)+SUMIF(AGO!$G$157:$J$157,BO$111,AGO!$W37:$Z37)</f>
        <v>0</v>
      </c>
      <c r="BP356" s="446">
        <f>SUMIF(AGO!$G$157:$J$157,BP$111,AGO!$R37:$U37)+SUMIF(AGO!$G$157:$J$157,BP$111,AGO!$W37:$Z37)</f>
        <v>0</v>
      </c>
      <c r="BQ356" s="448">
        <f>SUMIF(AGO!$G$157:$J$157,BQ$111,AGO!$R37:$U37)+SUMIF(AGO!$G$157:$J$157,BQ$111,AGO!$W37:$Z37)</f>
        <v>0</v>
      </c>
      <c r="BR356" s="571"/>
      <c r="BS356" s="446"/>
      <c r="BT356" s="448"/>
      <c r="BU356" s="470"/>
      <c r="BV356" s="445">
        <f>SUMIF(AGO!$G$158:$J$158,BV$111,AGO!$R37:$U37)+SUMIF(AGO!$G$158:$J$158,BV$111,AGO!$W37:$Z37)</f>
        <v>0</v>
      </c>
      <c r="BW356" s="446">
        <f>SUMIF(AGO!$G$158:$J$158,BW$111,AGO!$R37:$U37)+SUMIF(AGO!$G$158:$J$158,BW$111,AGO!$W37:$Z37)</f>
        <v>0</v>
      </c>
      <c r="BX356" s="446">
        <f>SUMIF(AGO!$G$158:$J$158,BX$111,AGO!$R37:$U37)+SUMIF(AGO!$G$158:$J$158,BX$111,AGO!$W37:$Z37)</f>
        <v>0</v>
      </c>
      <c r="BY356" s="446">
        <f>SUMIF(AGO!$G$158:$J$158,BY$111,AGO!$R37:$U37)+SUMIF(AGO!$G$158:$J$158,BY$111,AGO!$W37:$Z37)</f>
        <v>0</v>
      </c>
      <c r="BZ356" s="446">
        <f>SUMIF(AGO!$G$158:$J$158,BZ$111,AGO!$R37:$U37)+SUMIF(AGO!$G$158:$J$158,BZ$111,AGO!$W37:$Z37)</f>
        <v>0</v>
      </c>
      <c r="CA356" s="446">
        <f>SUMIF(AGO!$G$158:$J$158,CA$111,AGO!$R37:$U37)+SUMIF(AGO!$G$158:$J$158,CA$111,AGO!$W37:$Z37)</f>
        <v>0</v>
      </c>
      <c r="CB356" s="448">
        <f>SUMIF(AGO!$G$158:$J$158,CB$111,AGO!$R37:$U37)+SUMIF(AGO!$G$158:$J$158,CB$111,AGO!$W37:$Z37)</f>
        <v>0</v>
      </c>
      <c r="CC356" s="571"/>
      <c r="CD356" s="448"/>
      <c r="CE356" s="92">
        <f t="shared" si="279"/>
        <v>0</v>
      </c>
      <c r="CF356" s="92">
        <f t="shared" si="280"/>
        <v>0</v>
      </c>
      <c r="CG356" s="151" t="str">
        <f t="shared" si="266"/>
        <v/>
      </c>
      <c r="CH356" s="92">
        <f t="shared" si="269"/>
        <v>0</v>
      </c>
      <c r="CI356" s="92" t="str">
        <f t="shared" si="281"/>
        <v/>
      </c>
      <c r="CJ356" s="1100">
        <f>AGO!AM37</f>
        <v>0</v>
      </c>
      <c r="CK356" s="445">
        <f>SUMIF(AGO!$G$155:$J$155,CK$112,AGO!$AN37:$AQ37)</f>
        <v>0</v>
      </c>
      <c r="CL356" s="446">
        <f>SUMIF(AGO!$G$155:$J$155,CL$112,AGO!$AN37:$AQ37)</f>
        <v>0</v>
      </c>
      <c r="CM356" s="447">
        <f>SUMIF(AGO!$G$155:$J$155,CM$112,AGO!$AN37:$AQ37)</f>
        <v>0</v>
      </c>
      <c r="CN356" s="448">
        <f>SUMIF(AGO!$G$155:$J$155,CN$112,AGO!$AN37:$AQ37)</f>
        <v>0</v>
      </c>
      <c r="CO356" s="1100">
        <f>AGO!AS37</f>
        <v>0</v>
      </c>
      <c r="CP356" s="445">
        <f>AGO!AT37</f>
        <v>0</v>
      </c>
      <c r="CQ356" s="446">
        <f>AGO!AU37</f>
        <v>0</v>
      </c>
      <c r="CR356" s="447">
        <f>AGO!AV37</f>
        <v>0</v>
      </c>
      <c r="CS356" s="448">
        <f>AGO!AW37</f>
        <v>0</v>
      </c>
      <c r="CT356" s="1100">
        <f>AGO!AY37</f>
        <v>0</v>
      </c>
      <c r="CU356" s="2"/>
    </row>
    <row r="357" spans="1:99" ht="14.25" hidden="1" customHeight="1" x14ac:dyDescent="0.2">
      <c r="A357" s="2"/>
      <c r="B357" s="151">
        <f t="shared" si="270"/>
        <v>45535</v>
      </c>
      <c r="C357" s="223">
        <f>IF(AND(E357&gt;(N$492-1),E357&lt;(R$492+1)),W$485,IF(ISERROR(HLOOKUP(E357,$N$485:$U$485,1,FALSE)),HLOOKUP(WEEKDAY(E357,2),IMPOSTAZIONI!$C$51:$P$56,6,FALSE),$W$484))</f>
        <v>0</v>
      </c>
      <c r="D357" s="103" t="str">
        <f t="shared" si="271"/>
        <v/>
      </c>
      <c r="E357" s="2445">
        <f t="shared" si="282"/>
        <v>45535</v>
      </c>
      <c r="F357" s="2446"/>
      <c r="G357" s="2316" t="str">
        <f>AGO!E38</f>
        <v xml:space="preserve">attiva trim.  </v>
      </c>
      <c r="H357" s="2317"/>
      <c r="I357" s="2318"/>
      <c r="J357" s="479" t="str">
        <f t="shared" si="267"/>
        <v/>
      </c>
      <c r="K357" s="480"/>
      <c r="L357" s="2319">
        <f t="shared" si="283"/>
        <v>35</v>
      </c>
      <c r="M357" s="2320"/>
      <c r="N357" s="478"/>
      <c r="O357" s="478"/>
      <c r="P357" s="478"/>
      <c r="Q357" s="2315">
        <f t="shared" si="272"/>
        <v>45535</v>
      </c>
      <c r="R357" s="2315"/>
      <c r="S357" s="478"/>
      <c r="T357" s="140">
        <f t="shared" si="273"/>
        <v>1</v>
      </c>
      <c r="U357" s="478"/>
      <c r="V357" s="478"/>
      <c r="W357" s="478"/>
      <c r="X357" s="478"/>
      <c r="Y357" s="478"/>
      <c r="Z357" s="478"/>
      <c r="AA357" s="478"/>
      <c r="AB357" s="478"/>
      <c r="AC357" s="478"/>
      <c r="AD357" s="478"/>
      <c r="AE357" s="478"/>
      <c r="AF357" s="478"/>
      <c r="AG357" s="140">
        <f t="shared" si="274"/>
        <v>0</v>
      </c>
      <c r="AH357" s="92" t="str">
        <f t="shared" si="275"/>
        <v/>
      </c>
      <c r="AI357" s="131">
        <f t="shared" si="276"/>
        <v>0</v>
      </c>
      <c r="AJ357" s="2"/>
      <c r="AK357" s="92">
        <f>IF(G357=G$481,0,IF(OR(G357&lt;&gt;0,CJ357&lt;&gt;0,C357="L"),COUNTIF(AK$114:AK356,"&gt;0")+1,0))</f>
        <v>0</v>
      </c>
      <c r="AL357" s="92" t="str">
        <f t="shared" si="277"/>
        <v/>
      </c>
      <c r="AM357" s="92" t="str">
        <f t="shared" si="278"/>
        <v/>
      </c>
      <c r="AN357" s="131">
        <f t="shared" si="268"/>
        <v>0</v>
      </c>
      <c r="AO357" s="452">
        <f>SUM(AGO!W38:Z38)</f>
        <v>0</v>
      </c>
      <c r="AP357" s="450">
        <f>SUMIF(AGO!$G$155:$J$155,AP$112,AGO!$R38:$U38)</f>
        <v>0</v>
      </c>
      <c r="AQ357" s="451">
        <f>SUMIF(AGO!$G$155:$J$155,AQ$112,AGO!$R38:$U38)</f>
        <v>0</v>
      </c>
      <c r="AR357" s="452">
        <f>SUMIF(AGO!$G$155:$J$155,AR$112,AGO!$R38:$U38)</f>
        <v>0</v>
      </c>
      <c r="AS357" s="453">
        <f>SUMIF(AGO!$G$155:$J$155,AS$112,AGO!$R38:$U38)</f>
        <v>0</v>
      </c>
      <c r="AT357" s="454">
        <f>AGO!AG38</f>
        <v>0</v>
      </c>
      <c r="AU357" s="450">
        <f>AGO!AH38</f>
        <v>0</v>
      </c>
      <c r="AV357" s="451">
        <f>AGO!AI38</f>
        <v>0</v>
      </c>
      <c r="AW357" s="452">
        <f>AGO!AJ38</f>
        <v>0</v>
      </c>
      <c r="AX357" s="453">
        <f>AGO!AK38</f>
        <v>0</v>
      </c>
      <c r="AY357" s="450">
        <f>SUMIF(AGO!$G$152:$J$152,"&gt;0",AGO!$W38:$Z38)</f>
        <v>0</v>
      </c>
      <c r="AZ357" s="1064">
        <f>SUM(AGO!AB38:AE38)</f>
        <v>0</v>
      </c>
      <c r="BA357" s="450">
        <f>SUMIF(AGO!$G$159:$J$159,BA$111,AGO!$R38:$U38)+SUMIF(AGO!$G$159:$J$159,BA$111,AGO!$W38:$Z38)</f>
        <v>0</v>
      </c>
      <c r="BB357" s="451">
        <f>SUMIF(AGO!$G$159:$J$159,BB$111,AGO!$R38:$U38)+SUMIF(AGO!$G$159:$J$159,BB$111,AGO!$W38:$Z38)</f>
        <v>0</v>
      </c>
      <c r="BC357" s="451">
        <f>SUMIF(AGO!$G$159:$J$159,BC$111,AGO!$R38:$U38)+SUMIF(AGO!$G$159:$J$159,BC$111,AGO!$W38:$Z38)</f>
        <v>0</v>
      </c>
      <c r="BD357" s="451">
        <f>SUMIF(AGO!$G$159:$J$159,BD$111,AGO!$R38:$U38)+SUMIF(AGO!$G$159:$J$159,BD$111,AGO!$W38:$Z38)</f>
        <v>0</v>
      </c>
      <c r="BE357" s="451">
        <f>SUMIF(AGO!$G$159:$J$159,BE$111,AGO!$R38:$U38)+SUMIF(AGO!$G$159:$J$159,BE$111,AGO!$W38:$Z38)</f>
        <v>0</v>
      </c>
      <c r="BF357" s="451">
        <f>SUMIF(AGO!$G$159:$J$159,BF$111,AGO!$R38:$U38)+SUMIF(AGO!$G$159:$J$159,BF$111,AGO!$W38:$Z38)</f>
        <v>0</v>
      </c>
      <c r="BG357" s="453">
        <f>SUMIF(AGO!$G$159:$J$159,BG$111,AGO!$R38:$U38)+SUMIF(AGO!$G$159:$J$159,BG$111,AGO!$W38:$Z38)</f>
        <v>0</v>
      </c>
      <c r="BH357" s="572"/>
      <c r="BI357" s="453"/>
      <c r="BJ357" s="470"/>
      <c r="BK357" s="450">
        <f>SUMIF(AGO!$G$157:$J$157,BK$111,AGO!$R38:$U38)+SUMIF(AGO!$G$157:$J$157,BK$111,AGO!$W38:$Z38)</f>
        <v>0</v>
      </c>
      <c r="BL357" s="451">
        <f>SUMIF(AGO!$G$157:$J$157,BL$111,AGO!$R38:$U38)+SUMIF(AGO!$G$157:$J$157,BL$111,AGO!$W38:$Z38)</f>
        <v>0</v>
      </c>
      <c r="BM357" s="451">
        <f>SUMIF(AGO!$G$157:$J$157,BM$111,AGO!$R38:$U38)+SUMIF(AGO!$G$157:$J$157,BM$111,AGO!$W38:$Z38)</f>
        <v>0</v>
      </c>
      <c r="BN357" s="451">
        <f>SUMIF(AGO!$G$157:$J$157,BN$111,AGO!$R38:$U38)+SUMIF(AGO!$G$157:$J$157,BN$111,AGO!$W38:$Z38)</f>
        <v>0</v>
      </c>
      <c r="BO357" s="451">
        <f>SUMIF(AGO!$G$157:$J$157,BO$111,AGO!$R38:$U38)+SUMIF(AGO!$G$157:$J$157,BO$111,AGO!$W38:$Z38)</f>
        <v>0</v>
      </c>
      <c r="BP357" s="451">
        <f>SUMIF(AGO!$G$157:$J$157,BP$111,AGO!$R38:$U38)+SUMIF(AGO!$G$157:$J$157,BP$111,AGO!$W38:$Z38)</f>
        <v>0</v>
      </c>
      <c r="BQ357" s="453">
        <f>SUMIF(AGO!$G$157:$J$157,BQ$111,AGO!$R38:$U38)+SUMIF(AGO!$G$157:$J$157,BQ$111,AGO!$W38:$Z38)</f>
        <v>0</v>
      </c>
      <c r="BR357" s="572"/>
      <c r="BS357" s="451"/>
      <c r="BT357" s="453"/>
      <c r="BU357" s="470"/>
      <c r="BV357" s="450">
        <f>SUMIF(AGO!$G$158:$J$158,BV$111,AGO!$R38:$U38)+SUMIF(AGO!$G$158:$J$158,BV$111,AGO!$W38:$Z38)</f>
        <v>0</v>
      </c>
      <c r="BW357" s="451">
        <f>SUMIF(AGO!$G$158:$J$158,BW$111,AGO!$R38:$U38)+SUMIF(AGO!$G$158:$J$158,BW$111,AGO!$W38:$Z38)</f>
        <v>0</v>
      </c>
      <c r="BX357" s="451">
        <f>SUMIF(AGO!$G$158:$J$158,BX$111,AGO!$R38:$U38)+SUMIF(AGO!$G$158:$J$158,BX$111,AGO!$W38:$Z38)</f>
        <v>0</v>
      </c>
      <c r="BY357" s="451">
        <f>SUMIF(AGO!$G$158:$J$158,BY$111,AGO!$R38:$U38)+SUMIF(AGO!$G$158:$J$158,BY$111,AGO!$W38:$Z38)</f>
        <v>0</v>
      </c>
      <c r="BZ357" s="451">
        <f>SUMIF(AGO!$G$158:$J$158,BZ$111,AGO!$R38:$U38)+SUMIF(AGO!$G$158:$J$158,BZ$111,AGO!$W38:$Z38)</f>
        <v>0</v>
      </c>
      <c r="CA357" s="451">
        <f>SUMIF(AGO!$G$158:$J$158,CA$111,AGO!$R38:$U38)+SUMIF(AGO!$G$158:$J$158,CA$111,AGO!$W38:$Z38)</f>
        <v>0</v>
      </c>
      <c r="CB357" s="453">
        <f>SUMIF(AGO!$G$158:$J$158,CB$111,AGO!$R38:$U38)+SUMIF(AGO!$G$158:$J$158,CB$111,AGO!$W38:$Z38)</f>
        <v>0</v>
      </c>
      <c r="CC357" s="572"/>
      <c r="CD357" s="453"/>
      <c r="CE357" s="92">
        <f t="shared" si="279"/>
        <v>0</v>
      </c>
      <c r="CF357" s="92">
        <f t="shared" si="280"/>
        <v>0</v>
      </c>
      <c r="CG357" s="151" t="str">
        <f t="shared" si="266"/>
        <v/>
      </c>
      <c r="CH357" s="92">
        <f t="shared" si="269"/>
        <v>0</v>
      </c>
      <c r="CI357" s="92" t="str">
        <f t="shared" si="281"/>
        <v/>
      </c>
      <c r="CJ357" s="1101">
        <f>AGO!AM38</f>
        <v>0</v>
      </c>
      <c r="CK357" s="450">
        <f>SUMIF(AGO!$G$155:$J$155,CK$112,AGO!$AN38:$AQ38)</f>
        <v>0</v>
      </c>
      <c r="CL357" s="451">
        <f>SUMIF(AGO!$G$155:$J$155,CL$112,AGO!$AN38:$AQ38)</f>
        <v>0</v>
      </c>
      <c r="CM357" s="452">
        <f>SUMIF(AGO!$G$155:$J$155,CM$112,AGO!$AN38:$AQ38)</f>
        <v>0</v>
      </c>
      <c r="CN357" s="453">
        <f>SUMIF(AGO!$G$155:$J$155,CN$112,AGO!$AN38:$AQ38)</f>
        <v>0</v>
      </c>
      <c r="CO357" s="1101">
        <f>AGO!AS38</f>
        <v>0</v>
      </c>
      <c r="CP357" s="450">
        <f>AGO!AT38</f>
        <v>0</v>
      </c>
      <c r="CQ357" s="451">
        <f>AGO!AU38</f>
        <v>0</v>
      </c>
      <c r="CR357" s="452">
        <f>AGO!AV38</f>
        <v>0</v>
      </c>
      <c r="CS357" s="453">
        <f>AGO!AW38</f>
        <v>0</v>
      </c>
      <c r="CT357" s="1101">
        <f>AGO!AY38</f>
        <v>0</v>
      </c>
      <c r="CU357" s="2"/>
    </row>
    <row r="358" spans="1:99" ht="14.25" hidden="1" customHeight="1" x14ac:dyDescent="0.2">
      <c r="A358" s="2"/>
      <c r="B358" s="151">
        <f t="shared" si="270"/>
        <v>45536</v>
      </c>
      <c r="C358" s="223">
        <f>IF(AND(E358&gt;(N$493-1),E358&lt;(R$493+1)),W$485,IF(ISERROR(HLOOKUP(E358,$N$486:$U$486,1,FALSE)),HLOOKUP(WEEKDAY(E358,2),IMPOSTAZIONI!$C$51:$P$56,6,FALSE),$W$484))</f>
        <v>0</v>
      </c>
      <c r="D358" s="103" t="str">
        <f t="shared" si="271"/>
        <v/>
      </c>
      <c r="E358" s="2447">
        <f t="shared" si="282"/>
        <v>45536</v>
      </c>
      <c r="F358" s="2448"/>
      <c r="G358" s="2449" t="str">
        <f>SET!E8</f>
        <v xml:space="preserve">attiva trim.  </v>
      </c>
      <c r="H358" s="2450"/>
      <c r="I358" s="2451"/>
      <c r="J358" s="479" t="str">
        <f t="shared" si="267"/>
        <v/>
      </c>
      <c r="K358" s="480"/>
      <c r="L358" s="2321">
        <f t="shared" si="283"/>
        <v>35</v>
      </c>
      <c r="M358" s="2322"/>
      <c r="N358" s="478"/>
      <c r="O358" s="478"/>
      <c r="P358" s="478"/>
      <c r="Q358" s="2315">
        <f t="shared" si="272"/>
        <v>45536</v>
      </c>
      <c r="R358" s="2315"/>
      <c r="S358" s="478"/>
      <c r="T358" s="140">
        <f t="shared" si="273"/>
        <v>1</v>
      </c>
      <c r="U358" s="478"/>
      <c r="V358" s="478"/>
      <c r="W358" s="478"/>
      <c r="X358" s="478"/>
      <c r="Y358" s="478"/>
      <c r="Z358" s="478"/>
      <c r="AA358" s="478"/>
      <c r="AB358" s="478"/>
      <c r="AC358" s="478"/>
      <c r="AD358" s="478"/>
      <c r="AE358" s="478"/>
      <c r="AF358" s="478"/>
      <c r="AG358" s="140">
        <f t="shared" si="274"/>
        <v>0</v>
      </c>
      <c r="AH358" s="92" t="str">
        <f t="shared" si="275"/>
        <v/>
      </c>
      <c r="AI358" s="131">
        <f t="shared" si="276"/>
        <v>0</v>
      </c>
      <c r="AJ358" s="131">
        <f>IF(G358=G481,0,COUNTIF(T358:T387,"&gt;0"))</f>
        <v>0</v>
      </c>
      <c r="AK358" s="92">
        <f>IF(G358=G$481,0,IF(OR(G358&lt;&gt;0,CJ358&lt;&gt;0,C358="L"),COUNTIF(AK$114:AK357,"&gt;0")+1,0))</f>
        <v>0</v>
      </c>
      <c r="AL358" s="92" t="str">
        <f t="shared" si="277"/>
        <v/>
      </c>
      <c r="AM358" s="92" t="str">
        <f t="shared" si="278"/>
        <v/>
      </c>
      <c r="AN358" s="131">
        <f t="shared" si="268"/>
        <v>0</v>
      </c>
      <c r="AO358" s="447">
        <f>SUM(SET!W8:Z8)</f>
        <v>0</v>
      </c>
      <c r="AP358" s="445">
        <f>SUMIF(SET!$G$155:$J$155,AP$112,SET!$R8:$U8)</f>
        <v>0</v>
      </c>
      <c r="AQ358" s="446">
        <f>SUMIF(SET!$G$155:$J$155,AQ$112,SET!$R8:$U8)</f>
        <v>0</v>
      </c>
      <c r="AR358" s="447">
        <f>SUMIF(SET!$G$155:$J$155,AR$112,SET!$R8:$U8)</f>
        <v>0</v>
      </c>
      <c r="AS358" s="448">
        <f>SUMIF(SET!$G$155:$J$155,AS$112,SET!$R8:$U8)</f>
        <v>0</v>
      </c>
      <c r="AT358" s="449">
        <f>SET!AG8</f>
        <v>0</v>
      </c>
      <c r="AU358" s="445">
        <f>SET!AH8</f>
        <v>0</v>
      </c>
      <c r="AV358" s="446">
        <f>SET!AI8</f>
        <v>0</v>
      </c>
      <c r="AW358" s="447">
        <f>SET!AJ8</f>
        <v>0</v>
      </c>
      <c r="AX358" s="448">
        <f>SET!AK8</f>
        <v>0</v>
      </c>
      <c r="AY358" s="445">
        <f>SUMIF(SET!$G$152:$J$152,"&gt;0",SET!$W8:$Z8)</f>
        <v>0</v>
      </c>
      <c r="AZ358" s="1062">
        <f>SUM(SET!AB8:AE8)</f>
        <v>0</v>
      </c>
      <c r="BA358" s="472">
        <f>SUMIF(SET!$G$159:$J$159,BA$111,SET!$R8:$U8)+SUMIF(SET!$G$159:$J$159,BA$111,SET!$W8:$Z8)</f>
        <v>0</v>
      </c>
      <c r="BB358" s="473">
        <f>SUMIF(SET!$G$159:$J$159,BB$111,SET!$R8:$U8)+SUMIF(SET!$G$159:$J$159,BB$111,SET!$W8:$Z8)</f>
        <v>0</v>
      </c>
      <c r="BC358" s="473">
        <f>SUMIF(SET!$G$159:$J$159,BC$111,SET!$R8:$U8)+SUMIF(SET!$G$159:$J$159,BC$111,SET!$W8:$Z8)</f>
        <v>0</v>
      </c>
      <c r="BD358" s="473">
        <f>SUMIF(SET!$G$159:$J$159,BD$111,SET!$R8:$U8)+SUMIF(SET!$G$159:$J$159,BD$111,SET!$W8:$Z8)</f>
        <v>0</v>
      </c>
      <c r="BE358" s="473">
        <f>SUMIF(SET!$G$159:$J$159,BE$111,SET!$R8:$U8)+SUMIF(SET!$G$159:$J$159,BE$111,SET!$W8:$Z8)</f>
        <v>0</v>
      </c>
      <c r="BF358" s="473">
        <f>SUMIF(SET!$G$159:$J$159,BF$111,SET!$R8:$U8)+SUMIF(SET!$G$159:$J$159,BF$111,SET!$W8:$Z8)</f>
        <v>0</v>
      </c>
      <c r="BG358" s="474">
        <f>SUMIF(SET!$G$159:$J$159,BG$111,SET!$R8:$U8)+SUMIF(SET!$G$159:$J$159,BG$111,SET!$W8:$Z8)</f>
        <v>0</v>
      </c>
      <c r="BH358" s="570"/>
      <c r="BI358" s="474"/>
      <c r="BJ358" s="470"/>
      <c r="BK358" s="472">
        <f>SUMIF(SET!$G$157:$J$157,BK$111,SET!$R8:$U8)+SUMIF(SET!$G$157:$J$157,BK$111,SET!$W8:$Z8)</f>
        <v>0</v>
      </c>
      <c r="BL358" s="473">
        <f>SUMIF(SET!$G$157:$J$157,BL$111,SET!$R8:$U8)+SUMIF(SET!$G$157:$J$157,BL$111,SET!$W8:$Z8)</f>
        <v>0</v>
      </c>
      <c r="BM358" s="473">
        <f>SUMIF(SET!$G$157:$J$157,BM$111,SET!$R8:$U8)+SUMIF(SET!$G$157:$J$157,BM$111,SET!$W8:$Z8)</f>
        <v>0</v>
      </c>
      <c r="BN358" s="473">
        <f>SUMIF(SET!$G$157:$J$157,BN$111,SET!$R8:$U8)+SUMIF(SET!$G$157:$J$157,BN$111,SET!$W8:$Z8)</f>
        <v>0</v>
      </c>
      <c r="BO358" s="473">
        <f>SUMIF(SET!$G$157:$J$157,BO$111,SET!$R8:$U8)+SUMIF(SET!$G$157:$J$157,BO$111,SET!$W8:$Z8)</f>
        <v>0</v>
      </c>
      <c r="BP358" s="473">
        <f>SUMIF(SET!$G$157:$J$157,BP$111,SET!$R8:$U8)+SUMIF(SET!$G$157:$J$157,BP$111,SET!$W8:$Z8)</f>
        <v>0</v>
      </c>
      <c r="BQ358" s="474">
        <f>SUMIF(SET!$G$157:$J$157,BQ$111,SET!$R8:$U8)+SUMIF(SET!$G$157:$J$157,BQ$111,SET!$W8:$Z8)</f>
        <v>0</v>
      </c>
      <c r="BR358" s="570"/>
      <c r="BS358" s="473"/>
      <c r="BT358" s="474"/>
      <c r="BU358" s="470"/>
      <c r="BV358" s="472">
        <f>SUMIF(SET!$G$158:$J$158,BV$111,SET!$R8:$U8)+SUMIF(SET!$G$158:$J$158,BV$111,SET!$W8:$Z8)</f>
        <v>0</v>
      </c>
      <c r="BW358" s="473">
        <f>SUMIF(SET!$G$158:$J$158,BW$111,SET!$R8:$U8)+SUMIF(SET!$G$158:$J$158,BW$111,SET!$W8:$Z8)</f>
        <v>0</v>
      </c>
      <c r="BX358" s="473">
        <f>SUMIF(SET!$G$158:$J$158,BX$111,SET!$R8:$U8)+SUMIF(SET!$G$158:$J$158,BX$111,SET!$W8:$Z8)</f>
        <v>0</v>
      </c>
      <c r="BY358" s="473">
        <f>SUMIF(SET!$G$158:$J$158,BY$111,SET!$R8:$U8)+SUMIF(SET!$G$158:$J$158,BY$111,SET!$W8:$Z8)</f>
        <v>0</v>
      </c>
      <c r="BZ358" s="473">
        <f>SUMIF(SET!$G$158:$J$158,BZ$111,SET!$R8:$U8)+SUMIF(SET!$G$158:$J$158,BZ$111,SET!$W8:$Z8)</f>
        <v>0</v>
      </c>
      <c r="CA358" s="473">
        <f>SUMIF(SET!$G$158:$J$158,CA$111,SET!$R8:$U8)+SUMIF(SET!$G$158:$J$158,CA$111,SET!$W8:$Z8)</f>
        <v>0</v>
      </c>
      <c r="CB358" s="474">
        <f>SUMIF(SET!$G$158:$J$158,CB$111,SET!$R8:$U8)+SUMIF(SET!$G$158:$J$158,CB$111,SET!$W8:$Z8)</f>
        <v>0</v>
      </c>
      <c r="CC358" s="570"/>
      <c r="CD358" s="474"/>
      <c r="CE358" s="92">
        <f t="shared" si="279"/>
        <v>0</v>
      </c>
      <c r="CF358" s="92">
        <f t="shared" si="280"/>
        <v>0</v>
      </c>
      <c r="CG358" s="151" t="str">
        <f t="shared" si="266"/>
        <v/>
      </c>
      <c r="CH358" s="92">
        <f t="shared" si="269"/>
        <v>0</v>
      </c>
      <c r="CI358" s="92" t="str">
        <f t="shared" si="281"/>
        <v/>
      </c>
      <c r="CJ358" s="1102">
        <f>SET!AM8</f>
        <v>0</v>
      </c>
      <c r="CK358" s="445">
        <f>SUMIF(SET!$G$155:$J$155,CK$112,SET!$AN8:$AQ8)</f>
        <v>0</v>
      </c>
      <c r="CL358" s="446">
        <f>SUMIF(SET!$G$155:$J$155,CL$112,SET!$AN8:$AQ8)</f>
        <v>0</v>
      </c>
      <c r="CM358" s="447">
        <f>SUMIF(SET!$G$155:$J$155,CM$112,SET!$AN8:$AQ8)</f>
        <v>0</v>
      </c>
      <c r="CN358" s="448">
        <f>SUMIF(SET!$G$155:$J$155,CN$112,SET!$AN8:$AQ8)</f>
        <v>0</v>
      </c>
      <c r="CO358" s="1102">
        <f>SET!AS8</f>
        <v>0</v>
      </c>
      <c r="CP358" s="445">
        <f>SET!AT8</f>
        <v>0</v>
      </c>
      <c r="CQ358" s="446">
        <f>SET!AU8</f>
        <v>0</v>
      </c>
      <c r="CR358" s="447">
        <f>SET!AV8</f>
        <v>0</v>
      </c>
      <c r="CS358" s="448">
        <f>SET!AW8</f>
        <v>0</v>
      </c>
      <c r="CT358" s="1102">
        <f>SET!AY8</f>
        <v>0</v>
      </c>
      <c r="CU358" s="2"/>
    </row>
    <row r="359" spans="1:99" ht="14.25" hidden="1" customHeight="1" x14ac:dyDescent="0.2">
      <c r="A359" s="2"/>
      <c r="B359" s="151">
        <f t="shared" si="270"/>
        <v>45537</v>
      </c>
      <c r="C359" s="223">
        <f>IF(AND(E359&gt;(N$493-1),E359&lt;(R$493+1)),W$485,IF(ISERROR(HLOOKUP(E359,$N$486:$U$486,1,FALSE)),HLOOKUP(WEEKDAY(E359,2),IMPOSTAZIONI!$C$51:$P$56,6,FALSE),$W$484))</f>
        <v>0</v>
      </c>
      <c r="D359" s="103" t="str">
        <f t="shared" si="271"/>
        <v/>
      </c>
      <c r="E359" s="2380">
        <f t="shared" si="282"/>
        <v>45537</v>
      </c>
      <c r="F359" s="2381"/>
      <c r="G359" s="2325" t="str">
        <f>SET!E9</f>
        <v xml:space="preserve">attiva trim.  </v>
      </c>
      <c r="H359" s="2326"/>
      <c r="I359" s="2327"/>
      <c r="J359" s="479" t="str">
        <f t="shared" si="267"/>
        <v/>
      </c>
      <c r="K359" s="480"/>
      <c r="L359" s="2323">
        <f t="shared" si="283"/>
        <v>36</v>
      </c>
      <c r="M359" s="2324"/>
      <c r="N359" s="478"/>
      <c r="O359" s="478"/>
      <c r="P359" s="478"/>
      <c r="Q359" s="2315">
        <f t="shared" si="272"/>
        <v>45537</v>
      </c>
      <c r="R359" s="2315"/>
      <c r="S359" s="478"/>
      <c r="T359" s="140">
        <f t="shared" si="273"/>
        <v>1</v>
      </c>
      <c r="U359" s="478"/>
      <c r="V359" s="478"/>
      <c r="W359" s="478"/>
      <c r="X359" s="478"/>
      <c r="Y359" s="478"/>
      <c r="Z359" s="478"/>
      <c r="AA359" s="478"/>
      <c r="AB359" s="478"/>
      <c r="AC359" s="478"/>
      <c r="AD359" s="478"/>
      <c r="AE359" s="478"/>
      <c r="AF359" s="478"/>
      <c r="AG359" s="140">
        <f t="shared" si="274"/>
        <v>0</v>
      </c>
      <c r="AH359" s="92" t="str">
        <f t="shared" si="275"/>
        <v/>
      </c>
      <c r="AI359" s="131">
        <f t="shared" si="276"/>
        <v>0</v>
      </c>
      <c r="AJ359" s="2"/>
      <c r="AK359" s="92">
        <f>IF(G359=G$481,0,IF(OR(G359&lt;&gt;0,CJ359&lt;&gt;0,C359="L"),COUNTIF(AK$114:AK358,"&gt;0")+1,0))</f>
        <v>0</v>
      </c>
      <c r="AL359" s="92" t="str">
        <f t="shared" si="277"/>
        <v/>
      </c>
      <c r="AM359" s="92" t="str">
        <f t="shared" si="278"/>
        <v/>
      </c>
      <c r="AN359" s="131">
        <f t="shared" si="268"/>
        <v>0</v>
      </c>
      <c r="AO359" s="447">
        <f>SUM(SET!W9:Z9)</f>
        <v>0</v>
      </c>
      <c r="AP359" s="445">
        <f>SUMIF(SET!$G$155:$J$155,AP$112,SET!$R9:$U9)</f>
        <v>0</v>
      </c>
      <c r="AQ359" s="446">
        <f>SUMIF(SET!$G$155:$J$155,AQ$112,SET!$R9:$U9)</f>
        <v>0</v>
      </c>
      <c r="AR359" s="447">
        <f>SUMIF(SET!$G$155:$J$155,AR$112,SET!$R9:$U9)</f>
        <v>0</v>
      </c>
      <c r="AS359" s="448">
        <f>SUMIF(SET!$G$155:$J$155,AS$112,SET!$R9:$U9)</f>
        <v>0</v>
      </c>
      <c r="AT359" s="449">
        <f>SET!AG9</f>
        <v>0</v>
      </c>
      <c r="AU359" s="445">
        <f>SET!AH9</f>
        <v>0</v>
      </c>
      <c r="AV359" s="446">
        <f>SET!AI9</f>
        <v>0</v>
      </c>
      <c r="AW359" s="447">
        <f>SET!AJ9</f>
        <v>0</v>
      </c>
      <c r="AX359" s="448">
        <f>SET!AK9</f>
        <v>0</v>
      </c>
      <c r="AY359" s="445">
        <f>SUMIF(SET!$G$152:$J$152,"&gt;0",SET!$W9:$Z9)</f>
        <v>0</v>
      </c>
      <c r="AZ359" s="1063">
        <f>SUM(SET!AB9:AE9)</f>
        <v>0</v>
      </c>
      <c r="BA359" s="445">
        <f>SUMIF(SET!$G$159:$J$159,BA$111,SET!$R9:$U9)+SUMIF(SET!$G$159:$J$159,BA$111,SET!$W9:$Z9)</f>
        <v>0</v>
      </c>
      <c r="BB359" s="446">
        <f>SUMIF(SET!$G$159:$J$159,BB$111,SET!$R9:$U9)+SUMIF(SET!$G$159:$J$159,BB$111,SET!$W9:$Z9)</f>
        <v>0</v>
      </c>
      <c r="BC359" s="446">
        <f>SUMIF(SET!$G$159:$J$159,BC$111,SET!$R9:$U9)+SUMIF(SET!$G$159:$J$159,BC$111,SET!$W9:$Z9)</f>
        <v>0</v>
      </c>
      <c r="BD359" s="446">
        <f>SUMIF(SET!$G$159:$J$159,BD$111,SET!$R9:$U9)+SUMIF(SET!$G$159:$J$159,BD$111,SET!$W9:$Z9)</f>
        <v>0</v>
      </c>
      <c r="BE359" s="446">
        <f>SUMIF(SET!$G$159:$J$159,BE$111,SET!$R9:$U9)+SUMIF(SET!$G$159:$J$159,BE$111,SET!$W9:$Z9)</f>
        <v>0</v>
      </c>
      <c r="BF359" s="446">
        <f>SUMIF(SET!$G$159:$J$159,BF$111,SET!$R9:$U9)+SUMIF(SET!$G$159:$J$159,BF$111,SET!$W9:$Z9)</f>
        <v>0</v>
      </c>
      <c r="BG359" s="448">
        <f>SUMIF(SET!$G$159:$J$159,BG$111,SET!$R9:$U9)+SUMIF(SET!$G$159:$J$159,BG$111,SET!$W9:$Z9)</f>
        <v>0</v>
      </c>
      <c r="BH359" s="571"/>
      <c r="BI359" s="448"/>
      <c r="BJ359" s="470"/>
      <c r="BK359" s="445">
        <f>SUMIF(SET!$G$157:$J$157,BK$111,SET!$R9:$U9)+SUMIF(SET!$G$157:$J$157,BK$111,SET!$W9:$Z9)</f>
        <v>0</v>
      </c>
      <c r="BL359" s="446">
        <f>SUMIF(SET!$G$157:$J$157,BL$111,SET!$R9:$U9)+SUMIF(SET!$G$157:$J$157,BL$111,SET!$W9:$Z9)</f>
        <v>0</v>
      </c>
      <c r="BM359" s="446">
        <f>SUMIF(SET!$G$157:$J$157,BM$111,SET!$R9:$U9)+SUMIF(SET!$G$157:$J$157,BM$111,SET!$W9:$Z9)</f>
        <v>0</v>
      </c>
      <c r="BN359" s="446">
        <f>SUMIF(SET!$G$157:$J$157,BN$111,SET!$R9:$U9)+SUMIF(SET!$G$157:$J$157,BN$111,SET!$W9:$Z9)</f>
        <v>0</v>
      </c>
      <c r="BO359" s="446">
        <f>SUMIF(SET!$G$157:$J$157,BO$111,SET!$R9:$U9)+SUMIF(SET!$G$157:$J$157,BO$111,SET!$W9:$Z9)</f>
        <v>0</v>
      </c>
      <c r="BP359" s="446">
        <f>SUMIF(SET!$G$157:$J$157,BP$111,SET!$R9:$U9)+SUMIF(SET!$G$157:$J$157,BP$111,SET!$W9:$Z9)</f>
        <v>0</v>
      </c>
      <c r="BQ359" s="448">
        <f>SUMIF(SET!$G$157:$J$157,BQ$111,SET!$R9:$U9)+SUMIF(SET!$G$157:$J$157,BQ$111,SET!$W9:$Z9)</f>
        <v>0</v>
      </c>
      <c r="BR359" s="571"/>
      <c r="BS359" s="446"/>
      <c r="BT359" s="448"/>
      <c r="BU359" s="470"/>
      <c r="BV359" s="445">
        <f>SUMIF(SET!$G$158:$J$158,BV$111,SET!$R9:$U9)+SUMIF(SET!$G$158:$J$158,BV$111,SET!$W9:$Z9)</f>
        <v>0</v>
      </c>
      <c r="BW359" s="446">
        <f>SUMIF(SET!$G$158:$J$158,BW$111,SET!$R9:$U9)+SUMIF(SET!$G$158:$J$158,BW$111,SET!$W9:$Z9)</f>
        <v>0</v>
      </c>
      <c r="BX359" s="446">
        <f>SUMIF(SET!$G$158:$J$158,BX$111,SET!$R9:$U9)+SUMIF(SET!$G$158:$J$158,BX$111,SET!$W9:$Z9)</f>
        <v>0</v>
      </c>
      <c r="BY359" s="446">
        <f>SUMIF(SET!$G$158:$J$158,BY$111,SET!$R9:$U9)+SUMIF(SET!$G$158:$J$158,BY$111,SET!$W9:$Z9)</f>
        <v>0</v>
      </c>
      <c r="BZ359" s="446">
        <f>SUMIF(SET!$G$158:$J$158,BZ$111,SET!$R9:$U9)+SUMIF(SET!$G$158:$J$158,BZ$111,SET!$W9:$Z9)</f>
        <v>0</v>
      </c>
      <c r="CA359" s="446">
        <f>SUMIF(SET!$G$158:$J$158,CA$111,SET!$R9:$U9)+SUMIF(SET!$G$158:$J$158,CA$111,SET!$W9:$Z9)</f>
        <v>0</v>
      </c>
      <c r="CB359" s="448">
        <f>SUMIF(SET!$G$158:$J$158,CB$111,SET!$R9:$U9)+SUMIF(SET!$G$158:$J$158,CB$111,SET!$W9:$Z9)</f>
        <v>0</v>
      </c>
      <c r="CC359" s="571"/>
      <c r="CD359" s="448"/>
      <c r="CE359" s="92">
        <f t="shared" si="279"/>
        <v>0</v>
      </c>
      <c r="CF359" s="92">
        <f t="shared" si="280"/>
        <v>0</v>
      </c>
      <c r="CG359" s="151" t="str">
        <f t="shared" si="266"/>
        <v/>
      </c>
      <c r="CH359" s="92">
        <f t="shared" si="269"/>
        <v>0</v>
      </c>
      <c r="CI359" s="92" t="str">
        <f t="shared" si="281"/>
        <v/>
      </c>
      <c r="CJ359" s="1100">
        <f>SET!AM9</f>
        <v>0</v>
      </c>
      <c r="CK359" s="445">
        <f>SUMIF(SET!$G$155:$J$155,CK$112,SET!$AN9:$AQ9)</f>
        <v>0</v>
      </c>
      <c r="CL359" s="446">
        <f>SUMIF(SET!$G$155:$J$155,CL$112,SET!$AN9:$AQ9)</f>
        <v>0</v>
      </c>
      <c r="CM359" s="447">
        <f>SUMIF(SET!$G$155:$J$155,CM$112,SET!$AN9:$AQ9)</f>
        <v>0</v>
      </c>
      <c r="CN359" s="448">
        <f>SUMIF(SET!$G$155:$J$155,CN$112,SET!$AN9:$AQ9)</f>
        <v>0</v>
      </c>
      <c r="CO359" s="1100">
        <f>SET!AS9</f>
        <v>0</v>
      </c>
      <c r="CP359" s="445">
        <f>SET!AT9</f>
        <v>0</v>
      </c>
      <c r="CQ359" s="446">
        <f>SET!AU9</f>
        <v>0</v>
      </c>
      <c r="CR359" s="447">
        <f>SET!AV9</f>
        <v>0</v>
      </c>
      <c r="CS359" s="448">
        <f>SET!AW9</f>
        <v>0</v>
      </c>
      <c r="CT359" s="1100">
        <f>SET!AY9</f>
        <v>0</v>
      </c>
      <c r="CU359" s="2"/>
    </row>
    <row r="360" spans="1:99" ht="14.25" hidden="1" customHeight="1" x14ac:dyDescent="0.2">
      <c r="A360" s="2"/>
      <c r="B360" s="151">
        <f t="shared" si="270"/>
        <v>45538</v>
      </c>
      <c r="C360" s="223">
        <f>IF(AND(E360&gt;(N$493-1),E360&lt;(R$493+1)),W$485,IF(ISERROR(HLOOKUP(E360,$N$486:$U$486,1,FALSE)),HLOOKUP(WEEKDAY(E360,2),IMPOSTAZIONI!$C$51:$P$56,6,FALSE),$W$484))</f>
        <v>0</v>
      </c>
      <c r="D360" s="103" t="str">
        <f t="shared" si="271"/>
        <v/>
      </c>
      <c r="E360" s="2380">
        <f t="shared" si="282"/>
        <v>45538</v>
      </c>
      <c r="F360" s="2381"/>
      <c r="G360" s="2325" t="str">
        <f>SET!E10</f>
        <v xml:space="preserve">attiva trim.  </v>
      </c>
      <c r="H360" s="2326"/>
      <c r="I360" s="2327"/>
      <c r="J360" s="479" t="str">
        <f t="shared" si="267"/>
        <v/>
      </c>
      <c r="K360" s="480"/>
      <c r="L360" s="2319">
        <f t="shared" si="283"/>
        <v>36</v>
      </c>
      <c r="M360" s="2320"/>
      <c r="N360" s="478"/>
      <c r="O360" s="478"/>
      <c r="P360" s="478"/>
      <c r="Q360" s="2315">
        <f t="shared" si="272"/>
        <v>45538</v>
      </c>
      <c r="R360" s="2315"/>
      <c r="S360" s="478"/>
      <c r="T360" s="140">
        <f t="shared" si="273"/>
        <v>1</v>
      </c>
      <c r="U360" s="478"/>
      <c r="V360" s="478"/>
      <c r="W360" s="478"/>
      <c r="X360" s="478"/>
      <c r="Y360" s="478"/>
      <c r="Z360" s="478"/>
      <c r="AA360" s="478"/>
      <c r="AB360" s="478"/>
      <c r="AC360" s="478"/>
      <c r="AD360" s="478"/>
      <c r="AE360" s="478"/>
      <c r="AF360" s="478"/>
      <c r="AG360" s="140">
        <f t="shared" si="274"/>
        <v>0</v>
      </c>
      <c r="AH360" s="92" t="str">
        <f t="shared" si="275"/>
        <v/>
      </c>
      <c r="AI360" s="131">
        <f t="shared" si="276"/>
        <v>0</v>
      </c>
      <c r="AJ360" s="2"/>
      <c r="AK360" s="92">
        <f>IF(G360=G$481,0,IF(OR(G360&lt;&gt;0,CJ360&lt;&gt;0,C360="L"),COUNTIF(AK$114:AK359,"&gt;0")+1,0))</f>
        <v>0</v>
      </c>
      <c r="AL360" s="92" t="str">
        <f t="shared" si="277"/>
        <v/>
      </c>
      <c r="AM360" s="92" t="str">
        <f t="shared" si="278"/>
        <v/>
      </c>
      <c r="AN360" s="131">
        <f t="shared" si="268"/>
        <v>0</v>
      </c>
      <c r="AO360" s="447">
        <f>SUM(SET!W10:Z10)</f>
        <v>0</v>
      </c>
      <c r="AP360" s="445">
        <f>SUMIF(SET!$G$155:$J$155,AP$112,SET!$R10:$U10)</f>
        <v>0</v>
      </c>
      <c r="AQ360" s="446">
        <f>SUMIF(SET!$G$155:$J$155,AQ$112,SET!$R10:$U10)</f>
        <v>0</v>
      </c>
      <c r="AR360" s="447">
        <f>SUMIF(SET!$G$155:$J$155,AR$112,SET!$R10:$U10)</f>
        <v>0</v>
      </c>
      <c r="AS360" s="448">
        <f>SUMIF(SET!$G$155:$J$155,AS$112,SET!$R10:$U10)</f>
        <v>0</v>
      </c>
      <c r="AT360" s="449">
        <f>SET!AG10</f>
        <v>0</v>
      </c>
      <c r="AU360" s="445">
        <f>SET!AH10</f>
        <v>0</v>
      </c>
      <c r="AV360" s="446">
        <f>SET!AI10</f>
        <v>0</v>
      </c>
      <c r="AW360" s="447">
        <f>SET!AJ10</f>
        <v>0</v>
      </c>
      <c r="AX360" s="448">
        <f>SET!AK10</f>
        <v>0</v>
      </c>
      <c r="AY360" s="445">
        <f>SUMIF(SET!$G$152:$J$152,"&gt;0",SET!$W10:$Z10)</f>
        <v>0</v>
      </c>
      <c r="AZ360" s="1063">
        <f>SUM(SET!AB10:AE10)</f>
        <v>0</v>
      </c>
      <c r="BA360" s="445">
        <f>SUMIF(SET!$G$159:$J$159,BA$111,SET!$R10:$U10)+SUMIF(SET!$G$159:$J$159,BA$111,SET!$W10:$Z10)</f>
        <v>0</v>
      </c>
      <c r="BB360" s="446">
        <f>SUMIF(SET!$G$159:$J$159,BB$111,SET!$R10:$U10)+SUMIF(SET!$G$159:$J$159,BB$111,SET!$W10:$Z10)</f>
        <v>0</v>
      </c>
      <c r="BC360" s="446">
        <f>SUMIF(SET!$G$159:$J$159,BC$111,SET!$R10:$U10)+SUMIF(SET!$G$159:$J$159,BC$111,SET!$W10:$Z10)</f>
        <v>0</v>
      </c>
      <c r="BD360" s="446">
        <f>SUMIF(SET!$G$159:$J$159,BD$111,SET!$R10:$U10)+SUMIF(SET!$G$159:$J$159,BD$111,SET!$W10:$Z10)</f>
        <v>0</v>
      </c>
      <c r="BE360" s="446">
        <f>SUMIF(SET!$G$159:$J$159,BE$111,SET!$R10:$U10)+SUMIF(SET!$G$159:$J$159,BE$111,SET!$W10:$Z10)</f>
        <v>0</v>
      </c>
      <c r="BF360" s="446">
        <f>SUMIF(SET!$G$159:$J$159,BF$111,SET!$R10:$U10)+SUMIF(SET!$G$159:$J$159,BF$111,SET!$W10:$Z10)</f>
        <v>0</v>
      </c>
      <c r="BG360" s="448">
        <f>SUMIF(SET!$G$159:$J$159,BG$111,SET!$R10:$U10)+SUMIF(SET!$G$159:$J$159,BG$111,SET!$W10:$Z10)</f>
        <v>0</v>
      </c>
      <c r="BH360" s="571"/>
      <c r="BI360" s="448"/>
      <c r="BJ360" s="470"/>
      <c r="BK360" s="445">
        <f>SUMIF(SET!$G$157:$J$157,BK$111,SET!$R10:$U10)+SUMIF(SET!$G$157:$J$157,BK$111,SET!$W10:$Z10)</f>
        <v>0</v>
      </c>
      <c r="BL360" s="446">
        <f>SUMIF(SET!$G$157:$J$157,BL$111,SET!$R10:$U10)+SUMIF(SET!$G$157:$J$157,BL$111,SET!$W10:$Z10)</f>
        <v>0</v>
      </c>
      <c r="BM360" s="446">
        <f>SUMIF(SET!$G$157:$J$157,BM$111,SET!$R10:$U10)+SUMIF(SET!$G$157:$J$157,BM$111,SET!$W10:$Z10)</f>
        <v>0</v>
      </c>
      <c r="BN360" s="446">
        <f>SUMIF(SET!$G$157:$J$157,BN$111,SET!$R10:$U10)+SUMIF(SET!$G$157:$J$157,BN$111,SET!$W10:$Z10)</f>
        <v>0</v>
      </c>
      <c r="BO360" s="446">
        <f>SUMIF(SET!$G$157:$J$157,BO$111,SET!$R10:$U10)+SUMIF(SET!$G$157:$J$157,BO$111,SET!$W10:$Z10)</f>
        <v>0</v>
      </c>
      <c r="BP360" s="446">
        <f>SUMIF(SET!$G$157:$J$157,BP$111,SET!$R10:$U10)+SUMIF(SET!$G$157:$J$157,BP$111,SET!$W10:$Z10)</f>
        <v>0</v>
      </c>
      <c r="BQ360" s="448">
        <f>SUMIF(SET!$G$157:$J$157,BQ$111,SET!$R10:$U10)+SUMIF(SET!$G$157:$J$157,BQ$111,SET!$W10:$Z10)</f>
        <v>0</v>
      </c>
      <c r="BR360" s="571"/>
      <c r="BS360" s="446"/>
      <c r="BT360" s="448"/>
      <c r="BU360" s="470"/>
      <c r="BV360" s="445">
        <f>SUMIF(SET!$G$158:$J$158,BV$111,SET!$R10:$U10)+SUMIF(SET!$G$158:$J$158,BV$111,SET!$W10:$Z10)</f>
        <v>0</v>
      </c>
      <c r="BW360" s="446">
        <f>SUMIF(SET!$G$158:$J$158,BW$111,SET!$R10:$U10)+SUMIF(SET!$G$158:$J$158,BW$111,SET!$W10:$Z10)</f>
        <v>0</v>
      </c>
      <c r="BX360" s="446">
        <f>SUMIF(SET!$G$158:$J$158,BX$111,SET!$R10:$U10)+SUMIF(SET!$G$158:$J$158,BX$111,SET!$W10:$Z10)</f>
        <v>0</v>
      </c>
      <c r="BY360" s="446">
        <f>SUMIF(SET!$G$158:$J$158,BY$111,SET!$R10:$U10)+SUMIF(SET!$G$158:$J$158,BY$111,SET!$W10:$Z10)</f>
        <v>0</v>
      </c>
      <c r="BZ360" s="446">
        <f>SUMIF(SET!$G$158:$J$158,BZ$111,SET!$R10:$U10)+SUMIF(SET!$G$158:$J$158,BZ$111,SET!$W10:$Z10)</f>
        <v>0</v>
      </c>
      <c r="CA360" s="446">
        <f>SUMIF(SET!$G$158:$J$158,CA$111,SET!$R10:$U10)+SUMIF(SET!$G$158:$J$158,CA$111,SET!$W10:$Z10)</f>
        <v>0</v>
      </c>
      <c r="CB360" s="448">
        <f>SUMIF(SET!$G$158:$J$158,CB$111,SET!$R10:$U10)+SUMIF(SET!$G$158:$J$158,CB$111,SET!$W10:$Z10)</f>
        <v>0</v>
      </c>
      <c r="CC360" s="571"/>
      <c r="CD360" s="448"/>
      <c r="CE360" s="92">
        <f t="shared" si="279"/>
        <v>0</v>
      </c>
      <c r="CF360" s="92">
        <f t="shared" si="280"/>
        <v>0</v>
      </c>
      <c r="CG360" s="151" t="str">
        <f t="shared" si="266"/>
        <v/>
      </c>
      <c r="CH360" s="92">
        <f t="shared" si="269"/>
        <v>0</v>
      </c>
      <c r="CI360" s="92" t="str">
        <f t="shared" si="281"/>
        <v/>
      </c>
      <c r="CJ360" s="1100">
        <f>SET!AM10</f>
        <v>0</v>
      </c>
      <c r="CK360" s="445">
        <f>SUMIF(SET!$G$155:$J$155,CK$112,SET!$AN10:$AQ10)</f>
        <v>0</v>
      </c>
      <c r="CL360" s="446">
        <f>SUMIF(SET!$G$155:$J$155,CL$112,SET!$AN10:$AQ10)</f>
        <v>0</v>
      </c>
      <c r="CM360" s="447">
        <f>SUMIF(SET!$G$155:$J$155,CM$112,SET!$AN10:$AQ10)</f>
        <v>0</v>
      </c>
      <c r="CN360" s="448">
        <f>SUMIF(SET!$G$155:$J$155,CN$112,SET!$AN10:$AQ10)</f>
        <v>0</v>
      </c>
      <c r="CO360" s="1100">
        <f>SET!AS10</f>
        <v>0</v>
      </c>
      <c r="CP360" s="445">
        <f>SET!AT10</f>
        <v>0</v>
      </c>
      <c r="CQ360" s="446">
        <f>SET!AU10</f>
        <v>0</v>
      </c>
      <c r="CR360" s="447">
        <f>SET!AV10</f>
        <v>0</v>
      </c>
      <c r="CS360" s="448">
        <f>SET!AW10</f>
        <v>0</v>
      </c>
      <c r="CT360" s="1100">
        <f>SET!AY10</f>
        <v>0</v>
      </c>
      <c r="CU360" s="2"/>
    </row>
    <row r="361" spans="1:99" ht="14.25" hidden="1" customHeight="1" x14ac:dyDescent="0.2">
      <c r="A361" s="2"/>
      <c r="B361" s="151">
        <f t="shared" si="270"/>
        <v>45539</v>
      </c>
      <c r="C361" s="223">
        <f>IF(AND(E361&gt;(N$493-1),E361&lt;(R$493+1)),W$485,IF(ISERROR(HLOOKUP(E361,$N$486:$U$486,1,FALSE)),HLOOKUP(WEEKDAY(E361,2),IMPOSTAZIONI!$C$51:$P$56,6,FALSE),$W$484))</f>
        <v>0</v>
      </c>
      <c r="D361" s="103" t="str">
        <f t="shared" si="271"/>
        <v/>
      </c>
      <c r="E361" s="2380">
        <f t="shared" si="282"/>
        <v>45539</v>
      </c>
      <c r="F361" s="2381"/>
      <c r="G361" s="2325" t="str">
        <f>SET!E11</f>
        <v xml:space="preserve">attiva trim.  </v>
      </c>
      <c r="H361" s="2326"/>
      <c r="I361" s="2327"/>
      <c r="J361" s="479" t="str">
        <f t="shared" si="267"/>
        <v/>
      </c>
      <c r="K361" s="480"/>
      <c r="L361" s="2319">
        <f t="shared" si="283"/>
        <v>36</v>
      </c>
      <c r="M361" s="2320"/>
      <c r="N361" s="478"/>
      <c r="O361" s="478"/>
      <c r="P361" s="478"/>
      <c r="Q361" s="2315">
        <f t="shared" si="272"/>
        <v>45539</v>
      </c>
      <c r="R361" s="2315"/>
      <c r="S361" s="478"/>
      <c r="T361" s="140">
        <f t="shared" si="273"/>
        <v>1</v>
      </c>
      <c r="U361" s="478"/>
      <c r="V361" s="478"/>
      <c r="W361" s="478"/>
      <c r="X361" s="478"/>
      <c r="Y361" s="478"/>
      <c r="Z361" s="478"/>
      <c r="AA361" s="478"/>
      <c r="AB361" s="478"/>
      <c r="AC361" s="478"/>
      <c r="AD361" s="478"/>
      <c r="AE361" s="478"/>
      <c r="AF361" s="478"/>
      <c r="AG361" s="140">
        <f t="shared" si="274"/>
        <v>0</v>
      </c>
      <c r="AH361" s="92" t="str">
        <f t="shared" si="275"/>
        <v/>
      </c>
      <c r="AI361" s="131">
        <f t="shared" si="276"/>
        <v>0</v>
      </c>
      <c r="AJ361" s="2"/>
      <c r="AK361" s="92">
        <f>IF(G361=G$481,0,IF(OR(G361&lt;&gt;0,CJ361&lt;&gt;0,C361="L"),COUNTIF(AK$114:AK360,"&gt;0")+1,0))</f>
        <v>0</v>
      </c>
      <c r="AL361" s="92" t="str">
        <f t="shared" si="277"/>
        <v/>
      </c>
      <c r="AM361" s="92" t="str">
        <f t="shared" si="278"/>
        <v/>
      </c>
      <c r="AN361" s="131">
        <f t="shared" si="268"/>
        <v>0</v>
      </c>
      <c r="AO361" s="447">
        <f>SUM(SET!W11:Z11)</f>
        <v>0</v>
      </c>
      <c r="AP361" s="445">
        <f>SUMIF(SET!$G$155:$J$155,AP$112,SET!$R11:$U11)</f>
        <v>0</v>
      </c>
      <c r="AQ361" s="446">
        <f>SUMIF(SET!$G$155:$J$155,AQ$112,SET!$R11:$U11)</f>
        <v>0</v>
      </c>
      <c r="AR361" s="447">
        <f>SUMIF(SET!$G$155:$J$155,AR$112,SET!$R11:$U11)</f>
        <v>0</v>
      </c>
      <c r="AS361" s="448">
        <f>SUMIF(SET!$G$155:$J$155,AS$112,SET!$R11:$U11)</f>
        <v>0</v>
      </c>
      <c r="AT361" s="449">
        <f>SET!AG11</f>
        <v>0</v>
      </c>
      <c r="AU361" s="445">
        <f>SET!AH11</f>
        <v>0</v>
      </c>
      <c r="AV361" s="446">
        <f>SET!AI11</f>
        <v>0</v>
      </c>
      <c r="AW361" s="447">
        <f>SET!AJ11</f>
        <v>0</v>
      </c>
      <c r="AX361" s="448">
        <f>SET!AK11</f>
        <v>0</v>
      </c>
      <c r="AY361" s="445">
        <f>SUMIF(SET!$G$152:$J$152,"&gt;0",SET!$W11:$Z11)</f>
        <v>0</v>
      </c>
      <c r="AZ361" s="1063">
        <f>SUM(SET!AB11:AE11)</f>
        <v>0</v>
      </c>
      <c r="BA361" s="445">
        <f>SUMIF(SET!$G$159:$J$159,BA$111,SET!$R11:$U11)+SUMIF(SET!$G$159:$J$159,BA$111,SET!$W11:$Z11)</f>
        <v>0</v>
      </c>
      <c r="BB361" s="446">
        <f>SUMIF(SET!$G$159:$J$159,BB$111,SET!$R11:$U11)+SUMIF(SET!$G$159:$J$159,BB$111,SET!$W11:$Z11)</f>
        <v>0</v>
      </c>
      <c r="BC361" s="446">
        <f>SUMIF(SET!$G$159:$J$159,BC$111,SET!$R11:$U11)+SUMIF(SET!$G$159:$J$159,BC$111,SET!$W11:$Z11)</f>
        <v>0</v>
      </c>
      <c r="BD361" s="446">
        <f>SUMIF(SET!$G$159:$J$159,BD$111,SET!$R11:$U11)+SUMIF(SET!$G$159:$J$159,BD$111,SET!$W11:$Z11)</f>
        <v>0</v>
      </c>
      <c r="BE361" s="446">
        <f>SUMIF(SET!$G$159:$J$159,BE$111,SET!$R11:$U11)+SUMIF(SET!$G$159:$J$159,BE$111,SET!$W11:$Z11)</f>
        <v>0</v>
      </c>
      <c r="BF361" s="446">
        <f>SUMIF(SET!$G$159:$J$159,BF$111,SET!$R11:$U11)+SUMIF(SET!$G$159:$J$159,BF$111,SET!$W11:$Z11)</f>
        <v>0</v>
      </c>
      <c r="BG361" s="448">
        <f>SUMIF(SET!$G$159:$J$159,BG$111,SET!$R11:$U11)+SUMIF(SET!$G$159:$J$159,BG$111,SET!$W11:$Z11)</f>
        <v>0</v>
      </c>
      <c r="BH361" s="571"/>
      <c r="BI361" s="448"/>
      <c r="BJ361" s="470"/>
      <c r="BK361" s="445">
        <f>SUMIF(SET!$G$157:$J$157,BK$111,SET!$R11:$U11)+SUMIF(SET!$G$157:$J$157,BK$111,SET!$W11:$Z11)</f>
        <v>0</v>
      </c>
      <c r="BL361" s="446">
        <f>SUMIF(SET!$G$157:$J$157,BL$111,SET!$R11:$U11)+SUMIF(SET!$G$157:$J$157,BL$111,SET!$W11:$Z11)</f>
        <v>0</v>
      </c>
      <c r="BM361" s="446">
        <f>SUMIF(SET!$G$157:$J$157,BM$111,SET!$R11:$U11)+SUMIF(SET!$G$157:$J$157,BM$111,SET!$W11:$Z11)</f>
        <v>0</v>
      </c>
      <c r="BN361" s="446">
        <f>SUMIF(SET!$G$157:$J$157,BN$111,SET!$R11:$U11)+SUMIF(SET!$G$157:$J$157,BN$111,SET!$W11:$Z11)</f>
        <v>0</v>
      </c>
      <c r="BO361" s="446">
        <f>SUMIF(SET!$G$157:$J$157,BO$111,SET!$R11:$U11)+SUMIF(SET!$G$157:$J$157,BO$111,SET!$W11:$Z11)</f>
        <v>0</v>
      </c>
      <c r="BP361" s="446">
        <f>SUMIF(SET!$G$157:$J$157,BP$111,SET!$R11:$U11)+SUMIF(SET!$G$157:$J$157,BP$111,SET!$W11:$Z11)</f>
        <v>0</v>
      </c>
      <c r="BQ361" s="448">
        <f>SUMIF(SET!$G$157:$J$157,BQ$111,SET!$R11:$U11)+SUMIF(SET!$G$157:$J$157,BQ$111,SET!$W11:$Z11)</f>
        <v>0</v>
      </c>
      <c r="BR361" s="571"/>
      <c r="BS361" s="446"/>
      <c r="BT361" s="448"/>
      <c r="BU361" s="470"/>
      <c r="BV361" s="445">
        <f>SUMIF(SET!$G$158:$J$158,BV$111,SET!$R11:$U11)+SUMIF(SET!$G$158:$J$158,BV$111,SET!$W11:$Z11)</f>
        <v>0</v>
      </c>
      <c r="BW361" s="446">
        <f>SUMIF(SET!$G$158:$J$158,BW$111,SET!$R11:$U11)+SUMIF(SET!$G$158:$J$158,BW$111,SET!$W11:$Z11)</f>
        <v>0</v>
      </c>
      <c r="BX361" s="446">
        <f>SUMIF(SET!$G$158:$J$158,BX$111,SET!$R11:$U11)+SUMIF(SET!$G$158:$J$158,BX$111,SET!$W11:$Z11)</f>
        <v>0</v>
      </c>
      <c r="BY361" s="446">
        <f>SUMIF(SET!$G$158:$J$158,BY$111,SET!$R11:$U11)+SUMIF(SET!$G$158:$J$158,BY$111,SET!$W11:$Z11)</f>
        <v>0</v>
      </c>
      <c r="BZ361" s="446">
        <f>SUMIF(SET!$G$158:$J$158,BZ$111,SET!$R11:$U11)+SUMIF(SET!$G$158:$J$158,BZ$111,SET!$W11:$Z11)</f>
        <v>0</v>
      </c>
      <c r="CA361" s="446">
        <f>SUMIF(SET!$G$158:$J$158,CA$111,SET!$R11:$U11)+SUMIF(SET!$G$158:$J$158,CA$111,SET!$W11:$Z11)</f>
        <v>0</v>
      </c>
      <c r="CB361" s="448">
        <f>SUMIF(SET!$G$158:$J$158,CB$111,SET!$R11:$U11)+SUMIF(SET!$G$158:$J$158,CB$111,SET!$W11:$Z11)</f>
        <v>0</v>
      </c>
      <c r="CC361" s="571"/>
      <c r="CD361" s="448"/>
      <c r="CE361" s="92">
        <f t="shared" si="279"/>
        <v>0</v>
      </c>
      <c r="CF361" s="92">
        <f t="shared" si="280"/>
        <v>0</v>
      </c>
      <c r="CG361" s="151" t="str">
        <f t="shared" si="266"/>
        <v/>
      </c>
      <c r="CH361" s="92">
        <f t="shared" si="269"/>
        <v>0</v>
      </c>
      <c r="CI361" s="92" t="str">
        <f t="shared" si="281"/>
        <v/>
      </c>
      <c r="CJ361" s="1100">
        <f>SET!AM11</f>
        <v>0</v>
      </c>
      <c r="CK361" s="445">
        <f>SUMIF(SET!$G$155:$J$155,CK$112,SET!$AN11:$AQ11)</f>
        <v>0</v>
      </c>
      <c r="CL361" s="446">
        <f>SUMIF(SET!$G$155:$J$155,CL$112,SET!$AN11:$AQ11)</f>
        <v>0</v>
      </c>
      <c r="CM361" s="447">
        <f>SUMIF(SET!$G$155:$J$155,CM$112,SET!$AN11:$AQ11)</f>
        <v>0</v>
      </c>
      <c r="CN361" s="448">
        <f>SUMIF(SET!$G$155:$J$155,CN$112,SET!$AN11:$AQ11)</f>
        <v>0</v>
      </c>
      <c r="CO361" s="1100">
        <f>SET!AS11</f>
        <v>0</v>
      </c>
      <c r="CP361" s="445">
        <f>SET!AT11</f>
        <v>0</v>
      </c>
      <c r="CQ361" s="446">
        <f>SET!AU11</f>
        <v>0</v>
      </c>
      <c r="CR361" s="447">
        <f>SET!AV11</f>
        <v>0</v>
      </c>
      <c r="CS361" s="448">
        <f>SET!AW11</f>
        <v>0</v>
      </c>
      <c r="CT361" s="1100">
        <f>SET!AY11</f>
        <v>0</v>
      </c>
      <c r="CU361" s="2"/>
    </row>
    <row r="362" spans="1:99" ht="14.25" hidden="1" customHeight="1" x14ac:dyDescent="0.2">
      <c r="A362" s="2"/>
      <c r="B362" s="151">
        <f t="shared" si="270"/>
        <v>45540</v>
      </c>
      <c r="C362" s="223">
        <f>IF(AND(E362&gt;(N$493-1),E362&lt;(R$493+1)),W$485,IF(ISERROR(HLOOKUP(E362,$N$486:$U$486,1,FALSE)),HLOOKUP(WEEKDAY(E362,2),IMPOSTAZIONI!$C$51:$P$56,6,FALSE),$W$484))</f>
        <v>0</v>
      </c>
      <c r="D362" s="103" t="str">
        <f t="shared" si="271"/>
        <v/>
      </c>
      <c r="E362" s="2380">
        <f t="shared" si="282"/>
        <v>45540</v>
      </c>
      <c r="F362" s="2381"/>
      <c r="G362" s="2325" t="str">
        <f>SET!E12</f>
        <v xml:space="preserve">attiva trim.  </v>
      </c>
      <c r="H362" s="2326"/>
      <c r="I362" s="2327"/>
      <c r="J362" s="479" t="str">
        <f t="shared" si="267"/>
        <v/>
      </c>
      <c r="K362" s="480"/>
      <c r="L362" s="2319">
        <f t="shared" si="283"/>
        <v>36</v>
      </c>
      <c r="M362" s="2320"/>
      <c r="N362" s="478"/>
      <c r="O362" s="478"/>
      <c r="P362" s="478"/>
      <c r="Q362" s="2315">
        <f t="shared" si="272"/>
        <v>45540</v>
      </c>
      <c r="R362" s="2315"/>
      <c r="S362" s="478"/>
      <c r="T362" s="140">
        <f t="shared" si="273"/>
        <v>1</v>
      </c>
      <c r="U362" s="478"/>
      <c r="V362" s="478"/>
      <c r="W362" s="478"/>
      <c r="X362" s="478"/>
      <c r="Y362" s="478"/>
      <c r="Z362" s="478"/>
      <c r="AA362" s="478"/>
      <c r="AB362" s="478"/>
      <c r="AC362" s="478"/>
      <c r="AD362" s="478"/>
      <c r="AE362" s="478"/>
      <c r="AF362" s="478"/>
      <c r="AG362" s="140">
        <f t="shared" si="274"/>
        <v>0</v>
      </c>
      <c r="AH362" s="92" t="str">
        <f t="shared" si="275"/>
        <v/>
      </c>
      <c r="AI362" s="131">
        <f t="shared" si="276"/>
        <v>0</v>
      </c>
      <c r="AJ362" s="2"/>
      <c r="AK362" s="92">
        <f>IF(G362=G$481,0,IF(OR(G362&lt;&gt;0,CJ362&lt;&gt;0,C362="L"),COUNTIF(AK$114:AK361,"&gt;0")+1,0))</f>
        <v>0</v>
      </c>
      <c r="AL362" s="92" t="str">
        <f t="shared" si="277"/>
        <v/>
      </c>
      <c r="AM362" s="92" t="str">
        <f t="shared" si="278"/>
        <v/>
      </c>
      <c r="AN362" s="131">
        <f t="shared" si="268"/>
        <v>0</v>
      </c>
      <c r="AO362" s="447">
        <f>SUM(SET!W12:Z12)</f>
        <v>0</v>
      </c>
      <c r="AP362" s="445">
        <f>SUMIF(SET!$G$155:$J$155,AP$112,SET!$R12:$U12)</f>
        <v>0</v>
      </c>
      <c r="AQ362" s="446">
        <f>SUMIF(SET!$G$155:$J$155,AQ$112,SET!$R12:$U12)</f>
        <v>0</v>
      </c>
      <c r="AR362" s="447">
        <f>SUMIF(SET!$G$155:$J$155,AR$112,SET!$R12:$U12)</f>
        <v>0</v>
      </c>
      <c r="AS362" s="448">
        <f>SUMIF(SET!$G$155:$J$155,AS$112,SET!$R12:$U12)</f>
        <v>0</v>
      </c>
      <c r="AT362" s="449">
        <f>SET!AG12</f>
        <v>0</v>
      </c>
      <c r="AU362" s="445">
        <f>SET!AH12</f>
        <v>0</v>
      </c>
      <c r="AV362" s="446">
        <f>SET!AI12</f>
        <v>0</v>
      </c>
      <c r="AW362" s="447">
        <f>SET!AJ12</f>
        <v>0</v>
      </c>
      <c r="AX362" s="448">
        <f>SET!AK12</f>
        <v>0</v>
      </c>
      <c r="AY362" s="445">
        <f>SUMIF(SET!$G$152:$J$152,"&gt;0",SET!$W12:$Z12)</f>
        <v>0</v>
      </c>
      <c r="AZ362" s="1063">
        <f>SUM(SET!AB12:AE12)</f>
        <v>0</v>
      </c>
      <c r="BA362" s="445">
        <f>SUMIF(SET!$G$159:$J$159,BA$111,SET!$R12:$U12)+SUMIF(SET!$G$159:$J$159,BA$111,SET!$W12:$Z12)</f>
        <v>0</v>
      </c>
      <c r="BB362" s="446">
        <f>SUMIF(SET!$G$159:$J$159,BB$111,SET!$R12:$U12)+SUMIF(SET!$G$159:$J$159,BB$111,SET!$W12:$Z12)</f>
        <v>0</v>
      </c>
      <c r="BC362" s="446">
        <f>SUMIF(SET!$G$159:$J$159,BC$111,SET!$R12:$U12)+SUMIF(SET!$G$159:$J$159,BC$111,SET!$W12:$Z12)</f>
        <v>0</v>
      </c>
      <c r="BD362" s="446">
        <f>SUMIF(SET!$G$159:$J$159,BD$111,SET!$R12:$U12)+SUMIF(SET!$G$159:$J$159,BD$111,SET!$W12:$Z12)</f>
        <v>0</v>
      </c>
      <c r="BE362" s="446">
        <f>SUMIF(SET!$G$159:$J$159,BE$111,SET!$R12:$U12)+SUMIF(SET!$G$159:$J$159,BE$111,SET!$W12:$Z12)</f>
        <v>0</v>
      </c>
      <c r="BF362" s="446">
        <f>SUMIF(SET!$G$159:$J$159,BF$111,SET!$R12:$U12)+SUMIF(SET!$G$159:$J$159,BF$111,SET!$W12:$Z12)</f>
        <v>0</v>
      </c>
      <c r="BG362" s="448">
        <f>SUMIF(SET!$G$159:$J$159,BG$111,SET!$R12:$U12)+SUMIF(SET!$G$159:$J$159,BG$111,SET!$W12:$Z12)</f>
        <v>0</v>
      </c>
      <c r="BH362" s="571"/>
      <c r="BI362" s="448"/>
      <c r="BJ362" s="470"/>
      <c r="BK362" s="445">
        <f>SUMIF(SET!$G$157:$J$157,BK$111,SET!$R12:$U12)+SUMIF(SET!$G$157:$J$157,BK$111,SET!$W12:$Z12)</f>
        <v>0</v>
      </c>
      <c r="BL362" s="446">
        <f>SUMIF(SET!$G$157:$J$157,BL$111,SET!$R12:$U12)+SUMIF(SET!$G$157:$J$157,BL$111,SET!$W12:$Z12)</f>
        <v>0</v>
      </c>
      <c r="BM362" s="446">
        <f>SUMIF(SET!$G$157:$J$157,BM$111,SET!$R12:$U12)+SUMIF(SET!$G$157:$J$157,BM$111,SET!$W12:$Z12)</f>
        <v>0</v>
      </c>
      <c r="BN362" s="446">
        <f>SUMIF(SET!$G$157:$J$157,BN$111,SET!$R12:$U12)+SUMIF(SET!$G$157:$J$157,BN$111,SET!$W12:$Z12)</f>
        <v>0</v>
      </c>
      <c r="BO362" s="446">
        <f>SUMIF(SET!$G$157:$J$157,BO$111,SET!$R12:$U12)+SUMIF(SET!$G$157:$J$157,BO$111,SET!$W12:$Z12)</f>
        <v>0</v>
      </c>
      <c r="BP362" s="446">
        <f>SUMIF(SET!$G$157:$J$157,BP$111,SET!$R12:$U12)+SUMIF(SET!$G$157:$J$157,BP$111,SET!$W12:$Z12)</f>
        <v>0</v>
      </c>
      <c r="BQ362" s="448">
        <f>SUMIF(SET!$G$157:$J$157,BQ$111,SET!$R12:$U12)+SUMIF(SET!$G$157:$J$157,BQ$111,SET!$W12:$Z12)</f>
        <v>0</v>
      </c>
      <c r="BR362" s="571"/>
      <c r="BS362" s="446"/>
      <c r="BT362" s="448"/>
      <c r="BU362" s="470"/>
      <c r="BV362" s="445">
        <f>SUMIF(SET!$G$158:$J$158,BV$111,SET!$R12:$U12)+SUMIF(SET!$G$158:$J$158,BV$111,SET!$W12:$Z12)</f>
        <v>0</v>
      </c>
      <c r="BW362" s="446">
        <f>SUMIF(SET!$G$158:$J$158,BW$111,SET!$R12:$U12)+SUMIF(SET!$G$158:$J$158,BW$111,SET!$W12:$Z12)</f>
        <v>0</v>
      </c>
      <c r="BX362" s="446">
        <f>SUMIF(SET!$G$158:$J$158,BX$111,SET!$R12:$U12)+SUMIF(SET!$G$158:$J$158,BX$111,SET!$W12:$Z12)</f>
        <v>0</v>
      </c>
      <c r="BY362" s="446">
        <f>SUMIF(SET!$G$158:$J$158,BY$111,SET!$R12:$U12)+SUMIF(SET!$G$158:$J$158,BY$111,SET!$W12:$Z12)</f>
        <v>0</v>
      </c>
      <c r="BZ362" s="446">
        <f>SUMIF(SET!$G$158:$J$158,BZ$111,SET!$R12:$U12)+SUMIF(SET!$G$158:$J$158,BZ$111,SET!$W12:$Z12)</f>
        <v>0</v>
      </c>
      <c r="CA362" s="446">
        <f>SUMIF(SET!$G$158:$J$158,CA$111,SET!$R12:$U12)+SUMIF(SET!$G$158:$J$158,CA$111,SET!$W12:$Z12)</f>
        <v>0</v>
      </c>
      <c r="CB362" s="448">
        <f>SUMIF(SET!$G$158:$J$158,CB$111,SET!$R12:$U12)+SUMIF(SET!$G$158:$J$158,CB$111,SET!$W12:$Z12)</f>
        <v>0</v>
      </c>
      <c r="CC362" s="571"/>
      <c r="CD362" s="448"/>
      <c r="CE362" s="92">
        <f t="shared" si="279"/>
        <v>0</v>
      </c>
      <c r="CF362" s="92">
        <f t="shared" si="280"/>
        <v>0</v>
      </c>
      <c r="CG362" s="151" t="str">
        <f t="shared" si="266"/>
        <v/>
      </c>
      <c r="CH362" s="92">
        <f t="shared" si="269"/>
        <v>0</v>
      </c>
      <c r="CI362" s="92" t="str">
        <f t="shared" si="281"/>
        <v/>
      </c>
      <c r="CJ362" s="1100">
        <f>SET!AM12</f>
        <v>0</v>
      </c>
      <c r="CK362" s="445">
        <f>SUMIF(SET!$G$155:$J$155,CK$112,SET!$AN12:$AQ12)</f>
        <v>0</v>
      </c>
      <c r="CL362" s="446">
        <f>SUMIF(SET!$G$155:$J$155,CL$112,SET!$AN12:$AQ12)</f>
        <v>0</v>
      </c>
      <c r="CM362" s="447">
        <f>SUMIF(SET!$G$155:$J$155,CM$112,SET!$AN12:$AQ12)</f>
        <v>0</v>
      </c>
      <c r="CN362" s="448">
        <f>SUMIF(SET!$G$155:$J$155,CN$112,SET!$AN12:$AQ12)</f>
        <v>0</v>
      </c>
      <c r="CO362" s="1100">
        <f>SET!AS12</f>
        <v>0</v>
      </c>
      <c r="CP362" s="445">
        <f>SET!AT12</f>
        <v>0</v>
      </c>
      <c r="CQ362" s="446">
        <f>SET!AU12</f>
        <v>0</v>
      </c>
      <c r="CR362" s="447">
        <f>SET!AV12</f>
        <v>0</v>
      </c>
      <c r="CS362" s="448">
        <f>SET!AW12</f>
        <v>0</v>
      </c>
      <c r="CT362" s="1100">
        <f>SET!AY12</f>
        <v>0</v>
      </c>
      <c r="CU362" s="2"/>
    </row>
    <row r="363" spans="1:99" ht="14.25" hidden="1" customHeight="1" x14ac:dyDescent="0.2">
      <c r="A363" s="2"/>
      <c r="B363" s="151">
        <f t="shared" si="270"/>
        <v>45541</v>
      </c>
      <c r="C363" s="223">
        <f>IF(AND(E363&gt;(N$493-1),E363&lt;(R$493+1)),W$485,IF(ISERROR(HLOOKUP(E363,$N$486:$U$486,1,FALSE)),HLOOKUP(WEEKDAY(E363,2),IMPOSTAZIONI!$C$51:$P$56,6,FALSE),$W$484))</f>
        <v>0</v>
      </c>
      <c r="D363" s="103" t="str">
        <f t="shared" si="271"/>
        <v/>
      </c>
      <c r="E363" s="2380">
        <f t="shared" si="282"/>
        <v>45541</v>
      </c>
      <c r="F363" s="2381"/>
      <c r="G363" s="2325" t="str">
        <f>SET!E13</f>
        <v xml:space="preserve">attiva trim.  </v>
      </c>
      <c r="H363" s="2326"/>
      <c r="I363" s="2327"/>
      <c r="J363" s="479" t="str">
        <f t="shared" si="267"/>
        <v/>
      </c>
      <c r="K363" s="480"/>
      <c r="L363" s="2319">
        <f t="shared" si="283"/>
        <v>36</v>
      </c>
      <c r="M363" s="2320"/>
      <c r="N363" s="478"/>
      <c r="O363" s="478"/>
      <c r="P363" s="478"/>
      <c r="Q363" s="2315">
        <f t="shared" si="272"/>
        <v>45541</v>
      </c>
      <c r="R363" s="2315"/>
      <c r="S363" s="478"/>
      <c r="T363" s="140">
        <f t="shared" si="273"/>
        <v>1</v>
      </c>
      <c r="U363" s="478"/>
      <c r="V363" s="478"/>
      <c r="W363" s="478"/>
      <c r="X363" s="478"/>
      <c r="Y363" s="478"/>
      <c r="Z363" s="478"/>
      <c r="AA363" s="478"/>
      <c r="AB363" s="478"/>
      <c r="AC363" s="478"/>
      <c r="AD363" s="478"/>
      <c r="AE363" s="478"/>
      <c r="AF363" s="478"/>
      <c r="AG363" s="140">
        <f t="shared" si="274"/>
        <v>0</v>
      </c>
      <c r="AH363" s="92" t="str">
        <f t="shared" si="275"/>
        <v/>
      </c>
      <c r="AI363" s="131">
        <f t="shared" si="276"/>
        <v>0</v>
      </c>
      <c r="AJ363" s="2"/>
      <c r="AK363" s="92">
        <f>IF(G363=G$481,0,IF(OR(G363&lt;&gt;0,CJ363&lt;&gt;0,C363="L"),COUNTIF(AK$114:AK362,"&gt;0")+1,0))</f>
        <v>0</v>
      </c>
      <c r="AL363" s="92" t="str">
        <f t="shared" si="277"/>
        <v/>
      </c>
      <c r="AM363" s="92" t="str">
        <f t="shared" si="278"/>
        <v/>
      </c>
      <c r="AN363" s="131">
        <f t="shared" si="268"/>
        <v>0</v>
      </c>
      <c r="AO363" s="447">
        <f>SUM(SET!W13:Z13)</f>
        <v>0</v>
      </c>
      <c r="AP363" s="445">
        <f>SUMIF(SET!$G$155:$J$155,AP$112,SET!$R13:$U13)</f>
        <v>0</v>
      </c>
      <c r="AQ363" s="446">
        <f>SUMIF(SET!$G$155:$J$155,AQ$112,SET!$R13:$U13)</f>
        <v>0</v>
      </c>
      <c r="AR363" s="447">
        <f>SUMIF(SET!$G$155:$J$155,AR$112,SET!$R13:$U13)</f>
        <v>0</v>
      </c>
      <c r="AS363" s="448">
        <f>SUMIF(SET!$G$155:$J$155,AS$112,SET!$R13:$U13)</f>
        <v>0</v>
      </c>
      <c r="AT363" s="449">
        <f>SET!AG13</f>
        <v>0</v>
      </c>
      <c r="AU363" s="445">
        <f>SET!AH13</f>
        <v>0</v>
      </c>
      <c r="AV363" s="446">
        <f>SET!AI13</f>
        <v>0</v>
      </c>
      <c r="AW363" s="447">
        <f>SET!AJ13</f>
        <v>0</v>
      </c>
      <c r="AX363" s="448">
        <f>SET!AK13</f>
        <v>0</v>
      </c>
      <c r="AY363" s="445">
        <f>SUMIF(SET!$G$152:$J$152,"&gt;0",SET!$W13:$Z13)</f>
        <v>0</v>
      </c>
      <c r="AZ363" s="1063">
        <f>SUM(SET!AB13:AE13)</f>
        <v>0</v>
      </c>
      <c r="BA363" s="445">
        <f>SUMIF(SET!$G$159:$J$159,BA$111,SET!$R13:$U13)+SUMIF(SET!$G$159:$J$159,BA$111,SET!$W13:$Z13)</f>
        <v>0</v>
      </c>
      <c r="BB363" s="446">
        <f>SUMIF(SET!$G$159:$J$159,BB$111,SET!$R13:$U13)+SUMIF(SET!$G$159:$J$159,BB$111,SET!$W13:$Z13)</f>
        <v>0</v>
      </c>
      <c r="BC363" s="446">
        <f>SUMIF(SET!$G$159:$J$159,BC$111,SET!$R13:$U13)+SUMIF(SET!$G$159:$J$159,BC$111,SET!$W13:$Z13)</f>
        <v>0</v>
      </c>
      <c r="BD363" s="446">
        <f>SUMIF(SET!$G$159:$J$159,BD$111,SET!$R13:$U13)+SUMIF(SET!$G$159:$J$159,BD$111,SET!$W13:$Z13)</f>
        <v>0</v>
      </c>
      <c r="BE363" s="446">
        <f>SUMIF(SET!$G$159:$J$159,BE$111,SET!$R13:$U13)+SUMIF(SET!$G$159:$J$159,BE$111,SET!$W13:$Z13)</f>
        <v>0</v>
      </c>
      <c r="BF363" s="446">
        <f>SUMIF(SET!$G$159:$J$159,BF$111,SET!$R13:$U13)+SUMIF(SET!$G$159:$J$159,BF$111,SET!$W13:$Z13)</f>
        <v>0</v>
      </c>
      <c r="BG363" s="448">
        <f>SUMIF(SET!$G$159:$J$159,BG$111,SET!$R13:$U13)+SUMIF(SET!$G$159:$J$159,BG$111,SET!$W13:$Z13)</f>
        <v>0</v>
      </c>
      <c r="BH363" s="571"/>
      <c r="BI363" s="448"/>
      <c r="BJ363" s="470"/>
      <c r="BK363" s="445">
        <f>SUMIF(SET!$G$157:$J$157,BK$111,SET!$R13:$U13)+SUMIF(SET!$G$157:$J$157,BK$111,SET!$W13:$Z13)</f>
        <v>0</v>
      </c>
      <c r="BL363" s="446">
        <f>SUMIF(SET!$G$157:$J$157,BL$111,SET!$R13:$U13)+SUMIF(SET!$G$157:$J$157,BL$111,SET!$W13:$Z13)</f>
        <v>0</v>
      </c>
      <c r="BM363" s="446">
        <f>SUMIF(SET!$G$157:$J$157,BM$111,SET!$R13:$U13)+SUMIF(SET!$G$157:$J$157,BM$111,SET!$W13:$Z13)</f>
        <v>0</v>
      </c>
      <c r="BN363" s="446">
        <f>SUMIF(SET!$G$157:$J$157,BN$111,SET!$R13:$U13)+SUMIF(SET!$G$157:$J$157,BN$111,SET!$W13:$Z13)</f>
        <v>0</v>
      </c>
      <c r="BO363" s="446">
        <f>SUMIF(SET!$G$157:$J$157,BO$111,SET!$R13:$U13)+SUMIF(SET!$G$157:$J$157,BO$111,SET!$W13:$Z13)</f>
        <v>0</v>
      </c>
      <c r="BP363" s="446">
        <f>SUMIF(SET!$G$157:$J$157,BP$111,SET!$R13:$U13)+SUMIF(SET!$G$157:$J$157,BP$111,SET!$W13:$Z13)</f>
        <v>0</v>
      </c>
      <c r="BQ363" s="448">
        <f>SUMIF(SET!$G$157:$J$157,BQ$111,SET!$R13:$U13)+SUMIF(SET!$G$157:$J$157,BQ$111,SET!$W13:$Z13)</f>
        <v>0</v>
      </c>
      <c r="BR363" s="571"/>
      <c r="BS363" s="446"/>
      <c r="BT363" s="448"/>
      <c r="BU363" s="470"/>
      <c r="BV363" s="445">
        <f>SUMIF(SET!$G$158:$J$158,BV$111,SET!$R13:$U13)+SUMIF(SET!$G$158:$J$158,BV$111,SET!$W13:$Z13)</f>
        <v>0</v>
      </c>
      <c r="BW363" s="446">
        <f>SUMIF(SET!$G$158:$J$158,BW$111,SET!$R13:$U13)+SUMIF(SET!$G$158:$J$158,BW$111,SET!$W13:$Z13)</f>
        <v>0</v>
      </c>
      <c r="BX363" s="446">
        <f>SUMIF(SET!$G$158:$J$158,BX$111,SET!$R13:$U13)+SUMIF(SET!$G$158:$J$158,BX$111,SET!$W13:$Z13)</f>
        <v>0</v>
      </c>
      <c r="BY363" s="446">
        <f>SUMIF(SET!$G$158:$J$158,BY$111,SET!$R13:$U13)+SUMIF(SET!$G$158:$J$158,BY$111,SET!$W13:$Z13)</f>
        <v>0</v>
      </c>
      <c r="BZ363" s="446">
        <f>SUMIF(SET!$G$158:$J$158,BZ$111,SET!$R13:$U13)+SUMIF(SET!$G$158:$J$158,BZ$111,SET!$W13:$Z13)</f>
        <v>0</v>
      </c>
      <c r="CA363" s="446">
        <f>SUMIF(SET!$G$158:$J$158,CA$111,SET!$R13:$U13)+SUMIF(SET!$G$158:$J$158,CA$111,SET!$W13:$Z13)</f>
        <v>0</v>
      </c>
      <c r="CB363" s="448">
        <f>SUMIF(SET!$G$158:$J$158,CB$111,SET!$R13:$U13)+SUMIF(SET!$G$158:$J$158,CB$111,SET!$W13:$Z13)</f>
        <v>0</v>
      </c>
      <c r="CC363" s="571"/>
      <c r="CD363" s="448"/>
      <c r="CE363" s="92">
        <f t="shared" si="279"/>
        <v>0</v>
      </c>
      <c r="CF363" s="92">
        <f t="shared" si="280"/>
        <v>0</v>
      </c>
      <c r="CG363" s="151" t="str">
        <f t="shared" si="266"/>
        <v/>
      </c>
      <c r="CH363" s="92">
        <f t="shared" si="269"/>
        <v>0</v>
      </c>
      <c r="CI363" s="92" t="str">
        <f t="shared" si="281"/>
        <v/>
      </c>
      <c r="CJ363" s="1100">
        <f>SET!AM13</f>
        <v>0</v>
      </c>
      <c r="CK363" s="445">
        <f>SUMIF(SET!$G$155:$J$155,CK$112,SET!$AN13:$AQ13)</f>
        <v>0</v>
      </c>
      <c r="CL363" s="446">
        <f>SUMIF(SET!$G$155:$J$155,CL$112,SET!$AN13:$AQ13)</f>
        <v>0</v>
      </c>
      <c r="CM363" s="447">
        <f>SUMIF(SET!$G$155:$J$155,CM$112,SET!$AN13:$AQ13)</f>
        <v>0</v>
      </c>
      <c r="CN363" s="448">
        <f>SUMIF(SET!$G$155:$J$155,CN$112,SET!$AN13:$AQ13)</f>
        <v>0</v>
      </c>
      <c r="CO363" s="1100">
        <f>SET!AS13</f>
        <v>0</v>
      </c>
      <c r="CP363" s="445">
        <f>SET!AT13</f>
        <v>0</v>
      </c>
      <c r="CQ363" s="446">
        <f>SET!AU13</f>
        <v>0</v>
      </c>
      <c r="CR363" s="447">
        <f>SET!AV13</f>
        <v>0</v>
      </c>
      <c r="CS363" s="448">
        <f>SET!AW13</f>
        <v>0</v>
      </c>
      <c r="CT363" s="1100">
        <f>SET!AY13</f>
        <v>0</v>
      </c>
      <c r="CU363" s="2"/>
    </row>
    <row r="364" spans="1:99" ht="14.25" hidden="1" customHeight="1" x14ac:dyDescent="0.2">
      <c r="A364" s="2"/>
      <c r="B364" s="151">
        <f t="shared" si="270"/>
        <v>45542</v>
      </c>
      <c r="C364" s="223">
        <f>IF(AND(E364&gt;(N$493-1),E364&lt;(R$493+1)),W$485,IF(ISERROR(HLOOKUP(E364,$N$486:$U$486,1,FALSE)),HLOOKUP(WEEKDAY(E364,2),IMPOSTAZIONI!$C$51:$P$56,6,FALSE),$W$484))</f>
        <v>0</v>
      </c>
      <c r="D364" s="103" t="str">
        <f t="shared" si="271"/>
        <v/>
      </c>
      <c r="E364" s="2380">
        <f t="shared" si="282"/>
        <v>45542</v>
      </c>
      <c r="F364" s="2381"/>
      <c r="G364" s="2325" t="str">
        <f>SET!E14</f>
        <v xml:space="preserve">attiva trim.  </v>
      </c>
      <c r="H364" s="2326"/>
      <c r="I364" s="2327"/>
      <c r="J364" s="479" t="str">
        <f t="shared" si="267"/>
        <v/>
      </c>
      <c r="K364" s="480"/>
      <c r="L364" s="2319">
        <f t="shared" si="283"/>
        <v>36</v>
      </c>
      <c r="M364" s="2320"/>
      <c r="N364" s="478"/>
      <c r="O364" s="478"/>
      <c r="P364" s="478"/>
      <c r="Q364" s="2315">
        <f t="shared" si="272"/>
        <v>45542</v>
      </c>
      <c r="R364" s="2315"/>
      <c r="S364" s="478"/>
      <c r="T364" s="140">
        <f t="shared" si="273"/>
        <v>1</v>
      </c>
      <c r="U364" s="478"/>
      <c r="V364" s="478"/>
      <c r="W364" s="478"/>
      <c r="X364" s="478"/>
      <c r="Y364" s="478"/>
      <c r="Z364" s="478"/>
      <c r="AA364" s="478"/>
      <c r="AB364" s="478"/>
      <c r="AC364" s="478"/>
      <c r="AD364" s="478"/>
      <c r="AE364" s="478"/>
      <c r="AF364" s="478"/>
      <c r="AG364" s="140">
        <f t="shared" si="274"/>
        <v>0</v>
      </c>
      <c r="AH364" s="92" t="str">
        <f t="shared" si="275"/>
        <v/>
      </c>
      <c r="AI364" s="131">
        <f t="shared" si="276"/>
        <v>0</v>
      </c>
      <c r="AJ364" s="2"/>
      <c r="AK364" s="92">
        <f>IF(G364=G$481,0,IF(OR(G364&lt;&gt;0,CJ364&lt;&gt;0,C364="L"),COUNTIF(AK$114:AK363,"&gt;0")+1,0))</f>
        <v>0</v>
      </c>
      <c r="AL364" s="92" t="str">
        <f t="shared" si="277"/>
        <v/>
      </c>
      <c r="AM364" s="92" t="str">
        <f t="shared" si="278"/>
        <v/>
      </c>
      <c r="AN364" s="131">
        <f t="shared" si="268"/>
        <v>0</v>
      </c>
      <c r="AO364" s="447">
        <f>SUM(SET!W14:Z14)</f>
        <v>0</v>
      </c>
      <c r="AP364" s="445">
        <f>SUMIF(SET!$G$155:$J$155,AP$112,SET!$R14:$U14)</f>
        <v>0</v>
      </c>
      <c r="AQ364" s="446">
        <f>SUMIF(SET!$G$155:$J$155,AQ$112,SET!$R14:$U14)</f>
        <v>0</v>
      </c>
      <c r="AR364" s="447">
        <f>SUMIF(SET!$G$155:$J$155,AR$112,SET!$R14:$U14)</f>
        <v>0</v>
      </c>
      <c r="AS364" s="448">
        <f>SUMIF(SET!$G$155:$J$155,AS$112,SET!$R14:$U14)</f>
        <v>0</v>
      </c>
      <c r="AT364" s="449">
        <f>SET!AG14</f>
        <v>0</v>
      </c>
      <c r="AU364" s="445">
        <f>SET!AH14</f>
        <v>0</v>
      </c>
      <c r="AV364" s="446">
        <f>SET!AI14</f>
        <v>0</v>
      </c>
      <c r="AW364" s="447">
        <f>SET!AJ14</f>
        <v>0</v>
      </c>
      <c r="AX364" s="448">
        <f>SET!AK14</f>
        <v>0</v>
      </c>
      <c r="AY364" s="445">
        <f>SUMIF(SET!$G$152:$J$152,"&gt;0",SET!$W14:$Z14)</f>
        <v>0</v>
      </c>
      <c r="AZ364" s="1063">
        <f>SUM(SET!AB14:AE14)</f>
        <v>0</v>
      </c>
      <c r="BA364" s="445">
        <f>SUMIF(SET!$G$159:$J$159,BA$111,SET!$R14:$U14)+SUMIF(SET!$G$159:$J$159,BA$111,SET!$W14:$Z14)</f>
        <v>0</v>
      </c>
      <c r="BB364" s="446">
        <f>SUMIF(SET!$G$159:$J$159,BB$111,SET!$R14:$U14)+SUMIF(SET!$G$159:$J$159,BB$111,SET!$W14:$Z14)</f>
        <v>0</v>
      </c>
      <c r="BC364" s="446">
        <f>SUMIF(SET!$G$159:$J$159,BC$111,SET!$R14:$U14)+SUMIF(SET!$G$159:$J$159,BC$111,SET!$W14:$Z14)</f>
        <v>0</v>
      </c>
      <c r="BD364" s="446">
        <f>SUMIF(SET!$G$159:$J$159,BD$111,SET!$R14:$U14)+SUMIF(SET!$G$159:$J$159,BD$111,SET!$W14:$Z14)</f>
        <v>0</v>
      </c>
      <c r="BE364" s="446">
        <f>SUMIF(SET!$G$159:$J$159,BE$111,SET!$R14:$U14)+SUMIF(SET!$G$159:$J$159,BE$111,SET!$W14:$Z14)</f>
        <v>0</v>
      </c>
      <c r="BF364" s="446">
        <f>SUMIF(SET!$G$159:$J$159,BF$111,SET!$R14:$U14)+SUMIF(SET!$G$159:$J$159,BF$111,SET!$W14:$Z14)</f>
        <v>0</v>
      </c>
      <c r="BG364" s="448">
        <f>SUMIF(SET!$G$159:$J$159,BG$111,SET!$R14:$U14)+SUMIF(SET!$G$159:$J$159,BG$111,SET!$W14:$Z14)</f>
        <v>0</v>
      </c>
      <c r="BH364" s="571"/>
      <c r="BI364" s="448"/>
      <c r="BJ364" s="470"/>
      <c r="BK364" s="445">
        <f>SUMIF(SET!$G$157:$J$157,BK$111,SET!$R14:$U14)+SUMIF(SET!$G$157:$J$157,BK$111,SET!$W14:$Z14)</f>
        <v>0</v>
      </c>
      <c r="BL364" s="446">
        <f>SUMIF(SET!$G$157:$J$157,BL$111,SET!$R14:$U14)+SUMIF(SET!$G$157:$J$157,BL$111,SET!$W14:$Z14)</f>
        <v>0</v>
      </c>
      <c r="BM364" s="446">
        <f>SUMIF(SET!$G$157:$J$157,BM$111,SET!$R14:$U14)+SUMIF(SET!$G$157:$J$157,BM$111,SET!$W14:$Z14)</f>
        <v>0</v>
      </c>
      <c r="BN364" s="446">
        <f>SUMIF(SET!$G$157:$J$157,BN$111,SET!$R14:$U14)+SUMIF(SET!$G$157:$J$157,BN$111,SET!$W14:$Z14)</f>
        <v>0</v>
      </c>
      <c r="BO364" s="446">
        <f>SUMIF(SET!$G$157:$J$157,BO$111,SET!$R14:$U14)+SUMIF(SET!$G$157:$J$157,BO$111,SET!$W14:$Z14)</f>
        <v>0</v>
      </c>
      <c r="BP364" s="446">
        <f>SUMIF(SET!$G$157:$J$157,BP$111,SET!$R14:$U14)+SUMIF(SET!$G$157:$J$157,BP$111,SET!$W14:$Z14)</f>
        <v>0</v>
      </c>
      <c r="BQ364" s="448">
        <f>SUMIF(SET!$G$157:$J$157,BQ$111,SET!$R14:$U14)+SUMIF(SET!$G$157:$J$157,BQ$111,SET!$W14:$Z14)</f>
        <v>0</v>
      </c>
      <c r="BR364" s="571"/>
      <c r="BS364" s="446"/>
      <c r="BT364" s="448"/>
      <c r="BU364" s="470"/>
      <c r="BV364" s="445">
        <f>SUMIF(SET!$G$158:$J$158,BV$111,SET!$R14:$U14)+SUMIF(SET!$G$158:$J$158,BV$111,SET!$W14:$Z14)</f>
        <v>0</v>
      </c>
      <c r="BW364" s="446">
        <f>SUMIF(SET!$G$158:$J$158,BW$111,SET!$R14:$U14)+SUMIF(SET!$G$158:$J$158,BW$111,SET!$W14:$Z14)</f>
        <v>0</v>
      </c>
      <c r="BX364" s="446">
        <f>SUMIF(SET!$G$158:$J$158,BX$111,SET!$R14:$U14)+SUMIF(SET!$G$158:$J$158,BX$111,SET!$W14:$Z14)</f>
        <v>0</v>
      </c>
      <c r="BY364" s="446">
        <f>SUMIF(SET!$G$158:$J$158,BY$111,SET!$R14:$U14)+SUMIF(SET!$G$158:$J$158,BY$111,SET!$W14:$Z14)</f>
        <v>0</v>
      </c>
      <c r="BZ364" s="446">
        <f>SUMIF(SET!$G$158:$J$158,BZ$111,SET!$R14:$U14)+SUMIF(SET!$G$158:$J$158,BZ$111,SET!$W14:$Z14)</f>
        <v>0</v>
      </c>
      <c r="CA364" s="446">
        <f>SUMIF(SET!$G$158:$J$158,CA$111,SET!$R14:$U14)+SUMIF(SET!$G$158:$J$158,CA$111,SET!$W14:$Z14)</f>
        <v>0</v>
      </c>
      <c r="CB364" s="448">
        <f>SUMIF(SET!$G$158:$J$158,CB$111,SET!$R14:$U14)+SUMIF(SET!$G$158:$J$158,CB$111,SET!$W14:$Z14)</f>
        <v>0</v>
      </c>
      <c r="CC364" s="571"/>
      <c r="CD364" s="448"/>
      <c r="CE364" s="92">
        <f t="shared" si="279"/>
        <v>0</v>
      </c>
      <c r="CF364" s="92">
        <f t="shared" si="280"/>
        <v>0</v>
      </c>
      <c r="CG364" s="151" t="str">
        <f t="shared" si="266"/>
        <v/>
      </c>
      <c r="CH364" s="92">
        <f t="shared" si="269"/>
        <v>0</v>
      </c>
      <c r="CI364" s="92" t="str">
        <f t="shared" si="281"/>
        <v/>
      </c>
      <c r="CJ364" s="1100">
        <f>SET!AM14</f>
        <v>0</v>
      </c>
      <c r="CK364" s="445">
        <f>SUMIF(SET!$G$155:$J$155,CK$112,SET!$AN14:$AQ14)</f>
        <v>0</v>
      </c>
      <c r="CL364" s="446">
        <f>SUMIF(SET!$G$155:$J$155,CL$112,SET!$AN14:$AQ14)</f>
        <v>0</v>
      </c>
      <c r="CM364" s="447">
        <f>SUMIF(SET!$G$155:$J$155,CM$112,SET!$AN14:$AQ14)</f>
        <v>0</v>
      </c>
      <c r="CN364" s="448">
        <f>SUMIF(SET!$G$155:$J$155,CN$112,SET!$AN14:$AQ14)</f>
        <v>0</v>
      </c>
      <c r="CO364" s="1100">
        <f>SET!AS14</f>
        <v>0</v>
      </c>
      <c r="CP364" s="445">
        <f>SET!AT14</f>
        <v>0</v>
      </c>
      <c r="CQ364" s="446">
        <f>SET!AU14</f>
        <v>0</v>
      </c>
      <c r="CR364" s="447">
        <f>SET!AV14</f>
        <v>0</v>
      </c>
      <c r="CS364" s="448">
        <f>SET!AW14</f>
        <v>0</v>
      </c>
      <c r="CT364" s="1100">
        <f>SET!AY14</f>
        <v>0</v>
      </c>
      <c r="CU364" s="2"/>
    </row>
    <row r="365" spans="1:99" ht="14.25" hidden="1" customHeight="1" x14ac:dyDescent="0.2">
      <c r="A365" s="2"/>
      <c r="B365" s="151">
        <f t="shared" si="270"/>
        <v>45543</v>
      </c>
      <c r="C365" s="223">
        <f>IF(AND(E365&gt;(N$493-1),E365&lt;(R$493+1)),W$485,IF(ISERROR(HLOOKUP(E365,$N$486:$U$486,1,FALSE)),HLOOKUP(WEEKDAY(E365,2),IMPOSTAZIONI!$C$51:$P$56,6,FALSE),$W$484))</f>
        <v>0</v>
      </c>
      <c r="D365" s="103" t="str">
        <f t="shared" si="271"/>
        <v/>
      </c>
      <c r="E365" s="2380">
        <f t="shared" si="282"/>
        <v>45543</v>
      </c>
      <c r="F365" s="2381"/>
      <c r="G365" s="2325" t="str">
        <f>SET!E15</f>
        <v xml:space="preserve">attiva trim.  </v>
      </c>
      <c r="H365" s="2326"/>
      <c r="I365" s="2327"/>
      <c r="J365" s="479" t="str">
        <f t="shared" si="267"/>
        <v/>
      </c>
      <c r="K365" s="480"/>
      <c r="L365" s="2321">
        <f t="shared" si="283"/>
        <v>36</v>
      </c>
      <c r="M365" s="2322"/>
      <c r="N365" s="478"/>
      <c r="O365" s="478"/>
      <c r="P365" s="478"/>
      <c r="Q365" s="2315">
        <f t="shared" si="272"/>
        <v>45543</v>
      </c>
      <c r="R365" s="2315"/>
      <c r="S365" s="478"/>
      <c r="T365" s="140">
        <f t="shared" si="273"/>
        <v>1</v>
      </c>
      <c r="U365" s="478"/>
      <c r="V365" s="478"/>
      <c r="W365" s="478"/>
      <c r="X365" s="478"/>
      <c r="Y365" s="478"/>
      <c r="Z365" s="478"/>
      <c r="AA365" s="478"/>
      <c r="AB365" s="478"/>
      <c r="AC365" s="478"/>
      <c r="AD365" s="478"/>
      <c r="AE365" s="478"/>
      <c r="AF365" s="478"/>
      <c r="AG365" s="140">
        <f t="shared" si="274"/>
        <v>0</v>
      </c>
      <c r="AH365" s="92" t="str">
        <f t="shared" si="275"/>
        <v/>
      </c>
      <c r="AI365" s="131">
        <f t="shared" si="276"/>
        <v>0</v>
      </c>
      <c r="AJ365" s="2"/>
      <c r="AK365" s="92">
        <f>IF(G365=G$481,0,IF(OR(G365&lt;&gt;0,CJ365&lt;&gt;0,C365="L"),COUNTIF(AK$114:AK364,"&gt;0")+1,0))</f>
        <v>0</v>
      </c>
      <c r="AL365" s="92" t="str">
        <f t="shared" si="277"/>
        <v/>
      </c>
      <c r="AM365" s="92" t="str">
        <f t="shared" si="278"/>
        <v/>
      </c>
      <c r="AN365" s="131">
        <f t="shared" si="268"/>
        <v>0</v>
      </c>
      <c r="AO365" s="447">
        <f>SUM(SET!W15:Z15)</f>
        <v>0</v>
      </c>
      <c r="AP365" s="445">
        <f>SUMIF(SET!$G$155:$J$155,AP$112,SET!$R15:$U15)</f>
        <v>0</v>
      </c>
      <c r="AQ365" s="446">
        <f>SUMIF(SET!$G$155:$J$155,AQ$112,SET!$R15:$U15)</f>
        <v>0</v>
      </c>
      <c r="AR365" s="447">
        <f>SUMIF(SET!$G$155:$J$155,AR$112,SET!$R15:$U15)</f>
        <v>0</v>
      </c>
      <c r="AS365" s="448">
        <f>SUMIF(SET!$G$155:$J$155,AS$112,SET!$R15:$U15)</f>
        <v>0</v>
      </c>
      <c r="AT365" s="449">
        <f>SET!AG15</f>
        <v>0</v>
      </c>
      <c r="AU365" s="445">
        <f>SET!AH15</f>
        <v>0</v>
      </c>
      <c r="AV365" s="446">
        <f>SET!AI15</f>
        <v>0</v>
      </c>
      <c r="AW365" s="447">
        <f>SET!AJ15</f>
        <v>0</v>
      </c>
      <c r="AX365" s="448">
        <f>SET!AK15</f>
        <v>0</v>
      </c>
      <c r="AY365" s="445">
        <f>SUMIF(SET!$G$152:$J$152,"&gt;0",SET!$W15:$Z15)</f>
        <v>0</v>
      </c>
      <c r="AZ365" s="1063">
        <f>SUM(SET!AB15:AE15)</f>
        <v>0</v>
      </c>
      <c r="BA365" s="445">
        <f>SUMIF(SET!$G$159:$J$159,BA$111,SET!$R15:$U15)+SUMIF(SET!$G$159:$J$159,BA$111,SET!$W15:$Z15)</f>
        <v>0</v>
      </c>
      <c r="BB365" s="446">
        <f>SUMIF(SET!$G$159:$J$159,BB$111,SET!$R15:$U15)+SUMIF(SET!$G$159:$J$159,BB$111,SET!$W15:$Z15)</f>
        <v>0</v>
      </c>
      <c r="BC365" s="446">
        <f>SUMIF(SET!$G$159:$J$159,BC$111,SET!$R15:$U15)+SUMIF(SET!$G$159:$J$159,BC$111,SET!$W15:$Z15)</f>
        <v>0</v>
      </c>
      <c r="BD365" s="446">
        <f>SUMIF(SET!$G$159:$J$159,BD$111,SET!$R15:$U15)+SUMIF(SET!$G$159:$J$159,BD$111,SET!$W15:$Z15)</f>
        <v>0</v>
      </c>
      <c r="BE365" s="446">
        <f>SUMIF(SET!$G$159:$J$159,BE$111,SET!$R15:$U15)+SUMIF(SET!$G$159:$J$159,BE$111,SET!$W15:$Z15)</f>
        <v>0</v>
      </c>
      <c r="BF365" s="446">
        <f>SUMIF(SET!$G$159:$J$159,BF$111,SET!$R15:$U15)+SUMIF(SET!$G$159:$J$159,BF$111,SET!$W15:$Z15)</f>
        <v>0</v>
      </c>
      <c r="BG365" s="448">
        <f>SUMIF(SET!$G$159:$J$159,BG$111,SET!$R15:$U15)+SUMIF(SET!$G$159:$J$159,BG$111,SET!$W15:$Z15)</f>
        <v>0</v>
      </c>
      <c r="BH365" s="571"/>
      <c r="BI365" s="448"/>
      <c r="BJ365" s="470"/>
      <c r="BK365" s="445">
        <f>SUMIF(SET!$G$157:$J$157,BK$111,SET!$R15:$U15)+SUMIF(SET!$G$157:$J$157,BK$111,SET!$W15:$Z15)</f>
        <v>0</v>
      </c>
      <c r="BL365" s="446">
        <f>SUMIF(SET!$G$157:$J$157,BL$111,SET!$R15:$U15)+SUMIF(SET!$G$157:$J$157,BL$111,SET!$W15:$Z15)</f>
        <v>0</v>
      </c>
      <c r="BM365" s="446">
        <f>SUMIF(SET!$G$157:$J$157,BM$111,SET!$R15:$U15)+SUMIF(SET!$G$157:$J$157,BM$111,SET!$W15:$Z15)</f>
        <v>0</v>
      </c>
      <c r="BN365" s="446">
        <f>SUMIF(SET!$G$157:$J$157,BN$111,SET!$R15:$U15)+SUMIF(SET!$G$157:$J$157,BN$111,SET!$W15:$Z15)</f>
        <v>0</v>
      </c>
      <c r="BO365" s="446">
        <f>SUMIF(SET!$G$157:$J$157,BO$111,SET!$R15:$U15)+SUMIF(SET!$G$157:$J$157,BO$111,SET!$W15:$Z15)</f>
        <v>0</v>
      </c>
      <c r="BP365" s="446">
        <f>SUMIF(SET!$G$157:$J$157,BP$111,SET!$R15:$U15)+SUMIF(SET!$G$157:$J$157,BP$111,SET!$W15:$Z15)</f>
        <v>0</v>
      </c>
      <c r="BQ365" s="448">
        <f>SUMIF(SET!$G$157:$J$157,BQ$111,SET!$R15:$U15)+SUMIF(SET!$G$157:$J$157,BQ$111,SET!$W15:$Z15)</f>
        <v>0</v>
      </c>
      <c r="BR365" s="571"/>
      <c r="BS365" s="446"/>
      <c r="BT365" s="448"/>
      <c r="BU365" s="470"/>
      <c r="BV365" s="445">
        <f>SUMIF(SET!$G$158:$J$158,BV$111,SET!$R15:$U15)+SUMIF(SET!$G$158:$J$158,BV$111,SET!$W15:$Z15)</f>
        <v>0</v>
      </c>
      <c r="BW365" s="446">
        <f>SUMIF(SET!$G$158:$J$158,BW$111,SET!$R15:$U15)+SUMIF(SET!$G$158:$J$158,BW$111,SET!$W15:$Z15)</f>
        <v>0</v>
      </c>
      <c r="BX365" s="446">
        <f>SUMIF(SET!$G$158:$J$158,BX$111,SET!$R15:$U15)+SUMIF(SET!$G$158:$J$158,BX$111,SET!$W15:$Z15)</f>
        <v>0</v>
      </c>
      <c r="BY365" s="446">
        <f>SUMIF(SET!$G$158:$J$158,BY$111,SET!$R15:$U15)+SUMIF(SET!$G$158:$J$158,BY$111,SET!$W15:$Z15)</f>
        <v>0</v>
      </c>
      <c r="BZ365" s="446">
        <f>SUMIF(SET!$G$158:$J$158,BZ$111,SET!$R15:$U15)+SUMIF(SET!$G$158:$J$158,BZ$111,SET!$W15:$Z15)</f>
        <v>0</v>
      </c>
      <c r="CA365" s="446">
        <f>SUMIF(SET!$G$158:$J$158,CA$111,SET!$R15:$U15)+SUMIF(SET!$G$158:$J$158,CA$111,SET!$W15:$Z15)</f>
        <v>0</v>
      </c>
      <c r="CB365" s="448">
        <f>SUMIF(SET!$G$158:$J$158,CB$111,SET!$R15:$U15)+SUMIF(SET!$G$158:$J$158,CB$111,SET!$W15:$Z15)</f>
        <v>0</v>
      </c>
      <c r="CC365" s="571"/>
      <c r="CD365" s="448"/>
      <c r="CE365" s="92">
        <f t="shared" si="279"/>
        <v>0</v>
      </c>
      <c r="CF365" s="92">
        <f t="shared" si="280"/>
        <v>0</v>
      </c>
      <c r="CG365" s="151" t="str">
        <f t="shared" si="266"/>
        <v/>
      </c>
      <c r="CH365" s="92">
        <f t="shared" si="269"/>
        <v>0</v>
      </c>
      <c r="CI365" s="92" t="str">
        <f t="shared" si="281"/>
        <v/>
      </c>
      <c r="CJ365" s="1100">
        <f>SET!AM15</f>
        <v>0</v>
      </c>
      <c r="CK365" s="445">
        <f>SUMIF(SET!$G$155:$J$155,CK$112,SET!$AN15:$AQ15)</f>
        <v>0</v>
      </c>
      <c r="CL365" s="446">
        <f>SUMIF(SET!$G$155:$J$155,CL$112,SET!$AN15:$AQ15)</f>
        <v>0</v>
      </c>
      <c r="CM365" s="447">
        <f>SUMIF(SET!$G$155:$J$155,CM$112,SET!$AN15:$AQ15)</f>
        <v>0</v>
      </c>
      <c r="CN365" s="448">
        <f>SUMIF(SET!$G$155:$J$155,CN$112,SET!$AN15:$AQ15)</f>
        <v>0</v>
      </c>
      <c r="CO365" s="1100">
        <f>SET!AS15</f>
        <v>0</v>
      </c>
      <c r="CP365" s="445">
        <f>SET!AT15</f>
        <v>0</v>
      </c>
      <c r="CQ365" s="446">
        <f>SET!AU15</f>
        <v>0</v>
      </c>
      <c r="CR365" s="447">
        <f>SET!AV15</f>
        <v>0</v>
      </c>
      <c r="CS365" s="448">
        <f>SET!AW15</f>
        <v>0</v>
      </c>
      <c r="CT365" s="1100">
        <f>SET!AY15</f>
        <v>0</v>
      </c>
      <c r="CU365" s="2"/>
    </row>
    <row r="366" spans="1:99" ht="14.25" hidden="1" customHeight="1" x14ac:dyDescent="0.2">
      <c r="A366" s="2"/>
      <c r="B366" s="151">
        <f t="shared" si="270"/>
        <v>45544</v>
      </c>
      <c r="C366" s="223">
        <f>IF(AND(E366&gt;(N$493-1),E366&lt;(R$493+1)),W$485,IF(ISERROR(HLOOKUP(E366,$N$486:$U$486,1,FALSE)),HLOOKUP(WEEKDAY(E366,2),IMPOSTAZIONI!$C$51:$P$56,6,FALSE),$W$484))</f>
        <v>0</v>
      </c>
      <c r="D366" s="103" t="str">
        <f t="shared" si="271"/>
        <v/>
      </c>
      <c r="E366" s="2380">
        <f t="shared" si="282"/>
        <v>45544</v>
      </c>
      <c r="F366" s="2381"/>
      <c r="G366" s="2325" t="str">
        <f>SET!E16</f>
        <v xml:space="preserve">attiva trim.  </v>
      </c>
      <c r="H366" s="2326"/>
      <c r="I366" s="2327"/>
      <c r="J366" s="479" t="str">
        <f t="shared" si="267"/>
        <v/>
      </c>
      <c r="K366" s="480"/>
      <c r="L366" s="2323">
        <f t="shared" si="283"/>
        <v>37</v>
      </c>
      <c r="M366" s="2324"/>
      <c r="N366" s="478"/>
      <c r="O366" s="478"/>
      <c r="P366" s="478"/>
      <c r="Q366" s="2315">
        <f t="shared" si="272"/>
        <v>45544</v>
      </c>
      <c r="R366" s="2315"/>
      <c r="S366" s="478"/>
      <c r="T366" s="140">
        <f t="shared" si="273"/>
        <v>1</v>
      </c>
      <c r="U366" s="478"/>
      <c r="V366" s="478"/>
      <c r="W366" s="478"/>
      <c r="X366" s="478"/>
      <c r="Y366" s="478"/>
      <c r="Z366" s="478"/>
      <c r="AA366" s="478"/>
      <c r="AB366" s="478"/>
      <c r="AC366" s="478"/>
      <c r="AD366" s="478"/>
      <c r="AE366" s="478"/>
      <c r="AF366" s="478"/>
      <c r="AG366" s="140">
        <f t="shared" si="274"/>
        <v>0</v>
      </c>
      <c r="AH366" s="92" t="str">
        <f t="shared" si="275"/>
        <v/>
      </c>
      <c r="AI366" s="131">
        <f t="shared" si="276"/>
        <v>0</v>
      </c>
      <c r="AJ366" s="2"/>
      <c r="AK366" s="92">
        <f>IF(G366=G$481,0,IF(OR(G366&lt;&gt;0,CJ366&lt;&gt;0,C366="L"),COUNTIF(AK$114:AK365,"&gt;0")+1,0))</f>
        <v>0</v>
      </c>
      <c r="AL366" s="92" t="str">
        <f t="shared" si="277"/>
        <v/>
      </c>
      <c r="AM366" s="92" t="str">
        <f t="shared" si="278"/>
        <v/>
      </c>
      <c r="AN366" s="131">
        <f t="shared" si="268"/>
        <v>0</v>
      </c>
      <c r="AO366" s="447">
        <f>SUM(SET!W16:Z16)</f>
        <v>0</v>
      </c>
      <c r="AP366" s="445">
        <f>SUMIF(SET!$G$155:$J$155,AP$112,SET!$R16:$U16)</f>
        <v>0</v>
      </c>
      <c r="AQ366" s="446">
        <f>SUMIF(SET!$G$155:$J$155,AQ$112,SET!$R16:$U16)</f>
        <v>0</v>
      </c>
      <c r="AR366" s="447">
        <f>SUMIF(SET!$G$155:$J$155,AR$112,SET!$R16:$U16)</f>
        <v>0</v>
      </c>
      <c r="AS366" s="448">
        <f>SUMIF(SET!$G$155:$J$155,AS$112,SET!$R16:$U16)</f>
        <v>0</v>
      </c>
      <c r="AT366" s="449">
        <f>SET!AG16</f>
        <v>0</v>
      </c>
      <c r="AU366" s="445">
        <f>SET!AH16</f>
        <v>0</v>
      </c>
      <c r="AV366" s="446">
        <f>SET!AI16</f>
        <v>0</v>
      </c>
      <c r="AW366" s="447">
        <f>SET!AJ16</f>
        <v>0</v>
      </c>
      <c r="AX366" s="448">
        <f>SET!AK16</f>
        <v>0</v>
      </c>
      <c r="AY366" s="445">
        <f>SUMIF(SET!$G$152:$J$152,"&gt;0",SET!$W16:$Z16)</f>
        <v>0</v>
      </c>
      <c r="AZ366" s="1063">
        <f>SUM(SET!AB16:AE16)</f>
        <v>0</v>
      </c>
      <c r="BA366" s="445">
        <f>SUMIF(SET!$G$159:$J$159,BA$111,SET!$R16:$U16)+SUMIF(SET!$G$159:$J$159,BA$111,SET!$W16:$Z16)</f>
        <v>0</v>
      </c>
      <c r="BB366" s="446">
        <f>SUMIF(SET!$G$159:$J$159,BB$111,SET!$R16:$U16)+SUMIF(SET!$G$159:$J$159,BB$111,SET!$W16:$Z16)</f>
        <v>0</v>
      </c>
      <c r="BC366" s="446">
        <f>SUMIF(SET!$G$159:$J$159,BC$111,SET!$R16:$U16)+SUMIF(SET!$G$159:$J$159,BC$111,SET!$W16:$Z16)</f>
        <v>0</v>
      </c>
      <c r="BD366" s="446">
        <f>SUMIF(SET!$G$159:$J$159,BD$111,SET!$R16:$U16)+SUMIF(SET!$G$159:$J$159,BD$111,SET!$W16:$Z16)</f>
        <v>0</v>
      </c>
      <c r="BE366" s="446">
        <f>SUMIF(SET!$G$159:$J$159,BE$111,SET!$R16:$U16)+SUMIF(SET!$G$159:$J$159,BE$111,SET!$W16:$Z16)</f>
        <v>0</v>
      </c>
      <c r="BF366" s="446">
        <f>SUMIF(SET!$G$159:$J$159,BF$111,SET!$R16:$U16)+SUMIF(SET!$G$159:$J$159,BF$111,SET!$W16:$Z16)</f>
        <v>0</v>
      </c>
      <c r="BG366" s="448">
        <f>SUMIF(SET!$G$159:$J$159,BG$111,SET!$R16:$U16)+SUMIF(SET!$G$159:$J$159,BG$111,SET!$W16:$Z16)</f>
        <v>0</v>
      </c>
      <c r="BH366" s="571"/>
      <c r="BI366" s="448"/>
      <c r="BJ366" s="470"/>
      <c r="BK366" s="445">
        <f>SUMIF(SET!$G$157:$J$157,BK$111,SET!$R16:$U16)+SUMIF(SET!$G$157:$J$157,BK$111,SET!$W16:$Z16)</f>
        <v>0</v>
      </c>
      <c r="BL366" s="446">
        <f>SUMIF(SET!$G$157:$J$157,BL$111,SET!$R16:$U16)+SUMIF(SET!$G$157:$J$157,BL$111,SET!$W16:$Z16)</f>
        <v>0</v>
      </c>
      <c r="BM366" s="446">
        <f>SUMIF(SET!$G$157:$J$157,BM$111,SET!$R16:$U16)+SUMIF(SET!$G$157:$J$157,BM$111,SET!$W16:$Z16)</f>
        <v>0</v>
      </c>
      <c r="BN366" s="446">
        <f>SUMIF(SET!$G$157:$J$157,BN$111,SET!$R16:$U16)+SUMIF(SET!$G$157:$J$157,BN$111,SET!$W16:$Z16)</f>
        <v>0</v>
      </c>
      <c r="BO366" s="446">
        <f>SUMIF(SET!$G$157:$J$157,BO$111,SET!$R16:$U16)+SUMIF(SET!$G$157:$J$157,BO$111,SET!$W16:$Z16)</f>
        <v>0</v>
      </c>
      <c r="BP366" s="446">
        <f>SUMIF(SET!$G$157:$J$157,BP$111,SET!$R16:$U16)+SUMIF(SET!$G$157:$J$157,BP$111,SET!$W16:$Z16)</f>
        <v>0</v>
      </c>
      <c r="BQ366" s="448">
        <f>SUMIF(SET!$G$157:$J$157,BQ$111,SET!$R16:$U16)+SUMIF(SET!$G$157:$J$157,BQ$111,SET!$W16:$Z16)</f>
        <v>0</v>
      </c>
      <c r="BR366" s="571"/>
      <c r="BS366" s="446"/>
      <c r="BT366" s="448"/>
      <c r="BU366" s="470"/>
      <c r="BV366" s="445">
        <f>SUMIF(SET!$G$158:$J$158,BV$111,SET!$R16:$U16)+SUMIF(SET!$G$158:$J$158,BV$111,SET!$W16:$Z16)</f>
        <v>0</v>
      </c>
      <c r="BW366" s="446">
        <f>SUMIF(SET!$G$158:$J$158,BW$111,SET!$R16:$U16)+SUMIF(SET!$G$158:$J$158,BW$111,SET!$W16:$Z16)</f>
        <v>0</v>
      </c>
      <c r="BX366" s="446">
        <f>SUMIF(SET!$G$158:$J$158,BX$111,SET!$R16:$U16)+SUMIF(SET!$G$158:$J$158,BX$111,SET!$W16:$Z16)</f>
        <v>0</v>
      </c>
      <c r="BY366" s="446">
        <f>SUMIF(SET!$G$158:$J$158,BY$111,SET!$R16:$U16)+SUMIF(SET!$G$158:$J$158,BY$111,SET!$W16:$Z16)</f>
        <v>0</v>
      </c>
      <c r="BZ366" s="446">
        <f>SUMIF(SET!$G$158:$J$158,BZ$111,SET!$R16:$U16)+SUMIF(SET!$G$158:$J$158,BZ$111,SET!$W16:$Z16)</f>
        <v>0</v>
      </c>
      <c r="CA366" s="446">
        <f>SUMIF(SET!$G$158:$J$158,CA$111,SET!$R16:$U16)+SUMIF(SET!$G$158:$J$158,CA$111,SET!$W16:$Z16)</f>
        <v>0</v>
      </c>
      <c r="CB366" s="448">
        <f>SUMIF(SET!$G$158:$J$158,CB$111,SET!$R16:$U16)+SUMIF(SET!$G$158:$J$158,CB$111,SET!$W16:$Z16)</f>
        <v>0</v>
      </c>
      <c r="CC366" s="571"/>
      <c r="CD366" s="448"/>
      <c r="CE366" s="92">
        <f t="shared" si="279"/>
        <v>0</v>
      </c>
      <c r="CF366" s="92">
        <f t="shared" si="280"/>
        <v>0</v>
      </c>
      <c r="CG366" s="151" t="str">
        <f t="shared" ref="CG366:CG429" si="284">IF(AL366="Y",E366,"")</f>
        <v/>
      </c>
      <c r="CH366" s="92">
        <f t="shared" si="269"/>
        <v>0</v>
      </c>
      <c r="CI366" s="92" t="str">
        <f t="shared" si="281"/>
        <v/>
      </c>
      <c r="CJ366" s="1100">
        <f>SET!AM16</f>
        <v>0</v>
      </c>
      <c r="CK366" s="445">
        <f>SUMIF(SET!$G$155:$J$155,CK$112,SET!$AN16:$AQ16)</f>
        <v>0</v>
      </c>
      <c r="CL366" s="446">
        <f>SUMIF(SET!$G$155:$J$155,CL$112,SET!$AN16:$AQ16)</f>
        <v>0</v>
      </c>
      <c r="CM366" s="447">
        <f>SUMIF(SET!$G$155:$J$155,CM$112,SET!$AN16:$AQ16)</f>
        <v>0</v>
      </c>
      <c r="CN366" s="448">
        <f>SUMIF(SET!$G$155:$J$155,CN$112,SET!$AN16:$AQ16)</f>
        <v>0</v>
      </c>
      <c r="CO366" s="1100">
        <f>SET!AS16</f>
        <v>0</v>
      </c>
      <c r="CP366" s="445">
        <f>SET!AT16</f>
        <v>0</v>
      </c>
      <c r="CQ366" s="446">
        <f>SET!AU16</f>
        <v>0</v>
      </c>
      <c r="CR366" s="447">
        <f>SET!AV16</f>
        <v>0</v>
      </c>
      <c r="CS366" s="448">
        <f>SET!AW16</f>
        <v>0</v>
      </c>
      <c r="CT366" s="1100">
        <f>SET!AY16</f>
        <v>0</v>
      </c>
      <c r="CU366" s="2"/>
    </row>
    <row r="367" spans="1:99" ht="14.25" hidden="1" customHeight="1" x14ac:dyDescent="0.2">
      <c r="A367" s="2"/>
      <c r="B367" s="151">
        <f t="shared" si="270"/>
        <v>45545</v>
      </c>
      <c r="C367" s="223">
        <f>IF(AND(E367&gt;(N$493-1),E367&lt;(R$493+1)),W$485,IF(ISERROR(HLOOKUP(E367,$N$486:$U$486,1,FALSE)),HLOOKUP(WEEKDAY(E367,2),IMPOSTAZIONI!$C$51:$P$56,6,FALSE),$W$484))</f>
        <v>0</v>
      </c>
      <c r="D367" s="103" t="str">
        <f t="shared" si="271"/>
        <v/>
      </c>
      <c r="E367" s="2380">
        <f t="shared" si="282"/>
        <v>45545</v>
      </c>
      <c r="F367" s="2381"/>
      <c r="G367" s="2325" t="str">
        <f>SET!E17</f>
        <v xml:space="preserve">attiva trim.  </v>
      </c>
      <c r="H367" s="2326"/>
      <c r="I367" s="2327"/>
      <c r="J367" s="479" t="str">
        <f t="shared" si="267"/>
        <v/>
      </c>
      <c r="K367" s="480"/>
      <c r="L367" s="2319">
        <f t="shared" si="283"/>
        <v>37</v>
      </c>
      <c r="M367" s="2320"/>
      <c r="N367" s="478"/>
      <c r="O367" s="478"/>
      <c r="P367" s="478"/>
      <c r="Q367" s="2315">
        <f t="shared" si="272"/>
        <v>45545</v>
      </c>
      <c r="R367" s="2315"/>
      <c r="S367" s="478"/>
      <c r="T367" s="140">
        <f t="shared" si="273"/>
        <v>1</v>
      </c>
      <c r="U367" s="478"/>
      <c r="V367" s="478"/>
      <c r="W367" s="478"/>
      <c r="X367" s="478"/>
      <c r="Y367" s="478"/>
      <c r="Z367" s="478"/>
      <c r="AA367" s="478"/>
      <c r="AB367" s="478"/>
      <c r="AC367" s="478"/>
      <c r="AD367" s="478"/>
      <c r="AE367" s="478"/>
      <c r="AF367" s="478"/>
      <c r="AG367" s="140">
        <f t="shared" si="274"/>
        <v>0</v>
      </c>
      <c r="AH367" s="92" t="str">
        <f t="shared" si="275"/>
        <v/>
      </c>
      <c r="AI367" s="131">
        <f t="shared" si="276"/>
        <v>0</v>
      </c>
      <c r="AJ367" s="2"/>
      <c r="AK367" s="92">
        <f>IF(G367=G$481,0,IF(OR(G367&lt;&gt;0,CJ367&lt;&gt;0,C367="L"),COUNTIF(AK$114:AK366,"&gt;0")+1,0))</f>
        <v>0</v>
      </c>
      <c r="AL367" s="92" t="str">
        <f t="shared" si="277"/>
        <v/>
      </c>
      <c r="AM367" s="92" t="str">
        <f t="shared" si="278"/>
        <v/>
      </c>
      <c r="AN367" s="131">
        <f t="shared" si="268"/>
        <v>0</v>
      </c>
      <c r="AO367" s="447">
        <f>SUM(SET!W17:Z17)</f>
        <v>0</v>
      </c>
      <c r="AP367" s="445">
        <f>SUMIF(SET!$G$155:$J$155,AP$112,SET!$R17:$U17)</f>
        <v>0</v>
      </c>
      <c r="AQ367" s="446">
        <f>SUMIF(SET!$G$155:$J$155,AQ$112,SET!$R17:$U17)</f>
        <v>0</v>
      </c>
      <c r="AR367" s="447">
        <f>SUMIF(SET!$G$155:$J$155,AR$112,SET!$R17:$U17)</f>
        <v>0</v>
      </c>
      <c r="AS367" s="448">
        <f>SUMIF(SET!$G$155:$J$155,AS$112,SET!$R17:$U17)</f>
        <v>0</v>
      </c>
      <c r="AT367" s="449">
        <f>SET!AG17</f>
        <v>0</v>
      </c>
      <c r="AU367" s="445">
        <f>SET!AH17</f>
        <v>0</v>
      </c>
      <c r="AV367" s="446">
        <f>SET!AI17</f>
        <v>0</v>
      </c>
      <c r="AW367" s="447">
        <f>SET!AJ17</f>
        <v>0</v>
      </c>
      <c r="AX367" s="448">
        <f>SET!AK17</f>
        <v>0</v>
      </c>
      <c r="AY367" s="445">
        <f>SUMIF(SET!$G$152:$J$152,"&gt;0",SET!$W17:$Z17)</f>
        <v>0</v>
      </c>
      <c r="AZ367" s="1063">
        <f>SUM(SET!AB17:AE17)</f>
        <v>0</v>
      </c>
      <c r="BA367" s="445">
        <f>SUMIF(SET!$G$159:$J$159,BA$111,SET!$R17:$U17)+SUMIF(SET!$G$159:$J$159,BA$111,SET!$W17:$Z17)</f>
        <v>0</v>
      </c>
      <c r="BB367" s="446">
        <f>SUMIF(SET!$G$159:$J$159,BB$111,SET!$R17:$U17)+SUMIF(SET!$G$159:$J$159,BB$111,SET!$W17:$Z17)</f>
        <v>0</v>
      </c>
      <c r="BC367" s="446">
        <f>SUMIF(SET!$G$159:$J$159,BC$111,SET!$R17:$U17)+SUMIF(SET!$G$159:$J$159,BC$111,SET!$W17:$Z17)</f>
        <v>0</v>
      </c>
      <c r="BD367" s="446">
        <f>SUMIF(SET!$G$159:$J$159,BD$111,SET!$R17:$U17)+SUMIF(SET!$G$159:$J$159,BD$111,SET!$W17:$Z17)</f>
        <v>0</v>
      </c>
      <c r="BE367" s="446">
        <f>SUMIF(SET!$G$159:$J$159,BE$111,SET!$R17:$U17)+SUMIF(SET!$G$159:$J$159,BE$111,SET!$W17:$Z17)</f>
        <v>0</v>
      </c>
      <c r="BF367" s="446">
        <f>SUMIF(SET!$G$159:$J$159,BF$111,SET!$R17:$U17)+SUMIF(SET!$G$159:$J$159,BF$111,SET!$W17:$Z17)</f>
        <v>0</v>
      </c>
      <c r="BG367" s="448">
        <f>SUMIF(SET!$G$159:$J$159,BG$111,SET!$R17:$U17)+SUMIF(SET!$G$159:$J$159,BG$111,SET!$W17:$Z17)</f>
        <v>0</v>
      </c>
      <c r="BH367" s="571"/>
      <c r="BI367" s="448"/>
      <c r="BJ367" s="470"/>
      <c r="BK367" s="445">
        <f>SUMIF(SET!$G$157:$J$157,BK$111,SET!$R17:$U17)+SUMIF(SET!$G$157:$J$157,BK$111,SET!$W17:$Z17)</f>
        <v>0</v>
      </c>
      <c r="BL367" s="446">
        <f>SUMIF(SET!$G$157:$J$157,BL$111,SET!$R17:$U17)+SUMIF(SET!$G$157:$J$157,BL$111,SET!$W17:$Z17)</f>
        <v>0</v>
      </c>
      <c r="BM367" s="446">
        <f>SUMIF(SET!$G$157:$J$157,BM$111,SET!$R17:$U17)+SUMIF(SET!$G$157:$J$157,BM$111,SET!$W17:$Z17)</f>
        <v>0</v>
      </c>
      <c r="BN367" s="446">
        <f>SUMIF(SET!$G$157:$J$157,BN$111,SET!$R17:$U17)+SUMIF(SET!$G$157:$J$157,BN$111,SET!$W17:$Z17)</f>
        <v>0</v>
      </c>
      <c r="BO367" s="446">
        <f>SUMIF(SET!$G$157:$J$157,BO$111,SET!$R17:$U17)+SUMIF(SET!$G$157:$J$157,BO$111,SET!$W17:$Z17)</f>
        <v>0</v>
      </c>
      <c r="BP367" s="446">
        <f>SUMIF(SET!$G$157:$J$157,BP$111,SET!$R17:$U17)+SUMIF(SET!$G$157:$J$157,BP$111,SET!$W17:$Z17)</f>
        <v>0</v>
      </c>
      <c r="BQ367" s="448">
        <f>SUMIF(SET!$G$157:$J$157,BQ$111,SET!$R17:$U17)+SUMIF(SET!$G$157:$J$157,BQ$111,SET!$W17:$Z17)</f>
        <v>0</v>
      </c>
      <c r="BR367" s="571"/>
      <c r="BS367" s="446"/>
      <c r="BT367" s="448"/>
      <c r="BU367" s="470"/>
      <c r="BV367" s="445">
        <f>SUMIF(SET!$G$158:$J$158,BV$111,SET!$R17:$U17)+SUMIF(SET!$G$158:$J$158,BV$111,SET!$W17:$Z17)</f>
        <v>0</v>
      </c>
      <c r="BW367" s="446">
        <f>SUMIF(SET!$G$158:$J$158,BW$111,SET!$R17:$U17)+SUMIF(SET!$G$158:$J$158,BW$111,SET!$W17:$Z17)</f>
        <v>0</v>
      </c>
      <c r="BX367" s="446">
        <f>SUMIF(SET!$G$158:$J$158,BX$111,SET!$R17:$U17)+SUMIF(SET!$G$158:$J$158,BX$111,SET!$W17:$Z17)</f>
        <v>0</v>
      </c>
      <c r="BY367" s="446">
        <f>SUMIF(SET!$G$158:$J$158,BY$111,SET!$R17:$U17)+SUMIF(SET!$G$158:$J$158,BY$111,SET!$W17:$Z17)</f>
        <v>0</v>
      </c>
      <c r="BZ367" s="446">
        <f>SUMIF(SET!$G$158:$J$158,BZ$111,SET!$R17:$U17)+SUMIF(SET!$G$158:$J$158,BZ$111,SET!$W17:$Z17)</f>
        <v>0</v>
      </c>
      <c r="CA367" s="446">
        <f>SUMIF(SET!$G$158:$J$158,CA$111,SET!$R17:$U17)+SUMIF(SET!$G$158:$J$158,CA$111,SET!$W17:$Z17)</f>
        <v>0</v>
      </c>
      <c r="CB367" s="448">
        <f>SUMIF(SET!$G$158:$J$158,CB$111,SET!$R17:$U17)+SUMIF(SET!$G$158:$J$158,CB$111,SET!$W17:$Z17)</f>
        <v>0</v>
      </c>
      <c r="CC367" s="571"/>
      <c r="CD367" s="448"/>
      <c r="CE367" s="92">
        <f t="shared" si="279"/>
        <v>0</v>
      </c>
      <c r="CF367" s="92">
        <f t="shared" si="280"/>
        <v>0</v>
      </c>
      <c r="CG367" s="151" t="str">
        <f t="shared" si="284"/>
        <v/>
      </c>
      <c r="CH367" s="92">
        <f t="shared" si="269"/>
        <v>0</v>
      </c>
      <c r="CI367" s="92" t="str">
        <f t="shared" si="281"/>
        <v/>
      </c>
      <c r="CJ367" s="1100">
        <f>SET!AM17</f>
        <v>0</v>
      </c>
      <c r="CK367" s="445">
        <f>SUMIF(SET!$G$155:$J$155,CK$112,SET!$AN17:$AQ17)</f>
        <v>0</v>
      </c>
      <c r="CL367" s="446">
        <f>SUMIF(SET!$G$155:$J$155,CL$112,SET!$AN17:$AQ17)</f>
        <v>0</v>
      </c>
      <c r="CM367" s="447">
        <f>SUMIF(SET!$G$155:$J$155,CM$112,SET!$AN17:$AQ17)</f>
        <v>0</v>
      </c>
      <c r="CN367" s="448">
        <f>SUMIF(SET!$G$155:$J$155,CN$112,SET!$AN17:$AQ17)</f>
        <v>0</v>
      </c>
      <c r="CO367" s="1100">
        <f>SET!AS17</f>
        <v>0</v>
      </c>
      <c r="CP367" s="445">
        <f>SET!AT17</f>
        <v>0</v>
      </c>
      <c r="CQ367" s="446">
        <f>SET!AU17</f>
        <v>0</v>
      </c>
      <c r="CR367" s="447">
        <f>SET!AV17</f>
        <v>0</v>
      </c>
      <c r="CS367" s="448">
        <f>SET!AW17</f>
        <v>0</v>
      </c>
      <c r="CT367" s="1100">
        <f>SET!AY17</f>
        <v>0</v>
      </c>
      <c r="CU367" s="2"/>
    </row>
    <row r="368" spans="1:99" ht="14.25" hidden="1" customHeight="1" x14ac:dyDescent="0.2">
      <c r="A368" s="2"/>
      <c r="B368" s="151">
        <f t="shared" si="270"/>
        <v>45546</v>
      </c>
      <c r="C368" s="223">
        <f>IF(AND(E368&gt;(N$493-1),E368&lt;(R$493+1)),W$485,IF(ISERROR(HLOOKUP(E368,$N$486:$U$486,1,FALSE)),HLOOKUP(WEEKDAY(E368,2),IMPOSTAZIONI!$C$51:$P$56,6,FALSE),$W$484))</f>
        <v>0</v>
      </c>
      <c r="D368" s="103" t="str">
        <f t="shared" si="271"/>
        <v/>
      </c>
      <c r="E368" s="2380">
        <f t="shared" si="282"/>
        <v>45546</v>
      </c>
      <c r="F368" s="2381"/>
      <c r="G368" s="2325" t="str">
        <f>SET!E18</f>
        <v xml:space="preserve">attiva trim.  </v>
      </c>
      <c r="H368" s="2326"/>
      <c r="I368" s="2327"/>
      <c r="J368" s="479" t="str">
        <f t="shared" si="267"/>
        <v/>
      </c>
      <c r="K368" s="480"/>
      <c r="L368" s="2319">
        <f t="shared" si="283"/>
        <v>37</v>
      </c>
      <c r="M368" s="2320"/>
      <c r="N368" s="478"/>
      <c r="O368" s="478"/>
      <c r="P368" s="478"/>
      <c r="Q368" s="2315">
        <f t="shared" si="272"/>
        <v>45546</v>
      </c>
      <c r="R368" s="2315"/>
      <c r="S368" s="478"/>
      <c r="T368" s="140">
        <f t="shared" si="273"/>
        <v>1</v>
      </c>
      <c r="U368" s="478"/>
      <c r="V368" s="478"/>
      <c r="W368" s="478"/>
      <c r="X368" s="478"/>
      <c r="Y368" s="478"/>
      <c r="Z368" s="478"/>
      <c r="AA368" s="478"/>
      <c r="AB368" s="478"/>
      <c r="AC368" s="478"/>
      <c r="AD368" s="478"/>
      <c r="AE368" s="478"/>
      <c r="AF368" s="478"/>
      <c r="AG368" s="140">
        <f t="shared" si="274"/>
        <v>0</v>
      </c>
      <c r="AH368" s="92" t="str">
        <f t="shared" si="275"/>
        <v/>
      </c>
      <c r="AI368" s="131">
        <f t="shared" si="276"/>
        <v>0</v>
      </c>
      <c r="AJ368" s="2"/>
      <c r="AK368" s="92">
        <f>IF(G368=G$481,0,IF(OR(G368&lt;&gt;0,CJ368&lt;&gt;0,C368="L"),COUNTIF(AK$114:AK367,"&gt;0")+1,0))</f>
        <v>0</v>
      </c>
      <c r="AL368" s="92" t="str">
        <f t="shared" si="277"/>
        <v/>
      </c>
      <c r="AM368" s="92" t="str">
        <f t="shared" si="278"/>
        <v/>
      </c>
      <c r="AN368" s="131">
        <f t="shared" si="268"/>
        <v>0</v>
      </c>
      <c r="AO368" s="447">
        <f>SUM(SET!W18:Z18)</f>
        <v>0</v>
      </c>
      <c r="AP368" s="445">
        <f>SUMIF(SET!$G$155:$J$155,AP$112,SET!$R18:$U18)</f>
        <v>0</v>
      </c>
      <c r="AQ368" s="446">
        <f>SUMIF(SET!$G$155:$J$155,AQ$112,SET!$R18:$U18)</f>
        <v>0</v>
      </c>
      <c r="AR368" s="447">
        <f>SUMIF(SET!$G$155:$J$155,AR$112,SET!$R18:$U18)</f>
        <v>0</v>
      </c>
      <c r="AS368" s="448">
        <f>SUMIF(SET!$G$155:$J$155,AS$112,SET!$R18:$U18)</f>
        <v>0</v>
      </c>
      <c r="AT368" s="449">
        <f>SET!AG18</f>
        <v>0</v>
      </c>
      <c r="AU368" s="445">
        <f>SET!AH18</f>
        <v>0</v>
      </c>
      <c r="AV368" s="446">
        <f>SET!AI18</f>
        <v>0</v>
      </c>
      <c r="AW368" s="447">
        <f>SET!AJ18</f>
        <v>0</v>
      </c>
      <c r="AX368" s="448">
        <f>SET!AK18</f>
        <v>0</v>
      </c>
      <c r="AY368" s="445">
        <f>SUMIF(SET!$G$152:$J$152,"&gt;0",SET!$W18:$Z18)</f>
        <v>0</v>
      </c>
      <c r="AZ368" s="1063">
        <f>SUM(SET!AB18:AE18)</f>
        <v>0</v>
      </c>
      <c r="BA368" s="445">
        <f>SUMIF(SET!$G$159:$J$159,BA$111,SET!$R18:$U18)+SUMIF(SET!$G$159:$J$159,BA$111,SET!$W18:$Z18)</f>
        <v>0</v>
      </c>
      <c r="BB368" s="446">
        <f>SUMIF(SET!$G$159:$J$159,BB$111,SET!$R18:$U18)+SUMIF(SET!$G$159:$J$159,BB$111,SET!$W18:$Z18)</f>
        <v>0</v>
      </c>
      <c r="BC368" s="446">
        <f>SUMIF(SET!$G$159:$J$159,BC$111,SET!$R18:$U18)+SUMIF(SET!$G$159:$J$159,BC$111,SET!$W18:$Z18)</f>
        <v>0</v>
      </c>
      <c r="BD368" s="446">
        <f>SUMIF(SET!$G$159:$J$159,BD$111,SET!$R18:$U18)+SUMIF(SET!$G$159:$J$159,BD$111,SET!$W18:$Z18)</f>
        <v>0</v>
      </c>
      <c r="BE368" s="446">
        <f>SUMIF(SET!$G$159:$J$159,BE$111,SET!$R18:$U18)+SUMIF(SET!$G$159:$J$159,BE$111,SET!$W18:$Z18)</f>
        <v>0</v>
      </c>
      <c r="BF368" s="446">
        <f>SUMIF(SET!$G$159:$J$159,BF$111,SET!$R18:$U18)+SUMIF(SET!$G$159:$J$159,BF$111,SET!$W18:$Z18)</f>
        <v>0</v>
      </c>
      <c r="BG368" s="448">
        <f>SUMIF(SET!$G$159:$J$159,BG$111,SET!$R18:$U18)+SUMIF(SET!$G$159:$J$159,BG$111,SET!$W18:$Z18)</f>
        <v>0</v>
      </c>
      <c r="BH368" s="571"/>
      <c r="BI368" s="448"/>
      <c r="BJ368" s="470"/>
      <c r="BK368" s="445">
        <f>SUMIF(SET!$G$157:$J$157,BK$111,SET!$R18:$U18)+SUMIF(SET!$G$157:$J$157,BK$111,SET!$W18:$Z18)</f>
        <v>0</v>
      </c>
      <c r="BL368" s="446">
        <f>SUMIF(SET!$G$157:$J$157,BL$111,SET!$R18:$U18)+SUMIF(SET!$G$157:$J$157,BL$111,SET!$W18:$Z18)</f>
        <v>0</v>
      </c>
      <c r="BM368" s="446">
        <f>SUMIF(SET!$G$157:$J$157,BM$111,SET!$R18:$U18)+SUMIF(SET!$G$157:$J$157,BM$111,SET!$W18:$Z18)</f>
        <v>0</v>
      </c>
      <c r="BN368" s="446">
        <f>SUMIF(SET!$G$157:$J$157,BN$111,SET!$R18:$U18)+SUMIF(SET!$G$157:$J$157,BN$111,SET!$W18:$Z18)</f>
        <v>0</v>
      </c>
      <c r="BO368" s="446">
        <f>SUMIF(SET!$G$157:$J$157,BO$111,SET!$R18:$U18)+SUMIF(SET!$G$157:$J$157,BO$111,SET!$W18:$Z18)</f>
        <v>0</v>
      </c>
      <c r="BP368" s="446">
        <f>SUMIF(SET!$G$157:$J$157,BP$111,SET!$R18:$U18)+SUMIF(SET!$G$157:$J$157,BP$111,SET!$W18:$Z18)</f>
        <v>0</v>
      </c>
      <c r="BQ368" s="448">
        <f>SUMIF(SET!$G$157:$J$157,BQ$111,SET!$R18:$U18)+SUMIF(SET!$G$157:$J$157,BQ$111,SET!$W18:$Z18)</f>
        <v>0</v>
      </c>
      <c r="BR368" s="571"/>
      <c r="BS368" s="446"/>
      <c r="BT368" s="448"/>
      <c r="BU368" s="470"/>
      <c r="BV368" s="445">
        <f>SUMIF(SET!$G$158:$J$158,BV$111,SET!$R18:$U18)+SUMIF(SET!$G$158:$J$158,BV$111,SET!$W18:$Z18)</f>
        <v>0</v>
      </c>
      <c r="BW368" s="446">
        <f>SUMIF(SET!$G$158:$J$158,BW$111,SET!$R18:$U18)+SUMIF(SET!$G$158:$J$158,BW$111,SET!$W18:$Z18)</f>
        <v>0</v>
      </c>
      <c r="BX368" s="446">
        <f>SUMIF(SET!$G$158:$J$158,BX$111,SET!$R18:$U18)+SUMIF(SET!$G$158:$J$158,BX$111,SET!$W18:$Z18)</f>
        <v>0</v>
      </c>
      <c r="BY368" s="446">
        <f>SUMIF(SET!$G$158:$J$158,BY$111,SET!$R18:$U18)+SUMIF(SET!$G$158:$J$158,BY$111,SET!$W18:$Z18)</f>
        <v>0</v>
      </c>
      <c r="BZ368" s="446">
        <f>SUMIF(SET!$G$158:$J$158,BZ$111,SET!$R18:$U18)+SUMIF(SET!$G$158:$J$158,BZ$111,SET!$W18:$Z18)</f>
        <v>0</v>
      </c>
      <c r="CA368" s="446">
        <f>SUMIF(SET!$G$158:$J$158,CA$111,SET!$R18:$U18)+SUMIF(SET!$G$158:$J$158,CA$111,SET!$W18:$Z18)</f>
        <v>0</v>
      </c>
      <c r="CB368" s="448">
        <f>SUMIF(SET!$G$158:$J$158,CB$111,SET!$R18:$U18)+SUMIF(SET!$G$158:$J$158,CB$111,SET!$W18:$Z18)</f>
        <v>0</v>
      </c>
      <c r="CC368" s="571"/>
      <c r="CD368" s="448"/>
      <c r="CE368" s="92">
        <f t="shared" si="279"/>
        <v>0</v>
      </c>
      <c r="CF368" s="92">
        <f t="shared" si="280"/>
        <v>0</v>
      </c>
      <c r="CG368" s="151" t="str">
        <f t="shared" si="284"/>
        <v/>
      </c>
      <c r="CH368" s="92">
        <f t="shared" si="269"/>
        <v>0</v>
      </c>
      <c r="CI368" s="92" t="str">
        <f t="shared" si="281"/>
        <v/>
      </c>
      <c r="CJ368" s="1100">
        <f>SET!AM18</f>
        <v>0</v>
      </c>
      <c r="CK368" s="445">
        <f>SUMIF(SET!$G$155:$J$155,CK$112,SET!$AN18:$AQ18)</f>
        <v>0</v>
      </c>
      <c r="CL368" s="446">
        <f>SUMIF(SET!$G$155:$J$155,CL$112,SET!$AN18:$AQ18)</f>
        <v>0</v>
      </c>
      <c r="CM368" s="447">
        <f>SUMIF(SET!$G$155:$J$155,CM$112,SET!$AN18:$AQ18)</f>
        <v>0</v>
      </c>
      <c r="CN368" s="448">
        <f>SUMIF(SET!$G$155:$J$155,CN$112,SET!$AN18:$AQ18)</f>
        <v>0</v>
      </c>
      <c r="CO368" s="1100">
        <f>SET!AS18</f>
        <v>0</v>
      </c>
      <c r="CP368" s="445">
        <f>SET!AT18</f>
        <v>0</v>
      </c>
      <c r="CQ368" s="446">
        <f>SET!AU18</f>
        <v>0</v>
      </c>
      <c r="CR368" s="447">
        <f>SET!AV18</f>
        <v>0</v>
      </c>
      <c r="CS368" s="448">
        <f>SET!AW18</f>
        <v>0</v>
      </c>
      <c r="CT368" s="1100">
        <f>SET!AY18</f>
        <v>0</v>
      </c>
      <c r="CU368" s="2"/>
    </row>
    <row r="369" spans="1:99" ht="14.25" hidden="1" customHeight="1" x14ac:dyDescent="0.2">
      <c r="A369" s="2"/>
      <c r="B369" s="151">
        <f t="shared" si="270"/>
        <v>45547</v>
      </c>
      <c r="C369" s="223">
        <f>IF(AND(E369&gt;(N$493-1),E369&lt;(R$493+1)),W$485,IF(ISERROR(HLOOKUP(E369,$N$486:$U$486,1,FALSE)),HLOOKUP(WEEKDAY(E369,2),IMPOSTAZIONI!$C$51:$P$56,6,FALSE),$W$484))</f>
        <v>0</v>
      </c>
      <c r="D369" s="103" t="str">
        <f t="shared" si="271"/>
        <v/>
      </c>
      <c r="E369" s="2380">
        <f t="shared" si="282"/>
        <v>45547</v>
      </c>
      <c r="F369" s="2381"/>
      <c r="G369" s="2325" t="str">
        <f>SET!E19</f>
        <v xml:space="preserve">attiva trim.  </v>
      </c>
      <c r="H369" s="2326"/>
      <c r="I369" s="2327"/>
      <c r="J369" s="479" t="str">
        <f t="shared" si="267"/>
        <v/>
      </c>
      <c r="K369" s="480"/>
      <c r="L369" s="2319">
        <f t="shared" si="283"/>
        <v>37</v>
      </c>
      <c r="M369" s="2320"/>
      <c r="N369" s="478"/>
      <c r="O369" s="478"/>
      <c r="P369" s="478"/>
      <c r="Q369" s="2315">
        <f t="shared" si="272"/>
        <v>45547</v>
      </c>
      <c r="R369" s="2315"/>
      <c r="S369" s="478"/>
      <c r="T369" s="140">
        <f t="shared" si="273"/>
        <v>1</v>
      </c>
      <c r="U369" s="478"/>
      <c r="V369" s="478"/>
      <c r="W369" s="478"/>
      <c r="X369" s="478"/>
      <c r="Y369" s="478"/>
      <c r="Z369" s="478"/>
      <c r="AA369" s="478"/>
      <c r="AB369" s="478"/>
      <c r="AC369" s="478"/>
      <c r="AD369" s="478"/>
      <c r="AE369" s="478"/>
      <c r="AF369" s="478"/>
      <c r="AG369" s="140">
        <f t="shared" si="274"/>
        <v>0</v>
      </c>
      <c r="AH369" s="92" t="str">
        <f t="shared" si="275"/>
        <v/>
      </c>
      <c r="AI369" s="131">
        <f t="shared" si="276"/>
        <v>0</v>
      </c>
      <c r="AJ369" s="2"/>
      <c r="AK369" s="92">
        <f>IF(G369=G$481,0,IF(OR(G369&lt;&gt;0,CJ369&lt;&gt;0,C369="L"),COUNTIF(AK$114:AK368,"&gt;0")+1,0))</f>
        <v>0</v>
      </c>
      <c r="AL369" s="92" t="str">
        <f t="shared" si="277"/>
        <v/>
      </c>
      <c r="AM369" s="92" t="str">
        <f t="shared" si="278"/>
        <v/>
      </c>
      <c r="AN369" s="131">
        <f t="shared" si="268"/>
        <v>0</v>
      </c>
      <c r="AO369" s="447">
        <f>SUM(SET!W19:Z19)</f>
        <v>0</v>
      </c>
      <c r="AP369" s="445">
        <f>SUMIF(SET!$G$155:$J$155,AP$112,SET!$R19:$U19)</f>
        <v>0</v>
      </c>
      <c r="AQ369" s="446">
        <f>SUMIF(SET!$G$155:$J$155,AQ$112,SET!$R19:$U19)</f>
        <v>0</v>
      </c>
      <c r="AR369" s="447">
        <f>SUMIF(SET!$G$155:$J$155,AR$112,SET!$R19:$U19)</f>
        <v>0</v>
      </c>
      <c r="AS369" s="448">
        <f>SUMIF(SET!$G$155:$J$155,AS$112,SET!$R19:$U19)</f>
        <v>0</v>
      </c>
      <c r="AT369" s="449">
        <f>SET!AG19</f>
        <v>0</v>
      </c>
      <c r="AU369" s="445">
        <f>SET!AH19</f>
        <v>0</v>
      </c>
      <c r="AV369" s="446">
        <f>SET!AI19</f>
        <v>0</v>
      </c>
      <c r="AW369" s="447">
        <f>SET!AJ19</f>
        <v>0</v>
      </c>
      <c r="AX369" s="448">
        <f>SET!AK19</f>
        <v>0</v>
      </c>
      <c r="AY369" s="445">
        <f>SUMIF(SET!$G$152:$J$152,"&gt;0",SET!$W19:$Z19)</f>
        <v>0</v>
      </c>
      <c r="AZ369" s="1063">
        <f>SUM(SET!AB19:AE19)</f>
        <v>0</v>
      </c>
      <c r="BA369" s="445">
        <f>SUMIF(SET!$G$159:$J$159,BA$111,SET!$R19:$U19)+SUMIF(SET!$G$159:$J$159,BA$111,SET!$W19:$Z19)</f>
        <v>0</v>
      </c>
      <c r="BB369" s="446">
        <f>SUMIF(SET!$G$159:$J$159,BB$111,SET!$R19:$U19)+SUMIF(SET!$G$159:$J$159,BB$111,SET!$W19:$Z19)</f>
        <v>0</v>
      </c>
      <c r="BC369" s="446">
        <f>SUMIF(SET!$G$159:$J$159,BC$111,SET!$R19:$U19)+SUMIF(SET!$G$159:$J$159,BC$111,SET!$W19:$Z19)</f>
        <v>0</v>
      </c>
      <c r="BD369" s="446">
        <f>SUMIF(SET!$G$159:$J$159,BD$111,SET!$R19:$U19)+SUMIF(SET!$G$159:$J$159,BD$111,SET!$W19:$Z19)</f>
        <v>0</v>
      </c>
      <c r="BE369" s="446">
        <f>SUMIF(SET!$G$159:$J$159,BE$111,SET!$R19:$U19)+SUMIF(SET!$G$159:$J$159,BE$111,SET!$W19:$Z19)</f>
        <v>0</v>
      </c>
      <c r="BF369" s="446">
        <f>SUMIF(SET!$G$159:$J$159,BF$111,SET!$R19:$U19)+SUMIF(SET!$G$159:$J$159,BF$111,SET!$W19:$Z19)</f>
        <v>0</v>
      </c>
      <c r="BG369" s="448">
        <f>SUMIF(SET!$G$159:$J$159,BG$111,SET!$R19:$U19)+SUMIF(SET!$G$159:$J$159,BG$111,SET!$W19:$Z19)</f>
        <v>0</v>
      </c>
      <c r="BH369" s="571"/>
      <c r="BI369" s="448"/>
      <c r="BJ369" s="470"/>
      <c r="BK369" s="445">
        <f>SUMIF(SET!$G$157:$J$157,BK$111,SET!$R19:$U19)+SUMIF(SET!$G$157:$J$157,BK$111,SET!$W19:$Z19)</f>
        <v>0</v>
      </c>
      <c r="BL369" s="446">
        <f>SUMIF(SET!$G$157:$J$157,BL$111,SET!$R19:$U19)+SUMIF(SET!$G$157:$J$157,BL$111,SET!$W19:$Z19)</f>
        <v>0</v>
      </c>
      <c r="BM369" s="446">
        <f>SUMIF(SET!$G$157:$J$157,BM$111,SET!$R19:$U19)+SUMIF(SET!$G$157:$J$157,BM$111,SET!$W19:$Z19)</f>
        <v>0</v>
      </c>
      <c r="BN369" s="446">
        <f>SUMIF(SET!$G$157:$J$157,BN$111,SET!$R19:$U19)+SUMIF(SET!$G$157:$J$157,BN$111,SET!$W19:$Z19)</f>
        <v>0</v>
      </c>
      <c r="BO369" s="446">
        <f>SUMIF(SET!$G$157:$J$157,BO$111,SET!$R19:$U19)+SUMIF(SET!$G$157:$J$157,BO$111,SET!$W19:$Z19)</f>
        <v>0</v>
      </c>
      <c r="BP369" s="446">
        <f>SUMIF(SET!$G$157:$J$157,BP$111,SET!$R19:$U19)+SUMIF(SET!$G$157:$J$157,BP$111,SET!$W19:$Z19)</f>
        <v>0</v>
      </c>
      <c r="BQ369" s="448">
        <f>SUMIF(SET!$G$157:$J$157,BQ$111,SET!$R19:$U19)+SUMIF(SET!$G$157:$J$157,BQ$111,SET!$W19:$Z19)</f>
        <v>0</v>
      </c>
      <c r="BR369" s="571"/>
      <c r="BS369" s="446"/>
      <c r="BT369" s="448"/>
      <c r="BU369" s="470"/>
      <c r="BV369" s="445">
        <f>SUMIF(SET!$G$158:$J$158,BV$111,SET!$R19:$U19)+SUMIF(SET!$G$158:$J$158,BV$111,SET!$W19:$Z19)</f>
        <v>0</v>
      </c>
      <c r="BW369" s="446">
        <f>SUMIF(SET!$G$158:$J$158,BW$111,SET!$R19:$U19)+SUMIF(SET!$G$158:$J$158,BW$111,SET!$W19:$Z19)</f>
        <v>0</v>
      </c>
      <c r="BX369" s="446">
        <f>SUMIF(SET!$G$158:$J$158,BX$111,SET!$R19:$U19)+SUMIF(SET!$G$158:$J$158,BX$111,SET!$W19:$Z19)</f>
        <v>0</v>
      </c>
      <c r="BY369" s="446">
        <f>SUMIF(SET!$G$158:$J$158,BY$111,SET!$R19:$U19)+SUMIF(SET!$G$158:$J$158,BY$111,SET!$W19:$Z19)</f>
        <v>0</v>
      </c>
      <c r="BZ369" s="446">
        <f>SUMIF(SET!$G$158:$J$158,BZ$111,SET!$R19:$U19)+SUMIF(SET!$G$158:$J$158,BZ$111,SET!$W19:$Z19)</f>
        <v>0</v>
      </c>
      <c r="CA369" s="446">
        <f>SUMIF(SET!$G$158:$J$158,CA$111,SET!$R19:$U19)+SUMIF(SET!$G$158:$J$158,CA$111,SET!$W19:$Z19)</f>
        <v>0</v>
      </c>
      <c r="CB369" s="448">
        <f>SUMIF(SET!$G$158:$J$158,CB$111,SET!$R19:$U19)+SUMIF(SET!$G$158:$J$158,CB$111,SET!$W19:$Z19)</f>
        <v>0</v>
      </c>
      <c r="CC369" s="571"/>
      <c r="CD369" s="448"/>
      <c r="CE369" s="92">
        <f t="shared" si="279"/>
        <v>0</v>
      </c>
      <c r="CF369" s="92">
        <f t="shared" si="280"/>
        <v>0</v>
      </c>
      <c r="CG369" s="151" t="str">
        <f t="shared" si="284"/>
        <v/>
      </c>
      <c r="CH369" s="92">
        <f t="shared" si="269"/>
        <v>0</v>
      </c>
      <c r="CI369" s="92" t="str">
        <f t="shared" si="281"/>
        <v/>
      </c>
      <c r="CJ369" s="1100">
        <f>SET!AM19</f>
        <v>0</v>
      </c>
      <c r="CK369" s="445">
        <f>SUMIF(SET!$G$155:$J$155,CK$112,SET!$AN19:$AQ19)</f>
        <v>0</v>
      </c>
      <c r="CL369" s="446">
        <f>SUMIF(SET!$G$155:$J$155,CL$112,SET!$AN19:$AQ19)</f>
        <v>0</v>
      </c>
      <c r="CM369" s="447">
        <f>SUMIF(SET!$G$155:$J$155,CM$112,SET!$AN19:$AQ19)</f>
        <v>0</v>
      </c>
      <c r="CN369" s="448">
        <f>SUMIF(SET!$G$155:$J$155,CN$112,SET!$AN19:$AQ19)</f>
        <v>0</v>
      </c>
      <c r="CO369" s="1100">
        <f>SET!AS19</f>
        <v>0</v>
      </c>
      <c r="CP369" s="445">
        <f>SET!AT19</f>
        <v>0</v>
      </c>
      <c r="CQ369" s="446">
        <f>SET!AU19</f>
        <v>0</v>
      </c>
      <c r="CR369" s="447">
        <f>SET!AV19</f>
        <v>0</v>
      </c>
      <c r="CS369" s="448">
        <f>SET!AW19</f>
        <v>0</v>
      </c>
      <c r="CT369" s="1100">
        <f>SET!AY19</f>
        <v>0</v>
      </c>
      <c r="CU369" s="2"/>
    </row>
    <row r="370" spans="1:99" ht="14.25" hidden="1" customHeight="1" x14ac:dyDescent="0.2">
      <c r="A370" s="2"/>
      <c r="B370" s="151">
        <f t="shared" si="270"/>
        <v>45548</v>
      </c>
      <c r="C370" s="223">
        <f>IF(AND(E370&gt;(N$493-1),E370&lt;(R$493+1)),W$485,IF(ISERROR(HLOOKUP(E370,$N$486:$U$486,1,FALSE)),HLOOKUP(WEEKDAY(E370,2),IMPOSTAZIONI!$C$51:$P$56,6,FALSE),$W$484))</f>
        <v>0</v>
      </c>
      <c r="D370" s="103" t="str">
        <f t="shared" si="271"/>
        <v/>
      </c>
      <c r="E370" s="2380">
        <f t="shared" si="282"/>
        <v>45548</v>
      </c>
      <c r="F370" s="2381"/>
      <c r="G370" s="2325" t="str">
        <f>SET!E20</f>
        <v xml:space="preserve">attiva trim.  </v>
      </c>
      <c r="H370" s="2326"/>
      <c r="I370" s="2327"/>
      <c r="J370" s="479" t="str">
        <f t="shared" ref="J370:J433" si="285">IF(E370=T$5,"&gt;","")</f>
        <v/>
      </c>
      <c r="K370" s="480"/>
      <c r="L370" s="2319">
        <f t="shared" si="283"/>
        <v>37</v>
      </c>
      <c r="M370" s="2320"/>
      <c r="N370" s="478"/>
      <c r="O370" s="478"/>
      <c r="P370" s="478"/>
      <c r="Q370" s="2315">
        <f t="shared" si="272"/>
        <v>45548</v>
      </c>
      <c r="R370" s="2315"/>
      <c r="S370" s="478"/>
      <c r="T370" s="140">
        <f t="shared" si="273"/>
        <v>1</v>
      </c>
      <c r="U370" s="478"/>
      <c r="V370" s="478"/>
      <c r="W370" s="478"/>
      <c r="X370" s="478"/>
      <c r="Y370" s="478"/>
      <c r="Z370" s="478"/>
      <c r="AA370" s="478"/>
      <c r="AB370" s="478"/>
      <c r="AC370" s="478"/>
      <c r="AD370" s="478"/>
      <c r="AE370" s="478"/>
      <c r="AF370" s="478"/>
      <c r="AG370" s="140">
        <f t="shared" si="274"/>
        <v>0</v>
      </c>
      <c r="AH370" s="92" t="str">
        <f t="shared" si="275"/>
        <v/>
      </c>
      <c r="AI370" s="131">
        <f t="shared" si="276"/>
        <v>0</v>
      </c>
      <c r="AJ370" s="2"/>
      <c r="AK370" s="92">
        <f>IF(G370=G$481,0,IF(OR(G370&lt;&gt;0,CJ370&lt;&gt;0,C370="L"),COUNTIF(AK$114:AK369,"&gt;0")+1,0))</f>
        <v>0</v>
      </c>
      <c r="AL370" s="92" t="str">
        <f t="shared" si="277"/>
        <v/>
      </c>
      <c r="AM370" s="92" t="str">
        <f t="shared" si="278"/>
        <v/>
      </c>
      <c r="AN370" s="131">
        <f t="shared" ref="AN370:AN433" si="286">IF(AND(E370&gt;(AN$111-1),E370&lt;(AN$112+1)),C370,0)</f>
        <v>0</v>
      </c>
      <c r="AO370" s="447">
        <f>SUM(SET!W20:Z20)</f>
        <v>0</v>
      </c>
      <c r="AP370" s="445">
        <f>SUMIF(SET!$G$155:$J$155,AP$112,SET!$R20:$U20)</f>
        <v>0</v>
      </c>
      <c r="AQ370" s="446">
        <f>SUMIF(SET!$G$155:$J$155,AQ$112,SET!$R20:$U20)</f>
        <v>0</v>
      </c>
      <c r="AR370" s="447">
        <f>SUMIF(SET!$G$155:$J$155,AR$112,SET!$R20:$U20)</f>
        <v>0</v>
      </c>
      <c r="AS370" s="448">
        <f>SUMIF(SET!$G$155:$J$155,AS$112,SET!$R20:$U20)</f>
        <v>0</v>
      </c>
      <c r="AT370" s="449">
        <f>SET!AG20</f>
        <v>0</v>
      </c>
      <c r="AU370" s="445">
        <f>SET!AH20</f>
        <v>0</v>
      </c>
      <c r="AV370" s="446">
        <f>SET!AI20</f>
        <v>0</v>
      </c>
      <c r="AW370" s="447">
        <f>SET!AJ20</f>
        <v>0</v>
      </c>
      <c r="AX370" s="448">
        <f>SET!AK20</f>
        <v>0</v>
      </c>
      <c r="AY370" s="445">
        <f>SUMIF(SET!$G$152:$J$152,"&gt;0",SET!$W20:$Z20)</f>
        <v>0</v>
      </c>
      <c r="AZ370" s="1063">
        <f>SUM(SET!AB20:AE20)</f>
        <v>0</v>
      </c>
      <c r="BA370" s="445">
        <f>SUMIF(SET!$G$159:$J$159,BA$111,SET!$R20:$U20)+SUMIF(SET!$G$159:$J$159,BA$111,SET!$W20:$Z20)</f>
        <v>0</v>
      </c>
      <c r="BB370" s="446">
        <f>SUMIF(SET!$G$159:$J$159,BB$111,SET!$R20:$U20)+SUMIF(SET!$G$159:$J$159,BB$111,SET!$W20:$Z20)</f>
        <v>0</v>
      </c>
      <c r="BC370" s="446">
        <f>SUMIF(SET!$G$159:$J$159,BC$111,SET!$R20:$U20)+SUMIF(SET!$G$159:$J$159,BC$111,SET!$W20:$Z20)</f>
        <v>0</v>
      </c>
      <c r="BD370" s="446">
        <f>SUMIF(SET!$G$159:$J$159,BD$111,SET!$R20:$U20)+SUMIF(SET!$G$159:$J$159,BD$111,SET!$W20:$Z20)</f>
        <v>0</v>
      </c>
      <c r="BE370" s="446">
        <f>SUMIF(SET!$G$159:$J$159,BE$111,SET!$R20:$U20)+SUMIF(SET!$G$159:$J$159,BE$111,SET!$W20:$Z20)</f>
        <v>0</v>
      </c>
      <c r="BF370" s="446">
        <f>SUMIF(SET!$G$159:$J$159,BF$111,SET!$R20:$U20)+SUMIF(SET!$G$159:$J$159,BF$111,SET!$W20:$Z20)</f>
        <v>0</v>
      </c>
      <c r="BG370" s="448">
        <f>SUMIF(SET!$G$159:$J$159,BG$111,SET!$R20:$U20)+SUMIF(SET!$G$159:$J$159,BG$111,SET!$W20:$Z20)</f>
        <v>0</v>
      </c>
      <c r="BH370" s="571"/>
      <c r="BI370" s="448"/>
      <c r="BJ370" s="470"/>
      <c r="BK370" s="445">
        <f>SUMIF(SET!$G$157:$J$157,BK$111,SET!$R20:$U20)+SUMIF(SET!$G$157:$J$157,BK$111,SET!$W20:$Z20)</f>
        <v>0</v>
      </c>
      <c r="BL370" s="446">
        <f>SUMIF(SET!$G$157:$J$157,BL$111,SET!$R20:$U20)+SUMIF(SET!$G$157:$J$157,BL$111,SET!$W20:$Z20)</f>
        <v>0</v>
      </c>
      <c r="BM370" s="446">
        <f>SUMIF(SET!$G$157:$J$157,BM$111,SET!$R20:$U20)+SUMIF(SET!$G$157:$J$157,BM$111,SET!$W20:$Z20)</f>
        <v>0</v>
      </c>
      <c r="BN370" s="446">
        <f>SUMIF(SET!$G$157:$J$157,BN$111,SET!$R20:$U20)+SUMIF(SET!$G$157:$J$157,BN$111,SET!$W20:$Z20)</f>
        <v>0</v>
      </c>
      <c r="BO370" s="446">
        <f>SUMIF(SET!$G$157:$J$157,BO$111,SET!$R20:$U20)+SUMIF(SET!$G$157:$J$157,BO$111,SET!$W20:$Z20)</f>
        <v>0</v>
      </c>
      <c r="BP370" s="446">
        <f>SUMIF(SET!$G$157:$J$157,BP$111,SET!$R20:$U20)+SUMIF(SET!$G$157:$J$157,BP$111,SET!$W20:$Z20)</f>
        <v>0</v>
      </c>
      <c r="BQ370" s="448">
        <f>SUMIF(SET!$G$157:$J$157,BQ$111,SET!$R20:$U20)+SUMIF(SET!$G$157:$J$157,BQ$111,SET!$W20:$Z20)</f>
        <v>0</v>
      </c>
      <c r="BR370" s="571"/>
      <c r="BS370" s="446"/>
      <c r="BT370" s="448"/>
      <c r="BU370" s="470"/>
      <c r="BV370" s="445">
        <f>SUMIF(SET!$G$158:$J$158,BV$111,SET!$R20:$U20)+SUMIF(SET!$G$158:$J$158,BV$111,SET!$W20:$Z20)</f>
        <v>0</v>
      </c>
      <c r="BW370" s="446">
        <f>SUMIF(SET!$G$158:$J$158,BW$111,SET!$R20:$U20)+SUMIF(SET!$G$158:$J$158,BW$111,SET!$W20:$Z20)</f>
        <v>0</v>
      </c>
      <c r="BX370" s="446">
        <f>SUMIF(SET!$G$158:$J$158,BX$111,SET!$R20:$U20)+SUMIF(SET!$G$158:$J$158,BX$111,SET!$W20:$Z20)</f>
        <v>0</v>
      </c>
      <c r="BY370" s="446">
        <f>SUMIF(SET!$G$158:$J$158,BY$111,SET!$R20:$U20)+SUMIF(SET!$G$158:$J$158,BY$111,SET!$W20:$Z20)</f>
        <v>0</v>
      </c>
      <c r="BZ370" s="446">
        <f>SUMIF(SET!$G$158:$J$158,BZ$111,SET!$R20:$U20)+SUMIF(SET!$G$158:$J$158,BZ$111,SET!$W20:$Z20)</f>
        <v>0</v>
      </c>
      <c r="CA370" s="446">
        <f>SUMIF(SET!$G$158:$J$158,CA$111,SET!$R20:$U20)+SUMIF(SET!$G$158:$J$158,CA$111,SET!$W20:$Z20)</f>
        <v>0</v>
      </c>
      <c r="CB370" s="448">
        <f>SUMIF(SET!$G$158:$J$158,CB$111,SET!$R20:$U20)+SUMIF(SET!$G$158:$J$158,CB$111,SET!$W20:$Z20)</f>
        <v>0</v>
      </c>
      <c r="CC370" s="571"/>
      <c r="CD370" s="448"/>
      <c r="CE370" s="92">
        <f t="shared" si="279"/>
        <v>0</v>
      </c>
      <c r="CF370" s="92">
        <f t="shared" si="280"/>
        <v>0</v>
      </c>
      <c r="CG370" s="151" t="str">
        <f t="shared" si="284"/>
        <v/>
      </c>
      <c r="CH370" s="92">
        <f t="shared" ref="CH370:CH433" si="287">IF(CI370="X",AK370,0)</f>
        <v>0</v>
      </c>
      <c r="CI370" s="92" t="str">
        <f t="shared" si="281"/>
        <v/>
      </c>
      <c r="CJ370" s="1100">
        <f>SET!AM20</f>
        <v>0</v>
      </c>
      <c r="CK370" s="445">
        <f>SUMIF(SET!$G$155:$J$155,CK$112,SET!$AN20:$AQ20)</f>
        <v>0</v>
      </c>
      <c r="CL370" s="446">
        <f>SUMIF(SET!$G$155:$J$155,CL$112,SET!$AN20:$AQ20)</f>
        <v>0</v>
      </c>
      <c r="CM370" s="447">
        <f>SUMIF(SET!$G$155:$J$155,CM$112,SET!$AN20:$AQ20)</f>
        <v>0</v>
      </c>
      <c r="CN370" s="448">
        <f>SUMIF(SET!$G$155:$J$155,CN$112,SET!$AN20:$AQ20)</f>
        <v>0</v>
      </c>
      <c r="CO370" s="1100">
        <f>SET!AS20</f>
        <v>0</v>
      </c>
      <c r="CP370" s="445">
        <f>SET!AT20</f>
        <v>0</v>
      </c>
      <c r="CQ370" s="446">
        <f>SET!AU20</f>
        <v>0</v>
      </c>
      <c r="CR370" s="447">
        <f>SET!AV20</f>
        <v>0</v>
      </c>
      <c r="CS370" s="448">
        <f>SET!AW20</f>
        <v>0</v>
      </c>
      <c r="CT370" s="1100">
        <f>SET!AY20</f>
        <v>0</v>
      </c>
      <c r="CU370" s="2"/>
    </row>
    <row r="371" spans="1:99" ht="14.25" hidden="1" customHeight="1" x14ac:dyDescent="0.2">
      <c r="A371" s="2"/>
      <c r="B371" s="151">
        <f t="shared" ref="B371:B434" si="288">E371</f>
        <v>45549</v>
      </c>
      <c r="C371" s="223">
        <f>IF(AND(E371&gt;(N$493-1),E371&lt;(R$493+1)),W$485,IF(ISERROR(HLOOKUP(E371,$N$486:$U$486,1,FALSE)),HLOOKUP(WEEKDAY(E371,2),IMPOSTAZIONI!$C$51:$P$56,6,FALSE),$W$484))</f>
        <v>0</v>
      </c>
      <c r="D371" s="103" t="str">
        <f t="shared" ref="D371:D434" si="289">IF(C371="L",MONTH(E371),"")</f>
        <v/>
      </c>
      <c r="E371" s="2380">
        <f t="shared" si="282"/>
        <v>45549</v>
      </c>
      <c r="F371" s="2381"/>
      <c r="G371" s="2325" t="str">
        <f>SET!E21</f>
        <v xml:space="preserve">attiva trim.  </v>
      </c>
      <c r="H371" s="2326"/>
      <c r="I371" s="2327"/>
      <c r="J371" s="479" t="str">
        <f t="shared" si="285"/>
        <v/>
      </c>
      <c r="K371" s="480"/>
      <c r="L371" s="2319">
        <f t="shared" si="283"/>
        <v>37</v>
      </c>
      <c r="M371" s="2320"/>
      <c r="N371" s="478"/>
      <c r="O371" s="478"/>
      <c r="P371" s="478"/>
      <c r="Q371" s="2315">
        <f t="shared" ref="Q371:Q434" si="290">E371</f>
        <v>45549</v>
      </c>
      <c r="R371" s="2315"/>
      <c r="S371" s="478"/>
      <c r="T371" s="140">
        <f t="shared" ref="T371:T434" si="291">IF(OR(G371&lt;&gt;0,CJ371&lt;&gt;0),1,0)</f>
        <v>1</v>
      </c>
      <c r="U371" s="478"/>
      <c r="V371" s="478"/>
      <c r="W371" s="478"/>
      <c r="X371" s="478"/>
      <c r="Y371" s="478"/>
      <c r="Z371" s="478"/>
      <c r="AA371" s="478"/>
      <c r="AB371" s="478"/>
      <c r="AC371" s="478"/>
      <c r="AD371" s="478"/>
      <c r="AE371" s="478"/>
      <c r="AF371" s="478"/>
      <c r="AG371" s="140">
        <f t="shared" ref="AG371:AG434" si="292">IF(AND(L371&gt;(AG$110-1),L371&lt;(AG$111+1)),1,0)</f>
        <v>0</v>
      </c>
      <c r="AH371" s="92" t="str">
        <f t="shared" ref="AH371:AH434" si="293">IF(AK371=0,"",IF(AH$111=5,IF(AND(L371&gt;(AG$110-1),L371&lt;(AG$111+1)),"Y",""),""))</f>
        <v/>
      </c>
      <c r="AI371" s="131">
        <f t="shared" ref="AI371:AI434" si="294">IF(AND($L371&gt;(AI$111-1),$L371&lt;(AI$112+1)),$C371,0)</f>
        <v>0</v>
      </c>
      <c r="AJ371" s="2"/>
      <c r="AK371" s="92">
        <f>IF(G371=G$481,0,IF(OR(G371&lt;&gt;0,CJ371&lt;&gt;0,C371="L"),COUNTIF(AK$114:AK370,"&gt;0")+1,0))</f>
        <v>0</v>
      </c>
      <c r="AL371" s="92" t="str">
        <f t="shared" ref="AL371:AL434" si="295">IF(AL$111=5,AH371,IF(AK371=0,"",IF(AL$111=1,IF(AND(AK371&gt;($CF$483-1),AK371&lt;($CF$484+1)),"Y",""),IF(AL$111=2,IF(AL$110=MONTH(E371),"Y",""),IF(AL$111=3,"Y",IF(AL$111=4,IF(AND(E371&gt;(AO$111-1),E371&lt;(AO$112+1)),"Y",""),IF(AL$111=5,IF(AG371=1,"Y",""),"")))))))</f>
        <v/>
      </c>
      <c r="AM371" s="92" t="str">
        <f t="shared" ref="AM371:AM434" si="296">IF(AM$109=AM$108,CI371,IF(AND(AN$111&gt;0,AN$112&gt;0),IF(AND(E371&gt;(AN$111-1),E371&lt;(AN$112+1),OR(AO371&lt;&gt;0,AN371=AM$111)),"X",""),""))</f>
        <v/>
      </c>
      <c r="AN371" s="131">
        <f t="shared" si="286"/>
        <v>0</v>
      </c>
      <c r="AO371" s="447">
        <f>SUM(SET!W21:Z21)</f>
        <v>0</v>
      </c>
      <c r="AP371" s="445">
        <f>SUMIF(SET!$G$155:$J$155,AP$112,SET!$R21:$U21)</f>
        <v>0</v>
      </c>
      <c r="AQ371" s="446">
        <f>SUMIF(SET!$G$155:$J$155,AQ$112,SET!$R21:$U21)</f>
        <v>0</v>
      </c>
      <c r="AR371" s="447">
        <f>SUMIF(SET!$G$155:$J$155,AR$112,SET!$R21:$U21)</f>
        <v>0</v>
      </c>
      <c r="AS371" s="448">
        <f>SUMIF(SET!$G$155:$J$155,AS$112,SET!$R21:$U21)</f>
        <v>0</v>
      </c>
      <c r="AT371" s="449">
        <f>SET!AG21</f>
        <v>0</v>
      </c>
      <c r="AU371" s="445">
        <f>SET!AH21</f>
        <v>0</v>
      </c>
      <c r="AV371" s="446">
        <f>SET!AI21</f>
        <v>0</v>
      </c>
      <c r="AW371" s="447">
        <f>SET!AJ21</f>
        <v>0</v>
      </c>
      <c r="AX371" s="448">
        <f>SET!AK21</f>
        <v>0</v>
      </c>
      <c r="AY371" s="445">
        <f>SUMIF(SET!$G$152:$J$152,"&gt;0",SET!$W21:$Z21)</f>
        <v>0</v>
      </c>
      <c r="AZ371" s="1063">
        <f>SUM(SET!AB21:AE21)</f>
        <v>0</v>
      </c>
      <c r="BA371" s="445">
        <f>SUMIF(SET!$G$159:$J$159,BA$111,SET!$R21:$U21)+SUMIF(SET!$G$159:$J$159,BA$111,SET!$W21:$Z21)</f>
        <v>0</v>
      </c>
      <c r="BB371" s="446">
        <f>SUMIF(SET!$G$159:$J$159,BB$111,SET!$R21:$U21)+SUMIF(SET!$G$159:$J$159,BB$111,SET!$W21:$Z21)</f>
        <v>0</v>
      </c>
      <c r="BC371" s="446">
        <f>SUMIF(SET!$G$159:$J$159,BC$111,SET!$R21:$U21)+SUMIF(SET!$G$159:$J$159,BC$111,SET!$W21:$Z21)</f>
        <v>0</v>
      </c>
      <c r="BD371" s="446">
        <f>SUMIF(SET!$G$159:$J$159,BD$111,SET!$R21:$U21)+SUMIF(SET!$G$159:$J$159,BD$111,SET!$W21:$Z21)</f>
        <v>0</v>
      </c>
      <c r="BE371" s="446">
        <f>SUMIF(SET!$G$159:$J$159,BE$111,SET!$R21:$U21)+SUMIF(SET!$G$159:$J$159,BE$111,SET!$W21:$Z21)</f>
        <v>0</v>
      </c>
      <c r="BF371" s="446">
        <f>SUMIF(SET!$G$159:$J$159,BF$111,SET!$R21:$U21)+SUMIF(SET!$G$159:$J$159,BF$111,SET!$W21:$Z21)</f>
        <v>0</v>
      </c>
      <c r="BG371" s="448">
        <f>SUMIF(SET!$G$159:$J$159,BG$111,SET!$R21:$U21)+SUMIF(SET!$G$159:$J$159,BG$111,SET!$W21:$Z21)</f>
        <v>0</v>
      </c>
      <c r="BH371" s="571"/>
      <c r="BI371" s="448"/>
      <c r="BJ371" s="470"/>
      <c r="BK371" s="445">
        <f>SUMIF(SET!$G$157:$J$157,BK$111,SET!$R21:$U21)+SUMIF(SET!$G$157:$J$157,BK$111,SET!$W21:$Z21)</f>
        <v>0</v>
      </c>
      <c r="BL371" s="446">
        <f>SUMIF(SET!$G$157:$J$157,BL$111,SET!$R21:$U21)+SUMIF(SET!$G$157:$J$157,BL$111,SET!$W21:$Z21)</f>
        <v>0</v>
      </c>
      <c r="BM371" s="446">
        <f>SUMIF(SET!$G$157:$J$157,BM$111,SET!$R21:$U21)+SUMIF(SET!$G$157:$J$157,BM$111,SET!$W21:$Z21)</f>
        <v>0</v>
      </c>
      <c r="BN371" s="446">
        <f>SUMIF(SET!$G$157:$J$157,BN$111,SET!$R21:$U21)+SUMIF(SET!$G$157:$J$157,BN$111,SET!$W21:$Z21)</f>
        <v>0</v>
      </c>
      <c r="BO371" s="446">
        <f>SUMIF(SET!$G$157:$J$157,BO$111,SET!$R21:$U21)+SUMIF(SET!$G$157:$J$157,BO$111,SET!$W21:$Z21)</f>
        <v>0</v>
      </c>
      <c r="BP371" s="446">
        <f>SUMIF(SET!$G$157:$J$157,BP$111,SET!$R21:$U21)+SUMIF(SET!$G$157:$J$157,BP$111,SET!$W21:$Z21)</f>
        <v>0</v>
      </c>
      <c r="BQ371" s="448">
        <f>SUMIF(SET!$G$157:$J$157,BQ$111,SET!$R21:$U21)+SUMIF(SET!$G$157:$J$157,BQ$111,SET!$W21:$Z21)</f>
        <v>0</v>
      </c>
      <c r="BR371" s="571"/>
      <c r="BS371" s="446"/>
      <c r="BT371" s="448"/>
      <c r="BU371" s="470"/>
      <c r="BV371" s="445">
        <f>SUMIF(SET!$G$158:$J$158,BV$111,SET!$R21:$U21)+SUMIF(SET!$G$158:$J$158,BV$111,SET!$W21:$Z21)</f>
        <v>0</v>
      </c>
      <c r="BW371" s="446">
        <f>SUMIF(SET!$G$158:$J$158,BW$111,SET!$R21:$U21)+SUMIF(SET!$G$158:$J$158,BW$111,SET!$W21:$Z21)</f>
        <v>0</v>
      </c>
      <c r="BX371" s="446">
        <f>SUMIF(SET!$G$158:$J$158,BX$111,SET!$R21:$U21)+SUMIF(SET!$G$158:$J$158,BX$111,SET!$W21:$Z21)</f>
        <v>0</v>
      </c>
      <c r="BY371" s="446">
        <f>SUMIF(SET!$G$158:$J$158,BY$111,SET!$R21:$U21)+SUMIF(SET!$G$158:$J$158,BY$111,SET!$W21:$Z21)</f>
        <v>0</v>
      </c>
      <c r="BZ371" s="446">
        <f>SUMIF(SET!$G$158:$J$158,BZ$111,SET!$R21:$U21)+SUMIF(SET!$G$158:$J$158,BZ$111,SET!$W21:$Z21)</f>
        <v>0</v>
      </c>
      <c r="CA371" s="446">
        <f>SUMIF(SET!$G$158:$J$158,CA$111,SET!$R21:$U21)+SUMIF(SET!$G$158:$J$158,CA$111,SET!$W21:$Z21)</f>
        <v>0</v>
      </c>
      <c r="CB371" s="448">
        <f>SUMIF(SET!$G$158:$J$158,CB$111,SET!$R21:$U21)+SUMIF(SET!$G$158:$J$158,CB$111,SET!$W21:$Z21)</f>
        <v>0</v>
      </c>
      <c r="CC371" s="571"/>
      <c r="CD371" s="448"/>
      <c r="CE371" s="92">
        <f t="shared" ref="CE371:CE434" si="297">IF(AM371="X",AK371,0)</f>
        <v>0</v>
      </c>
      <c r="CF371" s="92">
        <f t="shared" ref="CF371:CF434" si="298">IF(AL371="Y",AK371,0)</f>
        <v>0</v>
      </c>
      <c r="CG371" s="151" t="str">
        <f t="shared" si="284"/>
        <v/>
      </c>
      <c r="CH371" s="92">
        <f t="shared" si="287"/>
        <v>0</v>
      </c>
      <c r="CI371" s="92" t="str">
        <f t="shared" ref="CI371:CI434" si="299">IF(AND(L371&gt;(AI$111-1),L371&lt;(AI$112+1),OR(AO371&lt;&gt;0,AI371=CI$111)),"X","")</f>
        <v/>
      </c>
      <c r="CJ371" s="1100">
        <f>SET!AM21</f>
        <v>0</v>
      </c>
      <c r="CK371" s="445">
        <f>SUMIF(SET!$G$155:$J$155,CK$112,SET!$AN21:$AQ21)</f>
        <v>0</v>
      </c>
      <c r="CL371" s="446">
        <f>SUMIF(SET!$G$155:$J$155,CL$112,SET!$AN21:$AQ21)</f>
        <v>0</v>
      </c>
      <c r="CM371" s="447">
        <f>SUMIF(SET!$G$155:$J$155,CM$112,SET!$AN21:$AQ21)</f>
        <v>0</v>
      </c>
      <c r="CN371" s="448">
        <f>SUMIF(SET!$G$155:$J$155,CN$112,SET!$AN21:$AQ21)</f>
        <v>0</v>
      </c>
      <c r="CO371" s="1100">
        <f>SET!AS21</f>
        <v>0</v>
      </c>
      <c r="CP371" s="445">
        <f>SET!AT21</f>
        <v>0</v>
      </c>
      <c r="CQ371" s="446">
        <f>SET!AU21</f>
        <v>0</v>
      </c>
      <c r="CR371" s="447">
        <f>SET!AV21</f>
        <v>0</v>
      </c>
      <c r="CS371" s="448">
        <f>SET!AW21</f>
        <v>0</v>
      </c>
      <c r="CT371" s="1100">
        <f>SET!AY21</f>
        <v>0</v>
      </c>
      <c r="CU371" s="2"/>
    </row>
    <row r="372" spans="1:99" ht="14.25" hidden="1" customHeight="1" x14ac:dyDescent="0.2">
      <c r="A372" s="2"/>
      <c r="B372" s="151">
        <f t="shared" si="288"/>
        <v>45550</v>
      </c>
      <c r="C372" s="223">
        <f>IF(AND(E372&gt;(N$493-1),E372&lt;(R$493+1)),W$485,IF(ISERROR(HLOOKUP(E372,$N$486:$U$486,1,FALSE)),HLOOKUP(WEEKDAY(E372,2),IMPOSTAZIONI!$C$51:$P$56,6,FALSE),$W$484))</f>
        <v>0</v>
      </c>
      <c r="D372" s="103" t="str">
        <f t="shared" si="289"/>
        <v/>
      </c>
      <c r="E372" s="2380">
        <f t="shared" ref="E372:E435" si="300">E371+1</f>
        <v>45550</v>
      </c>
      <c r="F372" s="2381"/>
      <c r="G372" s="2325" t="str">
        <f>SET!E22</f>
        <v xml:space="preserve">attiva trim.  </v>
      </c>
      <c r="H372" s="2326"/>
      <c r="I372" s="2327"/>
      <c r="J372" s="479" t="str">
        <f t="shared" si="285"/>
        <v/>
      </c>
      <c r="K372" s="480"/>
      <c r="L372" s="2321">
        <f t="shared" si="283"/>
        <v>37</v>
      </c>
      <c r="M372" s="2322"/>
      <c r="N372" s="478"/>
      <c r="O372" s="478"/>
      <c r="P372" s="478"/>
      <c r="Q372" s="2315">
        <f t="shared" si="290"/>
        <v>45550</v>
      </c>
      <c r="R372" s="2315"/>
      <c r="S372" s="478"/>
      <c r="T372" s="140">
        <f t="shared" si="291"/>
        <v>1</v>
      </c>
      <c r="U372" s="478"/>
      <c r="V372" s="478"/>
      <c r="W372" s="478"/>
      <c r="X372" s="478"/>
      <c r="Y372" s="478"/>
      <c r="Z372" s="478"/>
      <c r="AA372" s="478"/>
      <c r="AB372" s="478"/>
      <c r="AC372" s="478"/>
      <c r="AD372" s="478"/>
      <c r="AE372" s="478"/>
      <c r="AF372" s="478"/>
      <c r="AG372" s="140">
        <f t="shared" si="292"/>
        <v>0</v>
      </c>
      <c r="AH372" s="92" t="str">
        <f t="shared" si="293"/>
        <v/>
      </c>
      <c r="AI372" s="131">
        <f t="shared" si="294"/>
        <v>0</v>
      </c>
      <c r="AJ372" s="2"/>
      <c r="AK372" s="92">
        <f>IF(G372=G$481,0,IF(OR(G372&lt;&gt;0,CJ372&lt;&gt;0,C372="L"),COUNTIF(AK$114:AK371,"&gt;0")+1,0))</f>
        <v>0</v>
      </c>
      <c r="AL372" s="92" t="str">
        <f t="shared" si="295"/>
        <v/>
      </c>
      <c r="AM372" s="92" t="str">
        <f t="shared" si="296"/>
        <v/>
      </c>
      <c r="AN372" s="131">
        <f t="shared" si="286"/>
        <v>0</v>
      </c>
      <c r="AO372" s="447">
        <f>SUM(SET!W22:Z22)</f>
        <v>0</v>
      </c>
      <c r="AP372" s="445">
        <f>SUMIF(SET!$G$155:$J$155,AP$112,SET!$R22:$U22)</f>
        <v>0</v>
      </c>
      <c r="AQ372" s="446">
        <f>SUMIF(SET!$G$155:$J$155,AQ$112,SET!$R22:$U22)</f>
        <v>0</v>
      </c>
      <c r="AR372" s="447">
        <f>SUMIF(SET!$G$155:$J$155,AR$112,SET!$R22:$U22)</f>
        <v>0</v>
      </c>
      <c r="AS372" s="448">
        <f>SUMIF(SET!$G$155:$J$155,AS$112,SET!$R22:$U22)</f>
        <v>0</v>
      </c>
      <c r="AT372" s="449">
        <f>SET!AG22</f>
        <v>0</v>
      </c>
      <c r="AU372" s="445">
        <f>SET!AH22</f>
        <v>0</v>
      </c>
      <c r="AV372" s="446">
        <f>SET!AI22</f>
        <v>0</v>
      </c>
      <c r="AW372" s="447">
        <f>SET!AJ22</f>
        <v>0</v>
      </c>
      <c r="AX372" s="448">
        <f>SET!AK22</f>
        <v>0</v>
      </c>
      <c r="AY372" s="445">
        <f>SUMIF(SET!$G$152:$J$152,"&gt;0",SET!$W22:$Z22)</f>
        <v>0</v>
      </c>
      <c r="AZ372" s="1063">
        <f>SUM(SET!AB22:AE22)</f>
        <v>0</v>
      </c>
      <c r="BA372" s="445">
        <f>SUMIF(SET!$G$159:$J$159,BA$111,SET!$R22:$U22)+SUMIF(SET!$G$159:$J$159,BA$111,SET!$W22:$Z22)</f>
        <v>0</v>
      </c>
      <c r="BB372" s="446">
        <f>SUMIF(SET!$G$159:$J$159,BB$111,SET!$R22:$U22)+SUMIF(SET!$G$159:$J$159,BB$111,SET!$W22:$Z22)</f>
        <v>0</v>
      </c>
      <c r="BC372" s="446">
        <f>SUMIF(SET!$G$159:$J$159,BC$111,SET!$R22:$U22)+SUMIF(SET!$G$159:$J$159,BC$111,SET!$W22:$Z22)</f>
        <v>0</v>
      </c>
      <c r="BD372" s="446">
        <f>SUMIF(SET!$G$159:$J$159,BD$111,SET!$R22:$U22)+SUMIF(SET!$G$159:$J$159,BD$111,SET!$W22:$Z22)</f>
        <v>0</v>
      </c>
      <c r="BE372" s="446">
        <f>SUMIF(SET!$G$159:$J$159,BE$111,SET!$R22:$U22)+SUMIF(SET!$G$159:$J$159,BE$111,SET!$W22:$Z22)</f>
        <v>0</v>
      </c>
      <c r="BF372" s="446">
        <f>SUMIF(SET!$G$159:$J$159,BF$111,SET!$R22:$U22)+SUMIF(SET!$G$159:$J$159,BF$111,SET!$W22:$Z22)</f>
        <v>0</v>
      </c>
      <c r="BG372" s="448">
        <f>SUMIF(SET!$G$159:$J$159,BG$111,SET!$R22:$U22)+SUMIF(SET!$G$159:$J$159,BG$111,SET!$W22:$Z22)</f>
        <v>0</v>
      </c>
      <c r="BH372" s="571"/>
      <c r="BI372" s="448"/>
      <c r="BJ372" s="470"/>
      <c r="BK372" s="445">
        <f>SUMIF(SET!$G$157:$J$157,BK$111,SET!$R22:$U22)+SUMIF(SET!$G$157:$J$157,BK$111,SET!$W22:$Z22)</f>
        <v>0</v>
      </c>
      <c r="BL372" s="446">
        <f>SUMIF(SET!$G$157:$J$157,BL$111,SET!$R22:$U22)+SUMIF(SET!$G$157:$J$157,BL$111,SET!$W22:$Z22)</f>
        <v>0</v>
      </c>
      <c r="BM372" s="446">
        <f>SUMIF(SET!$G$157:$J$157,BM$111,SET!$R22:$U22)+SUMIF(SET!$G$157:$J$157,BM$111,SET!$W22:$Z22)</f>
        <v>0</v>
      </c>
      <c r="BN372" s="446">
        <f>SUMIF(SET!$G$157:$J$157,BN$111,SET!$R22:$U22)+SUMIF(SET!$G$157:$J$157,BN$111,SET!$W22:$Z22)</f>
        <v>0</v>
      </c>
      <c r="BO372" s="446">
        <f>SUMIF(SET!$G$157:$J$157,BO$111,SET!$R22:$U22)+SUMIF(SET!$G$157:$J$157,BO$111,SET!$W22:$Z22)</f>
        <v>0</v>
      </c>
      <c r="BP372" s="446">
        <f>SUMIF(SET!$G$157:$J$157,BP$111,SET!$R22:$U22)+SUMIF(SET!$G$157:$J$157,BP$111,SET!$W22:$Z22)</f>
        <v>0</v>
      </c>
      <c r="BQ372" s="448">
        <f>SUMIF(SET!$G$157:$J$157,BQ$111,SET!$R22:$U22)+SUMIF(SET!$G$157:$J$157,BQ$111,SET!$W22:$Z22)</f>
        <v>0</v>
      </c>
      <c r="BR372" s="571"/>
      <c r="BS372" s="446"/>
      <c r="BT372" s="448"/>
      <c r="BU372" s="470"/>
      <c r="BV372" s="445">
        <f>SUMIF(SET!$G$158:$J$158,BV$111,SET!$R22:$U22)+SUMIF(SET!$G$158:$J$158,BV$111,SET!$W22:$Z22)</f>
        <v>0</v>
      </c>
      <c r="BW372" s="446">
        <f>SUMIF(SET!$G$158:$J$158,BW$111,SET!$R22:$U22)+SUMIF(SET!$G$158:$J$158,BW$111,SET!$W22:$Z22)</f>
        <v>0</v>
      </c>
      <c r="BX372" s="446">
        <f>SUMIF(SET!$G$158:$J$158,BX$111,SET!$R22:$U22)+SUMIF(SET!$G$158:$J$158,BX$111,SET!$W22:$Z22)</f>
        <v>0</v>
      </c>
      <c r="BY372" s="446">
        <f>SUMIF(SET!$G$158:$J$158,BY$111,SET!$R22:$U22)+SUMIF(SET!$G$158:$J$158,BY$111,SET!$W22:$Z22)</f>
        <v>0</v>
      </c>
      <c r="BZ372" s="446">
        <f>SUMIF(SET!$G$158:$J$158,BZ$111,SET!$R22:$U22)+SUMIF(SET!$G$158:$J$158,BZ$111,SET!$W22:$Z22)</f>
        <v>0</v>
      </c>
      <c r="CA372" s="446">
        <f>SUMIF(SET!$G$158:$J$158,CA$111,SET!$R22:$U22)+SUMIF(SET!$G$158:$J$158,CA$111,SET!$W22:$Z22)</f>
        <v>0</v>
      </c>
      <c r="CB372" s="448">
        <f>SUMIF(SET!$G$158:$J$158,CB$111,SET!$R22:$U22)+SUMIF(SET!$G$158:$J$158,CB$111,SET!$W22:$Z22)</f>
        <v>0</v>
      </c>
      <c r="CC372" s="571"/>
      <c r="CD372" s="448"/>
      <c r="CE372" s="92">
        <f t="shared" si="297"/>
        <v>0</v>
      </c>
      <c r="CF372" s="92">
        <f t="shared" si="298"/>
        <v>0</v>
      </c>
      <c r="CG372" s="151" t="str">
        <f t="shared" si="284"/>
        <v/>
      </c>
      <c r="CH372" s="92">
        <f t="shared" si="287"/>
        <v>0</v>
      </c>
      <c r="CI372" s="92" t="str">
        <f t="shared" si="299"/>
        <v/>
      </c>
      <c r="CJ372" s="1100">
        <f>SET!AM22</f>
        <v>0</v>
      </c>
      <c r="CK372" s="445">
        <f>SUMIF(SET!$G$155:$J$155,CK$112,SET!$AN22:$AQ22)</f>
        <v>0</v>
      </c>
      <c r="CL372" s="446">
        <f>SUMIF(SET!$G$155:$J$155,CL$112,SET!$AN22:$AQ22)</f>
        <v>0</v>
      </c>
      <c r="CM372" s="447">
        <f>SUMIF(SET!$G$155:$J$155,CM$112,SET!$AN22:$AQ22)</f>
        <v>0</v>
      </c>
      <c r="CN372" s="448">
        <f>SUMIF(SET!$G$155:$J$155,CN$112,SET!$AN22:$AQ22)</f>
        <v>0</v>
      </c>
      <c r="CO372" s="1100">
        <f>SET!AS22</f>
        <v>0</v>
      </c>
      <c r="CP372" s="445">
        <f>SET!AT22</f>
        <v>0</v>
      </c>
      <c r="CQ372" s="446">
        <f>SET!AU22</f>
        <v>0</v>
      </c>
      <c r="CR372" s="447">
        <f>SET!AV22</f>
        <v>0</v>
      </c>
      <c r="CS372" s="448">
        <f>SET!AW22</f>
        <v>0</v>
      </c>
      <c r="CT372" s="1100">
        <f>SET!AY22</f>
        <v>0</v>
      </c>
      <c r="CU372" s="2"/>
    </row>
    <row r="373" spans="1:99" ht="14.25" hidden="1" customHeight="1" x14ac:dyDescent="0.2">
      <c r="A373" s="2"/>
      <c r="B373" s="151">
        <f t="shared" si="288"/>
        <v>45551</v>
      </c>
      <c r="C373" s="223">
        <f>IF(AND(E373&gt;(N$493-1),E373&lt;(R$493+1)),W$485,IF(ISERROR(HLOOKUP(E373,$N$486:$U$486,1,FALSE)),HLOOKUP(WEEKDAY(E373,2),IMPOSTAZIONI!$C$51:$P$56,6,FALSE),$W$484))</f>
        <v>0</v>
      </c>
      <c r="D373" s="103" t="str">
        <f t="shared" si="289"/>
        <v/>
      </c>
      <c r="E373" s="2380">
        <f t="shared" si="300"/>
        <v>45551</v>
      </c>
      <c r="F373" s="2381"/>
      <c r="G373" s="2325" t="str">
        <f>SET!E23</f>
        <v xml:space="preserve">attiva trim.  </v>
      </c>
      <c r="H373" s="2326"/>
      <c r="I373" s="2327"/>
      <c r="J373" s="479" t="str">
        <f t="shared" si="285"/>
        <v/>
      </c>
      <c r="K373" s="480"/>
      <c r="L373" s="2323">
        <f t="shared" si="283"/>
        <v>38</v>
      </c>
      <c r="M373" s="2324"/>
      <c r="N373" s="478"/>
      <c r="O373" s="478"/>
      <c r="P373" s="478"/>
      <c r="Q373" s="2315">
        <f t="shared" si="290"/>
        <v>45551</v>
      </c>
      <c r="R373" s="2315"/>
      <c r="S373" s="478"/>
      <c r="T373" s="140">
        <f t="shared" si="291"/>
        <v>1</v>
      </c>
      <c r="U373" s="478"/>
      <c r="V373" s="478"/>
      <c r="W373" s="478"/>
      <c r="X373" s="478"/>
      <c r="Y373" s="478"/>
      <c r="Z373" s="478"/>
      <c r="AA373" s="478"/>
      <c r="AB373" s="478"/>
      <c r="AC373" s="478"/>
      <c r="AD373" s="478"/>
      <c r="AE373" s="478"/>
      <c r="AF373" s="478"/>
      <c r="AG373" s="140">
        <f t="shared" si="292"/>
        <v>0</v>
      </c>
      <c r="AH373" s="92" t="str">
        <f t="shared" si="293"/>
        <v/>
      </c>
      <c r="AI373" s="131">
        <f t="shared" si="294"/>
        <v>0</v>
      </c>
      <c r="AJ373" s="2"/>
      <c r="AK373" s="92">
        <f>IF(G373=G$481,0,IF(OR(G373&lt;&gt;0,CJ373&lt;&gt;0,C373="L"),COUNTIF(AK$114:AK372,"&gt;0")+1,0))</f>
        <v>0</v>
      </c>
      <c r="AL373" s="92" t="str">
        <f t="shared" si="295"/>
        <v/>
      </c>
      <c r="AM373" s="92" t="str">
        <f t="shared" si="296"/>
        <v/>
      </c>
      <c r="AN373" s="131">
        <f t="shared" si="286"/>
        <v>0</v>
      </c>
      <c r="AO373" s="447">
        <f>SUM(SET!W23:Z23)</f>
        <v>0</v>
      </c>
      <c r="AP373" s="445">
        <f>SUMIF(SET!$G$155:$J$155,AP$112,SET!$R23:$U23)</f>
        <v>0</v>
      </c>
      <c r="AQ373" s="446">
        <f>SUMIF(SET!$G$155:$J$155,AQ$112,SET!$R23:$U23)</f>
        <v>0</v>
      </c>
      <c r="AR373" s="447">
        <f>SUMIF(SET!$G$155:$J$155,AR$112,SET!$R23:$U23)</f>
        <v>0</v>
      </c>
      <c r="AS373" s="448">
        <f>SUMIF(SET!$G$155:$J$155,AS$112,SET!$R23:$U23)</f>
        <v>0</v>
      </c>
      <c r="AT373" s="449">
        <f>SET!AG23</f>
        <v>0</v>
      </c>
      <c r="AU373" s="445">
        <f>SET!AH23</f>
        <v>0</v>
      </c>
      <c r="AV373" s="446">
        <f>SET!AI23</f>
        <v>0</v>
      </c>
      <c r="AW373" s="447">
        <f>SET!AJ23</f>
        <v>0</v>
      </c>
      <c r="AX373" s="448">
        <f>SET!AK23</f>
        <v>0</v>
      </c>
      <c r="AY373" s="445">
        <f>SUMIF(SET!$G$152:$J$152,"&gt;0",SET!$W23:$Z23)</f>
        <v>0</v>
      </c>
      <c r="AZ373" s="1063">
        <f>SUM(SET!AB23:AE23)</f>
        <v>0</v>
      </c>
      <c r="BA373" s="445">
        <f>SUMIF(SET!$G$159:$J$159,BA$111,SET!$R23:$U23)+SUMIF(SET!$G$159:$J$159,BA$111,SET!$W23:$Z23)</f>
        <v>0</v>
      </c>
      <c r="BB373" s="446">
        <f>SUMIF(SET!$G$159:$J$159,BB$111,SET!$R23:$U23)+SUMIF(SET!$G$159:$J$159,BB$111,SET!$W23:$Z23)</f>
        <v>0</v>
      </c>
      <c r="BC373" s="446">
        <f>SUMIF(SET!$G$159:$J$159,BC$111,SET!$R23:$U23)+SUMIF(SET!$G$159:$J$159,BC$111,SET!$W23:$Z23)</f>
        <v>0</v>
      </c>
      <c r="BD373" s="446">
        <f>SUMIF(SET!$G$159:$J$159,BD$111,SET!$R23:$U23)+SUMIF(SET!$G$159:$J$159,BD$111,SET!$W23:$Z23)</f>
        <v>0</v>
      </c>
      <c r="BE373" s="446">
        <f>SUMIF(SET!$G$159:$J$159,BE$111,SET!$R23:$U23)+SUMIF(SET!$G$159:$J$159,BE$111,SET!$W23:$Z23)</f>
        <v>0</v>
      </c>
      <c r="BF373" s="446">
        <f>SUMIF(SET!$G$159:$J$159,BF$111,SET!$R23:$U23)+SUMIF(SET!$G$159:$J$159,BF$111,SET!$W23:$Z23)</f>
        <v>0</v>
      </c>
      <c r="BG373" s="448">
        <f>SUMIF(SET!$G$159:$J$159,BG$111,SET!$R23:$U23)+SUMIF(SET!$G$159:$J$159,BG$111,SET!$W23:$Z23)</f>
        <v>0</v>
      </c>
      <c r="BH373" s="571"/>
      <c r="BI373" s="448"/>
      <c r="BJ373" s="470"/>
      <c r="BK373" s="445">
        <f>SUMIF(SET!$G$157:$J$157,BK$111,SET!$R23:$U23)+SUMIF(SET!$G$157:$J$157,BK$111,SET!$W23:$Z23)</f>
        <v>0</v>
      </c>
      <c r="BL373" s="446">
        <f>SUMIF(SET!$G$157:$J$157,BL$111,SET!$R23:$U23)+SUMIF(SET!$G$157:$J$157,BL$111,SET!$W23:$Z23)</f>
        <v>0</v>
      </c>
      <c r="BM373" s="446">
        <f>SUMIF(SET!$G$157:$J$157,BM$111,SET!$R23:$U23)+SUMIF(SET!$G$157:$J$157,BM$111,SET!$W23:$Z23)</f>
        <v>0</v>
      </c>
      <c r="BN373" s="446">
        <f>SUMIF(SET!$G$157:$J$157,BN$111,SET!$R23:$U23)+SUMIF(SET!$G$157:$J$157,BN$111,SET!$W23:$Z23)</f>
        <v>0</v>
      </c>
      <c r="BO373" s="446">
        <f>SUMIF(SET!$G$157:$J$157,BO$111,SET!$R23:$U23)+SUMIF(SET!$G$157:$J$157,BO$111,SET!$W23:$Z23)</f>
        <v>0</v>
      </c>
      <c r="BP373" s="446">
        <f>SUMIF(SET!$G$157:$J$157,BP$111,SET!$R23:$U23)+SUMIF(SET!$G$157:$J$157,BP$111,SET!$W23:$Z23)</f>
        <v>0</v>
      </c>
      <c r="BQ373" s="448">
        <f>SUMIF(SET!$G$157:$J$157,BQ$111,SET!$R23:$U23)+SUMIF(SET!$G$157:$J$157,BQ$111,SET!$W23:$Z23)</f>
        <v>0</v>
      </c>
      <c r="BR373" s="571"/>
      <c r="BS373" s="446"/>
      <c r="BT373" s="448"/>
      <c r="BU373" s="470"/>
      <c r="BV373" s="445">
        <f>SUMIF(SET!$G$158:$J$158,BV$111,SET!$R23:$U23)+SUMIF(SET!$G$158:$J$158,BV$111,SET!$W23:$Z23)</f>
        <v>0</v>
      </c>
      <c r="BW373" s="446">
        <f>SUMIF(SET!$G$158:$J$158,BW$111,SET!$R23:$U23)+SUMIF(SET!$G$158:$J$158,BW$111,SET!$W23:$Z23)</f>
        <v>0</v>
      </c>
      <c r="BX373" s="446">
        <f>SUMIF(SET!$G$158:$J$158,BX$111,SET!$R23:$U23)+SUMIF(SET!$G$158:$J$158,BX$111,SET!$W23:$Z23)</f>
        <v>0</v>
      </c>
      <c r="BY373" s="446">
        <f>SUMIF(SET!$G$158:$J$158,BY$111,SET!$R23:$U23)+SUMIF(SET!$G$158:$J$158,BY$111,SET!$W23:$Z23)</f>
        <v>0</v>
      </c>
      <c r="BZ373" s="446">
        <f>SUMIF(SET!$G$158:$J$158,BZ$111,SET!$R23:$U23)+SUMIF(SET!$G$158:$J$158,BZ$111,SET!$W23:$Z23)</f>
        <v>0</v>
      </c>
      <c r="CA373" s="446">
        <f>SUMIF(SET!$G$158:$J$158,CA$111,SET!$R23:$U23)+SUMIF(SET!$G$158:$J$158,CA$111,SET!$W23:$Z23)</f>
        <v>0</v>
      </c>
      <c r="CB373" s="448">
        <f>SUMIF(SET!$G$158:$J$158,CB$111,SET!$R23:$U23)+SUMIF(SET!$G$158:$J$158,CB$111,SET!$W23:$Z23)</f>
        <v>0</v>
      </c>
      <c r="CC373" s="571"/>
      <c r="CD373" s="448"/>
      <c r="CE373" s="92">
        <f t="shared" si="297"/>
        <v>0</v>
      </c>
      <c r="CF373" s="92">
        <f t="shared" si="298"/>
        <v>0</v>
      </c>
      <c r="CG373" s="151" t="str">
        <f t="shared" si="284"/>
        <v/>
      </c>
      <c r="CH373" s="92">
        <f t="shared" si="287"/>
        <v>0</v>
      </c>
      <c r="CI373" s="92" t="str">
        <f t="shared" si="299"/>
        <v/>
      </c>
      <c r="CJ373" s="1100">
        <f>SET!AM23</f>
        <v>0</v>
      </c>
      <c r="CK373" s="445">
        <f>SUMIF(SET!$G$155:$J$155,CK$112,SET!$AN23:$AQ23)</f>
        <v>0</v>
      </c>
      <c r="CL373" s="446">
        <f>SUMIF(SET!$G$155:$J$155,CL$112,SET!$AN23:$AQ23)</f>
        <v>0</v>
      </c>
      <c r="CM373" s="447">
        <f>SUMIF(SET!$G$155:$J$155,CM$112,SET!$AN23:$AQ23)</f>
        <v>0</v>
      </c>
      <c r="CN373" s="448">
        <f>SUMIF(SET!$G$155:$J$155,CN$112,SET!$AN23:$AQ23)</f>
        <v>0</v>
      </c>
      <c r="CO373" s="1100">
        <f>SET!AS23</f>
        <v>0</v>
      </c>
      <c r="CP373" s="445">
        <f>SET!AT23</f>
        <v>0</v>
      </c>
      <c r="CQ373" s="446">
        <f>SET!AU23</f>
        <v>0</v>
      </c>
      <c r="CR373" s="447">
        <f>SET!AV23</f>
        <v>0</v>
      </c>
      <c r="CS373" s="448">
        <f>SET!AW23</f>
        <v>0</v>
      </c>
      <c r="CT373" s="1100">
        <f>SET!AY23</f>
        <v>0</v>
      </c>
      <c r="CU373" s="2"/>
    </row>
    <row r="374" spans="1:99" ht="14.25" hidden="1" customHeight="1" x14ac:dyDescent="0.2">
      <c r="A374" s="2"/>
      <c r="B374" s="151">
        <f t="shared" si="288"/>
        <v>45552</v>
      </c>
      <c r="C374" s="223">
        <f>IF(AND(E374&gt;(N$493-1),E374&lt;(R$493+1)),W$485,IF(ISERROR(HLOOKUP(E374,$N$486:$U$486,1,FALSE)),HLOOKUP(WEEKDAY(E374,2),IMPOSTAZIONI!$C$51:$P$56,6,FALSE),$W$484))</f>
        <v>0</v>
      </c>
      <c r="D374" s="103" t="str">
        <f t="shared" si="289"/>
        <v/>
      </c>
      <c r="E374" s="2380">
        <f t="shared" si="300"/>
        <v>45552</v>
      </c>
      <c r="F374" s="2381"/>
      <c r="G374" s="2325" t="str">
        <f>SET!E24</f>
        <v xml:space="preserve">attiva trim.  </v>
      </c>
      <c r="H374" s="2326"/>
      <c r="I374" s="2327"/>
      <c r="J374" s="479" t="str">
        <f t="shared" si="285"/>
        <v/>
      </c>
      <c r="K374" s="480"/>
      <c r="L374" s="2319">
        <f t="shared" si="283"/>
        <v>38</v>
      </c>
      <c r="M374" s="2320"/>
      <c r="N374" s="478"/>
      <c r="O374" s="478"/>
      <c r="P374" s="478"/>
      <c r="Q374" s="2315">
        <f t="shared" si="290"/>
        <v>45552</v>
      </c>
      <c r="R374" s="2315"/>
      <c r="S374" s="478"/>
      <c r="T374" s="140">
        <f t="shared" si="291"/>
        <v>1</v>
      </c>
      <c r="U374" s="478"/>
      <c r="V374" s="478"/>
      <c r="W374" s="478"/>
      <c r="X374" s="478"/>
      <c r="Y374" s="478"/>
      <c r="Z374" s="478"/>
      <c r="AA374" s="478"/>
      <c r="AB374" s="478"/>
      <c r="AC374" s="478"/>
      <c r="AD374" s="478"/>
      <c r="AE374" s="478"/>
      <c r="AF374" s="478"/>
      <c r="AG374" s="140">
        <f t="shared" si="292"/>
        <v>0</v>
      </c>
      <c r="AH374" s="92" t="str">
        <f t="shared" si="293"/>
        <v/>
      </c>
      <c r="AI374" s="131">
        <f t="shared" si="294"/>
        <v>0</v>
      </c>
      <c r="AJ374" s="2"/>
      <c r="AK374" s="92">
        <f>IF(G374=G$481,0,IF(OR(G374&lt;&gt;0,CJ374&lt;&gt;0,C374="L"),COUNTIF(AK$114:AK373,"&gt;0")+1,0))</f>
        <v>0</v>
      </c>
      <c r="AL374" s="92" t="str">
        <f t="shared" si="295"/>
        <v/>
      </c>
      <c r="AM374" s="92" t="str">
        <f t="shared" si="296"/>
        <v/>
      </c>
      <c r="AN374" s="131">
        <f t="shared" si="286"/>
        <v>0</v>
      </c>
      <c r="AO374" s="447">
        <f>SUM(SET!W24:Z24)</f>
        <v>0</v>
      </c>
      <c r="AP374" s="445">
        <f>SUMIF(SET!$G$155:$J$155,AP$112,SET!$R24:$U24)</f>
        <v>0</v>
      </c>
      <c r="AQ374" s="446">
        <f>SUMIF(SET!$G$155:$J$155,AQ$112,SET!$R24:$U24)</f>
        <v>0</v>
      </c>
      <c r="AR374" s="447">
        <f>SUMIF(SET!$G$155:$J$155,AR$112,SET!$R24:$U24)</f>
        <v>0</v>
      </c>
      <c r="AS374" s="448">
        <f>SUMIF(SET!$G$155:$J$155,AS$112,SET!$R24:$U24)</f>
        <v>0</v>
      </c>
      <c r="AT374" s="449">
        <f>SET!AG24</f>
        <v>0</v>
      </c>
      <c r="AU374" s="445">
        <f>SET!AH24</f>
        <v>0</v>
      </c>
      <c r="AV374" s="446">
        <f>SET!AI24</f>
        <v>0</v>
      </c>
      <c r="AW374" s="447">
        <f>SET!AJ24</f>
        <v>0</v>
      </c>
      <c r="AX374" s="448">
        <f>SET!AK24</f>
        <v>0</v>
      </c>
      <c r="AY374" s="445">
        <f>SUMIF(SET!$G$152:$J$152,"&gt;0",SET!$W24:$Z24)</f>
        <v>0</v>
      </c>
      <c r="AZ374" s="1063">
        <f>SUM(SET!AB24:AE24)</f>
        <v>0</v>
      </c>
      <c r="BA374" s="445">
        <f>SUMIF(SET!$G$159:$J$159,BA$111,SET!$R24:$U24)+SUMIF(SET!$G$159:$J$159,BA$111,SET!$W24:$Z24)</f>
        <v>0</v>
      </c>
      <c r="BB374" s="446">
        <f>SUMIF(SET!$G$159:$J$159,BB$111,SET!$R24:$U24)+SUMIF(SET!$G$159:$J$159,BB$111,SET!$W24:$Z24)</f>
        <v>0</v>
      </c>
      <c r="BC374" s="446">
        <f>SUMIF(SET!$G$159:$J$159,BC$111,SET!$R24:$U24)+SUMIF(SET!$G$159:$J$159,BC$111,SET!$W24:$Z24)</f>
        <v>0</v>
      </c>
      <c r="BD374" s="446">
        <f>SUMIF(SET!$G$159:$J$159,BD$111,SET!$R24:$U24)+SUMIF(SET!$G$159:$J$159,BD$111,SET!$W24:$Z24)</f>
        <v>0</v>
      </c>
      <c r="BE374" s="446">
        <f>SUMIF(SET!$G$159:$J$159,BE$111,SET!$R24:$U24)+SUMIF(SET!$G$159:$J$159,BE$111,SET!$W24:$Z24)</f>
        <v>0</v>
      </c>
      <c r="BF374" s="446">
        <f>SUMIF(SET!$G$159:$J$159,BF$111,SET!$R24:$U24)+SUMIF(SET!$G$159:$J$159,BF$111,SET!$W24:$Z24)</f>
        <v>0</v>
      </c>
      <c r="BG374" s="448">
        <f>SUMIF(SET!$G$159:$J$159,BG$111,SET!$R24:$U24)+SUMIF(SET!$G$159:$J$159,BG$111,SET!$W24:$Z24)</f>
        <v>0</v>
      </c>
      <c r="BH374" s="571"/>
      <c r="BI374" s="448"/>
      <c r="BJ374" s="470"/>
      <c r="BK374" s="445">
        <f>SUMIF(SET!$G$157:$J$157,BK$111,SET!$R24:$U24)+SUMIF(SET!$G$157:$J$157,BK$111,SET!$W24:$Z24)</f>
        <v>0</v>
      </c>
      <c r="BL374" s="446">
        <f>SUMIF(SET!$G$157:$J$157,BL$111,SET!$R24:$U24)+SUMIF(SET!$G$157:$J$157,BL$111,SET!$W24:$Z24)</f>
        <v>0</v>
      </c>
      <c r="BM374" s="446">
        <f>SUMIF(SET!$G$157:$J$157,BM$111,SET!$R24:$U24)+SUMIF(SET!$G$157:$J$157,BM$111,SET!$W24:$Z24)</f>
        <v>0</v>
      </c>
      <c r="BN374" s="446">
        <f>SUMIF(SET!$G$157:$J$157,BN$111,SET!$R24:$U24)+SUMIF(SET!$G$157:$J$157,BN$111,SET!$W24:$Z24)</f>
        <v>0</v>
      </c>
      <c r="BO374" s="446">
        <f>SUMIF(SET!$G$157:$J$157,BO$111,SET!$R24:$U24)+SUMIF(SET!$G$157:$J$157,BO$111,SET!$W24:$Z24)</f>
        <v>0</v>
      </c>
      <c r="BP374" s="446">
        <f>SUMIF(SET!$G$157:$J$157,BP$111,SET!$R24:$U24)+SUMIF(SET!$G$157:$J$157,BP$111,SET!$W24:$Z24)</f>
        <v>0</v>
      </c>
      <c r="BQ374" s="448">
        <f>SUMIF(SET!$G$157:$J$157,BQ$111,SET!$R24:$U24)+SUMIF(SET!$G$157:$J$157,BQ$111,SET!$W24:$Z24)</f>
        <v>0</v>
      </c>
      <c r="BR374" s="571"/>
      <c r="BS374" s="446"/>
      <c r="BT374" s="448"/>
      <c r="BU374" s="470"/>
      <c r="BV374" s="445">
        <f>SUMIF(SET!$G$158:$J$158,BV$111,SET!$R24:$U24)+SUMIF(SET!$G$158:$J$158,BV$111,SET!$W24:$Z24)</f>
        <v>0</v>
      </c>
      <c r="BW374" s="446">
        <f>SUMIF(SET!$G$158:$J$158,BW$111,SET!$R24:$U24)+SUMIF(SET!$G$158:$J$158,BW$111,SET!$W24:$Z24)</f>
        <v>0</v>
      </c>
      <c r="BX374" s="446">
        <f>SUMIF(SET!$G$158:$J$158,BX$111,SET!$R24:$U24)+SUMIF(SET!$G$158:$J$158,BX$111,SET!$W24:$Z24)</f>
        <v>0</v>
      </c>
      <c r="BY374" s="446">
        <f>SUMIF(SET!$G$158:$J$158,BY$111,SET!$R24:$U24)+SUMIF(SET!$G$158:$J$158,BY$111,SET!$W24:$Z24)</f>
        <v>0</v>
      </c>
      <c r="BZ374" s="446">
        <f>SUMIF(SET!$G$158:$J$158,BZ$111,SET!$R24:$U24)+SUMIF(SET!$G$158:$J$158,BZ$111,SET!$W24:$Z24)</f>
        <v>0</v>
      </c>
      <c r="CA374" s="446">
        <f>SUMIF(SET!$G$158:$J$158,CA$111,SET!$R24:$U24)+SUMIF(SET!$G$158:$J$158,CA$111,SET!$W24:$Z24)</f>
        <v>0</v>
      </c>
      <c r="CB374" s="448">
        <f>SUMIF(SET!$G$158:$J$158,CB$111,SET!$R24:$U24)+SUMIF(SET!$G$158:$J$158,CB$111,SET!$W24:$Z24)</f>
        <v>0</v>
      </c>
      <c r="CC374" s="571"/>
      <c r="CD374" s="448"/>
      <c r="CE374" s="92">
        <f t="shared" si="297"/>
        <v>0</v>
      </c>
      <c r="CF374" s="92">
        <f t="shared" si="298"/>
        <v>0</v>
      </c>
      <c r="CG374" s="151" t="str">
        <f t="shared" si="284"/>
        <v/>
      </c>
      <c r="CH374" s="92">
        <f t="shared" si="287"/>
        <v>0</v>
      </c>
      <c r="CI374" s="92" t="str">
        <f t="shared" si="299"/>
        <v/>
      </c>
      <c r="CJ374" s="1100">
        <f>SET!AM24</f>
        <v>0</v>
      </c>
      <c r="CK374" s="445">
        <f>SUMIF(SET!$G$155:$J$155,CK$112,SET!$AN24:$AQ24)</f>
        <v>0</v>
      </c>
      <c r="CL374" s="446">
        <f>SUMIF(SET!$G$155:$J$155,CL$112,SET!$AN24:$AQ24)</f>
        <v>0</v>
      </c>
      <c r="CM374" s="447">
        <f>SUMIF(SET!$G$155:$J$155,CM$112,SET!$AN24:$AQ24)</f>
        <v>0</v>
      </c>
      <c r="CN374" s="448">
        <f>SUMIF(SET!$G$155:$J$155,CN$112,SET!$AN24:$AQ24)</f>
        <v>0</v>
      </c>
      <c r="CO374" s="1100">
        <f>SET!AS24</f>
        <v>0</v>
      </c>
      <c r="CP374" s="445">
        <f>SET!AT24</f>
        <v>0</v>
      </c>
      <c r="CQ374" s="446">
        <f>SET!AU24</f>
        <v>0</v>
      </c>
      <c r="CR374" s="447">
        <f>SET!AV24</f>
        <v>0</v>
      </c>
      <c r="CS374" s="448">
        <f>SET!AW24</f>
        <v>0</v>
      </c>
      <c r="CT374" s="1100">
        <f>SET!AY24</f>
        <v>0</v>
      </c>
      <c r="CU374" s="2"/>
    </row>
    <row r="375" spans="1:99" ht="14.25" hidden="1" customHeight="1" x14ac:dyDescent="0.2">
      <c r="A375" s="2"/>
      <c r="B375" s="151">
        <f t="shared" si="288"/>
        <v>45553</v>
      </c>
      <c r="C375" s="223">
        <f>IF(AND(E375&gt;(N$493-1),E375&lt;(R$493+1)),W$485,IF(ISERROR(HLOOKUP(E375,$N$486:$U$486,1,FALSE)),HLOOKUP(WEEKDAY(E375,2),IMPOSTAZIONI!$C$51:$P$56,6,FALSE),$W$484))</f>
        <v>0</v>
      </c>
      <c r="D375" s="103" t="str">
        <f t="shared" si="289"/>
        <v/>
      </c>
      <c r="E375" s="2380">
        <f t="shared" si="300"/>
        <v>45553</v>
      </c>
      <c r="F375" s="2381"/>
      <c r="G375" s="2325" t="str">
        <f>SET!E25</f>
        <v xml:space="preserve">attiva trim.  </v>
      </c>
      <c r="H375" s="2326"/>
      <c r="I375" s="2327"/>
      <c r="J375" s="479" t="str">
        <f t="shared" si="285"/>
        <v/>
      </c>
      <c r="K375" s="480"/>
      <c r="L375" s="2319">
        <f t="shared" si="283"/>
        <v>38</v>
      </c>
      <c r="M375" s="2320"/>
      <c r="N375" s="478"/>
      <c r="O375" s="478"/>
      <c r="P375" s="478"/>
      <c r="Q375" s="2315">
        <f t="shared" si="290"/>
        <v>45553</v>
      </c>
      <c r="R375" s="2315"/>
      <c r="S375" s="478"/>
      <c r="T375" s="140">
        <f t="shared" si="291"/>
        <v>1</v>
      </c>
      <c r="U375" s="478"/>
      <c r="V375" s="478"/>
      <c r="W375" s="478"/>
      <c r="X375" s="478"/>
      <c r="Y375" s="478"/>
      <c r="Z375" s="478"/>
      <c r="AA375" s="478"/>
      <c r="AB375" s="478"/>
      <c r="AC375" s="478"/>
      <c r="AD375" s="478"/>
      <c r="AE375" s="478"/>
      <c r="AF375" s="478"/>
      <c r="AG375" s="140">
        <f t="shared" si="292"/>
        <v>0</v>
      </c>
      <c r="AH375" s="92" t="str">
        <f t="shared" si="293"/>
        <v/>
      </c>
      <c r="AI375" s="131">
        <f t="shared" si="294"/>
        <v>0</v>
      </c>
      <c r="AJ375" s="2"/>
      <c r="AK375" s="92">
        <f>IF(G375=G$481,0,IF(OR(G375&lt;&gt;0,CJ375&lt;&gt;0,C375="L"),COUNTIF(AK$114:AK374,"&gt;0")+1,0))</f>
        <v>0</v>
      </c>
      <c r="AL375" s="92" t="str">
        <f t="shared" si="295"/>
        <v/>
      </c>
      <c r="AM375" s="92" t="str">
        <f t="shared" si="296"/>
        <v/>
      </c>
      <c r="AN375" s="131">
        <f t="shared" si="286"/>
        <v>0</v>
      </c>
      <c r="AO375" s="447">
        <f>SUM(SET!W25:Z25)</f>
        <v>0</v>
      </c>
      <c r="AP375" s="445">
        <f>SUMIF(SET!$G$155:$J$155,AP$112,SET!$R25:$U25)</f>
        <v>0</v>
      </c>
      <c r="AQ375" s="446">
        <f>SUMIF(SET!$G$155:$J$155,AQ$112,SET!$R25:$U25)</f>
        <v>0</v>
      </c>
      <c r="AR375" s="447">
        <f>SUMIF(SET!$G$155:$J$155,AR$112,SET!$R25:$U25)</f>
        <v>0</v>
      </c>
      <c r="AS375" s="448">
        <f>SUMIF(SET!$G$155:$J$155,AS$112,SET!$R25:$U25)</f>
        <v>0</v>
      </c>
      <c r="AT375" s="449">
        <f>SET!AG25</f>
        <v>0</v>
      </c>
      <c r="AU375" s="445">
        <f>SET!AH25</f>
        <v>0</v>
      </c>
      <c r="AV375" s="446">
        <f>SET!AI25</f>
        <v>0</v>
      </c>
      <c r="AW375" s="447">
        <f>SET!AJ25</f>
        <v>0</v>
      </c>
      <c r="AX375" s="448">
        <f>SET!AK25</f>
        <v>0</v>
      </c>
      <c r="AY375" s="445">
        <f>SUMIF(SET!$G$152:$J$152,"&gt;0",SET!$W25:$Z25)</f>
        <v>0</v>
      </c>
      <c r="AZ375" s="1063">
        <f>SUM(SET!AB25:AE25)</f>
        <v>0</v>
      </c>
      <c r="BA375" s="445">
        <f>SUMIF(SET!$G$159:$J$159,BA$111,SET!$R25:$U25)+SUMIF(SET!$G$159:$J$159,BA$111,SET!$W25:$Z25)</f>
        <v>0</v>
      </c>
      <c r="BB375" s="446">
        <f>SUMIF(SET!$G$159:$J$159,BB$111,SET!$R25:$U25)+SUMIF(SET!$G$159:$J$159,BB$111,SET!$W25:$Z25)</f>
        <v>0</v>
      </c>
      <c r="BC375" s="446">
        <f>SUMIF(SET!$G$159:$J$159,BC$111,SET!$R25:$U25)+SUMIF(SET!$G$159:$J$159,BC$111,SET!$W25:$Z25)</f>
        <v>0</v>
      </c>
      <c r="BD375" s="446">
        <f>SUMIF(SET!$G$159:$J$159,BD$111,SET!$R25:$U25)+SUMIF(SET!$G$159:$J$159,BD$111,SET!$W25:$Z25)</f>
        <v>0</v>
      </c>
      <c r="BE375" s="446">
        <f>SUMIF(SET!$G$159:$J$159,BE$111,SET!$R25:$U25)+SUMIF(SET!$G$159:$J$159,BE$111,SET!$W25:$Z25)</f>
        <v>0</v>
      </c>
      <c r="BF375" s="446">
        <f>SUMIF(SET!$G$159:$J$159,BF$111,SET!$R25:$U25)+SUMIF(SET!$G$159:$J$159,BF$111,SET!$W25:$Z25)</f>
        <v>0</v>
      </c>
      <c r="BG375" s="448">
        <f>SUMIF(SET!$G$159:$J$159,BG$111,SET!$R25:$U25)+SUMIF(SET!$G$159:$J$159,BG$111,SET!$W25:$Z25)</f>
        <v>0</v>
      </c>
      <c r="BH375" s="571"/>
      <c r="BI375" s="448"/>
      <c r="BJ375" s="470"/>
      <c r="BK375" s="445">
        <f>SUMIF(SET!$G$157:$J$157,BK$111,SET!$R25:$U25)+SUMIF(SET!$G$157:$J$157,BK$111,SET!$W25:$Z25)</f>
        <v>0</v>
      </c>
      <c r="BL375" s="446">
        <f>SUMIF(SET!$G$157:$J$157,BL$111,SET!$R25:$U25)+SUMIF(SET!$G$157:$J$157,BL$111,SET!$W25:$Z25)</f>
        <v>0</v>
      </c>
      <c r="BM375" s="446">
        <f>SUMIF(SET!$G$157:$J$157,BM$111,SET!$R25:$U25)+SUMIF(SET!$G$157:$J$157,BM$111,SET!$W25:$Z25)</f>
        <v>0</v>
      </c>
      <c r="BN375" s="446">
        <f>SUMIF(SET!$G$157:$J$157,BN$111,SET!$R25:$U25)+SUMIF(SET!$G$157:$J$157,BN$111,SET!$W25:$Z25)</f>
        <v>0</v>
      </c>
      <c r="BO375" s="446">
        <f>SUMIF(SET!$G$157:$J$157,BO$111,SET!$R25:$U25)+SUMIF(SET!$G$157:$J$157,BO$111,SET!$W25:$Z25)</f>
        <v>0</v>
      </c>
      <c r="BP375" s="446">
        <f>SUMIF(SET!$G$157:$J$157,BP$111,SET!$R25:$U25)+SUMIF(SET!$G$157:$J$157,BP$111,SET!$W25:$Z25)</f>
        <v>0</v>
      </c>
      <c r="BQ375" s="448">
        <f>SUMIF(SET!$G$157:$J$157,BQ$111,SET!$R25:$U25)+SUMIF(SET!$G$157:$J$157,BQ$111,SET!$W25:$Z25)</f>
        <v>0</v>
      </c>
      <c r="BR375" s="571"/>
      <c r="BS375" s="446"/>
      <c r="BT375" s="448"/>
      <c r="BU375" s="470"/>
      <c r="BV375" s="445">
        <f>SUMIF(SET!$G$158:$J$158,BV$111,SET!$R25:$U25)+SUMIF(SET!$G$158:$J$158,BV$111,SET!$W25:$Z25)</f>
        <v>0</v>
      </c>
      <c r="BW375" s="446">
        <f>SUMIF(SET!$G$158:$J$158,BW$111,SET!$R25:$U25)+SUMIF(SET!$G$158:$J$158,BW$111,SET!$W25:$Z25)</f>
        <v>0</v>
      </c>
      <c r="BX375" s="446">
        <f>SUMIF(SET!$G$158:$J$158,BX$111,SET!$R25:$U25)+SUMIF(SET!$G$158:$J$158,BX$111,SET!$W25:$Z25)</f>
        <v>0</v>
      </c>
      <c r="BY375" s="446">
        <f>SUMIF(SET!$G$158:$J$158,BY$111,SET!$R25:$U25)+SUMIF(SET!$G$158:$J$158,BY$111,SET!$W25:$Z25)</f>
        <v>0</v>
      </c>
      <c r="BZ375" s="446">
        <f>SUMIF(SET!$G$158:$J$158,BZ$111,SET!$R25:$U25)+SUMIF(SET!$G$158:$J$158,BZ$111,SET!$W25:$Z25)</f>
        <v>0</v>
      </c>
      <c r="CA375" s="446">
        <f>SUMIF(SET!$G$158:$J$158,CA$111,SET!$R25:$U25)+SUMIF(SET!$G$158:$J$158,CA$111,SET!$W25:$Z25)</f>
        <v>0</v>
      </c>
      <c r="CB375" s="448">
        <f>SUMIF(SET!$G$158:$J$158,CB$111,SET!$R25:$U25)+SUMIF(SET!$G$158:$J$158,CB$111,SET!$W25:$Z25)</f>
        <v>0</v>
      </c>
      <c r="CC375" s="571"/>
      <c r="CD375" s="448"/>
      <c r="CE375" s="92">
        <f t="shared" si="297"/>
        <v>0</v>
      </c>
      <c r="CF375" s="92">
        <f t="shared" si="298"/>
        <v>0</v>
      </c>
      <c r="CG375" s="151" t="str">
        <f t="shared" si="284"/>
        <v/>
      </c>
      <c r="CH375" s="92">
        <f t="shared" si="287"/>
        <v>0</v>
      </c>
      <c r="CI375" s="92" t="str">
        <f t="shared" si="299"/>
        <v/>
      </c>
      <c r="CJ375" s="1100">
        <f>SET!AM25</f>
        <v>0</v>
      </c>
      <c r="CK375" s="445">
        <f>SUMIF(SET!$G$155:$J$155,CK$112,SET!$AN25:$AQ25)</f>
        <v>0</v>
      </c>
      <c r="CL375" s="446">
        <f>SUMIF(SET!$G$155:$J$155,CL$112,SET!$AN25:$AQ25)</f>
        <v>0</v>
      </c>
      <c r="CM375" s="447">
        <f>SUMIF(SET!$G$155:$J$155,CM$112,SET!$AN25:$AQ25)</f>
        <v>0</v>
      </c>
      <c r="CN375" s="448">
        <f>SUMIF(SET!$G$155:$J$155,CN$112,SET!$AN25:$AQ25)</f>
        <v>0</v>
      </c>
      <c r="CO375" s="1100">
        <f>SET!AS25</f>
        <v>0</v>
      </c>
      <c r="CP375" s="445">
        <f>SET!AT25</f>
        <v>0</v>
      </c>
      <c r="CQ375" s="446">
        <f>SET!AU25</f>
        <v>0</v>
      </c>
      <c r="CR375" s="447">
        <f>SET!AV25</f>
        <v>0</v>
      </c>
      <c r="CS375" s="448">
        <f>SET!AW25</f>
        <v>0</v>
      </c>
      <c r="CT375" s="1100">
        <f>SET!AY25</f>
        <v>0</v>
      </c>
      <c r="CU375" s="2"/>
    </row>
    <row r="376" spans="1:99" ht="14.25" hidden="1" customHeight="1" x14ac:dyDescent="0.2">
      <c r="A376" s="2"/>
      <c r="B376" s="151">
        <f t="shared" si="288"/>
        <v>45554</v>
      </c>
      <c r="C376" s="223">
        <f>IF(AND(E376&gt;(N$493-1),E376&lt;(R$493+1)),W$485,IF(ISERROR(HLOOKUP(E376,$N$486:$U$486,1,FALSE)),HLOOKUP(WEEKDAY(E376,2),IMPOSTAZIONI!$C$51:$P$56,6,FALSE),$W$484))</f>
        <v>0</v>
      </c>
      <c r="D376" s="103" t="str">
        <f t="shared" si="289"/>
        <v/>
      </c>
      <c r="E376" s="2380">
        <f t="shared" si="300"/>
        <v>45554</v>
      </c>
      <c r="F376" s="2381"/>
      <c r="G376" s="2325" t="str">
        <f>SET!E26</f>
        <v xml:space="preserve">attiva trim.  </v>
      </c>
      <c r="H376" s="2326"/>
      <c r="I376" s="2327"/>
      <c r="J376" s="479" t="str">
        <f t="shared" si="285"/>
        <v/>
      </c>
      <c r="K376" s="480"/>
      <c r="L376" s="2319">
        <f t="shared" si="283"/>
        <v>38</v>
      </c>
      <c r="M376" s="2320"/>
      <c r="N376" s="478"/>
      <c r="O376" s="478"/>
      <c r="P376" s="478"/>
      <c r="Q376" s="2315">
        <f t="shared" si="290"/>
        <v>45554</v>
      </c>
      <c r="R376" s="2315"/>
      <c r="S376" s="478"/>
      <c r="T376" s="140">
        <f t="shared" si="291"/>
        <v>1</v>
      </c>
      <c r="U376" s="478"/>
      <c r="V376" s="478"/>
      <c r="W376" s="478"/>
      <c r="X376" s="478"/>
      <c r="Y376" s="478"/>
      <c r="Z376" s="478"/>
      <c r="AA376" s="478"/>
      <c r="AB376" s="478"/>
      <c r="AC376" s="478"/>
      <c r="AD376" s="478"/>
      <c r="AE376" s="478"/>
      <c r="AF376" s="478"/>
      <c r="AG376" s="140">
        <f t="shared" si="292"/>
        <v>0</v>
      </c>
      <c r="AH376" s="92" t="str">
        <f t="shared" si="293"/>
        <v/>
      </c>
      <c r="AI376" s="131">
        <f t="shared" si="294"/>
        <v>0</v>
      </c>
      <c r="AJ376" s="2"/>
      <c r="AK376" s="92">
        <f>IF(G376=G$481,0,IF(OR(G376&lt;&gt;0,CJ376&lt;&gt;0,C376="L"),COUNTIF(AK$114:AK375,"&gt;0")+1,0))</f>
        <v>0</v>
      </c>
      <c r="AL376" s="92" t="str">
        <f t="shared" si="295"/>
        <v/>
      </c>
      <c r="AM376" s="92" t="str">
        <f t="shared" si="296"/>
        <v/>
      </c>
      <c r="AN376" s="131">
        <f t="shared" si="286"/>
        <v>0</v>
      </c>
      <c r="AO376" s="447">
        <f>SUM(SET!W26:Z26)</f>
        <v>0</v>
      </c>
      <c r="AP376" s="445">
        <f>SUMIF(SET!$G$155:$J$155,AP$112,SET!$R26:$U26)</f>
        <v>0</v>
      </c>
      <c r="AQ376" s="446">
        <f>SUMIF(SET!$G$155:$J$155,AQ$112,SET!$R26:$U26)</f>
        <v>0</v>
      </c>
      <c r="AR376" s="447">
        <f>SUMIF(SET!$G$155:$J$155,AR$112,SET!$R26:$U26)</f>
        <v>0</v>
      </c>
      <c r="AS376" s="448">
        <f>SUMIF(SET!$G$155:$J$155,AS$112,SET!$R26:$U26)</f>
        <v>0</v>
      </c>
      <c r="AT376" s="449">
        <f>SET!AG26</f>
        <v>0</v>
      </c>
      <c r="AU376" s="445">
        <f>SET!AH26</f>
        <v>0</v>
      </c>
      <c r="AV376" s="446">
        <f>SET!AI26</f>
        <v>0</v>
      </c>
      <c r="AW376" s="447">
        <f>SET!AJ26</f>
        <v>0</v>
      </c>
      <c r="AX376" s="448">
        <f>SET!AK26</f>
        <v>0</v>
      </c>
      <c r="AY376" s="445">
        <f>SUMIF(SET!$G$152:$J$152,"&gt;0",SET!$W26:$Z26)</f>
        <v>0</v>
      </c>
      <c r="AZ376" s="1063">
        <f>SUM(SET!AB26:AE26)</f>
        <v>0</v>
      </c>
      <c r="BA376" s="445">
        <f>SUMIF(SET!$G$159:$J$159,BA$111,SET!$R26:$U26)+SUMIF(SET!$G$159:$J$159,BA$111,SET!$W26:$Z26)</f>
        <v>0</v>
      </c>
      <c r="BB376" s="446">
        <f>SUMIF(SET!$G$159:$J$159,BB$111,SET!$R26:$U26)+SUMIF(SET!$G$159:$J$159,BB$111,SET!$W26:$Z26)</f>
        <v>0</v>
      </c>
      <c r="BC376" s="446">
        <f>SUMIF(SET!$G$159:$J$159,BC$111,SET!$R26:$U26)+SUMIF(SET!$G$159:$J$159,BC$111,SET!$W26:$Z26)</f>
        <v>0</v>
      </c>
      <c r="BD376" s="446">
        <f>SUMIF(SET!$G$159:$J$159,BD$111,SET!$R26:$U26)+SUMIF(SET!$G$159:$J$159,BD$111,SET!$W26:$Z26)</f>
        <v>0</v>
      </c>
      <c r="BE376" s="446">
        <f>SUMIF(SET!$G$159:$J$159,BE$111,SET!$R26:$U26)+SUMIF(SET!$G$159:$J$159,BE$111,SET!$W26:$Z26)</f>
        <v>0</v>
      </c>
      <c r="BF376" s="446">
        <f>SUMIF(SET!$G$159:$J$159,BF$111,SET!$R26:$U26)+SUMIF(SET!$G$159:$J$159,BF$111,SET!$W26:$Z26)</f>
        <v>0</v>
      </c>
      <c r="BG376" s="448">
        <f>SUMIF(SET!$G$159:$J$159,BG$111,SET!$R26:$U26)+SUMIF(SET!$G$159:$J$159,BG$111,SET!$W26:$Z26)</f>
        <v>0</v>
      </c>
      <c r="BH376" s="571"/>
      <c r="BI376" s="448"/>
      <c r="BJ376" s="470"/>
      <c r="BK376" s="445">
        <f>SUMIF(SET!$G$157:$J$157,BK$111,SET!$R26:$U26)+SUMIF(SET!$G$157:$J$157,BK$111,SET!$W26:$Z26)</f>
        <v>0</v>
      </c>
      <c r="BL376" s="446">
        <f>SUMIF(SET!$G$157:$J$157,BL$111,SET!$R26:$U26)+SUMIF(SET!$G$157:$J$157,BL$111,SET!$W26:$Z26)</f>
        <v>0</v>
      </c>
      <c r="BM376" s="446">
        <f>SUMIF(SET!$G$157:$J$157,BM$111,SET!$R26:$U26)+SUMIF(SET!$G$157:$J$157,BM$111,SET!$W26:$Z26)</f>
        <v>0</v>
      </c>
      <c r="BN376" s="446">
        <f>SUMIF(SET!$G$157:$J$157,BN$111,SET!$R26:$U26)+SUMIF(SET!$G$157:$J$157,BN$111,SET!$W26:$Z26)</f>
        <v>0</v>
      </c>
      <c r="BO376" s="446">
        <f>SUMIF(SET!$G$157:$J$157,BO$111,SET!$R26:$U26)+SUMIF(SET!$G$157:$J$157,BO$111,SET!$W26:$Z26)</f>
        <v>0</v>
      </c>
      <c r="BP376" s="446">
        <f>SUMIF(SET!$G$157:$J$157,BP$111,SET!$R26:$U26)+SUMIF(SET!$G$157:$J$157,BP$111,SET!$W26:$Z26)</f>
        <v>0</v>
      </c>
      <c r="BQ376" s="448">
        <f>SUMIF(SET!$G$157:$J$157,BQ$111,SET!$R26:$U26)+SUMIF(SET!$G$157:$J$157,BQ$111,SET!$W26:$Z26)</f>
        <v>0</v>
      </c>
      <c r="BR376" s="571"/>
      <c r="BS376" s="446"/>
      <c r="BT376" s="448"/>
      <c r="BU376" s="470"/>
      <c r="BV376" s="445">
        <f>SUMIF(SET!$G$158:$J$158,BV$111,SET!$R26:$U26)+SUMIF(SET!$G$158:$J$158,BV$111,SET!$W26:$Z26)</f>
        <v>0</v>
      </c>
      <c r="BW376" s="446">
        <f>SUMIF(SET!$G$158:$J$158,BW$111,SET!$R26:$U26)+SUMIF(SET!$G$158:$J$158,BW$111,SET!$W26:$Z26)</f>
        <v>0</v>
      </c>
      <c r="BX376" s="446">
        <f>SUMIF(SET!$G$158:$J$158,BX$111,SET!$R26:$U26)+SUMIF(SET!$G$158:$J$158,BX$111,SET!$W26:$Z26)</f>
        <v>0</v>
      </c>
      <c r="BY376" s="446">
        <f>SUMIF(SET!$G$158:$J$158,BY$111,SET!$R26:$U26)+SUMIF(SET!$G$158:$J$158,BY$111,SET!$W26:$Z26)</f>
        <v>0</v>
      </c>
      <c r="BZ376" s="446">
        <f>SUMIF(SET!$G$158:$J$158,BZ$111,SET!$R26:$U26)+SUMIF(SET!$G$158:$J$158,BZ$111,SET!$W26:$Z26)</f>
        <v>0</v>
      </c>
      <c r="CA376" s="446">
        <f>SUMIF(SET!$G$158:$J$158,CA$111,SET!$R26:$U26)+SUMIF(SET!$G$158:$J$158,CA$111,SET!$W26:$Z26)</f>
        <v>0</v>
      </c>
      <c r="CB376" s="448">
        <f>SUMIF(SET!$G$158:$J$158,CB$111,SET!$R26:$U26)+SUMIF(SET!$G$158:$J$158,CB$111,SET!$W26:$Z26)</f>
        <v>0</v>
      </c>
      <c r="CC376" s="571"/>
      <c r="CD376" s="448"/>
      <c r="CE376" s="92">
        <f t="shared" si="297"/>
        <v>0</v>
      </c>
      <c r="CF376" s="92">
        <f t="shared" si="298"/>
        <v>0</v>
      </c>
      <c r="CG376" s="151" t="str">
        <f t="shared" si="284"/>
        <v/>
      </c>
      <c r="CH376" s="92">
        <f t="shared" si="287"/>
        <v>0</v>
      </c>
      <c r="CI376" s="92" t="str">
        <f t="shared" si="299"/>
        <v/>
      </c>
      <c r="CJ376" s="1100">
        <f>SET!AM26</f>
        <v>0</v>
      </c>
      <c r="CK376" s="445">
        <f>SUMIF(SET!$G$155:$J$155,CK$112,SET!$AN26:$AQ26)</f>
        <v>0</v>
      </c>
      <c r="CL376" s="446">
        <f>SUMIF(SET!$G$155:$J$155,CL$112,SET!$AN26:$AQ26)</f>
        <v>0</v>
      </c>
      <c r="CM376" s="447">
        <f>SUMIF(SET!$G$155:$J$155,CM$112,SET!$AN26:$AQ26)</f>
        <v>0</v>
      </c>
      <c r="CN376" s="448">
        <f>SUMIF(SET!$G$155:$J$155,CN$112,SET!$AN26:$AQ26)</f>
        <v>0</v>
      </c>
      <c r="CO376" s="1100">
        <f>SET!AS26</f>
        <v>0</v>
      </c>
      <c r="CP376" s="445">
        <f>SET!AT26</f>
        <v>0</v>
      </c>
      <c r="CQ376" s="446">
        <f>SET!AU26</f>
        <v>0</v>
      </c>
      <c r="CR376" s="447">
        <f>SET!AV26</f>
        <v>0</v>
      </c>
      <c r="CS376" s="448">
        <f>SET!AW26</f>
        <v>0</v>
      </c>
      <c r="CT376" s="1100">
        <f>SET!AY26</f>
        <v>0</v>
      </c>
      <c r="CU376" s="2"/>
    </row>
    <row r="377" spans="1:99" ht="14.25" hidden="1" customHeight="1" x14ac:dyDescent="0.2">
      <c r="A377" s="2"/>
      <c r="B377" s="151">
        <f t="shared" si="288"/>
        <v>45555</v>
      </c>
      <c r="C377" s="223">
        <f>IF(AND(E377&gt;(N$493-1),E377&lt;(R$493+1)),W$485,IF(ISERROR(HLOOKUP(E377,$N$486:$U$486,1,FALSE)),HLOOKUP(WEEKDAY(E377,2),IMPOSTAZIONI!$C$51:$P$56,6,FALSE),$W$484))</f>
        <v>0</v>
      </c>
      <c r="D377" s="103" t="str">
        <f t="shared" si="289"/>
        <v/>
      </c>
      <c r="E377" s="2380">
        <f t="shared" si="300"/>
        <v>45555</v>
      </c>
      <c r="F377" s="2381"/>
      <c r="G377" s="2325" t="str">
        <f>SET!E27</f>
        <v xml:space="preserve">attiva trim.  </v>
      </c>
      <c r="H377" s="2326"/>
      <c r="I377" s="2327"/>
      <c r="J377" s="479" t="str">
        <f t="shared" si="285"/>
        <v/>
      </c>
      <c r="K377" s="480"/>
      <c r="L377" s="2319">
        <f t="shared" si="283"/>
        <v>38</v>
      </c>
      <c r="M377" s="2320"/>
      <c r="N377" s="478"/>
      <c r="O377" s="478"/>
      <c r="P377" s="478"/>
      <c r="Q377" s="2315">
        <f t="shared" si="290"/>
        <v>45555</v>
      </c>
      <c r="R377" s="2315"/>
      <c r="S377" s="478"/>
      <c r="T377" s="140">
        <f t="shared" si="291"/>
        <v>1</v>
      </c>
      <c r="U377" s="478"/>
      <c r="V377" s="478"/>
      <c r="W377" s="478"/>
      <c r="X377" s="478"/>
      <c r="Y377" s="478"/>
      <c r="Z377" s="478"/>
      <c r="AA377" s="478"/>
      <c r="AB377" s="478"/>
      <c r="AC377" s="478"/>
      <c r="AD377" s="478"/>
      <c r="AE377" s="478"/>
      <c r="AF377" s="478"/>
      <c r="AG377" s="140">
        <f t="shared" si="292"/>
        <v>0</v>
      </c>
      <c r="AH377" s="92" t="str">
        <f t="shared" si="293"/>
        <v/>
      </c>
      <c r="AI377" s="131">
        <f t="shared" si="294"/>
        <v>0</v>
      </c>
      <c r="AJ377" s="2"/>
      <c r="AK377" s="92">
        <f>IF(G377=G$481,0,IF(OR(G377&lt;&gt;0,CJ377&lt;&gt;0,C377="L"),COUNTIF(AK$114:AK376,"&gt;0")+1,0))</f>
        <v>0</v>
      </c>
      <c r="AL377" s="92" t="str">
        <f t="shared" si="295"/>
        <v/>
      </c>
      <c r="AM377" s="92" t="str">
        <f t="shared" si="296"/>
        <v/>
      </c>
      <c r="AN377" s="131">
        <f t="shared" si="286"/>
        <v>0</v>
      </c>
      <c r="AO377" s="447">
        <f>SUM(SET!W27:Z27)</f>
        <v>0</v>
      </c>
      <c r="AP377" s="445">
        <f>SUMIF(SET!$G$155:$J$155,AP$112,SET!$R27:$U27)</f>
        <v>0</v>
      </c>
      <c r="AQ377" s="446">
        <f>SUMIF(SET!$G$155:$J$155,AQ$112,SET!$R27:$U27)</f>
        <v>0</v>
      </c>
      <c r="AR377" s="447">
        <f>SUMIF(SET!$G$155:$J$155,AR$112,SET!$R27:$U27)</f>
        <v>0</v>
      </c>
      <c r="AS377" s="448">
        <f>SUMIF(SET!$G$155:$J$155,AS$112,SET!$R27:$U27)</f>
        <v>0</v>
      </c>
      <c r="AT377" s="449">
        <f>SET!AG27</f>
        <v>0</v>
      </c>
      <c r="AU377" s="445">
        <f>SET!AH27</f>
        <v>0</v>
      </c>
      <c r="AV377" s="446">
        <f>SET!AI27</f>
        <v>0</v>
      </c>
      <c r="AW377" s="447">
        <f>SET!AJ27</f>
        <v>0</v>
      </c>
      <c r="AX377" s="448">
        <f>SET!AK27</f>
        <v>0</v>
      </c>
      <c r="AY377" s="445">
        <f>SUMIF(SET!$G$152:$J$152,"&gt;0",SET!$W27:$Z27)</f>
        <v>0</v>
      </c>
      <c r="AZ377" s="1063">
        <f>SUM(SET!AB27:AE27)</f>
        <v>0</v>
      </c>
      <c r="BA377" s="445">
        <f>SUMIF(SET!$G$159:$J$159,BA$111,SET!$R27:$U27)+SUMIF(SET!$G$159:$J$159,BA$111,SET!$W27:$Z27)</f>
        <v>0</v>
      </c>
      <c r="BB377" s="446">
        <f>SUMIF(SET!$G$159:$J$159,BB$111,SET!$R27:$U27)+SUMIF(SET!$G$159:$J$159,BB$111,SET!$W27:$Z27)</f>
        <v>0</v>
      </c>
      <c r="BC377" s="446">
        <f>SUMIF(SET!$G$159:$J$159,BC$111,SET!$R27:$U27)+SUMIF(SET!$G$159:$J$159,BC$111,SET!$W27:$Z27)</f>
        <v>0</v>
      </c>
      <c r="BD377" s="446">
        <f>SUMIF(SET!$G$159:$J$159,BD$111,SET!$R27:$U27)+SUMIF(SET!$G$159:$J$159,BD$111,SET!$W27:$Z27)</f>
        <v>0</v>
      </c>
      <c r="BE377" s="446">
        <f>SUMIF(SET!$G$159:$J$159,BE$111,SET!$R27:$U27)+SUMIF(SET!$G$159:$J$159,BE$111,SET!$W27:$Z27)</f>
        <v>0</v>
      </c>
      <c r="BF377" s="446">
        <f>SUMIF(SET!$G$159:$J$159,BF$111,SET!$R27:$U27)+SUMIF(SET!$G$159:$J$159,BF$111,SET!$W27:$Z27)</f>
        <v>0</v>
      </c>
      <c r="BG377" s="448">
        <f>SUMIF(SET!$G$159:$J$159,BG$111,SET!$R27:$U27)+SUMIF(SET!$G$159:$J$159,BG$111,SET!$W27:$Z27)</f>
        <v>0</v>
      </c>
      <c r="BH377" s="571"/>
      <c r="BI377" s="448"/>
      <c r="BJ377" s="470"/>
      <c r="BK377" s="445">
        <f>SUMIF(SET!$G$157:$J$157,BK$111,SET!$R27:$U27)+SUMIF(SET!$G$157:$J$157,BK$111,SET!$W27:$Z27)</f>
        <v>0</v>
      </c>
      <c r="BL377" s="446">
        <f>SUMIF(SET!$G$157:$J$157,BL$111,SET!$R27:$U27)+SUMIF(SET!$G$157:$J$157,BL$111,SET!$W27:$Z27)</f>
        <v>0</v>
      </c>
      <c r="BM377" s="446">
        <f>SUMIF(SET!$G$157:$J$157,BM$111,SET!$R27:$U27)+SUMIF(SET!$G$157:$J$157,BM$111,SET!$W27:$Z27)</f>
        <v>0</v>
      </c>
      <c r="BN377" s="446">
        <f>SUMIF(SET!$G$157:$J$157,BN$111,SET!$R27:$U27)+SUMIF(SET!$G$157:$J$157,BN$111,SET!$W27:$Z27)</f>
        <v>0</v>
      </c>
      <c r="BO377" s="446">
        <f>SUMIF(SET!$G$157:$J$157,BO$111,SET!$R27:$U27)+SUMIF(SET!$G$157:$J$157,BO$111,SET!$W27:$Z27)</f>
        <v>0</v>
      </c>
      <c r="BP377" s="446">
        <f>SUMIF(SET!$G$157:$J$157,BP$111,SET!$R27:$U27)+SUMIF(SET!$G$157:$J$157,BP$111,SET!$W27:$Z27)</f>
        <v>0</v>
      </c>
      <c r="BQ377" s="448">
        <f>SUMIF(SET!$G$157:$J$157,BQ$111,SET!$R27:$U27)+SUMIF(SET!$G$157:$J$157,BQ$111,SET!$W27:$Z27)</f>
        <v>0</v>
      </c>
      <c r="BR377" s="571"/>
      <c r="BS377" s="446"/>
      <c r="BT377" s="448"/>
      <c r="BU377" s="470"/>
      <c r="BV377" s="445">
        <f>SUMIF(SET!$G$158:$J$158,BV$111,SET!$R27:$U27)+SUMIF(SET!$G$158:$J$158,BV$111,SET!$W27:$Z27)</f>
        <v>0</v>
      </c>
      <c r="BW377" s="446">
        <f>SUMIF(SET!$G$158:$J$158,BW$111,SET!$R27:$U27)+SUMIF(SET!$G$158:$J$158,BW$111,SET!$W27:$Z27)</f>
        <v>0</v>
      </c>
      <c r="BX377" s="446">
        <f>SUMIF(SET!$G$158:$J$158,BX$111,SET!$R27:$U27)+SUMIF(SET!$G$158:$J$158,BX$111,SET!$W27:$Z27)</f>
        <v>0</v>
      </c>
      <c r="BY377" s="446">
        <f>SUMIF(SET!$G$158:$J$158,BY$111,SET!$R27:$U27)+SUMIF(SET!$G$158:$J$158,BY$111,SET!$W27:$Z27)</f>
        <v>0</v>
      </c>
      <c r="BZ377" s="446">
        <f>SUMIF(SET!$G$158:$J$158,BZ$111,SET!$R27:$U27)+SUMIF(SET!$G$158:$J$158,BZ$111,SET!$W27:$Z27)</f>
        <v>0</v>
      </c>
      <c r="CA377" s="446">
        <f>SUMIF(SET!$G$158:$J$158,CA$111,SET!$R27:$U27)+SUMIF(SET!$G$158:$J$158,CA$111,SET!$W27:$Z27)</f>
        <v>0</v>
      </c>
      <c r="CB377" s="448">
        <f>SUMIF(SET!$G$158:$J$158,CB$111,SET!$R27:$U27)+SUMIF(SET!$G$158:$J$158,CB$111,SET!$W27:$Z27)</f>
        <v>0</v>
      </c>
      <c r="CC377" s="571"/>
      <c r="CD377" s="448"/>
      <c r="CE377" s="92">
        <f t="shared" si="297"/>
        <v>0</v>
      </c>
      <c r="CF377" s="92">
        <f t="shared" si="298"/>
        <v>0</v>
      </c>
      <c r="CG377" s="151" t="str">
        <f t="shared" si="284"/>
        <v/>
      </c>
      <c r="CH377" s="92">
        <f t="shared" si="287"/>
        <v>0</v>
      </c>
      <c r="CI377" s="92" t="str">
        <f t="shared" si="299"/>
        <v/>
      </c>
      <c r="CJ377" s="1100">
        <f>SET!AM27</f>
        <v>0</v>
      </c>
      <c r="CK377" s="445">
        <f>SUMIF(SET!$G$155:$J$155,CK$112,SET!$AN27:$AQ27)</f>
        <v>0</v>
      </c>
      <c r="CL377" s="446">
        <f>SUMIF(SET!$G$155:$J$155,CL$112,SET!$AN27:$AQ27)</f>
        <v>0</v>
      </c>
      <c r="CM377" s="447">
        <f>SUMIF(SET!$G$155:$J$155,CM$112,SET!$AN27:$AQ27)</f>
        <v>0</v>
      </c>
      <c r="CN377" s="448">
        <f>SUMIF(SET!$G$155:$J$155,CN$112,SET!$AN27:$AQ27)</f>
        <v>0</v>
      </c>
      <c r="CO377" s="1100">
        <f>SET!AS27</f>
        <v>0</v>
      </c>
      <c r="CP377" s="445">
        <f>SET!AT27</f>
        <v>0</v>
      </c>
      <c r="CQ377" s="446">
        <f>SET!AU27</f>
        <v>0</v>
      </c>
      <c r="CR377" s="447">
        <f>SET!AV27</f>
        <v>0</v>
      </c>
      <c r="CS377" s="448">
        <f>SET!AW27</f>
        <v>0</v>
      </c>
      <c r="CT377" s="1100">
        <f>SET!AY27</f>
        <v>0</v>
      </c>
      <c r="CU377" s="2"/>
    </row>
    <row r="378" spans="1:99" ht="14.25" hidden="1" customHeight="1" x14ac:dyDescent="0.2">
      <c r="A378" s="2"/>
      <c r="B378" s="151">
        <f t="shared" si="288"/>
        <v>45556</v>
      </c>
      <c r="C378" s="223">
        <f>IF(AND(E378&gt;(N$493-1),E378&lt;(R$493+1)),W$485,IF(ISERROR(HLOOKUP(E378,$N$486:$U$486,1,FALSE)),HLOOKUP(WEEKDAY(E378,2),IMPOSTAZIONI!$C$51:$P$56,6,FALSE),$W$484))</f>
        <v>0</v>
      </c>
      <c r="D378" s="103" t="str">
        <f t="shared" si="289"/>
        <v/>
      </c>
      <c r="E378" s="2380">
        <f t="shared" si="300"/>
        <v>45556</v>
      </c>
      <c r="F378" s="2381"/>
      <c r="G378" s="2325" t="str">
        <f>SET!E28</f>
        <v xml:space="preserve">attiva trim.  </v>
      </c>
      <c r="H378" s="2326"/>
      <c r="I378" s="2327"/>
      <c r="J378" s="479" t="str">
        <f t="shared" si="285"/>
        <v/>
      </c>
      <c r="K378" s="480"/>
      <c r="L378" s="2319">
        <f t="shared" si="283"/>
        <v>38</v>
      </c>
      <c r="M378" s="2320"/>
      <c r="N378" s="478"/>
      <c r="O378" s="478"/>
      <c r="P378" s="478"/>
      <c r="Q378" s="2315">
        <f t="shared" si="290"/>
        <v>45556</v>
      </c>
      <c r="R378" s="2315"/>
      <c r="S378" s="478"/>
      <c r="T378" s="140">
        <f t="shared" si="291"/>
        <v>1</v>
      </c>
      <c r="U378" s="478"/>
      <c r="V378" s="478"/>
      <c r="W378" s="478"/>
      <c r="X378" s="478"/>
      <c r="Y378" s="478"/>
      <c r="Z378" s="478"/>
      <c r="AA378" s="478"/>
      <c r="AB378" s="478"/>
      <c r="AC378" s="478"/>
      <c r="AD378" s="478"/>
      <c r="AE378" s="478"/>
      <c r="AF378" s="478"/>
      <c r="AG378" s="140">
        <f t="shared" si="292"/>
        <v>0</v>
      </c>
      <c r="AH378" s="92" t="str">
        <f t="shared" si="293"/>
        <v/>
      </c>
      <c r="AI378" s="131">
        <f t="shared" si="294"/>
        <v>0</v>
      </c>
      <c r="AJ378" s="2"/>
      <c r="AK378" s="92">
        <f>IF(G378=G$481,0,IF(OR(G378&lt;&gt;0,CJ378&lt;&gt;0,C378="L"),COUNTIF(AK$114:AK377,"&gt;0")+1,0))</f>
        <v>0</v>
      </c>
      <c r="AL378" s="92" t="str">
        <f t="shared" si="295"/>
        <v/>
      </c>
      <c r="AM378" s="92" t="str">
        <f t="shared" si="296"/>
        <v/>
      </c>
      <c r="AN378" s="131">
        <f t="shared" si="286"/>
        <v>0</v>
      </c>
      <c r="AO378" s="447">
        <f>SUM(SET!W28:Z28)</f>
        <v>0</v>
      </c>
      <c r="AP378" s="445">
        <f>SUMIF(SET!$G$155:$J$155,AP$112,SET!$R28:$U28)</f>
        <v>0</v>
      </c>
      <c r="AQ378" s="446">
        <f>SUMIF(SET!$G$155:$J$155,AQ$112,SET!$R28:$U28)</f>
        <v>0</v>
      </c>
      <c r="AR378" s="447">
        <f>SUMIF(SET!$G$155:$J$155,AR$112,SET!$R28:$U28)</f>
        <v>0</v>
      </c>
      <c r="AS378" s="448">
        <f>SUMIF(SET!$G$155:$J$155,AS$112,SET!$R28:$U28)</f>
        <v>0</v>
      </c>
      <c r="AT378" s="449">
        <f>SET!AG28</f>
        <v>0</v>
      </c>
      <c r="AU378" s="445">
        <f>SET!AH28</f>
        <v>0</v>
      </c>
      <c r="AV378" s="446">
        <f>SET!AI28</f>
        <v>0</v>
      </c>
      <c r="AW378" s="447">
        <f>SET!AJ28</f>
        <v>0</v>
      </c>
      <c r="AX378" s="448">
        <f>SET!AK28</f>
        <v>0</v>
      </c>
      <c r="AY378" s="445">
        <f>SUMIF(SET!$G$152:$J$152,"&gt;0",SET!$W28:$Z28)</f>
        <v>0</v>
      </c>
      <c r="AZ378" s="1063">
        <f>SUM(SET!AB28:AE28)</f>
        <v>0</v>
      </c>
      <c r="BA378" s="445">
        <f>SUMIF(SET!$G$159:$J$159,BA$111,SET!$R28:$U28)+SUMIF(SET!$G$159:$J$159,BA$111,SET!$W28:$Z28)</f>
        <v>0</v>
      </c>
      <c r="BB378" s="446">
        <f>SUMIF(SET!$G$159:$J$159,BB$111,SET!$R28:$U28)+SUMIF(SET!$G$159:$J$159,BB$111,SET!$W28:$Z28)</f>
        <v>0</v>
      </c>
      <c r="BC378" s="446">
        <f>SUMIF(SET!$G$159:$J$159,BC$111,SET!$R28:$U28)+SUMIF(SET!$G$159:$J$159,BC$111,SET!$W28:$Z28)</f>
        <v>0</v>
      </c>
      <c r="BD378" s="446">
        <f>SUMIF(SET!$G$159:$J$159,BD$111,SET!$R28:$U28)+SUMIF(SET!$G$159:$J$159,BD$111,SET!$W28:$Z28)</f>
        <v>0</v>
      </c>
      <c r="BE378" s="446">
        <f>SUMIF(SET!$G$159:$J$159,BE$111,SET!$R28:$U28)+SUMIF(SET!$G$159:$J$159,BE$111,SET!$W28:$Z28)</f>
        <v>0</v>
      </c>
      <c r="BF378" s="446">
        <f>SUMIF(SET!$G$159:$J$159,BF$111,SET!$R28:$U28)+SUMIF(SET!$G$159:$J$159,BF$111,SET!$W28:$Z28)</f>
        <v>0</v>
      </c>
      <c r="BG378" s="448">
        <f>SUMIF(SET!$G$159:$J$159,BG$111,SET!$R28:$U28)+SUMIF(SET!$G$159:$J$159,BG$111,SET!$W28:$Z28)</f>
        <v>0</v>
      </c>
      <c r="BH378" s="571"/>
      <c r="BI378" s="448"/>
      <c r="BJ378" s="470"/>
      <c r="BK378" s="445">
        <f>SUMIF(SET!$G$157:$J$157,BK$111,SET!$R28:$U28)+SUMIF(SET!$G$157:$J$157,BK$111,SET!$W28:$Z28)</f>
        <v>0</v>
      </c>
      <c r="BL378" s="446">
        <f>SUMIF(SET!$G$157:$J$157,BL$111,SET!$R28:$U28)+SUMIF(SET!$G$157:$J$157,BL$111,SET!$W28:$Z28)</f>
        <v>0</v>
      </c>
      <c r="BM378" s="446">
        <f>SUMIF(SET!$G$157:$J$157,BM$111,SET!$R28:$U28)+SUMIF(SET!$G$157:$J$157,BM$111,SET!$W28:$Z28)</f>
        <v>0</v>
      </c>
      <c r="BN378" s="446">
        <f>SUMIF(SET!$G$157:$J$157,BN$111,SET!$R28:$U28)+SUMIF(SET!$G$157:$J$157,BN$111,SET!$W28:$Z28)</f>
        <v>0</v>
      </c>
      <c r="BO378" s="446">
        <f>SUMIF(SET!$G$157:$J$157,BO$111,SET!$R28:$U28)+SUMIF(SET!$G$157:$J$157,BO$111,SET!$W28:$Z28)</f>
        <v>0</v>
      </c>
      <c r="BP378" s="446">
        <f>SUMIF(SET!$G$157:$J$157,BP$111,SET!$R28:$U28)+SUMIF(SET!$G$157:$J$157,BP$111,SET!$W28:$Z28)</f>
        <v>0</v>
      </c>
      <c r="BQ378" s="448">
        <f>SUMIF(SET!$G$157:$J$157,BQ$111,SET!$R28:$U28)+SUMIF(SET!$G$157:$J$157,BQ$111,SET!$W28:$Z28)</f>
        <v>0</v>
      </c>
      <c r="BR378" s="571"/>
      <c r="BS378" s="446"/>
      <c r="BT378" s="448"/>
      <c r="BU378" s="470"/>
      <c r="BV378" s="445">
        <f>SUMIF(SET!$G$158:$J$158,BV$111,SET!$R28:$U28)+SUMIF(SET!$G$158:$J$158,BV$111,SET!$W28:$Z28)</f>
        <v>0</v>
      </c>
      <c r="BW378" s="446">
        <f>SUMIF(SET!$G$158:$J$158,BW$111,SET!$R28:$U28)+SUMIF(SET!$G$158:$J$158,BW$111,SET!$W28:$Z28)</f>
        <v>0</v>
      </c>
      <c r="BX378" s="446">
        <f>SUMIF(SET!$G$158:$J$158,BX$111,SET!$R28:$U28)+SUMIF(SET!$G$158:$J$158,BX$111,SET!$W28:$Z28)</f>
        <v>0</v>
      </c>
      <c r="BY378" s="446">
        <f>SUMIF(SET!$G$158:$J$158,BY$111,SET!$R28:$U28)+SUMIF(SET!$G$158:$J$158,BY$111,SET!$W28:$Z28)</f>
        <v>0</v>
      </c>
      <c r="BZ378" s="446">
        <f>SUMIF(SET!$G$158:$J$158,BZ$111,SET!$R28:$U28)+SUMIF(SET!$G$158:$J$158,BZ$111,SET!$W28:$Z28)</f>
        <v>0</v>
      </c>
      <c r="CA378" s="446">
        <f>SUMIF(SET!$G$158:$J$158,CA$111,SET!$R28:$U28)+SUMIF(SET!$G$158:$J$158,CA$111,SET!$W28:$Z28)</f>
        <v>0</v>
      </c>
      <c r="CB378" s="448">
        <f>SUMIF(SET!$G$158:$J$158,CB$111,SET!$R28:$U28)+SUMIF(SET!$G$158:$J$158,CB$111,SET!$W28:$Z28)</f>
        <v>0</v>
      </c>
      <c r="CC378" s="571"/>
      <c r="CD378" s="448"/>
      <c r="CE378" s="92">
        <f t="shared" si="297"/>
        <v>0</v>
      </c>
      <c r="CF378" s="92">
        <f t="shared" si="298"/>
        <v>0</v>
      </c>
      <c r="CG378" s="151" t="str">
        <f t="shared" si="284"/>
        <v/>
      </c>
      <c r="CH378" s="92">
        <f t="shared" si="287"/>
        <v>0</v>
      </c>
      <c r="CI378" s="92" t="str">
        <f t="shared" si="299"/>
        <v/>
      </c>
      <c r="CJ378" s="1100">
        <f>SET!AM28</f>
        <v>0</v>
      </c>
      <c r="CK378" s="445">
        <f>SUMIF(SET!$G$155:$J$155,CK$112,SET!$AN28:$AQ28)</f>
        <v>0</v>
      </c>
      <c r="CL378" s="446">
        <f>SUMIF(SET!$G$155:$J$155,CL$112,SET!$AN28:$AQ28)</f>
        <v>0</v>
      </c>
      <c r="CM378" s="447">
        <f>SUMIF(SET!$G$155:$J$155,CM$112,SET!$AN28:$AQ28)</f>
        <v>0</v>
      </c>
      <c r="CN378" s="448">
        <f>SUMIF(SET!$G$155:$J$155,CN$112,SET!$AN28:$AQ28)</f>
        <v>0</v>
      </c>
      <c r="CO378" s="1100">
        <f>SET!AS28</f>
        <v>0</v>
      </c>
      <c r="CP378" s="445">
        <f>SET!AT28</f>
        <v>0</v>
      </c>
      <c r="CQ378" s="446">
        <f>SET!AU28</f>
        <v>0</v>
      </c>
      <c r="CR378" s="447">
        <f>SET!AV28</f>
        <v>0</v>
      </c>
      <c r="CS378" s="448">
        <f>SET!AW28</f>
        <v>0</v>
      </c>
      <c r="CT378" s="1100">
        <f>SET!AY28</f>
        <v>0</v>
      </c>
      <c r="CU378" s="2"/>
    </row>
    <row r="379" spans="1:99" ht="14.25" hidden="1" customHeight="1" x14ac:dyDescent="0.2">
      <c r="A379" s="2"/>
      <c r="B379" s="151">
        <f t="shared" si="288"/>
        <v>45557</v>
      </c>
      <c r="C379" s="223">
        <f>IF(AND(E379&gt;(N$493-1),E379&lt;(R$493+1)),W$485,IF(ISERROR(HLOOKUP(E379,$N$486:$U$486,1,FALSE)),HLOOKUP(WEEKDAY(E379,2),IMPOSTAZIONI!$C$51:$P$56,6,FALSE),$W$484))</f>
        <v>0</v>
      </c>
      <c r="D379" s="103" t="str">
        <f t="shared" si="289"/>
        <v/>
      </c>
      <c r="E379" s="2380">
        <f t="shared" si="300"/>
        <v>45557</v>
      </c>
      <c r="F379" s="2381"/>
      <c r="G379" s="2325" t="str">
        <f>SET!E29</f>
        <v xml:space="preserve">attiva trim.  </v>
      </c>
      <c r="H379" s="2326"/>
      <c r="I379" s="2327"/>
      <c r="J379" s="479" t="str">
        <f t="shared" si="285"/>
        <v/>
      </c>
      <c r="K379" s="480"/>
      <c r="L379" s="2321">
        <f t="shared" si="283"/>
        <v>38</v>
      </c>
      <c r="M379" s="2322"/>
      <c r="N379" s="478"/>
      <c r="O379" s="478"/>
      <c r="P379" s="478"/>
      <c r="Q379" s="2315">
        <f t="shared" si="290"/>
        <v>45557</v>
      </c>
      <c r="R379" s="2315"/>
      <c r="S379" s="478"/>
      <c r="T379" s="140">
        <f t="shared" si="291"/>
        <v>1</v>
      </c>
      <c r="U379" s="478"/>
      <c r="V379" s="478"/>
      <c r="W379" s="478"/>
      <c r="X379" s="478"/>
      <c r="Y379" s="478"/>
      <c r="Z379" s="478"/>
      <c r="AA379" s="478"/>
      <c r="AB379" s="478"/>
      <c r="AC379" s="478"/>
      <c r="AD379" s="478"/>
      <c r="AE379" s="478"/>
      <c r="AF379" s="478"/>
      <c r="AG379" s="140">
        <f t="shared" si="292"/>
        <v>0</v>
      </c>
      <c r="AH379" s="92" t="str">
        <f t="shared" si="293"/>
        <v/>
      </c>
      <c r="AI379" s="131">
        <f t="shared" si="294"/>
        <v>0</v>
      </c>
      <c r="AJ379" s="2"/>
      <c r="AK379" s="92">
        <f>IF(G379=G$481,0,IF(OR(G379&lt;&gt;0,CJ379&lt;&gt;0,C379="L"),COUNTIF(AK$114:AK378,"&gt;0")+1,0))</f>
        <v>0</v>
      </c>
      <c r="AL379" s="92" t="str">
        <f t="shared" si="295"/>
        <v/>
      </c>
      <c r="AM379" s="92" t="str">
        <f t="shared" si="296"/>
        <v/>
      </c>
      <c r="AN379" s="131">
        <f t="shared" si="286"/>
        <v>0</v>
      </c>
      <c r="AO379" s="447">
        <f>SUM(SET!W29:Z29)</f>
        <v>0</v>
      </c>
      <c r="AP379" s="445">
        <f>SUMIF(SET!$G$155:$J$155,AP$112,SET!$R29:$U29)</f>
        <v>0</v>
      </c>
      <c r="AQ379" s="446">
        <f>SUMIF(SET!$G$155:$J$155,AQ$112,SET!$R29:$U29)</f>
        <v>0</v>
      </c>
      <c r="AR379" s="447">
        <f>SUMIF(SET!$G$155:$J$155,AR$112,SET!$R29:$U29)</f>
        <v>0</v>
      </c>
      <c r="AS379" s="448">
        <f>SUMIF(SET!$G$155:$J$155,AS$112,SET!$R29:$U29)</f>
        <v>0</v>
      </c>
      <c r="AT379" s="449">
        <f>SET!AG29</f>
        <v>0</v>
      </c>
      <c r="AU379" s="445">
        <f>SET!AH29</f>
        <v>0</v>
      </c>
      <c r="AV379" s="446">
        <f>SET!AI29</f>
        <v>0</v>
      </c>
      <c r="AW379" s="447">
        <f>SET!AJ29</f>
        <v>0</v>
      </c>
      <c r="AX379" s="448">
        <f>SET!AK29</f>
        <v>0</v>
      </c>
      <c r="AY379" s="445">
        <f>SUMIF(SET!$G$152:$J$152,"&gt;0",SET!$W29:$Z29)</f>
        <v>0</v>
      </c>
      <c r="AZ379" s="1063">
        <f>SUM(SET!AB29:AE29)</f>
        <v>0</v>
      </c>
      <c r="BA379" s="445">
        <f>SUMIF(SET!$G$159:$J$159,BA$111,SET!$R29:$U29)+SUMIF(SET!$G$159:$J$159,BA$111,SET!$W29:$Z29)</f>
        <v>0</v>
      </c>
      <c r="BB379" s="446">
        <f>SUMIF(SET!$G$159:$J$159,BB$111,SET!$R29:$U29)+SUMIF(SET!$G$159:$J$159,BB$111,SET!$W29:$Z29)</f>
        <v>0</v>
      </c>
      <c r="BC379" s="446">
        <f>SUMIF(SET!$G$159:$J$159,BC$111,SET!$R29:$U29)+SUMIF(SET!$G$159:$J$159,BC$111,SET!$W29:$Z29)</f>
        <v>0</v>
      </c>
      <c r="BD379" s="446">
        <f>SUMIF(SET!$G$159:$J$159,BD$111,SET!$R29:$U29)+SUMIF(SET!$G$159:$J$159,BD$111,SET!$W29:$Z29)</f>
        <v>0</v>
      </c>
      <c r="BE379" s="446">
        <f>SUMIF(SET!$G$159:$J$159,BE$111,SET!$R29:$U29)+SUMIF(SET!$G$159:$J$159,BE$111,SET!$W29:$Z29)</f>
        <v>0</v>
      </c>
      <c r="BF379" s="446">
        <f>SUMIF(SET!$G$159:$J$159,BF$111,SET!$R29:$U29)+SUMIF(SET!$G$159:$J$159,BF$111,SET!$W29:$Z29)</f>
        <v>0</v>
      </c>
      <c r="BG379" s="448">
        <f>SUMIF(SET!$G$159:$J$159,BG$111,SET!$R29:$U29)+SUMIF(SET!$G$159:$J$159,BG$111,SET!$W29:$Z29)</f>
        <v>0</v>
      </c>
      <c r="BH379" s="571"/>
      <c r="BI379" s="448"/>
      <c r="BJ379" s="470"/>
      <c r="BK379" s="445">
        <f>SUMIF(SET!$G$157:$J$157,BK$111,SET!$R29:$U29)+SUMIF(SET!$G$157:$J$157,BK$111,SET!$W29:$Z29)</f>
        <v>0</v>
      </c>
      <c r="BL379" s="446">
        <f>SUMIF(SET!$G$157:$J$157,BL$111,SET!$R29:$U29)+SUMIF(SET!$G$157:$J$157,BL$111,SET!$W29:$Z29)</f>
        <v>0</v>
      </c>
      <c r="BM379" s="446">
        <f>SUMIF(SET!$G$157:$J$157,BM$111,SET!$R29:$U29)+SUMIF(SET!$G$157:$J$157,BM$111,SET!$W29:$Z29)</f>
        <v>0</v>
      </c>
      <c r="BN379" s="446">
        <f>SUMIF(SET!$G$157:$J$157,BN$111,SET!$R29:$U29)+SUMIF(SET!$G$157:$J$157,BN$111,SET!$W29:$Z29)</f>
        <v>0</v>
      </c>
      <c r="BO379" s="446">
        <f>SUMIF(SET!$G$157:$J$157,BO$111,SET!$R29:$U29)+SUMIF(SET!$G$157:$J$157,BO$111,SET!$W29:$Z29)</f>
        <v>0</v>
      </c>
      <c r="BP379" s="446">
        <f>SUMIF(SET!$G$157:$J$157,BP$111,SET!$R29:$U29)+SUMIF(SET!$G$157:$J$157,BP$111,SET!$W29:$Z29)</f>
        <v>0</v>
      </c>
      <c r="BQ379" s="448">
        <f>SUMIF(SET!$G$157:$J$157,BQ$111,SET!$R29:$U29)+SUMIF(SET!$G$157:$J$157,BQ$111,SET!$W29:$Z29)</f>
        <v>0</v>
      </c>
      <c r="BR379" s="571"/>
      <c r="BS379" s="446"/>
      <c r="BT379" s="448"/>
      <c r="BU379" s="470"/>
      <c r="BV379" s="445">
        <f>SUMIF(SET!$G$158:$J$158,BV$111,SET!$R29:$U29)+SUMIF(SET!$G$158:$J$158,BV$111,SET!$W29:$Z29)</f>
        <v>0</v>
      </c>
      <c r="BW379" s="446">
        <f>SUMIF(SET!$G$158:$J$158,BW$111,SET!$R29:$U29)+SUMIF(SET!$G$158:$J$158,BW$111,SET!$W29:$Z29)</f>
        <v>0</v>
      </c>
      <c r="BX379" s="446">
        <f>SUMIF(SET!$G$158:$J$158,BX$111,SET!$R29:$U29)+SUMIF(SET!$G$158:$J$158,BX$111,SET!$W29:$Z29)</f>
        <v>0</v>
      </c>
      <c r="BY379" s="446">
        <f>SUMIF(SET!$G$158:$J$158,BY$111,SET!$R29:$U29)+SUMIF(SET!$G$158:$J$158,BY$111,SET!$W29:$Z29)</f>
        <v>0</v>
      </c>
      <c r="BZ379" s="446">
        <f>SUMIF(SET!$G$158:$J$158,BZ$111,SET!$R29:$U29)+SUMIF(SET!$G$158:$J$158,BZ$111,SET!$W29:$Z29)</f>
        <v>0</v>
      </c>
      <c r="CA379" s="446">
        <f>SUMIF(SET!$G$158:$J$158,CA$111,SET!$R29:$U29)+SUMIF(SET!$G$158:$J$158,CA$111,SET!$W29:$Z29)</f>
        <v>0</v>
      </c>
      <c r="CB379" s="448">
        <f>SUMIF(SET!$G$158:$J$158,CB$111,SET!$R29:$U29)+SUMIF(SET!$G$158:$J$158,CB$111,SET!$W29:$Z29)</f>
        <v>0</v>
      </c>
      <c r="CC379" s="571"/>
      <c r="CD379" s="448"/>
      <c r="CE379" s="92">
        <f t="shared" si="297"/>
        <v>0</v>
      </c>
      <c r="CF379" s="92">
        <f t="shared" si="298"/>
        <v>0</v>
      </c>
      <c r="CG379" s="151" t="str">
        <f t="shared" si="284"/>
        <v/>
      </c>
      <c r="CH379" s="92">
        <f t="shared" si="287"/>
        <v>0</v>
      </c>
      <c r="CI379" s="92" t="str">
        <f t="shared" si="299"/>
        <v/>
      </c>
      <c r="CJ379" s="1100">
        <f>SET!AM29</f>
        <v>0</v>
      </c>
      <c r="CK379" s="445">
        <f>SUMIF(SET!$G$155:$J$155,CK$112,SET!$AN29:$AQ29)</f>
        <v>0</v>
      </c>
      <c r="CL379" s="446">
        <f>SUMIF(SET!$G$155:$J$155,CL$112,SET!$AN29:$AQ29)</f>
        <v>0</v>
      </c>
      <c r="CM379" s="447">
        <f>SUMIF(SET!$G$155:$J$155,CM$112,SET!$AN29:$AQ29)</f>
        <v>0</v>
      </c>
      <c r="CN379" s="448">
        <f>SUMIF(SET!$G$155:$J$155,CN$112,SET!$AN29:$AQ29)</f>
        <v>0</v>
      </c>
      <c r="CO379" s="1100">
        <f>SET!AS29</f>
        <v>0</v>
      </c>
      <c r="CP379" s="445">
        <f>SET!AT29</f>
        <v>0</v>
      </c>
      <c r="CQ379" s="446">
        <f>SET!AU29</f>
        <v>0</v>
      </c>
      <c r="CR379" s="447">
        <f>SET!AV29</f>
        <v>0</v>
      </c>
      <c r="CS379" s="448">
        <f>SET!AW29</f>
        <v>0</v>
      </c>
      <c r="CT379" s="1100">
        <f>SET!AY29</f>
        <v>0</v>
      </c>
      <c r="CU379" s="2"/>
    </row>
    <row r="380" spans="1:99" ht="14.25" hidden="1" customHeight="1" x14ac:dyDescent="0.2">
      <c r="A380" s="2"/>
      <c r="B380" s="151">
        <f t="shared" si="288"/>
        <v>45558</v>
      </c>
      <c r="C380" s="223">
        <f>IF(AND(E380&gt;(N$493-1),E380&lt;(R$493+1)),W$485,IF(ISERROR(HLOOKUP(E380,$N$486:$U$486,1,FALSE)),HLOOKUP(WEEKDAY(E380,2),IMPOSTAZIONI!$C$51:$P$56,6,FALSE),$W$484))</f>
        <v>0</v>
      </c>
      <c r="D380" s="103" t="str">
        <f t="shared" si="289"/>
        <v/>
      </c>
      <c r="E380" s="2380">
        <f t="shared" si="300"/>
        <v>45558</v>
      </c>
      <c r="F380" s="2381"/>
      <c r="G380" s="2325" t="str">
        <f>SET!E30</f>
        <v xml:space="preserve">attiva trim.  </v>
      </c>
      <c r="H380" s="2326"/>
      <c r="I380" s="2327"/>
      <c r="J380" s="479" t="str">
        <f t="shared" si="285"/>
        <v/>
      </c>
      <c r="K380" s="480"/>
      <c r="L380" s="2323">
        <f t="shared" ref="L380:L443" si="301">L373+1</f>
        <v>39</v>
      </c>
      <c r="M380" s="2324"/>
      <c r="N380" s="478"/>
      <c r="O380" s="478"/>
      <c r="P380" s="478"/>
      <c r="Q380" s="2315">
        <f t="shared" si="290"/>
        <v>45558</v>
      </c>
      <c r="R380" s="2315"/>
      <c r="S380" s="478"/>
      <c r="T380" s="140">
        <f t="shared" si="291"/>
        <v>1</v>
      </c>
      <c r="U380" s="478"/>
      <c r="V380" s="478"/>
      <c r="W380" s="478"/>
      <c r="X380" s="478"/>
      <c r="Y380" s="478"/>
      <c r="Z380" s="478"/>
      <c r="AA380" s="478"/>
      <c r="AB380" s="478"/>
      <c r="AC380" s="478"/>
      <c r="AD380" s="478"/>
      <c r="AE380" s="478"/>
      <c r="AF380" s="478"/>
      <c r="AG380" s="140">
        <f t="shared" si="292"/>
        <v>0</v>
      </c>
      <c r="AH380" s="92" t="str">
        <f t="shared" si="293"/>
        <v/>
      </c>
      <c r="AI380" s="131">
        <f t="shared" si="294"/>
        <v>0</v>
      </c>
      <c r="AJ380" s="2"/>
      <c r="AK380" s="92">
        <f>IF(G380=G$481,0,IF(OR(G380&lt;&gt;0,CJ380&lt;&gt;0,C380="L"),COUNTIF(AK$114:AK379,"&gt;0")+1,0))</f>
        <v>0</v>
      </c>
      <c r="AL380" s="92" t="str">
        <f t="shared" si="295"/>
        <v/>
      </c>
      <c r="AM380" s="92" t="str">
        <f t="shared" si="296"/>
        <v/>
      </c>
      <c r="AN380" s="131">
        <f t="shared" si="286"/>
        <v>0</v>
      </c>
      <c r="AO380" s="447">
        <f>SUM(SET!W30:Z30)</f>
        <v>0</v>
      </c>
      <c r="AP380" s="445">
        <f>SUMIF(SET!$G$155:$J$155,AP$112,SET!$R30:$U30)</f>
        <v>0</v>
      </c>
      <c r="AQ380" s="446">
        <f>SUMIF(SET!$G$155:$J$155,AQ$112,SET!$R30:$U30)</f>
        <v>0</v>
      </c>
      <c r="AR380" s="447">
        <f>SUMIF(SET!$G$155:$J$155,AR$112,SET!$R30:$U30)</f>
        <v>0</v>
      </c>
      <c r="AS380" s="448">
        <f>SUMIF(SET!$G$155:$J$155,AS$112,SET!$R30:$U30)</f>
        <v>0</v>
      </c>
      <c r="AT380" s="449">
        <f>SET!AG30</f>
        <v>0</v>
      </c>
      <c r="AU380" s="445">
        <f>SET!AH30</f>
        <v>0</v>
      </c>
      <c r="AV380" s="446">
        <f>SET!AI30</f>
        <v>0</v>
      </c>
      <c r="AW380" s="447">
        <f>SET!AJ30</f>
        <v>0</v>
      </c>
      <c r="AX380" s="448">
        <f>SET!AK30</f>
        <v>0</v>
      </c>
      <c r="AY380" s="445">
        <f>SUMIF(SET!$G$152:$J$152,"&gt;0",SET!$W30:$Z30)</f>
        <v>0</v>
      </c>
      <c r="AZ380" s="1063">
        <f>SUM(SET!AB30:AE30)</f>
        <v>0</v>
      </c>
      <c r="BA380" s="445">
        <f>SUMIF(SET!$G$159:$J$159,BA$111,SET!$R30:$U30)+SUMIF(SET!$G$159:$J$159,BA$111,SET!$W30:$Z30)</f>
        <v>0</v>
      </c>
      <c r="BB380" s="446">
        <f>SUMIF(SET!$G$159:$J$159,BB$111,SET!$R30:$U30)+SUMIF(SET!$G$159:$J$159,BB$111,SET!$W30:$Z30)</f>
        <v>0</v>
      </c>
      <c r="BC380" s="446">
        <f>SUMIF(SET!$G$159:$J$159,BC$111,SET!$R30:$U30)+SUMIF(SET!$G$159:$J$159,BC$111,SET!$W30:$Z30)</f>
        <v>0</v>
      </c>
      <c r="BD380" s="446">
        <f>SUMIF(SET!$G$159:$J$159,BD$111,SET!$R30:$U30)+SUMIF(SET!$G$159:$J$159,BD$111,SET!$W30:$Z30)</f>
        <v>0</v>
      </c>
      <c r="BE380" s="446">
        <f>SUMIF(SET!$G$159:$J$159,BE$111,SET!$R30:$U30)+SUMIF(SET!$G$159:$J$159,BE$111,SET!$W30:$Z30)</f>
        <v>0</v>
      </c>
      <c r="BF380" s="446">
        <f>SUMIF(SET!$G$159:$J$159,BF$111,SET!$R30:$U30)+SUMIF(SET!$G$159:$J$159,BF$111,SET!$W30:$Z30)</f>
        <v>0</v>
      </c>
      <c r="BG380" s="448">
        <f>SUMIF(SET!$G$159:$J$159,BG$111,SET!$R30:$U30)+SUMIF(SET!$G$159:$J$159,BG$111,SET!$W30:$Z30)</f>
        <v>0</v>
      </c>
      <c r="BH380" s="571"/>
      <c r="BI380" s="448"/>
      <c r="BJ380" s="470"/>
      <c r="BK380" s="445">
        <f>SUMIF(SET!$G$157:$J$157,BK$111,SET!$R30:$U30)+SUMIF(SET!$G$157:$J$157,BK$111,SET!$W30:$Z30)</f>
        <v>0</v>
      </c>
      <c r="BL380" s="446">
        <f>SUMIF(SET!$G$157:$J$157,BL$111,SET!$R30:$U30)+SUMIF(SET!$G$157:$J$157,BL$111,SET!$W30:$Z30)</f>
        <v>0</v>
      </c>
      <c r="BM380" s="446">
        <f>SUMIF(SET!$G$157:$J$157,BM$111,SET!$R30:$U30)+SUMIF(SET!$G$157:$J$157,BM$111,SET!$W30:$Z30)</f>
        <v>0</v>
      </c>
      <c r="BN380" s="446">
        <f>SUMIF(SET!$G$157:$J$157,BN$111,SET!$R30:$U30)+SUMIF(SET!$G$157:$J$157,BN$111,SET!$W30:$Z30)</f>
        <v>0</v>
      </c>
      <c r="BO380" s="446">
        <f>SUMIF(SET!$G$157:$J$157,BO$111,SET!$R30:$U30)+SUMIF(SET!$G$157:$J$157,BO$111,SET!$W30:$Z30)</f>
        <v>0</v>
      </c>
      <c r="BP380" s="446">
        <f>SUMIF(SET!$G$157:$J$157,BP$111,SET!$R30:$U30)+SUMIF(SET!$G$157:$J$157,BP$111,SET!$W30:$Z30)</f>
        <v>0</v>
      </c>
      <c r="BQ380" s="448">
        <f>SUMIF(SET!$G$157:$J$157,BQ$111,SET!$R30:$U30)+SUMIF(SET!$G$157:$J$157,BQ$111,SET!$W30:$Z30)</f>
        <v>0</v>
      </c>
      <c r="BR380" s="571"/>
      <c r="BS380" s="446"/>
      <c r="BT380" s="448"/>
      <c r="BU380" s="470"/>
      <c r="BV380" s="445">
        <f>SUMIF(SET!$G$158:$J$158,BV$111,SET!$R30:$U30)+SUMIF(SET!$G$158:$J$158,BV$111,SET!$W30:$Z30)</f>
        <v>0</v>
      </c>
      <c r="BW380" s="446">
        <f>SUMIF(SET!$G$158:$J$158,BW$111,SET!$R30:$U30)+SUMIF(SET!$G$158:$J$158,BW$111,SET!$W30:$Z30)</f>
        <v>0</v>
      </c>
      <c r="BX380" s="446">
        <f>SUMIF(SET!$G$158:$J$158,BX$111,SET!$R30:$U30)+SUMIF(SET!$G$158:$J$158,BX$111,SET!$W30:$Z30)</f>
        <v>0</v>
      </c>
      <c r="BY380" s="446">
        <f>SUMIF(SET!$G$158:$J$158,BY$111,SET!$R30:$U30)+SUMIF(SET!$G$158:$J$158,BY$111,SET!$W30:$Z30)</f>
        <v>0</v>
      </c>
      <c r="BZ380" s="446">
        <f>SUMIF(SET!$G$158:$J$158,BZ$111,SET!$R30:$U30)+SUMIF(SET!$G$158:$J$158,BZ$111,SET!$W30:$Z30)</f>
        <v>0</v>
      </c>
      <c r="CA380" s="446">
        <f>SUMIF(SET!$G$158:$J$158,CA$111,SET!$R30:$U30)+SUMIF(SET!$G$158:$J$158,CA$111,SET!$W30:$Z30)</f>
        <v>0</v>
      </c>
      <c r="CB380" s="448">
        <f>SUMIF(SET!$G$158:$J$158,CB$111,SET!$R30:$U30)+SUMIF(SET!$G$158:$J$158,CB$111,SET!$W30:$Z30)</f>
        <v>0</v>
      </c>
      <c r="CC380" s="571"/>
      <c r="CD380" s="448"/>
      <c r="CE380" s="92">
        <f t="shared" si="297"/>
        <v>0</v>
      </c>
      <c r="CF380" s="92">
        <f t="shared" si="298"/>
        <v>0</v>
      </c>
      <c r="CG380" s="151" t="str">
        <f t="shared" si="284"/>
        <v/>
      </c>
      <c r="CH380" s="92">
        <f t="shared" si="287"/>
        <v>0</v>
      </c>
      <c r="CI380" s="92" t="str">
        <f t="shared" si="299"/>
        <v/>
      </c>
      <c r="CJ380" s="1100">
        <f>SET!AM30</f>
        <v>0</v>
      </c>
      <c r="CK380" s="445">
        <f>SUMIF(SET!$G$155:$J$155,CK$112,SET!$AN30:$AQ30)</f>
        <v>0</v>
      </c>
      <c r="CL380" s="446">
        <f>SUMIF(SET!$G$155:$J$155,CL$112,SET!$AN30:$AQ30)</f>
        <v>0</v>
      </c>
      <c r="CM380" s="447">
        <f>SUMIF(SET!$G$155:$J$155,CM$112,SET!$AN30:$AQ30)</f>
        <v>0</v>
      </c>
      <c r="CN380" s="448">
        <f>SUMIF(SET!$G$155:$J$155,CN$112,SET!$AN30:$AQ30)</f>
        <v>0</v>
      </c>
      <c r="CO380" s="1100">
        <f>SET!AS30</f>
        <v>0</v>
      </c>
      <c r="CP380" s="445">
        <f>SET!AT30</f>
        <v>0</v>
      </c>
      <c r="CQ380" s="446">
        <f>SET!AU30</f>
        <v>0</v>
      </c>
      <c r="CR380" s="447">
        <f>SET!AV30</f>
        <v>0</v>
      </c>
      <c r="CS380" s="448">
        <f>SET!AW30</f>
        <v>0</v>
      </c>
      <c r="CT380" s="1100">
        <f>SET!AY30</f>
        <v>0</v>
      </c>
      <c r="CU380" s="2"/>
    </row>
    <row r="381" spans="1:99" ht="14.25" hidden="1" customHeight="1" x14ac:dyDescent="0.2">
      <c r="A381" s="2"/>
      <c r="B381" s="151">
        <f t="shared" si="288"/>
        <v>45559</v>
      </c>
      <c r="C381" s="223">
        <f>IF(AND(E381&gt;(N$493-1),E381&lt;(R$493+1)),W$485,IF(ISERROR(HLOOKUP(E381,$N$486:$U$486,1,FALSE)),HLOOKUP(WEEKDAY(E381,2),IMPOSTAZIONI!$C$51:$P$56,6,FALSE),$W$484))</f>
        <v>0</v>
      </c>
      <c r="D381" s="103" t="str">
        <f t="shared" si="289"/>
        <v/>
      </c>
      <c r="E381" s="2380">
        <f t="shared" si="300"/>
        <v>45559</v>
      </c>
      <c r="F381" s="2381"/>
      <c r="G381" s="2325" t="str">
        <f>SET!E31</f>
        <v xml:space="preserve">attiva trim.  </v>
      </c>
      <c r="H381" s="2326"/>
      <c r="I381" s="2327"/>
      <c r="J381" s="479" t="str">
        <f t="shared" si="285"/>
        <v/>
      </c>
      <c r="K381" s="480"/>
      <c r="L381" s="2319">
        <f t="shared" si="301"/>
        <v>39</v>
      </c>
      <c r="M381" s="2320"/>
      <c r="N381" s="478"/>
      <c r="O381" s="478"/>
      <c r="P381" s="478"/>
      <c r="Q381" s="2315">
        <f t="shared" si="290"/>
        <v>45559</v>
      </c>
      <c r="R381" s="2315"/>
      <c r="S381" s="478"/>
      <c r="T381" s="140">
        <f t="shared" si="291"/>
        <v>1</v>
      </c>
      <c r="U381" s="478"/>
      <c r="V381" s="478"/>
      <c r="W381" s="478"/>
      <c r="X381" s="478"/>
      <c r="Y381" s="478"/>
      <c r="Z381" s="478"/>
      <c r="AA381" s="478"/>
      <c r="AB381" s="478"/>
      <c r="AC381" s="478"/>
      <c r="AD381" s="478"/>
      <c r="AE381" s="478"/>
      <c r="AF381" s="478"/>
      <c r="AG381" s="140">
        <f t="shared" si="292"/>
        <v>0</v>
      </c>
      <c r="AH381" s="92" t="str">
        <f t="shared" si="293"/>
        <v/>
      </c>
      <c r="AI381" s="131">
        <f t="shared" si="294"/>
        <v>0</v>
      </c>
      <c r="AJ381" s="2"/>
      <c r="AK381" s="92">
        <f>IF(G381=G$481,0,IF(OR(G381&lt;&gt;0,CJ381&lt;&gt;0,C381="L"),COUNTIF(AK$114:AK380,"&gt;0")+1,0))</f>
        <v>0</v>
      </c>
      <c r="AL381" s="92" t="str">
        <f t="shared" si="295"/>
        <v/>
      </c>
      <c r="AM381" s="92" t="str">
        <f t="shared" si="296"/>
        <v/>
      </c>
      <c r="AN381" s="131">
        <f t="shared" si="286"/>
        <v>0</v>
      </c>
      <c r="AO381" s="447">
        <f>SUM(SET!W31:Z31)</f>
        <v>0</v>
      </c>
      <c r="AP381" s="445">
        <f>SUMIF(SET!$G$155:$J$155,AP$112,SET!$R31:$U31)</f>
        <v>0</v>
      </c>
      <c r="AQ381" s="446">
        <f>SUMIF(SET!$G$155:$J$155,AQ$112,SET!$R31:$U31)</f>
        <v>0</v>
      </c>
      <c r="AR381" s="447">
        <f>SUMIF(SET!$G$155:$J$155,AR$112,SET!$R31:$U31)</f>
        <v>0</v>
      </c>
      <c r="AS381" s="448">
        <f>SUMIF(SET!$G$155:$J$155,AS$112,SET!$R31:$U31)</f>
        <v>0</v>
      </c>
      <c r="AT381" s="449">
        <f>SET!AG31</f>
        <v>0</v>
      </c>
      <c r="AU381" s="445">
        <f>SET!AH31</f>
        <v>0</v>
      </c>
      <c r="AV381" s="446">
        <f>SET!AI31</f>
        <v>0</v>
      </c>
      <c r="AW381" s="447">
        <f>SET!AJ31</f>
        <v>0</v>
      </c>
      <c r="AX381" s="448">
        <f>SET!AK31</f>
        <v>0</v>
      </c>
      <c r="AY381" s="445">
        <f>SUMIF(SET!$G$152:$J$152,"&gt;0",SET!$W31:$Z31)</f>
        <v>0</v>
      </c>
      <c r="AZ381" s="1063">
        <f>SUM(SET!AB31:AE31)</f>
        <v>0</v>
      </c>
      <c r="BA381" s="445">
        <f>SUMIF(SET!$G$159:$J$159,BA$111,SET!$R31:$U31)+SUMIF(SET!$G$159:$J$159,BA$111,SET!$W31:$Z31)</f>
        <v>0</v>
      </c>
      <c r="BB381" s="446">
        <f>SUMIF(SET!$G$159:$J$159,BB$111,SET!$R31:$U31)+SUMIF(SET!$G$159:$J$159,BB$111,SET!$W31:$Z31)</f>
        <v>0</v>
      </c>
      <c r="BC381" s="446">
        <f>SUMIF(SET!$G$159:$J$159,BC$111,SET!$R31:$U31)+SUMIF(SET!$G$159:$J$159,BC$111,SET!$W31:$Z31)</f>
        <v>0</v>
      </c>
      <c r="BD381" s="446">
        <f>SUMIF(SET!$G$159:$J$159,BD$111,SET!$R31:$U31)+SUMIF(SET!$G$159:$J$159,BD$111,SET!$W31:$Z31)</f>
        <v>0</v>
      </c>
      <c r="BE381" s="446">
        <f>SUMIF(SET!$G$159:$J$159,BE$111,SET!$R31:$U31)+SUMIF(SET!$G$159:$J$159,BE$111,SET!$W31:$Z31)</f>
        <v>0</v>
      </c>
      <c r="BF381" s="446">
        <f>SUMIF(SET!$G$159:$J$159,BF$111,SET!$R31:$U31)+SUMIF(SET!$G$159:$J$159,BF$111,SET!$W31:$Z31)</f>
        <v>0</v>
      </c>
      <c r="BG381" s="448">
        <f>SUMIF(SET!$G$159:$J$159,BG$111,SET!$R31:$U31)+SUMIF(SET!$G$159:$J$159,BG$111,SET!$W31:$Z31)</f>
        <v>0</v>
      </c>
      <c r="BH381" s="571"/>
      <c r="BI381" s="448"/>
      <c r="BJ381" s="470"/>
      <c r="BK381" s="445">
        <f>SUMIF(SET!$G$157:$J$157,BK$111,SET!$R31:$U31)+SUMIF(SET!$G$157:$J$157,BK$111,SET!$W31:$Z31)</f>
        <v>0</v>
      </c>
      <c r="BL381" s="446">
        <f>SUMIF(SET!$G$157:$J$157,BL$111,SET!$R31:$U31)+SUMIF(SET!$G$157:$J$157,BL$111,SET!$W31:$Z31)</f>
        <v>0</v>
      </c>
      <c r="BM381" s="446">
        <f>SUMIF(SET!$G$157:$J$157,BM$111,SET!$R31:$U31)+SUMIF(SET!$G$157:$J$157,BM$111,SET!$W31:$Z31)</f>
        <v>0</v>
      </c>
      <c r="BN381" s="446">
        <f>SUMIF(SET!$G$157:$J$157,BN$111,SET!$R31:$U31)+SUMIF(SET!$G$157:$J$157,BN$111,SET!$W31:$Z31)</f>
        <v>0</v>
      </c>
      <c r="BO381" s="446">
        <f>SUMIF(SET!$G$157:$J$157,BO$111,SET!$R31:$U31)+SUMIF(SET!$G$157:$J$157,BO$111,SET!$W31:$Z31)</f>
        <v>0</v>
      </c>
      <c r="BP381" s="446">
        <f>SUMIF(SET!$G$157:$J$157,BP$111,SET!$R31:$U31)+SUMIF(SET!$G$157:$J$157,BP$111,SET!$W31:$Z31)</f>
        <v>0</v>
      </c>
      <c r="BQ381" s="448">
        <f>SUMIF(SET!$G$157:$J$157,BQ$111,SET!$R31:$U31)+SUMIF(SET!$G$157:$J$157,BQ$111,SET!$W31:$Z31)</f>
        <v>0</v>
      </c>
      <c r="BR381" s="571"/>
      <c r="BS381" s="446"/>
      <c r="BT381" s="448"/>
      <c r="BU381" s="470"/>
      <c r="BV381" s="445">
        <f>SUMIF(SET!$G$158:$J$158,BV$111,SET!$R31:$U31)+SUMIF(SET!$G$158:$J$158,BV$111,SET!$W31:$Z31)</f>
        <v>0</v>
      </c>
      <c r="BW381" s="446">
        <f>SUMIF(SET!$G$158:$J$158,BW$111,SET!$R31:$U31)+SUMIF(SET!$G$158:$J$158,BW$111,SET!$W31:$Z31)</f>
        <v>0</v>
      </c>
      <c r="BX381" s="446">
        <f>SUMIF(SET!$G$158:$J$158,BX$111,SET!$R31:$U31)+SUMIF(SET!$G$158:$J$158,BX$111,SET!$W31:$Z31)</f>
        <v>0</v>
      </c>
      <c r="BY381" s="446">
        <f>SUMIF(SET!$G$158:$J$158,BY$111,SET!$R31:$U31)+SUMIF(SET!$G$158:$J$158,BY$111,SET!$W31:$Z31)</f>
        <v>0</v>
      </c>
      <c r="BZ381" s="446">
        <f>SUMIF(SET!$G$158:$J$158,BZ$111,SET!$R31:$U31)+SUMIF(SET!$G$158:$J$158,BZ$111,SET!$W31:$Z31)</f>
        <v>0</v>
      </c>
      <c r="CA381" s="446">
        <f>SUMIF(SET!$G$158:$J$158,CA$111,SET!$R31:$U31)+SUMIF(SET!$G$158:$J$158,CA$111,SET!$W31:$Z31)</f>
        <v>0</v>
      </c>
      <c r="CB381" s="448">
        <f>SUMIF(SET!$G$158:$J$158,CB$111,SET!$R31:$U31)+SUMIF(SET!$G$158:$J$158,CB$111,SET!$W31:$Z31)</f>
        <v>0</v>
      </c>
      <c r="CC381" s="571"/>
      <c r="CD381" s="448"/>
      <c r="CE381" s="92">
        <f t="shared" si="297"/>
        <v>0</v>
      </c>
      <c r="CF381" s="92">
        <f t="shared" si="298"/>
        <v>0</v>
      </c>
      <c r="CG381" s="151" t="str">
        <f t="shared" si="284"/>
        <v/>
      </c>
      <c r="CH381" s="92">
        <f t="shared" si="287"/>
        <v>0</v>
      </c>
      <c r="CI381" s="92" t="str">
        <f t="shared" si="299"/>
        <v/>
      </c>
      <c r="CJ381" s="1100">
        <f>SET!AM31</f>
        <v>0</v>
      </c>
      <c r="CK381" s="445">
        <f>SUMIF(SET!$G$155:$J$155,CK$112,SET!$AN31:$AQ31)</f>
        <v>0</v>
      </c>
      <c r="CL381" s="446">
        <f>SUMIF(SET!$G$155:$J$155,CL$112,SET!$AN31:$AQ31)</f>
        <v>0</v>
      </c>
      <c r="CM381" s="447">
        <f>SUMIF(SET!$G$155:$J$155,CM$112,SET!$AN31:$AQ31)</f>
        <v>0</v>
      </c>
      <c r="CN381" s="448">
        <f>SUMIF(SET!$G$155:$J$155,CN$112,SET!$AN31:$AQ31)</f>
        <v>0</v>
      </c>
      <c r="CO381" s="1100">
        <f>SET!AS31</f>
        <v>0</v>
      </c>
      <c r="CP381" s="445">
        <f>SET!AT31</f>
        <v>0</v>
      </c>
      <c r="CQ381" s="446">
        <f>SET!AU31</f>
        <v>0</v>
      </c>
      <c r="CR381" s="447">
        <f>SET!AV31</f>
        <v>0</v>
      </c>
      <c r="CS381" s="448">
        <f>SET!AW31</f>
        <v>0</v>
      </c>
      <c r="CT381" s="1100">
        <f>SET!AY31</f>
        <v>0</v>
      </c>
      <c r="CU381" s="2"/>
    </row>
    <row r="382" spans="1:99" ht="14.25" hidden="1" customHeight="1" x14ac:dyDescent="0.2">
      <c r="A382" s="2"/>
      <c r="B382" s="151">
        <f t="shared" si="288"/>
        <v>45560</v>
      </c>
      <c r="C382" s="223">
        <f>IF(AND(E382&gt;(N$493-1),E382&lt;(R$493+1)),W$485,IF(ISERROR(HLOOKUP(E382,$N$486:$U$486,1,FALSE)),HLOOKUP(WEEKDAY(E382,2),IMPOSTAZIONI!$C$51:$P$56,6,FALSE),$W$484))</f>
        <v>0</v>
      </c>
      <c r="D382" s="103" t="str">
        <f t="shared" si="289"/>
        <v/>
      </c>
      <c r="E382" s="2380">
        <f t="shared" si="300"/>
        <v>45560</v>
      </c>
      <c r="F382" s="2381"/>
      <c r="G382" s="2325" t="str">
        <f>SET!E32</f>
        <v xml:space="preserve">attiva trim.  </v>
      </c>
      <c r="H382" s="2326"/>
      <c r="I382" s="2327"/>
      <c r="J382" s="479" t="str">
        <f t="shared" si="285"/>
        <v/>
      </c>
      <c r="K382" s="480"/>
      <c r="L382" s="2319">
        <f t="shared" si="301"/>
        <v>39</v>
      </c>
      <c r="M382" s="2320"/>
      <c r="N382" s="478"/>
      <c r="O382" s="478"/>
      <c r="P382" s="478"/>
      <c r="Q382" s="2315">
        <f t="shared" si="290"/>
        <v>45560</v>
      </c>
      <c r="R382" s="2315"/>
      <c r="S382" s="478"/>
      <c r="T382" s="140">
        <f t="shared" si="291"/>
        <v>1</v>
      </c>
      <c r="U382" s="478"/>
      <c r="V382" s="478"/>
      <c r="W382" s="478"/>
      <c r="X382" s="478"/>
      <c r="Y382" s="478"/>
      <c r="Z382" s="478"/>
      <c r="AA382" s="478"/>
      <c r="AB382" s="478"/>
      <c r="AC382" s="478"/>
      <c r="AD382" s="478"/>
      <c r="AE382" s="478"/>
      <c r="AF382" s="478"/>
      <c r="AG382" s="140">
        <f t="shared" si="292"/>
        <v>0</v>
      </c>
      <c r="AH382" s="92" t="str">
        <f t="shared" si="293"/>
        <v/>
      </c>
      <c r="AI382" s="131">
        <f t="shared" si="294"/>
        <v>0</v>
      </c>
      <c r="AJ382" s="2"/>
      <c r="AK382" s="92">
        <f>IF(G382=G$481,0,IF(OR(G382&lt;&gt;0,CJ382&lt;&gt;0,C382="L"),COUNTIF(AK$114:AK381,"&gt;0")+1,0))</f>
        <v>0</v>
      </c>
      <c r="AL382" s="92" t="str">
        <f t="shared" si="295"/>
        <v/>
      </c>
      <c r="AM382" s="92" t="str">
        <f t="shared" si="296"/>
        <v/>
      </c>
      <c r="AN382" s="131">
        <f t="shared" si="286"/>
        <v>0</v>
      </c>
      <c r="AO382" s="447">
        <f>SUM(SET!W32:Z32)</f>
        <v>0</v>
      </c>
      <c r="AP382" s="445">
        <f>SUMIF(SET!$G$155:$J$155,AP$112,SET!$R32:$U32)</f>
        <v>0</v>
      </c>
      <c r="AQ382" s="446">
        <f>SUMIF(SET!$G$155:$J$155,AQ$112,SET!$R32:$U32)</f>
        <v>0</v>
      </c>
      <c r="AR382" s="447">
        <f>SUMIF(SET!$G$155:$J$155,AR$112,SET!$R32:$U32)</f>
        <v>0</v>
      </c>
      <c r="AS382" s="448">
        <f>SUMIF(SET!$G$155:$J$155,AS$112,SET!$R32:$U32)</f>
        <v>0</v>
      </c>
      <c r="AT382" s="449">
        <f>SET!AG32</f>
        <v>0</v>
      </c>
      <c r="AU382" s="445">
        <f>SET!AH32</f>
        <v>0</v>
      </c>
      <c r="AV382" s="446">
        <f>SET!AI32</f>
        <v>0</v>
      </c>
      <c r="AW382" s="447">
        <f>SET!AJ32</f>
        <v>0</v>
      </c>
      <c r="AX382" s="448">
        <f>SET!AK32</f>
        <v>0</v>
      </c>
      <c r="AY382" s="445">
        <f>SUMIF(SET!$G$152:$J$152,"&gt;0",SET!$W32:$Z32)</f>
        <v>0</v>
      </c>
      <c r="AZ382" s="1063">
        <f>SUM(SET!AB32:AE32)</f>
        <v>0</v>
      </c>
      <c r="BA382" s="445">
        <f>SUMIF(SET!$G$159:$J$159,BA$111,SET!$R32:$U32)+SUMIF(SET!$G$159:$J$159,BA$111,SET!$W32:$Z32)</f>
        <v>0</v>
      </c>
      <c r="BB382" s="446">
        <f>SUMIF(SET!$G$159:$J$159,BB$111,SET!$R32:$U32)+SUMIF(SET!$G$159:$J$159,BB$111,SET!$W32:$Z32)</f>
        <v>0</v>
      </c>
      <c r="BC382" s="446">
        <f>SUMIF(SET!$G$159:$J$159,BC$111,SET!$R32:$U32)+SUMIF(SET!$G$159:$J$159,BC$111,SET!$W32:$Z32)</f>
        <v>0</v>
      </c>
      <c r="BD382" s="446">
        <f>SUMIF(SET!$G$159:$J$159,BD$111,SET!$R32:$U32)+SUMIF(SET!$G$159:$J$159,BD$111,SET!$W32:$Z32)</f>
        <v>0</v>
      </c>
      <c r="BE382" s="446">
        <f>SUMIF(SET!$G$159:$J$159,BE$111,SET!$R32:$U32)+SUMIF(SET!$G$159:$J$159,BE$111,SET!$W32:$Z32)</f>
        <v>0</v>
      </c>
      <c r="BF382" s="446">
        <f>SUMIF(SET!$G$159:$J$159,BF$111,SET!$R32:$U32)+SUMIF(SET!$G$159:$J$159,BF$111,SET!$W32:$Z32)</f>
        <v>0</v>
      </c>
      <c r="BG382" s="448">
        <f>SUMIF(SET!$G$159:$J$159,BG$111,SET!$R32:$U32)+SUMIF(SET!$G$159:$J$159,BG$111,SET!$W32:$Z32)</f>
        <v>0</v>
      </c>
      <c r="BH382" s="571"/>
      <c r="BI382" s="448"/>
      <c r="BJ382" s="470"/>
      <c r="BK382" s="445">
        <f>SUMIF(SET!$G$157:$J$157,BK$111,SET!$R32:$U32)+SUMIF(SET!$G$157:$J$157,BK$111,SET!$W32:$Z32)</f>
        <v>0</v>
      </c>
      <c r="BL382" s="446">
        <f>SUMIF(SET!$G$157:$J$157,BL$111,SET!$R32:$U32)+SUMIF(SET!$G$157:$J$157,BL$111,SET!$W32:$Z32)</f>
        <v>0</v>
      </c>
      <c r="BM382" s="446">
        <f>SUMIF(SET!$G$157:$J$157,BM$111,SET!$R32:$U32)+SUMIF(SET!$G$157:$J$157,BM$111,SET!$W32:$Z32)</f>
        <v>0</v>
      </c>
      <c r="BN382" s="446">
        <f>SUMIF(SET!$G$157:$J$157,BN$111,SET!$R32:$U32)+SUMIF(SET!$G$157:$J$157,BN$111,SET!$W32:$Z32)</f>
        <v>0</v>
      </c>
      <c r="BO382" s="446">
        <f>SUMIF(SET!$G$157:$J$157,BO$111,SET!$R32:$U32)+SUMIF(SET!$G$157:$J$157,BO$111,SET!$W32:$Z32)</f>
        <v>0</v>
      </c>
      <c r="BP382" s="446">
        <f>SUMIF(SET!$G$157:$J$157,BP$111,SET!$R32:$U32)+SUMIF(SET!$G$157:$J$157,BP$111,SET!$W32:$Z32)</f>
        <v>0</v>
      </c>
      <c r="BQ382" s="448">
        <f>SUMIF(SET!$G$157:$J$157,BQ$111,SET!$R32:$U32)+SUMIF(SET!$G$157:$J$157,BQ$111,SET!$W32:$Z32)</f>
        <v>0</v>
      </c>
      <c r="BR382" s="571"/>
      <c r="BS382" s="446"/>
      <c r="BT382" s="448"/>
      <c r="BU382" s="470"/>
      <c r="BV382" s="445">
        <f>SUMIF(SET!$G$158:$J$158,BV$111,SET!$R32:$U32)+SUMIF(SET!$G$158:$J$158,BV$111,SET!$W32:$Z32)</f>
        <v>0</v>
      </c>
      <c r="BW382" s="446">
        <f>SUMIF(SET!$G$158:$J$158,BW$111,SET!$R32:$U32)+SUMIF(SET!$G$158:$J$158,BW$111,SET!$W32:$Z32)</f>
        <v>0</v>
      </c>
      <c r="BX382" s="446">
        <f>SUMIF(SET!$G$158:$J$158,BX$111,SET!$R32:$U32)+SUMIF(SET!$G$158:$J$158,BX$111,SET!$W32:$Z32)</f>
        <v>0</v>
      </c>
      <c r="BY382" s="446">
        <f>SUMIF(SET!$G$158:$J$158,BY$111,SET!$R32:$U32)+SUMIF(SET!$G$158:$J$158,BY$111,SET!$W32:$Z32)</f>
        <v>0</v>
      </c>
      <c r="BZ382" s="446">
        <f>SUMIF(SET!$G$158:$J$158,BZ$111,SET!$R32:$U32)+SUMIF(SET!$G$158:$J$158,BZ$111,SET!$W32:$Z32)</f>
        <v>0</v>
      </c>
      <c r="CA382" s="446">
        <f>SUMIF(SET!$G$158:$J$158,CA$111,SET!$R32:$U32)+SUMIF(SET!$G$158:$J$158,CA$111,SET!$W32:$Z32)</f>
        <v>0</v>
      </c>
      <c r="CB382" s="448">
        <f>SUMIF(SET!$G$158:$J$158,CB$111,SET!$R32:$U32)+SUMIF(SET!$G$158:$J$158,CB$111,SET!$W32:$Z32)</f>
        <v>0</v>
      </c>
      <c r="CC382" s="571"/>
      <c r="CD382" s="448"/>
      <c r="CE382" s="92">
        <f t="shared" si="297"/>
        <v>0</v>
      </c>
      <c r="CF382" s="92">
        <f t="shared" si="298"/>
        <v>0</v>
      </c>
      <c r="CG382" s="151" t="str">
        <f t="shared" si="284"/>
        <v/>
      </c>
      <c r="CH382" s="92">
        <f t="shared" si="287"/>
        <v>0</v>
      </c>
      <c r="CI382" s="92" t="str">
        <f t="shared" si="299"/>
        <v/>
      </c>
      <c r="CJ382" s="1100">
        <f>SET!AM32</f>
        <v>0</v>
      </c>
      <c r="CK382" s="445">
        <f>SUMIF(SET!$G$155:$J$155,CK$112,SET!$AN32:$AQ32)</f>
        <v>0</v>
      </c>
      <c r="CL382" s="446">
        <f>SUMIF(SET!$G$155:$J$155,CL$112,SET!$AN32:$AQ32)</f>
        <v>0</v>
      </c>
      <c r="CM382" s="447">
        <f>SUMIF(SET!$G$155:$J$155,CM$112,SET!$AN32:$AQ32)</f>
        <v>0</v>
      </c>
      <c r="CN382" s="448">
        <f>SUMIF(SET!$G$155:$J$155,CN$112,SET!$AN32:$AQ32)</f>
        <v>0</v>
      </c>
      <c r="CO382" s="1100">
        <f>SET!AS32</f>
        <v>0</v>
      </c>
      <c r="CP382" s="445">
        <f>SET!AT32</f>
        <v>0</v>
      </c>
      <c r="CQ382" s="446">
        <f>SET!AU32</f>
        <v>0</v>
      </c>
      <c r="CR382" s="447">
        <f>SET!AV32</f>
        <v>0</v>
      </c>
      <c r="CS382" s="448">
        <f>SET!AW32</f>
        <v>0</v>
      </c>
      <c r="CT382" s="1100">
        <f>SET!AY32</f>
        <v>0</v>
      </c>
      <c r="CU382" s="2"/>
    </row>
    <row r="383" spans="1:99" ht="14.25" hidden="1" customHeight="1" x14ac:dyDescent="0.2">
      <c r="A383" s="2"/>
      <c r="B383" s="151">
        <f t="shared" si="288"/>
        <v>45561</v>
      </c>
      <c r="C383" s="223">
        <f>IF(AND(E383&gt;(N$493-1),E383&lt;(R$493+1)),W$485,IF(ISERROR(HLOOKUP(E383,$N$486:$U$486,1,FALSE)),HLOOKUP(WEEKDAY(E383,2),IMPOSTAZIONI!$C$51:$P$56,6,FALSE),$W$484))</f>
        <v>0</v>
      </c>
      <c r="D383" s="103" t="str">
        <f t="shared" si="289"/>
        <v/>
      </c>
      <c r="E383" s="2380">
        <f t="shared" si="300"/>
        <v>45561</v>
      </c>
      <c r="F383" s="2381"/>
      <c r="G383" s="2325" t="str">
        <f>SET!E33</f>
        <v xml:space="preserve">attiva trim.  </v>
      </c>
      <c r="H383" s="2326"/>
      <c r="I383" s="2327"/>
      <c r="J383" s="479" t="str">
        <f t="shared" si="285"/>
        <v/>
      </c>
      <c r="K383" s="480"/>
      <c r="L383" s="2319">
        <f t="shared" si="301"/>
        <v>39</v>
      </c>
      <c r="M383" s="2320"/>
      <c r="N383" s="478"/>
      <c r="O383" s="478"/>
      <c r="P383" s="478"/>
      <c r="Q383" s="2315">
        <f t="shared" si="290"/>
        <v>45561</v>
      </c>
      <c r="R383" s="2315"/>
      <c r="S383" s="478"/>
      <c r="T383" s="140">
        <f t="shared" si="291"/>
        <v>1</v>
      </c>
      <c r="U383" s="478"/>
      <c r="V383" s="478"/>
      <c r="W383" s="478"/>
      <c r="X383" s="478"/>
      <c r="Y383" s="478"/>
      <c r="Z383" s="478"/>
      <c r="AA383" s="478"/>
      <c r="AB383" s="478"/>
      <c r="AC383" s="478"/>
      <c r="AD383" s="478"/>
      <c r="AE383" s="478"/>
      <c r="AF383" s="478"/>
      <c r="AG383" s="140">
        <f t="shared" si="292"/>
        <v>0</v>
      </c>
      <c r="AH383" s="92" t="str">
        <f t="shared" si="293"/>
        <v/>
      </c>
      <c r="AI383" s="131">
        <f t="shared" si="294"/>
        <v>0</v>
      </c>
      <c r="AJ383" s="2"/>
      <c r="AK383" s="92">
        <f>IF(G383=G$481,0,IF(OR(G383&lt;&gt;0,CJ383&lt;&gt;0,C383="L"),COUNTIF(AK$114:AK382,"&gt;0")+1,0))</f>
        <v>0</v>
      </c>
      <c r="AL383" s="92" t="str">
        <f t="shared" si="295"/>
        <v/>
      </c>
      <c r="AM383" s="92" t="str">
        <f t="shared" si="296"/>
        <v/>
      </c>
      <c r="AN383" s="131">
        <f t="shared" si="286"/>
        <v>0</v>
      </c>
      <c r="AO383" s="447">
        <f>SUM(SET!W33:Z33)</f>
        <v>0</v>
      </c>
      <c r="AP383" s="445">
        <f>SUMIF(SET!$G$155:$J$155,AP$112,SET!$R33:$U33)</f>
        <v>0</v>
      </c>
      <c r="AQ383" s="446">
        <f>SUMIF(SET!$G$155:$J$155,AQ$112,SET!$R33:$U33)</f>
        <v>0</v>
      </c>
      <c r="AR383" s="447">
        <f>SUMIF(SET!$G$155:$J$155,AR$112,SET!$R33:$U33)</f>
        <v>0</v>
      </c>
      <c r="AS383" s="448">
        <f>SUMIF(SET!$G$155:$J$155,AS$112,SET!$R33:$U33)</f>
        <v>0</v>
      </c>
      <c r="AT383" s="449">
        <f>SET!AG33</f>
        <v>0</v>
      </c>
      <c r="AU383" s="445">
        <f>SET!AH33</f>
        <v>0</v>
      </c>
      <c r="AV383" s="446">
        <f>SET!AI33</f>
        <v>0</v>
      </c>
      <c r="AW383" s="447">
        <f>SET!AJ33</f>
        <v>0</v>
      </c>
      <c r="AX383" s="448">
        <f>SET!AK33</f>
        <v>0</v>
      </c>
      <c r="AY383" s="445">
        <f>SUMIF(SET!$G$152:$J$152,"&gt;0",SET!$W33:$Z33)</f>
        <v>0</v>
      </c>
      <c r="AZ383" s="1063">
        <f>SUM(SET!AB33:AE33)</f>
        <v>0</v>
      </c>
      <c r="BA383" s="445">
        <f>SUMIF(SET!$G$159:$J$159,BA$111,SET!$R33:$U33)+SUMIF(SET!$G$159:$J$159,BA$111,SET!$W33:$Z33)</f>
        <v>0</v>
      </c>
      <c r="BB383" s="446">
        <f>SUMIF(SET!$G$159:$J$159,BB$111,SET!$R33:$U33)+SUMIF(SET!$G$159:$J$159,BB$111,SET!$W33:$Z33)</f>
        <v>0</v>
      </c>
      <c r="BC383" s="446">
        <f>SUMIF(SET!$G$159:$J$159,BC$111,SET!$R33:$U33)+SUMIF(SET!$G$159:$J$159,BC$111,SET!$W33:$Z33)</f>
        <v>0</v>
      </c>
      <c r="BD383" s="446">
        <f>SUMIF(SET!$G$159:$J$159,BD$111,SET!$R33:$U33)+SUMIF(SET!$G$159:$J$159,BD$111,SET!$W33:$Z33)</f>
        <v>0</v>
      </c>
      <c r="BE383" s="446">
        <f>SUMIF(SET!$G$159:$J$159,BE$111,SET!$R33:$U33)+SUMIF(SET!$G$159:$J$159,BE$111,SET!$W33:$Z33)</f>
        <v>0</v>
      </c>
      <c r="BF383" s="446">
        <f>SUMIF(SET!$G$159:$J$159,BF$111,SET!$R33:$U33)+SUMIF(SET!$G$159:$J$159,BF$111,SET!$W33:$Z33)</f>
        <v>0</v>
      </c>
      <c r="BG383" s="448">
        <f>SUMIF(SET!$G$159:$J$159,BG$111,SET!$R33:$U33)+SUMIF(SET!$G$159:$J$159,BG$111,SET!$W33:$Z33)</f>
        <v>0</v>
      </c>
      <c r="BH383" s="571"/>
      <c r="BI383" s="448"/>
      <c r="BJ383" s="470"/>
      <c r="BK383" s="445">
        <f>SUMIF(SET!$G$157:$J$157,BK$111,SET!$R33:$U33)+SUMIF(SET!$G$157:$J$157,BK$111,SET!$W33:$Z33)</f>
        <v>0</v>
      </c>
      <c r="BL383" s="446">
        <f>SUMIF(SET!$G$157:$J$157,BL$111,SET!$R33:$U33)+SUMIF(SET!$G$157:$J$157,BL$111,SET!$W33:$Z33)</f>
        <v>0</v>
      </c>
      <c r="BM383" s="446">
        <f>SUMIF(SET!$G$157:$J$157,BM$111,SET!$R33:$U33)+SUMIF(SET!$G$157:$J$157,BM$111,SET!$W33:$Z33)</f>
        <v>0</v>
      </c>
      <c r="BN383" s="446">
        <f>SUMIF(SET!$G$157:$J$157,BN$111,SET!$R33:$U33)+SUMIF(SET!$G$157:$J$157,BN$111,SET!$W33:$Z33)</f>
        <v>0</v>
      </c>
      <c r="BO383" s="446">
        <f>SUMIF(SET!$G$157:$J$157,BO$111,SET!$R33:$U33)+SUMIF(SET!$G$157:$J$157,BO$111,SET!$W33:$Z33)</f>
        <v>0</v>
      </c>
      <c r="BP383" s="446">
        <f>SUMIF(SET!$G$157:$J$157,BP$111,SET!$R33:$U33)+SUMIF(SET!$G$157:$J$157,BP$111,SET!$W33:$Z33)</f>
        <v>0</v>
      </c>
      <c r="BQ383" s="448">
        <f>SUMIF(SET!$G$157:$J$157,BQ$111,SET!$R33:$U33)+SUMIF(SET!$G$157:$J$157,BQ$111,SET!$W33:$Z33)</f>
        <v>0</v>
      </c>
      <c r="BR383" s="571"/>
      <c r="BS383" s="446"/>
      <c r="BT383" s="448"/>
      <c r="BU383" s="470"/>
      <c r="BV383" s="445">
        <f>SUMIF(SET!$G$158:$J$158,BV$111,SET!$R33:$U33)+SUMIF(SET!$G$158:$J$158,BV$111,SET!$W33:$Z33)</f>
        <v>0</v>
      </c>
      <c r="BW383" s="446">
        <f>SUMIF(SET!$G$158:$J$158,BW$111,SET!$R33:$U33)+SUMIF(SET!$G$158:$J$158,BW$111,SET!$W33:$Z33)</f>
        <v>0</v>
      </c>
      <c r="BX383" s="446">
        <f>SUMIF(SET!$G$158:$J$158,BX$111,SET!$R33:$U33)+SUMIF(SET!$G$158:$J$158,BX$111,SET!$W33:$Z33)</f>
        <v>0</v>
      </c>
      <c r="BY383" s="446">
        <f>SUMIF(SET!$G$158:$J$158,BY$111,SET!$R33:$U33)+SUMIF(SET!$G$158:$J$158,BY$111,SET!$W33:$Z33)</f>
        <v>0</v>
      </c>
      <c r="BZ383" s="446">
        <f>SUMIF(SET!$G$158:$J$158,BZ$111,SET!$R33:$U33)+SUMIF(SET!$G$158:$J$158,BZ$111,SET!$W33:$Z33)</f>
        <v>0</v>
      </c>
      <c r="CA383" s="446">
        <f>SUMIF(SET!$G$158:$J$158,CA$111,SET!$R33:$U33)+SUMIF(SET!$G$158:$J$158,CA$111,SET!$W33:$Z33)</f>
        <v>0</v>
      </c>
      <c r="CB383" s="448">
        <f>SUMIF(SET!$G$158:$J$158,CB$111,SET!$R33:$U33)+SUMIF(SET!$G$158:$J$158,CB$111,SET!$W33:$Z33)</f>
        <v>0</v>
      </c>
      <c r="CC383" s="571"/>
      <c r="CD383" s="448"/>
      <c r="CE383" s="92">
        <f t="shared" si="297"/>
        <v>0</v>
      </c>
      <c r="CF383" s="92">
        <f t="shared" si="298"/>
        <v>0</v>
      </c>
      <c r="CG383" s="151" t="str">
        <f t="shared" si="284"/>
        <v/>
      </c>
      <c r="CH383" s="92">
        <f t="shared" si="287"/>
        <v>0</v>
      </c>
      <c r="CI383" s="92" t="str">
        <f t="shared" si="299"/>
        <v/>
      </c>
      <c r="CJ383" s="1100">
        <f>SET!AM33</f>
        <v>0</v>
      </c>
      <c r="CK383" s="445">
        <f>SUMIF(SET!$G$155:$J$155,CK$112,SET!$AN33:$AQ33)</f>
        <v>0</v>
      </c>
      <c r="CL383" s="446">
        <f>SUMIF(SET!$G$155:$J$155,CL$112,SET!$AN33:$AQ33)</f>
        <v>0</v>
      </c>
      <c r="CM383" s="447">
        <f>SUMIF(SET!$G$155:$J$155,CM$112,SET!$AN33:$AQ33)</f>
        <v>0</v>
      </c>
      <c r="CN383" s="448">
        <f>SUMIF(SET!$G$155:$J$155,CN$112,SET!$AN33:$AQ33)</f>
        <v>0</v>
      </c>
      <c r="CO383" s="1100">
        <f>SET!AS33</f>
        <v>0</v>
      </c>
      <c r="CP383" s="445">
        <f>SET!AT33</f>
        <v>0</v>
      </c>
      <c r="CQ383" s="446">
        <f>SET!AU33</f>
        <v>0</v>
      </c>
      <c r="CR383" s="447">
        <f>SET!AV33</f>
        <v>0</v>
      </c>
      <c r="CS383" s="448">
        <f>SET!AW33</f>
        <v>0</v>
      </c>
      <c r="CT383" s="1100">
        <f>SET!AY33</f>
        <v>0</v>
      </c>
      <c r="CU383" s="2"/>
    </row>
    <row r="384" spans="1:99" ht="14.25" hidden="1" customHeight="1" x14ac:dyDescent="0.2">
      <c r="A384" s="2"/>
      <c r="B384" s="151">
        <f t="shared" si="288"/>
        <v>45562</v>
      </c>
      <c r="C384" s="223">
        <f>IF(AND(E384&gt;(N$493-1),E384&lt;(R$493+1)),W$485,IF(ISERROR(HLOOKUP(E384,$N$486:$U$486,1,FALSE)),HLOOKUP(WEEKDAY(E384,2),IMPOSTAZIONI!$C$51:$P$56,6,FALSE),$W$484))</f>
        <v>0</v>
      </c>
      <c r="D384" s="103" t="str">
        <f t="shared" si="289"/>
        <v/>
      </c>
      <c r="E384" s="2380">
        <f t="shared" si="300"/>
        <v>45562</v>
      </c>
      <c r="F384" s="2381"/>
      <c r="G384" s="2325" t="str">
        <f>SET!E34</f>
        <v xml:space="preserve">attiva trim.  </v>
      </c>
      <c r="H384" s="2326"/>
      <c r="I384" s="2327"/>
      <c r="J384" s="479" t="str">
        <f t="shared" si="285"/>
        <v/>
      </c>
      <c r="K384" s="480"/>
      <c r="L384" s="2319">
        <f t="shared" si="301"/>
        <v>39</v>
      </c>
      <c r="M384" s="2320"/>
      <c r="N384" s="478"/>
      <c r="O384" s="478"/>
      <c r="P384" s="478"/>
      <c r="Q384" s="2315">
        <f t="shared" si="290"/>
        <v>45562</v>
      </c>
      <c r="R384" s="2315"/>
      <c r="S384" s="478"/>
      <c r="T384" s="140">
        <f t="shared" si="291"/>
        <v>1</v>
      </c>
      <c r="U384" s="478"/>
      <c r="V384" s="478"/>
      <c r="W384" s="478"/>
      <c r="X384" s="478"/>
      <c r="Y384" s="478"/>
      <c r="Z384" s="478"/>
      <c r="AA384" s="478"/>
      <c r="AB384" s="478"/>
      <c r="AC384" s="478"/>
      <c r="AD384" s="478"/>
      <c r="AE384" s="478"/>
      <c r="AF384" s="478"/>
      <c r="AG384" s="140">
        <f t="shared" si="292"/>
        <v>0</v>
      </c>
      <c r="AH384" s="92" t="str">
        <f t="shared" si="293"/>
        <v/>
      </c>
      <c r="AI384" s="131">
        <f t="shared" si="294"/>
        <v>0</v>
      </c>
      <c r="AJ384" s="2"/>
      <c r="AK384" s="92">
        <f>IF(G384=G$481,0,IF(OR(G384&lt;&gt;0,CJ384&lt;&gt;0,C384="L"),COUNTIF(AK$114:AK383,"&gt;0")+1,0))</f>
        <v>0</v>
      </c>
      <c r="AL384" s="92" t="str">
        <f t="shared" si="295"/>
        <v/>
      </c>
      <c r="AM384" s="92" t="str">
        <f t="shared" si="296"/>
        <v/>
      </c>
      <c r="AN384" s="131">
        <f t="shared" si="286"/>
        <v>0</v>
      </c>
      <c r="AO384" s="447">
        <f>SUM(SET!W34:Z34)</f>
        <v>0</v>
      </c>
      <c r="AP384" s="445">
        <f>SUMIF(SET!$G$155:$J$155,AP$112,SET!$R34:$U34)</f>
        <v>0</v>
      </c>
      <c r="AQ384" s="446">
        <f>SUMIF(SET!$G$155:$J$155,AQ$112,SET!$R34:$U34)</f>
        <v>0</v>
      </c>
      <c r="AR384" s="447">
        <f>SUMIF(SET!$G$155:$J$155,AR$112,SET!$R34:$U34)</f>
        <v>0</v>
      </c>
      <c r="AS384" s="448">
        <f>SUMIF(SET!$G$155:$J$155,AS$112,SET!$R34:$U34)</f>
        <v>0</v>
      </c>
      <c r="AT384" s="449">
        <f>SET!AG34</f>
        <v>0</v>
      </c>
      <c r="AU384" s="445">
        <f>SET!AH34</f>
        <v>0</v>
      </c>
      <c r="AV384" s="446">
        <f>SET!AI34</f>
        <v>0</v>
      </c>
      <c r="AW384" s="447">
        <f>SET!AJ34</f>
        <v>0</v>
      </c>
      <c r="AX384" s="448">
        <f>SET!AK34</f>
        <v>0</v>
      </c>
      <c r="AY384" s="445">
        <f>SUMIF(SET!$G$152:$J$152,"&gt;0",SET!$W34:$Z34)</f>
        <v>0</v>
      </c>
      <c r="AZ384" s="1063">
        <f>SUM(SET!AB34:AE34)</f>
        <v>0</v>
      </c>
      <c r="BA384" s="445">
        <f>SUMIF(SET!$G$159:$J$159,BA$111,SET!$R34:$U34)+SUMIF(SET!$G$159:$J$159,BA$111,SET!$W34:$Z34)</f>
        <v>0</v>
      </c>
      <c r="BB384" s="446">
        <f>SUMIF(SET!$G$159:$J$159,BB$111,SET!$R34:$U34)+SUMIF(SET!$G$159:$J$159,BB$111,SET!$W34:$Z34)</f>
        <v>0</v>
      </c>
      <c r="BC384" s="446">
        <f>SUMIF(SET!$G$159:$J$159,BC$111,SET!$R34:$U34)+SUMIF(SET!$G$159:$J$159,BC$111,SET!$W34:$Z34)</f>
        <v>0</v>
      </c>
      <c r="BD384" s="446">
        <f>SUMIF(SET!$G$159:$J$159,BD$111,SET!$R34:$U34)+SUMIF(SET!$G$159:$J$159,BD$111,SET!$W34:$Z34)</f>
        <v>0</v>
      </c>
      <c r="BE384" s="446">
        <f>SUMIF(SET!$G$159:$J$159,BE$111,SET!$R34:$U34)+SUMIF(SET!$G$159:$J$159,BE$111,SET!$W34:$Z34)</f>
        <v>0</v>
      </c>
      <c r="BF384" s="446">
        <f>SUMIF(SET!$G$159:$J$159,BF$111,SET!$R34:$U34)+SUMIF(SET!$G$159:$J$159,BF$111,SET!$W34:$Z34)</f>
        <v>0</v>
      </c>
      <c r="BG384" s="448">
        <f>SUMIF(SET!$G$159:$J$159,BG$111,SET!$R34:$U34)+SUMIF(SET!$G$159:$J$159,BG$111,SET!$W34:$Z34)</f>
        <v>0</v>
      </c>
      <c r="BH384" s="571"/>
      <c r="BI384" s="448"/>
      <c r="BJ384" s="470"/>
      <c r="BK384" s="445">
        <f>SUMIF(SET!$G$157:$J$157,BK$111,SET!$R34:$U34)+SUMIF(SET!$G$157:$J$157,BK$111,SET!$W34:$Z34)</f>
        <v>0</v>
      </c>
      <c r="BL384" s="446">
        <f>SUMIF(SET!$G$157:$J$157,BL$111,SET!$R34:$U34)+SUMIF(SET!$G$157:$J$157,BL$111,SET!$W34:$Z34)</f>
        <v>0</v>
      </c>
      <c r="BM384" s="446">
        <f>SUMIF(SET!$G$157:$J$157,BM$111,SET!$R34:$U34)+SUMIF(SET!$G$157:$J$157,BM$111,SET!$W34:$Z34)</f>
        <v>0</v>
      </c>
      <c r="BN384" s="446">
        <f>SUMIF(SET!$G$157:$J$157,BN$111,SET!$R34:$U34)+SUMIF(SET!$G$157:$J$157,BN$111,SET!$W34:$Z34)</f>
        <v>0</v>
      </c>
      <c r="BO384" s="446">
        <f>SUMIF(SET!$G$157:$J$157,BO$111,SET!$R34:$U34)+SUMIF(SET!$G$157:$J$157,BO$111,SET!$W34:$Z34)</f>
        <v>0</v>
      </c>
      <c r="BP384" s="446">
        <f>SUMIF(SET!$G$157:$J$157,BP$111,SET!$R34:$U34)+SUMIF(SET!$G$157:$J$157,BP$111,SET!$W34:$Z34)</f>
        <v>0</v>
      </c>
      <c r="BQ384" s="448">
        <f>SUMIF(SET!$G$157:$J$157,BQ$111,SET!$R34:$U34)+SUMIF(SET!$G$157:$J$157,BQ$111,SET!$W34:$Z34)</f>
        <v>0</v>
      </c>
      <c r="BR384" s="571"/>
      <c r="BS384" s="446"/>
      <c r="BT384" s="448"/>
      <c r="BU384" s="470"/>
      <c r="BV384" s="445">
        <f>SUMIF(SET!$G$158:$J$158,BV$111,SET!$R34:$U34)+SUMIF(SET!$G$158:$J$158,BV$111,SET!$W34:$Z34)</f>
        <v>0</v>
      </c>
      <c r="BW384" s="446">
        <f>SUMIF(SET!$G$158:$J$158,BW$111,SET!$R34:$U34)+SUMIF(SET!$G$158:$J$158,BW$111,SET!$W34:$Z34)</f>
        <v>0</v>
      </c>
      <c r="BX384" s="446">
        <f>SUMIF(SET!$G$158:$J$158,BX$111,SET!$R34:$U34)+SUMIF(SET!$G$158:$J$158,BX$111,SET!$W34:$Z34)</f>
        <v>0</v>
      </c>
      <c r="BY384" s="446">
        <f>SUMIF(SET!$G$158:$J$158,BY$111,SET!$R34:$U34)+SUMIF(SET!$G$158:$J$158,BY$111,SET!$W34:$Z34)</f>
        <v>0</v>
      </c>
      <c r="BZ384" s="446">
        <f>SUMIF(SET!$G$158:$J$158,BZ$111,SET!$R34:$U34)+SUMIF(SET!$G$158:$J$158,BZ$111,SET!$W34:$Z34)</f>
        <v>0</v>
      </c>
      <c r="CA384" s="446">
        <f>SUMIF(SET!$G$158:$J$158,CA$111,SET!$R34:$U34)+SUMIF(SET!$G$158:$J$158,CA$111,SET!$W34:$Z34)</f>
        <v>0</v>
      </c>
      <c r="CB384" s="448">
        <f>SUMIF(SET!$G$158:$J$158,CB$111,SET!$R34:$U34)+SUMIF(SET!$G$158:$J$158,CB$111,SET!$W34:$Z34)</f>
        <v>0</v>
      </c>
      <c r="CC384" s="571"/>
      <c r="CD384" s="448"/>
      <c r="CE384" s="92">
        <f t="shared" si="297"/>
        <v>0</v>
      </c>
      <c r="CF384" s="92">
        <f t="shared" si="298"/>
        <v>0</v>
      </c>
      <c r="CG384" s="151" t="str">
        <f t="shared" si="284"/>
        <v/>
      </c>
      <c r="CH384" s="92">
        <f t="shared" si="287"/>
        <v>0</v>
      </c>
      <c r="CI384" s="92" t="str">
        <f t="shared" si="299"/>
        <v/>
      </c>
      <c r="CJ384" s="1100">
        <f>SET!AM34</f>
        <v>0</v>
      </c>
      <c r="CK384" s="445">
        <f>SUMIF(SET!$G$155:$J$155,CK$112,SET!$AN34:$AQ34)</f>
        <v>0</v>
      </c>
      <c r="CL384" s="446">
        <f>SUMIF(SET!$G$155:$J$155,CL$112,SET!$AN34:$AQ34)</f>
        <v>0</v>
      </c>
      <c r="CM384" s="447">
        <f>SUMIF(SET!$G$155:$J$155,CM$112,SET!$AN34:$AQ34)</f>
        <v>0</v>
      </c>
      <c r="CN384" s="448">
        <f>SUMIF(SET!$G$155:$J$155,CN$112,SET!$AN34:$AQ34)</f>
        <v>0</v>
      </c>
      <c r="CO384" s="1100">
        <f>SET!AS34</f>
        <v>0</v>
      </c>
      <c r="CP384" s="445">
        <f>SET!AT34</f>
        <v>0</v>
      </c>
      <c r="CQ384" s="446">
        <f>SET!AU34</f>
        <v>0</v>
      </c>
      <c r="CR384" s="447">
        <f>SET!AV34</f>
        <v>0</v>
      </c>
      <c r="CS384" s="448">
        <f>SET!AW34</f>
        <v>0</v>
      </c>
      <c r="CT384" s="1100">
        <f>SET!AY34</f>
        <v>0</v>
      </c>
      <c r="CU384" s="2"/>
    </row>
    <row r="385" spans="1:99" ht="14.25" hidden="1" customHeight="1" x14ac:dyDescent="0.2">
      <c r="A385" s="2"/>
      <c r="B385" s="151">
        <f t="shared" si="288"/>
        <v>45563</v>
      </c>
      <c r="C385" s="223">
        <f>IF(AND(E385&gt;(N$493-1),E385&lt;(R$493+1)),W$485,IF(ISERROR(HLOOKUP(E385,$N$486:$U$486,1,FALSE)),HLOOKUP(WEEKDAY(E385,2),IMPOSTAZIONI!$C$51:$P$56,6,FALSE),$W$484))</f>
        <v>0</v>
      </c>
      <c r="D385" s="103" t="str">
        <f t="shared" si="289"/>
        <v/>
      </c>
      <c r="E385" s="2380">
        <f t="shared" si="300"/>
        <v>45563</v>
      </c>
      <c r="F385" s="2381"/>
      <c r="G385" s="2325" t="str">
        <f>SET!E35</f>
        <v xml:space="preserve">attiva trim.  </v>
      </c>
      <c r="H385" s="2326"/>
      <c r="I385" s="2327"/>
      <c r="J385" s="479" t="str">
        <f t="shared" si="285"/>
        <v/>
      </c>
      <c r="K385" s="480"/>
      <c r="L385" s="2319">
        <f t="shared" si="301"/>
        <v>39</v>
      </c>
      <c r="M385" s="2320"/>
      <c r="N385" s="478"/>
      <c r="O385" s="478"/>
      <c r="P385" s="478"/>
      <c r="Q385" s="2315">
        <f t="shared" si="290"/>
        <v>45563</v>
      </c>
      <c r="R385" s="2315"/>
      <c r="S385" s="478"/>
      <c r="T385" s="140">
        <f t="shared" si="291"/>
        <v>1</v>
      </c>
      <c r="U385" s="478"/>
      <c r="V385" s="478"/>
      <c r="W385" s="478"/>
      <c r="X385" s="478"/>
      <c r="Y385" s="478"/>
      <c r="Z385" s="478"/>
      <c r="AA385" s="478"/>
      <c r="AB385" s="478"/>
      <c r="AC385" s="478"/>
      <c r="AD385" s="478"/>
      <c r="AE385" s="478"/>
      <c r="AF385" s="478"/>
      <c r="AG385" s="140">
        <f t="shared" si="292"/>
        <v>0</v>
      </c>
      <c r="AH385" s="92" t="str">
        <f t="shared" si="293"/>
        <v/>
      </c>
      <c r="AI385" s="131">
        <f t="shared" si="294"/>
        <v>0</v>
      </c>
      <c r="AJ385" s="2"/>
      <c r="AK385" s="92">
        <f>IF(G385=G$481,0,IF(OR(G385&lt;&gt;0,CJ385&lt;&gt;0,C385="L"),COUNTIF(AK$114:AK384,"&gt;0")+1,0))</f>
        <v>0</v>
      </c>
      <c r="AL385" s="92" t="str">
        <f t="shared" si="295"/>
        <v/>
      </c>
      <c r="AM385" s="92" t="str">
        <f t="shared" si="296"/>
        <v/>
      </c>
      <c r="AN385" s="131">
        <f t="shared" si="286"/>
        <v>0</v>
      </c>
      <c r="AO385" s="447">
        <f>SUM(SET!W35:Z35)</f>
        <v>0</v>
      </c>
      <c r="AP385" s="445">
        <f>SUMIF(SET!$G$155:$J$155,AP$112,SET!$R35:$U35)</f>
        <v>0</v>
      </c>
      <c r="AQ385" s="446">
        <f>SUMIF(SET!$G$155:$J$155,AQ$112,SET!$R35:$U35)</f>
        <v>0</v>
      </c>
      <c r="AR385" s="447">
        <f>SUMIF(SET!$G$155:$J$155,AR$112,SET!$R35:$U35)</f>
        <v>0</v>
      </c>
      <c r="AS385" s="448">
        <f>SUMIF(SET!$G$155:$J$155,AS$112,SET!$R35:$U35)</f>
        <v>0</v>
      </c>
      <c r="AT385" s="449">
        <f>SET!AG35</f>
        <v>0</v>
      </c>
      <c r="AU385" s="445">
        <f>SET!AH35</f>
        <v>0</v>
      </c>
      <c r="AV385" s="446">
        <f>SET!AI35</f>
        <v>0</v>
      </c>
      <c r="AW385" s="447">
        <f>SET!AJ35</f>
        <v>0</v>
      </c>
      <c r="AX385" s="448">
        <f>SET!AK35</f>
        <v>0</v>
      </c>
      <c r="AY385" s="445">
        <f>SUMIF(SET!$G$152:$J$152,"&gt;0",SET!$W35:$Z35)</f>
        <v>0</v>
      </c>
      <c r="AZ385" s="1063">
        <f>SUM(SET!AB35:AE35)</f>
        <v>0</v>
      </c>
      <c r="BA385" s="445">
        <f>SUMIF(SET!$G$159:$J$159,BA$111,SET!$R35:$U35)+SUMIF(SET!$G$159:$J$159,BA$111,SET!$W35:$Z35)</f>
        <v>0</v>
      </c>
      <c r="BB385" s="446">
        <f>SUMIF(SET!$G$159:$J$159,BB$111,SET!$R35:$U35)+SUMIF(SET!$G$159:$J$159,BB$111,SET!$W35:$Z35)</f>
        <v>0</v>
      </c>
      <c r="BC385" s="446">
        <f>SUMIF(SET!$G$159:$J$159,BC$111,SET!$R35:$U35)+SUMIF(SET!$G$159:$J$159,BC$111,SET!$W35:$Z35)</f>
        <v>0</v>
      </c>
      <c r="BD385" s="446">
        <f>SUMIF(SET!$G$159:$J$159,BD$111,SET!$R35:$U35)+SUMIF(SET!$G$159:$J$159,BD$111,SET!$W35:$Z35)</f>
        <v>0</v>
      </c>
      <c r="BE385" s="446">
        <f>SUMIF(SET!$G$159:$J$159,BE$111,SET!$R35:$U35)+SUMIF(SET!$G$159:$J$159,BE$111,SET!$W35:$Z35)</f>
        <v>0</v>
      </c>
      <c r="BF385" s="446">
        <f>SUMIF(SET!$G$159:$J$159,BF$111,SET!$R35:$U35)+SUMIF(SET!$G$159:$J$159,BF$111,SET!$W35:$Z35)</f>
        <v>0</v>
      </c>
      <c r="BG385" s="448">
        <f>SUMIF(SET!$G$159:$J$159,BG$111,SET!$R35:$U35)+SUMIF(SET!$G$159:$J$159,BG$111,SET!$W35:$Z35)</f>
        <v>0</v>
      </c>
      <c r="BH385" s="571"/>
      <c r="BI385" s="448"/>
      <c r="BJ385" s="470"/>
      <c r="BK385" s="445">
        <f>SUMIF(SET!$G$157:$J$157,BK$111,SET!$R35:$U35)+SUMIF(SET!$G$157:$J$157,BK$111,SET!$W35:$Z35)</f>
        <v>0</v>
      </c>
      <c r="BL385" s="446">
        <f>SUMIF(SET!$G$157:$J$157,BL$111,SET!$R35:$U35)+SUMIF(SET!$G$157:$J$157,BL$111,SET!$W35:$Z35)</f>
        <v>0</v>
      </c>
      <c r="BM385" s="446">
        <f>SUMIF(SET!$G$157:$J$157,BM$111,SET!$R35:$U35)+SUMIF(SET!$G$157:$J$157,BM$111,SET!$W35:$Z35)</f>
        <v>0</v>
      </c>
      <c r="BN385" s="446">
        <f>SUMIF(SET!$G$157:$J$157,BN$111,SET!$R35:$U35)+SUMIF(SET!$G$157:$J$157,BN$111,SET!$W35:$Z35)</f>
        <v>0</v>
      </c>
      <c r="BO385" s="446">
        <f>SUMIF(SET!$G$157:$J$157,BO$111,SET!$R35:$U35)+SUMIF(SET!$G$157:$J$157,BO$111,SET!$W35:$Z35)</f>
        <v>0</v>
      </c>
      <c r="BP385" s="446">
        <f>SUMIF(SET!$G$157:$J$157,BP$111,SET!$R35:$U35)+SUMIF(SET!$G$157:$J$157,BP$111,SET!$W35:$Z35)</f>
        <v>0</v>
      </c>
      <c r="BQ385" s="448">
        <f>SUMIF(SET!$G$157:$J$157,BQ$111,SET!$R35:$U35)+SUMIF(SET!$G$157:$J$157,BQ$111,SET!$W35:$Z35)</f>
        <v>0</v>
      </c>
      <c r="BR385" s="571"/>
      <c r="BS385" s="446"/>
      <c r="BT385" s="448"/>
      <c r="BU385" s="470"/>
      <c r="BV385" s="445">
        <f>SUMIF(SET!$G$158:$J$158,BV$111,SET!$R35:$U35)+SUMIF(SET!$G$158:$J$158,BV$111,SET!$W35:$Z35)</f>
        <v>0</v>
      </c>
      <c r="BW385" s="446">
        <f>SUMIF(SET!$G$158:$J$158,BW$111,SET!$R35:$U35)+SUMIF(SET!$G$158:$J$158,BW$111,SET!$W35:$Z35)</f>
        <v>0</v>
      </c>
      <c r="BX385" s="446">
        <f>SUMIF(SET!$G$158:$J$158,BX$111,SET!$R35:$U35)+SUMIF(SET!$G$158:$J$158,BX$111,SET!$W35:$Z35)</f>
        <v>0</v>
      </c>
      <c r="BY385" s="446">
        <f>SUMIF(SET!$G$158:$J$158,BY$111,SET!$R35:$U35)+SUMIF(SET!$G$158:$J$158,BY$111,SET!$W35:$Z35)</f>
        <v>0</v>
      </c>
      <c r="BZ385" s="446">
        <f>SUMIF(SET!$G$158:$J$158,BZ$111,SET!$R35:$U35)+SUMIF(SET!$G$158:$J$158,BZ$111,SET!$W35:$Z35)</f>
        <v>0</v>
      </c>
      <c r="CA385" s="446">
        <f>SUMIF(SET!$G$158:$J$158,CA$111,SET!$R35:$U35)+SUMIF(SET!$G$158:$J$158,CA$111,SET!$W35:$Z35)</f>
        <v>0</v>
      </c>
      <c r="CB385" s="448">
        <f>SUMIF(SET!$G$158:$J$158,CB$111,SET!$R35:$U35)+SUMIF(SET!$G$158:$J$158,CB$111,SET!$W35:$Z35)</f>
        <v>0</v>
      </c>
      <c r="CC385" s="571"/>
      <c r="CD385" s="448"/>
      <c r="CE385" s="92">
        <f t="shared" si="297"/>
        <v>0</v>
      </c>
      <c r="CF385" s="92">
        <f t="shared" si="298"/>
        <v>0</v>
      </c>
      <c r="CG385" s="151" t="str">
        <f t="shared" si="284"/>
        <v/>
      </c>
      <c r="CH385" s="92">
        <f t="shared" si="287"/>
        <v>0</v>
      </c>
      <c r="CI385" s="92" t="str">
        <f t="shared" si="299"/>
        <v/>
      </c>
      <c r="CJ385" s="1100">
        <f>SET!AM35</f>
        <v>0</v>
      </c>
      <c r="CK385" s="445">
        <f>SUMIF(SET!$G$155:$J$155,CK$112,SET!$AN35:$AQ35)</f>
        <v>0</v>
      </c>
      <c r="CL385" s="446">
        <f>SUMIF(SET!$G$155:$J$155,CL$112,SET!$AN35:$AQ35)</f>
        <v>0</v>
      </c>
      <c r="CM385" s="447">
        <f>SUMIF(SET!$G$155:$J$155,CM$112,SET!$AN35:$AQ35)</f>
        <v>0</v>
      </c>
      <c r="CN385" s="448">
        <f>SUMIF(SET!$G$155:$J$155,CN$112,SET!$AN35:$AQ35)</f>
        <v>0</v>
      </c>
      <c r="CO385" s="1100">
        <f>SET!AS35</f>
        <v>0</v>
      </c>
      <c r="CP385" s="445">
        <f>SET!AT35</f>
        <v>0</v>
      </c>
      <c r="CQ385" s="446">
        <f>SET!AU35</f>
        <v>0</v>
      </c>
      <c r="CR385" s="447">
        <f>SET!AV35</f>
        <v>0</v>
      </c>
      <c r="CS385" s="448">
        <f>SET!AW35</f>
        <v>0</v>
      </c>
      <c r="CT385" s="1100">
        <f>SET!AY35</f>
        <v>0</v>
      </c>
      <c r="CU385" s="2"/>
    </row>
    <row r="386" spans="1:99" ht="14.25" hidden="1" customHeight="1" x14ac:dyDescent="0.2">
      <c r="A386" s="2"/>
      <c r="B386" s="151">
        <f t="shared" si="288"/>
        <v>45564</v>
      </c>
      <c r="C386" s="223">
        <f>IF(AND(E386&gt;(N$493-1),E386&lt;(R$493+1)),W$485,IF(ISERROR(HLOOKUP(E386,$N$486:$U$486,1,FALSE)),HLOOKUP(WEEKDAY(E386,2),IMPOSTAZIONI!$C$51:$P$56,6,FALSE),$W$484))</f>
        <v>0</v>
      </c>
      <c r="D386" s="103" t="str">
        <f t="shared" si="289"/>
        <v/>
      </c>
      <c r="E386" s="2380">
        <f t="shared" si="300"/>
        <v>45564</v>
      </c>
      <c r="F386" s="2381"/>
      <c r="G386" s="2325" t="str">
        <f>SET!E36</f>
        <v xml:space="preserve">attiva trim.  </v>
      </c>
      <c r="H386" s="2326"/>
      <c r="I386" s="2327"/>
      <c r="J386" s="479" t="str">
        <f t="shared" si="285"/>
        <v/>
      </c>
      <c r="K386" s="480"/>
      <c r="L386" s="2321">
        <f t="shared" si="301"/>
        <v>39</v>
      </c>
      <c r="M386" s="2322"/>
      <c r="N386" s="478"/>
      <c r="O386" s="478"/>
      <c r="P386" s="478"/>
      <c r="Q386" s="2315">
        <f t="shared" si="290"/>
        <v>45564</v>
      </c>
      <c r="R386" s="2315"/>
      <c r="S386" s="478"/>
      <c r="T386" s="140">
        <f t="shared" si="291"/>
        <v>1</v>
      </c>
      <c r="U386" s="478"/>
      <c r="V386" s="478"/>
      <c r="W386" s="478"/>
      <c r="X386" s="478"/>
      <c r="Y386" s="478"/>
      <c r="Z386" s="478"/>
      <c r="AA386" s="478"/>
      <c r="AB386" s="478"/>
      <c r="AC386" s="478"/>
      <c r="AD386" s="478"/>
      <c r="AE386" s="478"/>
      <c r="AF386" s="478"/>
      <c r="AG386" s="140">
        <f t="shared" si="292"/>
        <v>0</v>
      </c>
      <c r="AH386" s="92" t="str">
        <f t="shared" si="293"/>
        <v/>
      </c>
      <c r="AI386" s="131">
        <f t="shared" si="294"/>
        <v>0</v>
      </c>
      <c r="AJ386" s="2"/>
      <c r="AK386" s="92">
        <f>IF(G386=G$481,0,IF(OR(G386&lt;&gt;0,CJ386&lt;&gt;0,C386="L"),COUNTIF(AK$114:AK385,"&gt;0")+1,0))</f>
        <v>0</v>
      </c>
      <c r="AL386" s="92" t="str">
        <f t="shared" si="295"/>
        <v/>
      </c>
      <c r="AM386" s="92" t="str">
        <f t="shared" si="296"/>
        <v/>
      </c>
      <c r="AN386" s="131">
        <f t="shared" si="286"/>
        <v>0</v>
      </c>
      <c r="AO386" s="447">
        <f>SUM(SET!W36:Z36)</f>
        <v>0</v>
      </c>
      <c r="AP386" s="445">
        <f>SUMIF(SET!$G$155:$J$155,AP$112,SET!$R36:$U36)</f>
        <v>0</v>
      </c>
      <c r="AQ386" s="446">
        <f>SUMIF(SET!$G$155:$J$155,AQ$112,SET!$R36:$U36)</f>
        <v>0</v>
      </c>
      <c r="AR386" s="447">
        <f>SUMIF(SET!$G$155:$J$155,AR$112,SET!$R36:$U36)</f>
        <v>0</v>
      </c>
      <c r="AS386" s="448">
        <f>SUMIF(SET!$G$155:$J$155,AS$112,SET!$R36:$U36)</f>
        <v>0</v>
      </c>
      <c r="AT386" s="449">
        <f>SET!AG36</f>
        <v>0</v>
      </c>
      <c r="AU386" s="445">
        <f>SET!AH36</f>
        <v>0</v>
      </c>
      <c r="AV386" s="446">
        <f>SET!AI36</f>
        <v>0</v>
      </c>
      <c r="AW386" s="447">
        <f>SET!AJ36</f>
        <v>0</v>
      </c>
      <c r="AX386" s="448">
        <f>SET!AK36</f>
        <v>0</v>
      </c>
      <c r="AY386" s="445">
        <f>SUMIF(SET!$G$152:$J$152,"&gt;0",SET!$W36:$Z36)</f>
        <v>0</v>
      </c>
      <c r="AZ386" s="1063">
        <f>SUM(SET!AB36:AE36)</f>
        <v>0</v>
      </c>
      <c r="BA386" s="445">
        <f>SUMIF(SET!$G$159:$J$159,BA$111,SET!$R36:$U36)+SUMIF(SET!$G$159:$J$159,BA$111,SET!$W36:$Z36)</f>
        <v>0</v>
      </c>
      <c r="BB386" s="446">
        <f>SUMIF(SET!$G$159:$J$159,BB$111,SET!$R36:$U36)+SUMIF(SET!$G$159:$J$159,BB$111,SET!$W36:$Z36)</f>
        <v>0</v>
      </c>
      <c r="BC386" s="446">
        <f>SUMIF(SET!$G$159:$J$159,BC$111,SET!$R36:$U36)+SUMIF(SET!$G$159:$J$159,BC$111,SET!$W36:$Z36)</f>
        <v>0</v>
      </c>
      <c r="BD386" s="446">
        <f>SUMIF(SET!$G$159:$J$159,BD$111,SET!$R36:$U36)+SUMIF(SET!$G$159:$J$159,BD$111,SET!$W36:$Z36)</f>
        <v>0</v>
      </c>
      <c r="BE386" s="446">
        <f>SUMIF(SET!$G$159:$J$159,BE$111,SET!$R36:$U36)+SUMIF(SET!$G$159:$J$159,BE$111,SET!$W36:$Z36)</f>
        <v>0</v>
      </c>
      <c r="BF386" s="446">
        <f>SUMIF(SET!$G$159:$J$159,BF$111,SET!$R36:$U36)+SUMIF(SET!$G$159:$J$159,BF$111,SET!$W36:$Z36)</f>
        <v>0</v>
      </c>
      <c r="BG386" s="448">
        <f>SUMIF(SET!$G$159:$J$159,BG$111,SET!$R36:$U36)+SUMIF(SET!$G$159:$J$159,BG$111,SET!$W36:$Z36)</f>
        <v>0</v>
      </c>
      <c r="BH386" s="571"/>
      <c r="BI386" s="448"/>
      <c r="BJ386" s="470"/>
      <c r="BK386" s="445">
        <f>SUMIF(SET!$G$157:$J$157,BK$111,SET!$R36:$U36)+SUMIF(SET!$G$157:$J$157,BK$111,SET!$W36:$Z36)</f>
        <v>0</v>
      </c>
      <c r="BL386" s="446">
        <f>SUMIF(SET!$G$157:$J$157,BL$111,SET!$R36:$U36)+SUMIF(SET!$G$157:$J$157,BL$111,SET!$W36:$Z36)</f>
        <v>0</v>
      </c>
      <c r="BM386" s="446">
        <f>SUMIF(SET!$G$157:$J$157,BM$111,SET!$R36:$U36)+SUMIF(SET!$G$157:$J$157,BM$111,SET!$W36:$Z36)</f>
        <v>0</v>
      </c>
      <c r="BN386" s="446">
        <f>SUMIF(SET!$G$157:$J$157,BN$111,SET!$R36:$U36)+SUMIF(SET!$G$157:$J$157,BN$111,SET!$W36:$Z36)</f>
        <v>0</v>
      </c>
      <c r="BO386" s="446">
        <f>SUMIF(SET!$G$157:$J$157,BO$111,SET!$R36:$U36)+SUMIF(SET!$G$157:$J$157,BO$111,SET!$W36:$Z36)</f>
        <v>0</v>
      </c>
      <c r="BP386" s="446">
        <f>SUMIF(SET!$G$157:$J$157,BP$111,SET!$R36:$U36)+SUMIF(SET!$G$157:$J$157,BP$111,SET!$W36:$Z36)</f>
        <v>0</v>
      </c>
      <c r="BQ386" s="448">
        <f>SUMIF(SET!$G$157:$J$157,BQ$111,SET!$R36:$U36)+SUMIF(SET!$G$157:$J$157,BQ$111,SET!$W36:$Z36)</f>
        <v>0</v>
      </c>
      <c r="BR386" s="571"/>
      <c r="BS386" s="446"/>
      <c r="BT386" s="448"/>
      <c r="BU386" s="470"/>
      <c r="BV386" s="445">
        <f>SUMIF(SET!$G$158:$J$158,BV$111,SET!$R36:$U36)+SUMIF(SET!$G$158:$J$158,BV$111,SET!$W36:$Z36)</f>
        <v>0</v>
      </c>
      <c r="BW386" s="446">
        <f>SUMIF(SET!$G$158:$J$158,BW$111,SET!$R36:$U36)+SUMIF(SET!$G$158:$J$158,BW$111,SET!$W36:$Z36)</f>
        <v>0</v>
      </c>
      <c r="BX386" s="446">
        <f>SUMIF(SET!$G$158:$J$158,BX$111,SET!$R36:$U36)+SUMIF(SET!$G$158:$J$158,BX$111,SET!$W36:$Z36)</f>
        <v>0</v>
      </c>
      <c r="BY386" s="446">
        <f>SUMIF(SET!$G$158:$J$158,BY$111,SET!$R36:$U36)+SUMIF(SET!$G$158:$J$158,BY$111,SET!$W36:$Z36)</f>
        <v>0</v>
      </c>
      <c r="BZ386" s="446">
        <f>SUMIF(SET!$G$158:$J$158,BZ$111,SET!$R36:$U36)+SUMIF(SET!$G$158:$J$158,BZ$111,SET!$W36:$Z36)</f>
        <v>0</v>
      </c>
      <c r="CA386" s="446">
        <f>SUMIF(SET!$G$158:$J$158,CA$111,SET!$R36:$U36)+SUMIF(SET!$G$158:$J$158,CA$111,SET!$W36:$Z36)</f>
        <v>0</v>
      </c>
      <c r="CB386" s="448">
        <f>SUMIF(SET!$G$158:$J$158,CB$111,SET!$R36:$U36)+SUMIF(SET!$G$158:$J$158,CB$111,SET!$W36:$Z36)</f>
        <v>0</v>
      </c>
      <c r="CC386" s="571"/>
      <c r="CD386" s="448"/>
      <c r="CE386" s="92">
        <f t="shared" si="297"/>
        <v>0</v>
      </c>
      <c r="CF386" s="92">
        <f t="shared" si="298"/>
        <v>0</v>
      </c>
      <c r="CG386" s="151" t="str">
        <f t="shared" si="284"/>
        <v/>
      </c>
      <c r="CH386" s="92">
        <f t="shared" si="287"/>
        <v>0</v>
      </c>
      <c r="CI386" s="92" t="str">
        <f t="shared" si="299"/>
        <v/>
      </c>
      <c r="CJ386" s="1100">
        <f>SET!AM36</f>
        <v>0</v>
      </c>
      <c r="CK386" s="445">
        <f>SUMIF(SET!$G$155:$J$155,CK$112,SET!$AN36:$AQ36)</f>
        <v>0</v>
      </c>
      <c r="CL386" s="446">
        <f>SUMIF(SET!$G$155:$J$155,CL$112,SET!$AN36:$AQ36)</f>
        <v>0</v>
      </c>
      <c r="CM386" s="447">
        <f>SUMIF(SET!$G$155:$J$155,CM$112,SET!$AN36:$AQ36)</f>
        <v>0</v>
      </c>
      <c r="CN386" s="448">
        <f>SUMIF(SET!$G$155:$J$155,CN$112,SET!$AN36:$AQ36)</f>
        <v>0</v>
      </c>
      <c r="CO386" s="1100">
        <f>SET!AS36</f>
        <v>0</v>
      </c>
      <c r="CP386" s="445">
        <f>SET!AT36</f>
        <v>0</v>
      </c>
      <c r="CQ386" s="446">
        <f>SET!AU36</f>
        <v>0</v>
      </c>
      <c r="CR386" s="447">
        <f>SET!AV36</f>
        <v>0</v>
      </c>
      <c r="CS386" s="448">
        <f>SET!AW36</f>
        <v>0</v>
      </c>
      <c r="CT386" s="1100">
        <f>SET!AY36</f>
        <v>0</v>
      </c>
      <c r="CU386" s="2"/>
    </row>
    <row r="387" spans="1:99" ht="14.25" hidden="1" customHeight="1" x14ac:dyDescent="0.2">
      <c r="A387" s="2"/>
      <c r="B387" s="151">
        <f t="shared" si="288"/>
        <v>45565</v>
      </c>
      <c r="C387" s="223">
        <f>IF(AND(E387&gt;(N$493-1),E387&lt;(R$493+1)),W$485,IF(ISERROR(HLOOKUP(E387,$N$486:$U$486,1,FALSE)),HLOOKUP(WEEKDAY(E387,2),IMPOSTAZIONI!$C$51:$P$56,6,FALSE),$W$484))</f>
        <v>0</v>
      </c>
      <c r="D387" s="103" t="str">
        <f t="shared" si="289"/>
        <v/>
      </c>
      <c r="E387" s="2380">
        <f t="shared" si="300"/>
        <v>45565</v>
      </c>
      <c r="F387" s="2381"/>
      <c r="G387" s="2325" t="str">
        <f>SET!E37</f>
        <v xml:space="preserve">attiva trim.  </v>
      </c>
      <c r="H387" s="2326"/>
      <c r="I387" s="2327"/>
      <c r="J387" s="479" t="str">
        <f t="shared" si="285"/>
        <v/>
      </c>
      <c r="K387" s="480"/>
      <c r="L387" s="2323">
        <f t="shared" si="301"/>
        <v>40</v>
      </c>
      <c r="M387" s="2324"/>
      <c r="N387" s="478"/>
      <c r="O387" s="478"/>
      <c r="P387" s="478"/>
      <c r="Q387" s="2315">
        <f t="shared" si="290"/>
        <v>45565</v>
      </c>
      <c r="R387" s="2315"/>
      <c r="S387" s="478"/>
      <c r="T387" s="140">
        <f t="shared" si="291"/>
        <v>1</v>
      </c>
      <c r="U387" s="478"/>
      <c r="V387" s="478"/>
      <c r="W387" s="478"/>
      <c r="X387" s="478"/>
      <c r="Y387" s="478"/>
      <c r="Z387" s="478"/>
      <c r="AA387" s="478"/>
      <c r="AB387" s="478"/>
      <c r="AC387" s="478"/>
      <c r="AD387" s="478"/>
      <c r="AE387" s="478"/>
      <c r="AF387" s="478"/>
      <c r="AG387" s="140">
        <f t="shared" si="292"/>
        <v>0</v>
      </c>
      <c r="AH387" s="92" t="str">
        <f t="shared" si="293"/>
        <v/>
      </c>
      <c r="AI387" s="131">
        <f t="shared" si="294"/>
        <v>0</v>
      </c>
      <c r="AJ387" s="2"/>
      <c r="AK387" s="92">
        <f>IF(G387=G$481,0,IF(OR(G387&lt;&gt;0,CJ387&lt;&gt;0,C387="L"),COUNTIF(AK$114:AK386,"&gt;0")+1,0))</f>
        <v>0</v>
      </c>
      <c r="AL387" s="92" t="str">
        <f t="shared" si="295"/>
        <v/>
      </c>
      <c r="AM387" s="92" t="str">
        <f t="shared" si="296"/>
        <v/>
      </c>
      <c r="AN387" s="131">
        <f t="shared" si="286"/>
        <v>0</v>
      </c>
      <c r="AO387" s="452">
        <f>SUM(SET!W37:Z37)</f>
        <v>0</v>
      </c>
      <c r="AP387" s="450">
        <f>SUMIF(SET!$G$155:$J$155,AP$112,SET!$R37:$U37)</f>
        <v>0</v>
      </c>
      <c r="AQ387" s="451">
        <f>SUMIF(SET!$G$155:$J$155,AQ$112,SET!$R37:$U37)</f>
        <v>0</v>
      </c>
      <c r="AR387" s="452">
        <f>SUMIF(SET!$G$155:$J$155,AR$112,SET!$R37:$U37)</f>
        <v>0</v>
      </c>
      <c r="AS387" s="453">
        <f>SUMIF(SET!$G$155:$J$155,AS$112,SET!$R37:$U37)</f>
        <v>0</v>
      </c>
      <c r="AT387" s="454">
        <f>SET!AG37</f>
        <v>0</v>
      </c>
      <c r="AU387" s="450">
        <f>SET!AH37</f>
        <v>0</v>
      </c>
      <c r="AV387" s="451">
        <f>SET!AI37</f>
        <v>0</v>
      </c>
      <c r="AW387" s="452">
        <f>SET!AJ37</f>
        <v>0</v>
      </c>
      <c r="AX387" s="453">
        <f>SET!AK37</f>
        <v>0</v>
      </c>
      <c r="AY387" s="450">
        <f>SUMIF(SET!$G$152:$J$152,"&gt;0",SET!$W37:$Z37)</f>
        <v>0</v>
      </c>
      <c r="AZ387" s="1064">
        <f>SUM(SET!AB37:AE37)</f>
        <v>0</v>
      </c>
      <c r="BA387" s="450">
        <f>SUMIF(SET!$G$159:$J$159,BA$111,SET!$R37:$U37)+SUMIF(SET!$G$159:$J$159,BA$111,SET!$W37:$Z37)</f>
        <v>0</v>
      </c>
      <c r="BB387" s="451">
        <f>SUMIF(SET!$G$159:$J$159,BB$111,SET!$R37:$U37)+SUMIF(SET!$G$159:$J$159,BB$111,SET!$W37:$Z37)</f>
        <v>0</v>
      </c>
      <c r="BC387" s="451">
        <f>SUMIF(SET!$G$159:$J$159,BC$111,SET!$R37:$U37)+SUMIF(SET!$G$159:$J$159,BC$111,SET!$W37:$Z37)</f>
        <v>0</v>
      </c>
      <c r="BD387" s="451">
        <f>SUMIF(SET!$G$159:$J$159,BD$111,SET!$R37:$U37)+SUMIF(SET!$G$159:$J$159,BD$111,SET!$W37:$Z37)</f>
        <v>0</v>
      </c>
      <c r="BE387" s="451">
        <f>SUMIF(SET!$G$159:$J$159,BE$111,SET!$R37:$U37)+SUMIF(SET!$G$159:$J$159,BE$111,SET!$W37:$Z37)</f>
        <v>0</v>
      </c>
      <c r="BF387" s="451">
        <f>SUMIF(SET!$G$159:$J$159,BF$111,SET!$R37:$U37)+SUMIF(SET!$G$159:$J$159,BF$111,SET!$W37:$Z37)</f>
        <v>0</v>
      </c>
      <c r="BG387" s="453">
        <f>SUMIF(SET!$G$159:$J$159,BG$111,SET!$R37:$U37)+SUMIF(SET!$G$159:$J$159,BG$111,SET!$W37:$Z37)</f>
        <v>0</v>
      </c>
      <c r="BH387" s="572"/>
      <c r="BI387" s="453"/>
      <c r="BJ387" s="470"/>
      <c r="BK387" s="450">
        <f>SUMIF(SET!$G$157:$J$157,BK$111,SET!$R37:$U37)+SUMIF(SET!$G$157:$J$157,BK$111,SET!$W37:$Z37)</f>
        <v>0</v>
      </c>
      <c r="BL387" s="451">
        <f>SUMIF(SET!$G$157:$J$157,BL$111,SET!$R37:$U37)+SUMIF(SET!$G$157:$J$157,BL$111,SET!$W37:$Z37)</f>
        <v>0</v>
      </c>
      <c r="BM387" s="451">
        <f>SUMIF(SET!$G$157:$J$157,BM$111,SET!$R37:$U37)+SUMIF(SET!$G$157:$J$157,BM$111,SET!$W37:$Z37)</f>
        <v>0</v>
      </c>
      <c r="BN387" s="451">
        <f>SUMIF(SET!$G$157:$J$157,BN$111,SET!$R37:$U37)+SUMIF(SET!$G$157:$J$157,BN$111,SET!$W37:$Z37)</f>
        <v>0</v>
      </c>
      <c r="BO387" s="451">
        <f>SUMIF(SET!$G$157:$J$157,BO$111,SET!$R37:$U37)+SUMIF(SET!$G$157:$J$157,BO$111,SET!$W37:$Z37)</f>
        <v>0</v>
      </c>
      <c r="BP387" s="451">
        <f>SUMIF(SET!$G$157:$J$157,BP$111,SET!$R37:$U37)+SUMIF(SET!$G$157:$J$157,BP$111,SET!$W37:$Z37)</f>
        <v>0</v>
      </c>
      <c r="BQ387" s="453">
        <f>SUMIF(SET!$G$157:$J$157,BQ$111,SET!$R37:$U37)+SUMIF(SET!$G$157:$J$157,BQ$111,SET!$W37:$Z37)</f>
        <v>0</v>
      </c>
      <c r="BR387" s="572"/>
      <c r="BS387" s="451"/>
      <c r="BT387" s="453"/>
      <c r="BU387" s="470"/>
      <c r="BV387" s="450">
        <f>SUMIF(SET!$G$158:$J$158,BV$111,SET!$R37:$U37)+SUMIF(SET!$G$158:$J$158,BV$111,SET!$W37:$Z37)</f>
        <v>0</v>
      </c>
      <c r="BW387" s="451">
        <f>SUMIF(SET!$G$158:$J$158,BW$111,SET!$R37:$U37)+SUMIF(SET!$G$158:$J$158,BW$111,SET!$W37:$Z37)</f>
        <v>0</v>
      </c>
      <c r="BX387" s="451">
        <f>SUMIF(SET!$G$158:$J$158,BX$111,SET!$R37:$U37)+SUMIF(SET!$G$158:$J$158,BX$111,SET!$W37:$Z37)</f>
        <v>0</v>
      </c>
      <c r="BY387" s="451">
        <f>SUMIF(SET!$G$158:$J$158,BY$111,SET!$R37:$U37)+SUMIF(SET!$G$158:$J$158,BY$111,SET!$W37:$Z37)</f>
        <v>0</v>
      </c>
      <c r="BZ387" s="451">
        <f>SUMIF(SET!$G$158:$J$158,BZ$111,SET!$R37:$U37)+SUMIF(SET!$G$158:$J$158,BZ$111,SET!$W37:$Z37)</f>
        <v>0</v>
      </c>
      <c r="CA387" s="451">
        <f>SUMIF(SET!$G$158:$J$158,CA$111,SET!$R37:$U37)+SUMIF(SET!$G$158:$J$158,CA$111,SET!$W37:$Z37)</f>
        <v>0</v>
      </c>
      <c r="CB387" s="453">
        <f>SUMIF(SET!$G$158:$J$158,CB$111,SET!$R37:$U37)+SUMIF(SET!$G$158:$J$158,CB$111,SET!$W37:$Z37)</f>
        <v>0</v>
      </c>
      <c r="CC387" s="572"/>
      <c r="CD387" s="453"/>
      <c r="CE387" s="92">
        <f t="shared" si="297"/>
        <v>0</v>
      </c>
      <c r="CF387" s="92">
        <f t="shared" si="298"/>
        <v>0</v>
      </c>
      <c r="CG387" s="151" t="str">
        <f t="shared" si="284"/>
        <v/>
      </c>
      <c r="CH387" s="92">
        <f t="shared" si="287"/>
        <v>0</v>
      </c>
      <c r="CI387" s="92" t="str">
        <f t="shared" si="299"/>
        <v/>
      </c>
      <c r="CJ387" s="1101">
        <f>SET!AM37</f>
        <v>0</v>
      </c>
      <c r="CK387" s="450">
        <f>SUMIF(SET!$G$155:$J$155,CK$112,SET!$AN37:$AQ37)</f>
        <v>0</v>
      </c>
      <c r="CL387" s="451">
        <f>SUMIF(SET!$G$155:$J$155,CL$112,SET!$AN37:$AQ37)</f>
        <v>0</v>
      </c>
      <c r="CM387" s="452">
        <f>SUMIF(SET!$G$155:$J$155,CM$112,SET!$AN37:$AQ37)</f>
        <v>0</v>
      </c>
      <c r="CN387" s="453">
        <f>SUMIF(SET!$G$155:$J$155,CN$112,SET!$AN37:$AQ37)</f>
        <v>0</v>
      </c>
      <c r="CO387" s="1101">
        <f>SET!AS37</f>
        <v>0</v>
      </c>
      <c r="CP387" s="450">
        <f>SET!AT37</f>
        <v>0</v>
      </c>
      <c r="CQ387" s="451">
        <f>SET!AU37</f>
        <v>0</v>
      </c>
      <c r="CR387" s="452">
        <f>SET!AV37</f>
        <v>0</v>
      </c>
      <c r="CS387" s="453">
        <f>SET!AW37</f>
        <v>0</v>
      </c>
      <c r="CT387" s="1101">
        <f>SET!AY37</f>
        <v>0</v>
      </c>
      <c r="CU387" s="2"/>
    </row>
    <row r="388" spans="1:99" ht="14.25" hidden="1" customHeight="1" x14ac:dyDescent="0.2">
      <c r="A388" s="2"/>
      <c r="B388" s="151">
        <f t="shared" si="288"/>
        <v>45566</v>
      </c>
      <c r="C388" s="223">
        <f>IF(AND(E388&gt;(N$494-1),E388&lt;(R$494+1)),W$485,IF(ISERROR(HLOOKUP(E388,$N$487:$U$487,1,FALSE)),HLOOKUP(WEEKDAY(E388,2),IMPOSTAZIONI!$C$51:$P$56,6,FALSE),$W$484))</f>
        <v>0</v>
      </c>
      <c r="D388" s="103" t="str">
        <f t="shared" si="289"/>
        <v/>
      </c>
      <c r="E388" s="2447">
        <f t="shared" si="300"/>
        <v>45566</v>
      </c>
      <c r="F388" s="2448"/>
      <c r="G388" s="2449" t="str">
        <f>OTT!E8</f>
        <v xml:space="preserve">attiva trim.  </v>
      </c>
      <c r="H388" s="2450"/>
      <c r="I388" s="2451"/>
      <c r="J388" s="479" t="str">
        <f t="shared" si="285"/>
        <v/>
      </c>
      <c r="K388" s="480"/>
      <c r="L388" s="2319">
        <f t="shared" si="301"/>
        <v>40</v>
      </c>
      <c r="M388" s="2320"/>
      <c r="N388" s="478"/>
      <c r="O388" s="478"/>
      <c r="P388" s="478"/>
      <c r="Q388" s="2315">
        <f t="shared" si="290"/>
        <v>45566</v>
      </c>
      <c r="R388" s="2315"/>
      <c r="S388" s="478"/>
      <c r="T388" s="140">
        <f t="shared" si="291"/>
        <v>1</v>
      </c>
      <c r="U388" s="478"/>
      <c r="V388" s="478"/>
      <c r="W388" s="478"/>
      <c r="X388" s="478"/>
      <c r="Y388" s="478"/>
      <c r="Z388" s="478"/>
      <c r="AA388" s="478"/>
      <c r="AB388" s="478"/>
      <c r="AC388" s="478"/>
      <c r="AD388" s="478"/>
      <c r="AE388" s="478"/>
      <c r="AF388" s="478"/>
      <c r="AG388" s="140">
        <f t="shared" si="292"/>
        <v>0</v>
      </c>
      <c r="AH388" s="92" t="str">
        <f t="shared" si="293"/>
        <v/>
      </c>
      <c r="AI388" s="131">
        <f t="shared" si="294"/>
        <v>0</v>
      </c>
      <c r="AJ388" s="131">
        <f>IF(G388=G481,0,COUNTIF(T388:T418,"&gt;0"))</f>
        <v>0</v>
      </c>
      <c r="AK388" s="92">
        <f>IF(G388=G$481,0,IF(OR(G388&lt;&gt;0,CJ388&lt;&gt;0,C388="L"),COUNTIF(AK$114:AK387,"&gt;0")+1,0))</f>
        <v>0</v>
      </c>
      <c r="AL388" s="92" t="str">
        <f t="shared" si="295"/>
        <v/>
      </c>
      <c r="AM388" s="92" t="str">
        <f t="shared" si="296"/>
        <v/>
      </c>
      <c r="AN388" s="131">
        <f t="shared" si="286"/>
        <v>0</v>
      </c>
      <c r="AO388" s="447">
        <f>SUM(OTT!W8:Z8)</f>
        <v>0</v>
      </c>
      <c r="AP388" s="445">
        <f>SUMIF(OTT!$G$155:$J$155,AP$112,OTT!$R8:$U8)</f>
        <v>0</v>
      </c>
      <c r="AQ388" s="446">
        <f>SUMIF(OTT!$G$155:$J$155,AQ$112,OTT!$R8:$U8)</f>
        <v>0</v>
      </c>
      <c r="AR388" s="447">
        <f>SUMIF(OTT!$G$155:$J$155,AR$112,OTT!$R8:$U8)</f>
        <v>0</v>
      </c>
      <c r="AS388" s="448">
        <f>SUMIF(OTT!$G$155:$J$155,AS$112,OTT!$R8:$U8)</f>
        <v>0</v>
      </c>
      <c r="AT388" s="449">
        <f>OTT!AG8</f>
        <v>0</v>
      </c>
      <c r="AU388" s="445">
        <f>OTT!AH8</f>
        <v>0</v>
      </c>
      <c r="AV388" s="446">
        <f>OTT!AI8</f>
        <v>0</v>
      </c>
      <c r="AW388" s="447">
        <f>OTT!AJ8</f>
        <v>0</v>
      </c>
      <c r="AX388" s="448">
        <f>OTT!AK8</f>
        <v>0</v>
      </c>
      <c r="AY388" s="445">
        <f>SUMIF(OTT!$G$152:$J$152,"&gt;0",OTT!$W8:$Z8)</f>
        <v>0</v>
      </c>
      <c r="AZ388" s="1062">
        <f>SUM(OTT!AB8:AE8)</f>
        <v>0</v>
      </c>
      <c r="BA388" s="472">
        <f>SUMIF(OTT!$G$159:$J$159,BA$111,OTT!$R8:$U8)+SUMIF(OTT!$G$159:$J$159,BA$111,OTT!$W8:$Z8)</f>
        <v>0</v>
      </c>
      <c r="BB388" s="473">
        <f>SUMIF(OTT!$G$159:$J$159,BB$111,OTT!$R8:$U8)+SUMIF(OTT!$G$159:$J$159,BB$111,OTT!$W8:$Z8)</f>
        <v>0</v>
      </c>
      <c r="BC388" s="473">
        <f>SUMIF(OTT!$G$159:$J$159,BC$111,OTT!$R8:$U8)+SUMIF(OTT!$G$159:$J$159,BC$111,OTT!$W8:$Z8)</f>
        <v>0</v>
      </c>
      <c r="BD388" s="473">
        <f>SUMIF(OTT!$G$159:$J$159,BD$111,OTT!$R8:$U8)+SUMIF(OTT!$G$159:$J$159,BD$111,OTT!$W8:$Z8)</f>
        <v>0</v>
      </c>
      <c r="BE388" s="473">
        <f>SUMIF(OTT!$G$159:$J$159,BE$111,OTT!$R8:$U8)+SUMIF(OTT!$G$159:$J$159,BE$111,OTT!$W8:$Z8)</f>
        <v>0</v>
      </c>
      <c r="BF388" s="473">
        <f>SUMIF(OTT!$G$159:$J$159,BF$111,OTT!$R8:$U8)+SUMIF(OTT!$G$159:$J$159,BF$111,OTT!$W8:$Z8)</f>
        <v>0</v>
      </c>
      <c r="BG388" s="474">
        <f>SUMIF(OTT!$G$159:$J$159,BG$111,OTT!$R8:$U8)+SUMIF(OTT!$G$159:$J$159,BG$111,OTT!$W8:$Z8)</f>
        <v>0</v>
      </c>
      <c r="BH388" s="570"/>
      <c r="BI388" s="474"/>
      <c r="BJ388" s="470"/>
      <c r="BK388" s="472">
        <f>SUMIF(OTT!$G$157:$J$157,BK$111,OTT!$R8:$U8)+SUMIF(OTT!$G$157:$J$157,BK$111,OTT!$W8:$Z8)</f>
        <v>0</v>
      </c>
      <c r="BL388" s="473">
        <f>SUMIF(OTT!$G$157:$J$157,BL$111,OTT!$R8:$U8)+SUMIF(OTT!$G$157:$J$157,BL$111,OTT!$W8:$Z8)</f>
        <v>0</v>
      </c>
      <c r="BM388" s="473">
        <f>SUMIF(OTT!$G$157:$J$157,BM$111,OTT!$R8:$U8)+SUMIF(OTT!$G$157:$J$157,BM$111,OTT!$W8:$Z8)</f>
        <v>0</v>
      </c>
      <c r="BN388" s="473">
        <f>SUMIF(OTT!$G$157:$J$157,BN$111,OTT!$R8:$U8)+SUMIF(OTT!$G$157:$J$157,BN$111,OTT!$W8:$Z8)</f>
        <v>0</v>
      </c>
      <c r="BO388" s="473">
        <f>SUMIF(OTT!$G$157:$J$157,BO$111,OTT!$R8:$U8)+SUMIF(OTT!$G$157:$J$157,BO$111,OTT!$W8:$Z8)</f>
        <v>0</v>
      </c>
      <c r="BP388" s="473">
        <f>SUMIF(OTT!$G$157:$J$157,BP$111,OTT!$R8:$U8)+SUMIF(OTT!$G$157:$J$157,BP$111,OTT!$W8:$Z8)</f>
        <v>0</v>
      </c>
      <c r="BQ388" s="474">
        <f>SUMIF(OTT!$G$157:$J$157,BQ$111,OTT!$R8:$U8)+SUMIF(OTT!$G$157:$J$157,BQ$111,OTT!$W8:$Z8)</f>
        <v>0</v>
      </c>
      <c r="BR388" s="570"/>
      <c r="BS388" s="473"/>
      <c r="BT388" s="474"/>
      <c r="BU388" s="470"/>
      <c r="BV388" s="472">
        <f>SUMIF(OTT!$G$158:$J$158,BV$111,OTT!$R8:$U8)+SUMIF(OTT!$G$158:$J$158,BV$111,OTT!$W8:$Z8)</f>
        <v>0</v>
      </c>
      <c r="BW388" s="473">
        <f>SUMIF(OTT!$G$158:$J$158,BW$111,OTT!$R8:$U8)+SUMIF(OTT!$G$158:$J$158,BW$111,OTT!$W8:$Z8)</f>
        <v>0</v>
      </c>
      <c r="BX388" s="473">
        <f>SUMIF(OTT!$G$158:$J$158,BX$111,OTT!$R8:$U8)+SUMIF(OTT!$G$158:$J$158,BX$111,OTT!$W8:$Z8)</f>
        <v>0</v>
      </c>
      <c r="BY388" s="473">
        <f>SUMIF(OTT!$G$158:$J$158,BY$111,OTT!$R8:$U8)+SUMIF(OTT!$G$158:$J$158,BY$111,OTT!$W8:$Z8)</f>
        <v>0</v>
      </c>
      <c r="BZ388" s="473">
        <f>SUMIF(OTT!$G$158:$J$158,BZ$111,OTT!$R8:$U8)+SUMIF(OTT!$G$158:$J$158,BZ$111,OTT!$W8:$Z8)</f>
        <v>0</v>
      </c>
      <c r="CA388" s="473">
        <f>SUMIF(OTT!$G$158:$J$158,CA$111,OTT!$R8:$U8)+SUMIF(OTT!$G$158:$J$158,CA$111,OTT!$W8:$Z8)</f>
        <v>0</v>
      </c>
      <c r="CB388" s="474">
        <f>SUMIF(OTT!$G$158:$J$158,CB$111,OTT!$R8:$U8)+SUMIF(OTT!$G$158:$J$158,CB$111,OTT!$W8:$Z8)</f>
        <v>0</v>
      </c>
      <c r="CC388" s="570"/>
      <c r="CD388" s="474"/>
      <c r="CE388" s="92">
        <f t="shared" si="297"/>
        <v>0</v>
      </c>
      <c r="CF388" s="92">
        <f t="shared" si="298"/>
        <v>0</v>
      </c>
      <c r="CG388" s="151" t="str">
        <f t="shared" si="284"/>
        <v/>
      </c>
      <c r="CH388" s="92">
        <f t="shared" si="287"/>
        <v>0</v>
      </c>
      <c r="CI388" s="92" t="str">
        <f t="shared" si="299"/>
        <v/>
      </c>
      <c r="CJ388" s="1102">
        <f>OTT!AM8</f>
        <v>0</v>
      </c>
      <c r="CK388" s="445">
        <f>SUMIF(OTT!$G$155:$J$155,CK$112,OTT!$AN8:$AQ8)</f>
        <v>0</v>
      </c>
      <c r="CL388" s="446">
        <f>SUMIF(OTT!$G$155:$J$155,CL$112,OTT!$AN8:$AQ8)</f>
        <v>0</v>
      </c>
      <c r="CM388" s="447">
        <f>SUMIF(OTT!$G$155:$J$155,CM$112,OTT!$AN8:$AQ8)</f>
        <v>0</v>
      </c>
      <c r="CN388" s="448">
        <f>SUMIF(OTT!$G$155:$J$155,CN$112,OTT!$AN8:$AQ8)</f>
        <v>0</v>
      </c>
      <c r="CO388" s="1102">
        <f>OTT!AS8</f>
        <v>0</v>
      </c>
      <c r="CP388" s="445">
        <f>OTT!AT8</f>
        <v>0</v>
      </c>
      <c r="CQ388" s="446">
        <f>OTT!AU8</f>
        <v>0</v>
      </c>
      <c r="CR388" s="447">
        <f>OTT!AV8</f>
        <v>0</v>
      </c>
      <c r="CS388" s="448">
        <f>OTT!AW8</f>
        <v>0</v>
      </c>
      <c r="CT388" s="1102">
        <f>OTT!AY8</f>
        <v>0</v>
      </c>
      <c r="CU388" s="2"/>
    </row>
    <row r="389" spans="1:99" ht="14.25" hidden="1" customHeight="1" x14ac:dyDescent="0.2">
      <c r="A389" s="2"/>
      <c r="B389" s="151">
        <f t="shared" si="288"/>
        <v>45567</v>
      </c>
      <c r="C389" s="223">
        <f>IF(AND(E389&gt;(N$494-1),E389&lt;(R$494+1)),W$485,IF(ISERROR(HLOOKUP(E389,$N$487:$U$487,1,FALSE)),HLOOKUP(WEEKDAY(E389,2),IMPOSTAZIONI!$C$51:$P$56,6,FALSE),$W$484))</f>
        <v>0</v>
      </c>
      <c r="D389" s="103" t="str">
        <f t="shared" si="289"/>
        <v/>
      </c>
      <c r="E389" s="2380">
        <f t="shared" si="300"/>
        <v>45567</v>
      </c>
      <c r="F389" s="2381"/>
      <c r="G389" s="2325" t="str">
        <f>OTT!E9</f>
        <v xml:space="preserve">attiva trim.  </v>
      </c>
      <c r="H389" s="2326"/>
      <c r="I389" s="2327"/>
      <c r="J389" s="479" t="str">
        <f t="shared" si="285"/>
        <v/>
      </c>
      <c r="K389" s="480"/>
      <c r="L389" s="2319">
        <f t="shared" si="301"/>
        <v>40</v>
      </c>
      <c r="M389" s="2320"/>
      <c r="N389" s="478"/>
      <c r="O389" s="478"/>
      <c r="P389" s="478"/>
      <c r="Q389" s="2315">
        <f t="shared" si="290"/>
        <v>45567</v>
      </c>
      <c r="R389" s="2315"/>
      <c r="S389" s="478"/>
      <c r="T389" s="140">
        <f t="shared" si="291"/>
        <v>1</v>
      </c>
      <c r="U389" s="478"/>
      <c r="V389" s="478"/>
      <c r="W389" s="478"/>
      <c r="X389" s="478"/>
      <c r="Y389" s="478"/>
      <c r="Z389" s="478"/>
      <c r="AA389" s="478"/>
      <c r="AB389" s="478"/>
      <c r="AC389" s="478"/>
      <c r="AD389" s="478"/>
      <c r="AE389" s="478"/>
      <c r="AF389" s="478"/>
      <c r="AG389" s="140">
        <f t="shared" si="292"/>
        <v>0</v>
      </c>
      <c r="AH389" s="92" t="str">
        <f t="shared" si="293"/>
        <v/>
      </c>
      <c r="AI389" s="131">
        <f t="shared" si="294"/>
        <v>0</v>
      </c>
      <c r="AJ389" s="2"/>
      <c r="AK389" s="92">
        <f>IF(G389=G$481,0,IF(OR(G389&lt;&gt;0,CJ389&lt;&gt;0,C389="L"),COUNTIF(AK$114:AK388,"&gt;0")+1,0))</f>
        <v>0</v>
      </c>
      <c r="AL389" s="92" t="str">
        <f t="shared" si="295"/>
        <v/>
      </c>
      <c r="AM389" s="92" t="str">
        <f t="shared" si="296"/>
        <v/>
      </c>
      <c r="AN389" s="131">
        <f t="shared" si="286"/>
        <v>0</v>
      </c>
      <c r="AO389" s="447">
        <f>SUM(OTT!W9:Z9)</f>
        <v>0</v>
      </c>
      <c r="AP389" s="445">
        <f>SUMIF(OTT!$G$155:$J$155,AP$112,OTT!$R9:$U9)</f>
        <v>0</v>
      </c>
      <c r="AQ389" s="446">
        <f>SUMIF(OTT!$G$155:$J$155,AQ$112,OTT!$R9:$U9)</f>
        <v>0</v>
      </c>
      <c r="AR389" s="447">
        <f>SUMIF(OTT!$G$155:$J$155,AR$112,OTT!$R9:$U9)</f>
        <v>0</v>
      </c>
      <c r="AS389" s="448">
        <f>SUMIF(OTT!$G$155:$J$155,AS$112,OTT!$R9:$U9)</f>
        <v>0</v>
      </c>
      <c r="AT389" s="449">
        <f>OTT!AG9</f>
        <v>0</v>
      </c>
      <c r="AU389" s="445">
        <f>OTT!AH9</f>
        <v>0</v>
      </c>
      <c r="AV389" s="446">
        <f>OTT!AI9</f>
        <v>0</v>
      </c>
      <c r="AW389" s="447">
        <f>OTT!AJ9</f>
        <v>0</v>
      </c>
      <c r="AX389" s="448">
        <f>OTT!AK9</f>
        <v>0</v>
      </c>
      <c r="AY389" s="445">
        <f>SUMIF(OTT!$G$152:$J$152,"&gt;0",OTT!$W9:$Z9)</f>
        <v>0</v>
      </c>
      <c r="AZ389" s="1063">
        <f>SUM(OTT!AB9:AE9)</f>
        <v>0</v>
      </c>
      <c r="BA389" s="445">
        <f>SUMIF(OTT!$G$159:$J$159,BA$111,OTT!$R9:$U9)+SUMIF(OTT!$G$159:$J$159,BA$111,OTT!$W9:$Z9)</f>
        <v>0</v>
      </c>
      <c r="BB389" s="446">
        <f>SUMIF(OTT!$G$159:$J$159,BB$111,OTT!$R9:$U9)+SUMIF(OTT!$G$159:$J$159,BB$111,OTT!$W9:$Z9)</f>
        <v>0</v>
      </c>
      <c r="BC389" s="446">
        <f>SUMIF(OTT!$G$159:$J$159,BC$111,OTT!$R9:$U9)+SUMIF(OTT!$G$159:$J$159,BC$111,OTT!$W9:$Z9)</f>
        <v>0</v>
      </c>
      <c r="BD389" s="446">
        <f>SUMIF(OTT!$G$159:$J$159,BD$111,OTT!$R9:$U9)+SUMIF(OTT!$G$159:$J$159,BD$111,OTT!$W9:$Z9)</f>
        <v>0</v>
      </c>
      <c r="BE389" s="446">
        <f>SUMIF(OTT!$G$159:$J$159,BE$111,OTT!$R9:$U9)+SUMIF(OTT!$G$159:$J$159,BE$111,OTT!$W9:$Z9)</f>
        <v>0</v>
      </c>
      <c r="BF389" s="446">
        <f>SUMIF(OTT!$G$159:$J$159,BF$111,OTT!$R9:$U9)+SUMIF(OTT!$G$159:$J$159,BF$111,OTT!$W9:$Z9)</f>
        <v>0</v>
      </c>
      <c r="BG389" s="448">
        <f>SUMIF(OTT!$G$159:$J$159,BG$111,OTT!$R9:$U9)+SUMIF(OTT!$G$159:$J$159,BG$111,OTT!$W9:$Z9)</f>
        <v>0</v>
      </c>
      <c r="BH389" s="571"/>
      <c r="BI389" s="448"/>
      <c r="BJ389" s="470"/>
      <c r="BK389" s="445">
        <f>SUMIF(OTT!$G$157:$J$157,BK$111,OTT!$R9:$U9)+SUMIF(OTT!$G$157:$J$157,BK$111,OTT!$W9:$Z9)</f>
        <v>0</v>
      </c>
      <c r="BL389" s="446">
        <f>SUMIF(OTT!$G$157:$J$157,BL$111,OTT!$R9:$U9)+SUMIF(OTT!$G$157:$J$157,BL$111,OTT!$W9:$Z9)</f>
        <v>0</v>
      </c>
      <c r="BM389" s="446">
        <f>SUMIF(OTT!$G$157:$J$157,BM$111,OTT!$R9:$U9)+SUMIF(OTT!$G$157:$J$157,BM$111,OTT!$W9:$Z9)</f>
        <v>0</v>
      </c>
      <c r="BN389" s="446">
        <f>SUMIF(OTT!$G$157:$J$157,BN$111,OTT!$R9:$U9)+SUMIF(OTT!$G$157:$J$157,BN$111,OTT!$W9:$Z9)</f>
        <v>0</v>
      </c>
      <c r="BO389" s="446">
        <f>SUMIF(OTT!$G$157:$J$157,BO$111,OTT!$R9:$U9)+SUMIF(OTT!$G$157:$J$157,BO$111,OTT!$W9:$Z9)</f>
        <v>0</v>
      </c>
      <c r="BP389" s="446">
        <f>SUMIF(OTT!$G$157:$J$157,BP$111,OTT!$R9:$U9)+SUMIF(OTT!$G$157:$J$157,BP$111,OTT!$W9:$Z9)</f>
        <v>0</v>
      </c>
      <c r="BQ389" s="448">
        <f>SUMIF(OTT!$G$157:$J$157,BQ$111,OTT!$R9:$U9)+SUMIF(OTT!$G$157:$J$157,BQ$111,OTT!$W9:$Z9)</f>
        <v>0</v>
      </c>
      <c r="BR389" s="571"/>
      <c r="BS389" s="446"/>
      <c r="BT389" s="448"/>
      <c r="BU389" s="470"/>
      <c r="BV389" s="445">
        <f>SUMIF(OTT!$G$158:$J$158,BV$111,OTT!$R9:$U9)+SUMIF(OTT!$G$158:$J$158,BV$111,OTT!$W9:$Z9)</f>
        <v>0</v>
      </c>
      <c r="BW389" s="446">
        <f>SUMIF(OTT!$G$158:$J$158,BW$111,OTT!$R9:$U9)+SUMIF(OTT!$G$158:$J$158,BW$111,OTT!$W9:$Z9)</f>
        <v>0</v>
      </c>
      <c r="BX389" s="446">
        <f>SUMIF(OTT!$G$158:$J$158,BX$111,OTT!$R9:$U9)+SUMIF(OTT!$G$158:$J$158,BX$111,OTT!$W9:$Z9)</f>
        <v>0</v>
      </c>
      <c r="BY389" s="446">
        <f>SUMIF(OTT!$G$158:$J$158,BY$111,OTT!$R9:$U9)+SUMIF(OTT!$G$158:$J$158,BY$111,OTT!$W9:$Z9)</f>
        <v>0</v>
      </c>
      <c r="BZ389" s="446">
        <f>SUMIF(OTT!$G$158:$J$158,BZ$111,OTT!$R9:$U9)+SUMIF(OTT!$G$158:$J$158,BZ$111,OTT!$W9:$Z9)</f>
        <v>0</v>
      </c>
      <c r="CA389" s="446">
        <f>SUMIF(OTT!$G$158:$J$158,CA$111,OTT!$R9:$U9)+SUMIF(OTT!$G$158:$J$158,CA$111,OTT!$W9:$Z9)</f>
        <v>0</v>
      </c>
      <c r="CB389" s="448">
        <f>SUMIF(OTT!$G$158:$J$158,CB$111,OTT!$R9:$U9)+SUMIF(OTT!$G$158:$J$158,CB$111,OTT!$W9:$Z9)</f>
        <v>0</v>
      </c>
      <c r="CC389" s="571"/>
      <c r="CD389" s="448"/>
      <c r="CE389" s="92">
        <f t="shared" si="297"/>
        <v>0</v>
      </c>
      <c r="CF389" s="92">
        <f t="shared" si="298"/>
        <v>0</v>
      </c>
      <c r="CG389" s="151" t="str">
        <f t="shared" si="284"/>
        <v/>
      </c>
      <c r="CH389" s="92">
        <f t="shared" si="287"/>
        <v>0</v>
      </c>
      <c r="CI389" s="92" t="str">
        <f t="shared" si="299"/>
        <v/>
      </c>
      <c r="CJ389" s="1100">
        <f>OTT!AM9</f>
        <v>0</v>
      </c>
      <c r="CK389" s="445">
        <f>SUMIF(OTT!$G$155:$J$155,CK$112,OTT!$AN9:$AQ9)</f>
        <v>0</v>
      </c>
      <c r="CL389" s="446">
        <f>SUMIF(OTT!$G$155:$J$155,CL$112,OTT!$AN9:$AQ9)</f>
        <v>0</v>
      </c>
      <c r="CM389" s="447">
        <f>SUMIF(OTT!$G$155:$J$155,CM$112,OTT!$AN9:$AQ9)</f>
        <v>0</v>
      </c>
      <c r="CN389" s="448">
        <f>SUMIF(OTT!$G$155:$J$155,CN$112,OTT!$AN9:$AQ9)</f>
        <v>0</v>
      </c>
      <c r="CO389" s="1100">
        <f>OTT!AS9</f>
        <v>0</v>
      </c>
      <c r="CP389" s="445">
        <f>OTT!AT9</f>
        <v>0</v>
      </c>
      <c r="CQ389" s="446">
        <f>OTT!AU9</f>
        <v>0</v>
      </c>
      <c r="CR389" s="447">
        <f>OTT!AV9</f>
        <v>0</v>
      </c>
      <c r="CS389" s="448">
        <f>OTT!AW9</f>
        <v>0</v>
      </c>
      <c r="CT389" s="1100">
        <f>OTT!AY9</f>
        <v>0</v>
      </c>
      <c r="CU389" s="2"/>
    </row>
    <row r="390" spans="1:99" ht="14.25" hidden="1" customHeight="1" x14ac:dyDescent="0.2">
      <c r="A390" s="2"/>
      <c r="B390" s="151">
        <f t="shared" si="288"/>
        <v>45568</v>
      </c>
      <c r="C390" s="223">
        <f>IF(AND(E390&gt;(N$494-1),E390&lt;(R$494+1)),W$485,IF(ISERROR(HLOOKUP(E390,$N$487:$U$487,1,FALSE)),HLOOKUP(WEEKDAY(E390,2),IMPOSTAZIONI!$C$51:$P$56,6,FALSE),$W$484))</f>
        <v>0</v>
      </c>
      <c r="D390" s="103" t="str">
        <f t="shared" si="289"/>
        <v/>
      </c>
      <c r="E390" s="2380">
        <f t="shared" si="300"/>
        <v>45568</v>
      </c>
      <c r="F390" s="2381"/>
      <c r="G390" s="2325" t="str">
        <f>OTT!E10</f>
        <v xml:space="preserve">attiva trim.  </v>
      </c>
      <c r="H390" s="2326"/>
      <c r="I390" s="2327"/>
      <c r="J390" s="479" t="str">
        <f t="shared" si="285"/>
        <v/>
      </c>
      <c r="K390" s="480"/>
      <c r="L390" s="2319">
        <f t="shared" si="301"/>
        <v>40</v>
      </c>
      <c r="M390" s="2320"/>
      <c r="N390" s="478"/>
      <c r="O390" s="478"/>
      <c r="P390" s="478"/>
      <c r="Q390" s="2315">
        <f t="shared" si="290"/>
        <v>45568</v>
      </c>
      <c r="R390" s="2315"/>
      <c r="S390" s="478"/>
      <c r="T390" s="140">
        <f t="shared" si="291"/>
        <v>1</v>
      </c>
      <c r="U390" s="478"/>
      <c r="V390" s="478"/>
      <c r="W390" s="478"/>
      <c r="X390" s="478"/>
      <c r="Y390" s="478"/>
      <c r="Z390" s="478"/>
      <c r="AA390" s="478"/>
      <c r="AB390" s="478"/>
      <c r="AC390" s="478"/>
      <c r="AD390" s="478"/>
      <c r="AE390" s="478"/>
      <c r="AF390" s="478"/>
      <c r="AG390" s="140">
        <f t="shared" si="292"/>
        <v>0</v>
      </c>
      <c r="AH390" s="92" t="str">
        <f t="shared" si="293"/>
        <v/>
      </c>
      <c r="AI390" s="131">
        <f t="shared" si="294"/>
        <v>0</v>
      </c>
      <c r="AJ390" s="2"/>
      <c r="AK390" s="92">
        <f>IF(G390=G$481,0,IF(OR(G390&lt;&gt;0,CJ390&lt;&gt;0,C390="L"),COUNTIF(AK$114:AK389,"&gt;0")+1,0))</f>
        <v>0</v>
      </c>
      <c r="AL390" s="92" t="str">
        <f t="shared" si="295"/>
        <v/>
      </c>
      <c r="AM390" s="92" t="str">
        <f t="shared" si="296"/>
        <v/>
      </c>
      <c r="AN390" s="131">
        <f t="shared" si="286"/>
        <v>0</v>
      </c>
      <c r="AO390" s="447">
        <f>SUM(OTT!W10:Z10)</f>
        <v>0</v>
      </c>
      <c r="AP390" s="445">
        <f>SUMIF(OTT!$G$155:$J$155,AP$112,OTT!$R10:$U10)</f>
        <v>0</v>
      </c>
      <c r="AQ390" s="446">
        <f>SUMIF(OTT!$G$155:$J$155,AQ$112,OTT!$R10:$U10)</f>
        <v>0</v>
      </c>
      <c r="AR390" s="447">
        <f>SUMIF(OTT!$G$155:$J$155,AR$112,OTT!$R10:$U10)</f>
        <v>0</v>
      </c>
      <c r="AS390" s="448">
        <f>SUMIF(OTT!$G$155:$J$155,AS$112,OTT!$R10:$U10)</f>
        <v>0</v>
      </c>
      <c r="AT390" s="449">
        <f>OTT!AG10</f>
        <v>0</v>
      </c>
      <c r="AU390" s="445">
        <f>OTT!AH10</f>
        <v>0</v>
      </c>
      <c r="AV390" s="446">
        <f>OTT!AI10</f>
        <v>0</v>
      </c>
      <c r="AW390" s="447">
        <f>OTT!AJ10</f>
        <v>0</v>
      </c>
      <c r="AX390" s="448">
        <f>OTT!AK10</f>
        <v>0</v>
      </c>
      <c r="AY390" s="445">
        <f>SUMIF(OTT!$G$152:$J$152,"&gt;0",OTT!$W10:$Z10)</f>
        <v>0</v>
      </c>
      <c r="AZ390" s="1063">
        <f>SUM(OTT!AB10:AE10)</f>
        <v>0</v>
      </c>
      <c r="BA390" s="445">
        <f>SUMIF(OTT!$G$159:$J$159,BA$111,OTT!$R10:$U10)+SUMIF(OTT!$G$159:$J$159,BA$111,OTT!$W10:$Z10)</f>
        <v>0</v>
      </c>
      <c r="BB390" s="446">
        <f>SUMIF(OTT!$G$159:$J$159,BB$111,OTT!$R10:$U10)+SUMIF(OTT!$G$159:$J$159,BB$111,OTT!$W10:$Z10)</f>
        <v>0</v>
      </c>
      <c r="BC390" s="446">
        <f>SUMIF(OTT!$G$159:$J$159,BC$111,OTT!$R10:$U10)+SUMIF(OTT!$G$159:$J$159,BC$111,OTT!$W10:$Z10)</f>
        <v>0</v>
      </c>
      <c r="BD390" s="446">
        <f>SUMIF(OTT!$G$159:$J$159,BD$111,OTT!$R10:$U10)+SUMIF(OTT!$G$159:$J$159,BD$111,OTT!$W10:$Z10)</f>
        <v>0</v>
      </c>
      <c r="BE390" s="446">
        <f>SUMIF(OTT!$G$159:$J$159,BE$111,OTT!$R10:$U10)+SUMIF(OTT!$G$159:$J$159,BE$111,OTT!$W10:$Z10)</f>
        <v>0</v>
      </c>
      <c r="BF390" s="446">
        <f>SUMIF(OTT!$G$159:$J$159,BF$111,OTT!$R10:$U10)+SUMIF(OTT!$G$159:$J$159,BF$111,OTT!$W10:$Z10)</f>
        <v>0</v>
      </c>
      <c r="BG390" s="448">
        <f>SUMIF(OTT!$G$159:$J$159,BG$111,OTT!$R10:$U10)+SUMIF(OTT!$G$159:$J$159,BG$111,OTT!$W10:$Z10)</f>
        <v>0</v>
      </c>
      <c r="BH390" s="571"/>
      <c r="BI390" s="448"/>
      <c r="BJ390" s="470"/>
      <c r="BK390" s="445">
        <f>SUMIF(OTT!$G$157:$J$157,BK$111,OTT!$R10:$U10)+SUMIF(OTT!$G$157:$J$157,BK$111,OTT!$W10:$Z10)</f>
        <v>0</v>
      </c>
      <c r="BL390" s="446">
        <f>SUMIF(OTT!$G$157:$J$157,BL$111,OTT!$R10:$U10)+SUMIF(OTT!$G$157:$J$157,BL$111,OTT!$W10:$Z10)</f>
        <v>0</v>
      </c>
      <c r="BM390" s="446">
        <f>SUMIF(OTT!$G$157:$J$157,BM$111,OTT!$R10:$U10)+SUMIF(OTT!$G$157:$J$157,BM$111,OTT!$W10:$Z10)</f>
        <v>0</v>
      </c>
      <c r="BN390" s="446">
        <f>SUMIF(OTT!$G$157:$J$157,BN$111,OTT!$R10:$U10)+SUMIF(OTT!$G$157:$J$157,BN$111,OTT!$W10:$Z10)</f>
        <v>0</v>
      </c>
      <c r="BO390" s="446">
        <f>SUMIF(OTT!$G$157:$J$157,BO$111,OTT!$R10:$U10)+SUMIF(OTT!$G$157:$J$157,BO$111,OTT!$W10:$Z10)</f>
        <v>0</v>
      </c>
      <c r="BP390" s="446">
        <f>SUMIF(OTT!$G$157:$J$157,BP$111,OTT!$R10:$U10)+SUMIF(OTT!$G$157:$J$157,BP$111,OTT!$W10:$Z10)</f>
        <v>0</v>
      </c>
      <c r="BQ390" s="448">
        <f>SUMIF(OTT!$G$157:$J$157,BQ$111,OTT!$R10:$U10)+SUMIF(OTT!$G$157:$J$157,BQ$111,OTT!$W10:$Z10)</f>
        <v>0</v>
      </c>
      <c r="BR390" s="571"/>
      <c r="BS390" s="446"/>
      <c r="BT390" s="448"/>
      <c r="BU390" s="470"/>
      <c r="BV390" s="445">
        <f>SUMIF(OTT!$G$158:$J$158,BV$111,OTT!$R10:$U10)+SUMIF(OTT!$G$158:$J$158,BV$111,OTT!$W10:$Z10)</f>
        <v>0</v>
      </c>
      <c r="BW390" s="446">
        <f>SUMIF(OTT!$G$158:$J$158,BW$111,OTT!$R10:$U10)+SUMIF(OTT!$G$158:$J$158,BW$111,OTT!$W10:$Z10)</f>
        <v>0</v>
      </c>
      <c r="BX390" s="446">
        <f>SUMIF(OTT!$G$158:$J$158,BX$111,OTT!$R10:$U10)+SUMIF(OTT!$G$158:$J$158,BX$111,OTT!$W10:$Z10)</f>
        <v>0</v>
      </c>
      <c r="BY390" s="446">
        <f>SUMIF(OTT!$G$158:$J$158,BY$111,OTT!$R10:$U10)+SUMIF(OTT!$G$158:$J$158,BY$111,OTT!$W10:$Z10)</f>
        <v>0</v>
      </c>
      <c r="BZ390" s="446">
        <f>SUMIF(OTT!$G$158:$J$158,BZ$111,OTT!$R10:$U10)+SUMIF(OTT!$G$158:$J$158,BZ$111,OTT!$W10:$Z10)</f>
        <v>0</v>
      </c>
      <c r="CA390" s="446">
        <f>SUMIF(OTT!$G$158:$J$158,CA$111,OTT!$R10:$U10)+SUMIF(OTT!$G$158:$J$158,CA$111,OTT!$W10:$Z10)</f>
        <v>0</v>
      </c>
      <c r="CB390" s="448">
        <f>SUMIF(OTT!$G$158:$J$158,CB$111,OTT!$R10:$U10)+SUMIF(OTT!$G$158:$J$158,CB$111,OTT!$W10:$Z10)</f>
        <v>0</v>
      </c>
      <c r="CC390" s="571"/>
      <c r="CD390" s="448"/>
      <c r="CE390" s="92">
        <f t="shared" si="297"/>
        <v>0</v>
      </c>
      <c r="CF390" s="92">
        <f t="shared" si="298"/>
        <v>0</v>
      </c>
      <c r="CG390" s="151" t="str">
        <f t="shared" si="284"/>
        <v/>
      </c>
      <c r="CH390" s="92">
        <f t="shared" si="287"/>
        <v>0</v>
      </c>
      <c r="CI390" s="92" t="str">
        <f t="shared" si="299"/>
        <v/>
      </c>
      <c r="CJ390" s="1100">
        <f>OTT!AM10</f>
        <v>0</v>
      </c>
      <c r="CK390" s="445">
        <f>SUMIF(OTT!$G$155:$J$155,CK$112,OTT!$AN10:$AQ10)</f>
        <v>0</v>
      </c>
      <c r="CL390" s="446">
        <f>SUMIF(OTT!$G$155:$J$155,CL$112,OTT!$AN10:$AQ10)</f>
        <v>0</v>
      </c>
      <c r="CM390" s="447">
        <f>SUMIF(OTT!$G$155:$J$155,CM$112,OTT!$AN10:$AQ10)</f>
        <v>0</v>
      </c>
      <c r="CN390" s="448">
        <f>SUMIF(OTT!$G$155:$J$155,CN$112,OTT!$AN10:$AQ10)</f>
        <v>0</v>
      </c>
      <c r="CO390" s="1100">
        <f>OTT!AS10</f>
        <v>0</v>
      </c>
      <c r="CP390" s="445">
        <f>OTT!AT10</f>
        <v>0</v>
      </c>
      <c r="CQ390" s="446">
        <f>OTT!AU10</f>
        <v>0</v>
      </c>
      <c r="CR390" s="447">
        <f>OTT!AV10</f>
        <v>0</v>
      </c>
      <c r="CS390" s="448">
        <f>OTT!AW10</f>
        <v>0</v>
      </c>
      <c r="CT390" s="1100">
        <f>OTT!AY10</f>
        <v>0</v>
      </c>
      <c r="CU390" s="2"/>
    </row>
    <row r="391" spans="1:99" ht="14.25" hidden="1" customHeight="1" x14ac:dyDescent="0.2">
      <c r="A391" s="2"/>
      <c r="B391" s="151">
        <f t="shared" si="288"/>
        <v>45569</v>
      </c>
      <c r="C391" s="223">
        <f>IF(AND(E391&gt;(N$494-1),E391&lt;(R$494+1)),W$485,IF(ISERROR(HLOOKUP(E391,$N$487:$U$487,1,FALSE)),HLOOKUP(WEEKDAY(E391,2),IMPOSTAZIONI!$C$51:$P$56,6,FALSE),$W$484))</f>
        <v>0</v>
      </c>
      <c r="D391" s="103" t="str">
        <f t="shared" si="289"/>
        <v/>
      </c>
      <c r="E391" s="2380">
        <f t="shared" si="300"/>
        <v>45569</v>
      </c>
      <c r="F391" s="2381"/>
      <c r="G391" s="2325" t="str">
        <f>OTT!E11</f>
        <v xml:space="preserve">attiva trim.  </v>
      </c>
      <c r="H391" s="2326"/>
      <c r="I391" s="2327"/>
      <c r="J391" s="479" t="str">
        <f t="shared" si="285"/>
        <v/>
      </c>
      <c r="K391" s="480"/>
      <c r="L391" s="2319">
        <f t="shared" si="301"/>
        <v>40</v>
      </c>
      <c r="M391" s="2320"/>
      <c r="N391" s="478"/>
      <c r="O391" s="478"/>
      <c r="P391" s="478"/>
      <c r="Q391" s="2315">
        <f t="shared" si="290"/>
        <v>45569</v>
      </c>
      <c r="R391" s="2315"/>
      <c r="S391" s="478"/>
      <c r="T391" s="140">
        <f t="shared" si="291"/>
        <v>1</v>
      </c>
      <c r="U391" s="478"/>
      <c r="V391" s="478"/>
      <c r="W391" s="478"/>
      <c r="X391" s="478"/>
      <c r="Y391" s="478"/>
      <c r="Z391" s="478"/>
      <c r="AA391" s="478"/>
      <c r="AB391" s="478"/>
      <c r="AC391" s="478"/>
      <c r="AD391" s="478"/>
      <c r="AE391" s="478"/>
      <c r="AF391" s="478"/>
      <c r="AG391" s="140">
        <f t="shared" si="292"/>
        <v>0</v>
      </c>
      <c r="AH391" s="92" t="str">
        <f t="shared" si="293"/>
        <v/>
      </c>
      <c r="AI391" s="131">
        <f t="shared" si="294"/>
        <v>0</v>
      </c>
      <c r="AJ391" s="2"/>
      <c r="AK391" s="92">
        <f>IF(G391=G$481,0,IF(OR(G391&lt;&gt;0,CJ391&lt;&gt;0,C391="L"),COUNTIF(AK$114:AK390,"&gt;0")+1,0))</f>
        <v>0</v>
      </c>
      <c r="AL391" s="92" t="str">
        <f t="shared" si="295"/>
        <v/>
      </c>
      <c r="AM391" s="92" t="str">
        <f t="shared" si="296"/>
        <v/>
      </c>
      <c r="AN391" s="131">
        <f t="shared" si="286"/>
        <v>0</v>
      </c>
      <c r="AO391" s="447">
        <f>SUM(OTT!W11:Z11)</f>
        <v>0</v>
      </c>
      <c r="AP391" s="445">
        <f>SUMIF(OTT!$G$155:$J$155,AP$112,OTT!$R11:$U11)</f>
        <v>0</v>
      </c>
      <c r="AQ391" s="446">
        <f>SUMIF(OTT!$G$155:$J$155,AQ$112,OTT!$R11:$U11)</f>
        <v>0</v>
      </c>
      <c r="AR391" s="447">
        <f>SUMIF(OTT!$G$155:$J$155,AR$112,OTT!$R11:$U11)</f>
        <v>0</v>
      </c>
      <c r="AS391" s="448">
        <f>SUMIF(OTT!$G$155:$J$155,AS$112,OTT!$R11:$U11)</f>
        <v>0</v>
      </c>
      <c r="AT391" s="449">
        <f>OTT!AG11</f>
        <v>0</v>
      </c>
      <c r="AU391" s="445">
        <f>OTT!AH11</f>
        <v>0</v>
      </c>
      <c r="AV391" s="446">
        <f>OTT!AI11</f>
        <v>0</v>
      </c>
      <c r="AW391" s="447">
        <f>OTT!AJ11</f>
        <v>0</v>
      </c>
      <c r="AX391" s="448">
        <f>OTT!AK11</f>
        <v>0</v>
      </c>
      <c r="AY391" s="445">
        <f>SUMIF(OTT!$G$152:$J$152,"&gt;0",OTT!$W11:$Z11)</f>
        <v>0</v>
      </c>
      <c r="AZ391" s="1063">
        <f>SUM(OTT!AB11:AE11)</f>
        <v>0</v>
      </c>
      <c r="BA391" s="445">
        <f>SUMIF(OTT!$G$159:$J$159,BA$111,OTT!$R11:$U11)+SUMIF(OTT!$G$159:$J$159,BA$111,OTT!$W11:$Z11)</f>
        <v>0</v>
      </c>
      <c r="BB391" s="446">
        <f>SUMIF(OTT!$G$159:$J$159,BB$111,OTT!$R11:$U11)+SUMIF(OTT!$G$159:$J$159,BB$111,OTT!$W11:$Z11)</f>
        <v>0</v>
      </c>
      <c r="BC391" s="446">
        <f>SUMIF(OTT!$G$159:$J$159,BC$111,OTT!$R11:$U11)+SUMIF(OTT!$G$159:$J$159,BC$111,OTT!$W11:$Z11)</f>
        <v>0</v>
      </c>
      <c r="BD391" s="446">
        <f>SUMIF(OTT!$G$159:$J$159,BD$111,OTT!$R11:$U11)+SUMIF(OTT!$G$159:$J$159,BD$111,OTT!$W11:$Z11)</f>
        <v>0</v>
      </c>
      <c r="BE391" s="446">
        <f>SUMIF(OTT!$G$159:$J$159,BE$111,OTT!$R11:$U11)+SUMIF(OTT!$G$159:$J$159,BE$111,OTT!$W11:$Z11)</f>
        <v>0</v>
      </c>
      <c r="BF391" s="446">
        <f>SUMIF(OTT!$G$159:$J$159,BF$111,OTT!$R11:$U11)+SUMIF(OTT!$G$159:$J$159,BF$111,OTT!$W11:$Z11)</f>
        <v>0</v>
      </c>
      <c r="BG391" s="448">
        <f>SUMIF(OTT!$G$159:$J$159,BG$111,OTT!$R11:$U11)+SUMIF(OTT!$G$159:$J$159,BG$111,OTT!$W11:$Z11)</f>
        <v>0</v>
      </c>
      <c r="BH391" s="571"/>
      <c r="BI391" s="448"/>
      <c r="BJ391" s="470"/>
      <c r="BK391" s="445">
        <f>SUMIF(OTT!$G$157:$J$157,BK$111,OTT!$R11:$U11)+SUMIF(OTT!$G$157:$J$157,BK$111,OTT!$W11:$Z11)</f>
        <v>0</v>
      </c>
      <c r="BL391" s="446">
        <f>SUMIF(OTT!$G$157:$J$157,BL$111,OTT!$R11:$U11)+SUMIF(OTT!$G$157:$J$157,BL$111,OTT!$W11:$Z11)</f>
        <v>0</v>
      </c>
      <c r="BM391" s="446">
        <f>SUMIF(OTT!$G$157:$J$157,BM$111,OTT!$R11:$U11)+SUMIF(OTT!$G$157:$J$157,BM$111,OTT!$W11:$Z11)</f>
        <v>0</v>
      </c>
      <c r="BN391" s="446">
        <f>SUMIF(OTT!$G$157:$J$157,BN$111,OTT!$R11:$U11)+SUMIF(OTT!$G$157:$J$157,BN$111,OTT!$W11:$Z11)</f>
        <v>0</v>
      </c>
      <c r="BO391" s="446">
        <f>SUMIF(OTT!$G$157:$J$157,BO$111,OTT!$R11:$U11)+SUMIF(OTT!$G$157:$J$157,BO$111,OTT!$W11:$Z11)</f>
        <v>0</v>
      </c>
      <c r="BP391" s="446">
        <f>SUMIF(OTT!$G$157:$J$157,BP$111,OTT!$R11:$U11)+SUMIF(OTT!$G$157:$J$157,BP$111,OTT!$W11:$Z11)</f>
        <v>0</v>
      </c>
      <c r="BQ391" s="448">
        <f>SUMIF(OTT!$G$157:$J$157,BQ$111,OTT!$R11:$U11)+SUMIF(OTT!$G$157:$J$157,BQ$111,OTT!$W11:$Z11)</f>
        <v>0</v>
      </c>
      <c r="BR391" s="571"/>
      <c r="BS391" s="446"/>
      <c r="BT391" s="448"/>
      <c r="BU391" s="470"/>
      <c r="BV391" s="445">
        <f>SUMIF(OTT!$G$158:$J$158,BV$111,OTT!$R11:$U11)+SUMIF(OTT!$G$158:$J$158,BV$111,OTT!$W11:$Z11)</f>
        <v>0</v>
      </c>
      <c r="BW391" s="446">
        <f>SUMIF(OTT!$G$158:$J$158,BW$111,OTT!$R11:$U11)+SUMIF(OTT!$G$158:$J$158,BW$111,OTT!$W11:$Z11)</f>
        <v>0</v>
      </c>
      <c r="BX391" s="446">
        <f>SUMIF(OTT!$G$158:$J$158,BX$111,OTT!$R11:$U11)+SUMIF(OTT!$G$158:$J$158,BX$111,OTT!$W11:$Z11)</f>
        <v>0</v>
      </c>
      <c r="BY391" s="446">
        <f>SUMIF(OTT!$G$158:$J$158,BY$111,OTT!$R11:$U11)+SUMIF(OTT!$G$158:$J$158,BY$111,OTT!$W11:$Z11)</f>
        <v>0</v>
      </c>
      <c r="BZ391" s="446">
        <f>SUMIF(OTT!$G$158:$J$158,BZ$111,OTT!$R11:$U11)+SUMIF(OTT!$G$158:$J$158,BZ$111,OTT!$W11:$Z11)</f>
        <v>0</v>
      </c>
      <c r="CA391" s="446">
        <f>SUMIF(OTT!$G$158:$J$158,CA$111,OTT!$R11:$U11)+SUMIF(OTT!$G$158:$J$158,CA$111,OTT!$W11:$Z11)</f>
        <v>0</v>
      </c>
      <c r="CB391" s="448">
        <f>SUMIF(OTT!$G$158:$J$158,CB$111,OTT!$R11:$U11)+SUMIF(OTT!$G$158:$J$158,CB$111,OTT!$W11:$Z11)</f>
        <v>0</v>
      </c>
      <c r="CC391" s="571"/>
      <c r="CD391" s="448"/>
      <c r="CE391" s="92">
        <f t="shared" si="297"/>
        <v>0</v>
      </c>
      <c r="CF391" s="92">
        <f t="shared" si="298"/>
        <v>0</v>
      </c>
      <c r="CG391" s="151" t="str">
        <f t="shared" si="284"/>
        <v/>
      </c>
      <c r="CH391" s="92">
        <f t="shared" si="287"/>
        <v>0</v>
      </c>
      <c r="CI391" s="92" t="str">
        <f t="shared" si="299"/>
        <v/>
      </c>
      <c r="CJ391" s="1100">
        <f>OTT!AM11</f>
        <v>0</v>
      </c>
      <c r="CK391" s="445">
        <f>SUMIF(OTT!$G$155:$J$155,CK$112,OTT!$AN11:$AQ11)</f>
        <v>0</v>
      </c>
      <c r="CL391" s="446">
        <f>SUMIF(OTT!$G$155:$J$155,CL$112,OTT!$AN11:$AQ11)</f>
        <v>0</v>
      </c>
      <c r="CM391" s="447">
        <f>SUMIF(OTT!$G$155:$J$155,CM$112,OTT!$AN11:$AQ11)</f>
        <v>0</v>
      </c>
      <c r="CN391" s="448">
        <f>SUMIF(OTT!$G$155:$J$155,CN$112,OTT!$AN11:$AQ11)</f>
        <v>0</v>
      </c>
      <c r="CO391" s="1100">
        <f>OTT!AS11</f>
        <v>0</v>
      </c>
      <c r="CP391" s="445">
        <f>OTT!AT11</f>
        <v>0</v>
      </c>
      <c r="CQ391" s="446">
        <f>OTT!AU11</f>
        <v>0</v>
      </c>
      <c r="CR391" s="447">
        <f>OTT!AV11</f>
        <v>0</v>
      </c>
      <c r="CS391" s="448">
        <f>OTT!AW11</f>
        <v>0</v>
      </c>
      <c r="CT391" s="1100">
        <f>OTT!AY11</f>
        <v>0</v>
      </c>
      <c r="CU391" s="2"/>
    </row>
    <row r="392" spans="1:99" ht="14.25" hidden="1" customHeight="1" x14ac:dyDescent="0.2">
      <c r="A392" s="2"/>
      <c r="B392" s="151">
        <f t="shared" si="288"/>
        <v>45570</v>
      </c>
      <c r="C392" s="223">
        <f>IF(AND(E392&gt;(N$494-1),E392&lt;(R$494+1)),W$485,IF(ISERROR(HLOOKUP(E392,$N$487:$U$487,1,FALSE)),HLOOKUP(WEEKDAY(E392,2),IMPOSTAZIONI!$C$51:$P$56,6,FALSE),$W$484))</f>
        <v>0</v>
      </c>
      <c r="D392" s="103" t="str">
        <f t="shared" si="289"/>
        <v/>
      </c>
      <c r="E392" s="2380">
        <f t="shared" si="300"/>
        <v>45570</v>
      </c>
      <c r="F392" s="2381"/>
      <c r="G392" s="2325" t="str">
        <f>OTT!E12</f>
        <v xml:space="preserve">attiva trim.  </v>
      </c>
      <c r="H392" s="2326"/>
      <c r="I392" s="2327"/>
      <c r="J392" s="479" t="str">
        <f t="shared" si="285"/>
        <v/>
      </c>
      <c r="K392" s="480"/>
      <c r="L392" s="2319">
        <f t="shared" si="301"/>
        <v>40</v>
      </c>
      <c r="M392" s="2320"/>
      <c r="N392" s="478"/>
      <c r="O392" s="478"/>
      <c r="P392" s="478"/>
      <c r="Q392" s="2315">
        <f t="shared" si="290"/>
        <v>45570</v>
      </c>
      <c r="R392" s="2315"/>
      <c r="S392" s="478"/>
      <c r="T392" s="140">
        <f t="shared" si="291"/>
        <v>1</v>
      </c>
      <c r="U392" s="478"/>
      <c r="V392" s="478"/>
      <c r="W392" s="478"/>
      <c r="X392" s="478"/>
      <c r="Y392" s="478"/>
      <c r="Z392" s="478"/>
      <c r="AA392" s="478"/>
      <c r="AB392" s="478"/>
      <c r="AC392" s="478"/>
      <c r="AD392" s="478"/>
      <c r="AE392" s="478"/>
      <c r="AF392" s="478"/>
      <c r="AG392" s="140">
        <f t="shared" si="292"/>
        <v>0</v>
      </c>
      <c r="AH392" s="92" t="str">
        <f t="shared" si="293"/>
        <v/>
      </c>
      <c r="AI392" s="131">
        <f t="shared" si="294"/>
        <v>0</v>
      </c>
      <c r="AJ392" s="2"/>
      <c r="AK392" s="92">
        <f>IF(G392=G$481,0,IF(OR(G392&lt;&gt;0,CJ392&lt;&gt;0,C392="L"),COUNTIF(AK$114:AK391,"&gt;0")+1,0))</f>
        <v>0</v>
      </c>
      <c r="AL392" s="92" t="str">
        <f t="shared" si="295"/>
        <v/>
      </c>
      <c r="AM392" s="92" t="str">
        <f t="shared" si="296"/>
        <v/>
      </c>
      <c r="AN392" s="131">
        <f t="shared" si="286"/>
        <v>0</v>
      </c>
      <c r="AO392" s="447">
        <f>SUM(OTT!W12:Z12)</f>
        <v>0</v>
      </c>
      <c r="AP392" s="445">
        <f>SUMIF(OTT!$G$155:$J$155,AP$112,OTT!$R12:$U12)</f>
        <v>0</v>
      </c>
      <c r="AQ392" s="446">
        <f>SUMIF(OTT!$G$155:$J$155,AQ$112,OTT!$R12:$U12)</f>
        <v>0</v>
      </c>
      <c r="AR392" s="447">
        <f>SUMIF(OTT!$G$155:$J$155,AR$112,OTT!$R12:$U12)</f>
        <v>0</v>
      </c>
      <c r="AS392" s="448">
        <f>SUMIF(OTT!$G$155:$J$155,AS$112,OTT!$R12:$U12)</f>
        <v>0</v>
      </c>
      <c r="AT392" s="449">
        <f>OTT!AG12</f>
        <v>0</v>
      </c>
      <c r="AU392" s="445">
        <f>OTT!AH12</f>
        <v>0</v>
      </c>
      <c r="AV392" s="446">
        <f>OTT!AI12</f>
        <v>0</v>
      </c>
      <c r="AW392" s="447">
        <f>OTT!AJ12</f>
        <v>0</v>
      </c>
      <c r="AX392" s="448">
        <f>OTT!AK12</f>
        <v>0</v>
      </c>
      <c r="AY392" s="445">
        <f>SUMIF(OTT!$G$152:$J$152,"&gt;0",OTT!$W12:$Z12)</f>
        <v>0</v>
      </c>
      <c r="AZ392" s="1063">
        <f>SUM(OTT!AB12:AE12)</f>
        <v>0</v>
      </c>
      <c r="BA392" s="445">
        <f>SUMIF(OTT!$G$159:$J$159,BA$111,OTT!$R12:$U12)+SUMIF(OTT!$G$159:$J$159,BA$111,OTT!$W12:$Z12)</f>
        <v>0</v>
      </c>
      <c r="BB392" s="446">
        <f>SUMIF(OTT!$G$159:$J$159,BB$111,OTT!$R12:$U12)+SUMIF(OTT!$G$159:$J$159,BB$111,OTT!$W12:$Z12)</f>
        <v>0</v>
      </c>
      <c r="BC392" s="446">
        <f>SUMIF(OTT!$G$159:$J$159,BC$111,OTT!$R12:$U12)+SUMIF(OTT!$G$159:$J$159,BC$111,OTT!$W12:$Z12)</f>
        <v>0</v>
      </c>
      <c r="BD392" s="446">
        <f>SUMIF(OTT!$G$159:$J$159,BD$111,OTT!$R12:$U12)+SUMIF(OTT!$G$159:$J$159,BD$111,OTT!$W12:$Z12)</f>
        <v>0</v>
      </c>
      <c r="BE392" s="446">
        <f>SUMIF(OTT!$G$159:$J$159,BE$111,OTT!$R12:$U12)+SUMIF(OTT!$G$159:$J$159,BE$111,OTT!$W12:$Z12)</f>
        <v>0</v>
      </c>
      <c r="BF392" s="446">
        <f>SUMIF(OTT!$G$159:$J$159,BF$111,OTT!$R12:$U12)+SUMIF(OTT!$G$159:$J$159,BF$111,OTT!$W12:$Z12)</f>
        <v>0</v>
      </c>
      <c r="BG392" s="448">
        <f>SUMIF(OTT!$G$159:$J$159,BG$111,OTT!$R12:$U12)+SUMIF(OTT!$G$159:$J$159,BG$111,OTT!$W12:$Z12)</f>
        <v>0</v>
      </c>
      <c r="BH392" s="571"/>
      <c r="BI392" s="448"/>
      <c r="BJ392" s="470"/>
      <c r="BK392" s="445">
        <f>SUMIF(OTT!$G$157:$J$157,BK$111,OTT!$R12:$U12)+SUMIF(OTT!$G$157:$J$157,BK$111,OTT!$W12:$Z12)</f>
        <v>0</v>
      </c>
      <c r="BL392" s="446">
        <f>SUMIF(OTT!$G$157:$J$157,BL$111,OTT!$R12:$U12)+SUMIF(OTT!$G$157:$J$157,BL$111,OTT!$W12:$Z12)</f>
        <v>0</v>
      </c>
      <c r="BM392" s="446">
        <f>SUMIF(OTT!$G$157:$J$157,BM$111,OTT!$R12:$U12)+SUMIF(OTT!$G$157:$J$157,BM$111,OTT!$W12:$Z12)</f>
        <v>0</v>
      </c>
      <c r="BN392" s="446">
        <f>SUMIF(OTT!$G$157:$J$157,BN$111,OTT!$R12:$U12)+SUMIF(OTT!$G$157:$J$157,BN$111,OTT!$W12:$Z12)</f>
        <v>0</v>
      </c>
      <c r="BO392" s="446">
        <f>SUMIF(OTT!$G$157:$J$157,BO$111,OTT!$R12:$U12)+SUMIF(OTT!$G$157:$J$157,BO$111,OTT!$W12:$Z12)</f>
        <v>0</v>
      </c>
      <c r="BP392" s="446">
        <f>SUMIF(OTT!$G$157:$J$157,BP$111,OTT!$R12:$U12)+SUMIF(OTT!$G$157:$J$157,BP$111,OTT!$W12:$Z12)</f>
        <v>0</v>
      </c>
      <c r="BQ392" s="448">
        <f>SUMIF(OTT!$G$157:$J$157,BQ$111,OTT!$R12:$U12)+SUMIF(OTT!$G$157:$J$157,BQ$111,OTT!$W12:$Z12)</f>
        <v>0</v>
      </c>
      <c r="BR392" s="571"/>
      <c r="BS392" s="446"/>
      <c r="BT392" s="448"/>
      <c r="BU392" s="470"/>
      <c r="BV392" s="445">
        <f>SUMIF(OTT!$G$158:$J$158,BV$111,OTT!$R12:$U12)+SUMIF(OTT!$G$158:$J$158,BV$111,OTT!$W12:$Z12)</f>
        <v>0</v>
      </c>
      <c r="BW392" s="446">
        <f>SUMIF(OTT!$G$158:$J$158,BW$111,OTT!$R12:$U12)+SUMIF(OTT!$G$158:$J$158,BW$111,OTT!$W12:$Z12)</f>
        <v>0</v>
      </c>
      <c r="BX392" s="446">
        <f>SUMIF(OTT!$G$158:$J$158,BX$111,OTT!$R12:$U12)+SUMIF(OTT!$G$158:$J$158,BX$111,OTT!$W12:$Z12)</f>
        <v>0</v>
      </c>
      <c r="BY392" s="446">
        <f>SUMIF(OTT!$G$158:$J$158,BY$111,OTT!$R12:$U12)+SUMIF(OTT!$G$158:$J$158,BY$111,OTT!$W12:$Z12)</f>
        <v>0</v>
      </c>
      <c r="BZ392" s="446">
        <f>SUMIF(OTT!$G$158:$J$158,BZ$111,OTT!$R12:$U12)+SUMIF(OTT!$G$158:$J$158,BZ$111,OTT!$W12:$Z12)</f>
        <v>0</v>
      </c>
      <c r="CA392" s="446">
        <f>SUMIF(OTT!$G$158:$J$158,CA$111,OTT!$R12:$U12)+SUMIF(OTT!$G$158:$J$158,CA$111,OTT!$W12:$Z12)</f>
        <v>0</v>
      </c>
      <c r="CB392" s="448">
        <f>SUMIF(OTT!$G$158:$J$158,CB$111,OTT!$R12:$U12)+SUMIF(OTT!$G$158:$J$158,CB$111,OTT!$W12:$Z12)</f>
        <v>0</v>
      </c>
      <c r="CC392" s="571"/>
      <c r="CD392" s="448"/>
      <c r="CE392" s="92">
        <f t="shared" si="297"/>
        <v>0</v>
      </c>
      <c r="CF392" s="92">
        <f t="shared" si="298"/>
        <v>0</v>
      </c>
      <c r="CG392" s="151" t="str">
        <f t="shared" si="284"/>
        <v/>
      </c>
      <c r="CH392" s="92">
        <f t="shared" si="287"/>
        <v>0</v>
      </c>
      <c r="CI392" s="92" t="str">
        <f t="shared" si="299"/>
        <v/>
      </c>
      <c r="CJ392" s="1100">
        <f>OTT!AM12</f>
        <v>0</v>
      </c>
      <c r="CK392" s="445">
        <f>SUMIF(OTT!$G$155:$J$155,CK$112,OTT!$AN12:$AQ12)</f>
        <v>0</v>
      </c>
      <c r="CL392" s="446">
        <f>SUMIF(OTT!$G$155:$J$155,CL$112,OTT!$AN12:$AQ12)</f>
        <v>0</v>
      </c>
      <c r="CM392" s="447">
        <f>SUMIF(OTT!$G$155:$J$155,CM$112,OTT!$AN12:$AQ12)</f>
        <v>0</v>
      </c>
      <c r="CN392" s="448">
        <f>SUMIF(OTT!$G$155:$J$155,CN$112,OTT!$AN12:$AQ12)</f>
        <v>0</v>
      </c>
      <c r="CO392" s="1100">
        <f>OTT!AS12</f>
        <v>0</v>
      </c>
      <c r="CP392" s="445">
        <f>OTT!AT12</f>
        <v>0</v>
      </c>
      <c r="CQ392" s="446">
        <f>OTT!AU12</f>
        <v>0</v>
      </c>
      <c r="CR392" s="447">
        <f>OTT!AV12</f>
        <v>0</v>
      </c>
      <c r="CS392" s="448">
        <f>OTT!AW12</f>
        <v>0</v>
      </c>
      <c r="CT392" s="1100">
        <f>OTT!AY12</f>
        <v>0</v>
      </c>
      <c r="CU392" s="2"/>
    </row>
    <row r="393" spans="1:99" ht="14.25" hidden="1" customHeight="1" x14ac:dyDescent="0.2">
      <c r="A393" s="2"/>
      <c r="B393" s="151">
        <f t="shared" si="288"/>
        <v>45571</v>
      </c>
      <c r="C393" s="223">
        <f>IF(AND(E393&gt;(N$494-1),E393&lt;(R$494+1)),W$485,IF(ISERROR(HLOOKUP(E393,$N$487:$U$487,1,FALSE)),HLOOKUP(WEEKDAY(E393,2),IMPOSTAZIONI!$C$51:$P$56,6,FALSE),$W$484))</f>
        <v>0</v>
      </c>
      <c r="D393" s="103" t="str">
        <f t="shared" si="289"/>
        <v/>
      </c>
      <c r="E393" s="2380">
        <f t="shared" si="300"/>
        <v>45571</v>
      </c>
      <c r="F393" s="2381"/>
      <c r="G393" s="2325" t="str">
        <f>OTT!E13</f>
        <v xml:space="preserve">attiva trim.  </v>
      </c>
      <c r="H393" s="2326"/>
      <c r="I393" s="2327"/>
      <c r="J393" s="479" t="str">
        <f t="shared" si="285"/>
        <v/>
      </c>
      <c r="K393" s="480"/>
      <c r="L393" s="2321">
        <f t="shared" si="301"/>
        <v>40</v>
      </c>
      <c r="M393" s="2322"/>
      <c r="N393" s="478"/>
      <c r="O393" s="478"/>
      <c r="P393" s="478"/>
      <c r="Q393" s="2315">
        <f t="shared" si="290"/>
        <v>45571</v>
      </c>
      <c r="R393" s="2315"/>
      <c r="S393" s="478"/>
      <c r="T393" s="140">
        <f t="shared" si="291"/>
        <v>1</v>
      </c>
      <c r="U393" s="478"/>
      <c r="V393" s="478"/>
      <c r="W393" s="478"/>
      <c r="X393" s="478"/>
      <c r="Y393" s="478"/>
      <c r="Z393" s="478"/>
      <c r="AA393" s="478"/>
      <c r="AB393" s="478"/>
      <c r="AC393" s="478"/>
      <c r="AD393" s="478"/>
      <c r="AE393" s="478"/>
      <c r="AF393" s="478"/>
      <c r="AG393" s="140">
        <f t="shared" si="292"/>
        <v>0</v>
      </c>
      <c r="AH393" s="92" t="str">
        <f t="shared" si="293"/>
        <v/>
      </c>
      <c r="AI393" s="131">
        <f t="shared" si="294"/>
        <v>0</v>
      </c>
      <c r="AJ393" s="2"/>
      <c r="AK393" s="92">
        <f>IF(G393=G$481,0,IF(OR(G393&lt;&gt;0,CJ393&lt;&gt;0,C393="L"),COUNTIF(AK$114:AK392,"&gt;0")+1,0))</f>
        <v>0</v>
      </c>
      <c r="AL393" s="92" t="str">
        <f t="shared" si="295"/>
        <v/>
      </c>
      <c r="AM393" s="92" t="str">
        <f t="shared" si="296"/>
        <v/>
      </c>
      <c r="AN393" s="131">
        <f t="shared" si="286"/>
        <v>0</v>
      </c>
      <c r="AO393" s="447">
        <f>SUM(OTT!W13:Z13)</f>
        <v>0</v>
      </c>
      <c r="AP393" s="445">
        <f>SUMIF(OTT!$G$155:$J$155,AP$112,OTT!$R13:$U13)</f>
        <v>0</v>
      </c>
      <c r="AQ393" s="446">
        <f>SUMIF(OTT!$G$155:$J$155,AQ$112,OTT!$R13:$U13)</f>
        <v>0</v>
      </c>
      <c r="AR393" s="447">
        <f>SUMIF(OTT!$G$155:$J$155,AR$112,OTT!$R13:$U13)</f>
        <v>0</v>
      </c>
      <c r="AS393" s="448">
        <f>SUMIF(OTT!$G$155:$J$155,AS$112,OTT!$R13:$U13)</f>
        <v>0</v>
      </c>
      <c r="AT393" s="449">
        <f>OTT!AG13</f>
        <v>0</v>
      </c>
      <c r="AU393" s="445">
        <f>OTT!AH13</f>
        <v>0</v>
      </c>
      <c r="AV393" s="446">
        <f>OTT!AI13</f>
        <v>0</v>
      </c>
      <c r="AW393" s="447">
        <f>OTT!AJ13</f>
        <v>0</v>
      </c>
      <c r="AX393" s="448">
        <f>OTT!AK13</f>
        <v>0</v>
      </c>
      <c r="AY393" s="445">
        <f>SUMIF(OTT!$G$152:$J$152,"&gt;0",OTT!$W13:$Z13)</f>
        <v>0</v>
      </c>
      <c r="AZ393" s="1063">
        <f>SUM(OTT!AB13:AE13)</f>
        <v>0</v>
      </c>
      <c r="BA393" s="445">
        <f>SUMIF(OTT!$G$159:$J$159,BA$111,OTT!$R13:$U13)+SUMIF(OTT!$G$159:$J$159,BA$111,OTT!$W13:$Z13)</f>
        <v>0</v>
      </c>
      <c r="BB393" s="446">
        <f>SUMIF(OTT!$G$159:$J$159,BB$111,OTT!$R13:$U13)+SUMIF(OTT!$G$159:$J$159,BB$111,OTT!$W13:$Z13)</f>
        <v>0</v>
      </c>
      <c r="BC393" s="446">
        <f>SUMIF(OTT!$G$159:$J$159,BC$111,OTT!$R13:$U13)+SUMIF(OTT!$G$159:$J$159,BC$111,OTT!$W13:$Z13)</f>
        <v>0</v>
      </c>
      <c r="BD393" s="446">
        <f>SUMIF(OTT!$G$159:$J$159,BD$111,OTT!$R13:$U13)+SUMIF(OTT!$G$159:$J$159,BD$111,OTT!$W13:$Z13)</f>
        <v>0</v>
      </c>
      <c r="BE393" s="446">
        <f>SUMIF(OTT!$G$159:$J$159,BE$111,OTT!$R13:$U13)+SUMIF(OTT!$G$159:$J$159,BE$111,OTT!$W13:$Z13)</f>
        <v>0</v>
      </c>
      <c r="BF393" s="446">
        <f>SUMIF(OTT!$G$159:$J$159,BF$111,OTT!$R13:$U13)+SUMIF(OTT!$G$159:$J$159,BF$111,OTT!$W13:$Z13)</f>
        <v>0</v>
      </c>
      <c r="BG393" s="448">
        <f>SUMIF(OTT!$G$159:$J$159,BG$111,OTT!$R13:$U13)+SUMIF(OTT!$G$159:$J$159,BG$111,OTT!$W13:$Z13)</f>
        <v>0</v>
      </c>
      <c r="BH393" s="571"/>
      <c r="BI393" s="448"/>
      <c r="BJ393" s="470"/>
      <c r="BK393" s="445">
        <f>SUMIF(OTT!$G$157:$J$157,BK$111,OTT!$R13:$U13)+SUMIF(OTT!$G$157:$J$157,BK$111,OTT!$W13:$Z13)</f>
        <v>0</v>
      </c>
      <c r="BL393" s="446">
        <f>SUMIF(OTT!$G$157:$J$157,BL$111,OTT!$R13:$U13)+SUMIF(OTT!$G$157:$J$157,BL$111,OTT!$W13:$Z13)</f>
        <v>0</v>
      </c>
      <c r="BM393" s="446">
        <f>SUMIF(OTT!$G$157:$J$157,BM$111,OTT!$R13:$U13)+SUMIF(OTT!$G$157:$J$157,BM$111,OTT!$W13:$Z13)</f>
        <v>0</v>
      </c>
      <c r="BN393" s="446">
        <f>SUMIF(OTT!$G$157:$J$157,BN$111,OTT!$R13:$U13)+SUMIF(OTT!$G$157:$J$157,BN$111,OTT!$W13:$Z13)</f>
        <v>0</v>
      </c>
      <c r="BO393" s="446">
        <f>SUMIF(OTT!$G$157:$J$157,BO$111,OTT!$R13:$U13)+SUMIF(OTT!$G$157:$J$157,BO$111,OTT!$W13:$Z13)</f>
        <v>0</v>
      </c>
      <c r="BP393" s="446">
        <f>SUMIF(OTT!$G$157:$J$157,BP$111,OTT!$R13:$U13)+SUMIF(OTT!$G$157:$J$157,BP$111,OTT!$W13:$Z13)</f>
        <v>0</v>
      </c>
      <c r="BQ393" s="448">
        <f>SUMIF(OTT!$G$157:$J$157,BQ$111,OTT!$R13:$U13)+SUMIF(OTT!$G$157:$J$157,BQ$111,OTT!$W13:$Z13)</f>
        <v>0</v>
      </c>
      <c r="BR393" s="571"/>
      <c r="BS393" s="446"/>
      <c r="BT393" s="448"/>
      <c r="BU393" s="470"/>
      <c r="BV393" s="445">
        <f>SUMIF(OTT!$G$158:$J$158,BV$111,OTT!$R13:$U13)+SUMIF(OTT!$G$158:$J$158,BV$111,OTT!$W13:$Z13)</f>
        <v>0</v>
      </c>
      <c r="BW393" s="446">
        <f>SUMIF(OTT!$G$158:$J$158,BW$111,OTT!$R13:$U13)+SUMIF(OTT!$G$158:$J$158,BW$111,OTT!$W13:$Z13)</f>
        <v>0</v>
      </c>
      <c r="BX393" s="446">
        <f>SUMIF(OTT!$G$158:$J$158,BX$111,OTT!$R13:$U13)+SUMIF(OTT!$G$158:$J$158,BX$111,OTT!$W13:$Z13)</f>
        <v>0</v>
      </c>
      <c r="BY393" s="446">
        <f>SUMIF(OTT!$G$158:$J$158,BY$111,OTT!$R13:$U13)+SUMIF(OTT!$G$158:$J$158,BY$111,OTT!$W13:$Z13)</f>
        <v>0</v>
      </c>
      <c r="BZ393" s="446">
        <f>SUMIF(OTT!$G$158:$J$158,BZ$111,OTT!$R13:$U13)+SUMIF(OTT!$G$158:$J$158,BZ$111,OTT!$W13:$Z13)</f>
        <v>0</v>
      </c>
      <c r="CA393" s="446">
        <f>SUMIF(OTT!$G$158:$J$158,CA$111,OTT!$R13:$U13)+SUMIF(OTT!$G$158:$J$158,CA$111,OTT!$W13:$Z13)</f>
        <v>0</v>
      </c>
      <c r="CB393" s="448">
        <f>SUMIF(OTT!$G$158:$J$158,CB$111,OTT!$R13:$U13)+SUMIF(OTT!$G$158:$J$158,CB$111,OTT!$W13:$Z13)</f>
        <v>0</v>
      </c>
      <c r="CC393" s="571"/>
      <c r="CD393" s="448"/>
      <c r="CE393" s="92">
        <f t="shared" si="297"/>
        <v>0</v>
      </c>
      <c r="CF393" s="92">
        <f t="shared" si="298"/>
        <v>0</v>
      </c>
      <c r="CG393" s="151" t="str">
        <f t="shared" si="284"/>
        <v/>
      </c>
      <c r="CH393" s="92">
        <f t="shared" si="287"/>
        <v>0</v>
      </c>
      <c r="CI393" s="92" t="str">
        <f t="shared" si="299"/>
        <v/>
      </c>
      <c r="CJ393" s="1100">
        <f>OTT!AM13</f>
        <v>0</v>
      </c>
      <c r="CK393" s="445">
        <f>SUMIF(OTT!$G$155:$J$155,CK$112,OTT!$AN13:$AQ13)</f>
        <v>0</v>
      </c>
      <c r="CL393" s="446">
        <f>SUMIF(OTT!$G$155:$J$155,CL$112,OTT!$AN13:$AQ13)</f>
        <v>0</v>
      </c>
      <c r="CM393" s="447">
        <f>SUMIF(OTT!$G$155:$J$155,CM$112,OTT!$AN13:$AQ13)</f>
        <v>0</v>
      </c>
      <c r="CN393" s="448">
        <f>SUMIF(OTT!$G$155:$J$155,CN$112,OTT!$AN13:$AQ13)</f>
        <v>0</v>
      </c>
      <c r="CO393" s="1100">
        <f>OTT!AS13</f>
        <v>0</v>
      </c>
      <c r="CP393" s="445">
        <f>OTT!AT13</f>
        <v>0</v>
      </c>
      <c r="CQ393" s="446">
        <f>OTT!AU13</f>
        <v>0</v>
      </c>
      <c r="CR393" s="447">
        <f>OTT!AV13</f>
        <v>0</v>
      </c>
      <c r="CS393" s="448">
        <f>OTT!AW13</f>
        <v>0</v>
      </c>
      <c r="CT393" s="1100">
        <f>OTT!AY13</f>
        <v>0</v>
      </c>
      <c r="CU393" s="2"/>
    </row>
    <row r="394" spans="1:99" ht="14.25" hidden="1" customHeight="1" x14ac:dyDescent="0.2">
      <c r="A394" s="2"/>
      <c r="B394" s="151">
        <f t="shared" si="288"/>
        <v>45572</v>
      </c>
      <c r="C394" s="223">
        <f>IF(AND(E394&gt;(N$494-1),E394&lt;(R$494+1)),W$485,IF(ISERROR(HLOOKUP(E394,$N$487:$U$487,1,FALSE)),HLOOKUP(WEEKDAY(E394,2),IMPOSTAZIONI!$C$51:$P$56,6,FALSE),$W$484))</f>
        <v>0</v>
      </c>
      <c r="D394" s="103" t="str">
        <f t="shared" si="289"/>
        <v/>
      </c>
      <c r="E394" s="2380">
        <f t="shared" si="300"/>
        <v>45572</v>
      </c>
      <c r="F394" s="2381"/>
      <c r="G394" s="2325" t="str">
        <f>OTT!E14</f>
        <v xml:space="preserve">attiva trim.  </v>
      </c>
      <c r="H394" s="2326"/>
      <c r="I394" s="2327"/>
      <c r="J394" s="479" t="str">
        <f t="shared" si="285"/>
        <v/>
      </c>
      <c r="K394" s="480"/>
      <c r="L394" s="2323">
        <f t="shared" si="301"/>
        <v>41</v>
      </c>
      <c r="M394" s="2324"/>
      <c r="N394" s="478"/>
      <c r="O394" s="478"/>
      <c r="P394" s="478"/>
      <c r="Q394" s="2315">
        <f t="shared" si="290"/>
        <v>45572</v>
      </c>
      <c r="R394" s="2315"/>
      <c r="S394" s="478"/>
      <c r="T394" s="140">
        <f t="shared" si="291"/>
        <v>1</v>
      </c>
      <c r="U394" s="478"/>
      <c r="V394" s="478"/>
      <c r="W394" s="478"/>
      <c r="X394" s="478"/>
      <c r="Y394" s="478"/>
      <c r="Z394" s="478"/>
      <c r="AA394" s="478"/>
      <c r="AB394" s="478"/>
      <c r="AC394" s="478"/>
      <c r="AD394" s="478"/>
      <c r="AE394" s="478"/>
      <c r="AF394" s="478"/>
      <c r="AG394" s="140">
        <f t="shared" si="292"/>
        <v>0</v>
      </c>
      <c r="AH394" s="92" t="str">
        <f t="shared" si="293"/>
        <v/>
      </c>
      <c r="AI394" s="131">
        <f t="shared" si="294"/>
        <v>0</v>
      </c>
      <c r="AJ394" s="2"/>
      <c r="AK394" s="92">
        <f>IF(G394=G$481,0,IF(OR(G394&lt;&gt;0,CJ394&lt;&gt;0,C394="L"),COUNTIF(AK$114:AK393,"&gt;0")+1,0))</f>
        <v>0</v>
      </c>
      <c r="AL394" s="92" t="str">
        <f t="shared" si="295"/>
        <v/>
      </c>
      <c r="AM394" s="92" t="str">
        <f t="shared" si="296"/>
        <v/>
      </c>
      <c r="AN394" s="131">
        <f t="shared" si="286"/>
        <v>0</v>
      </c>
      <c r="AO394" s="447">
        <f>SUM(OTT!W14:Z14)</f>
        <v>0</v>
      </c>
      <c r="AP394" s="445">
        <f>SUMIF(OTT!$G$155:$J$155,AP$112,OTT!$R14:$U14)</f>
        <v>0</v>
      </c>
      <c r="AQ394" s="446">
        <f>SUMIF(OTT!$G$155:$J$155,AQ$112,OTT!$R14:$U14)</f>
        <v>0</v>
      </c>
      <c r="AR394" s="447">
        <f>SUMIF(OTT!$G$155:$J$155,AR$112,OTT!$R14:$U14)</f>
        <v>0</v>
      </c>
      <c r="AS394" s="448">
        <f>SUMIF(OTT!$G$155:$J$155,AS$112,OTT!$R14:$U14)</f>
        <v>0</v>
      </c>
      <c r="AT394" s="449">
        <f>OTT!AG14</f>
        <v>0</v>
      </c>
      <c r="AU394" s="445">
        <f>OTT!AH14</f>
        <v>0</v>
      </c>
      <c r="AV394" s="446">
        <f>OTT!AI14</f>
        <v>0</v>
      </c>
      <c r="AW394" s="447">
        <f>OTT!AJ14</f>
        <v>0</v>
      </c>
      <c r="AX394" s="448">
        <f>OTT!AK14</f>
        <v>0</v>
      </c>
      <c r="AY394" s="445">
        <f>SUMIF(OTT!$G$152:$J$152,"&gt;0",OTT!$W14:$Z14)</f>
        <v>0</v>
      </c>
      <c r="AZ394" s="1063">
        <f>SUM(OTT!AB14:AE14)</f>
        <v>0</v>
      </c>
      <c r="BA394" s="445">
        <f>SUMIF(OTT!$G$159:$J$159,BA$111,OTT!$R14:$U14)+SUMIF(OTT!$G$159:$J$159,BA$111,OTT!$W14:$Z14)</f>
        <v>0</v>
      </c>
      <c r="BB394" s="446">
        <f>SUMIF(OTT!$G$159:$J$159,BB$111,OTT!$R14:$U14)+SUMIF(OTT!$G$159:$J$159,BB$111,OTT!$W14:$Z14)</f>
        <v>0</v>
      </c>
      <c r="BC394" s="446">
        <f>SUMIF(OTT!$G$159:$J$159,BC$111,OTT!$R14:$U14)+SUMIF(OTT!$G$159:$J$159,BC$111,OTT!$W14:$Z14)</f>
        <v>0</v>
      </c>
      <c r="BD394" s="446">
        <f>SUMIF(OTT!$G$159:$J$159,BD$111,OTT!$R14:$U14)+SUMIF(OTT!$G$159:$J$159,BD$111,OTT!$W14:$Z14)</f>
        <v>0</v>
      </c>
      <c r="BE394" s="446">
        <f>SUMIF(OTT!$G$159:$J$159,BE$111,OTT!$R14:$U14)+SUMIF(OTT!$G$159:$J$159,BE$111,OTT!$W14:$Z14)</f>
        <v>0</v>
      </c>
      <c r="BF394" s="446">
        <f>SUMIF(OTT!$G$159:$J$159,BF$111,OTT!$R14:$U14)+SUMIF(OTT!$G$159:$J$159,BF$111,OTT!$W14:$Z14)</f>
        <v>0</v>
      </c>
      <c r="BG394" s="448">
        <f>SUMIF(OTT!$G$159:$J$159,BG$111,OTT!$R14:$U14)+SUMIF(OTT!$G$159:$J$159,BG$111,OTT!$W14:$Z14)</f>
        <v>0</v>
      </c>
      <c r="BH394" s="571"/>
      <c r="BI394" s="448"/>
      <c r="BJ394" s="470"/>
      <c r="BK394" s="445">
        <f>SUMIF(OTT!$G$157:$J$157,BK$111,OTT!$R14:$U14)+SUMIF(OTT!$G$157:$J$157,BK$111,OTT!$W14:$Z14)</f>
        <v>0</v>
      </c>
      <c r="BL394" s="446">
        <f>SUMIF(OTT!$G$157:$J$157,BL$111,OTT!$R14:$U14)+SUMIF(OTT!$G$157:$J$157,BL$111,OTT!$W14:$Z14)</f>
        <v>0</v>
      </c>
      <c r="BM394" s="446">
        <f>SUMIF(OTT!$G$157:$J$157,BM$111,OTT!$R14:$U14)+SUMIF(OTT!$G$157:$J$157,BM$111,OTT!$W14:$Z14)</f>
        <v>0</v>
      </c>
      <c r="BN394" s="446">
        <f>SUMIF(OTT!$G$157:$J$157,BN$111,OTT!$R14:$U14)+SUMIF(OTT!$G$157:$J$157,BN$111,OTT!$W14:$Z14)</f>
        <v>0</v>
      </c>
      <c r="BO394" s="446">
        <f>SUMIF(OTT!$G$157:$J$157,BO$111,OTT!$R14:$U14)+SUMIF(OTT!$G$157:$J$157,BO$111,OTT!$W14:$Z14)</f>
        <v>0</v>
      </c>
      <c r="BP394" s="446">
        <f>SUMIF(OTT!$G$157:$J$157,BP$111,OTT!$R14:$U14)+SUMIF(OTT!$G$157:$J$157,BP$111,OTT!$W14:$Z14)</f>
        <v>0</v>
      </c>
      <c r="BQ394" s="448">
        <f>SUMIF(OTT!$G$157:$J$157,BQ$111,OTT!$R14:$U14)+SUMIF(OTT!$G$157:$J$157,BQ$111,OTT!$W14:$Z14)</f>
        <v>0</v>
      </c>
      <c r="BR394" s="571"/>
      <c r="BS394" s="446"/>
      <c r="BT394" s="448"/>
      <c r="BU394" s="470"/>
      <c r="BV394" s="445">
        <f>SUMIF(OTT!$G$158:$J$158,BV$111,OTT!$R14:$U14)+SUMIF(OTT!$G$158:$J$158,BV$111,OTT!$W14:$Z14)</f>
        <v>0</v>
      </c>
      <c r="BW394" s="446">
        <f>SUMIF(OTT!$G$158:$J$158,BW$111,OTT!$R14:$U14)+SUMIF(OTT!$G$158:$J$158,BW$111,OTT!$W14:$Z14)</f>
        <v>0</v>
      </c>
      <c r="BX394" s="446">
        <f>SUMIF(OTT!$G$158:$J$158,BX$111,OTT!$R14:$U14)+SUMIF(OTT!$G$158:$J$158,BX$111,OTT!$W14:$Z14)</f>
        <v>0</v>
      </c>
      <c r="BY394" s="446">
        <f>SUMIF(OTT!$G$158:$J$158,BY$111,OTT!$R14:$U14)+SUMIF(OTT!$G$158:$J$158,BY$111,OTT!$W14:$Z14)</f>
        <v>0</v>
      </c>
      <c r="BZ394" s="446">
        <f>SUMIF(OTT!$G$158:$J$158,BZ$111,OTT!$R14:$U14)+SUMIF(OTT!$G$158:$J$158,BZ$111,OTT!$W14:$Z14)</f>
        <v>0</v>
      </c>
      <c r="CA394" s="446">
        <f>SUMIF(OTT!$G$158:$J$158,CA$111,OTT!$R14:$U14)+SUMIF(OTT!$G$158:$J$158,CA$111,OTT!$W14:$Z14)</f>
        <v>0</v>
      </c>
      <c r="CB394" s="448">
        <f>SUMIF(OTT!$G$158:$J$158,CB$111,OTT!$R14:$U14)+SUMIF(OTT!$G$158:$J$158,CB$111,OTT!$W14:$Z14)</f>
        <v>0</v>
      </c>
      <c r="CC394" s="571"/>
      <c r="CD394" s="448"/>
      <c r="CE394" s="92">
        <f t="shared" si="297"/>
        <v>0</v>
      </c>
      <c r="CF394" s="92">
        <f t="shared" si="298"/>
        <v>0</v>
      </c>
      <c r="CG394" s="151" t="str">
        <f t="shared" si="284"/>
        <v/>
      </c>
      <c r="CH394" s="92">
        <f t="shared" si="287"/>
        <v>0</v>
      </c>
      <c r="CI394" s="92" t="str">
        <f t="shared" si="299"/>
        <v/>
      </c>
      <c r="CJ394" s="1100">
        <f>OTT!AM14</f>
        <v>0</v>
      </c>
      <c r="CK394" s="445">
        <f>SUMIF(OTT!$G$155:$J$155,CK$112,OTT!$AN14:$AQ14)</f>
        <v>0</v>
      </c>
      <c r="CL394" s="446">
        <f>SUMIF(OTT!$G$155:$J$155,CL$112,OTT!$AN14:$AQ14)</f>
        <v>0</v>
      </c>
      <c r="CM394" s="447">
        <f>SUMIF(OTT!$G$155:$J$155,CM$112,OTT!$AN14:$AQ14)</f>
        <v>0</v>
      </c>
      <c r="CN394" s="448">
        <f>SUMIF(OTT!$G$155:$J$155,CN$112,OTT!$AN14:$AQ14)</f>
        <v>0</v>
      </c>
      <c r="CO394" s="1100">
        <f>OTT!AS14</f>
        <v>0</v>
      </c>
      <c r="CP394" s="445">
        <f>OTT!AT14</f>
        <v>0</v>
      </c>
      <c r="CQ394" s="446">
        <f>OTT!AU14</f>
        <v>0</v>
      </c>
      <c r="CR394" s="447">
        <f>OTT!AV14</f>
        <v>0</v>
      </c>
      <c r="CS394" s="448">
        <f>OTT!AW14</f>
        <v>0</v>
      </c>
      <c r="CT394" s="1100">
        <f>OTT!AY14</f>
        <v>0</v>
      </c>
      <c r="CU394" s="2"/>
    </row>
    <row r="395" spans="1:99" ht="14.25" hidden="1" customHeight="1" x14ac:dyDescent="0.2">
      <c r="A395" s="2"/>
      <c r="B395" s="151">
        <f t="shared" si="288"/>
        <v>45573</v>
      </c>
      <c r="C395" s="223">
        <f>IF(AND(E395&gt;(N$494-1),E395&lt;(R$494+1)),W$485,IF(ISERROR(HLOOKUP(E395,$N$487:$U$487,1,FALSE)),HLOOKUP(WEEKDAY(E395,2),IMPOSTAZIONI!$C$51:$P$56,6,FALSE),$W$484))</f>
        <v>0</v>
      </c>
      <c r="D395" s="103" t="str">
        <f t="shared" si="289"/>
        <v/>
      </c>
      <c r="E395" s="2380">
        <f t="shared" si="300"/>
        <v>45573</v>
      </c>
      <c r="F395" s="2381"/>
      <c r="G395" s="2325" t="str">
        <f>OTT!E15</f>
        <v xml:space="preserve">attiva trim.  </v>
      </c>
      <c r="H395" s="2326"/>
      <c r="I395" s="2327"/>
      <c r="J395" s="479" t="str">
        <f t="shared" si="285"/>
        <v/>
      </c>
      <c r="K395" s="480"/>
      <c r="L395" s="2319">
        <f t="shared" si="301"/>
        <v>41</v>
      </c>
      <c r="M395" s="2320"/>
      <c r="N395" s="478"/>
      <c r="O395" s="478"/>
      <c r="P395" s="478"/>
      <c r="Q395" s="2315">
        <f t="shared" si="290"/>
        <v>45573</v>
      </c>
      <c r="R395" s="2315"/>
      <c r="S395" s="478"/>
      <c r="T395" s="140">
        <f t="shared" si="291"/>
        <v>1</v>
      </c>
      <c r="U395" s="478"/>
      <c r="V395" s="478"/>
      <c r="W395" s="478"/>
      <c r="X395" s="478"/>
      <c r="Y395" s="478"/>
      <c r="Z395" s="478"/>
      <c r="AA395" s="478"/>
      <c r="AB395" s="478"/>
      <c r="AC395" s="478"/>
      <c r="AD395" s="478"/>
      <c r="AE395" s="478"/>
      <c r="AF395" s="478"/>
      <c r="AG395" s="140">
        <f t="shared" si="292"/>
        <v>0</v>
      </c>
      <c r="AH395" s="92" t="str">
        <f t="shared" si="293"/>
        <v/>
      </c>
      <c r="AI395" s="131">
        <f t="shared" si="294"/>
        <v>0</v>
      </c>
      <c r="AJ395" s="2"/>
      <c r="AK395" s="92">
        <f>IF(G395=G$481,0,IF(OR(G395&lt;&gt;0,CJ395&lt;&gt;0,C395="L"),COUNTIF(AK$114:AK394,"&gt;0")+1,0))</f>
        <v>0</v>
      </c>
      <c r="AL395" s="92" t="str">
        <f t="shared" si="295"/>
        <v/>
      </c>
      <c r="AM395" s="92" t="str">
        <f t="shared" si="296"/>
        <v/>
      </c>
      <c r="AN395" s="131">
        <f t="shared" si="286"/>
        <v>0</v>
      </c>
      <c r="AO395" s="447">
        <f>SUM(OTT!W15:Z15)</f>
        <v>0</v>
      </c>
      <c r="AP395" s="445">
        <f>SUMIF(OTT!$G$155:$J$155,AP$112,OTT!$R15:$U15)</f>
        <v>0</v>
      </c>
      <c r="AQ395" s="446">
        <f>SUMIF(OTT!$G$155:$J$155,AQ$112,OTT!$R15:$U15)</f>
        <v>0</v>
      </c>
      <c r="AR395" s="447">
        <f>SUMIF(OTT!$G$155:$J$155,AR$112,OTT!$R15:$U15)</f>
        <v>0</v>
      </c>
      <c r="AS395" s="448">
        <f>SUMIF(OTT!$G$155:$J$155,AS$112,OTT!$R15:$U15)</f>
        <v>0</v>
      </c>
      <c r="AT395" s="449">
        <f>OTT!AG15</f>
        <v>0</v>
      </c>
      <c r="AU395" s="445">
        <f>OTT!AH15</f>
        <v>0</v>
      </c>
      <c r="AV395" s="446">
        <f>OTT!AI15</f>
        <v>0</v>
      </c>
      <c r="AW395" s="447">
        <f>OTT!AJ15</f>
        <v>0</v>
      </c>
      <c r="AX395" s="448">
        <f>OTT!AK15</f>
        <v>0</v>
      </c>
      <c r="AY395" s="445">
        <f>SUMIF(OTT!$G$152:$J$152,"&gt;0",OTT!$W15:$Z15)</f>
        <v>0</v>
      </c>
      <c r="AZ395" s="1063">
        <f>SUM(OTT!AB15:AE15)</f>
        <v>0</v>
      </c>
      <c r="BA395" s="445">
        <f>SUMIF(OTT!$G$159:$J$159,BA$111,OTT!$R15:$U15)+SUMIF(OTT!$G$159:$J$159,BA$111,OTT!$W15:$Z15)</f>
        <v>0</v>
      </c>
      <c r="BB395" s="446">
        <f>SUMIF(OTT!$G$159:$J$159,BB$111,OTT!$R15:$U15)+SUMIF(OTT!$G$159:$J$159,BB$111,OTT!$W15:$Z15)</f>
        <v>0</v>
      </c>
      <c r="BC395" s="446">
        <f>SUMIF(OTT!$G$159:$J$159,BC$111,OTT!$R15:$U15)+SUMIF(OTT!$G$159:$J$159,BC$111,OTT!$W15:$Z15)</f>
        <v>0</v>
      </c>
      <c r="BD395" s="446">
        <f>SUMIF(OTT!$G$159:$J$159,BD$111,OTT!$R15:$U15)+SUMIF(OTT!$G$159:$J$159,BD$111,OTT!$W15:$Z15)</f>
        <v>0</v>
      </c>
      <c r="BE395" s="446">
        <f>SUMIF(OTT!$G$159:$J$159,BE$111,OTT!$R15:$U15)+SUMIF(OTT!$G$159:$J$159,BE$111,OTT!$W15:$Z15)</f>
        <v>0</v>
      </c>
      <c r="BF395" s="446">
        <f>SUMIF(OTT!$G$159:$J$159,BF$111,OTT!$R15:$U15)+SUMIF(OTT!$G$159:$J$159,BF$111,OTT!$W15:$Z15)</f>
        <v>0</v>
      </c>
      <c r="BG395" s="448">
        <f>SUMIF(OTT!$G$159:$J$159,BG$111,OTT!$R15:$U15)+SUMIF(OTT!$G$159:$J$159,BG$111,OTT!$W15:$Z15)</f>
        <v>0</v>
      </c>
      <c r="BH395" s="571"/>
      <c r="BI395" s="448"/>
      <c r="BJ395" s="470"/>
      <c r="BK395" s="445">
        <f>SUMIF(OTT!$G$157:$J$157,BK$111,OTT!$R15:$U15)+SUMIF(OTT!$G$157:$J$157,BK$111,OTT!$W15:$Z15)</f>
        <v>0</v>
      </c>
      <c r="BL395" s="446">
        <f>SUMIF(OTT!$G$157:$J$157,BL$111,OTT!$R15:$U15)+SUMIF(OTT!$G$157:$J$157,BL$111,OTT!$W15:$Z15)</f>
        <v>0</v>
      </c>
      <c r="BM395" s="446">
        <f>SUMIF(OTT!$G$157:$J$157,BM$111,OTT!$R15:$U15)+SUMIF(OTT!$G$157:$J$157,BM$111,OTT!$W15:$Z15)</f>
        <v>0</v>
      </c>
      <c r="BN395" s="446">
        <f>SUMIF(OTT!$G$157:$J$157,BN$111,OTT!$R15:$U15)+SUMIF(OTT!$G$157:$J$157,BN$111,OTT!$W15:$Z15)</f>
        <v>0</v>
      </c>
      <c r="BO395" s="446">
        <f>SUMIF(OTT!$G$157:$J$157,BO$111,OTT!$R15:$U15)+SUMIF(OTT!$G$157:$J$157,BO$111,OTT!$W15:$Z15)</f>
        <v>0</v>
      </c>
      <c r="BP395" s="446">
        <f>SUMIF(OTT!$G$157:$J$157,BP$111,OTT!$R15:$U15)+SUMIF(OTT!$G$157:$J$157,BP$111,OTT!$W15:$Z15)</f>
        <v>0</v>
      </c>
      <c r="BQ395" s="448">
        <f>SUMIF(OTT!$G$157:$J$157,BQ$111,OTT!$R15:$U15)+SUMIF(OTT!$G$157:$J$157,BQ$111,OTT!$W15:$Z15)</f>
        <v>0</v>
      </c>
      <c r="BR395" s="571"/>
      <c r="BS395" s="446"/>
      <c r="BT395" s="448"/>
      <c r="BU395" s="470"/>
      <c r="BV395" s="445">
        <f>SUMIF(OTT!$G$158:$J$158,BV$111,OTT!$R15:$U15)+SUMIF(OTT!$G$158:$J$158,BV$111,OTT!$W15:$Z15)</f>
        <v>0</v>
      </c>
      <c r="BW395" s="446">
        <f>SUMIF(OTT!$G$158:$J$158,BW$111,OTT!$R15:$U15)+SUMIF(OTT!$G$158:$J$158,BW$111,OTT!$W15:$Z15)</f>
        <v>0</v>
      </c>
      <c r="BX395" s="446">
        <f>SUMIF(OTT!$G$158:$J$158,BX$111,OTT!$R15:$U15)+SUMIF(OTT!$G$158:$J$158,BX$111,OTT!$W15:$Z15)</f>
        <v>0</v>
      </c>
      <c r="BY395" s="446">
        <f>SUMIF(OTT!$G$158:$J$158,BY$111,OTT!$R15:$U15)+SUMIF(OTT!$G$158:$J$158,BY$111,OTT!$W15:$Z15)</f>
        <v>0</v>
      </c>
      <c r="BZ395" s="446">
        <f>SUMIF(OTT!$G$158:$J$158,BZ$111,OTT!$R15:$U15)+SUMIF(OTT!$G$158:$J$158,BZ$111,OTT!$W15:$Z15)</f>
        <v>0</v>
      </c>
      <c r="CA395" s="446">
        <f>SUMIF(OTT!$G$158:$J$158,CA$111,OTT!$R15:$U15)+SUMIF(OTT!$G$158:$J$158,CA$111,OTT!$W15:$Z15)</f>
        <v>0</v>
      </c>
      <c r="CB395" s="448">
        <f>SUMIF(OTT!$G$158:$J$158,CB$111,OTT!$R15:$U15)+SUMIF(OTT!$G$158:$J$158,CB$111,OTT!$W15:$Z15)</f>
        <v>0</v>
      </c>
      <c r="CC395" s="571"/>
      <c r="CD395" s="448"/>
      <c r="CE395" s="92">
        <f t="shared" si="297"/>
        <v>0</v>
      </c>
      <c r="CF395" s="92">
        <f t="shared" si="298"/>
        <v>0</v>
      </c>
      <c r="CG395" s="151" t="str">
        <f t="shared" si="284"/>
        <v/>
      </c>
      <c r="CH395" s="92">
        <f t="shared" si="287"/>
        <v>0</v>
      </c>
      <c r="CI395" s="92" t="str">
        <f t="shared" si="299"/>
        <v/>
      </c>
      <c r="CJ395" s="1100">
        <f>OTT!AM15</f>
        <v>0</v>
      </c>
      <c r="CK395" s="445">
        <f>SUMIF(OTT!$G$155:$J$155,CK$112,OTT!$AN15:$AQ15)</f>
        <v>0</v>
      </c>
      <c r="CL395" s="446">
        <f>SUMIF(OTT!$G$155:$J$155,CL$112,OTT!$AN15:$AQ15)</f>
        <v>0</v>
      </c>
      <c r="CM395" s="447">
        <f>SUMIF(OTT!$G$155:$J$155,CM$112,OTT!$AN15:$AQ15)</f>
        <v>0</v>
      </c>
      <c r="CN395" s="448">
        <f>SUMIF(OTT!$G$155:$J$155,CN$112,OTT!$AN15:$AQ15)</f>
        <v>0</v>
      </c>
      <c r="CO395" s="1100">
        <f>OTT!AS15</f>
        <v>0</v>
      </c>
      <c r="CP395" s="445">
        <f>OTT!AT15</f>
        <v>0</v>
      </c>
      <c r="CQ395" s="446">
        <f>OTT!AU15</f>
        <v>0</v>
      </c>
      <c r="CR395" s="447">
        <f>OTT!AV15</f>
        <v>0</v>
      </c>
      <c r="CS395" s="448">
        <f>OTT!AW15</f>
        <v>0</v>
      </c>
      <c r="CT395" s="1100">
        <f>OTT!AY15</f>
        <v>0</v>
      </c>
      <c r="CU395" s="2"/>
    </row>
    <row r="396" spans="1:99" ht="14.25" hidden="1" customHeight="1" x14ac:dyDescent="0.2">
      <c r="A396" s="2"/>
      <c r="B396" s="151">
        <f t="shared" si="288"/>
        <v>45574</v>
      </c>
      <c r="C396" s="223">
        <f>IF(AND(E396&gt;(N$494-1),E396&lt;(R$494+1)),W$485,IF(ISERROR(HLOOKUP(E396,$N$487:$U$487,1,FALSE)),HLOOKUP(WEEKDAY(E396,2),IMPOSTAZIONI!$C$51:$P$56,6,FALSE),$W$484))</f>
        <v>0</v>
      </c>
      <c r="D396" s="103" t="str">
        <f t="shared" si="289"/>
        <v/>
      </c>
      <c r="E396" s="2380">
        <f t="shared" si="300"/>
        <v>45574</v>
      </c>
      <c r="F396" s="2381"/>
      <c r="G396" s="2325" t="str">
        <f>OTT!E16</f>
        <v xml:space="preserve">attiva trim.  </v>
      </c>
      <c r="H396" s="2326"/>
      <c r="I396" s="2327"/>
      <c r="J396" s="479" t="str">
        <f t="shared" si="285"/>
        <v/>
      </c>
      <c r="K396" s="480"/>
      <c r="L396" s="2319">
        <f t="shared" si="301"/>
        <v>41</v>
      </c>
      <c r="M396" s="2320"/>
      <c r="N396" s="478"/>
      <c r="O396" s="478"/>
      <c r="P396" s="478"/>
      <c r="Q396" s="2315">
        <f t="shared" si="290"/>
        <v>45574</v>
      </c>
      <c r="R396" s="2315"/>
      <c r="S396" s="478"/>
      <c r="T396" s="140">
        <f t="shared" si="291"/>
        <v>1</v>
      </c>
      <c r="U396" s="478"/>
      <c r="V396" s="478"/>
      <c r="W396" s="478"/>
      <c r="X396" s="478"/>
      <c r="Y396" s="478"/>
      <c r="Z396" s="478"/>
      <c r="AA396" s="478"/>
      <c r="AB396" s="478"/>
      <c r="AC396" s="478"/>
      <c r="AD396" s="478"/>
      <c r="AE396" s="478"/>
      <c r="AF396" s="478"/>
      <c r="AG396" s="140">
        <f t="shared" si="292"/>
        <v>0</v>
      </c>
      <c r="AH396" s="92" t="str">
        <f t="shared" si="293"/>
        <v/>
      </c>
      <c r="AI396" s="131">
        <f t="shared" si="294"/>
        <v>0</v>
      </c>
      <c r="AJ396" s="2"/>
      <c r="AK396" s="92">
        <f>IF(G396=G$481,0,IF(OR(G396&lt;&gt;0,CJ396&lt;&gt;0,C396="L"),COUNTIF(AK$114:AK395,"&gt;0")+1,0))</f>
        <v>0</v>
      </c>
      <c r="AL396" s="92" t="str">
        <f t="shared" si="295"/>
        <v/>
      </c>
      <c r="AM396" s="92" t="str">
        <f t="shared" si="296"/>
        <v/>
      </c>
      <c r="AN396" s="131">
        <f t="shared" si="286"/>
        <v>0</v>
      </c>
      <c r="AO396" s="447">
        <f>SUM(OTT!W16:Z16)</f>
        <v>0</v>
      </c>
      <c r="AP396" s="445">
        <f>SUMIF(OTT!$G$155:$J$155,AP$112,OTT!$R16:$U16)</f>
        <v>0</v>
      </c>
      <c r="AQ396" s="446">
        <f>SUMIF(OTT!$G$155:$J$155,AQ$112,OTT!$R16:$U16)</f>
        <v>0</v>
      </c>
      <c r="AR396" s="447">
        <f>SUMIF(OTT!$G$155:$J$155,AR$112,OTT!$R16:$U16)</f>
        <v>0</v>
      </c>
      <c r="AS396" s="448">
        <f>SUMIF(OTT!$G$155:$J$155,AS$112,OTT!$R16:$U16)</f>
        <v>0</v>
      </c>
      <c r="AT396" s="449">
        <f>OTT!AG16</f>
        <v>0</v>
      </c>
      <c r="AU396" s="445">
        <f>OTT!AH16</f>
        <v>0</v>
      </c>
      <c r="AV396" s="446">
        <f>OTT!AI16</f>
        <v>0</v>
      </c>
      <c r="AW396" s="447">
        <f>OTT!AJ16</f>
        <v>0</v>
      </c>
      <c r="AX396" s="448">
        <f>OTT!AK16</f>
        <v>0</v>
      </c>
      <c r="AY396" s="445">
        <f>SUMIF(OTT!$G$152:$J$152,"&gt;0",OTT!$W16:$Z16)</f>
        <v>0</v>
      </c>
      <c r="AZ396" s="1063">
        <f>SUM(OTT!AB16:AE16)</f>
        <v>0</v>
      </c>
      <c r="BA396" s="445">
        <f>SUMIF(OTT!$G$159:$J$159,BA$111,OTT!$R16:$U16)+SUMIF(OTT!$G$159:$J$159,BA$111,OTT!$W16:$Z16)</f>
        <v>0</v>
      </c>
      <c r="BB396" s="446">
        <f>SUMIF(OTT!$G$159:$J$159,BB$111,OTT!$R16:$U16)+SUMIF(OTT!$G$159:$J$159,BB$111,OTT!$W16:$Z16)</f>
        <v>0</v>
      </c>
      <c r="BC396" s="446">
        <f>SUMIF(OTT!$G$159:$J$159,BC$111,OTT!$R16:$U16)+SUMIF(OTT!$G$159:$J$159,BC$111,OTT!$W16:$Z16)</f>
        <v>0</v>
      </c>
      <c r="BD396" s="446">
        <f>SUMIF(OTT!$G$159:$J$159,BD$111,OTT!$R16:$U16)+SUMIF(OTT!$G$159:$J$159,BD$111,OTT!$W16:$Z16)</f>
        <v>0</v>
      </c>
      <c r="BE396" s="446">
        <f>SUMIF(OTT!$G$159:$J$159,BE$111,OTT!$R16:$U16)+SUMIF(OTT!$G$159:$J$159,BE$111,OTT!$W16:$Z16)</f>
        <v>0</v>
      </c>
      <c r="BF396" s="446">
        <f>SUMIF(OTT!$G$159:$J$159,BF$111,OTT!$R16:$U16)+SUMIF(OTT!$G$159:$J$159,BF$111,OTT!$W16:$Z16)</f>
        <v>0</v>
      </c>
      <c r="BG396" s="448">
        <f>SUMIF(OTT!$G$159:$J$159,BG$111,OTT!$R16:$U16)+SUMIF(OTT!$G$159:$J$159,BG$111,OTT!$W16:$Z16)</f>
        <v>0</v>
      </c>
      <c r="BH396" s="571"/>
      <c r="BI396" s="448"/>
      <c r="BJ396" s="470"/>
      <c r="BK396" s="445">
        <f>SUMIF(OTT!$G$157:$J$157,BK$111,OTT!$R16:$U16)+SUMIF(OTT!$G$157:$J$157,BK$111,OTT!$W16:$Z16)</f>
        <v>0</v>
      </c>
      <c r="BL396" s="446">
        <f>SUMIF(OTT!$G$157:$J$157,BL$111,OTT!$R16:$U16)+SUMIF(OTT!$G$157:$J$157,BL$111,OTT!$W16:$Z16)</f>
        <v>0</v>
      </c>
      <c r="BM396" s="446">
        <f>SUMIF(OTT!$G$157:$J$157,BM$111,OTT!$R16:$U16)+SUMIF(OTT!$G$157:$J$157,BM$111,OTT!$W16:$Z16)</f>
        <v>0</v>
      </c>
      <c r="BN396" s="446">
        <f>SUMIF(OTT!$G$157:$J$157,BN$111,OTT!$R16:$U16)+SUMIF(OTT!$G$157:$J$157,BN$111,OTT!$W16:$Z16)</f>
        <v>0</v>
      </c>
      <c r="BO396" s="446">
        <f>SUMIF(OTT!$G$157:$J$157,BO$111,OTT!$R16:$U16)+SUMIF(OTT!$G$157:$J$157,BO$111,OTT!$W16:$Z16)</f>
        <v>0</v>
      </c>
      <c r="BP396" s="446">
        <f>SUMIF(OTT!$G$157:$J$157,BP$111,OTT!$R16:$U16)+SUMIF(OTT!$G$157:$J$157,BP$111,OTT!$W16:$Z16)</f>
        <v>0</v>
      </c>
      <c r="BQ396" s="448">
        <f>SUMIF(OTT!$G$157:$J$157,BQ$111,OTT!$R16:$U16)+SUMIF(OTT!$G$157:$J$157,BQ$111,OTT!$W16:$Z16)</f>
        <v>0</v>
      </c>
      <c r="BR396" s="571"/>
      <c r="BS396" s="446"/>
      <c r="BT396" s="448"/>
      <c r="BU396" s="470"/>
      <c r="BV396" s="445">
        <f>SUMIF(OTT!$G$158:$J$158,BV$111,OTT!$R16:$U16)+SUMIF(OTT!$G$158:$J$158,BV$111,OTT!$W16:$Z16)</f>
        <v>0</v>
      </c>
      <c r="BW396" s="446">
        <f>SUMIF(OTT!$G$158:$J$158,BW$111,OTT!$R16:$U16)+SUMIF(OTT!$G$158:$J$158,BW$111,OTT!$W16:$Z16)</f>
        <v>0</v>
      </c>
      <c r="BX396" s="446">
        <f>SUMIF(OTT!$G$158:$J$158,BX$111,OTT!$R16:$U16)+SUMIF(OTT!$G$158:$J$158,BX$111,OTT!$W16:$Z16)</f>
        <v>0</v>
      </c>
      <c r="BY396" s="446">
        <f>SUMIF(OTT!$G$158:$J$158,BY$111,OTT!$R16:$U16)+SUMIF(OTT!$G$158:$J$158,BY$111,OTT!$W16:$Z16)</f>
        <v>0</v>
      </c>
      <c r="BZ396" s="446">
        <f>SUMIF(OTT!$G$158:$J$158,BZ$111,OTT!$R16:$U16)+SUMIF(OTT!$G$158:$J$158,BZ$111,OTT!$W16:$Z16)</f>
        <v>0</v>
      </c>
      <c r="CA396" s="446">
        <f>SUMIF(OTT!$G$158:$J$158,CA$111,OTT!$R16:$U16)+SUMIF(OTT!$G$158:$J$158,CA$111,OTT!$W16:$Z16)</f>
        <v>0</v>
      </c>
      <c r="CB396" s="448">
        <f>SUMIF(OTT!$G$158:$J$158,CB$111,OTT!$R16:$U16)+SUMIF(OTT!$G$158:$J$158,CB$111,OTT!$W16:$Z16)</f>
        <v>0</v>
      </c>
      <c r="CC396" s="571"/>
      <c r="CD396" s="448"/>
      <c r="CE396" s="92">
        <f t="shared" si="297"/>
        <v>0</v>
      </c>
      <c r="CF396" s="92">
        <f t="shared" si="298"/>
        <v>0</v>
      </c>
      <c r="CG396" s="151" t="str">
        <f t="shared" si="284"/>
        <v/>
      </c>
      <c r="CH396" s="92">
        <f t="shared" si="287"/>
        <v>0</v>
      </c>
      <c r="CI396" s="92" t="str">
        <f t="shared" si="299"/>
        <v/>
      </c>
      <c r="CJ396" s="1100">
        <f>OTT!AM16</f>
        <v>0</v>
      </c>
      <c r="CK396" s="445">
        <f>SUMIF(OTT!$G$155:$J$155,CK$112,OTT!$AN16:$AQ16)</f>
        <v>0</v>
      </c>
      <c r="CL396" s="446">
        <f>SUMIF(OTT!$G$155:$J$155,CL$112,OTT!$AN16:$AQ16)</f>
        <v>0</v>
      </c>
      <c r="CM396" s="447">
        <f>SUMIF(OTT!$G$155:$J$155,CM$112,OTT!$AN16:$AQ16)</f>
        <v>0</v>
      </c>
      <c r="CN396" s="448">
        <f>SUMIF(OTT!$G$155:$J$155,CN$112,OTT!$AN16:$AQ16)</f>
        <v>0</v>
      </c>
      <c r="CO396" s="1100">
        <f>OTT!AS16</f>
        <v>0</v>
      </c>
      <c r="CP396" s="445">
        <f>OTT!AT16</f>
        <v>0</v>
      </c>
      <c r="CQ396" s="446">
        <f>OTT!AU16</f>
        <v>0</v>
      </c>
      <c r="CR396" s="447">
        <f>OTT!AV16</f>
        <v>0</v>
      </c>
      <c r="CS396" s="448">
        <f>OTT!AW16</f>
        <v>0</v>
      </c>
      <c r="CT396" s="1100">
        <f>OTT!AY16</f>
        <v>0</v>
      </c>
      <c r="CU396" s="2"/>
    </row>
    <row r="397" spans="1:99" ht="14.25" hidden="1" customHeight="1" x14ac:dyDescent="0.2">
      <c r="A397" s="2"/>
      <c r="B397" s="151">
        <f t="shared" si="288"/>
        <v>45575</v>
      </c>
      <c r="C397" s="223">
        <f>IF(AND(E397&gt;(N$494-1),E397&lt;(R$494+1)),W$485,IF(ISERROR(HLOOKUP(E397,$N$487:$U$487,1,FALSE)),HLOOKUP(WEEKDAY(E397,2),IMPOSTAZIONI!$C$51:$P$56,6,FALSE),$W$484))</f>
        <v>0</v>
      </c>
      <c r="D397" s="103" t="str">
        <f t="shared" si="289"/>
        <v/>
      </c>
      <c r="E397" s="2380">
        <f t="shared" si="300"/>
        <v>45575</v>
      </c>
      <c r="F397" s="2381"/>
      <c r="G397" s="2325" t="str">
        <f>OTT!E17</f>
        <v xml:space="preserve">attiva trim.  </v>
      </c>
      <c r="H397" s="2326"/>
      <c r="I397" s="2327"/>
      <c r="J397" s="479" t="str">
        <f t="shared" si="285"/>
        <v/>
      </c>
      <c r="K397" s="480"/>
      <c r="L397" s="2319">
        <f t="shared" si="301"/>
        <v>41</v>
      </c>
      <c r="M397" s="2320"/>
      <c r="N397" s="478"/>
      <c r="O397" s="478"/>
      <c r="P397" s="478"/>
      <c r="Q397" s="2315">
        <f t="shared" si="290"/>
        <v>45575</v>
      </c>
      <c r="R397" s="2315"/>
      <c r="S397" s="478"/>
      <c r="T397" s="140">
        <f t="shared" si="291"/>
        <v>1</v>
      </c>
      <c r="U397" s="478"/>
      <c r="V397" s="478"/>
      <c r="W397" s="478"/>
      <c r="X397" s="478"/>
      <c r="Y397" s="478"/>
      <c r="Z397" s="478"/>
      <c r="AA397" s="478"/>
      <c r="AB397" s="478"/>
      <c r="AC397" s="478"/>
      <c r="AD397" s="478"/>
      <c r="AE397" s="478"/>
      <c r="AF397" s="478"/>
      <c r="AG397" s="140">
        <f t="shared" si="292"/>
        <v>0</v>
      </c>
      <c r="AH397" s="92" t="str">
        <f t="shared" si="293"/>
        <v/>
      </c>
      <c r="AI397" s="131">
        <f t="shared" si="294"/>
        <v>0</v>
      </c>
      <c r="AJ397" s="2"/>
      <c r="AK397" s="92">
        <f>IF(G397=G$481,0,IF(OR(G397&lt;&gt;0,CJ397&lt;&gt;0,C397="L"),COUNTIF(AK$114:AK396,"&gt;0")+1,0))</f>
        <v>0</v>
      </c>
      <c r="AL397" s="92" t="str">
        <f t="shared" si="295"/>
        <v/>
      </c>
      <c r="AM397" s="92" t="str">
        <f t="shared" si="296"/>
        <v/>
      </c>
      <c r="AN397" s="131">
        <f t="shared" si="286"/>
        <v>0</v>
      </c>
      <c r="AO397" s="447">
        <f>SUM(OTT!W17:Z17)</f>
        <v>0</v>
      </c>
      <c r="AP397" s="445">
        <f>SUMIF(OTT!$G$155:$J$155,AP$112,OTT!$R17:$U17)</f>
        <v>0</v>
      </c>
      <c r="AQ397" s="446">
        <f>SUMIF(OTT!$G$155:$J$155,AQ$112,OTT!$R17:$U17)</f>
        <v>0</v>
      </c>
      <c r="AR397" s="447">
        <f>SUMIF(OTT!$G$155:$J$155,AR$112,OTT!$R17:$U17)</f>
        <v>0</v>
      </c>
      <c r="AS397" s="448">
        <f>SUMIF(OTT!$G$155:$J$155,AS$112,OTT!$R17:$U17)</f>
        <v>0</v>
      </c>
      <c r="AT397" s="449">
        <f>OTT!AG17</f>
        <v>0</v>
      </c>
      <c r="AU397" s="445">
        <f>OTT!AH17</f>
        <v>0</v>
      </c>
      <c r="AV397" s="446">
        <f>OTT!AI17</f>
        <v>0</v>
      </c>
      <c r="AW397" s="447">
        <f>OTT!AJ17</f>
        <v>0</v>
      </c>
      <c r="AX397" s="448">
        <f>OTT!AK17</f>
        <v>0</v>
      </c>
      <c r="AY397" s="445">
        <f>SUMIF(OTT!$G$152:$J$152,"&gt;0",OTT!$W17:$Z17)</f>
        <v>0</v>
      </c>
      <c r="AZ397" s="1063">
        <f>SUM(OTT!AB17:AE17)</f>
        <v>0</v>
      </c>
      <c r="BA397" s="445">
        <f>SUMIF(OTT!$G$159:$J$159,BA$111,OTT!$R17:$U17)+SUMIF(OTT!$G$159:$J$159,BA$111,OTT!$W17:$Z17)</f>
        <v>0</v>
      </c>
      <c r="BB397" s="446">
        <f>SUMIF(OTT!$G$159:$J$159,BB$111,OTT!$R17:$U17)+SUMIF(OTT!$G$159:$J$159,BB$111,OTT!$W17:$Z17)</f>
        <v>0</v>
      </c>
      <c r="BC397" s="446">
        <f>SUMIF(OTT!$G$159:$J$159,BC$111,OTT!$R17:$U17)+SUMIF(OTT!$G$159:$J$159,BC$111,OTT!$W17:$Z17)</f>
        <v>0</v>
      </c>
      <c r="BD397" s="446">
        <f>SUMIF(OTT!$G$159:$J$159,BD$111,OTT!$R17:$U17)+SUMIF(OTT!$G$159:$J$159,BD$111,OTT!$W17:$Z17)</f>
        <v>0</v>
      </c>
      <c r="BE397" s="446">
        <f>SUMIF(OTT!$G$159:$J$159,BE$111,OTT!$R17:$U17)+SUMIF(OTT!$G$159:$J$159,BE$111,OTT!$W17:$Z17)</f>
        <v>0</v>
      </c>
      <c r="BF397" s="446">
        <f>SUMIF(OTT!$G$159:$J$159,BF$111,OTT!$R17:$U17)+SUMIF(OTT!$G$159:$J$159,BF$111,OTT!$W17:$Z17)</f>
        <v>0</v>
      </c>
      <c r="BG397" s="448">
        <f>SUMIF(OTT!$G$159:$J$159,BG$111,OTT!$R17:$U17)+SUMIF(OTT!$G$159:$J$159,BG$111,OTT!$W17:$Z17)</f>
        <v>0</v>
      </c>
      <c r="BH397" s="571"/>
      <c r="BI397" s="448"/>
      <c r="BJ397" s="470"/>
      <c r="BK397" s="445">
        <f>SUMIF(OTT!$G$157:$J$157,BK$111,OTT!$R17:$U17)+SUMIF(OTT!$G$157:$J$157,BK$111,OTT!$W17:$Z17)</f>
        <v>0</v>
      </c>
      <c r="BL397" s="446">
        <f>SUMIF(OTT!$G$157:$J$157,BL$111,OTT!$R17:$U17)+SUMIF(OTT!$G$157:$J$157,BL$111,OTT!$W17:$Z17)</f>
        <v>0</v>
      </c>
      <c r="BM397" s="446">
        <f>SUMIF(OTT!$G$157:$J$157,BM$111,OTT!$R17:$U17)+SUMIF(OTT!$G$157:$J$157,BM$111,OTT!$W17:$Z17)</f>
        <v>0</v>
      </c>
      <c r="BN397" s="446">
        <f>SUMIF(OTT!$G$157:$J$157,BN$111,OTT!$R17:$U17)+SUMIF(OTT!$G$157:$J$157,BN$111,OTT!$W17:$Z17)</f>
        <v>0</v>
      </c>
      <c r="BO397" s="446">
        <f>SUMIF(OTT!$G$157:$J$157,BO$111,OTT!$R17:$U17)+SUMIF(OTT!$G$157:$J$157,BO$111,OTT!$W17:$Z17)</f>
        <v>0</v>
      </c>
      <c r="BP397" s="446">
        <f>SUMIF(OTT!$G$157:$J$157,BP$111,OTT!$R17:$U17)+SUMIF(OTT!$G$157:$J$157,BP$111,OTT!$W17:$Z17)</f>
        <v>0</v>
      </c>
      <c r="BQ397" s="448">
        <f>SUMIF(OTT!$G$157:$J$157,BQ$111,OTT!$R17:$U17)+SUMIF(OTT!$G$157:$J$157,BQ$111,OTT!$W17:$Z17)</f>
        <v>0</v>
      </c>
      <c r="BR397" s="571"/>
      <c r="BS397" s="446"/>
      <c r="BT397" s="448"/>
      <c r="BU397" s="470"/>
      <c r="BV397" s="445">
        <f>SUMIF(OTT!$G$158:$J$158,BV$111,OTT!$R17:$U17)+SUMIF(OTT!$G$158:$J$158,BV$111,OTT!$W17:$Z17)</f>
        <v>0</v>
      </c>
      <c r="BW397" s="446">
        <f>SUMIF(OTT!$G$158:$J$158,BW$111,OTT!$R17:$U17)+SUMIF(OTT!$G$158:$J$158,BW$111,OTT!$W17:$Z17)</f>
        <v>0</v>
      </c>
      <c r="BX397" s="446">
        <f>SUMIF(OTT!$G$158:$J$158,BX$111,OTT!$R17:$U17)+SUMIF(OTT!$G$158:$J$158,BX$111,OTT!$W17:$Z17)</f>
        <v>0</v>
      </c>
      <c r="BY397" s="446">
        <f>SUMIF(OTT!$G$158:$J$158,BY$111,OTT!$R17:$U17)+SUMIF(OTT!$G$158:$J$158,BY$111,OTT!$W17:$Z17)</f>
        <v>0</v>
      </c>
      <c r="BZ397" s="446">
        <f>SUMIF(OTT!$G$158:$J$158,BZ$111,OTT!$R17:$U17)+SUMIF(OTT!$G$158:$J$158,BZ$111,OTT!$W17:$Z17)</f>
        <v>0</v>
      </c>
      <c r="CA397" s="446">
        <f>SUMIF(OTT!$G$158:$J$158,CA$111,OTT!$R17:$U17)+SUMIF(OTT!$G$158:$J$158,CA$111,OTT!$W17:$Z17)</f>
        <v>0</v>
      </c>
      <c r="CB397" s="448">
        <f>SUMIF(OTT!$G$158:$J$158,CB$111,OTT!$R17:$U17)+SUMIF(OTT!$G$158:$J$158,CB$111,OTT!$W17:$Z17)</f>
        <v>0</v>
      </c>
      <c r="CC397" s="571"/>
      <c r="CD397" s="448"/>
      <c r="CE397" s="92">
        <f t="shared" si="297"/>
        <v>0</v>
      </c>
      <c r="CF397" s="92">
        <f t="shared" si="298"/>
        <v>0</v>
      </c>
      <c r="CG397" s="151" t="str">
        <f t="shared" si="284"/>
        <v/>
      </c>
      <c r="CH397" s="92">
        <f t="shared" si="287"/>
        <v>0</v>
      </c>
      <c r="CI397" s="92" t="str">
        <f t="shared" si="299"/>
        <v/>
      </c>
      <c r="CJ397" s="1100">
        <f>OTT!AM17</f>
        <v>0</v>
      </c>
      <c r="CK397" s="445">
        <f>SUMIF(OTT!$G$155:$J$155,CK$112,OTT!$AN17:$AQ17)</f>
        <v>0</v>
      </c>
      <c r="CL397" s="446">
        <f>SUMIF(OTT!$G$155:$J$155,CL$112,OTT!$AN17:$AQ17)</f>
        <v>0</v>
      </c>
      <c r="CM397" s="447">
        <f>SUMIF(OTT!$G$155:$J$155,CM$112,OTT!$AN17:$AQ17)</f>
        <v>0</v>
      </c>
      <c r="CN397" s="448">
        <f>SUMIF(OTT!$G$155:$J$155,CN$112,OTT!$AN17:$AQ17)</f>
        <v>0</v>
      </c>
      <c r="CO397" s="1100">
        <f>OTT!AS17</f>
        <v>0</v>
      </c>
      <c r="CP397" s="445">
        <f>OTT!AT17</f>
        <v>0</v>
      </c>
      <c r="CQ397" s="446">
        <f>OTT!AU17</f>
        <v>0</v>
      </c>
      <c r="CR397" s="447">
        <f>OTT!AV17</f>
        <v>0</v>
      </c>
      <c r="CS397" s="448">
        <f>OTT!AW17</f>
        <v>0</v>
      </c>
      <c r="CT397" s="1100">
        <f>OTT!AY17</f>
        <v>0</v>
      </c>
      <c r="CU397" s="2"/>
    </row>
    <row r="398" spans="1:99" ht="14.25" hidden="1" customHeight="1" x14ac:dyDescent="0.2">
      <c r="A398" s="2"/>
      <c r="B398" s="151">
        <f t="shared" si="288"/>
        <v>45576</v>
      </c>
      <c r="C398" s="223">
        <f>IF(AND(E398&gt;(N$494-1),E398&lt;(R$494+1)),W$485,IF(ISERROR(HLOOKUP(E398,$N$487:$U$487,1,FALSE)),HLOOKUP(WEEKDAY(E398,2),IMPOSTAZIONI!$C$51:$P$56,6,FALSE),$W$484))</f>
        <v>0</v>
      </c>
      <c r="D398" s="103" t="str">
        <f t="shared" si="289"/>
        <v/>
      </c>
      <c r="E398" s="2380">
        <f t="shared" si="300"/>
        <v>45576</v>
      </c>
      <c r="F398" s="2381"/>
      <c r="G398" s="2325" t="str">
        <f>OTT!E18</f>
        <v xml:space="preserve">attiva trim.  </v>
      </c>
      <c r="H398" s="2326"/>
      <c r="I398" s="2327"/>
      <c r="J398" s="479" t="str">
        <f t="shared" si="285"/>
        <v/>
      </c>
      <c r="K398" s="480"/>
      <c r="L398" s="2319">
        <f t="shared" si="301"/>
        <v>41</v>
      </c>
      <c r="M398" s="2320"/>
      <c r="N398" s="478"/>
      <c r="O398" s="478"/>
      <c r="P398" s="478"/>
      <c r="Q398" s="2315">
        <f t="shared" si="290"/>
        <v>45576</v>
      </c>
      <c r="R398" s="2315"/>
      <c r="S398" s="478"/>
      <c r="T398" s="140">
        <f t="shared" si="291"/>
        <v>1</v>
      </c>
      <c r="U398" s="478"/>
      <c r="V398" s="478"/>
      <c r="W398" s="478"/>
      <c r="X398" s="478"/>
      <c r="Y398" s="478"/>
      <c r="Z398" s="478"/>
      <c r="AA398" s="478"/>
      <c r="AB398" s="478"/>
      <c r="AC398" s="478"/>
      <c r="AD398" s="478"/>
      <c r="AE398" s="478"/>
      <c r="AF398" s="478"/>
      <c r="AG398" s="140">
        <f t="shared" si="292"/>
        <v>0</v>
      </c>
      <c r="AH398" s="92" t="str">
        <f t="shared" si="293"/>
        <v/>
      </c>
      <c r="AI398" s="131">
        <f t="shared" si="294"/>
        <v>0</v>
      </c>
      <c r="AJ398" s="2"/>
      <c r="AK398" s="92">
        <f>IF(G398=G$481,0,IF(OR(G398&lt;&gt;0,CJ398&lt;&gt;0,C398="L"),COUNTIF(AK$114:AK397,"&gt;0")+1,0))</f>
        <v>0</v>
      </c>
      <c r="AL398" s="92" t="str">
        <f t="shared" si="295"/>
        <v/>
      </c>
      <c r="AM398" s="92" t="str">
        <f t="shared" si="296"/>
        <v/>
      </c>
      <c r="AN398" s="131">
        <f t="shared" si="286"/>
        <v>0</v>
      </c>
      <c r="AO398" s="447">
        <f>SUM(OTT!W18:Z18)</f>
        <v>0</v>
      </c>
      <c r="AP398" s="445">
        <f>SUMIF(OTT!$G$155:$J$155,AP$112,OTT!$R18:$U18)</f>
        <v>0</v>
      </c>
      <c r="AQ398" s="446">
        <f>SUMIF(OTT!$G$155:$J$155,AQ$112,OTT!$R18:$U18)</f>
        <v>0</v>
      </c>
      <c r="AR398" s="447">
        <f>SUMIF(OTT!$G$155:$J$155,AR$112,OTT!$R18:$U18)</f>
        <v>0</v>
      </c>
      <c r="AS398" s="448">
        <f>SUMIF(OTT!$G$155:$J$155,AS$112,OTT!$R18:$U18)</f>
        <v>0</v>
      </c>
      <c r="AT398" s="449">
        <f>OTT!AG18</f>
        <v>0</v>
      </c>
      <c r="AU398" s="445">
        <f>OTT!AH18</f>
        <v>0</v>
      </c>
      <c r="AV398" s="446">
        <f>OTT!AI18</f>
        <v>0</v>
      </c>
      <c r="AW398" s="447">
        <f>OTT!AJ18</f>
        <v>0</v>
      </c>
      <c r="AX398" s="448">
        <f>OTT!AK18</f>
        <v>0</v>
      </c>
      <c r="AY398" s="445">
        <f>SUMIF(OTT!$G$152:$J$152,"&gt;0",OTT!$W18:$Z18)</f>
        <v>0</v>
      </c>
      <c r="AZ398" s="1063">
        <f>SUM(OTT!AB18:AE18)</f>
        <v>0</v>
      </c>
      <c r="BA398" s="445">
        <f>SUMIF(OTT!$G$159:$J$159,BA$111,OTT!$R18:$U18)+SUMIF(OTT!$G$159:$J$159,BA$111,OTT!$W18:$Z18)</f>
        <v>0</v>
      </c>
      <c r="BB398" s="446">
        <f>SUMIF(OTT!$G$159:$J$159,BB$111,OTT!$R18:$U18)+SUMIF(OTT!$G$159:$J$159,BB$111,OTT!$W18:$Z18)</f>
        <v>0</v>
      </c>
      <c r="BC398" s="446">
        <f>SUMIF(OTT!$G$159:$J$159,BC$111,OTT!$R18:$U18)+SUMIF(OTT!$G$159:$J$159,BC$111,OTT!$W18:$Z18)</f>
        <v>0</v>
      </c>
      <c r="BD398" s="446">
        <f>SUMIF(OTT!$G$159:$J$159,BD$111,OTT!$R18:$U18)+SUMIF(OTT!$G$159:$J$159,BD$111,OTT!$W18:$Z18)</f>
        <v>0</v>
      </c>
      <c r="BE398" s="446">
        <f>SUMIF(OTT!$G$159:$J$159,BE$111,OTT!$R18:$U18)+SUMIF(OTT!$G$159:$J$159,BE$111,OTT!$W18:$Z18)</f>
        <v>0</v>
      </c>
      <c r="BF398" s="446">
        <f>SUMIF(OTT!$G$159:$J$159,BF$111,OTT!$R18:$U18)+SUMIF(OTT!$G$159:$J$159,BF$111,OTT!$W18:$Z18)</f>
        <v>0</v>
      </c>
      <c r="BG398" s="448">
        <f>SUMIF(OTT!$G$159:$J$159,BG$111,OTT!$R18:$U18)+SUMIF(OTT!$G$159:$J$159,BG$111,OTT!$W18:$Z18)</f>
        <v>0</v>
      </c>
      <c r="BH398" s="571"/>
      <c r="BI398" s="448"/>
      <c r="BJ398" s="470"/>
      <c r="BK398" s="445">
        <f>SUMIF(OTT!$G$157:$J$157,BK$111,OTT!$R18:$U18)+SUMIF(OTT!$G$157:$J$157,BK$111,OTT!$W18:$Z18)</f>
        <v>0</v>
      </c>
      <c r="BL398" s="446">
        <f>SUMIF(OTT!$G$157:$J$157,BL$111,OTT!$R18:$U18)+SUMIF(OTT!$G$157:$J$157,BL$111,OTT!$W18:$Z18)</f>
        <v>0</v>
      </c>
      <c r="BM398" s="446">
        <f>SUMIF(OTT!$G$157:$J$157,BM$111,OTT!$R18:$U18)+SUMIF(OTT!$G$157:$J$157,BM$111,OTT!$W18:$Z18)</f>
        <v>0</v>
      </c>
      <c r="BN398" s="446">
        <f>SUMIF(OTT!$G$157:$J$157,BN$111,OTT!$R18:$U18)+SUMIF(OTT!$G$157:$J$157,BN$111,OTT!$W18:$Z18)</f>
        <v>0</v>
      </c>
      <c r="BO398" s="446">
        <f>SUMIF(OTT!$G$157:$J$157,BO$111,OTT!$R18:$U18)+SUMIF(OTT!$G$157:$J$157,BO$111,OTT!$W18:$Z18)</f>
        <v>0</v>
      </c>
      <c r="BP398" s="446">
        <f>SUMIF(OTT!$G$157:$J$157,BP$111,OTT!$R18:$U18)+SUMIF(OTT!$G$157:$J$157,BP$111,OTT!$W18:$Z18)</f>
        <v>0</v>
      </c>
      <c r="BQ398" s="448">
        <f>SUMIF(OTT!$G$157:$J$157,BQ$111,OTT!$R18:$U18)+SUMIF(OTT!$G$157:$J$157,BQ$111,OTT!$W18:$Z18)</f>
        <v>0</v>
      </c>
      <c r="BR398" s="571"/>
      <c r="BS398" s="446"/>
      <c r="BT398" s="448"/>
      <c r="BU398" s="470"/>
      <c r="BV398" s="445">
        <f>SUMIF(OTT!$G$158:$J$158,BV$111,OTT!$R18:$U18)+SUMIF(OTT!$G$158:$J$158,BV$111,OTT!$W18:$Z18)</f>
        <v>0</v>
      </c>
      <c r="BW398" s="446">
        <f>SUMIF(OTT!$G$158:$J$158,BW$111,OTT!$R18:$U18)+SUMIF(OTT!$G$158:$J$158,BW$111,OTT!$W18:$Z18)</f>
        <v>0</v>
      </c>
      <c r="BX398" s="446">
        <f>SUMIF(OTT!$G$158:$J$158,BX$111,OTT!$R18:$U18)+SUMIF(OTT!$G$158:$J$158,BX$111,OTT!$W18:$Z18)</f>
        <v>0</v>
      </c>
      <c r="BY398" s="446">
        <f>SUMIF(OTT!$G$158:$J$158,BY$111,OTT!$R18:$U18)+SUMIF(OTT!$G$158:$J$158,BY$111,OTT!$W18:$Z18)</f>
        <v>0</v>
      </c>
      <c r="BZ398" s="446">
        <f>SUMIF(OTT!$G$158:$J$158,BZ$111,OTT!$R18:$U18)+SUMIF(OTT!$G$158:$J$158,BZ$111,OTT!$W18:$Z18)</f>
        <v>0</v>
      </c>
      <c r="CA398" s="446">
        <f>SUMIF(OTT!$G$158:$J$158,CA$111,OTT!$R18:$U18)+SUMIF(OTT!$G$158:$J$158,CA$111,OTT!$W18:$Z18)</f>
        <v>0</v>
      </c>
      <c r="CB398" s="448">
        <f>SUMIF(OTT!$G$158:$J$158,CB$111,OTT!$R18:$U18)+SUMIF(OTT!$G$158:$J$158,CB$111,OTT!$W18:$Z18)</f>
        <v>0</v>
      </c>
      <c r="CC398" s="571"/>
      <c r="CD398" s="448"/>
      <c r="CE398" s="92">
        <f t="shared" si="297"/>
        <v>0</v>
      </c>
      <c r="CF398" s="92">
        <f t="shared" si="298"/>
        <v>0</v>
      </c>
      <c r="CG398" s="151" t="str">
        <f t="shared" si="284"/>
        <v/>
      </c>
      <c r="CH398" s="92">
        <f t="shared" si="287"/>
        <v>0</v>
      </c>
      <c r="CI398" s="92" t="str">
        <f t="shared" si="299"/>
        <v/>
      </c>
      <c r="CJ398" s="1100">
        <f>OTT!AM18</f>
        <v>0</v>
      </c>
      <c r="CK398" s="445">
        <f>SUMIF(OTT!$G$155:$J$155,CK$112,OTT!$AN18:$AQ18)</f>
        <v>0</v>
      </c>
      <c r="CL398" s="446">
        <f>SUMIF(OTT!$G$155:$J$155,CL$112,OTT!$AN18:$AQ18)</f>
        <v>0</v>
      </c>
      <c r="CM398" s="447">
        <f>SUMIF(OTT!$G$155:$J$155,CM$112,OTT!$AN18:$AQ18)</f>
        <v>0</v>
      </c>
      <c r="CN398" s="448">
        <f>SUMIF(OTT!$G$155:$J$155,CN$112,OTT!$AN18:$AQ18)</f>
        <v>0</v>
      </c>
      <c r="CO398" s="1100">
        <f>OTT!AS18</f>
        <v>0</v>
      </c>
      <c r="CP398" s="445">
        <f>OTT!AT18</f>
        <v>0</v>
      </c>
      <c r="CQ398" s="446">
        <f>OTT!AU18</f>
        <v>0</v>
      </c>
      <c r="CR398" s="447">
        <f>OTT!AV18</f>
        <v>0</v>
      </c>
      <c r="CS398" s="448">
        <f>OTT!AW18</f>
        <v>0</v>
      </c>
      <c r="CT398" s="1100">
        <f>OTT!AY18</f>
        <v>0</v>
      </c>
      <c r="CU398" s="2"/>
    </row>
    <row r="399" spans="1:99" ht="14.25" hidden="1" customHeight="1" x14ac:dyDescent="0.2">
      <c r="A399" s="2"/>
      <c r="B399" s="151">
        <f t="shared" si="288"/>
        <v>45577</v>
      </c>
      <c r="C399" s="223">
        <f>IF(AND(E399&gt;(N$494-1),E399&lt;(R$494+1)),W$485,IF(ISERROR(HLOOKUP(E399,$N$487:$U$487,1,FALSE)),HLOOKUP(WEEKDAY(E399,2),IMPOSTAZIONI!$C$51:$P$56,6,FALSE),$W$484))</f>
        <v>0</v>
      </c>
      <c r="D399" s="103" t="str">
        <f t="shared" si="289"/>
        <v/>
      </c>
      <c r="E399" s="2380">
        <f t="shared" si="300"/>
        <v>45577</v>
      </c>
      <c r="F399" s="2381"/>
      <c r="G399" s="2325" t="str">
        <f>OTT!E19</f>
        <v xml:space="preserve">attiva trim.  </v>
      </c>
      <c r="H399" s="2326"/>
      <c r="I399" s="2327"/>
      <c r="J399" s="479" t="str">
        <f t="shared" si="285"/>
        <v/>
      </c>
      <c r="K399" s="480"/>
      <c r="L399" s="2319">
        <f t="shared" si="301"/>
        <v>41</v>
      </c>
      <c r="M399" s="2320"/>
      <c r="N399" s="478"/>
      <c r="O399" s="478"/>
      <c r="P399" s="478"/>
      <c r="Q399" s="2315">
        <f t="shared" si="290"/>
        <v>45577</v>
      </c>
      <c r="R399" s="2315"/>
      <c r="S399" s="478"/>
      <c r="T399" s="140">
        <f t="shared" si="291"/>
        <v>1</v>
      </c>
      <c r="U399" s="478"/>
      <c r="V399" s="478"/>
      <c r="W399" s="478"/>
      <c r="X399" s="478"/>
      <c r="Y399" s="478"/>
      <c r="Z399" s="478"/>
      <c r="AA399" s="478"/>
      <c r="AB399" s="478"/>
      <c r="AC399" s="478"/>
      <c r="AD399" s="478"/>
      <c r="AE399" s="478"/>
      <c r="AF399" s="478"/>
      <c r="AG399" s="140">
        <f t="shared" si="292"/>
        <v>0</v>
      </c>
      <c r="AH399" s="92" t="str">
        <f t="shared" si="293"/>
        <v/>
      </c>
      <c r="AI399" s="131">
        <f t="shared" si="294"/>
        <v>0</v>
      </c>
      <c r="AJ399" s="2"/>
      <c r="AK399" s="92">
        <f>IF(G399=G$481,0,IF(OR(G399&lt;&gt;0,CJ399&lt;&gt;0,C399="L"),COUNTIF(AK$114:AK398,"&gt;0")+1,0))</f>
        <v>0</v>
      </c>
      <c r="AL399" s="92" t="str">
        <f t="shared" si="295"/>
        <v/>
      </c>
      <c r="AM399" s="92" t="str">
        <f t="shared" si="296"/>
        <v/>
      </c>
      <c r="AN399" s="131">
        <f t="shared" si="286"/>
        <v>0</v>
      </c>
      <c r="AO399" s="447">
        <f>SUM(OTT!W19:Z19)</f>
        <v>0</v>
      </c>
      <c r="AP399" s="445">
        <f>SUMIF(OTT!$G$155:$J$155,AP$112,OTT!$R19:$U19)</f>
        <v>0</v>
      </c>
      <c r="AQ399" s="446">
        <f>SUMIF(OTT!$G$155:$J$155,AQ$112,OTT!$R19:$U19)</f>
        <v>0</v>
      </c>
      <c r="AR399" s="447">
        <f>SUMIF(OTT!$G$155:$J$155,AR$112,OTT!$R19:$U19)</f>
        <v>0</v>
      </c>
      <c r="AS399" s="448">
        <f>SUMIF(OTT!$G$155:$J$155,AS$112,OTT!$R19:$U19)</f>
        <v>0</v>
      </c>
      <c r="AT399" s="449">
        <f>OTT!AG19</f>
        <v>0</v>
      </c>
      <c r="AU399" s="445">
        <f>OTT!AH19</f>
        <v>0</v>
      </c>
      <c r="AV399" s="446">
        <f>OTT!AI19</f>
        <v>0</v>
      </c>
      <c r="AW399" s="447">
        <f>OTT!AJ19</f>
        <v>0</v>
      </c>
      <c r="AX399" s="448">
        <f>OTT!AK19</f>
        <v>0</v>
      </c>
      <c r="AY399" s="445">
        <f>SUMIF(OTT!$G$152:$J$152,"&gt;0",OTT!$W19:$Z19)</f>
        <v>0</v>
      </c>
      <c r="AZ399" s="1063">
        <f>SUM(OTT!AB19:AE19)</f>
        <v>0</v>
      </c>
      <c r="BA399" s="445">
        <f>SUMIF(OTT!$G$159:$J$159,BA$111,OTT!$R19:$U19)+SUMIF(OTT!$G$159:$J$159,BA$111,OTT!$W19:$Z19)</f>
        <v>0</v>
      </c>
      <c r="BB399" s="446">
        <f>SUMIF(OTT!$G$159:$J$159,BB$111,OTT!$R19:$U19)+SUMIF(OTT!$G$159:$J$159,BB$111,OTT!$W19:$Z19)</f>
        <v>0</v>
      </c>
      <c r="BC399" s="446">
        <f>SUMIF(OTT!$G$159:$J$159,BC$111,OTT!$R19:$U19)+SUMIF(OTT!$G$159:$J$159,BC$111,OTT!$W19:$Z19)</f>
        <v>0</v>
      </c>
      <c r="BD399" s="446">
        <f>SUMIF(OTT!$G$159:$J$159,BD$111,OTT!$R19:$U19)+SUMIF(OTT!$G$159:$J$159,BD$111,OTT!$W19:$Z19)</f>
        <v>0</v>
      </c>
      <c r="BE399" s="446">
        <f>SUMIF(OTT!$G$159:$J$159,BE$111,OTT!$R19:$U19)+SUMIF(OTT!$G$159:$J$159,BE$111,OTT!$W19:$Z19)</f>
        <v>0</v>
      </c>
      <c r="BF399" s="446">
        <f>SUMIF(OTT!$G$159:$J$159,BF$111,OTT!$R19:$U19)+SUMIF(OTT!$G$159:$J$159,BF$111,OTT!$W19:$Z19)</f>
        <v>0</v>
      </c>
      <c r="BG399" s="448">
        <f>SUMIF(OTT!$G$159:$J$159,BG$111,OTT!$R19:$U19)+SUMIF(OTT!$G$159:$J$159,BG$111,OTT!$W19:$Z19)</f>
        <v>0</v>
      </c>
      <c r="BH399" s="571"/>
      <c r="BI399" s="448"/>
      <c r="BJ399" s="470"/>
      <c r="BK399" s="445">
        <f>SUMIF(OTT!$G$157:$J$157,BK$111,OTT!$R19:$U19)+SUMIF(OTT!$G$157:$J$157,BK$111,OTT!$W19:$Z19)</f>
        <v>0</v>
      </c>
      <c r="BL399" s="446">
        <f>SUMIF(OTT!$G$157:$J$157,BL$111,OTT!$R19:$U19)+SUMIF(OTT!$G$157:$J$157,BL$111,OTT!$W19:$Z19)</f>
        <v>0</v>
      </c>
      <c r="BM399" s="446">
        <f>SUMIF(OTT!$G$157:$J$157,BM$111,OTT!$R19:$U19)+SUMIF(OTT!$G$157:$J$157,BM$111,OTT!$W19:$Z19)</f>
        <v>0</v>
      </c>
      <c r="BN399" s="446">
        <f>SUMIF(OTT!$G$157:$J$157,BN$111,OTT!$R19:$U19)+SUMIF(OTT!$G$157:$J$157,BN$111,OTT!$W19:$Z19)</f>
        <v>0</v>
      </c>
      <c r="BO399" s="446">
        <f>SUMIF(OTT!$G$157:$J$157,BO$111,OTT!$R19:$U19)+SUMIF(OTT!$G$157:$J$157,BO$111,OTT!$W19:$Z19)</f>
        <v>0</v>
      </c>
      <c r="BP399" s="446">
        <f>SUMIF(OTT!$G$157:$J$157,BP$111,OTT!$R19:$U19)+SUMIF(OTT!$G$157:$J$157,BP$111,OTT!$W19:$Z19)</f>
        <v>0</v>
      </c>
      <c r="BQ399" s="448">
        <f>SUMIF(OTT!$G$157:$J$157,BQ$111,OTT!$R19:$U19)+SUMIF(OTT!$G$157:$J$157,BQ$111,OTT!$W19:$Z19)</f>
        <v>0</v>
      </c>
      <c r="BR399" s="571"/>
      <c r="BS399" s="446"/>
      <c r="BT399" s="448"/>
      <c r="BU399" s="470"/>
      <c r="BV399" s="445">
        <f>SUMIF(OTT!$G$158:$J$158,BV$111,OTT!$R19:$U19)+SUMIF(OTT!$G$158:$J$158,BV$111,OTT!$W19:$Z19)</f>
        <v>0</v>
      </c>
      <c r="BW399" s="446">
        <f>SUMIF(OTT!$G$158:$J$158,BW$111,OTT!$R19:$U19)+SUMIF(OTT!$G$158:$J$158,BW$111,OTT!$W19:$Z19)</f>
        <v>0</v>
      </c>
      <c r="BX399" s="446">
        <f>SUMIF(OTT!$G$158:$J$158,BX$111,OTT!$R19:$U19)+SUMIF(OTT!$G$158:$J$158,BX$111,OTT!$W19:$Z19)</f>
        <v>0</v>
      </c>
      <c r="BY399" s="446">
        <f>SUMIF(OTT!$G$158:$J$158,BY$111,OTT!$R19:$U19)+SUMIF(OTT!$G$158:$J$158,BY$111,OTT!$W19:$Z19)</f>
        <v>0</v>
      </c>
      <c r="BZ399" s="446">
        <f>SUMIF(OTT!$G$158:$J$158,BZ$111,OTT!$R19:$U19)+SUMIF(OTT!$G$158:$J$158,BZ$111,OTT!$W19:$Z19)</f>
        <v>0</v>
      </c>
      <c r="CA399" s="446">
        <f>SUMIF(OTT!$G$158:$J$158,CA$111,OTT!$R19:$U19)+SUMIF(OTT!$G$158:$J$158,CA$111,OTT!$W19:$Z19)</f>
        <v>0</v>
      </c>
      <c r="CB399" s="448">
        <f>SUMIF(OTT!$G$158:$J$158,CB$111,OTT!$R19:$U19)+SUMIF(OTT!$G$158:$J$158,CB$111,OTT!$W19:$Z19)</f>
        <v>0</v>
      </c>
      <c r="CC399" s="571"/>
      <c r="CD399" s="448"/>
      <c r="CE399" s="92">
        <f t="shared" si="297"/>
        <v>0</v>
      </c>
      <c r="CF399" s="92">
        <f t="shared" si="298"/>
        <v>0</v>
      </c>
      <c r="CG399" s="151" t="str">
        <f t="shared" si="284"/>
        <v/>
      </c>
      <c r="CH399" s="92">
        <f t="shared" si="287"/>
        <v>0</v>
      </c>
      <c r="CI399" s="92" t="str">
        <f t="shared" si="299"/>
        <v/>
      </c>
      <c r="CJ399" s="1100">
        <f>OTT!AM19</f>
        <v>0</v>
      </c>
      <c r="CK399" s="445">
        <f>SUMIF(OTT!$G$155:$J$155,CK$112,OTT!$AN19:$AQ19)</f>
        <v>0</v>
      </c>
      <c r="CL399" s="446">
        <f>SUMIF(OTT!$G$155:$J$155,CL$112,OTT!$AN19:$AQ19)</f>
        <v>0</v>
      </c>
      <c r="CM399" s="447">
        <f>SUMIF(OTT!$G$155:$J$155,CM$112,OTT!$AN19:$AQ19)</f>
        <v>0</v>
      </c>
      <c r="CN399" s="448">
        <f>SUMIF(OTT!$G$155:$J$155,CN$112,OTT!$AN19:$AQ19)</f>
        <v>0</v>
      </c>
      <c r="CO399" s="1100">
        <f>OTT!AS19</f>
        <v>0</v>
      </c>
      <c r="CP399" s="445">
        <f>OTT!AT19</f>
        <v>0</v>
      </c>
      <c r="CQ399" s="446">
        <f>OTT!AU19</f>
        <v>0</v>
      </c>
      <c r="CR399" s="447">
        <f>OTT!AV19</f>
        <v>0</v>
      </c>
      <c r="CS399" s="448">
        <f>OTT!AW19</f>
        <v>0</v>
      </c>
      <c r="CT399" s="1100">
        <f>OTT!AY19</f>
        <v>0</v>
      </c>
      <c r="CU399" s="2"/>
    </row>
    <row r="400" spans="1:99" ht="14.25" hidden="1" customHeight="1" x14ac:dyDescent="0.2">
      <c r="A400" s="2"/>
      <c r="B400" s="151">
        <f t="shared" si="288"/>
        <v>45578</v>
      </c>
      <c r="C400" s="223">
        <f>IF(AND(E400&gt;(N$494-1),E400&lt;(R$494+1)),W$485,IF(ISERROR(HLOOKUP(E400,$N$487:$U$487,1,FALSE)),HLOOKUP(WEEKDAY(E400,2),IMPOSTAZIONI!$C$51:$P$56,6,FALSE),$W$484))</f>
        <v>0</v>
      </c>
      <c r="D400" s="103" t="str">
        <f t="shared" si="289"/>
        <v/>
      </c>
      <c r="E400" s="2380">
        <f t="shared" si="300"/>
        <v>45578</v>
      </c>
      <c r="F400" s="2381"/>
      <c r="G400" s="2325" t="str">
        <f>OTT!E20</f>
        <v xml:space="preserve">attiva trim.  </v>
      </c>
      <c r="H400" s="2326"/>
      <c r="I400" s="2327"/>
      <c r="J400" s="479" t="str">
        <f t="shared" si="285"/>
        <v/>
      </c>
      <c r="K400" s="480"/>
      <c r="L400" s="2321">
        <f t="shared" si="301"/>
        <v>41</v>
      </c>
      <c r="M400" s="2322"/>
      <c r="N400" s="478"/>
      <c r="O400" s="478"/>
      <c r="P400" s="478"/>
      <c r="Q400" s="2315">
        <f t="shared" si="290"/>
        <v>45578</v>
      </c>
      <c r="R400" s="2315"/>
      <c r="S400" s="478"/>
      <c r="T400" s="140">
        <f t="shared" si="291"/>
        <v>1</v>
      </c>
      <c r="U400" s="478"/>
      <c r="V400" s="478"/>
      <c r="W400" s="478"/>
      <c r="X400" s="478"/>
      <c r="Y400" s="478"/>
      <c r="Z400" s="478"/>
      <c r="AA400" s="478"/>
      <c r="AB400" s="478"/>
      <c r="AC400" s="478"/>
      <c r="AD400" s="478"/>
      <c r="AE400" s="478"/>
      <c r="AF400" s="478"/>
      <c r="AG400" s="140">
        <f t="shared" si="292"/>
        <v>0</v>
      </c>
      <c r="AH400" s="92" t="str">
        <f t="shared" si="293"/>
        <v/>
      </c>
      <c r="AI400" s="131">
        <f t="shared" si="294"/>
        <v>0</v>
      </c>
      <c r="AJ400" s="2"/>
      <c r="AK400" s="92">
        <f>IF(G400=G$481,0,IF(OR(G400&lt;&gt;0,CJ400&lt;&gt;0,C400="L"),COUNTIF(AK$114:AK399,"&gt;0")+1,0))</f>
        <v>0</v>
      </c>
      <c r="AL400" s="92" t="str">
        <f t="shared" si="295"/>
        <v/>
      </c>
      <c r="AM400" s="92" t="str">
        <f t="shared" si="296"/>
        <v/>
      </c>
      <c r="AN400" s="131">
        <f t="shared" si="286"/>
        <v>0</v>
      </c>
      <c r="AO400" s="447">
        <f>SUM(OTT!W20:Z20)</f>
        <v>0</v>
      </c>
      <c r="AP400" s="445">
        <f>SUMIF(OTT!$G$155:$J$155,AP$112,OTT!$R20:$U20)</f>
        <v>0</v>
      </c>
      <c r="AQ400" s="446">
        <f>SUMIF(OTT!$G$155:$J$155,AQ$112,OTT!$R20:$U20)</f>
        <v>0</v>
      </c>
      <c r="AR400" s="447">
        <f>SUMIF(OTT!$G$155:$J$155,AR$112,OTT!$R20:$U20)</f>
        <v>0</v>
      </c>
      <c r="AS400" s="448">
        <f>SUMIF(OTT!$G$155:$J$155,AS$112,OTT!$R20:$U20)</f>
        <v>0</v>
      </c>
      <c r="AT400" s="449">
        <f>OTT!AG20</f>
        <v>0</v>
      </c>
      <c r="AU400" s="445">
        <f>OTT!AH20</f>
        <v>0</v>
      </c>
      <c r="AV400" s="446">
        <f>OTT!AI20</f>
        <v>0</v>
      </c>
      <c r="AW400" s="447">
        <f>OTT!AJ20</f>
        <v>0</v>
      </c>
      <c r="AX400" s="448">
        <f>OTT!AK20</f>
        <v>0</v>
      </c>
      <c r="AY400" s="445">
        <f>SUMIF(OTT!$G$152:$J$152,"&gt;0",OTT!$W20:$Z20)</f>
        <v>0</v>
      </c>
      <c r="AZ400" s="1063">
        <f>SUM(OTT!AB20:AE20)</f>
        <v>0</v>
      </c>
      <c r="BA400" s="445">
        <f>SUMIF(OTT!$G$159:$J$159,BA$111,OTT!$R20:$U20)+SUMIF(OTT!$G$159:$J$159,BA$111,OTT!$W20:$Z20)</f>
        <v>0</v>
      </c>
      <c r="BB400" s="446">
        <f>SUMIF(OTT!$G$159:$J$159,BB$111,OTT!$R20:$U20)+SUMIF(OTT!$G$159:$J$159,BB$111,OTT!$W20:$Z20)</f>
        <v>0</v>
      </c>
      <c r="BC400" s="446">
        <f>SUMIF(OTT!$G$159:$J$159,BC$111,OTT!$R20:$U20)+SUMIF(OTT!$G$159:$J$159,BC$111,OTT!$W20:$Z20)</f>
        <v>0</v>
      </c>
      <c r="BD400" s="446">
        <f>SUMIF(OTT!$G$159:$J$159,BD$111,OTT!$R20:$U20)+SUMIF(OTT!$G$159:$J$159,BD$111,OTT!$W20:$Z20)</f>
        <v>0</v>
      </c>
      <c r="BE400" s="446">
        <f>SUMIF(OTT!$G$159:$J$159,BE$111,OTT!$R20:$U20)+SUMIF(OTT!$G$159:$J$159,BE$111,OTT!$W20:$Z20)</f>
        <v>0</v>
      </c>
      <c r="BF400" s="446">
        <f>SUMIF(OTT!$G$159:$J$159,BF$111,OTT!$R20:$U20)+SUMIF(OTT!$G$159:$J$159,BF$111,OTT!$W20:$Z20)</f>
        <v>0</v>
      </c>
      <c r="BG400" s="448">
        <f>SUMIF(OTT!$G$159:$J$159,BG$111,OTT!$R20:$U20)+SUMIF(OTT!$G$159:$J$159,BG$111,OTT!$W20:$Z20)</f>
        <v>0</v>
      </c>
      <c r="BH400" s="571"/>
      <c r="BI400" s="448"/>
      <c r="BJ400" s="470"/>
      <c r="BK400" s="445">
        <f>SUMIF(OTT!$G$157:$J$157,BK$111,OTT!$R20:$U20)+SUMIF(OTT!$G$157:$J$157,BK$111,OTT!$W20:$Z20)</f>
        <v>0</v>
      </c>
      <c r="BL400" s="446">
        <f>SUMIF(OTT!$G$157:$J$157,BL$111,OTT!$R20:$U20)+SUMIF(OTT!$G$157:$J$157,BL$111,OTT!$W20:$Z20)</f>
        <v>0</v>
      </c>
      <c r="BM400" s="446">
        <f>SUMIF(OTT!$G$157:$J$157,BM$111,OTT!$R20:$U20)+SUMIF(OTT!$G$157:$J$157,BM$111,OTT!$W20:$Z20)</f>
        <v>0</v>
      </c>
      <c r="BN400" s="446">
        <f>SUMIF(OTT!$G$157:$J$157,BN$111,OTT!$R20:$U20)+SUMIF(OTT!$G$157:$J$157,BN$111,OTT!$W20:$Z20)</f>
        <v>0</v>
      </c>
      <c r="BO400" s="446">
        <f>SUMIF(OTT!$G$157:$J$157,BO$111,OTT!$R20:$U20)+SUMIF(OTT!$G$157:$J$157,BO$111,OTT!$W20:$Z20)</f>
        <v>0</v>
      </c>
      <c r="BP400" s="446">
        <f>SUMIF(OTT!$G$157:$J$157,BP$111,OTT!$R20:$U20)+SUMIF(OTT!$G$157:$J$157,BP$111,OTT!$W20:$Z20)</f>
        <v>0</v>
      </c>
      <c r="BQ400" s="448">
        <f>SUMIF(OTT!$G$157:$J$157,BQ$111,OTT!$R20:$U20)+SUMIF(OTT!$G$157:$J$157,BQ$111,OTT!$W20:$Z20)</f>
        <v>0</v>
      </c>
      <c r="BR400" s="571"/>
      <c r="BS400" s="446"/>
      <c r="BT400" s="448"/>
      <c r="BU400" s="470"/>
      <c r="BV400" s="445">
        <f>SUMIF(OTT!$G$158:$J$158,BV$111,OTT!$R20:$U20)+SUMIF(OTT!$G$158:$J$158,BV$111,OTT!$W20:$Z20)</f>
        <v>0</v>
      </c>
      <c r="BW400" s="446">
        <f>SUMIF(OTT!$G$158:$J$158,BW$111,OTT!$R20:$U20)+SUMIF(OTT!$G$158:$J$158,BW$111,OTT!$W20:$Z20)</f>
        <v>0</v>
      </c>
      <c r="BX400" s="446">
        <f>SUMIF(OTT!$G$158:$J$158,BX$111,OTT!$R20:$U20)+SUMIF(OTT!$G$158:$J$158,BX$111,OTT!$W20:$Z20)</f>
        <v>0</v>
      </c>
      <c r="BY400" s="446">
        <f>SUMIF(OTT!$G$158:$J$158,BY$111,OTT!$R20:$U20)+SUMIF(OTT!$G$158:$J$158,BY$111,OTT!$W20:$Z20)</f>
        <v>0</v>
      </c>
      <c r="BZ400" s="446">
        <f>SUMIF(OTT!$G$158:$J$158,BZ$111,OTT!$R20:$U20)+SUMIF(OTT!$G$158:$J$158,BZ$111,OTT!$W20:$Z20)</f>
        <v>0</v>
      </c>
      <c r="CA400" s="446">
        <f>SUMIF(OTT!$G$158:$J$158,CA$111,OTT!$R20:$U20)+SUMIF(OTT!$G$158:$J$158,CA$111,OTT!$W20:$Z20)</f>
        <v>0</v>
      </c>
      <c r="CB400" s="448">
        <f>SUMIF(OTT!$G$158:$J$158,CB$111,OTT!$R20:$U20)+SUMIF(OTT!$G$158:$J$158,CB$111,OTT!$W20:$Z20)</f>
        <v>0</v>
      </c>
      <c r="CC400" s="571"/>
      <c r="CD400" s="448"/>
      <c r="CE400" s="92">
        <f t="shared" si="297"/>
        <v>0</v>
      </c>
      <c r="CF400" s="92">
        <f t="shared" si="298"/>
        <v>0</v>
      </c>
      <c r="CG400" s="151" t="str">
        <f t="shared" si="284"/>
        <v/>
      </c>
      <c r="CH400" s="92">
        <f t="shared" si="287"/>
        <v>0</v>
      </c>
      <c r="CI400" s="92" t="str">
        <f t="shared" si="299"/>
        <v/>
      </c>
      <c r="CJ400" s="1100">
        <f>OTT!AM20</f>
        <v>0</v>
      </c>
      <c r="CK400" s="445">
        <f>SUMIF(OTT!$G$155:$J$155,CK$112,OTT!$AN20:$AQ20)</f>
        <v>0</v>
      </c>
      <c r="CL400" s="446">
        <f>SUMIF(OTT!$G$155:$J$155,CL$112,OTT!$AN20:$AQ20)</f>
        <v>0</v>
      </c>
      <c r="CM400" s="447">
        <f>SUMIF(OTT!$G$155:$J$155,CM$112,OTT!$AN20:$AQ20)</f>
        <v>0</v>
      </c>
      <c r="CN400" s="448">
        <f>SUMIF(OTT!$G$155:$J$155,CN$112,OTT!$AN20:$AQ20)</f>
        <v>0</v>
      </c>
      <c r="CO400" s="1100">
        <f>OTT!AS20</f>
        <v>0</v>
      </c>
      <c r="CP400" s="445">
        <f>OTT!AT20</f>
        <v>0</v>
      </c>
      <c r="CQ400" s="446">
        <f>OTT!AU20</f>
        <v>0</v>
      </c>
      <c r="CR400" s="447">
        <f>OTT!AV20</f>
        <v>0</v>
      </c>
      <c r="CS400" s="448">
        <f>OTT!AW20</f>
        <v>0</v>
      </c>
      <c r="CT400" s="1100">
        <f>OTT!AY20</f>
        <v>0</v>
      </c>
      <c r="CU400" s="2"/>
    </row>
    <row r="401" spans="1:99" ht="14.25" hidden="1" customHeight="1" x14ac:dyDescent="0.2">
      <c r="A401" s="2"/>
      <c r="B401" s="151">
        <f t="shared" si="288"/>
        <v>45579</v>
      </c>
      <c r="C401" s="223">
        <f>IF(AND(E401&gt;(N$494-1),E401&lt;(R$494+1)),W$485,IF(ISERROR(HLOOKUP(E401,$N$487:$U$487,1,FALSE)),HLOOKUP(WEEKDAY(E401,2),IMPOSTAZIONI!$C$51:$P$56,6,FALSE),$W$484))</f>
        <v>0</v>
      </c>
      <c r="D401" s="103" t="str">
        <f t="shared" si="289"/>
        <v/>
      </c>
      <c r="E401" s="2380">
        <f t="shared" si="300"/>
        <v>45579</v>
      </c>
      <c r="F401" s="2381"/>
      <c r="G401" s="2325" t="str">
        <f>OTT!E21</f>
        <v xml:space="preserve">attiva trim.  </v>
      </c>
      <c r="H401" s="2326"/>
      <c r="I401" s="2327"/>
      <c r="J401" s="479" t="str">
        <f t="shared" si="285"/>
        <v/>
      </c>
      <c r="K401" s="480"/>
      <c r="L401" s="2323">
        <f t="shared" si="301"/>
        <v>42</v>
      </c>
      <c r="M401" s="2324"/>
      <c r="N401" s="478"/>
      <c r="O401" s="478"/>
      <c r="P401" s="478"/>
      <c r="Q401" s="2315">
        <f t="shared" si="290"/>
        <v>45579</v>
      </c>
      <c r="R401" s="2315"/>
      <c r="S401" s="478"/>
      <c r="T401" s="140">
        <f t="shared" si="291"/>
        <v>1</v>
      </c>
      <c r="U401" s="478"/>
      <c r="V401" s="478"/>
      <c r="W401" s="478"/>
      <c r="X401" s="478"/>
      <c r="Y401" s="478"/>
      <c r="Z401" s="478"/>
      <c r="AA401" s="478"/>
      <c r="AB401" s="478"/>
      <c r="AC401" s="478"/>
      <c r="AD401" s="478"/>
      <c r="AE401" s="478"/>
      <c r="AF401" s="478"/>
      <c r="AG401" s="140">
        <f t="shared" si="292"/>
        <v>0</v>
      </c>
      <c r="AH401" s="92" t="str">
        <f t="shared" si="293"/>
        <v/>
      </c>
      <c r="AI401" s="131">
        <f t="shared" si="294"/>
        <v>0</v>
      </c>
      <c r="AJ401" s="2"/>
      <c r="AK401" s="92">
        <f>IF(G401=G$481,0,IF(OR(G401&lt;&gt;0,CJ401&lt;&gt;0,C401="L"),COUNTIF(AK$114:AK400,"&gt;0")+1,0))</f>
        <v>0</v>
      </c>
      <c r="AL401" s="92" t="str">
        <f t="shared" si="295"/>
        <v/>
      </c>
      <c r="AM401" s="92" t="str">
        <f t="shared" si="296"/>
        <v/>
      </c>
      <c r="AN401" s="131">
        <f t="shared" si="286"/>
        <v>0</v>
      </c>
      <c r="AO401" s="447">
        <f>SUM(OTT!W21:Z21)</f>
        <v>0</v>
      </c>
      <c r="AP401" s="445">
        <f>SUMIF(OTT!$G$155:$J$155,AP$112,OTT!$R21:$U21)</f>
        <v>0</v>
      </c>
      <c r="AQ401" s="446">
        <f>SUMIF(OTT!$G$155:$J$155,AQ$112,OTT!$R21:$U21)</f>
        <v>0</v>
      </c>
      <c r="AR401" s="447">
        <f>SUMIF(OTT!$G$155:$J$155,AR$112,OTT!$R21:$U21)</f>
        <v>0</v>
      </c>
      <c r="AS401" s="448">
        <f>SUMIF(OTT!$G$155:$J$155,AS$112,OTT!$R21:$U21)</f>
        <v>0</v>
      </c>
      <c r="AT401" s="449">
        <f>OTT!AG21</f>
        <v>0</v>
      </c>
      <c r="AU401" s="445">
        <f>OTT!AH21</f>
        <v>0</v>
      </c>
      <c r="AV401" s="446">
        <f>OTT!AI21</f>
        <v>0</v>
      </c>
      <c r="AW401" s="447">
        <f>OTT!AJ21</f>
        <v>0</v>
      </c>
      <c r="AX401" s="448">
        <f>OTT!AK21</f>
        <v>0</v>
      </c>
      <c r="AY401" s="445">
        <f>SUMIF(OTT!$G$152:$J$152,"&gt;0",OTT!$W21:$Z21)</f>
        <v>0</v>
      </c>
      <c r="AZ401" s="1063">
        <f>SUM(OTT!AB21:AE21)</f>
        <v>0</v>
      </c>
      <c r="BA401" s="445">
        <f>SUMIF(OTT!$G$159:$J$159,BA$111,OTT!$R21:$U21)+SUMIF(OTT!$G$159:$J$159,BA$111,OTT!$W21:$Z21)</f>
        <v>0</v>
      </c>
      <c r="BB401" s="446">
        <f>SUMIF(OTT!$G$159:$J$159,BB$111,OTT!$R21:$U21)+SUMIF(OTT!$G$159:$J$159,BB$111,OTT!$W21:$Z21)</f>
        <v>0</v>
      </c>
      <c r="BC401" s="446">
        <f>SUMIF(OTT!$G$159:$J$159,BC$111,OTT!$R21:$U21)+SUMIF(OTT!$G$159:$J$159,BC$111,OTT!$W21:$Z21)</f>
        <v>0</v>
      </c>
      <c r="BD401" s="446">
        <f>SUMIF(OTT!$G$159:$J$159,BD$111,OTT!$R21:$U21)+SUMIF(OTT!$G$159:$J$159,BD$111,OTT!$W21:$Z21)</f>
        <v>0</v>
      </c>
      <c r="BE401" s="446">
        <f>SUMIF(OTT!$G$159:$J$159,BE$111,OTT!$R21:$U21)+SUMIF(OTT!$G$159:$J$159,BE$111,OTT!$W21:$Z21)</f>
        <v>0</v>
      </c>
      <c r="BF401" s="446">
        <f>SUMIF(OTT!$G$159:$J$159,BF$111,OTT!$R21:$U21)+SUMIF(OTT!$G$159:$J$159,BF$111,OTT!$W21:$Z21)</f>
        <v>0</v>
      </c>
      <c r="BG401" s="448">
        <f>SUMIF(OTT!$G$159:$J$159,BG$111,OTT!$R21:$U21)+SUMIF(OTT!$G$159:$J$159,BG$111,OTT!$W21:$Z21)</f>
        <v>0</v>
      </c>
      <c r="BH401" s="571"/>
      <c r="BI401" s="448"/>
      <c r="BJ401" s="470"/>
      <c r="BK401" s="445">
        <f>SUMIF(OTT!$G$157:$J$157,BK$111,OTT!$R21:$U21)+SUMIF(OTT!$G$157:$J$157,BK$111,OTT!$W21:$Z21)</f>
        <v>0</v>
      </c>
      <c r="BL401" s="446">
        <f>SUMIF(OTT!$G$157:$J$157,BL$111,OTT!$R21:$U21)+SUMIF(OTT!$G$157:$J$157,BL$111,OTT!$W21:$Z21)</f>
        <v>0</v>
      </c>
      <c r="BM401" s="446">
        <f>SUMIF(OTT!$G$157:$J$157,BM$111,OTT!$R21:$U21)+SUMIF(OTT!$G$157:$J$157,BM$111,OTT!$W21:$Z21)</f>
        <v>0</v>
      </c>
      <c r="BN401" s="446">
        <f>SUMIF(OTT!$G$157:$J$157,BN$111,OTT!$R21:$U21)+SUMIF(OTT!$G$157:$J$157,BN$111,OTT!$W21:$Z21)</f>
        <v>0</v>
      </c>
      <c r="BO401" s="446">
        <f>SUMIF(OTT!$G$157:$J$157,BO$111,OTT!$R21:$U21)+SUMIF(OTT!$G$157:$J$157,BO$111,OTT!$W21:$Z21)</f>
        <v>0</v>
      </c>
      <c r="BP401" s="446">
        <f>SUMIF(OTT!$G$157:$J$157,BP$111,OTT!$R21:$U21)+SUMIF(OTT!$G$157:$J$157,BP$111,OTT!$W21:$Z21)</f>
        <v>0</v>
      </c>
      <c r="BQ401" s="448">
        <f>SUMIF(OTT!$G$157:$J$157,BQ$111,OTT!$R21:$U21)+SUMIF(OTT!$G$157:$J$157,BQ$111,OTT!$W21:$Z21)</f>
        <v>0</v>
      </c>
      <c r="BR401" s="571"/>
      <c r="BS401" s="446"/>
      <c r="BT401" s="448"/>
      <c r="BU401" s="470"/>
      <c r="BV401" s="445">
        <f>SUMIF(OTT!$G$158:$J$158,BV$111,OTT!$R21:$U21)+SUMIF(OTT!$G$158:$J$158,BV$111,OTT!$W21:$Z21)</f>
        <v>0</v>
      </c>
      <c r="BW401" s="446">
        <f>SUMIF(OTT!$G$158:$J$158,BW$111,OTT!$R21:$U21)+SUMIF(OTT!$G$158:$J$158,BW$111,OTT!$W21:$Z21)</f>
        <v>0</v>
      </c>
      <c r="BX401" s="446">
        <f>SUMIF(OTT!$G$158:$J$158,BX$111,OTT!$R21:$U21)+SUMIF(OTT!$G$158:$J$158,BX$111,OTT!$W21:$Z21)</f>
        <v>0</v>
      </c>
      <c r="BY401" s="446">
        <f>SUMIF(OTT!$G$158:$J$158,BY$111,OTT!$R21:$U21)+SUMIF(OTT!$G$158:$J$158,BY$111,OTT!$W21:$Z21)</f>
        <v>0</v>
      </c>
      <c r="BZ401" s="446">
        <f>SUMIF(OTT!$G$158:$J$158,BZ$111,OTT!$R21:$U21)+SUMIF(OTT!$G$158:$J$158,BZ$111,OTT!$W21:$Z21)</f>
        <v>0</v>
      </c>
      <c r="CA401" s="446">
        <f>SUMIF(OTT!$G$158:$J$158,CA$111,OTT!$R21:$U21)+SUMIF(OTT!$G$158:$J$158,CA$111,OTT!$W21:$Z21)</f>
        <v>0</v>
      </c>
      <c r="CB401" s="448">
        <f>SUMIF(OTT!$G$158:$J$158,CB$111,OTT!$R21:$U21)+SUMIF(OTT!$G$158:$J$158,CB$111,OTT!$W21:$Z21)</f>
        <v>0</v>
      </c>
      <c r="CC401" s="571"/>
      <c r="CD401" s="448"/>
      <c r="CE401" s="92">
        <f t="shared" si="297"/>
        <v>0</v>
      </c>
      <c r="CF401" s="92">
        <f t="shared" si="298"/>
        <v>0</v>
      </c>
      <c r="CG401" s="151" t="str">
        <f t="shared" si="284"/>
        <v/>
      </c>
      <c r="CH401" s="92">
        <f t="shared" si="287"/>
        <v>0</v>
      </c>
      <c r="CI401" s="92" t="str">
        <f t="shared" si="299"/>
        <v/>
      </c>
      <c r="CJ401" s="1100">
        <f>OTT!AM21</f>
        <v>0</v>
      </c>
      <c r="CK401" s="445">
        <f>SUMIF(OTT!$G$155:$J$155,CK$112,OTT!$AN21:$AQ21)</f>
        <v>0</v>
      </c>
      <c r="CL401" s="446">
        <f>SUMIF(OTT!$G$155:$J$155,CL$112,OTT!$AN21:$AQ21)</f>
        <v>0</v>
      </c>
      <c r="CM401" s="447">
        <f>SUMIF(OTT!$G$155:$J$155,CM$112,OTT!$AN21:$AQ21)</f>
        <v>0</v>
      </c>
      <c r="CN401" s="448">
        <f>SUMIF(OTT!$G$155:$J$155,CN$112,OTT!$AN21:$AQ21)</f>
        <v>0</v>
      </c>
      <c r="CO401" s="1100">
        <f>OTT!AS21</f>
        <v>0</v>
      </c>
      <c r="CP401" s="445">
        <f>OTT!AT21</f>
        <v>0</v>
      </c>
      <c r="CQ401" s="446">
        <f>OTT!AU21</f>
        <v>0</v>
      </c>
      <c r="CR401" s="447">
        <f>OTT!AV21</f>
        <v>0</v>
      </c>
      <c r="CS401" s="448">
        <f>OTT!AW21</f>
        <v>0</v>
      </c>
      <c r="CT401" s="1100">
        <f>OTT!AY21</f>
        <v>0</v>
      </c>
      <c r="CU401" s="2"/>
    </row>
    <row r="402" spans="1:99" ht="14.25" hidden="1" customHeight="1" x14ac:dyDescent="0.2">
      <c r="A402" s="2"/>
      <c r="B402" s="151">
        <f t="shared" si="288"/>
        <v>45580</v>
      </c>
      <c r="C402" s="223">
        <f>IF(AND(E402&gt;(N$494-1),E402&lt;(R$494+1)),W$485,IF(ISERROR(HLOOKUP(E402,$N$487:$U$487,1,FALSE)),HLOOKUP(WEEKDAY(E402,2),IMPOSTAZIONI!$C$51:$P$56,6,FALSE),$W$484))</f>
        <v>0</v>
      </c>
      <c r="D402" s="103" t="str">
        <f t="shared" si="289"/>
        <v/>
      </c>
      <c r="E402" s="2380">
        <f t="shared" si="300"/>
        <v>45580</v>
      </c>
      <c r="F402" s="2381"/>
      <c r="G402" s="2325" t="str">
        <f>OTT!E22</f>
        <v xml:space="preserve">attiva trim.  </v>
      </c>
      <c r="H402" s="2326"/>
      <c r="I402" s="2327"/>
      <c r="J402" s="479" t="str">
        <f t="shared" si="285"/>
        <v/>
      </c>
      <c r="K402" s="480"/>
      <c r="L402" s="2319">
        <f t="shared" si="301"/>
        <v>42</v>
      </c>
      <c r="M402" s="2320"/>
      <c r="N402" s="478"/>
      <c r="O402" s="478"/>
      <c r="P402" s="478"/>
      <c r="Q402" s="2315">
        <f t="shared" si="290"/>
        <v>45580</v>
      </c>
      <c r="R402" s="2315"/>
      <c r="S402" s="478"/>
      <c r="T402" s="140">
        <f t="shared" si="291"/>
        <v>1</v>
      </c>
      <c r="U402" s="478"/>
      <c r="V402" s="478"/>
      <c r="W402" s="478"/>
      <c r="X402" s="478"/>
      <c r="Y402" s="478"/>
      <c r="Z402" s="478"/>
      <c r="AA402" s="478"/>
      <c r="AB402" s="478"/>
      <c r="AC402" s="478"/>
      <c r="AD402" s="478"/>
      <c r="AE402" s="478"/>
      <c r="AF402" s="478"/>
      <c r="AG402" s="140">
        <f t="shared" si="292"/>
        <v>0</v>
      </c>
      <c r="AH402" s="92" t="str">
        <f t="shared" si="293"/>
        <v/>
      </c>
      <c r="AI402" s="131">
        <f t="shared" si="294"/>
        <v>0</v>
      </c>
      <c r="AJ402" s="2"/>
      <c r="AK402" s="92">
        <f>IF(G402=G$481,0,IF(OR(G402&lt;&gt;0,CJ402&lt;&gt;0,C402="L"),COUNTIF(AK$114:AK401,"&gt;0")+1,0))</f>
        <v>0</v>
      </c>
      <c r="AL402" s="92" t="str">
        <f t="shared" si="295"/>
        <v/>
      </c>
      <c r="AM402" s="92" t="str">
        <f t="shared" si="296"/>
        <v/>
      </c>
      <c r="AN402" s="131">
        <f t="shared" si="286"/>
        <v>0</v>
      </c>
      <c r="AO402" s="447">
        <f>SUM(OTT!W22:Z22)</f>
        <v>0</v>
      </c>
      <c r="AP402" s="445">
        <f>SUMIF(OTT!$G$155:$J$155,AP$112,OTT!$R22:$U22)</f>
        <v>0</v>
      </c>
      <c r="AQ402" s="446">
        <f>SUMIF(OTT!$G$155:$J$155,AQ$112,OTT!$R22:$U22)</f>
        <v>0</v>
      </c>
      <c r="AR402" s="447">
        <f>SUMIF(OTT!$G$155:$J$155,AR$112,OTT!$R22:$U22)</f>
        <v>0</v>
      </c>
      <c r="AS402" s="448">
        <f>SUMIF(OTT!$G$155:$J$155,AS$112,OTT!$R22:$U22)</f>
        <v>0</v>
      </c>
      <c r="AT402" s="449">
        <f>OTT!AG22</f>
        <v>0</v>
      </c>
      <c r="AU402" s="445">
        <f>OTT!AH22</f>
        <v>0</v>
      </c>
      <c r="AV402" s="446">
        <f>OTT!AI22</f>
        <v>0</v>
      </c>
      <c r="AW402" s="447">
        <f>OTT!AJ22</f>
        <v>0</v>
      </c>
      <c r="AX402" s="448">
        <f>OTT!AK22</f>
        <v>0</v>
      </c>
      <c r="AY402" s="445">
        <f>SUMIF(OTT!$G$152:$J$152,"&gt;0",OTT!$W22:$Z22)</f>
        <v>0</v>
      </c>
      <c r="AZ402" s="1063">
        <f>SUM(OTT!AB22:AE22)</f>
        <v>0</v>
      </c>
      <c r="BA402" s="445">
        <f>SUMIF(OTT!$G$159:$J$159,BA$111,OTT!$R22:$U22)+SUMIF(OTT!$G$159:$J$159,BA$111,OTT!$W22:$Z22)</f>
        <v>0</v>
      </c>
      <c r="BB402" s="446">
        <f>SUMIF(OTT!$G$159:$J$159,BB$111,OTT!$R22:$U22)+SUMIF(OTT!$G$159:$J$159,BB$111,OTT!$W22:$Z22)</f>
        <v>0</v>
      </c>
      <c r="BC402" s="446">
        <f>SUMIF(OTT!$G$159:$J$159,BC$111,OTT!$R22:$U22)+SUMIF(OTT!$G$159:$J$159,BC$111,OTT!$W22:$Z22)</f>
        <v>0</v>
      </c>
      <c r="BD402" s="446">
        <f>SUMIF(OTT!$G$159:$J$159,BD$111,OTT!$R22:$U22)+SUMIF(OTT!$G$159:$J$159,BD$111,OTT!$W22:$Z22)</f>
        <v>0</v>
      </c>
      <c r="BE402" s="446">
        <f>SUMIF(OTT!$G$159:$J$159,BE$111,OTT!$R22:$U22)+SUMIF(OTT!$G$159:$J$159,BE$111,OTT!$W22:$Z22)</f>
        <v>0</v>
      </c>
      <c r="BF402" s="446">
        <f>SUMIF(OTT!$G$159:$J$159,BF$111,OTT!$R22:$U22)+SUMIF(OTT!$G$159:$J$159,BF$111,OTT!$W22:$Z22)</f>
        <v>0</v>
      </c>
      <c r="BG402" s="448">
        <f>SUMIF(OTT!$G$159:$J$159,BG$111,OTT!$R22:$U22)+SUMIF(OTT!$G$159:$J$159,BG$111,OTT!$W22:$Z22)</f>
        <v>0</v>
      </c>
      <c r="BH402" s="571"/>
      <c r="BI402" s="448"/>
      <c r="BJ402" s="470"/>
      <c r="BK402" s="445">
        <f>SUMIF(OTT!$G$157:$J$157,BK$111,OTT!$R22:$U22)+SUMIF(OTT!$G$157:$J$157,BK$111,OTT!$W22:$Z22)</f>
        <v>0</v>
      </c>
      <c r="BL402" s="446">
        <f>SUMIF(OTT!$G$157:$J$157,BL$111,OTT!$R22:$U22)+SUMIF(OTT!$G$157:$J$157,BL$111,OTT!$W22:$Z22)</f>
        <v>0</v>
      </c>
      <c r="BM402" s="446">
        <f>SUMIF(OTT!$G$157:$J$157,BM$111,OTT!$R22:$U22)+SUMIF(OTT!$G$157:$J$157,BM$111,OTT!$W22:$Z22)</f>
        <v>0</v>
      </c>
      <c r="BN402" s="446">
        <f>SUMIF(OTT!$G$157:$J$157,BN$111,OTT!$R22:$U22)+SUMIF(OTT!$G$157:$J$157,BN$111,OTT!$W22:$Z22)</f>
        <v>0</v>
      </c>
      <c r="BO402" s="446">
        <f>SUMIF(OTT!$G$157:$J$157,BO$111,OTT!$R22:$U22)+SUMIF(OTT!$G$157:$J$157,BO$111,OTT!$W22:$Z22)</f>
        <v>0</v>
      </c>
      <c r="BP402" s="446">
        <f>SUMIF(OTT!$G$157:$J$157,BP$111,OTT!$R22:$U22)+SUMIF(OTT!$G$157:$J$157,BP$111,OTT!$W22:$Z22)</f>
        <v>0</v>
      </c>
      <c r="BQ402" s="448">
        <f>SUMIF(OTT!$G$157:$J$157,BQ$111,OTT!$R22:$U22)+SUMIF(OTT!$G$157:$J$157,BQ$111,OTT!$W22:$Z22)</f>
        <v>0</v>
      </c>
      <c r="BR402" s="571"/>
      <c r="BS402" s="446"/>
      <c r="BT402" s="448"/>
      <c r="BU402" s="470"/>
      <c r="BV402" s="445">
        <f>SUMIF(OTT!$G$158:$J$158,BV$111,OTT!$R22:$U22)+SUMIF(OTT!$G$158:$J$158,BV$111,OTT!$W22:$Z22)</f>
        <v>0</v>
      </c>
      <c r="BW402" s="446">
        <f>SUMIF(OTT!$G$158:$J$158,BW$111,OTT!$R22:$U22)+SUMIF(OTT!$G$158:$J$158,BW$111,OTT!$W22:$Z22)</f>
        <v>0</v>
      </c>
      <c r="BX402" s="446">
        <f>SUMIF(OTT!$G$158:$J$158,BX$111,OTT!$R22:$U22)+SUMIF(OTT!$G$158:$J$158,BX$111,OTT!$W22:$Z22)</f>
        <v>0</v>
      </c>
      <c r="BY402" s="446">
        <f>SUMIF(OTT!$G$158:$J$158,BY$111,OTT!$R22:$U22)+SUMIF(OTT!$G$158:$J$158,BY$111,OTT!$W22:$Z22)</f>
        <v>0</v>
      </c>
      <c r="BZ402" s="446">
        <f>SUMIF(OTT!$G$158:$J$158,BZ$111,OTT!$R22:$U22)+SUMIF(OTT!$G$158:$J$158,BZ$111,OTT!$W22:$Z22)</f>
        <v>0</v>
      </c>
      <c r="CA402" s="446">
        <f>SUMIF(OTT!$G$158:$J$158,CA$111,OTT!$R22:$U22)+SUMIF(OTT!$G$158:$J$158,CA$111,OTT!$W22:$Z22)</f>
        <v>0</v>
      </c>
      <c r="CB402" s="448">
        <f>SUMIF(OTT!$G$158:$J$158,CB$111,OTT!$R22:$U22)+SUMIF(OTT!$G$158:$J$158,CB$111,OTT!$W22:$Z22)</f>
        <v>0</v>
      </c>
      <c r="CC402" s="571"/>
      <c r="CD402" s="448"/>
      <c r="CE402" s="92">
        <f t="shared" si="297"/>
        <v>0</v>
      </c>
      <c r="CF402" s="92">
        <f t="shared" si="298"/>
        <v>0</v>
      </c>
      <c r="CG402" s="151" t="str">
        <f t="shared" si="284"/>
        <v/>
      </c>
      <c r="CH402" s="92">
        <f t="shared" si="287"/>
        <v>0</v>
      </c>
      <c r="CI402" s="92" t="str">
        <f t="shared" si="299"/>
        <v/>
      </c>
      <c r="CJ402" s="1100">
        <f>OTT!AM22</f>
        <v>0</v>
      </c>
      <c r="CK402" s="445">
        <f>SUMIF(OTT!$G$155:$J$155,CK$112,OTT!$AN22:$AQ22)</f>
        <v>0</v>
      </c>
      <c r="CL402" s="446">
        <f>SUMIF(OTT!$G$155:$J$155,CL$112,OTT!$AN22:$AQ22)</f>
        <v>0</v>
      </c>
      <c r="CM402" s="447">
        <f>SUMIF(OTT!$G$155:$J$155,CM$112,OTT!$AN22:$AQ22)</f>
        <v>0</v>
      </c>
      <c r="CN402" s="448">
        <f>SUMIF(OTT!$G$155:$J$155,CN$112,OTT!$AN22:$AQ22)</f>
        <v>0</v>
      </c>
      <c r="CO402" s="1100">
        <f>OTT!AS22</f>
        <v>0</v>
      </c>
      <c r="CP402" s="445">
        <f>OTT!AT22</f>
        <v>0</v>
      </c>
      <c r="CQ402" s="446">
        <f>OTT!AU22</f>
        <v>0</v>
      </c>
      <c r="CR402" s="447">
        <f>OTT!AV22</f>
        <v>0</v>
      </c>
      <c r="CS402" s="448">
        <f>OTT!AW22</f>
        <v>0</v>
      </c>
      <c r="CT402" s="1100">
        <f>OTT!AY22</f>
        <v>0</v>
      </c>
      <c r="CU402" s="2"/>
    </row>
    <row r="403" spans="1:99" ht="14.25" hidden="1" customHeight="1" x14ac:dyDescent="0.2">
      <c r="A403" s="2"/>
      <c r="B403" s="151">
        <f t="shared" si="288"/>
        <v>45581</v>
      </c>
      <c r="C403" s="223">
        <f>IF(AND(E403&gt;(N$494-1),E403&lt;(R$494+1)),W$485,IF(ISERROR(HLOOKUP(E403,$N$487:$U$487,1,FALSE)),HLOOKUP(WEEKDAY(E403,2),IMPOSTAZIONI!$C$51:$P$56,6,FALSE),$W$484))</f>
        <v>0</v>
      </c>
      <c r="D403" s="103" t="str">
        <f t="shared" si="289"/>
        <v/>
      </c>
      <c r="E403" s="2380">
        <f t="shared" si="300"/>
        <v>45581</v>
      </c>
      <c r="F403" s="2381"/>
      <c r="G403" s="2325" t="str">
        <f>OTT!E23</f>
        <v xml:space="preserve">attiva trim.  </v>
      </c>
      <c r="H403" s="2326"/>
      <c r="I403" s="2327"/>
      <c r="J403" s="479" t="str">
        <f t="shared" si="285"/>
        <v/>
      </c>
      <c r="K403" s="480"/>
      <c r="L403" s="2319">
        <f t="shared" si="301"/>
        <v>42</v>
      </c>
      <c r="M403" s="2320"/>
      <c r="N403" s="478"/>
      <c r="O403" s="478"/>
      <c r="P403" s="478"/>
      <c r="Q403" s="2315">
        <f t="shared" si="290"/>
        <v>45581</v>
      </c>
      <c r="R403" s="2315"/>
      <c r="S403" s="478"/>
      <c r="T403" s="140">
        <f t="shared" si="291"/>
        <v>1</v>
      </c>
      <c r="U403" s="478"/>
      <c r="V403" s="478"/>
      <c r="W403" s="478"/>
      <c r="X403" s="478"/>
      <c r="Y403" s="478"/>
      <c r="Z403" s="478"/>
      <c r="AA403" s="478"/>
      <c r="AB403" s="478"/>
      <c r="AC403" s="478"/>
      <c r="AD403" s="478"/>
      <c r="AE403" s="478"/>
      <c r="AF403" s="478"/>
      <c r="AG403" s="140">
        <f t="shared" si="292"/>
        <v>0</v>
      </c>
      <c r="AH403" s="92" t="str">
        <f t="shared" si="293"/>
        <v/>
      </c>
      <c r="AI403" s="131">
        <f t="shared" si="294"/>
        <v>0</v>
      </c>
      <c r="AJ403" s="2"/>
      <c r="AK403" s="92">
        <f>IF(G403=G$481,0,IF(OR(G403&lt;&gt;0,CJ403&lt;&gt;0,C403="L"),COUNTIF(AK$114:AK402,"&gt;0")+1,0))</f>
        <v>0</v>
      </c>
      <c r="AL403" s="92" t="str">
        <f t="shared" si="295"/>
        <v/>
      </c>
      <c r="AM403" s="92" t="str">
        <f t="shared" si="296"/>
        <v/>
      </c>
      <c r="AN403" s="131">
        <f t="shared" si="286"/>
        <v>0</v>
      </c>
      <c r="AO403" s="447">
        <f>SUM(OTT!W23:Z23)</f>
        <v>0</v>
      </c>
      <c r="AP403" s="445">
        <f>SUMIF(OTT!$G$155:$J$155,AP$112,OTT!$R23:$U23)</f>
        <v>0</v>
      </c>
      <c r="AQ403" s="446">
        <f>SUMIF(OTT!$G$155:$J$155,AQ$112,OTT!$R23:$U23)</f>
        <v>0</v>
      </c>
      <c r="AR403" s="447">
        <f>SUMIF(OTT!$G$155:$J$155,AR$112,OTT!$R23:$U23)</f>
        <v>0</v>
      </c>
      <c r="AS403" s="448">
        <f>SUMIF(OTT!$G$155:$J$155,AS$112,OTT!$R23:$U23)</f>
        <v>0</v>
      </c>
      <c r="AT403" s="449">
        <f>OTT!AG23</f>
        <v>0</v>
      </c>
      <c r="AU403" s="445">
        <f>OTT!AH23</f>
        <v>0</v>
      </c>
      <c r="AV403" s="446">
        <f>OTT!AI23</f>
        <v>0</v>
      </c>
      <c r="AW403" s="447">
        <f>OTT!AJ23</f>
        <v>0</v>
      </c>
      <c r="AX403" s="448">
        <f>OTT!AK23</f>
        <v>0</v>
      </c>
      <c r="AY403" s="445">
        <f>SUMIF(OTT!$G$152:$J$152,"&gt;0",OTT!$W23:$Z23)</f>
        <v>0</v>
      </c>
      <c r="AZ403" s="1063">
        <f>SUM(OTT!AB23:AE23)</f>
        <v>0</v>
      </c>
      <c r="BA403" s="445">
        <f>SUMIF(OTT!$G$159:$J$159,BA$111,OTT!$R23:$U23)+SUMIF(OTT!$G$159:$J$159,BA$111,OTT!$W23:$Z23)</f>
        <v>0</v>
      </c>
      <c r="BB403" s="446">
        <f>SUMIF(OTT!$G$159:$J$159,BB$111,OTT!$R23:$U23)+SUMIF(OTT!$G$159:$J$159,BB$111,OTT!$W23:$Z23)</f>
        <v>0</v>
      </c>
      <c r="BC403" s="446">
        <f>SUMIF(OTT!$G$159:$J$159,BC$111,OTT!$R23:$U23)+SUMIF(OTT!$G$159:$J$159,BC$111,OTT!$W23:$Z23)</f>
        <v>0</v>
      </c>
      <c r="BD403" s="446">
        <f>SUMIF(OTT!$G$159:$J$159,BD$111,OTT!$R23:$U23)+SUMIF(OTT!$G$159:$J$159,BD$111,OTT!$W23:$Z23)</f>
        <v>0</v>
      </c>
      <c r="BE403" s="446">
        <f>SUMIF(OTT!$G$159:$J$159,BE$111,OTT!$R23:$U23)+SUMIF(OTT!$G$159:$J$159,BE$111,OTT!$W23:$Z23)</f>
        <v>0</v>
      </c>
      <c r="BF403" s="446">
        <f>SUMIF(OTT!$G$159:$J$159,BF$111,OTT!$R23:$U23)+SUMIF(OTT!$G$159:$J$159,BF$111,OTT!$W23:$Z23)</f>
        <v>0</v>
      </c>
      <c r="BG403" s="448">
        <f>SUMIF(OTT!$G$159:$J$159,BG$111,OTT!$R23:$U23)+SUMIF(OTT!$G$159:$J$159,BG$111,OTT!$W23:$Z23)</f>
        <v>0</v>
      </c>
      <c r="BH403" s="571"/>
      <c r="BI403" s="448"/>
      <c r="BJ403" s="470"/>
      <c r="BK403" s="445">
        <f>SUMIF(OTT!$G$157:$J$157,BK$111,OTT!$R23:$U23)+SUMIF(OTT!$G$157:$J$157,BK$111,OTT!$W23:$Z23)</f>
        <v>0</v>
      </c>
      <c r="BL403" s="446">
        <f>SUMIF(OTT!$G$157:$J$157,BL$111,OTT!$R23:$U23)+SUMIF(OTT!$G$157:$J$157,BL$111,OTT!$W23:$Z23)</f>
        <v>0</v>
      </c>
      <c r="BM403" s="446">
        <f>SUMIF(OTT!$G$157:$J$157,BM$111,OTT!$R23:$U23)+SUMIF(OTT!$G$157:$J$157,BM$111,OTT!$W23:$Z23)</f>
        <v>0</v>
      </c>
      <c r="BN403" s="446">
        <f>SUMIF(OTT!$G$157:$J$157,BN$111,OTT!$R23:$U23)+SUMIF(OTT!$G$157:$J$157,BN$111,OTT!$W23:$Z23)</f>
        <v>0</v>
      </c>
      <c r="BO403" s="446">
        <f>SUMIF(OTT!$G$157:$J$157,BO$111,OTT!$R23:$U23)+SUMIF(OTT!$G$157:$J$157,BO$111,OTT!$W23:$Z23)</f>
        <v>0</v>
      </c>
      <c r="BP403" s="446">
        <f>SUMIF(OTT!$G$157:$J$157,BP$111,OTT!$R23:$U23)+SUMIF(OTT!$G$157:$J$157,BP$111,OTT!$W23:$Z23)</f>
        <v>0</v>
      </c>
      <c r="BQ403" s="448">
        <f>SUMIF(OTT!$G$157:$J$157,BQ$111,OTT!$R23:$U23)+SUMIF(OTT!$G$157:$J$157,BQ$111,OTT!$W23:$Z23)</f>
        <v>0</v>
      </c>
      <c r="BR403" s="571"/>
      <c r="BS403" s="446"/>
      <c r="BT403" s="448"/>
      <c r="BU403" s="470"/>
      <c r="BV403" s="445">
        <f>SUMIF(OTT!$G$158:$J$158,BV$111,OTT!$R23:$U23)+SUMIF(OTT!$G$158:$J$158,BV$111,OTT!$W23:$Z23)</f>
        <v>0</v>
      </c>
      <c r="BW403" s="446">
        <f>SUMIF(OTT!$G$158:$J$158,BW$111,OTT!$R23:$U23)+SUMIF(OTT!$G$158:$J$158,BW$111,OTT!$W23:$Z23)</f>
        <v>0</v>
      </c>
      <c r="BX403" s="446">
        <f>SUMIF(OTT!$G$158:$J$158,BX$111,OTT!$R23:$U23)+SUMIF(OTT!$G$158:$J$158,BX$111,OTT!$W23:$Z23)</f>
        <v>0</v>
      </c>
      <c r="BY403" s="446">
        <f>SUMIF(OTT!$G$158:$J$158,BY$111,OTT!$R23:$U23)+SUMIF(OTT!$G$158:$J$158,BY$111,OTT!$W23:$Z23)</f>
        <v>0</v>
      </c>
      <c r="BZ403" s="446">
        <f>SUMIF(OTT!$G$158:$J$158,BZ$111,OTT!$R23:$U23)+SUMIF(OTT!$G$158:$J$158,BZ$111,OTT!$W23:$Z23)</f>
        <v>0</v>
      </c>
      <c r="CA403" s="446">
        <f>SUMIF(OTT!$G$158:$J$158,CA$111,OTT!$R23:$U23)+SUMIF(OTT!$G$158:$J$158,CA$111,OTT!$W23:$Z23)</f>
        <v>0</v>
      </c>
      <c r="CB403" s="448">
        <f>SUMIF(OTT!$G$158:$J$158,CB$111,OTT!$R23:$U23)+SUMIF(OTT!$G$158:$J$158,CB$111,OTT!$W23:$Z23)</f>
        <v>0</v>
      </c>
      <c r="CC403" s="571"/>
      <c r="CD403" s="448"/>
      <c r="CE403" s="92">
        <f t="shared" si="297"/>
        <v>0</v>
      </c>
      <c r="CF403" s="92">
        <f t="shared" si="298"/>
        <v>0</v>
      </c>
      <c r="CG403" s="151" t="str">
        <f t="shared" si="284"/>
        <v/>
      </c>
      <c r="CH403" s="92">
        <f t="shared" si="287"/>
        <v>0</v>
      </c>
      <c r="CI403" s="92" t="str">
        <f t="shared" si="299"/>
        <v/>
      </c>
      <c r="CJ403" s="1100">
        <f>OTT!AM23</f>
        <v>0</v>
      </c>
      <c r="CK403" s="445">
        <f>SUMIF(OTT!$G$155:$J$155,CK$112,OTT!$AN23:$AQ23)</f>
        <v>0</v>
      </c>
      <c r="CL403" s="446">
        <f>SUMIF(OTT!$G$155:$J$155,CL$112,OTT!$AN23:$AQ23)</f>
        <v>0</v>
      </c>
      <c r="CM403" s="447">
        <f>SUMIF(OTT!$G$155:$J$155,CM$112,OTT!$AN23:$AQ23)</f>
        <v>0</v>
      </c>
      <c r="CN403" s="448">
        <f>SUMIF(OTT!$G$155:$J$155,CN$112,OTT!$AN23:$AQ23)</f>
        <v>0</v>
      </c>
      <c r="CO403" s="1100">
        <f>OTT!AS23</f>
        <v>0</v>
      </c>
      <c r="CP403" s="445">
        <f>OTT!AT23</f>
        <v>0</v>
      </c>
      <c r="CQ403" s="446">
        <f>OTT!AU23</f>
        <v>0</v>
      </c>
      <c r="CR403" s="447">
        <f>OTT!AV23</f>
        <v>0</v>
      </c>
      <c r="CS403" s="448">
        <f>OTT!AW23</f>
        <v>0</v>
      </c>
      <c r="CT403" s="1100">
        <f>OTT!AY23</f>
        <v>0</v>
      </c>
      <c r="CU403" s="2"/>
    </row>
    <row r="404" spans="1:99" ht="14.25" hidden="1" customHeight="1" x14ac:dyDescent="0.2">
      <c r="A404" s="2"/>
      <c r="B404" s="151">
        <f t="shared" si="288"/>
        <v>45582</v>
      </c>
      <c r="C404" s="223">
        <f>IF(AND(E404&gt;(N$494-1),E404&lt;(R$494+1)),W$485,IF(ISERROR(HLOOKUP(E404,$N$487:$U$487,1,FALSE)),HLOOKUP(WEEKDAY(E404,2),IMPOSTAZIONI!$C$51:$P$56,6,FALSE),$W$484))</f>
        <v>0</v>
      </c>
      <c r="D404" s="103" t="str">
        <f t="shared" si="289"/>
        <v/>
      </c>
      <c r="E404" s="2380">
        <f t="shared" si="300"/>
        <v>45582</v>
      </c>
      <c r="F404" s="2381"/>
      <c r="G404" s="2325" t="str">
        <f>OTT!E24</f>
        <v xml:space="preserve">attiva trim.  </v>
      </c>
      <c r="H404" s="2326"/>
      <c r="I404" s="2327"/>
      <c r="J404" s="479" t="str">
        <f t="shared" si="285"/>
        <v/>
      </c>
      <c r="K404" s="480"/>
      <c r="L404" s="2319">
        <f t="shared" si="301"/>
        <v>42</v>
      </c>
      <c r="M404" s="2320"/>
      <c r="N404" s="478"/>
      <c r="O404" s="478"/>
      <c r="P404" s="478"/>
      <c r="Q404" s="2315">
        <f t="shared" si="290"/>
        <v>45582</v>
      </c>
      <c r="R404" s="2315"/>
      <c r="S404" s="478"/>
      <c r="T404" s="140">
        <f t="shared" si="291"/>
        <v>1</v>
      </c>
      <c r="U404" s="478"/>
      <c r="V404" s="478"/>
      <c r="W404" s="478"/>
      <c r="X404" s="478"/>
      <c r="Y404" s="478"/>
      <c r="Z404" s="478"/>
      <c r="AA404" s="478"/>
      <c r="AB404" s="478"/>
      <c r="AC404" s="478"/>
      <c r="AD404" s="478"/>
      <c r="AE404" s="478"/>
      <c r="AF404" s="478"/>
      <c r="AG404" s="140">
        <f t="shared" si="292"/>
        <v>0</v>
      </c>
      <c r="AH404" s="92" t="str">
        <f t="shared" si="293"/>
        <v/>
      </c>
      <c r="AI404" s="131">
        <f t="shared" si="294"/>
        <v>0</v>
      </c>
      <c r="AJ404" s="2"/>
      <c r="AK404" s="92">
        <f>IF(G404=G$481,0,IF(OR(G404&lt;&gt;0,CJ404&lt;&gt;0,C404="L"),COUNTIF(AK$114:AK403,"&gt;0")+1,0))</f>
        <v>0</v>
      </c>
      <c r="AL404" s="92" t="str">
        <f t="shared" si="295"/>
        <v/>
      </c>
      <c r="AM404" s="92" t="str">
        <f t="shared" si="296"/>
        <v/>
      </c>
      <c r="AN404" s="131">
        <f t="shared" si="286"/>
        <v>0</v>
      </c>
      <c r="AO404" s="447">
        <f>SUM(OTT!W24:Z24)</f>
        <v>0</v>
      </c>
      <c r="AP404" s="445">
        <f>SUMIF(OTT!$G$155:$J$155,AP$112,OTT!$R24:$U24)</f>
        <v>0</v>
      </c>
      <c r="AQ404" s="446">
        <f>SUMIF(OTT!$G$155:$J$155,AQ$112,OTT!$R24:$U24)</f>
        <v>0</v>
      </c>
      <c r="AR404" s="447">
        <f>SUMIF(OTT!$G$155:$J$155,AR$112,OTT!$R24:$U24)</f>
        <v>0</v>
      </c>
      <c r="AS404" s="448">
        <f>SUMIF(OTT!$G$155:$J$155,AS$112,OTT!$R24:$U24)</f>
        <v>0</v>
      </c>
      <c r="AT404" s="449">
        <f>OTT!AG24</f>
        <v>0</v>
      </c>
      <c r="AU404" s="445">
        <f>OTT!AH24</f>
        <v>0</v>
      </c>
      <c r="AV404" s="446">
        <f>OTT!AI24</f>
        <v>0</v>
      </c>
      <c r="AW404" s="447">
        <f>OTT!AJ24</f>
        <v>0</v>
      </c>
      <c r="AX404" s="448">
        <f>OTT!AK24</f>
        <v>0</v>
      </c>
      <c r="AY404" s="445">
        <f>SUMIF(OTT!$G$152:$J$152,"&gt;0",OTT!$W24:$Z24)</f>
        <v>0</v>
      </c>
      <c r="AZ404" s="1063">
        <f>SUM(OTT!AB24:AE24)</f>
        <v>0</v>
      </c>
      <c r="BA404" s="445">
        <f>SUMIF(OTT!$G$159:$J$159,BA$111,OTT!$R24:$U24)+SUMIF(OTT!$G$159:$J$159,BA$111,OTT!$W24:$Z24)</f>
        <v>0</v>
      </c>
      <c r="BB404" s="446">
        <f>SUMIF(OTT!$G$159:$J$159,BB$111,OTT!$R24:$U24)+SUMIF(OTT!$G$159:$J$159,BB$111,OTT!$W24:$Z24)</f>
        <v>0</v>
      </c>
      <c r="BC404" s="446">
        <f>SUMIF(OTT!$G$159:$J$159,BC$111,OTT!$R24:$U24)+SUMIF(OTT!$G$159:$J$159,BC$111,OTT!$W24:$Z24)</f>
        <v>0</v>
      </c>
      <c r="BD404" s="446">
        <f>SUMIF(OTT!$G$159:$J$159,BD$111,OTT!$R24:$U24)+SUMIF(OTT!$G$159:$J$159,BD$111,OTT!$W24:$Z24)</f>
        <v>0</v>
      </c>
      <c r="BE404" s="446">
        <f>SUMIF(OTT!$G$159:$J$159,BE$111,OTT!$R24:$U24)+SUMIF(OTT!$G$159:$J$159,BE$111,OTT!$W24:$Z24)</f>
        <v>0</v>
      </c>
      <c r="BF404" s="446">
        <f>SUMIF(OTT!$G$159:$J$159,BF$111,OTT!$R24:$U24)+SUMIF(OTT!$G$159:$J$159,BF$111,OTT!$W24:$Z24)</f>
        <v>0</v>
      </c>
      <c r="BG404" s="448">
        <f>SUMIF(OTT!$G$159:$J$159,BG$111,OTT!$R24:$U24)+SUMIF(OTT!$G$159:$J$159,BG$111,OTT!$W24:$Z24)</f>
        <v>0</v>
      </c>
      <c r="BH404" s="571"/>
      <c r="BI404" s="448"/>
      <c r="BJ404" s="470"/>
      <c r="BK404" s="445">
        <f>SUMIF(OTT!$G$157:$J$157,BK$111,OTT!$R24:$U24)+SUMIF(OTT!$G$157:$J$157,BK$111,OTT!$W24:$Z24)</f>
        <v>0</v>
      </c>
      <c r="BL404" s="446">
        <f>SUMIF(OTT!$G$157:$J$157,BL$111,OTT!$R24:$U24)+SUMIF(OTT!$G$157:$J$157,BL$111,OTT!$W24:$Z24)</f>
        <v>0</v>
      </c>
      <c r="BM404" s="446">
        <f>SUMIF(OTT!$G$157:$J$157,BM$111,OTT!$R24:$U24)+SUMIF(OTT!$G$157:$J$157,BM$111,OTT!$W24:$Z24)</f>
        <v>0</v>
      </c>
      <c r="BN404" s="446">
        <f>SUMIF(OTT!$G$157:$J$157,BN$111,OTT!$R24:$U24)+SUMIF(OTT!$G$157:$J$157,BN$111,OTT!$W24:$Z24)</f>
        <v>0</v>
      </c>
      <c r="BO404" s="446">
        <f>SUMIF(OTT!$G$157:$J$157,BO$111,OTT!$R24:$U24)+SUMIF(OTT!$G$157:$J$157,BO$111,OTT!$W24:$Z24)</f>
        <v>0</v>
      </c>
      <c r="BP404" s="446">
        <f>SUMIF(OTT!$G$157:$J$157,BP$111,OTT!$R24:$U24)+SUMIF(OTT!$G$157:$J$157,BP$111,OTT!$W24:$Z24)</f>
        <v>0</v>
      </c>
      <c r="BQ404" s="448">
        <f>SUMIF(OTT!$G$157:$J$157,BQ$111,OTT!$R24:$U24)+SUMIF(OTT!$G$157:$J$157,BQ$111,OTT!$W24:$Z24)</f>
        <v>0</v>
      </c>
      <c r="BR404" s="571"/>
      <c r="BS404" s="446"/>
      <c r="BT404" s="448"/>
      <c r="BU404" s="470"/>
      <c r="BV404" s="445">
        <f>SUMIF(OTT!$G$158:$J$158,BV$111,OTT!$R24:$U24)+SUMIF(OTT!$G$158:$J$158,BV$111,OTT!$W24:$Z24)</f>
        <v>0</v>
      </c>
      <c r="BW404" s="446">
        <f>SUMIF(OTT!$G$158:$J$158,BW$111,OTT!$R24:$U24)+SUMIF(OTT!$G$158:$J$158,BW$111,OTT!$W24:$Z24)</f>
        <v>0</v>
      </c>
      <c r="BX404" s="446">
        <f>SUMIF(OTT!$G$158:$J$158,BX$111,OTT!$R24:$U24)+SUMIF(OTT!$G$158:$J$158,BX$111,OTT!$W24:$Z24)</f>
        <v>0</v>
      </c>
      <c r="BY404" s="446">
        <f>SUMIF(OTT!$G$158:$J$158,BY$111,OTT!$R24:$U24)+SUMIF(OTT!$G$158:$J$158,BY$111,OTT!$W24:$Z24)</f>
        <v>0</v>
      </c>
      <c r="BZ404" s="446">
        <f>SUMIF(OTT!$G$158:$J$158,BZ$111,OTT!$R24:$U24)+SUMIF(OTT!$G$158:$J$158,BZ$111,OTT!$W24:$Z24)</f>
        <v>0</v>
      </c>
      <c r="CA404" s="446">
        <f>SUMIF(OTT!$G$158:$J$158,CA$111,OTT!$R24:$U24)+SUMIF(OTT!$G$158:$J$158,CA$111,OTT!$W24:$Z24)</f>
        <v>0</v>
      </c>
      <c r="CB404" s="448">
        <f>SUMIF(OTT!$G$158:$J$158,CB$111,OTT!$R24:$U24)+SUMIF(OTT!$G$158:$J$158,CB$111,OTT!$W24:$Z24)</f>
        <v>0</v>
      </c>
      <c r="CC404" s="571"/>
      <c r="CD404" s="448"/>
      <c r="CE404" s="92">
        <f t="shared" si="297"/>
        <v>0</v>
      </c>
      <c r="CF404" s="92">
        <f t="shared" si="298"/>
        <v>0</v>
      </c>
      <c r="CG404" s="151" t="str">
        <f t="shared" si="284"/>
        <v/>
      </c>
      <c r="CH404" s="92">
        <f t="shared" si="287"/>
        <v>0</v>
      </c>
      <c r="CI404" s="92" t="str">
        <f t="shared" si="299"/>
        <v/>
      </c>
      <c r="CJ404" s="1100">
        <f>OTT!AM24</f>
        <v>0</v>
      </c>
      <c r="CK404" s="445">
        <f>SUMIF(OTT!$G$155:$J$155,CK$112,OTT!$AN24:$AQ24)</f>
        <v>0</v>
      </c>
      <c r="CL404" s="446">
        <f>SUMIF(OTT!$G$155:$J$155,CL$112,OTT!$AN24:$AQ24)</f>
        <v>0</v>
      </c>
      <c r="CM404" s="447">
        <f>SUMIF(OTT!$G$155:$J$155,CM$112,OTT!$AN24:$AQ24)</f>
        <v>0</v>
      </c>
      <c r="CN404" s="448">
        <f>SUMIF(OTT!$G$155:$J$155,CN$112,OTT!$AN24:$AQ24)</f>
        <v>0</v>
      </c>
      <c r="CO404" s="1100">
        <f>OTT!AS24</f>
        <v>0</v>
      </c>
      <c r="CP404" s="445">
        <f>OTT!AT24</f>
        <v>0</v>
      </c>
      <c r="CQ404" s="446">
        <f>OTT!AU24</f>
        <v>0</v>
      </c>
      <c r="CR404" s="447">
        <f>OTT!AV24</f>
        <v>0</v>
      </c>
      <c r="CS404" s="448">
        <f>OTT!AW24</f>
        <v>0</v>
      </c>
      <c r="CT404" s="1100">
        <f>OTT!AY24</f>
        <v>0</v>
      </c>
      <c r="CU404" s="2"/>
    </row>
    <row r="405" spans="1:99" ht="14.25" hidden="1" customHeight="1" x14ac:dyDescent="0.2">
      <c r="A405" s="2"/>
      <c r="B405" s="151">
        <f t="shared" si="288"/>
        <v>45583</v>
      </c>
      <c r="C405" s="223">
        <f>IF(AND(E405&gt;(N$494-1),E405&lt;(R$494+1)),W$485,IF(ISERROR(HLOOKUP(E405,$N$487:$U$487,1,FALSE)),HLOOKUP(WEEKDAY(E405,2),IMPOSTAZIONI!$C$51:$P$56,6,FALSE),$W$484))</f>
        <v>0</v>
      </c>
      <c r="D405" s="103" t="str">
        <f t="shared" si="289"/>
        <v/>
      </c>
      <c r="E405" s="2380">
        <f t="shared" si="300"/>
        <v>45583</v>
      </c>
      <c r="F405" s="2381"/>
      <c r="G405" s="2325" t="str">
        <f>OTT!E25</f>
        <v xml:space="preserve">attiva trim.  </v>
      </c>
      <c r="H405" s="2326"/>
      <c r="I405" s="2327"/>
      <c r="J405" s="479" t="str">
        <f t="shared" si="285"/>
        <v/>
      </c>
      <c r="K405" s="480"/>
      <c r="L405" s="2319">
        <f t="shared" si="301"/>
        <v>42</v>
      </c>
      <c r="M405" s="2320"/>
      <c r="N405" s="478"/>
      <c r="O405" s="478"/>
      <c r="P405" s="478"/>
      <c r="Q405" s="2315">
        <f t="shared" si="290"/>
        <v>45583</v>
      </c>
      <c r="R405" s="2315"/>
      <c r="S405" s="478"/>
      <c r="T405" s="140">
        <f t="shared" si="291"/>
        <v>1</v>
      </c>
      <c r="U405" s="478"/>
      <c r="V405" s="478"/>
      <c r="W405" s="478"/>
      <c r="X405" s="478"/>
      <c r="Y405" s="478"/>
      <c r="Z405" s="478"/>
      <c r="AA405" s="478"/>
      <c r="AB405" s="478"/>
      <c r="AC405" s="478"/>
      <c r="AD405" s="478"/>
      <c r="AE405" s="478"/>
      <c r="AF405" s="478"/>
      <c r="AG405" s="140">
        <f t="shared" si="292"/>
        <v>0</v>
      </c>
      <c r="AH405" s="92" t="str">
        <f t="shared" si="293"/>
        <v/>
      </c>
      <c r="AI405" s="131">
        <f t="shared" si="294"/>
        <v>0</v>
      </c>
      <c r="AJ405" s="2"/>
      <c r="AK405" s="92">
        <f>IF(G405=G$481,0,IF(OR(G405&lt;&gt;0,CJ405&lt;&gt;0,C405="L"),COUNTIF(AK$114:AK404,"&gt;0")+1,0))</f>
        <v>0</v>
      </c>
      <c r="AL405" s="92" t="str">
        <f t="shared" si="295"/>
        <v/>
      </c>
      <c r="AM405" s="92" t="str">
        <f t="shared" si="296"/>
        <v/>
      </c>
      <c r="AN405" s="131">
        <f t="shared" si="286"/>
        <v>0</v>
      </c>
      <c r="AO405" s="447">
        <f>SUM(OTT!W25:Z25)</f>
        <v>0</v>
      </c>
      <c r="AP405" s="445">
        <f>SUMIF(OTT!$G$155:$J$155,AP$112,OTT!$R25:$U25)</f>
        <v>0</v>
      </c>
      <c r="AQ405" s="446">
        <f>SUMIF(OTT!$G$155:$J$155,AQ$112,OTT!$R25:$U25)</f>
        <v>0</v>
      </c>
      <c r="AR405" s="447">
        <f>SUMIF(OTT!$G$155:$J$155,AR$112,OTT!$R25:$U25)</f>
        <v>0</v>
      </c>
      <c r="AS405" s="448">
        <f>SUMIF(OTT!$G$155:$J$155,AS$112,OTT!$R25:$U25)</f>
        <v>0</v>
      </c>
      <c r="AT405" s="449">
        <f>OTT!AG25</f>
        <v>0</v>
      </c>
      <c r="AU405" s="445">
        <f>OTT!AH25</f>
        <v>0</v>
      </c>
      <c r="AV405" s="446">
        <f>OTT!AI25</f>
        <v>0</v>
      </c>
      <c r="AW405" s="447">
        <f>OTT!AJ25</f>
        <v>0</v>
      </c>
      <c r="AX405" s="448">
        <f>OTT!AK25</f>
        <v>0</v>
      </c>
      <c r="AY405" s="445">
        <f>SUMIF(OTT!$G$152:$J$152,"&gt;0",OTT!$W25:$Z25)</f>
        <v>0</v>
      </c>
      <c r="AZ405" s="1063">
        <f>SUM(OTT!AB25:AE25)</f>
        <v>0</v>
      </c>
      <c r="BA405" s="445">
        <f>SUMIF(OTT!$G$159:$J$159,BA$111,OTT!$R25:$U25)+SUMIF(OTT!$G$159:$J$159,BA$111,OTT!$W25:$Z25)</f>
        <v>0</v>
      </c>
      <c r="BB405" s="446">
        <f>SUMIF(OTT!$G$159:$J$159,BB$111,OTT!$R25:$U25)+SUMIF(OTT!$G$159:$J$159,BB$111,OTT!$W25:$Z25)</f>
        <v>0</v>
      </c>
      <c r="BC405" s="446">
        <f>SUMIF(OTT!$G$159:$J$159,BC$111,OTT!$R25:$U25)+SUMIF(OTT!$G$159:$J$159,BC$111,OTT!$W25:$Z25)</f>
        <v>0</v>
      </c>
      <c r="BD405" s="446">
        <f>SUMIF(OTT!$G$159:$J$159,BD$111,OTT!$R25:$U25)+SUMIF(OTT!$G$159:$J$159,BD$111,OTT!$W25:$Z25)</f>
        <v>0</v>
      </c>
      <c r="BE405" s="446">
        <f>SUMIF(OTT!$G$159:$J$159,BE$111,OTT!$R25:$U25)+SUMIF(OTT!$G$159:$J$159,BE$111,OTT!$W25:$Z25)</f>
        <v>0</v>
      </c>
      <c r="BF405" s="446">
        <f>SUMIF(OTT!$G$159:$J$159,BF$111,OTT!$R25:$U25)+SUMIF(OTT!$G$159:$J$159,BF$111,OTT!$W25:$Z25)</f>
        <v>0</v>
      </c>
      <c r="BG405" s="448">
        <f>SUMIF(OTT!$G$159:$J$159,BG$111,OTT!$R25:$U25)+SUMIF(OTT!$G$159:$J$159,BG$111,OTT!$W25:$Z25)</f>
        <v>0</v>
      </c>
      <c r="BH405" s="571"/>
      <c r="BI405" s="448"/>
      <c r="BJ405" s="470"/>
      <c r="BK405" s="445">
        <f>SUMIF(OTT!$G$157:$J$157,BK$111,OTT!$R25:$U25)+SUMIF(OTT!$G$157:$J$157,BK$111,OTT!$W25:$Z25)</f>
        <v>0</v>
      </c>
      <c r="BL405" s="446">
        <f>SUMIF(OTT!$G$157:$J$157,BL$111,OTT!$R25:$U25)+SUMIF(OTT!$G$157:$J$157,BL$111,OTT!$W25:$Z25)</f>
        <v>0</v>
      </c>
      <c r="BM405" s="446">
        <f>SUMIF(OTT!$G$157:$J$157,BM$111,OTT!$R25:$U25)+SUMIF(OTT!$G$157:$J$157,BM$111,OTT!$W25:$Z25)</f>
        <v>0</v>
      </c>
      <c r="BN405" s="446">
        <f>SUMIF(OTT!$G$157:$J$157,BN$111,OTT!$R25:$U25)+SUMIF(OTT!$G$157:$J$157,BN$111,OTT!$W25:$Z25)</f>
        <v>0</v>
      </c>
      <c r="BO405" s="446">
        <f>SUMIF(OTT!$G$157:$J$157,BO$111,OTT!$R25:$U25)+SUMIF(OTT!$G$157:$J$157,BO$111,OTT!$W25:$Z25)</f>
        <v>0</v>
      </c>
      <c r="BP405" s="446">
        <f>SUMIF(OTT!$G$157:$J$157,BP$111,OTT!$R25:$U25)+SUMIF(OTT!$G$157:$J$157,BP$111,OTT!$W25:$Z25)</f>
        <v>0</v>
      </c>
      <c r="BQ405" s="448">
        <f>SUMIF(OTT!$G$157:$J$157,BQ$111,OTT!$R25:$U25)+SUMIF(OTT!$G$157:$J$157,BQ$111,OTT!$W25:$Z25)</f>
        <v>0</v>
      </c>
      <c r="BR405" s="571"/>
      <c r="BS405" s="446"/>
      <c r="BT405" s="448"/>
      <c r="BU405" s="470"/>
      <c r="BV405" s="445">
        <f>SUMIF(OTT!$G$158:$J$158,BV$111,OTT!$R25:$U25)+SUMIF(OTT!$G$158:$J$158,BV$111,OTT!$W25:$Z25)</f>
        <v>0</v>
      </c>
      <c r="BW405" s="446">
        <f>SUMIF(OTT!$G$158:$J$158,BW$111,OTT!$R25:$U25)+SUMIF(OTT!$G$158:$J$158,BW$111,OTT!$W25:$Z25)</f>
        <v>0</v>
      </c>
      <c r="BX405" s="446">
        <f>SUMIF(OTT!$G$158:$J$158,BX$111,OTT!$R25:$U25)+SUMIF(OTT!$G$158:$J$158,BX$111,OTT!$W25:$Z25)</f>
        <v>0</v>
      </c>
      <c r="BY405" s="446">
        <f>SUMIF(OTT!$G$158:$J$158,BY$111,OTT!$R25:$U25)+SUMIF(OTT!$G$158:$J$158,BY$111,OTT!$W25:$Z25)</f>
        <v>0</v>
      </c>
      <c r="BZ405" s="446">
        <f>SUMIF(OTT!$G$158:$J$158,BZ$111,OTT!$R25:$U25)+SUMIF(OTT!$G$158:$J$158,BZ$111,OTT!$W25:$Z25)</f>
        <v>0</v>
      </c>
      <c r="CA405" s="446">
        <f>SUMIF(OTT!$G$158:$J$158,CA$111,OTT!$R25:$U25)+SUMIF(OTT!$G$158:$J$158,CA$111,OTT!$W25:$Z25)</f>
        <v>0</v>
      </c>
      <c r="CB405" s="448">
        <f>SUMIF(OTT!$G$158:$J$158,CB$111,OTT!$R25:$U25)+SUMIF(OTT!$G$158:$J$158,CB$111,OTT!$W25:$Z25)</f>
        <v>0</v>
      </c>
      <c r="CC405" s="571"/>
      <c r="CD405" s="448"/>
      <c r="CE405" s="92">
        <f t="shared" si="297"/>
        <v>0</v>
      </c>
      <c r="CF405" s="92">
        <f t="shared" si="298"/>
        <v>0</v>
      </c>
      <c r="CG405" s="151" t="str">
        <f t="shared" si="284"/>
        <v/>
      </c>
      <c r="CH405" s="92">
        <f t="shared" si="287"/>
        <v>0</v>
      </c>
      <c r="CI405" s="92" t="str">
        <f t="shared" si="299"/>
        <v/>
      </c>
      <c r="CJ405" s="1100">
        <f>OTT!AM25</f>
        <v>0</v>
      </c>
      <c r="CK405" s="445">
        <f>SUMIF(OTT!$G$155:$J$155,CK$112,OTT!$AN25:$AQ25)</f>
        <v>0</v>
      </c>
      <c r="CL405" s="446">
        <f>SUMIF(OTT!$G$155:$J$155,CL$112,OTT!$AN25:$AQ25)</f>
        <v>0</v>
      </c>
      <c r="CM405" s="447">
        <f>SUMIF(OTT!$G$155:$J$155,CM$112,OTT!$AN25:$AQ25)</f>
        <v>0</v>
      </c>
      <c r="CN405" s="448">
        <f>SUMIF(OTT!$G$155:$J$155,CN$112,OTT!$AN25:$AQ25)</f>
        <v>0</v>
      </c>
      <c r="CO405" s="1100">
        <f>OTT!AS25</f>
        <v>0</v>
      </c>
      <c r="CP405" s="445">
        <f>OTT!AT25</f>
        <v>0</v>
      </c>
      <c r="CQ405" s="446">
        <f>OTT!AU25</f>
        <v>0</v>
      </c>
      <c r="CR405" s="447">
        <f>OTT!AV25</f>
        <v>0</v>
      </c>
      <c r="CS405" s="448">
        <f>OTT!AW25</f>
        <v>0</v>
      </c>
      <c r="CT405" s="1100">
        <f>OTT!AY25</f>
        <v>0</v>
      </c>
      <c r="CU405" s="2"/>
    </row>
    <row r="406" spans="1:99" ht="14.25" hidden="1" customHeight="1" x14ac:dyDescent="0.2">
      <c r="A406" s="2"/>
      <c r="B406" s="151">
        <f t="shared" si="288"/>
        <v>45584</v>
      </c>
      <c r="C406" s="223">
        <f>IF(AND(E406&gt;(N$494-1),E406&lt;(R$494+1)),W$485,IF(ISERROR(HLOOKUP(E406,$N$487:$U$487,1,FALSE)),HLOOKUP(WEEKDAY(E406,2),IMPOSTAZIONI!$C$51:$P$56,6,FALSE),$W$484))</f>
        <v>0</v>
      </c>
      <c r="D406" s="103" t="str">
        <f t="shared" si="289"/>
        <v/>
      </c>
      <c r="E406" s="2380">
        <f t="shared" si="300"/>
        <v>45584</v>
      </c>
      <c r="F406" s="2381"/>
      <c r="G406" s="2325" t="str">
        <f>OTT!E26</f>
        <v xml:space="preserve">attiva trim.  </v>
      </c>
      <c r="H406" s="2326"/>
      <c r="I406" s="2327"/>
      <c r="J406" s="479" t="str">
        <f t="shared" si="285"/>
        <v/>
      </c>
      <c r="K406" s="480"/>
      <c r="L406" s="2319">
        <f t="shared" si="301"/>
        <v>42</v>
      </c>
      <c r="M406" s="2320"/>
      <c r="N406" s="478"/>
      <c r="O406" s="478"/>
      <c r="P406" s="478"/>
      <c r="Q406" s="2315">
        <f t="shared" si="290"/>
        <v>45584</v>
      </c>
      <c r="R406" s="2315"/>
      <c r="S406" s="478"/>
      <c r="T406" s="140">
        <f t="shared" si="291"/>
        <v>1</v>
      </c>
      <c r="U406" s="478"/>
      <c r="V406" s="478"/>
      <c r="W406" s="478"/>
      <c r="X406" s="478"/>
      <c r="Y406" s="478"/>
      <c r="Z406" s="478"/>
      <c r="AA406" s="478"/>
      <c r="AB406" s="478"/>
      <c r="AC406" s="478"/>
      <c r="AD406" s="478"/>
      <c r="AE406" s="478"/>
      <c r="AF406" s="478"/>
      <c r="AG406" s="140">
        <f t="shared" si="292"/>
        <v>0</v>
      </c>
      <c r="AH406" s="92" t="str">
        <f t="shared" si="293"/>
        <v/>
      </c>
      <c r="AI406" s="131">
        <f t="shared" si="294"/>
        <v>0</v>
      </c>
      <c r="AJ406" s="2"/>
      <c r="AK406" s="92">
        <f>IF(G406=G$481,0,IF(OR(G406&lt;&gt;0,CJ406&lt;&gt;0,C406="L"),COUNTIF(AK$114:AK405,"&gt;0")+1,0))</f>
        <v>0</v>
      </c>
      <c r="AL406" s="92" t="str">
        <f t="shared" si="295"/>
        <v/>
      </c>
      <c r="AM406" s="92" t="str">
        <f t="shared" si="296"/>
        <v/>
      </c>
      <c r="AN406" s="131">
        <f t="shared" si="286"/>
        <v>0</v>
      </c>
      <c r="AO406" s="447">
        <f>SUM(OTT!W26:Z26)</f>
        <v>0</v>
      </c>
      <c r="AP406" s="445">
        <f>SUMIF(OTT!$G$155:$J$155,AP$112,OTT!$R26:$U26)</f>
        <v>0</v>
      </c>
      <c r="AQ406" s="446">
        <f>SUMIF(OTT!$G$155:$J$155,AQ$112,OTT!$R26:$U26)</f>
        <v>0</v>
      </c>
      <c r="AR406" s="447">
        <f>SUMIF(OTT!$G$155:$J$155,AR$112,OTT!$R26:$U26)</f>
        <v>0</v>
      </c>
      <c r="AS406" s="448">
        <f>SUMIF(OTT!$G$155:$J$155,AS$112,OTT!$R26:$U26)</f>
        <v>0</v>
      </c>
      <c r="AT406" s="449">
        <f>OTT!AG26</f>
        <v>0</v>
      </c>
      <c r="AU406" s="445">
        <f>OTT!AH26</f>
        <v>0</v>
      </c>
      <c r="AV406" s="446">
        <f>OTT!AI26</f>
        <v>0</v>
      </c>
      <c r="AW406" s="447">
        <f>OTT!AJ26</f>
        <v>0</v>
      </c>
      <c r="AX406" s="448">
        <f>OTT!AK26</f>
        <v>0</v>
      </c>
      <c r="AY406" s="445">
        <f>SUMIF(OTT!$G$152:$J$152,"&gt;0",OTT!$W26:$Z26)</f>
        <v>0</v>
      </c>
      <c r="AZ406" s="1063">
        <f>SUM(OTT!AB26:AE26)</f>
        <v>0</v>
      </c>
      <c r="BA406" s="445">
        <f>SUMIF(OTT!$G$159:$J$159,BA$111,OTT!$R26:$U26)+SUMIF(OTT!$G$159:$J$159,BA$111,OTT!$W26:$Z26)</f>
        <v>0</v>
      </c>
      <c r="BB406" s="446">
        <f>SUMIF(OTT!$G$159:$J$159,BB$111,OTT!$R26:$U26)+SUMIF(OTT!$G$159:$J$159,BB$111,OTT!$W26:$Z26)</f>
        <v>0</v>
      </c>
      <c r="BC406" s="446">
        <f>SUMIF(OTT!$G$159:$J$159,BC$111,OTT!$R26:$U26)+SUMIF(OTT!$G$159:$J$159,BC$111,OTT!$W26:$Z26)</f>
        <v>0</v>
      </c>
      <c r="BD406" s="446">
        <f>SUMIF(OTT!$G$159:$J$159,BD$111,OTT!$R26:$U26)+SUMIF(OTT!$G$159:$J$159,BD$111,OTT!$W26:$Z26)</f>
        <v>0</v>
      </c>
      <c r="BE406" s="446">
        <f>SUMIF(OTT!$G$159:$J$159,BE$111,OTT!$R26:$U26)+SUMIF(OTT!$G$159:$J$159,BE$111,OTT!$W26:$Z26)</f>
        <v>0</v>
      </c>
      <c r="BF406" s="446">
        <f>SUMIF(OTT!$G$159:$J$159,BF$111,OTT!$R26:$U26)+SUMIF(OTT!$G$159:$J$159,BF$111,OTT!$W26:$Z26)</f>
        <v>0</v>
      </c>
      <c r="BG406" s="448">
        <f>SUMIF(OTT!$G$159:$J$159,BG$111,OTT!$R26:$U26)+SUMIF(OTT!$G$159:$J$159,BG$111,OTT!$W26:$Z26)</f>
        <v>0</v>
      </c>
      <c r="BH406" s="571"/>
      <c r="BI406" s="448"/>
      <c r="BJ406" s="470"/>
      <c r="BK406" s="445">
        <f>SUMIF(OTT!$G$157:$J$157,BK$111,OTT!$R26:$U26)+SUMIF(OTT!$G$157:$J$157,BK$111,OTT!$W26:$Z26)</f>
        <v>0</v>
      </c>
      <c r="BL406" s="446">
        <f>SUMIF(OTT!$G$157:$J$157,BL$111,OTT!$R26:$U26)+SUMIF(OTT!$G$157:$J$157,BL$111,OTT!$W26:$Z26)</f>
        <v>0</v>
      </c>
      <c r="BM406" s="446">
        <f>SUMIF(OTT!$G$157:$J$157,BM$111,OTT!$R26:$U26)+SUMIF(OTT!$G$157:$J$157,BM$111,OTT!$W26:$Z26)</f>
        <v>0</v>
      </c>
      <c r="BN406" s="446">
        <f>SUMIF(OTT!$G$157:$J$157,BN$111,OTT!$R26:$U26)+SUMIF(OTT!$G$157:$J$157,BN$111,OTT!$W26:$Z26)</f>
        <v>0</v>
      </c>
      <c r="BO406" s="446">
        <f>SUMIF(OTT!$G$157:$J$157,BO$111,OTT!$R26:$U26)+SUMIF(OTT!$G$157:$J$157,BO$111,OTT!$W26:$Z26)</f>
        <v>0</v>
      </c>
      <c r="BP406" s="446">
        <f>SUMIF(OTT!$G$157:$J$157,BP$111,OTT!$R26:$U26)+SUMIF(OTT!$G$157:$J$157,BP$111,OTT!$W26:$Z26)</f>
        <v>0</v>
      </c>
      <c r="BQ406" s="448">
        <f>SUMIF(OTT!$G$157:$J$157,BQ$111,OTT!$R26:$U26)+SUMIF(OTT!$G$157:$J$157,BQ$111,OTT!$W26:$Z26)</f>
        <v>0</v>
      </c>
      <c r="BR406" s="571"/>
      <c r="BS406" s="446"/>
      <c r="BT406" s="448"/>
      <c r="BU406" s="470"/>
      <c r="BV406" s="445">
        <f>SUMIF(OTT!$G$158:$J$158,BV$111,OTT!$R26:$U26)+SUMIF(OTT!$G$158:$J$158,BV$111,OTT!$W26:$Z26)</f>
        <v>0</v>
      </c>
      <c r="BW406" s="446">
        <f>SUMIF(OTT!$G$158:$J$158,BW$111,OTT!$R26:$U26)+SUMIF(OTT!$G$158:$J$158,BW$111,OTT!$W26:$Z26)</f>
        <v>0</v>
      </c>
      <c r="BX406" s="446">
        <f>SUMIF(OTT!$G$158:$J$158,BX$111,OTT!$R26:$U26)+SUMIF(OTT!$G$158:$J$158,BX$111,OTT!$W26:$Z26)</f>
        <v>0</v>
      </c>
      <c r="BY406" s="446">
        <f>SUMIF(OTT!$G$158:$J$158,BY$111,OTT!$R26:$U26)+SUMIF(OTT!$G$158:$J$158,BY$111,OTT!$W26:$Z26)</f>
        <v>0</v>
      </c>
      <c r="BZ406" s="446">
        <f>SUMIF(OTT!$G$158:$J$158,BZ$111,OTT!$R26:$U26)+SUMIF(OTT!$G$158:$J$158,BZ$111,OTT!$W26:$Z26)</f>
        <v>0</v>
      </c>
      <c r="CA406" s="446">
        <f>SUMIF(OTT!$G$158:$J$158,CA$111,OTT!$R26:$U26)+SUMIF(OTT!$G$158:$J$158,CA$111,OTT!$W26:$Z26)</f>
        <v>0</v>
      </c>
      <c r="CB406" s="448">
        <f>SUMIF(OTT!$G$158:$J$158,CB$111,OTT!$R26:$U26)+SUMIF(OTT!$G$158:$J$158,CB$111,OTT!$W26:$Z26)</f>
        <v>0</v>
      </c>
      <c r="CC406" s="571"/>
      <c r="CD406" s="448"/>
      <c r="CE406" s="92">
        <f t="shared" si="297"/>
        <v>0</v>
      </c>
      <c r="CF406" s="92">
        <f t="shared" si="298"/>
        <v>0</v>
      </c>
      <c r="CG406" s="151" t="str">
        <f t="shared" si="284"/>
        <v/>
      </c>
      <c r="CH406" s="92">
        <f t="shared" si="287"/>
        <v>0</v>
      </c>
      <c r="CI406" s="92" t="str">
        <f t="shared" si="299"/>
        <v/>
      </c>
      <c r="CJ406" s="1100">
        <f>OTT!AM26</f>
        <v>0</v>
      </c>
      <c r="CK406" s="445">
        <f>SUMIF(OTT!$G$155:$J$155,CK$112,OTT!$AN26:$AQ26)</f>
        <v>0</v>
      </c>
      <c r="CL406" s="446">
        <f>SUMIF(OTT!$G$155:$J$155,CL$112,OTT!$AN26:$AQ26)</f>
        <v>0</v>
      </c>
      <c r="CM406" s="447">
        <f>SUMIF(OTT!$G$155:$J$155,CM$112,OTT!$AN26:$AQ26)</f>
        <v>0</v>
      </c>
      <c r="CN406" s="448">
        <f>SUMIF(OTT!$G$155:$J$155,CN$112,OTT!$AN26:$AQ26)</f>
        <v>0</v>
      </c>
      <c r="CO406" s="1100">
        <f>OTT!AS26</f>
        <v>0</v>
      </c>
      <c r="CP406" s="445">
        <f>OTT!AT26</f>
        <v>0</v>
      </c>
      <c r="CQ406" s="446">
        <f>OTT!AU26</f>
        <v>0</v>
      </c>
      <c r="CR406" s="447">
        <f>OTT!AV26</f>
        <v>0</v>
      </c>
      <c r="CS406" s="448">
        <f>OTT!AW26</f>
        <v>0</v>
      </c>
      <c r="CT406" s="1100">
        <f>OTT!AY26</f>
        <v>0</v>
      </c>
      <c r="CU406" s="2"/>
    </row>
    <row r="407" spans="1:99" ht="14.25" hidden="1" customHeight="1" x14ac:dyDescent="0.2">
      <c r="A407" s="2"/>
      <c r="B407" s="151">
        <f t="shared" si="288"/>
        <v>45585</v>
      </c>
      <c r="C407" s="223">
        <f>IF(AND(E407&gt;(N$494-1),E407&lt;(R$494+1)),W$485,IF(ISERROR(HLOOKUP(E407,$N$487:$U$487,1,FALSE)),HLOOKUP(WEEKDAY(E407,2),IMPOSTAZIONI!$C$51:$P$56,6,FALSE),$W$484))</f>
        <v>0</v>
      </c>
      <c r="D407" s="103" t="str">
        <f t="shared" si="289"/>
        <v/>
      </c>
      <c r="E407" s="2380">
        <f t="shared" si="300"/>
        <v>45585</v>
      </c>
      <c r="F407" s="2381"/>
      <c r="G407" s="2325" t="str">
        <f>OTT!E27</f>
        <v xml:space="preserve">attiva trim.  </v>
      </c>
      <c r="H407" s="2326"/>
      <c r="I407" s="2327"/>
      <c r="J407" s="479" t="str">
        <f t="shared" si="285"/>
        <v/>
      </c>
      <c r="K407" s="480"/>
      <c r="L407" s="2321">
        <f t="shared" si="301"/>
        <v>42</v>
      </c>
      <c r="M407" s="2322"/>
      <c r="N407" s="478"/>
      <c r="O407" s="478"/>
      <c r="P407" s="478"/>
      <c r="Q407" s="2315">
        <f t="shared" si="290"/>
        <v>45585</v>
      </c>
      <c r="R407" s="2315"/>
      <c r="S407" s="478"/>
      <c r="T407" s="140">
        <f t="shared" si="291"/>
        <v>1</v>
      </c>
      <c r="U407" s="478"/>
      <c r="V407" s="478"/>
      <c r="W407" s="478"/>
      <c r="X407" s="478"/>
      <c r="Y407" s="478"/>
      <c r="Z407" s="478"/>
      <c r="AA407" s="478"/>
      <c r="AB407" s="478"/>
      <c r="AC407" s="478"/>
      <c r="AD407" s="478"/>
      <c r="AE407" s="478"/>
      <c r="AF407" s="478"/>
      <c r="AG407" s="140">
        <f t="shared" si="292"/>
        <v>0</v>
      </c>
      <c r="AH407" s="92" t="str">
        <f t="shared" si="293"/>
        <v/>
      </c>
      <c r="AI407" s="131">
        <f t="shared" si="294"/>
        <v>0</v>
      </c>
      <c r="AJ407" s="2"/>
      <c r="AK407" s="92">
        <f>IF(G407=G$481,0,IF(OR(G407&lt;&gt;0,CJ407&lt;&gt;0,C407="L"),COUNTIF(AK$114:AK406,"&gt;0")+1,0))</f>
        <v>0</v>
      </c>
      <c r="AL407" s="92" t="str">
        <f t="shared" si="295"/>
        <v/>
      </c>
      <c r="AM407" s="92" t="str">
        <f t="shared" si="296"/>
        <v/>
      </c>
      <c r="AN407" s="131">
        <f t="shared" si="286"/>
        <v>0</v>
      </c>
      <c r="AO407" s="447">
        <f>SUM(OTT!W27:Z27)</f>
        <v>0</v>
      </c>
      <c r="AP407" s="445">
        <f>SUMIF(OTT!$G$155:$J$155,AP$112,OTT!$R27:$U27)</f>
        <v>0</v>
      </c>
      <c r="AQ407" s="446">
        <f>SUMIF(OTT!$G$155:$J$155,AQ$112,OTT!$R27:$U27)</f>
        <v>0</v>
      </c>
      <c r="AR407" s="447">
        <f>SUMIF(OTT!$G$155:$J$155,AR$112,OTT!$R27:$U27)</f>
        <v>0</v>
      </c>
      <c r="AS407" s="448">
        <f>SUMIF(OTT!$G$155:$J$155,AS$112,OTT!$R27:$U27)</f>
        <v>0</v>
      </c>
      <c r="AT407" s="449">
        <f>OTT!AG27</f>
        <v>0</v>
      </c>
      <c r="AU407" s="445">
        <f>OTT!AH27</f>
        <v>0</v>
      </c>
      <c r="AV407" s="446">
        <f>OTT!AI27</f>
        <v>0</v>
      </c>
      <c r="AW407" s="447">
        <f>OTT!AJ27</f>
        <v>0</v>
      </c>
      <c r="AX407" s="448">
        <f>OTT!AK27</f>
        <v>0</v>
      </c>
      <c r="AY407" s="445">
        <f>SUMIF(OTT!$G$152:$J$152,"&gt;0",OTT!$W27:$Z27)</f>
        <v>0</v>
      </c>
      <c r="AZ407" s="1063">
        <f>SUM(OTT!AB27:AE27)</f>
        <v>0</v>
      </c>
      <c r="BA407" s="445">
        <f>SUMIF(OTT!$G$159:$J$159,BA$111,OTT!$R27:$U27)+SUMIF(OTT!$G$159:$J$159,BA$111,OTT!$W27:$Z27)</f>
        <v>0</v>
      </c>
      <c r="BB407" s="446">
        <f>SUMIF(OTT!$G$159:$J$159,BB$111,OTT!$R27:$U27)+SUMIF(OTT!$G$159:$J$159,BB$111,OTT!$W27:$Z27)</f>
        <v>0</v>
      </c>
      <c r="BC407" s="446">
        <f>SUMIF(OTT!$G$159:$J$159,BC$111,OTT!$R27:$U27)+SUMIF(OTT!$G$159:$J$159,BC$111,OTT!$W27:$Z27)</f>
        <v>0</v>
      </c>
      <c r="BD407" s="446">
        <f>SUMIF(OTT!$G$159:$J$159,BD$111,OTT!$R27:$U27)+SUMIF(OTT!$G$159:$J$159,BD$111,OTT!$W27:$Z27)</f>
        <v>0</v>
      </c>
      <c r="BE407" s="446">
        <f>SUMIF(OTT!$G$159:$J$159,BE$111,OTT!$R27:$U27)+SUMIF(OTT!$G$159:$J$159,BE$111,OTT!$W27:$Z27)</f>
        <v>0</v>
      </c>
      <c r="BF407" s="446">
        <f>SUMIF(OTT!$G$159:$J$159,BF$111,OTT!$R27:$U27)+SUMIF(OTT!$G$159:$J$159,BF$111,OTT!$W27:$Z27)</f>
        <v>0</v>
      </c>
      <c r="BG407" s="448">
        <f>SUMIF(OTT!$G$159:$J$159,BG$111,OTT!$R27:$U27)+SUMIF(OTT!$G$159:$J$159,BG$111,OTT!$W27:$Z27)</f>
        <v>0</v>
      </c>
      <c r="BH407" s="571"/>
      <c r="BI407" s="448"/>
      <c r="BJ407" s="470"/>
      <c r="BK407" s="445">
        <f>SUMIF(OTT!$G$157:$J$157,BK$111,OTT!$R27:$U27)+SUMIF(OTT!$G$157:$J$157,BK$111,OTT!$W27:$Z27)</f>
        <v>0</v>
      </c>
      <c r="BL407" s="446">
        <f>SUMIF(OTT!$G$157:$J$157,BL$111,OTT!$R27:$U27)+SUMIF(OTT!$G$157:$J$157,BL$111,OTT!$W27:$Z27)</f>
        <v>0</v>
      </c>
      <c r="BM407" s="446">
        <f>SUMIF(OTT!$G$157:$J$157,BM$111,OTT!$R27:$U27)+SUMIF(OTT!$G$157:$J$157,BM$111,OTT!$W27:$Z27)</f>
        <v>0</v>
      </c>
      <c r="BN407" s="446">
        <f>SUMIF(OTT!$G$157:$J$157,BN$111,OTT!$R27:$U27)+SUMIF(OTT!$G$157:$J$157,BN$111,OTT!$W27:$Z27)</f>
        <v>0</v>
      </c>
      <c r="BO407" s="446">
        <f>SUMIF(OTT!$G$157:$J$157,BO$111,OTT!$R27:$U27)+SUMIF(OTT!$G$157:$J$157,BO$111,OTT!$W27:$Z27)</f>
        <v>0</v>
      </c>
      <c r="BP407" s="446">
        <f>SUMIF(OTT!$G$157:$J$157,BP$111,OTT!$R27:$U27)+SUMIF(OTT!$G$157:$J$157,BP$111,OTT!$W27:$Z27)</f>
        <v>0</v>
      </c>
      <c r="BQ407" s="448">
        <f>SUMIF(OTT!$G$157:$J$157,BQ$111,OTT!$R27:$U27)+SUMIF(OTT!$G$157:$J$157,BQ$111,OTT!$W27:$Z27)</f>
        <v>0</v>
      </c>
      <c r="BR407" s="571"/>
      <c r="BS407" s="446"/>
      <c r="BT407" s="448"/>
      <c r="BU407" s="470"/>
      <c r="BV407" s="445">
        <f>SUMIF(OTT!$G$158:$J$158,BV$111,OTT!$R27:$U27)+SUMIF(OTT!$G$158:$J$158,BV$111,OTT!$W27:$Z27)</f>
        <v>0</v>
      </c>
      <c r="BW407" s="446">
        <f>SUMIF(OTT!$G$158:$J$158,BW$111,OTT!$R27:$U27)+SUMIF(OTT!$G$158:$J$158,BW$111,OTT!$W27:$Z27)</f>
        <v>0</v>
      </c>
      <c r="BX407" s="446">
        <f>SUMIF(OTT!$G$158:$J$158,BX$111,OTT!$R27:$U27)+SUMIF(OTT!$G$158:$J$158,BX$111,OTT!$W27:$Z27)</f>
        <v>0</v>
      </c>
      <c r="BY407" s="446">
        <f>SUMIF(OTT!$G$158:$J$158,BY$111,OTT!$R27:$U27)+SUMIF(OTT!$G$158:$J$158,BY$111,OTT!$W27:$Z27)</f>
        <v>0</v>
      </c>
      <c r="BZ407" s="446">
        <f>SUMIF(OTT!$G$158:$J$158,BZ$111,OTT!$R27:$U27)+SUMIF(OTT!$G$158:$J$158,BZ$111,OTT!$W27:$Z27)</f>
        <v>0</v>
      </c>
      <c r="CA407" s="446">
        <f>SUMIF(OTT!$G$158:$J$158,CA$111,OTT!$R27:$U27)+SUMIF(OTT!$G$158:$J$158,CA$111,OTT!$W27:$Z27)</f>
        <v>0</v>
      </c>
      <c r="CB407" s="448">
        <f>SUMIF(OTT!$G$158:$J$158,CB$111,OTT!$R27:$U27)+SUMIF(OTT!$G$158:$J$158,CB$111,OTT!$W27:$Z27)</f>
        <v>0</v>
      </c>
      <c r="CC407" s="571"/>
      <c r="CD407" s="448"/>
      <c r="CE407" s="92">
        <f t="shared" si="297"/>
        <v>0</v>
      </c>
      <c r="CF407" s="92">
        <f t="shared" si="298"/>
        <v>0</v>
      </c>
      <c r="CG407" s="151" t="str">
        <f t="shared" si="284"/>
        <v/>
      </c>
      <c r="CH407" s="92">
        <f t="shared" si="287"/>
        <v>0</v>
      </c>
      <c r="CI407" s="92" t="str">
        <f t="shared" si="299"/>
        <v/>
      </c>
      <c r="CJ407" s="1100">
        <f>OTT!AM27</f>
        <v>0</v>
      </c>
      <c r="CK407" s="445">
        <f>SUMIF(OTT!$G$155:$J$155,CK$112,OTT!$AN27:$AQ27)</f>
        <v>0</v>
      </c>
      <c r="CL407" s="446">
        <f>SUMIF(OTT!$G$155:$J$155,CL$112,OTT!$AN27:$AQ27)</f>
        <v>0</v>
      </c>
      <c r="CM407" s="447">
        <f>SUMIF(OTT!$G$155:$J$155,CM$112,OTT!$AN27:$AQ27)</f>
        <v>0</v>
      </c>
      <c r="CN407" s="448">
        <f>SUMIF(OTT!$G$155:$J$155,CN$112,OTT!$AN27:$AQ27)</f>
        <v>0</v>
      </c>
      <c r="CO407" s="1100">
        <f>OTT!AS27</f>
        <v>0</v>
      </c>
      <c r="CP407" s="445">
        <f>OTT!AT27</f>
        <v>0</v>
      </c>
      <c r="CQ407" s="446">
        <f>OTT!AU27</f>
        <v>0</v>
      </c>
      <c r="CR407" s="447">
        <f>OTT!AV27</f>
        <v>0</v>
      </c>
      <c r="CS407" s="448">
        <f>OTT!AW27</f>
        <v>0</v>
      </c>
      <c r="CT407" s="1100">
        <f>OTT!AY27</f>
        <v>0</v>
      </c>
      <c r="CU407" s="2"/>
    </row>
    <row r="408" spans="1:99" ht="14.25" hidden="1" customHeight="1" x14ac:dyDescent="0.2">
      <c r="A408" s="2"/>
      <c r="B408" s="151">
        <f t="shared" si="288"/>
        <v>45586</v>
      </c>
      <c r="C408" s="223">
        <f>IF(AND(E408&gt;(N$494-1),E408&lt;(R$494+1)),W$485,IF(ISERROR(HLOOKUP(E408,$N$487:$U$487,1,FALSE)),HLOOKUP(WEEKDAY(E408,2),IMPOSTAZIONI!$C$51:$P$56,6,FALSE),$W$484))</f>
        <v>0</v>
      </c>
      <c r="D408" s="103" t="str">
        <f t="shared" si="289"/>
        <v/>
      </c>
      <c r="E408" s="2380">
        <f t="shared" si="300"/>
        <v>45586</v>
      </c>
      <c r="F408" s="2381"/>
      <c r="G408" s="2325" t="str">
        <f>OTT!E28</f>
        <v xml:space="preserve">attiva trim.  </v>
      </c>
      <c r="H408" s="2326"/>
      <c r="I408" s="2327"/>
      <c r="J408" s="479" t="str">
        <f t="shared" si="285"/>
        <v/>
      </c>
      <c r="K408" s="480"/>
      <c r="L408" s="2323">
        <f t="shared" si="301"/>
        <v>43</v>
      </c>
      <c r="M408" s="2324"/>
      <c r="N408" s="478"/>
      <c r="O408" s="478"/>
      <c r="P408" s="478"/>
      <c r="Q408" s="2315">
        <f t="shared" si="290"/>
        <v>45586</v>
      </c>
      <c r="R408" s="2315"/>
      <c r="S408" s="478"/>
      <c r="T408" s="140">
        <f t="shared" si="291"/>
        <v>1</v>
      </c>
      <c r="U408" s="478"/>
      <c r="V408" s="478"/>
      <c r="W408" s="478"/>
      <c r="X408" s="478"/>
      <c r="Y408" s="478"/>
      <c r="Z408" s="478"/>
      <c r="AA408" s="478"/>
      <c r="AB408" s="478"/>
      <c r="AC408" s="478"/>
      <c r="AD408" s="478"/>
      <c r="AE408" s="478"/>
      <c r="AF408" s="478"/>
      <c r="AG408" s="140">
        <f t="shared" si="292"/>
        <v>0</v>
      </c>
      <c r="AH408" s="92" t="str">
        <f t="shared" si="293"/>
        <v/>
      </c>
      <c r="AI408" s="131">
        <f t="shared" si="294"/>
        <v>0</v>
      </c>
      <c r="AJ408" s="2"/>
      <c r="AK408" s="92">
        <f>IF(G408=G$481,0,IF(OR(G408&lt;&gt;0,CJ408&lt;&gt;0,C408="L"),COUNTIF(AK$114:AK407,"&gt;0")+1,0))</f>
        <v>0</v>
      </c>
      <c r="AL408" s="92" t="str">
        <f t="shared" si="295"/>
        <v/>
      </c>
      <c r="AM408" s="92" t="str">
        <f t="shared" si="296"/>
        <v/>
      </c>
      <c r="AN408" s="131">
        <f t="shared" si="286"/>
        <v>0</v>
      </c>
      <c r="AO408" s="447">
        <f>SUM(OTT!W28:Z28)</f>
        <v>0</v>
      </c>
      <c r="AP408" s="445">
        <f>SUMIF(OTT!$G$155:$J$155,AP$112,OTT!$R28:$U28)</f>
        <v>0</v>
      </c>
      <c r="AQ408" s="446">
        <f>SUMIF(OTT!$G$155:$J$155,AQ$112,OTT!$R28:$U28)</f>
        <v>0</v>
      </c>
      <c r="AR408" s="447">
        <f>SUMIF(OTT!$G$155:$J$155,AR$112,OTT!$R28:$U28)</f>
        <v>0</v>
      </c>
      <c r="AS408" s="448">
        <f>SUMIF(OTT!$G$155:$J$155,AS$112,OTT!$R28:$U28)</f>
        <v>0</v>
      </c>
      <c r="AT408" s="449">
        <f>OTT!AG28</f>
        <v>0</v>
      </c>
      <c r="AU408" s="445">
        <f>OTT!AH28</f>
        <v>0</v>
      </c>
      <c r="AV408" s="446">
        <f>OTT!AI28</f>
        <v>0</v>
      </c>
      <c r="AW408" s="447">
        <f>OTT!AJ28</f>
        <v>0</v>
      </c>
      <c r="AX408" s="448">
        <f>OTT!AK28</f>
        <v>0</v>
      </c>
      <c r="AY408" s="445">
        <f>SUMIF(OTT!$G$152:$J$152,"&gt;0",OTT!$W28:$Z28)</f>
        <v>0</v>
      </c>
      <c r="AZ408" s="1063">
        <f>SUM(OTT!AB28:AE28)</f>
        <v>0</v>
      </c>
      <c r="BA408" s="445">
        <f>SUMIF(OTT!$G$159:$J$159,BA$111,OTT!$R28:$U28)+SUMIF(OTT!$G$159:$J$159,BA$111,OTT!$W28:$Z28)</f>
        <v>0</v>
      </c>
      <c r="BB408" s="446">
        <f>SUMIF(OTT!$G$159:$J$159,BB$111,OTT!$R28:$U28)+SUMIF(OTT!$G$159:$J$159,BB$111,OTT!$W28:$Z28)</f>
        <v>0</v>
      </c>
      <c r="BC408" s="446">
        <f>SUMIF(OTT!$G$159:$J$159,BC$111,OTT!$R28:$U28)+SUMIF(OTT!$G$159:$J$159,BC$111,OTT!$W28:$Z28)</f>
        <v>0</v>
      </c>
      <c r="BD408" s="446">
        <f>SUMIF(OTT!$G$159:$J$159,BD$111,OTT!$R28:$U28)+SUMIF(OTT!$G$159:$J$159,BD$111,OTT!$W28:$Z28)</f>
        <v>0</v>
      </c>
      <c r="BE408" s="446">
        <f>SUMIF(OTT!$G$159:$J$159,BE$111,OTT!$R28:$U28)+SUMIF(OTT!$G$159:$J$159,BE$111,OTT!$W28:$Z28)</f>
        <v>0</v>
      </c>
      <c r="BF408" s="446">
        <f>SUMIF(OTT!$G$159:$J$159,BF$111,OTT!$R28:$U28)+SUMIF(OTT!$G$159:$J$159,BF$111,OTT!$W28:$Z28)</f>
        <v>0</v>
      </c>
      <c r="BG408" s="448">
        <f>SUMIF(OTT!$G$159:$J$159,BG$111,OTT!$R28:$U28)+SUMIF(OTT!$G$159:$J$159,BG$111,OTT!$W28:$Z28)</f>
        <v>0</v>
      </c>
      <c r="BH408" s="571"/>
      <c r="BI408" s="448"/>
      <c r="BJ408" s="470"/>
      <c r="BK408" s="445">
        <f>SUMIF(OTT!$G$157:$J$157,BK$111,OTT!$R28:$U28)+SUMIF(OTT!$G$157:$J$157,BK$111,OTT!$W28:$Z28)</f>
        <v>0</v>
      </c>
      <c r="BL408" s="446">
        <f>SUMIF(OTT!$G$157:$J$157,BL$111,OTT!$R28:$U28)+SUMIF(OTT!$G$157:$J$157,BL$111,OTT!$W28:$Z28)</f>
        <v>0</v>
      </c>
      <c r="BM408" s="446">
        <f>SUMIF(OTT!$G$157:$J$157,BM$111,OTT!$R28:$U28)+SUMIF(OTT!$G$157:$J$157,BM$111,OTT!$W28:$Z28)</f>
        <v>0</v>
      </c>
      <c r="BN408" s="446">
        <f>SUMIF(OTT!$G$157:$J$157,BN$111,OTT!$R28:$U28)+SUMIF(OTT!$G$157:$J$157,BN$111,OTT!$W28:$Z28)</f>
        <v>0</v>
      </c>
      <c r="BO408" s="446">
        <f>SUMIF(OTT!$G$157:$J$157,BO$111,OTT!$R28:$U28)+SUMIF(OTT!$G$157:$J$157,BO$111,OTT!$W28:$Z28)</f>
        <v>0</v>
      </c>
      <c r="BP408" s="446">
        <f>SUMIF(OTT!$G$157:$J$157,BP$111,OTT!$R28:$U28)+SUMIF(OTT!$G$157:$J$157,BP$111,OTT!$W28:$Z28)</f>
        <v>0</v>
      </c>
      <c r="BQ408" s="448">
        <f>SUMIF(OTT!$G$157:$J$157,BQ$111,OTT!$R28:$U28)+SUMIF(OTT!$G$157:$J$157,BQ$111,OTT!$W28:$Z28)</f>
        <v>0</v>
      </c>
      <c r="BR408" s="571"/>
      <c r="BS408" s="446"/>
      <c r="BT408" s="448"/>
      <c r="BU408" s="470"/>
      <c r="BV408" s="445">
        <f>SUMIF(OTT!$G$158:$J$158,BV$111,OTT!$R28:$U28)+SUMIF(OTT!$G$158:$J$158,BV$111,OTT!$W28:$Z28)</f>
        <v>0</v>
      </c>
      <c r="BW408" s="446">
        <f>SUMIF(OTT!$G$158:$J$158,BW$111,OTT!$R28:$U28)+SUMIF(OTT!$G$158:$J$158,BW$111,OTT!$W28:$Z28)</f>
        <v>0</v>
      </c>
      <c r="BX408" s="446">
        <f>SUMIF(OTT!$G$158:$J$158,BX$111,OTT!$R28:$U28)+SUMIF(OTT!$G$158:$J$158,BX$111,OTT!$W28:$Z28)</f>
        <v>0</v>
      </c>
      <c r="BY408" s="446">
        <f>SUMIF(OTT!$G$158:$J$158,BY$111,OTT!$R28:$U28)+SUMIF(OTT!$G$158:$J$158,BY$111,OTT!$W28:$Z28)</f>
        <v>0</v>
      </c>
      <c r="BZ408" s="446">
        <f>SUMIF(OTT!$G$158:$J$158,BZ$111,OTT!$R28:$U28)+SUMIF(OTT!$G$158:$J$158,BZ$111,OTT!$W28:$Z28)</f>
        <v>0</v>
      </c>
      <c r="CA408" s="446">
        <f>SUMIF(OTT!$G$158:$J$158,CA$111,OTT!$R28:$U28)+SUMIF(OTT!$G$158:$J$158,CA$111,OTT!$W28:$Z28)</f>
        <v>0</v>
      </c>
      <c r="CB408" s="448">
        <f>SUMIF(OTT!$G$158:$J$158,CB$111,OTT!$R28:$U28)+SUMIF(OTT!$G$158:$J$158,CB$111,OTT!$W28:$Z28)</f>
        <v>0</v>
      </c>
      <c r="CC408" s="571"/>
      <c r="CD408" s="448"/>
      <c r="CE408" s="92">
        <f t="shared" si="297"/>
        <v>0</v>
      </c>
      <c r="CF408" s="92">
        <f t="shared" si="298"/>
        <v>0</v>
      </c>
      <c r="CG408" s="151" t="str">
        <f t="shared" si="284"/>
        <v/>
      </c>
      <c r="CH408" s="92">
        <f t="shared" si="287"/>
        <v>0</v>
      </c>
      <c r="CI408" s="92" t="str">
        <f t="shared" si="299"/>
        <v/>
      </c>
      <c r="CJ408" s="1100">
        <f>OTT!AM28</f>
        <v>0</v>
      </c>
      <c r="CK408" s="445">
        <f>SUMIF(OTT!$G$155:$J$155,CK$112,OTT!$AN28:$AQ28)</f>
        <v>0</v>
      </c>
      <c r="CL408" s="446">
        <f>SUMIF(OTT!$G$155:$J$155,CL$112,OTT!$AN28:$AQ28)</f>
        <v>0</v>
      </c>
      <c r="CM408" s="447">
        <f>SUMIF(OTT!$G$155:$J$155,CM$112,OTT!$AN28:$AQ28)</f>
        <v>0</v>
      </c>
      <c r="CN408" s="448">
        <f>SUMIF(OTT!$G$155:$J$155,CN$112,OTT!$AN28:$AQ28)</f>
        <v>0</v>
      </c>
      <c r="CO408" s="1100">
        <f>OTT!AS28</f>
        <v>0</v>
      </c>
      <c r="CP408" s="445">
        <f>OTT!AT28</f>
        <v>0</v>
      </c>
      <c r="CQ408" s="446">
        <f>OTT!AU28</f>
        <v>0</v>
      </c>
      <c r="CR408" s="447">
        <f>OTT!AV28</f>
        <v>0</v>
      </c>
      <c r="CS408" s="448">
        <f>OTT!AW28</f>
        <v>0</v>
      </c>
      <c r="CT408" s="1100">
        <f>OTT!AY28</f>
        <v>0</v>
      </c>
      <c r="CU408" s="2"/>
    </row>
    <row r="409" spans="1:99" ht="14.25" hidden="1" customHeight="1" x14ac:dyDescent="0.2">
      <c r="A409" s="2"/>
      <c r="B409" s="151">
        <f t="shared" si="288"/>
        <v>45587</v>
      </c>
      <c r="C409" s="223">
        <f>IF(AND(E409&gt;(N$494-1),E409&lt;(R$494+1)),W$485,IF(ISERROR(HLOOKUP(E409,$N$487:$U$487,1,FALSE)),HLOOKUP(WEEKDAY(E409,2),IMPOSTAZIONI!$C$51:$P$56,6,FALSE),$W$484))</f>
        <v>0</v>
      </c>
      <c r="D409" s="103" t="str">
        <f t="shared" si="289"/>
        <v/>
      </c>
      <c r="E409" s="2380">
        <f t="shared" si="300"/>
        <v>45587</v>
      </c>
      <c r="F409" s="2381"/>
      <c r="G409" s="2325" t="str">
        <f>OTT!E29</f>
        <v xml:space="preserve">attiva trim.  </v>
      </c>
      <c r="H409" s="2326"/>
      <c r="I409" s="2327"/>
      <c r="J409" s="479" t="str">
        <f t="shared" si="285"/>
        <v/>
      </c>
      <c r="K409" s="480"/>
      <c r="L409" s="2319">
        <f t="shared" si="301"/>
        <v>43</v>
      </c>
      <c r="M409" s="2320"/>
      <c r="N409" s="478"/>
      <c r="O409" s="478"/>
      <c r="P409" s="478"/>
      <c r="Q409" s="2315">
        <f t="shared" si="290"/>
        <v>45587</v>
      </c>
      <c r="R409" s="2315"/>
      <c r="S409" s="478"/>
      <c r="T409" s="140">
        <f t="shared" si="291"/>
        <v>1</v>
      </c>
      <c r="U409" s="478"/>
      <c r="V409" s="478"/>
      <c r="W409" s="478"/>
      <c r="X409" s="478"/>
      <c r="Y409" s="478"/>
      <c r="Z409" s="478"/>
      <c r="AA409" s="478"/>
      <c r="AB409" s="478"/>
      <c r="AC409" s="478"/>
      <c r="AD409" s="478"/>
      <c r="AE409" s="478"/>
      <c r="AF409" s="478"/>
      <c r="AG409" s="140">
        <f t="shared" si="292"/>
        <v>0</v>
      </c>
      <c r="AH409" s="92" t="str">
        <f t="shared" si="293"/>
        <v/>
      </c>
      <c r="AI409" s="131">
        <f t="shared" si="294"/>
        <v>0</v>
      </c>
      <c r="AJ409" s="2"/>
      <c r="AK409" s="92">
        <f>IF(G409=G$481,0,IF(OR(G409&lt;&gt;0,CJ409&lt;&gt;0,C409="L"),COUNTIF(AK$114:AK408,"&gt;0")+1,0))</f>
        <v>0</v>
      </c>
      <c r="AL409" s="92" t="str">
        <f t="shared" si="295"/>
        <v/>
      </c>
      <c r="AM409" s="92" t="str">
        <f t="shared" si="296"/>
        <v/>
      </c>
      <c r="AN409" s="131">
        <f t="shared" si="286"/>
        <v>0</v>
      </c>
      <c r="AO409" s="447">
        <f>SUM(OTT!W29:Z29)</f>
        <v>0</v>
      </c>
      <c r="AP409" s="445">
        <f>SUMIF(OTT!$G$155:$J$155,AP$112,OTT!$R29:$U29)</f>
        <v>0</v>
      </c>
      <c r="AQ409" s="446">
        <f>SUMIF(OTT!$G$155:$J$155,AQ$112,OTT!$R29:$U29)</f>
        <v>0</v>
      </c>
      <c r="AR409" s="447">
        <f>SUMIF(OTT!$G$155:$J$155,AR$112,OTT!$R29:$U29)</f>
        <v>0</v>
      </c>
      <c r="AS409" s="448">
        <f>SUMIF(OTT!$G$155:$J$155,AS$112,OTT!$R29:$U29)</f>
        <v>0</v>
      </c>
      <c r="AT409" s="449">
        <f>OTT!AG29</f>
        <v>0</v>
      </c>
      <c r="AU409" s="445">
        <f>OTT!AH29</f>
        <v>0</v>
      </c>
      <c r="AV409" s="446">
        <f>OTT!AI29</f>
        <v>0</v>
      </c>
      <c r="AW409" s="447">
        <f>OTT!AJ29</f>
        <v>0</v>
      </c>
      <c r="AX409" s="448">
        <f>OTT!AK29</f>
        <v>0</v>
      </c>
      <c r="AY409" s="445">
        <f>SUMIF(OTT!$G$152:$J$152,"&gt;0",OTT!$W29:$Z29)</f>
        <v>0</v>
      </c>
      <c r="AZ409" s="1063">
        <f>SUM(OTT!AB29:AE29)</f>
        <v>0</v>
      </c>
      <c r="BA409" s="445">
        <f>SUMIF(OTT!$G$159:$J$159,BA$111,OTT!$R29:$U29)+SUMIF(OTT!$G$159:$J$159,BA$111,OTT!$W29:$Z29)</f>
        <v>0</v>
      </c>
      <c r="BB409" s="446">
        <f>SUMIF(OTT!$G$159:$J$159,BB$111,OTT!$R29:$U29)+SUMIF(OTT!$G$159:$J$159,BB$111,OTT!$W29:$Z29)</f>
        <v>0</v>
      </c>
      <c r="BC409" s="446">
        <f>SUMIF(OTT!$G$159:$J$159,BC$111,OTT!$R29:$U29)+SUMIF(OTT!$G$159:$J$159,BC$111,OTT!$W29:$Z29)</f>
        <v>0</v>
      </c>
      <c r="BD409" s="446">
        <f>SUMIF(OTT!$G$159:$J$159,BD$111,OTT!$R29:$U29)+SUMIF(OTT!$G$159:$J$159,BD$111,OTT!$W29:$Z29)</f>
        <v>0</v>
      </c>
      <c r="BE409" s="446">
        <f>SUMIF(OTT!$G$159:$J$159,BE$111,OTT!$R29:$U29)+SUMIF(OTT!$G$159:$J$159,BE$111,OTT!$W29:$Z29)</f>
        <v>0</v>
      </c>
      <c r="BF409" s="446">
        <f>SUMIF(OTT!$G$159:$J$159,BF$111,OTT!$R29:$U29)+SUMIF(OTT!$G$159:$J$159,BF$111,OTT!$W29:$Z29)</f>
        <v>0</v>
      </c>
      <c r="BG409" s="448">
        <f>SUMIF(OTT!$G$159:$J$159,BG$111,OTT!$R29:$U29)+SUMIF(OTT!$G$159:$J$159,BG$111,OTT!$W29:$Z29)</f>
        <v>0</v>
      </c>
      <c r="BH409" s="571"/>
      <c r="BI409" s="448"/>
      <c r="BJ409" s="470"/>
      <c r="BK409" s="445">
        <f>SUMIF(OTT!$G$157:$J$157,BK$111,OTT!$R29:$U29)+SUMIF(OTT!$G$157:$J$157,BK$111,OTT!$W29:$Z29)</f>
        <v>0</v>
      </c>
      <c r="BL409" s="446">
        <f>SUMIF(OTT!$G$157:$J$157,BL$111,OTT!$R29:$U29)+SUMIF(OTT!$G$157:$J$157,BL$111,OTT!$W29:$Z29)</f>
        <v>0</v>
      </c>
      <c r="BM409" s="446">
        <f>SUMIF(OTT!$G$157:$J$157,BM$111,OTT!$R29:$U29)+SUMIF(OTT!$G$157:$J$157,BM$111,OTT!$W29:$Z29)</f>
        <v>0</v>
      </c>
      <c r="BN409" s="446">
        <f>SUMIF(OTT!$G$157:$J$157,BN$111,OTT!$R29:$U29)+SUMIF(OTT!$G$157:$J$157,BN$111,OTT!$W29:$Z29)</f>
        <v>0</v>
      </c>
      <c r="BO409" s="446">
        <f>SUMIF(OTT!$G$157:$J$157,BO$111,OTT!$R29:$U29)+SUMIF(OTT!$G$157:$J$157,BO$111,OTT!$W29:$Z29)</f>
        <v>0</v>
      </c>
      <c r="BP409" s="446">
        <f>SUMIF(OTT!$G$157:$J$157,BP$111,OTT!$R29:$U29)+SUMIF(OTT!$G$157:$J$157,BP$111,OTT!$W29:$Z29)</f>
        <v>0</v>
      </c>
      <c r="BQ409" s="448">
        <f>SUMIF(OTT!$G$157:$J$157,BQ$111,OTT!$R29:$U29)+SUMIF(OTT!$G$157:$J$157,BQ$111,OTT!$W29:$Z29)</f>
        <v>0</v>
      </c>
      <c r="BR409" s="571"/>
      <c r="BS409" s="446"/>
      <c r="BT409" s="448"/>
      <c r="BU409" s="470"/>
      <c r="BV409" s="445">
        <f>SUMIF(OTT!$G$158:$J$158,BV$111,OTT!$R29:$U29)+SUMIF(OTT!$G$158:$J$158,BV$111,OTT!$W29:$Z29)</f>
        <v>0</v>
      </c>
      <c r="BW409" s="446">
        <f>SUMIF(OTT!$G$158:$J$158,BW$111,OTT!$R29:$U29)+SUMIF(OTT!$G$158:$J$158,BW$111,OTT!$W29:$Z29)</f>
        <v>0</v>
      </c>
      <c r="BX409" s="446">
        <f>SUMIF(OTT!$G$158:$J$158,BX$111,OTT!$R29:$U29)+SUMIF(OTT!$G$158:$J$158,BX$111,OTT!$W29:$Z29)</f>
        <v>0</v>
      </c>
      <c r="BY409" s="446">
        <f>SUMIF(OTT!$G$158:$J$158,BY$111,OTT!$R29:$U29)+SUMIF(OTT!$G$158:$J$158,BY$111,OTT!$W29:$Z29)</f>
        <v>0</v>
      </c>
      <c r="BZ409" s="446">
        <f>SUMIF(OTT!$G$158:$J$158,BZ$111,OTT!$R29:$U29)+SUMIF(OTT!$G$158:$J$158,BZ$111,OTT!$W29:$Z29)</f>
        <v>0</v>
      </c>
      <c r="CA409" s="446">
        <f>SUMIF(OTT!$G$158:$J$158,CA$111,OTT!$R29:$U29)+SUMIF(OTT!$G$158:$J$158,CA$111,OTT!$W29:$Z29)</f>
        <v>0</v>
      </c>
      <c r="CB409" s="448">
        <f>SUMIF(OTT!$G$158:$J$158,CB$111,OTT!$R29:$U29)+SUMIF(OTT!$G$158:$J$158,CB$111,OTT!$W29:$Z29)</f>
        <v>0</v>
      </c>
      <c r="CC409" s="571"/>
      <c r="CD409" s="448"/>
      <c r="CE409" s="92">
        <f t="shared" si="297"/>
        <v>0</v>
      </c>
      <c r="CF409" s="92">
        <f t="shared" si="298"/>
        <v>0</v>
      </c>
      <c r="CG409" s="151" t="str">
        <f t="shared" si="284"/>
        <v/>
      </c>
      <c r="CH409" s="92">
        <f t="shared" si="287"/>
        <v>0</v>
      </c>
      <c r="CI409" s="92" t="str">
        <f t="shared" si="299"/>
        <v/>
      </c>
      <c r="CJ409" s="1100">
        <f>OTT!AM29</f>
        <v>0</v>
      </c>
      <c r="CK409" s="445">
        <f>SUMIF(OTT!$G$155:$J$155,CK$112,OTT!$AN29:$AQ29)</f>
        <v>0</v>
      </c>
      <c r="CL409" s="446">
        <f>SUMIF(OTT!$G$155:$J$155,CL$112,OTT!$AN29:$AQ29)</f>
        <v>0</v>
      </c>
      <c r="CM409" s="447">
        <f>SUMIF(OTT!$G$155:$J$155,CM$112,OTT!$AN29:$AQ29)</f>
        <v>0</v>
      </c>
      <c r="CN409" s="448">
        <f>SUMIF(OTT!$G$155:$J$155,CN$112,OTT!$AN29:$AQ29)</f>
        <v>0</v>
      </c>
      <c r="CO409" s="1100">
        <f>OTT!AS29</f>
        <v>0</v>
      </c>
      <c r="CP409" s="445">
        <f>OTT!AT29</f>
        <v>0</v>
      </c>
      <c r="CQ409" s="446">
        <f>OTT!AU29</f>
        <v>0</v>
      </c>
      <c r="CR409" s="447">
        <f>OTT!AV29</f>
        <v>0</v>
      </c>
      <c r="CS409" s="448">
        <f>OTT!AW29</f>
        <v>0</v>
      </c>
      <c r="CT409" s="1100">
        <f>OTT!AY29</f>
        <v>0</v>
      </c>
      <c r="CU409" s="2"/>
    </row>
    <row r="410" spans="1:99" ht="14.25" hidden="1" customHeight="1" x14ac:dyDescent="0.2">
      <c r="A410" s="2"/>
      <c r="B410" s="151">
        <f t="shared" si="288"/>
        <v>45588</v>
      </c>
      <c r="C410" s="223">
        <f>IF(AND(E410&gt;(N$494-1),E410&lt;(R$494+1)),W$485,IF(ISERROR(HLOOKUP(E410,$N$487:$U$487,1,FALSE)),HLOOKUP(WEEKDAY(E410,2),IMPOSTAZIONI!$C$51:$P$56,6,FALSE),$W$484))</f>
        <v>0</v>
      </c>
      <c r="D410" s="103" t="str">
        <f t="shared" si="289"/>
        <v/>
      </c>
      <c r="E410" s="2380">
        <f t="shared" si="300"/>
        <v>45588</v>
      </c>
      <c r="F410" s="2381"/>
      <c r="G410" s="2325" t="str">
        <f>OTT!E30</f>
        <v xml:space="preserve">attiva trim.  </v>
      </c>
      <c r="H410" s="2326"/>
      <c r="I410" s="2327"/>
      <c r="J410" s="479" t="str">
        <f t="shared" si="285"/>
        <v/>
      </c>
      <c r="K410" s="480"/>
      <c r="L410" s="2319">
        <f t="shared" si="301"/>
        <v>43</v>
      </c>
      <c r="M410" s="2320"/>
      <c r="N410" s="478"/>
      <c r="O410" s="478"/>
      <c r="P410" s="478"/>
      <c r="Q410" s="2315">
        <f t="shared" si="290"/>
        <v>45588</v>
      </c>
      <c r="R410" s="2315"/>
      <c r="S410" s="478"/>
      <c r="T410" s="140">
        <f t="shared" si="291"/>
        <v>1</v>
      </c>
      <c r="U410" s="478"/>
      <c r="V410" s="478"/>
      <c r="W410" s="478"/>
      <c r="X410" s="478"/>
      <c r="Y410" s="478"/>
      <c r="Z410" s="478"/>
      <c r="AA410" s="478"/>
      <c r="AB410" s="478"/>
      <c r="AC410" s="478"/>
      <c r="AD410" s="478"/>
      <c r="AE410" s="478"/>
      <c r="AF410" s="478"/>
      <c r="AG410" s="140">
        <f t="shared" si="292"/>
        <v>0</v>
      </c>
      <c r="AH410" s="92" t="str">
        <f t="shared" si="293"/>
        <v/>
      </c>
      <c r="AI410" s="131">
        <f t="shared" si="294"/>
        <v>0</v>
      </c>
      <c r="AJ410" s="2"/>
      <c r="AK410" s="92">
        <f>IF(G410=G$481,0,IF(OR(G410&lt;&gt;0,CJ410&lt;&gt;0,C410="L"),COUNTIF(AK$114:AK409,"&gt;0")+1,0))</f>
        <v>0</v>
      </c>
      <c r="AL410" s="92" t="str">
        <f t="shared" si="295"/>
        <v/>
      </c>
      <c r="AM410" s="92" t="str">
        <f t="shared" si="296"/>
        <v/>
      </c>
      <c r="AN410" s="131">
        <f t="shared" si="286"/>
        <v>0</v>
      </c>
      <c r="AO410" s="447">
        <f>SUM(OTT!W30:Z30)</f>
        <v>0</v>
      </c>
      <c r="AP410" s="445">
        <f>SUMIF(OTT!$G$155:$J$155,AP$112,OTT!$R30:$U30)</f>
        <v>0</v>
      </c>
      <c r="AQ410" s="446">
        <f>SUMIF(OTT!$G$155:$J$155,AQ$112,OTT!$R30:$U30)</f>
        <v>0</v>
      </c>
      <c r="AR410" s="447">
        <f>SUMIF(OTT!$G$155:$J$155,AR$112,OTT!$R30:$U30)</f>
        <v>0</v>
      </c>
      <c r="AS410" s="448">
        <f>SUMIF(OTT!$G$155:$J$155,AS$112,OTT!$R30:$U30)</f>
        <v>0</v>
      </c>
      <c r="AT410" s="449">
        <f>OTT!AG30</f>
        <v>0</v>
      </c>
      <c r="AU410" s="445">
        <f>OTT!AH30</f>
        <v>0</v>
      </c>
      <c r="AV410" s="446">
        <f>OTT!AI30</f>
        <v>0</v>
      </c>
      <c r="AW410" s="447">
        <f>OTT!AJ30</f>
        <v>0</v>
      </c>
      <c r="AX410" s="448">
        <f>OTT!AK30</f>
        <v>0</v>
      </c>
      <c r="AY410" s="445">
        <f>SUMIF(OTT!$G$152:$J$152,"&gt;0",OTT!$W30:$Z30)</f>
        <v>0</v>
      </c>
      <c r="AZ410" s="1063">
        <f>SUM(OTT!AB30:AE30)</f>
        <v>0</v>
      </c>
      <c r="BA410" s="445">
        <f>SUMIF(OTT!$G$159:$J$159,BA$111,OTT!$R30:$U30)+SUMIF(OTT!$G$159:$J$159,BA$111,OTT!$W30:$Z30)</f>
        <v>0</v>
      </c>
      <c r="BB410" s="446">
        <f>SUMIF(OTT!$G$159:$J$159,BB$111,OTT!$R30:$U30)+SUMIF(OTT!$G$159:$J$159,BB$111,OTT!$W30:$Z30)</f>
        <v>0</v>
      </c>
      <c r="BC410" s="446">
        <f>SUMIF(OTT!$G$159:$J$159,BC$111,OTT!$R30:$U30)+SUMIF(OTT!$G$159:$J$159,BC$111,OTT!$W30:$Z30)</f>
        <v>0</v>
      </c>
      <c r="BD410" s="446">
        <f>SUMIF(OTT!$G$159:$J$159,BD$111,OTT!$R30:$U30)+SUMIF(OTT!$G$159:$J$159,BD$111,OTT!$W30:$Z30)</f>
        <v>0</v>
      </c>
      <c r="BE410" s="446">
        <f>SUMIF(OTT!$G$159:$J$159,BE$111,OTT!$R30:$U30)+SUMIF(OTT!$G$159:$J$159,BE$111,OTT!$W30:$Z30)</f>
        <v>0</v>
      </c>
      <c r="BF410" s="446">
        <f>SUMIF(OTT!$G$159:$J$159,BF$111,OTT!$R30:$U30)+SUMIF(OTT!$G$159:$J$159,BF$111,OTT!$W30:$Z30)</f>
        <v>0</v>
      </c>
      <c r="BG410" s="448">
        <f>SUMIF(OTT!$G$159:$J$159,BG$111,OTT!$R30:$U30)+SUMIF(OTT!$G$159:$J$159,BG$111,OTT!$W30:$Z30)</f>
        <v>0</v>
      </c>
      <c r="BH410" s="571"/>
      <c r="BI410" s="448"/>
      <c r="BJ410" s="470"/>
      <c r="BK410" s="445">
        <f>SUMIF(OTT!$G$157:$J$157,BK$111,OTT!$R30:$U30)+SUMIF(OTT!$G$157:$J$157,BK$111,OTT!$W30:$Z30)</f>
        <v>0</v>
      </c>
      <c r="BL410" s="446">
        <f>SUMIF(OTT!$G$157:$J$157,BL$111,OTT!$R30:$U30)+SUMIF(OTT!$G$157:$J$157,BL$111,OTT!$W30:$Z30)</f>
        <v>0</v>
      </c>
      <c r="BM410" s="446">
        <f>SUMIF(OTT!$G$157:$J$157,BM$111,OTT!$R30:$U30)+SUMIF(OTT!$G$157:$J$157,BM$111,OTT!$W30:$Z30)</f>
        <v>0</v>
      </c>
      <c r="BN410" s="446">
        <f>SUMIF(OTT!$G$157:$J$157,BN$111,OTT!$R30:$U30)+SUMIF(OTT!$G$157:$J$157,BN$111,OTT!$W30:$Z30)</f>
        <v>0</v>
      </c>
      <c r="BO410" s="446">
        <f>SUMIF(OTT!$G$157:$J$157,BO$111,OTT!$R30:$U30)+SUMIF(OTT!$G$157:$J$157,BO$111,OTT!$W30:$Z30)</f>
        <v>0</v>
      </c>
      <c r="BP410" s="446">
        <f>SUMIF(OTT!$G$157:$J$157,BP$111,OTT!$R30:$U30)+SUMIF(OTT!$G$157:$J$157,BP$111,OTT!$W30:$Z30)</f>
        <v>0</v>
      </c>
      <c r="BQ410" s="448">
        <f>SUMIF(OTT!$G$157:$J$157,BQ$111,OTT!$R30:$U30)+SUMIF(OTT!$G$157:$J$157,BQ$111,OTT!$W30:$Z30)</f>
        <v>0</v>
      </c>
      <c r="BR410" s="571"/>
      <c r="BS410" s="446"/>
      <c r="BT410" s="448"/>
      <c r="BU410" s="470"/>
      <c r="BV410" s="445">
        <f>SUMIF(OTT!$G$158:$J$158,BV$111,OTT!$R30:$U30)+SUMIF(OTT!$G$158:$J$158,BV$111,OTT!$W30:$Z30)</f>
        <v>0</v>
      </c>
      <c r="BW410" s="446">
        <f>SUMIF(OTT!$G$158:$J$158,BW$111,OTT!$R30:$U30)+SUMIF(OTT!$G$158:$J$158,BW$111,OTT!$W30:$Z30)</f>
        <v>0</v>
      </c>
      <c r="BX410" s="446">
        <f>SUMIF(OTT!$G$158:$J$158,BX$111,OTT!$R30:$U30)+SUMIF(OTT!$G$158:$J$158,BX$111,OTT!$W30:$Z30)</f>
        <v>0</v>
      </c>
      <c r="BY410" s="446">
        <f>SUMIF(OTT!$G$158:$J$158,BY$111,OTT!$R30:$U30)+SUMIF(OTT!$G$158:$J$158,BY$111,OTT!$W30:$Z30)</f>
        <v>0</v>
      </c>
      <c r="BZ410" s="446">
        <f>SUMIF(OTT!$G$158:$J$158,BZ$111,OTT!$R30:$U30)+SUMIF(OTT!$G$158:$J$158,BZ$111,OTT!$W30:$Z30)</f>
        <v>0</v>
      </c>
      <c r="CA410" s="446">
        <f>SUMIF(OTT!$G$158:$J$158,CA$111,OTT!$R30:$U30)+SUMIF(OTT!$G$158:$J$158,CA$111,OTT!$W30:$Z30)</f>
        <v>0</v>
      </c>
      <c r="CB410" s="448">
        <f>SUMIF(OTT!$G$158:$J$158,CB$111,OTT!$R30:$U30)+SUMIF(OTT!$G$158:$J$158,CB$111,OTT!$W30:$Z30)</f>
        <v>0</v>
      </c>
      <c r="CC410" s="571"/>
      <c r="CD410" s="448"/>
      <c r="CE410" s="92">
        <f t="shared" si="297"/>
        <v>0</v>
      </c>
      <c r="CF410" s="92">
        <f t="shared" si="298"/>
        <v>0</v>
      </c>
      <c r="CG410" s="151" t="str">
        <f t="shared" si="284"/>
        <v/>
      </c>
      <c r="CH410" s="92">
        <f t="shared" si="287"/>
        <v>0</v>
      </c>
      <c r="CI410" s="92" t="str">
        <f t="shared" si="299"/>
        <v/>
      </c>
      <c r="CJ410" s="1100">
        <f>OTT!AM30</f>
        <v>0</v>
      </c>
      <c r="CK410" s="445">
        <f>SUMIF(OTT!$G$155:$J$155,CK$112,OTT!$AN30:$AQ30)</f>
        <v>0</v>
      </c>
      <c r="CL410" s="446">
        <f>SUMIF(OTT!$G$155:$J$155,CL$112,OTT!$AN30:$AQ30)</f>
        <v>0</v>
      </c>
      <c r="CM410" s="447">
        <f>SUMIF(OTT!$G$155:$J$155,CM$112,OTT!$AN30:$AQ30)</f>
        <v>0</v>
      </c>
      <c r="CN410" s="448">
        <f>SUMIF(OTT!$G$155:$J$155,CN$112,OTT!$AN30:$AQ30)</f>
        <v>0</v>
      </c>
      <c r="CO410" s="1100">
        <f>OTT!AS30</f>
        <v>0</v>
      </c>
      <c r="CP410" s="445">
        <f>OTT!AT30</f>
        <v>0</v>
      </c>
      <c r="CQ410" s="446">
        <f>OTT!AU30</f>
        <v>0</v>
      </c>
      <c r="CR410" s="447">
        <f>OTT!AV30</f>
        <v>0</v>
      </c>
      <c r="CS410" s="448">
        <f>OTT!AW30</f>
        <v>0</v>
      </c>
      <c r="CT410" s="1100">
        <f>OTT!AY30</f>
        <v>0</v>
      </c>
      <c r="CU410" s="2"/>
    </row>
    <row r="411" spans="1:99" ht="14.25" hidden="1" customHeight="1" x14ac:dyDescent="0.2">
      <c r="A411" s="2"/>
      <c r="B411" s="151">
        <f t="shared" si="288"/>
        <v>45589</v>
      </c>
      <c r="C411" s="223">
        <f>IF(AND(E411&gt;(N$494-1),E411&lt;(R$494+1)),W$485,IF(ISERROR(HLOOKUP(E411,$N$487:$U$487,1,FALSE)),HLOOKUP(WEEKDAY(E411,2),IMPOSTAZIONI!$C$51:$P$56,6,FALSE),$W$484))</f>
        <v>0</v>
      </c>
      <c r="D411" s="103" t="str">
        <f t="shared" si="289"/>
        <v/>
      </c>
      <c r="E411" s="2380">
        <f t="shared" si="300"/>
        <v>45589</v>
      </c>
      <c r="F411" s="2381"/>
      <c r="G411" s="2325" t="str">
        <f>OTT!E31</f>
        <v xml:space="preserve">attiva trim.  </v>
      </c>
      <c r="H411" s="2326"/>
      <c r="I411" s="2327"/>
      <c r="J411" s="479" t="str">
        <f t="shared" si="285"/>
        <v/>
      </c>
      <c r="K411" s="480"/>
      <c r="L411" s="2319">
        <f t="shared" si="301"/>
        <v>43</v>
      </c>
      <c r="M411" s="2320"/>
      <c r="N411" s="478"/>
      <c r="O411" s="478"/>
      <c r="P411" s="478"/>
      <c r="Q411" s="2315">
        <f t="shared" si="290"/>
        <v>45589</v>
      </c>
      <c r="R411" s="2315"/>
      <c r="S411" s="478"/>
      <c r="T411" s="140">
        <f t="shared" si="291"/>
        <v>1</v>
      </c>
      <c r="U411" s="478"/>
      <c r="V411" s="478"/>
      <c r="W411" s="478"/>
      <c r="X411" s="478"/>
      <c r="Y411" s="478"/>
      <c r="Z411" s="478"/>
      <c r="AA411" s="478"/>
      <c r="AB411" s="478"/>
      <c r="AC411" s="478"/>
      <c r="AD411" s="478"/>
      <c r="AE411" s="478"/>
      <c r="AF411" s="478"/>
      <c r="AG411" s="140">
        <f t="shared" si="292"/>
        <v>0</v>
      </c>
      <c r="AH411" s="92" t="str">
        <f t="shared" si="293"/>
        <v/>
      </c>
      <c r="AI411" s="131">
        <f t="shared" si="294"/>
        <v>0</v>
      </c>
      <c r="AJ411" s="2"/>
      <c r="AK411" s="92">
        <f>IF(G411=G$481,0,IF(OR(G411&lt;&gt;0,CJ411&lt;&gt;0,C411="L"),COUNTIF(AK$114:AK410,"&gt;0")+1,0))</f>
        <v>0</v>
      </c>
      <c r="AL411" s="92" t="str">
        <f t="shared" si="295"/>
        <v/>
      </c>
      <c r="AM411" s="92" t="str">
        <f t="shared" si="296"/>
        <v/>
      </c>
      <c r="AN411" s="131">
        <f t="shared" si="286"/>
        <v>0</v>
      </c>
      <c r="AO411" s="447">
        <f>SUM(OTT!W31:Z31)</f>
        <v>0</v>
      </c>
      <c r="AP411" s="445">
        <f>SUMIF(OTT!$G$155:$J$155,AP$112,OTT!$R31:$U31)</f>
        <v>0</v>
      </c>
      <c r="AQ411" s="446">
        <f>SUMIF(OTT!$G$155:$J$155,AQ$112,OTT!$R31:$U31)</f>
        <v>0</v>
      </c>
      <c r="AR411" s="447">
        <f>SUMIF(OTT!$G$155:$J$155,AR$112,OTT!$R31:$U31)</f>
        <v>0</v>
      </c>
      <c r="AS411" s="448">
        <f>SUMIF(OTT!$G$155:$J$155,AS$112,OTT!$R31:$U31)</f>
        <v>0</v>
      </c>
      <c r="AT411" s="449">
        <f>OTT!AG31</f>
        <v>0</v>
      </c>
      <c r="AU411" s="445">
        <f>OTT!AH31</f>
        <v>0</v>
      </c>
      <c r="AV411" s="446">
        <f>OTT!AI31</f>
        <v>0</v>
      </c>
      <c r="AW411" s="447">
        <f>OTT!AJ31</f>
        <v>0</v>
      </c>
      <c r="AX411" s="448">
        <f>OTT!AK31</f>
        <v>0</v>
      </c>
      <c r="AY411" s="445">
        <f>SUMIF(OTT!$G$152:$J$152,"&gt;0",OTT!$W31:$Z31)</f>
        <v>0</v>
      </c>
      <c r="AZ411" s="1063">
        <f>SUM(OTT!AB31:AE31)</f>
        <v>0</v>
      </c>
      <c r="BA411" s="445">
        <f>SUMIF(OTT!$G$159:$J$159,BA$111,OTT!$R31:$U31)+SUMIF(OTT!$G$159:$J$159,BA$111,OTT!$W31:$Z31)</f>
        <v>0</v>
      </c>
      <c r="BB411" s="446">
        <f>SUMIF(OTT!$G$159:$J$159,BB$111,OTT!$R31:$U31)+SUMIF(OTT!$G$159:$J$159,BB$111,OTT!$W31:$Z31)</f>
        <v>0</v>
      </c>
      <c r="BC411" s="446">
        <f>SUMIF(OTT!$G$159:$J$159,BC$111,OTT!$R31:$U31)+SUMIF(OTT!$G$159:$J$159,BC$111,OTT!$W31:$Z31)</f>
        <v>0</v>
      </c>
      <c r="BD411" s="446">
        <f>SUMIF(OTT!$G$159:$J$159,BD$111,OTT!$R31:$U31)+SUMIF(OTT!$G$159:$J$159,BD$111,OTT!$W31:$Z31)</f>
        <v>0</v>
      </c>
      <c r="BE411" s="446">
        <f>SUMIF(OTT!$G$159:$J$159,BE$111,OTT!$R31:$U31)+SUMIF(OTT!$G$159:$J$159,BE$111,OTT!$W31:$Z31)</f>
        <v>0</v>
      </c>
      <c r="BF411" s="446">
        <f>SUMIF(OTT!$G$159:$J$159,BF$111,OTT!$R31:$U31)+SUMIF(OTT!$G$159:$J$159,BF$111,OTT!$W31:$Z31)</f>
        <v>0</v>
      </c>
      <c r="BG411" s="448">
        <f>SUMIF(OTT!$G$159:$J$159,BG$111,OTT!$R31:$U31)+SUMIF(OTT!$G$159:$J$159,BG$111,OTT!$W31:$Z31)</f>
        <v>0</v>
      </c>
      <c r="BH411" s="571"/>
      <c r="BI411" s="448"/>
      <c r="BJ411" s="470"/>
      <c r="BK411" s="445">
        <f>SUMIF(OTT!$G$157:$J$157,BK$111,OTT!$R31:$U31)+SUMIF(OTT!$G$157:$J$157,BK$111,OTT!$W31:$Z31)</f>
        <v>0</v>
      </c>
      <c r="BL411" s="446">
        <f>SUMIF(OTT!$G$157:$J$157,BL$111,OTT!$R31:$U31)+SUMIF(OTT!$G$157:$J$157,BL$111,OTT!$W31:$Z31)</f>
        <v>0</v>
      </c>
      <c r="BM411" s="446">
        <f>SUMIF(OTT!$G$157:$J$157,BM$111,OTT!$R31:$U31)+SUMIF(OTT!$G$157:$J$157,BM$111,OTT!$W31:$Z31)</f>
        <v>0</v>
      </c>
      <c r="BN411" s="446">
        <f>SUMIF(OTT!$G$157:$J$157,BN$111,OTT!$R31:$U31)+SUMIF(OTT!$G$157:$J$157,BN$111,OTT!$W31:$Z31)</f>
        <v>0</v>
      </c>
      <c r="BO411" s="446">
        <f>SUMIF(OTT!$G$157:$J$157,BO$111,OTT!$R31:$U31)+SUMIF(OTT!$G$157:$J$157,BO$111,OTT!$W31:$Z31)</f>
        <v>0</v>
      </c>
      <c r="BP411" s="446">
        <f>SUMIF(OTT!$G$157:$J$157,BP$111,OTT!$R31:$U31)+SUMIF(OTT!$G$157:$J$157,BP$111,OTT!$W31:$Z31)</f>
        <v>0</v>
      </c>
      <c r="BQ411" s="448">
        <f>SUMIF(OTT!$G$157:$J$157,BQ$111,OTT!$R31:$U31)+SUMIF(OTT!$G$157:$J$157,BQ$111,OTT!$W31:$Z31)</f>
        <v>0</v>
      </c>
      <c r="BR411" s="571"/>
      <c r="BS411" s="446"/>
      <c r="BT411" s="448"/>
      <c r="BU411" s="470"/>
      <c r="BV411" s="445">
        <f>SUMIF(OTT!$G$158:$J$158,BV$111,OTT!$R31:$U31)+SUMIF(OTT!$G$158:$J$158,BV$111,OTT!$W31:$Z31)</f>
        <v>0</v>
      </c>
      <c r="BW411" s="446">
        <f>SUMIF(OTT!$G$158:$J$158,BW$111,OTT!$R31:$U31)+SUMIF(OTT!$G$158:$J$158,BW$111,OTT!$W31:$Z31)</f>
        <v>0</v>
      </c>
      <c r="BX411" s="446">
        <f>SUMIF(OTT!$G$158:$J$158,BX$111,OTT!$R31:$U31)+SUMIF(OTT!$G$158:$J$158,BX$111,OTT!$W31:$Z31)</f>
        <v>0</v>
      </c>
      <c r="BY411" s="446">
        <f>SUMIF(OTT!$G$158:$J$158,BY$111,OTT!$R31:$U31)+SUMIF(OTT!$G$158:$J$158,BY$111,OTT!$W31:$Z31)</f>
        <v>0</v>
      </c>
      <c r="BZ411" s="446">
        <f>SUMIF(OTT!$G$158:$J$158,BZ$111,OTT!$R31:$U31)+SUMIF(OTT!$G$158:$J$158,BZ$111,OTT!$W31:$Z31)</f>
        <v>0</v>
      </c>
      <c r="CA411" s="446">
        <f>SUMIF(OTT!$G$158:$J$158,CA$111,OTT!$R31:$U31)+SUMIF(OTT!$G$158:$J$158,CA$111,OTT!$W31:$Z31)</f>
        <v>0</v>
      </c>
      <c r="CB411" s="448">
        <f>SUMIF(OTT!$G$158:$J$158,CB$111,OTT!$R31:$U31)+SUMIF(OTT!$G$158:$J$158,CB$111,OTT!$W31:$Z31)</f>
        <v>0</v>
      </c>
      <c r="CC411" s="571"/>
      <c r="CD411" s="448"/>
      <c r="CE411" s="92">
        <f t="shared" si="297"/>
        <v>0</v>
      </c>
      <c r="CF411" s="92">
        <f t="shared" si="298"/>
        <v>0</v>
      </c>
      <c r="CG411" s="151" t="str">
        <f t="shared" si="284"/>
        <v/>
      </c>
      <c r="CH411" s="92">
        <f t="shared" si="287"/>
        <v>0</v>
      </c>
      <c r="CI411" s="92" t="str">
        <f t="shared" si="299"/>
        <v/>
      </c>
      <c r="CJ411" s="1100">
        <f>OTT!AM31</f>
        <v>0</v>
      </c>
      <c r="CK411" s="445">
        <f>SUMIF(OTT!$G$155:$J$155,CK$112,OTT!$AN31:$AQ31)</f>
        <v>0</v>
      </c>
      <c r="CL411" s="446">
        <f>SUMIF(OTT!$G$155:$J$155,CL$112,OTT!$AN31:$AQ31)</f>
        <v>0</v>
      </c>
      <c r="CM411" s="447">
        <f>SUMIF(OTT!$G$155:$J$155,CM$112,OTT!$AN31:$AQ31)</f>
        <v>0</v>
      </c>
      <c r="CN411" s="448">
        <f>SUMIF(OTT!$G$155:$J$155,CN$112,OTT!$AN31:$AQ31)</f>
        <v>0</v>
      </c>
      <c r="CO411" s="1100">
        <f>OTT!AS31</f>
        <v>0</v>
      </c>
      <c r="CP411" s="445">
        <f>OTT!AT31</f>
        <v>0</v>
      </c>
      <c r="CQ411" s="446">
        <f>OTT!AU31</f>
        <v>0</v>
      </c>
      <c r="CR411" s="447">
        <f>OTT!AV31</f>
        <v>0</v>
      </c>
      <c r="CS411" s="448">
        <f>OTT!AW31</f>
        <v>0</v>
      </c>
      <c r="CT411" s="1100">
        <f>OTT!AY31</f>
        <v>0</v>
      </c>
      <c r="CU411" s="2"/>
    </row>
    <row r="412" spans="1:99" ht="14.25" hidden="1" customHeight="1" x14ac:dyDescent="0.2">
      <c r="A412" s="2"/>
      <c r="B412" s="151">
        <f t="shared" si="288"/>
        <v>45590</v>
      </c>
      <c r="C412" s="223">
        <f>IF(AND(E412&gt;(N$494-1),E412&lt;(R$494+1)),W$485,IF(ISERROR(HLOOKUP(E412,$N$487:$U$487,1,FALSE)),HLOOKUP(WEEKDAY(E412,2),IMPOSTAZIONI!$C$51:$P$56,6,FALSE),$W$484))</f>
        <v>0</v>
      </c>
      <c r="D412" s="103" t="str">
        <f t="shared" si="289"/>
        <v/>
      </c>
      <c r="E412" s="2380">
        <f t="shared" si="300"/>
        <v>45590</v>
      </c>
      <c r="F412" s="2381"/>
      <c r="G412" s="2325" t="str">
        <f>OTT!E32</f>
        <v xml:space="preserve">attiva trim.  </v>
      </c>
      <c r="H412" s="2326"/>
      <c r="I412" s="2327"/>
      <c r="J412" s="479" t="str">
        <f t="shared" si="285"/>
        <v/>
      </c>
      <c r="K412" s="480"/>
      <c r="L412" s="2319">
        <f t="shared" si="301"/>
        <v>43</v>
      </c>
      <c r="M412" s="2320"/>
      <c r="N412" s="478"/>
      <c r="O412" s="478"/>
      <c r="P412" s="478"/>
      <c r="Q412" s="2315">
        <f t="shared" si="290"/>
        <v>45590</v>
      </c>
      <c r="R412" s="2315"/>
      <c r="S412" s="478"/>
      <c r="T412" s="140">
        <f t="shared" si="291"/>
        <v>1</v>
      </c>
      <c r="U412" s="478"/>
      <c r="V412" s="478"/>
      <c r="W412" s="478"/>
      <c r="X412" s="478"/>
      <c r="Y412" s="478"/>
      <c r="Z412" s="478"/>
      <c r="AA412" s="478"/>
      <c r="AB412" s="478"/>
      <c r="AC412" s="478"/>
      <c r="AD412" s="478"/>
      <c r="AE412" s="478"/>
      <c r="AF412" s="478"/>
      <c r="AG412" s="140">
        <f t="shared" si="292"/>
        <v>0</v>
      </c>
      <c r="AH412" s="92" t="str">
        <f t="shared" si="293"/>
        <v/>
      </c>
      <c r="AI412" s="131">
        <f t="shared" si="294"/>
        <v>0</v>
      </c>
      <c r="AJ412" s="2"/>
      <c r="AK412" s="92">
        <f>IF(G412=G$481,0,IF(OR(G412&lt;&gt;0,CJ412&lt;&gt;0,C412="L"),COUNTIF(AK$114:AK411,"&gt;0")+1,0))</f>
        <v>0</v>
      </c>
      <c r="AL412" s="92" t="str">
        <f t="shared" si="295"/>
        <v/>
      </c>
      <c r="AM412" s="92" t="str">
        <f t="shared" si="296"/>
        <v/>
      </c>
      <c r="AN412" s="131">
        <f t="shared" si="286"/>
        <v>0</v>
      </c>
      <c r="AO412" s="447">
        <f>SUM(OTT!W32:Z32)</f>
        <v>0</v>
      </c>
      <c r="AP412" s="445">
        <f>SUMIF(OTT!$G$155:$J$155,AP$112,OTT!$R32:$U32)</f>
        <v>0</v>
      </c>
      <c r="AQ412" s="446">
        <f>SUMIF(OTT!$G$155:$J$155,AQ$112,OTT!$R32:$U32)</f>
        <v>0</v>
      </c>
      <c r="AR412" s="447">
        <f>SUMIF(OTT!$G$155:$J$155,AR$112,OTT!$R32:$U32)</f>
        <v>0</v>
      </c>
      <c r="AS412" s="448">
        <f>SUMIF(OTT!$G$155:$J$155,AS$112,OTT!$R32:$U32)</f>
        <v>0</v>
      </c>
      <c r="AT412" s="449">
        <f>OTT!AG32</f>
        <v>0</v>
      </c>
      <c r="AU412" s="445">
        <f>OTT!AH32</f>
        <v>0</v>
      </c>
      <c r="AV412" s="446">
        <f>OTT!AI32</f>
        <v>0</v>
      </c>
      <c r="AW412" s="447">
        <f>OTT!AJ32</f>
        <v>0</v>
      </c>
      <c r="AX412" s="448">
        <f>OTT!AK32</f>
        <v>0</v>
      </c>
      <c r="AY412" s="445">
        <f>SUMIF(OTT!$G$152:$J$152,"&gt;0",OTT!$W32:$Z32)</f>
        <v>0</v>
      </c>
      <c r="AZ412" s="1063">
        <f>SUM(OTT!AB32:AE32)</f>
        <v>0</v>
      </c>
      <c r="BA412" s="445">
        <f>SUMIF(OTT!$G$159:$J$159,BA$111,OTT!$R32:$U32)+SUMIF(OTT!$G$159:$J$159,BA$111,OTT!$W32:$Z32)</f>
        <v>0</v>
      </c>
      <c r="BB412" s="446">
        <f>SUMIF(OTT!$G$159:$J$159,BB$111,OTT!$R32:$U32)+SUMIF(OTT!$G$159:$J$159,BB$111,OTT!$W32:$Z32)</f>
        <v>0</v>
      </c>
      <c r="BC412" s="446">
        <f>SUMIF(OTT!$G$159:$J$159,BC$111,OTT!$R32:$U32)+SUMIF(OTT!$G$159:$J$159,BC$111,OTT!$W32:$Z32)</f>
        <v>0</v>
      </c>
      <c r="BD412" s="446">
        <f>SUMIF(OTT!$G$159:$J$159,BD$111,OTT!$R32:$U32)+SUMIF(OTT!$G$159:$J$159,BD$111,OTT!$W32:$Z32)</f>
        <v>0</v>
      </c>
      <c r="BE412" s="446">
        <f>SUMIF(OTT!$G$159:$J$159,BE$111,OTT!$R32:$U32)+SUMIF(OTT!$G$159:$J$159,BE$111,OTT!$W32:$Z32)</f>
        <v>0</v>
      </c>
      <c r="BF412" s="446">
        <f>SUMIF(OTT!$G$159:$J$159,BF$111,OTT!$R32:$U32)+SUMIF(OTT!$G$159:$J$159,BF$111,OTT!$W32:$Z32)</f>
        <v>0</v>
      </c>
      <c r="BG412" s="448">
        <f>SUMIF(OTT!$G$159:$J$159,BG$111,OTT!$R32:$U32)+SUMIF(OTT!$G$159:$J$159,BG$111,OTT!$W32:$Z32)</f>
        <v>0</v>
      </c>
      <c r="BH412" s="571"/>
      <c r="BI412" s="448"/>
      <c r="BJ412" s="470"/>
      <c r="BK412" s="445">
        <f>SUMIF(OTT!$G$157:$J$157,BK$111,OTT!$R32:$U32)+SUMIF(OTT!$G$157:$J$157,BK$111,OTT!$W32:$Z32)</f>
        <v>0</v>
      </c>
      <c r="BL412" s="446">
        <f>SUMIF(OTT!$G$157:$J$157,BL$111,OTT!$R32:$U32)+SUMIF(OTT!$G$157:$J$157,BL$111,OTT!$W32:$Z32)</f>
        <v>0</v>
      </c>
      <c r="BM412" s="446">
        <f>SUMIF(OTT!$G$157:$J$157,BM$111,OTT!$R32:$U32)+SUMIF(OTT!$G$157:$J$157,BM$111,OTT!$W32:$Z32)</f>
        <v>0</v>
      </c>
      <c r="BN412" s="446">
        <f>SUMIF(OTT!$G$157:$J$157,BN$111,OTT!$R32:$U32)+SUMIF(OTT!$G$157:$J$157,BN$111,OTT!$W32:$Z32)</f>
        <v>0</v>
      </c>
      <c r="BO412" s="446">
        <f>SUMIF(OTT!$G$157:$J$157,BO$111,OTT!$R32:$U32)+SUMIF(OTT!$G$157:$J$157,BO$111,OTT!$W32:$Z32)</f>
        <v>0</v>
      </c>
      <c r="BP412" s="446">
        <f>SUMIF(OTT!$G$157:$J$157,BP$111,OTT!$R32:$U32)+SUMIF(OTT!$G$157:$J$157,BP$111,OTT!$W32:$Z32)</f>
        <v>0</v>
      </c>
      <c r="BQ412" s="448">
        <f>SUMIF(OTT!$G$157:$J$157,BQ$111,OTT!$R32:$U32)+SUMIF(OTT!$G$157:$J$157,BQ$111,OTT!$W32:$Z32)</f>
        <v>0</v>
      </c>
      <c r="BR412" s="571"/>
      <c r="BS412" s="446"/>
      <c r="BT412" s="448"/>
      <c r="BU412" s="470"/>
      <c r="BV412" s="445">
        <f>SUMIF(OTT!$G$158:$J$158,BV$111,OTT!$R32:$U32)+SUMIF(OTT!$G$158:$J$158,BV$111,OTT!$W32:$Z32)</f>
        <v>0</v>
      </c>
      <c r="BW412" s="446">
        <f>SUMIF(OTT!$G$158:$J$158,BW$111,OTT!$R32:$U32)+SUMIF(OTT!$G$158:$J$158,BW$111,OTT!$W32:$Z32)</f>
        <v>0</v>
      </c>
      <c r="BX412" s="446">
        <f>SUMIF(OTT!$G$158:$J$158,BX$111,OTT!$R32:$U32)+SUMIF(OTT!$G$158:$J$158,BX$111,OTT!$W32:$Z32)</f>
        <v>0</v>
      </c>
      <c r="BY412" s="446">
        <f>SUMIF(OTT!$G$158:$J$158,BY$111,OTT!$R32:$U32)+SUMIF(OTT!$G$158:$J$158,BY$111,OTT!$W32:$Z32)</f>
        <v>0</v>
      </c>
      <c r="BZ412" s="446">
        <f>SUMIF(OTT!$G$158:$J$158,BZ$111,OTT!$R32:$U32)+SUMIF(OTT!$G$158:$J$158,BZ$111,OTT!$W32:$Z32)</f>
        <v>0</v>
      </c>
      <c r="CA412" s="446">
        <f>SUMIF(OTT!$G$158:$J$158,CA$111,OTT!$R32:$U32)+SUMIF(OTT!$G$158:$J$158,CA$111,OTT!$W32:$Z32)</f>
        <v>0</v>
      </c>
      <c r="CB412" s="448">
        <f>SUMIF(OTT!$G$158:$J$158,CB$111,OTT!$R32:$U32)+SUMIF(OTT!$G$158:$J$158,CB$111,OTT!$W32:$Z32)</f>
        <v>0</v>
      </c>
      <c r="CC412" s="571"/>
      <c r="CD412" s="448"/>
      <c r="CE412" s="92">
        <f t="shared" si="297"/>
        <v>0</v>
      </c>
      <c r="CF412" s="92">
        <f t="shared" si="298"/>
        <v>0</v>
      </c>
      <c r="CG412" s="151" t="str">
        <f t="shared" si="284"/>
        <v/>
      </c>
      <c r="CH412" s="92">
        <f t="shared" si="287"/>
        <v>0</v>
      </c>
      <c r="CI412" s="92" t="str">
        <f t="shared" si="299"/>
        <v/>
      </c>
      <c r="CJ412" s="1100">
        <f>OTT!AM32</f>
        <v>0</v>
      </c>
      <c r="CK412" s="445">
        <f>SUMIF(OTT!$G$155:$J$155,CK$112,OTT!$AN32:$AQ32)</f>
        <v>0</v>
      </c>
      <c r="CL412" s="446">
        <f>SUMIF(OTT!$G$155:$J$155,CL$112,OTT!$AN32:$AQ32)</f>
        <v>0</v>
      </c>
      <c r="CM412" s="447">
        <f>SUMIF(OTT!$G$155:$J$155,CM$112,OTT!$AN32:$AQ32)</f>
        <v>0</v>
      </c>
      <c r="CN412" s="448">
        <f>SUMIF(OTT!$G$155:$J$155,CN$112,OTT!$AN32:$AQ32)</f>
        <v>0</v>
      </c>
      <c r="CO412" s="1100">
        <f>OTT!AS32</f>
        <v>0</v>
      </c>
      <c r="CP412" s="445">
        <f>OTT!AT32</f>
        <v>0</v>
      </c>
      <c r="CQ412" s="446">
        <f>OTT!AU32</f>
        <v>0</v>
      </c>
      <c r="CR412" s="447">
        <f>OTT!AV32</f>
        <v>0</v>
      </c>
      <c r="CS412" s="448">
        <f>OTT!AW32</f>
        <v>0</v>
      </c>
      <c r="CT412" s="1100">
        <f>OTT!AY32</f>
        <v>0</v>
      </c>
      <c r="CU412" s="2"/>
    </row>
    <row r="413" spans="1:99" ht="14.25" hidden="1" customHeight="1" x14ac:dyDescent="0.2">
      <c r="A413" s="2"/>
      <c r="B413" s="151">
        <f t="shared" si="288"/>
        <v>45591</v>
      </c>
      <c r="C413" s="223">
        <f>IF(AND(E413&gt;(N$494-1),E413&lt;(R$494+1)),W$485,IF(ISERROR(HLOOKUP(E413,$N$487:$U$487,1,FALSE)),HLOOKUP(WEEKDAY(E413,2),IMPOSTAZIONI!$C$51:$P$56,6,FALSE),$W$484))</f>
        <v>0</v>
      </c>
      <c r="D413" s="103" t="str">
        <f t="shared" si="289"/>
        <v/>
      </c>
      <c r="E413" s="2380">
        <f t="shared" si="300"/>
        <v>45591</v>
      </c>
      <c r="F413" s="2381"/>
      <c r="G413" s="2325" t="str">
        <f>OTT!E33</f>
        <v xml:space="preserve">attiva trim.  </v>
      </c>
      <c r="H413" s="2326"/>
      <c r="I413" s="2327"/>
      <c r="J413" s="479" t="str">
        <f t="shared" si="285"/>
        <v/>
      </c>
      <c r="K413" s="480"/>
      <c r="L413" s="2319">
        <f t="shared" si="301"/>
        <v>43</v>
      </c>
      <c r="M413" s="2320"/>
      <c r="N413" s="478"/>
      <c r="O413" s="478"/>
      <c r="P413" s="478"/>
      <c r="Q413" s="2315">
        <f t="shared" si="290"/>
        <v>45591</v>
      </c>
      <c r="R413" s="2315"/>
      <c r="S413" s="478"/>
      <c r="T413" s="140">
        <f t="shared" si="291"/>
        <v>1</v>
      </c>
      <c r="U413" s="478"/>
      <c r="V413" s="478"/>
      <c r="W413" s="478"/>
      <c r="X413" s="478"/>
      <c r="Y413" s="478"/>
      <c r="Z413" s="478"/>
      <c r="AA413" s="478"/>
      <c r="AB413" s="478"/>
      <c r="AC413" s="478"/>
      <c r="AD413" s="478"/>
      <c r="AE413" s="478"/>
      <c r="AF413" s="478"/>
      <c r="AG413" s="140">
        <f t="shared" si="292"/>
        <v>0</v>
      </c>
      <c r="AH413" s="92" t="str">
        <f t="shared" si="293"/>
        <v/>
      </c>
      <c r="AI413" s="131">
        <f t="shared" si="294"/>
        <v>0</v>
      </c>
      <c r="AJ413" s="2"/>
      <c r="AK413" s="92">
        <f>IF(G413=G$481,0,IF(OR(G413&lt;&gt;0,CJ413&lt;&gt;0,C413="L"),COUNTIF(AK$114:AK412,"&gt;0")+1,0))</f>
        <v>0</v>
      </c>
      <c r="AL413" s="92" t="str">
        <f t="shared" si="295"/>
        <v/>
      </c>
      <c r="AM413" s="92" t="str">
        <f t="shared" si="296"/>
        <v/>
      </c>
      <c r="AN413" s="131">
        <f t="shared" si="286"/>
        <v>0</v>
      </c>
      <c r="AO413" s="447">
        <f>SUM(OTT!W33:Z33)</f>
        <v>0</v>
      </c>
      <c r="AP413" s="445">
        <f>SUMIF(OTT!$G$155:$J$155,AP$112,OTT!$R33:$U33)</f>
        <v>0</v>
      </c>
      <c r="AQ413" s="446">
        <f>SUMIF(OTT!$G$155:$J$155,AQ$112,OTT!$R33:$U33)</f>
        <v>0</v>
      </c>
      <c r="AR413" s="447">
        <f>SUMIF(OTT!$G$155:$J$155,AR$112,OTT!$R33:$U33)</f>
        <v>0</v>
      </c>
      <c r="AS413" s="448">
        <f>SUMIF(OTT!$G$155:$J$155,AS$112,OTT!$R33:$U33)</f>
        <v>0</v>
      </c>
      <c r="AT413" s="449">
        <f>OTT!AG33</f>
        <v>0</v>
      </c>
      <c r="AU413" s="445">
        <f>OTT!AH33</f>
        <v>0</v>
      </c>
      <c r="AV413" s="446">
        <f>OTT!AI33</f>
        <v>0</v>
      </c>
      <c r="AW413" s="447">
        <f>OTT!AJ33</f>
        <v>0</v>
      </c>
      <c r="AX413" s="448">
        <f>OTT!AK33</f>
        <v>0</v>
      </c>
      <c r="AY413" s="445">
        <f>SUMIF(OTT!$G$152:$J$152,"&gt;0",OTT!$W33:$Z33)</f>
        <v>0</v>
      </c>
      <c r="AZ413" s="1063">
        <f>SUM(OTT!AB33:AE33)</f>
        <v>0</v>
      </c>
      <c r="BA413" s="445">
        <f>SUMIF(OTT!$G$159:$J$159,BA$111,OTT!$R33:$U33)+SUMIF(OTT!$G$159:$J$159,BA$111,OTT!$W33:$Z33)</f>
        <v>0</v>
      </c>
      <c r="BB413" s="446">
        <f>SUMIF(OTT!$G$159:$J$159,BB$111,OTT!$R33:$U33)+SUMIF(OTT!$G$159:$J$159,BB$111,OTT!$W33:$Z33)</f>
        <v>0</v>
      </c>
      <c r="BC413" s="446">
        <f>SUMIF(OTT!$G$159:$J$159,BC$111,OTT!$R33:$U33)+SUMIF(OTT!$G$159:$J$159,BC$111,OTT!$W33:$Z33)</f>
        <v>0</v>
      </c>
      <c r="BD413" s="446">
        <f>SUMIF(OTT!$G$159:$J$159,BD$111,OTT!$R33:$U33)+SUMIF(OTT!$G$159:$J$159,BD$111,OTT!$W33:$Z33)</f>
        <v>0</v>
      </c>
      <c r="BE413" s="446">
        <f>SUMIF(OTT!$G$159:$J$159,BE$111,OTT!$R33:$U33)+SUMIF(OTT!$G$159:$J$159,BE$111,OTT!$W33:$Z33)</f>
        <v>0</v>
      </c>
      <c r="BF413" s="446">
        <f>SUMIF(OTT!$G$159:$J$159,BF$111,OTT!$R33:$U33)+SUMIF(OTT!$G$159:$J$159,BF$111,OTT!$W33:$Z33)</f>
        <v>0</v>
      </c>
      <c r="BG413" s="448">
        <f>SUMIF(OTT!$G$159:$J$159,BG$111,OTT!$R33:$U33)+SUMIF(OTT!$G$159:$J$159,BG$111,OTT!$W33:$Z33)</f>
        <v>0</v>
      </c>
      <c r="BH413" s="571"/>
      <c r="BI413" s="448"/>
      <c r="BJ413" s="470"/>
      <c r="BK413" s="445">
        <f>SUMIF(OTT!$G$157:$J$157,BK$111,OTT!$R33:$U33)+SUMIF(OTT!$G$157:$J$157,BK$111,OTT!$W33:$Z33)</f>
        <v>0</v>
      </c>
      <c r="BL413" s="446">
        <f>SUMIF(OTT!$G$157:$J$157,BL$111,OTT!$R33:$U33)+SUMIF(OTT!$G$157:$J$157,BL$111,OTT!$W33:$Z33)</f>
        <v>0</v>
      </c>
      <c r="BM413" s="446">
        <f>SUMIF(OTT!$G$157:$J$157,BM$111,OTT!$R33:$U33)+SUMIF(OTT!$G$157:$J$157,BM$111,OTT!$W33:$Z33)</f>
        <v>0</v>
      </c>
      <c r="BN413" s="446">
        <f>SUMIF(OTT!$G$157:$J$157,BN$111,OTT!$R33:$U33)+SUMIF(OTT!$G$157:$J$157,BN$111,OTT!$W33:$Z33)</f>
        <v>0</v>
      </c>
      <c r="BO413" s="446">
        <f>SUMIF(OTT!$G$157:$J$157,BO$111,OTT!$R33:$U33)+SUMIF(OTT!$G$157:$J$157,BO$111,OTT!$W33:$Z33)</f>
        <v>0</v>
      </c>
      <c r="BP413" s="446">
        <f>SUMIF(OTT!$G$157:$J$157,BP$111,OTT!$R33:$U33)+SUMIF(OTT!$G$157:$J$157,BP$111,OTT!$W33:$Z33)</f>
        <v>0</v>
      </c>
      <c r="BQ413" s="448">
        <f>SUMIF(OTT!$G$157:$J$157,BQ$111,OTT!$R33:$U33)+SUMIF(OTT!$G$157:$J$157,BQ$111,OTT!$W33:$Z33)</f>
        <v>0</v>
      </c>
      <c r="BR413" s="571"/>
      <c r="BS413" s="446"/>
      <c r="BT413" s="448"/>
      <c r="BU413" s="470"/>
      <c r="BV413" s="445">
        <f>SUMIF(OTT!$G$158:$J$158,BV$111,OTT!$R33:$U33)+SUMIF(OTT!$G$158:$J$158,BV$111,OTT!$W33:$Z33)</f>
        <v>0</v>
      </c>
      <c r="BW413" s="446">
        <f>SUMIF(OTT!$G$158:$J$158,BW$111,OTT!$R33:$U33)+SUMIF(OTT!$G$158:$J$158,BW$111,OTT!$W33:$Z33)</f>
        <v>0</v>
      </c>
      <c r="BX413" s="446">
        <f>SUMIF(OTT!$G$158:$J$158,BX$111,OTT!$R33:$U33)+SUMIF(OTT!$G$158:$J$158,BX$111,OTT!$W33:$Z33)</f>
        <v>0</v>
      </c>
      <c r="BY413" s="446">
        <f>SUMIF(OTT!$G$158:$J$158,BY$111,OTT!$R33:$U33)+SUMIF(OTT!$G$158:$J$158,BY$111,OTT!$W33:$Z33)</f>
        <v>0</v>
      </c>
      <c r="BZ413" s="446">
        <f>SUMIF(OTT!$G$158:$J$158,BZ$111,OTT!$R33:$U33)+SUMIF(OTT!$G$158:$J$158,BZ$111,OTT!$W33:$Z33)</f>
        <v>0</v>
      </c>
      <c r="CA413" s="446">
        <f>SUMIF(OTT!$G$158:$J$158,CA$111,OTT!$R33:$U33)+SUMIF(OTT!$G$158:$J$158,CA$111,OTT!$W33:$Z33)</f>
        <v>0</v>
      </c>
      <c r="CB413" s="448">
        <f>SUMIF(OTT!$G$158:$J$158,CB$111,OTT!$R33:$U33)+SUMIF(OTT!$G$158:$J$158,CB$111,OTT!$W33:$Z33)</f>
        <v>0</v>
      </c>
      <c r="CC413" s="571"/>
      <c r="CD413" s="448"/>
      <c r="CE413" s="92">
        <f t="shared" si="297"/>
        <v>0</v>
      </c>
      <c r="CF413" s="92">
        <f t="shared" si="298"/>
        <v>0</v>
      </c>
      <c r="CG413" s="151" t="str">
        <f t="shared" si="284"/>
        <v/>
      </c>
      <c r="CH413" s="92">
        <f t="shared" si="287"/>
        <v>0</v>
      </c>
      <c r="CI413" s="92" t="str">
        <f t="shared" si="299"/>
        <v/>
      </c>
      <c r="CJ413" s="1100">
        <f>OTT!AM33</f>
        <v>0</v>
      </c>
      <c r="CK413" s="445">
        <f>SUMIF(OTT!$G$155:$J$155,CK$112,OTT!$AN33:$AQ33)</f>
        <v>0</v>
      </c>
      <c r="CL413" s="446">
        <f>SUMIF(OTT!$G$155:$J$155,CL$112,OTT!$AN33:$AQ33)</f>
        <v>0</v>
      </c>
      <c r="CM413" s="447">
        <f>SUMIF(OTT!$G$155:$J$155,CM$112,OTT!$AN33:$AQ33)</f>
        <v>0</v>
      </c>
      <c r="CN413" s="448">
        <f>SUMIF(OTT!$G$155:$J$155,CN$112,OTT!$AN33:$AQ33)</f>
        <v>0</v>
      </c>
      <c r="CO413" s="1100">
        <f>OTT!AS33</f>
        <v>0</v>
      </c>
      <c r="CP413" s="445">
        <f>OTT!AT33</f>
        <v>0</v>
      </c>
      <c r="CQ413" s="446">
        <f>OTT!AU33</f>
        <v>0</v>
      </c>
      <c r="CR413" s="447">
        <f>OTT!AV33</f>
        <v>0</v>
      </c>
      <c r="CS413" s="448">
        <f>OTT!AW33</f>
        <v>0</v>
      </c>
      <c r="CT413" s="1100">
        <f>OTT!AY33</f>
        <v>0</v>
      </c>
      <c r="CU413" s="2"/>
    </row>
    <row r="414" spans="1:99" ht="14.25" hidden="1" customHeight="1" x14ac:dyDescent="0.2">
      <c r="A414" s="2"/>
      <c r="B414" s="151">
        <f t="shared" si="288"/>
        <v>45592</v>
      </c>
      <c r="C414" s="223">
        <f>IF(AND(E414&gt;(N$494-1),E414&lt;(R$494+1)),W$485,IF(ISERROR(HLOOKUP(E414,$N$487:$U$487,1,FALSE)),HLOOKUP(WEEKDAY(E414,2),IMPOSTAZIONI!$C$51:$P$56,6,FALSE),$W$484))</f>
        <v>0</v>
      </c>
      <c r="D414" s="103" t="str">
        <f t="shared" si="289"/>
        <v/>
      </c>
      <c r="E414" s="2380">
        <f t="shared" si="300"/>
        <v>45592</v>
      </c>
      <c r="F414" s="2381"/>
      <c r="G414" s="2325" t="str">
        <f>OTT!E34</f>
        <v xml:space="preserve">attiva trim.  </v>
      </c>
      <c r="H414" s="2326"/>
      <c r="I414" s="2327"/>
      <c r="J414" s="479" t="str">
        <f t="shared" si="285"/>
        <v/>
      </c>
      <c r="K414" s="480"/>
      <c r="L414" s="2321">
        <f t="shared" si="301"/>
        <v>43</v>
      </c>
      <c r="M414" s="2322"/>
      <c r="N414" s="478"/>
      <c r="O414" s="478"/>
      <c r="P414" s="478"/>
      <c r="Q414" s="2315">
        <f t="shared" si="290"/>
        <v>45592</v>
      </c>
      <c r="R414" s="2315"/>
      <c r="S414" s="478"/>
      <c r="T414" s="140">
        <f t="shared" si="291"/>
        <v>1</v>
      </c>
      <c r="U414" s="478"/>
      <c r="V414" s="478"/>
      <c r="W414" s="478"/>
      <c r="X414" s="478"/>
      <c r="Y414" s="478"/>
      <c r="Z414" s="478"/>
      <c r="AA414" s="478"/>
      <c r="AB414" s="478"/>
      <c r="AC414" s="478"/>
      <c r="AD414" s="478"/>
      <c r="AE414" s="478"/>
      <c r="AF414" s="478"/>
      <c r="AG414" s="140">
        <f t="shared" si="292"/>
        <v>0</v>
      </c>
      <c r="AH414" s="92" t="str">
        <f t="shared" si="293"/>
        <v/>
      </c>
      <c r="AI414" s="131">
        <f t="shared" si="294"/>
        <v>0</v>
      </c>
      <c r="AJ414" s="2"/>
      <c r="AK414" s="92">
        <f>IF(G414=G$481,0,IF(OR(G414&lt;&gt;0,CJ414&lt;&gt;0,C414="L"),COUNTIF(AK$114:AK413,"&gt;0")+1,0))</f>
        <v>0</v>
      </c>
      <c r="AL414" s="92" t="str">
        <f t="shared" si="295"/>
        <v/>
      </c>
      <c r="AM414" s="92" t="str">
        <f t="shared" si="296"/>
        <v/>
      </c>
      <c r="AN414" s="131">
        <f t="shared" si="286"/>
        <v>0</v>
      </c>
      <c r="AO414" s="447">
        <f>SUM(OTT!W34:Z34)</f>
        <v>0</v>
      </c>
      <c r="AP414" s="445">
        <f>SUMIF(OTT!$G$155:$J$155,AP$112,OTT!$R34:$U34)</f>
        <v>0</v>
      </c>
      <c r="AQ414" s="446">
        <f>SUMIF(OTT!$G$155:$J$155,AQ$112,OTT!$R34:$U34)</f>
        <v>0</v>
      </c>
      <c r="AR414" s="447">
        <f>SUMIF(OTT!$G$155:$J$155,AR$112,OTT!$R34:$U34)</f>
        <v>0</v>
      </c>
      <c r="AS414" s="448">
        <f>SUMIF(OTT!$G$155:$J$155,AS$112,OTT!$R34:$U34)</f>
        <v>0</v>
      </c>
      <c r="AT414" s="449">
        <f>OTT!AG34</f>
        <v>0</v>
      </c>
      <c r="AU414" s="445">
        <f>OTT!AH34</f>
        <v>0</v>
      </c>
      <c r="AV414" s="446">
        <f>OTT!AI34</f>
        <v>0</v>
      </c>
      <c r="AW414" s="447">
        <f>OTT!AJ34</f>
        <v>0</v>
      </c>
      <c r="AX414" s="448">
        <f>OTT!AK34</f>
        <v>0</v>
      </c>
      <c r="AY414" s="445">
        <f>SUMIF(OTT!$G$152:$J$152,"&gt;0",OTT!$W34:$Z34)</f>
        <v>0</v>
      </c>
      <c r="AZ414" s="1063">
        <f>SUM(OTT!AB34:AE34)</f>
        <v>0</v>
      </c>
      <c r="BA414" s="445">
        <f>SUMIF(OTT!$G$159:$J$159,BA$111,OTT!$R34:$U34)+SUMIF(OTT!$G$159:$J$159,BA$111,OTT!$W34:$Z34)</f>
        <v>0</v>
      </c>
      <c r="BB414" s="446">
        <f>SUMIF(OTT!$G$159:$J$159,BB$111,OTT!$R34:$U34)+SUMIF(OTT!$G$159:$J$159,BB$111,OTT!$W34:$Z34)</f>
        <v>0</v>
      </c>
      <c r="BC414" s="446">
        <f>SUMIF(OTT!$G$159:$J$159,BC$111,OTT!$R34:$U34)+SUMIF(OTT!$G$159:$J$159,BC$111,OTT!$W34:$Z34)</f>
        <v>0</v>
      </c>
      <c r="BD414" s="446">
        <f>SUMIF(OTT!$G$159:$J$159,BD$111,OTT!$R34:$U34)+SUMIF(OTT!$G$159:$J$159,BD$111,OTT!$W34:$Z34)</f>
        <v>0</v>
      </c>
      <c r="BE414" s="446">
        <f>SUMIF(OTT!$G$159:$J$159,BE$111,OTT!$R34:$U34)+SUMIF(OTT!$G$159:$J$159,BE$111,OTT!$W34:$Z34)</f>
        <v>0</v>
      </c>
      <c r="BF414" s="446">
        <f>SUMIF(OTT!$G$159:$J$159,BF$111,OTT!$R34:$U34)+SUMIF(OTT!$G$159:$J$159,BF$111,OTT!$W34:$Z34)</f>
        <v>0</v>
      </c>
      <c r="BG414" s="448">
        <f>SUMIF(OTT!$G$159:$J$159,BG$111,OTT!$R34:$U34)+SUMIF(OTT!$G$159:$J$159,BG$111,OTT!$W34:$Z34)</f>
        <v>0</v>
      </c>
      <c r="BH414" s="571"/>
      <c r="BI414" s="448"/>
      <c r="BJ414" s="470"/>
      <c r="BK414" s="445">
        <f>SUMIF(OTT!$G$157:$J$157,BK$111,OTT!$R34:$U34)+SUMIF(OTT!$G$157:$J$157,BK$111,OTT!$W34:$Z34)</f>
        <v>0</v>
      </c>
      <c r="BL414" s="446">
        <f>SUMIF(OTT!$G$157:$J$157,BL$111,OTT!$R34:$U34)+SUMIF(OTT!$G$157:$J$157,BL$111,OTT!$W34:$Z34)</f>
        <v>0</v>
      </c>
      <c r="BM414" s="446">
        <f>SUMIF(OTT!$G$157:$J$157,BM$111,OTT!$R34:$U34)+SUMIF(OTT!$G$157:$J$157,BM$111,OTT!$W34:$Z34)</f>
        <v>0</v>
      </c>
      <c r="BN414" s="446">
        <f>SUMIF(OTT!$G$157:$J$157,BN$111,OTT!$R34:$U34)+SUMIF(OTT!$G$157:$J$157,BN$111,OTT!$W34:$Z34)</f>
        <v>0</v>
      </c>
      <c r="BO414" s="446">
        <f>SUMIF(OTT!$G$157:$J$157,BO$111,OTT!$R34:$U34)+SUMIF(OTT!$G$157:$J$157,BO$111,OTT!$W34:$Z34)</f>
        <v>0</v>
      </c>
      <c r="BP414" s="446">
        <f>SUMIF(OTT!$G$157:$J$157,BP$111,OTT!$R34:$U34)+SUMIF(OTT!$G$157:$J$157,BP$111,OTT!$W34:$Z34)</f>
        <v>0</v>
      </c>
      <c r="BQ414" s="448">
        <f>SUMIF(OTT!$G$157:$J$157,BQ$111,OTT!$R34:$U34)+SUMIF(OTT!$G$157:$J$157,BQ$111,OTT!$W34:$Z34)</f>
        <v>0</v>
      </c>
      <c r="BR414" s="571"/>
      <c r="BS414" s="446"/>
      <c r="BT414" s="448"/>
      <c r="BU414" s="470"/>
      <c r="BV414" s="445">
        <f>SUMIF(OTT!$G$158:$J$158,BV$111,OTT!$R34:$U34)+SUMIF(OTT!$G$158:$J$158,BV$111,OTT!$W34:$Z34)</f>
        <v>0</v>
      </c>
      <c r="BW414" s="446">
        <f>SUMIF(OTT!$G$158:$J$158,BW$111,OTT!$R34:$U34)+SUMIF(OTT!$G$158:$J$158,BW$111,OTT!$W34:$Z34)</f>
        <v>0</v>
      </c>
      <c r="BX414" s="446">
        <f>SUMIF(OTT!$G$158:$J$158,BX$111,OTT!$R34:$U34)+SUMIF(OTT!$G$158:$J$158,BX$111,OTT!$W34:$Z34)</f>
        <v>0</v>
      </c>
      <c r="BY414" s="446">
        <f>SUMIF(OTT!$G$158:$J$158,BY$111,OTT!$R34:$U34)+SUMIF(OTT!$G$158:$J$158,BY$111,OTT!$W34:$Z34)</f>
        <v>0</v>
      </c>
      <c r="BZ414" s="446">
        <f>SUMIF(OTT!$G$158:$J$158,BZ$111,OTT!$R34:$U34)+SUMIF(OTT!$G$158:$J$158,BZ$111,OTT!$W34:$Z34)</f>
        <v>0</v>
      </c>
      <c r="CA414" s="446">
        <f>SUMIF(OTT!$G$158:$J$158,CA$111,OTT!$R34:$U34)+SUMIF(OTT!$G$158:$J$158,CA$111,OTT!$W34:$Z34)</f>
        <v>0</v>
      </c>
      <c r="CB414" s="448">
        <f>SUMIF(OTT!$G$158:$J$158,CB$111,OTT!$R34:$U34)+SUMIF(OTT!$G$158:$J$158,CB$111,OTT!$W34:$Z34)</f>
        <v>0</v>
      </c>
      <c r="CC414" s="571"/>
      <c r="CD414" s="448"/>
      <c r="CE414" s="92">
        <f t="shared" si="297"/>
        <v>0</v>
      </c>
      <c r="CF414" s="92">
        <f t="shared" si="298"/>
        <v>0</v>
      </c>
      <c r="CG414" s="151" t="str">
        <f t="shared" si="284"/>
        <v/>
      </c>
      <c r="CH414" s="92">
        <f t="shared" si="287"/>
        <v>0</v>
      </c>
      <c r="CI414" s="92" t="str">
        <f t="shared" si="299"/>
        <v/>
      </c>
      <c r="CJ414" s="1100">
        <f>OTT!AM34</f>
        <v>0</v>
      </c>
      <c r="CK414" s="445">
        <f>SUMIF(OTT!$G$155:$J$155,CK$112,OTT!$AN34:$AQ34)</f>
        <v>0</v>
      </c>
      <c r="CL414" s="446">
        <f>SUMIF(OTT!$G$155:$J$155,CL$112,OTT!$AN34:$AQ34)</f>
        <v>0</v>
      </c>
      <c r="CM414" s="447">
        <f>SUMIF(OTT!$G$155:$J$155,CM$112,OTT!$AN34:$AQ34)</f>
        <v>0</v>
      </c>
      <c r="CN414" s="448">
        <f>SUMIF(OTT!$G$155:$J$155,CN$112,OTT!$AN34:$AQ34)</f>
        <v>0</v>
      </c>
      <c r="CO414" s="1100">
        <f>OTT!AS34</f>
        <v>0</v>
      </c>
      <c r="CP414" s="445">
        <f>OTT!AT34</f>
        <v>0</v>
      </c>
      <c r="CQ414" s="446">
        <f>OTT!AU34</f>
        <v>0</v>
      </c>
      <c r="CR414" s="447">
        <f>OTT!AV34</f>
        <v>0</v>
      </c>
      <c r="CS414" s="448">
        <f>OTT!AW34</f>
        <v>0</v>
      </c>
      <c r="CT414" s="1100">
        <f>OTT!AY34</f>
        <v>0</v>
      </c>
      <c r="CU414" s="2"/>
    </row>
    <row r="415" spans="1:99" ht="14.25" hidden="1" customHeight="1" x14ac:dyDescent="0.2">
      <c r="A415" s="2"/>
      <c r="B415" s="151">
        <f t="shared" si="288"/>
        <v>45593</v>
      </c>
      <c r="C415" s="223">
        <f>IF(AND(E415&gt;(N$494-1),E415&lt;(R$494+1)),W$485,IF(ISERROR(HLOOKUP(E415,$N$487:$U$487,1,FALSE)),HLOOKUP(WEEKDAY(E415,2),IMPOSTAZIONI!$C$51:$P$56,6,FALSE),$W$484))</f>
        <v>0</v>
      </c>
      <c r="D415" s="103" t="str">
        <f t="shared" si="289"/>
        <v/>
      </c>
      <c r="E415" s="2380">
        <f t="shared" si="300"/>
        <v>45593</v>
      </c>
      <c r="F415" s="2381"/>
      <c r="G415" s="2325" t="str">
        <f>OTT!E35</f>
        <v xml:space="preserve">attiva trim.  </v>
      </c>
      <c r="H415" s="2326"/>
      <c r="I415" s="2327"/>
      <c r="J415" s="479" t="str">
        <f t="shared" si="285"/>
        <v/>
      </c>
      <c r="K415" s="480"/>
      <c r="L415" s="2323">
        <f t="shared" si="301"/>
        <v>44</v>
      </c>
      <c r="M415" s="2324"/>
      <c r="N415" s="478"/>
      <c r="O415" s="478"/>
      <c r="P415" s="478"/>
      <c r="Q415" s="2315">
        <f t="shared" si="290"/>
        <v>45593</v>
      </c>
      <c r="R415" s="2315"/>
      <c r="S415" s="478"/>
      <c r="T415" s="140">
        <f t="shared" si="291"/>
        <v>1</v>
      </c>
      <c r="U415" s="478"/>
      <c r="V415" s="478"/>
      <c r="W415" s="478"/>
      <c r="X415" s="478"/>
      <c r="Y415" s="478"/>
      <c r="Z415" s="478"/>
      <c r="AA415" s="478"/>
      <c r="AB415" s="478"/>
      <c r="AC415" s="478"/>
      <c r="AD415" s="478"/>
      <c r="AE415" s="478"/>
      <c r="AF415" s="478"/>
      <c r="AG415" s="140">
        <f t="shared" si="292"/>
        <v>0</v>
      </c>
      <c r="AH415" s="92" t="str">
        <f t="shared" si="293"/>
        <v/>
      </c>
      <c r="AI415" s="131">
        <f t="shared" si="294"/>
        <v>0</v>
      </c>
      <c r="AJ415" s="2"/>
      <c r="AK415" s="92">
        <f>IF(G415=G$481,0,IF(OR(G415&lt;&gt;0,CJ415&lt;&gt;0,C415="L"),COUNTIF(AK$114:AK414,"&gt;0")+1,0))</f>
        <v>0</v>
      </c>
      <c r="AL415" s="92" t="str">
        <f t="shared" si="295"/>
        <v/>
      </c>
      <c r="AM415" s="92" t="str">
        <f t="shared" si="296"/>
        <v/>
      </c>
      <c r="AN415" s="131">
        <f t="shared" si="286"/>
        <v>0</v>
      </c>
      <c r="AO415" s="447">
        <f>SUM(OTT!W35:Z35)</f>
        <v>0</v>
      </c>
      <c r="AP415" s="445">
        <f>SUMIF(OTT!$G$155:$J$155,AP$112,OTT!$R35:$U35)</f>
        <v>0</v>
      </c>
      <c r="AQ415" s="446">
        <f>SUMIF(OTT!$G$155:$J$155,AQ$112,OTT!$R35:$U35)</f>
        <v>0</v>
      </c>
      <c r="AR415" s="447">
        <f>SUMIF(OTT!$G$155:$J$155,AR$112,OTT!$R35:$U35)</f>
        <v>0</v>
      </c>
      <c r="AS415" s="448">
        <f>SUMIF(OTT!$G$155:$J$155,AS$112,OTT!$R35:$U35)</f>
        <v>0</v>
      </c>
      <c r="AT415" s="449">
        <f>OTT!AG35</f>
        <v>0</v>
      </c>
      <c r="AU415" s="445">
        <f>OTT!AH35</f>
        <v>0</v>
      </c>
      <c r="AV415" s="446">
        <f>OTT!AI35</f>
        <v>0</v>
      </c>
      <c r="AW415" s="447">
        <f>OTT!AJ35</f>
        <v>0</v>
      </c>
      <c r="AX415" s="448">
        <f>OTT!AK35</f>
        <v>0</v>
      </c>
      <c r="AY415" s="445">
        <f>SUMIF(OTT!$G$152:$J$152,"&gt;0",OTT!$W35:$Z35)</f>
        <v>0</v>
      </c>
      <c r="AZ415" s="1063">
        <f>SUM(OTT!AB35:AE35)</f>
        <v>0</v>
      </c>
      <c r="BA415" s="445">
        <f>SUMIF(OTT!$G$159:$J$159,BA$111,OTT!$R35:$U35)+SUMIF(OTT!$G$159:$J$159,BA$111,OTT!$W35:$Z35)</f>
        <v>0</v>
      </c>
      <c r="BB415" s="446">
        <f>SUMIF(OTT!$G$159:$J$159,BB$111,OTT!$R35:$U35)+SUMIF(OTT!$G$159:$J$159,BB$111,OTT!$W35:$Z35)</f>
        <v>0</v>
      </c>
      <c r="BC415" s="446">
        <f>SUMIF(OTT!$G$159:$J$159,BC$111,OTT!$R35:$U35)+SUMIF(OTT!$G$159:$J$159,BC$111,OTT!$W35:$Z35)</f>
        <v>0</v>
      </c>
      <c r="BD415" s="446">
        <f>SUMIF(OTT!$G$159:$J$159,BD$111,OTT!$R35:$U35)+SUMIF(OTT!$G$159:$J$159,BD$111,OTT!$W35:$Z35)</f>
        <v>0</v>
      </c>
      <c r="BE415" s="446">
        <f>SUMIF(OTT!$G$159:$J$159,BE$111,OTT!$R35:$U35)+SUMIF(OTT!$G$159:$J$159,BE$111,OTT!$W35:$Z35)</f>
        <v>0</v>
      </c>
      <c r="BF415" s="446">
        <f>SUMIF(OTT!$G$159:$J$159,BF$111,OTT!$R35:$U35)+SUMIF(OTT!$G$159:$J$159,BF$111,OTT!$W35:$Z35)</f>
        <v>0</v>
      </c>
      <c r="BG415" s="448">
        <f>SUMIF(OTT!$G$159:$J$159,BG$111,OTT!$R35:$U35)+SUMIF(OTT!$G$159:$J$159,BG$111,OTT!$W35:$Z35)</f>
        <v>0</v>
      </c>
      <c r="BH415" s="571"/>
      <c r="BI415" s="448"/>
      <c r="BJ415" s="470"/>
      <c r="BK415" s="445">
        <f>SUMIF(OTT!$G$157:$J$157,BK$111,OTT!$R35:$U35)+SUMIF(OTT!$G$157:$J$157,BK$111,OTT!$W35:$Z35)</f>
        <v>0</v>
      </c>
      <c r="BL415" s="446">
        <f>SUMIF(OTT!$G$157:$J$157,BL$111,OTT!$R35:$U35)+SUMIF(OTT!$G$157:$J$157,BL$111,OTT!$W35:$Z35)</f>
        <v>0</v>
      </c>
      <c r="BM415" s="446">
        <f>SUMIF(OTT!$G$157:$J$157,BM$111,OTT!$R35:$U35)+SUMIF(OTT!$G$157:$J$157,BM$111,OTT!$W35:$Z35)</f>
        <v>0</v>
      </c>
      <c r="BN415" s="446">
        <f>SUMIF(OTT!$G$157:$J$157,BN$111,OTT!$R35:$U35)+SUMIF(OTT!$G$157:$J$157,BN$111,OTT!$W35:$Z35)</f>
        <v>0</v>
      </c>
      <c r="BO415" s="446">
        <f>SUMIF(OTT!$G$157:$J$157,BO$111,OTT!$R35:$U35)+SUMIF(OTT!$G$157:$J$157,BO$111,OTT!$W35:$Z35)</f>
        <v>0</v>
      </c>
      <c r="BP415" s="446">
        <f>SUMIF(OTT!$G$157:$J$157,BP$111,OTT!$R35:$U35)+SUMIF(OTT!$G$157:$J$157,BP$111,OTT!$W35:$Z35)</f>
        <v>0</v>
      </c>
      <c r="BQ415" s="448">
        <f>SUMIF(OTT!$G$157:$J$157,BQ$111,OTT!$R35:$U35)+SUMIF(OTT!$G$157:$J$157,BQ$111,OTT!$W35:$Z35)</f>
        <v>0</v>
      </c>
      <c r="BR415" s="571"/>
      <c r="BS415" s="446"/>
      <c r="BT415" s="448"/>
      <c r="BU415" s="470"/>
      <c r="BV415" s="445">
        <f>SUMIF(OTT!$G$158:$J$158,BV$111,OTT!$R35:$U35)+SUMIF(OTT!$G$158:$J$158,BV$111,OTT!$W35:$Z35)</f>
        <v>0</v>
      </c>
      <c r="BW415" s="446">
        <f>SUMIF(OTT!$G$158:$J$158,BW$111,OTT!$R35:$U35)+SUMIF(OTT!$G$158:$J$158,BW$111,OTT!$W35:$Z35)</f>
        <v>0</v>
      </c>
      <c r="BX415" s="446">
        <f>SUMIF(OTT!$G$158:$J$158,BX$111,OTT!$R35:$U35)+SUMIF(OTT!$G$158:$J$158,BX$111,OTT!$W35:$Z35)</f>
        <v>0</v>
      </c>
      <c r="BY415" s="446">
        <f>SUMIF(OTT!$G$158:$J$158,BY$111,OTT!$R35:$U35)+SUMIF(OTT!$G$158:$J$158,BY$111,OTT!$W35:$Z35)</f>
        <v>0</v>
      </c>
      <c r="BZ415" s="446">
        <f>SUMIF(OTT!$G$158:$J$158,BZ$111,OTT!$R35:$U35)+SUMIF(OTT!$G$158:$J$158,BZ$111,OTT!$W35:$Z35)</f>
        <v>0</v>
      </c>
      <c r="CA415" s="446">
        <f>SUMIF(OTT!$G$158:$J$158,CA$111,OTT!$R35:$U35)+SUMIF(OTT!$G$158:$J$158,CA$111,OTT!$W35:$Z35)</f>
        <v>0</v>
      </c>
      <c r="CB415" s="448">
        <f>SUMIF(OTT!$G$158:$J$158,CB$111,OTT!$R35:$U35)+SUMIF(OTT!$G$158:$J$158,CB$111,OTT!$W35:$Z35)</f>
        <v>0</v>
      </c>
      <c r="CC415" s="571"/>
      <c r="CD415" s="448"/>
      <c r="CE415" s="92">
        <f t="shared" si="297"/>
        <v>0</v>
      </c>
      <c r="CF415" s="92">
        <f t="shared" si="298"/>
        <v>0</v>
      </c>
      <c r="CG415" s="151" t="str">
        <f t="shared" si="284"/>
        <v/>
      </c>
      <c r="CH415" s="92">
        <f t="shared" si="287"/>
        <v>0</v>
      </c>
      <c r="CI415" s="92" t="str">
        <f t="shared" si="299"/>
        <v/>
      </c>
      <c r="CJ415" s="1100">
        <f>OTT!AM35</f>
        <v>0</v>
      </c>
      <c r="CK415" s="445">
        <f>SUMIF(OTT!$G$155:$J$155,CK$112,OTT!$AN35:$AQ35)</f>
        <v>0</v>
      </c>
      <c r="CL415" s="446">
        <f>SUMIF(OTT!$G$155:$J$155,CL$112,OTT!$AN35:$AQ35)</f>
        <v>0</v>
      </c>
      <c r="CM415" s="447">
        <f>SUMIF(OTT!$G$155:$J$155,CM$112,OTT!$AN35:$AQ35)</f>
        <v>0</v>
      </c>
      <c r="CN415" s="448">
        <f>SUMIF(OTT!$G$155:$J$155,CN$112,OTT!$AN35:$AQ35)</f>
        <v>0</v>
      </c>
      <c r="CO415" s="1100">
        <f>OTT!AS35</f>
        <v>0</v>
      </c>
      <c r="CP415" s="445">
        <f>OTT!AT35</f>
        <v>0</v>
      </c>
      <c r="CQ415" s="446">
        <f>OTT!AU35</f>
        <v>0</v>
      </c>
      <c r="CR415" s="447">
        <f>OTT!AV35</f>
        <v>0</v>
      </c>
      <c r="CS415" s="448">
        <f>OTT!AW35</f>
        <v>0</v>
      </c>
      <c r="CT415" s="1100">
        <f>OTT!AY35</f>
        <v>0</v>
      </c>
      <c r="CU415" s="2"/>
    </row>
    <row r="416" spans="1:99" ht="14.25" hidden="1" customHeight="1" x14ac:dyDescent="0.2">
      <c r="A416" s="2"/>
      <c r="B416" s="151">
        <f t="shared" si="288"/>
        <v>45594</v>
      </c>
      <c r="C416" s="223">
        <f>IF(AND(E416&gt;(N$494-1),E416&lt;(R$494+1)),W$485,IF(ISERROR(HLOOKUP(E416,$N$487:$U$487,1,FALSE)),HLOOKUP(WEEKDAY(E416,2),IMPOSTAZIONI!$C$51:$P$56,6,FALSE),$W$484))</f>
        <v>0</v>
      </c>
      <c r="D416" s="103" t="str">
        <f t="shared" si="289"/>
        <v/>
      </c>
      <c r="E416" s="2380">
        <f t="shared" si="300"/>
        <v>45594</v>
      </c>
      <c r="F416" s="2381"/>
      <c r="G416" s="2325" t="str">
        <f>OTT!E36</f>
        <v xml:space="preserve">attiva trim.  </v>
      </c>
      <c r="H416" s="2326"/>
      <c r="I416" s="2327"/>
      <c r="J416" s="479" t="str">
        <f t="shared" si="285"/>
        <v/>
      </c>
      <c r="K416" s="480"/>
      <c r="L416" s="2319">
        <f t="shared" si="301"/>
        <v>44</v>
      </c>
      <c r="M416" s="2320"/>
      <c r="N416" s="478"/>
      <c r="O416" s="478"/>
      <c r="P416" s="478"/>
      <c r="Q416" s="2315">
        <f t="shared" si="290"/>
        <v>45594</v>
      </c>
      <c r="R416" s="2315"/>
      <c r="S416" s="478"/>
      <c r="T416" s="140">
        <f t="shared" si="291"/>
        <v>1</v>
      </c>
      <c r="U416" s="478"/>
      <c r="V416" s="478"/>
      <c r="W416" s="478"/>
      <c r="X416" s="478"/>
      <c r="Y416" s="478"/>
      <c r="Z416" s="478"/>
      <c r="AA416" s="478"/>
      <c r="AB416" s="478"/>
      <c r="AC416" s="478"/>
      <c r="AD416" s="478"/>
      <c r="AE416" s="478"/>
      <c r="AF416" s="478"/>
      <c r="AG416" s="140">
        <f t="shared" si="292"/>
        <v>0</v>
      </c>
      <c r="AH416" s="92" t="str">
        <f t="shared" si="293"/>
        <v/>
      </c>
      <c r="AI416" s="131">
        <f t="shared" si="294"/>
        <v>0</v>
      </c>
      <c r="AJ416" s="2"/>
      <c r="AK416" s="92">
        <f>IF(G416=G$481,0,IF(OR(G416&lt;&gt;0,CJ416&lt;&gt;0,C416="L"),COUNTIF(AK$114:AK415,"&gt;0")+1,0))</f>
        <v>0</v>
      </c>
      <c r="AL416" s="92" t="str">
        <f t="shared" si="295"/>
        <v/>
      </c>
      <c r="AM416" s="92" t="str">
        <f t="shared" si="296"/>
        <v/>
      </c>
      <c r="AN416" s="131">
        <f t="shared" si="286"/>
        <v>0</v>
      </c>
      <c r="AO416" s="447">
        <f>SUM(OTT!W36:Z36)</f>
        <v>0</v>
      </c>
      <c r="AP416" s="445">
        <f>SUMIF(OTT!$G$155:$J$155,AP$112,OTT!$R36:$U36)</f>
        <v>0</v>
      </c>
      <c r="AQ416" s="446">
        <f>SUMIF(OTT!$G$155:$J$155,AQ$112,OTT!$R36:$U36)</f>
        <v>0</v>
      </c>
      <c r="AR416" s="447">
        <f>SUMIF(OTT!$G$155:$J$155,AR$112,OTT!$R36:$U36)</f>
        <v>0</v>
      </c>
      <c r="AS416" s="448">
        <f>SUMIF(OTT!$G$155:$J$155,AS$112,OTT!$R36:$U36)</f>
        <v>0</v>
      </c>
      <c r="AT416" s="449">
        <f>OTT!AG36</f>
        <v>0</v>
      </c>
      <c r="AU416" s="445">
        <f>OTT!AH36</f>
        <v>0</v>
      </c>
      <c r="AV416" s="446">
        <f>OTT!AI36</f>
        <v>0</v>
      </c>
      <c r="AW416" s="447">
        <f>OTT!AJ36</f>
        <v>0</v>
      </c>
      <c r="AX416" s="448">
        <f>OTT!AK36</f>
        <v>0</v>
      </c>
      <c r="AY416" s="445">
        <f>SUMIF(OTT!$G$152:$J$152,"&gt;0",OTT!$W36:$Z36)</f>
        <v>0</v>
      </c>
      <c r="AZ416" s="1063">
        <f>SUM(OTT!AB36:AE36)</f>
        <v>0</v>
      </c>
      <c r="BA416" s="445">
        <f>SUMIF(OTT!$G$159:$J$159,BA$111,OTT!$R36:$U36)+SUMIF(OTT!$G$159:$J$159,BA$111,OTT!$W36:$Z36)</f>
        <v>0</v>
      </c>
      <c r="BB416" s="446">
        <f>SUMIF(OTT!$G$159:$J$159,BB$111,OTT!$R36:$U36)+SUMIF(OTT!$G$159:$J$159,BB$111,OTT!$W36:$Z36)</f>
        <v>0</v>
      </c>
      <c r="BC416" s="446">
        <f>SUMIF(OTT!$G$159:$J$159,BC$111,OTT!$R36:$U36)+SUMIF(OTT!$G$159:$J$159,BC$111,OTT!$W36:$Z36)</f>
        <v>0</v>
      </c>
      <c r="BD416" s="446">
        <f>SUMIF(OTT!$G$159:$J$159,BD$111,OTT!$R36:$U36)+SUMIF(OTT!$G$159:$J$159,BD$111,OTT!$W36:$Z36)</f>
        <v>0</v>
      </c>
      <c r="BE416" s="446">
        <f>SUMIF(OTT!$G$159:$J$159,BE$111,OTT!$R36:$U36)+SUMIF(OTT!$G$159:$J$159,BE$111,OTT!$W36:$Z36)</f>
        <v>0</v>
      </c>
      <c r="BF416" s="446">
        <f>SUMIF(OTT!$G$159:$J$159,BF$111,OTT!$R36:$U36)+SUMIF(OTT!$G$159:$J$159,BF$111,OTT!$W36:$Z36)</f>
        <v>0</v>
      </c>
      <c r="BG416" s="448">
        <f>SUMIF(OTT!$G$159:$J$159,BG$111,OTT!$R36:$U36)+SUMIF(OTT!$G$159:$J$159,BG$111,OTT!$W36:$Z36)</f>
        <v>0</v>
      </c>
      <c r="BH416" s="571"/>
      <c r="BI416" s="448"/>
      <c r="BJ416" s="470"/>
      <c r="BK416" s="445">
        <f>SUMIF(OTT!$G$157:$J$157,BK$111,OTT!$R36:$U36)+SUMIF(OTT!$G$157:$J$157,BK$111,OTT!$W36:$Z36)</f>
        <v>0</v>
      </c>
      <c r="BL416" s="446">
        <f>SUMIF(OTT!$G$157:$J$157,BL$111,OTT!$R36:$U36)+SUMIF(OTT!$G$157:$J$157,BL$111,OTT!$W36:$Z36)</f>
        <v>0</v>
      </c>
      <c r="BM416" s="446">
        <f>SUMIF(OTT!$G$157:$J$157,BM$111,OTT!$R36:$U36)+SUMIF(OTT!$G$157:$J$157,BM$111,OTT!$W36:$Z36)</f>
        <v>0</v>
      </c>
      <c r="BN416" s="446">
        <f>SUMIF(OTT!$G$157:$J$157,BN$111,OTT!$R36:$U36)+SUMIF(OTT!$G$157:$J$157,BN$111,OTT!$W36:$Z36)</f>
        <v>0</v>
      </c>
      <c r="BO416" s="446">
        <f>SUMIF(OTT!$G$157:$J$157,BO$111,OTT!$R36:$U36)+SUMIF(OTT!$G$157:$J$157,BO$111,OTT!$W36:$Z36)</f>
        <v>0</v>
      </c>
      <c r="BP416" s="446">
        <f>SUMIF(OTT!$G$157:$J$157,BP$111,OTT!$R36:$U36)+SUMIF(OTT!$G$157:$J$157,BP$111,OTT!$W36:$Z36)</f>
        <v>0</v>
      </c>
      <c r="BQ416" s="448">
        <f>SUMIF(OTT!$G$157:$J$157,BQ$111,OTT!$R36:$U36)+SUMIF(OTT!$G$157:$J$157,BQ$111,OTT!$W36:$Z36)</f>
        <v>0</v>
      </c>
      <c r="BR416" s="571"/>
      <c r="BS416" s="446"/>
      <c r="BT416" s="448"/>
      <c r="BU416" s="470"/>
      <c r="BV416" s="445">
        <f>SUMIF(OTT!$G$158:$J$158,BV$111,OTT!$R36:$U36)+SUMIF(OTT!$G$158:$J$158,BV$111,OTT!$W36:$Z36)</f>
        <v>0</v>
      </c>
      <c r="BW416" s="446">
        <f>SUMIF(OTT!$G$158:$J$158,BW$111,OTT!$R36:$U36)+SUMIF(OTT!$G$158:$J$158,BW$111,OTT!$W36:$Z36)</f>
        <v>0</v>
      </c>
      <c r="BX416" s="446">
        <f>SUMIF(OTT!$G$158:$J$158,BX$111,OTT!$R36:$U36)+SUMIF(OTT!$G$158:$J$158,BX$111,OTT!$W36:$Z36)</f>
        <v>0</v>
      </c>
      <c r="BY416" s="446">
        <f>SUMIF(OTT!$G$158:$J$158,BY$111,OTT!$R36:$U36)+SUMIF(OTT!$G$158:$J$158,BY$111,OTT!$W36:$Z36)</f>
        <v>0</v>
      </c>
      <c r="BZ416" s="446">
        <f>SUMIF(OTT!$G$158:$J$158,BZ$111,OTT!$R36:$U36)+SUMIF(OTT!$G$158:$J$158,BZ$111,OTT!$W36:$Z36)</f>
        <v>0</v>
      </c>
      <c r="CA416" s="446">
        <f>SUMIF(OTT!$G$158:$J$158,CA$111,OTT!$R36:$U36)+SUMIF(OTT!$G$158:$J$158,CA$111,OTT!$W36:$Z36)</f>
        <v>0</v>
      </c>
      <c r="CB416" s="448">
        <f>SUMIF(OTT!$G$158:$J$158,CB$111,OTT!$R36:$U36)+SUMIF(OTT!$G$158:$J$158,CB$111,OTT!$W36:$Z36)</f>
        <v>0</v>
      </c>
      <c r="CC416" s="571"/>
      <c r="CD416" s="448"/>
      <c r="CE416" s="92">
        <f t="shared" si="297"/>
        <v>0</v>
      </c>
      <c r="CF416" s="92">
        <f t="shared" si="298"/>
        <v>0</v>
      </c>
      <c r="CG416" s="151" t="str">
        <f t="shared" si="284"/>
        <v/>
      </c>
      <c r="CH416" s="92">
        <f t="shared" si="287"/>
        <v>0</v>
      </c>
      <c r="CI416" s="92" t="str">
        <f t="shared" si="299"/>
        <v/>
      </c>
      <c r="CJ416" s="1100">
        <f>OTT!AM36</f>
        <v>0</v>
      </c>
      <c r="CK416" s="445">
        <f>SUMIF(OTT!$G$155:$J$155,CK$112,OTT!$AN36:$AQ36)</f>
        <v>0</v>
      </c>
      <c r="CL416" s="446">
        <f>SUMIF(OTT!$G$155:$J$155,CL$112,OTT!$AN36:$AQ36)</f>
        <v>0</v>
      </c>
      <c r="CM416" s="447">
        <f>SUMIF(OTT!$G$155:$J$155,CM$112,OTT!$AN36:$AQ36)</f>
        <v>0</v>
      </c>
      <c r="CN416" s="448">
        <f>SUMIF(OTT!$G$155:$J$155,CN$112,OTT!$AN36:$AQ36)</f>
        <v>0</v>
      </c>
      <c r="CO416" s="1100">
        <f>OTT!AS36</f>
        <v>0</v>
      </c>
      <c r="CP416" s="445">
        <f>OTT!AT36</f>
        <v>0</v>
      </c>
      <c r="CQ416" s="446">
        <f>OTT!AU36</f>
        <v>0</v>
      </c>
      <c r="CR416" s="447">
        <f>OTT!AV36</f>
        <v>0</v>
      </c>
      <c r="CS416" s="448">
        <f>OTT!AW36</f>
        <v>0</v>
      </c>
      <c r="CT416" s="1100">
        <f>OTT!AY36</f>
        <v>0</v>
      </c>
      <c r="CU416" s="2"/>
    </row>
    <row r="417" spans="1:99" ht="14.25" hidden="1" customHeight="1" x14ac:dyDescent="0.2">
      <c r="A417" s="2"/>
      <c r="B417" s="151">
        <f t="shared" si="288"/>
        <v>45595</v>
      </c>
      <c r="C417" s="223">
        <f>IF(AND(E417&gt;(N$494-1),E417&lt;(R$494+1)),W$485,IF(ISERROR(HLOOKUP(E417,$N$487:$U$487,1,FALSE)),HLOOKUP(WEEKDAY(E417,2),IMPOSTAZIONI!$C$51:$P$56,6,FALSE),$W$484))</f>
        <v>0</v>
      </c>
      <c r="D417" s="103" t="str">
        <f t="shared" si="289"/>
        <v/>
      </c>
      <c r="E417" s="2380">
        <f t="shared" si="300"/>
        <v>45595</v>
      </c>
      <c r="F417" s="2381"/>
      <c r="G417" s="2325" t="str">
        <f>OTT!E37</f>
        <v xml:space="preserve">attiva trim.  </v>
      </c>
      <c r="H417" s="2326"/>
      <c r="I417" s="2327"/>
      <c r="J417" s="479" t="str">
        <f t="shared" si="285"/>
        <v/>
      </c>
      <c r="K417" s="480"/>
      <c r="L417" s="2319">
        <f t="shared" si="301"/>
        <v>44</v>
      </c>
      <c r="M417" s="2320"/>
      <c r="N417" s="478"/>
      <c r="O417" s="478"/>
      <c r="P417" s="478"/>
      <c r="Q417" s="2315">
        <f t="shared" si="290"/>
        <v>45595</v>
      </c>
      <c r="R417" s="2315"/>
      <c r="S417" s="478"/>
      <c r="T417" s="140">
        <f t="shared" si="291"/>
        <v>1</v>
      </c>
      <c r="U417" s="478"/>
      <c r="V417" s="478"/>
      <c r="W417" s="478"/>
      <c r="X417" s="478"/>
      <c r="Y417" s="478"/>
      <c r="Z417" s="478"/>
      <c r="AA417" s="478"/>
      <c r="AB417" s="478"/>
      <c r="AC417" s="478"/>
      <c r="AD417" s="478"/>
      <c r="AE417" s="478"/>
      <c r="AF417" s="478"/>
      <c r="AG417" s="140">
        <f t="shared" si="292"/>
        <v>0</v>
      </c>
      <c r="AH417" s="92" t="str">
        <f t="shared" si="293"/>
        <v/>
      </c>
      <c r="AI417" s="131">
        <f t="shared" si="294"/>
        <v>0</v>
      </c>
      <c r="AJ417" s="2"/>
      <c r="AK417" s="92">
        <f>IF(G417=G$481,0,IF(OR(G417&lt;&gt;0,CJ417&lt;&gt;0,C417="L"),COUNTIF(AK$114:AK416,"&gt;0")+1,0))</f>
        <v>0</v>
      </c>
      <c r="AL417" s="92" t="str">
        <f t="shared" si="295"/>
        <v/>
      </c>
      <c r="AM417" s="92" t="str">
        <f t="shared" si="296"/>
        <v/>
      </c>
      <c r="AN417" s="131">
        <f t="shared" si="286"/>
        <v>0</v>
      </c>
      <c r="AO417" s="447">
        <f>SUM(OTT!W37:Z37)</f>
        <v>0</v>
      </c>
      <c r="AP417" s="445">
        <f>SUMIF(OTT!$G$155:$J$155,AP$112,OTT!$R37:$U37)</f>
        <v>0</v>
      </c>
      <c r="AQ417" s="446">
        <f>SUMIF(OTT!$G$155:$J$155,AQ$112,OTT!$R37:$U37)</f>
        <v>0</v>
      </c>
      <c r="AR417" s="447">
        <f>SUMIF(OTT!$G$155:$J$155,AR$112,OTT!$R37:$U37)</f>
        <v>0</v>
      </c>
      <c r="AS417" s="448">
        <f>SUMIF(OTT!$G$155:$J$155,AS$112,OTT!$R37:$U37)</f>
        <v>0</v>
      </c>
      <c r="AT417" s="449">
        <f>OTT!AG37</f>
        <v>0</v>
      </c>
      <c r="AU417" s="445">
        <f>OTT!AH37</f>
        <v>0</v>
      </c>
      <c r="AV417" s="446">
        <f>OTT!AI37</f>
        <v>0</v>
      </c>
      <c r="AW417" s="447">
        <f>OTT!AJ37</f>
        <v>0</v>
      </c>
      <c r="AX417" s="448">
        <f>OTT!AK37</f>
        <v>0</v>
      </c>
      <c r="AY417" s="445">
        <f>SUMIF(OTT!$G$152:$J$152,"&gt;0",OTT!$W37:$Z37)</f>
        <v>0</v>
      </c>
      <c r="AZ417" s="1063">
        <f>SUM(OTT!AB37:AE37)</f>
        <v>0</v>
      </c>
      <c r="BA417" s="445">
        <f>SUMIF(OTT!$G$159:$J$159,BA$111,OTT!$R37:$U37)+SUMIF(OTT!$G$159:$J$159,BA$111,OTT!$W37:$Z37)</f>
        <v>0</v>
      </c>
      <c r="BB417" s="446">
        <f>SUMIF(OTT!$G$159:$J$159,BB$111,OTT!$R37:$U37)+SUMIF(OTT!$G$159:$J$159,BB$111,OTT!$W37:$Z37)</f>
        <v>0</v>
      </c>
      <c r="BC417" s="446">
        <f>SUMIF(OTT!$G$159:$J$159,BC$111,OTT!$R37:$U37)+SUMIF(OTT!$G$159:$J$159,BC$111,OTT!$W37:$Z37)</f>
        <v>0</v>
      </c>
      <c r="BD417" s="446">
        <f>SUMIF(OTT!$G$159:$J$159,BD$111,OTT!$R37:$U37)+SUMIF(OTT!$G$159:$J$159,BD$111,OTT!$W37:$Z37)</f>
        <v>0</v>
      </c>
      <c r="BE417" s="446">
        <f>SUMIF(OTT!$G$159:$J$159,BE$111,OTT!$R37:$U37)+SUMIF(OTT!$G$159:$J$159,BE$111,OTT!$W37:$Z37)</f>
        <v>0</v>
      </c>
      <c r="BF417" s="446">
        <f>SUMIF(OTT!$G$159:$J$159,BF$111,OTT!$R37:$U37)+SUMIF(OTT!$G$159:$J$159,BF$111,OTT!$W37:$Z37)</f>
        <v>0</v>
      </c>
      <c r="BG417" s="448">
        <f>SUMIF(OTT!$G$159:$J$159,BG$111,OTT!$R37:$U37)+SUMIF(OTT!$G$159:$J$159,BG$111,OTT!$W37:$Z37)</f>
        <v>0</v>
      </c>
      <c r="BH417" s="571"/>
      <c r="BI417" s="448"/>
      <c r="BJ417" s="470"/>
      <c r="BK417" s="445">
        <f>SUMIF(OTT!$G$157:$J$157,BK$111,OTT!$R37:$U37)+SUMIF(OTT!$G$157:$J$157,BK$111,OTT!$W37:$Z37)</f>
        <v>0</v>
      </c>
      <c r="BL417" s="446">
        <f>SUMIF(OTT!$G$157:$J$157,BL$111,OTT!$R37:$U37)+SUMIF(OTT!$G$157:$J$157,BL$111,OTT!$W37:$Z37)</f>
        <v>0</v>
      </c>
      <c r="BM417" s="446">
        <f>SUMIF(OTT!$G$157:$J$157,BM$111,OTT!$R37:$U37)+SUMIF(OTT!$G$157:$J$157,BM$111,OTT!$W37:$Z37)</f>
        <v>0</v>
      </c>
      <c r="BN417" s="446">
        <f>SUMIF(OTT!$G$157:$J$157,BN$111,OTT!$R37:$U37)+SUMIF(OTT!$G$157:$J$157,BN$111,OTT!$W37:$Z37)</f>
        <v>0</v>
      </c>
      <c r="BO417" s="446">
        <f>SUMIF(OTT!$G$157:$J$157,BO$111,OTT!$R37:$U37)+SUMIF(OTT!$G$157:$J$157,BO$111,OTT!$W37:$Z37)</f>
        <v>0</v>
      </c>
      <c r="BP417" s="446">
        <f>SUMIF(OTT!$G$157:$J$157,BP$111,OTT!$R37:$U37)+SUMIF(OTT!$G$157:$J$157,BP$111,OTT!$W37:$Z37)</f>
        <v>0</v>
      </c>
      <c r="BQ417" s="448">
        <f>SUMIF(OTT!$G$157:$J$157,BQ$111,OTT!$R37:$U37)+SUMIF(OTT!$G$157:$J$157,BQ$111,OTT!$W37:$Z37)</f>
        <v>0</v>
      </c>
      <c r="BR417" s="571"/>
      <c r="BS417" s="446"/>
      <c r="BT417" s="448"/>
      <c r="BU417" s="470"/>
      <c r="BV417" s="445">
        <f>SUMIF(OTT!$G$158:$J$158,BV$111,OTT!$R37:$U37)+SUMIF(OTT!$G$158:$J$158,BV$111,OTT!$W37:$Z37)</f>
        <v>0</v>
      </c>
      <c r="BW417" s="446">
        <f>SUMIF(OTT!$G$158:$J$158,BW$111,OTT!$R37:$U37)+SUMIF(OTT!$G$158:$J$158,BW$111,OTT!$W37:$Z37)</f>
        <v>0</v>
      </c>
      <c r="BX417" s="446">
        <f>SUMIF(OTT!$G$158:$J$158,BX$111,OTT!$R37:$U37)+SUMIF(OTT!$G$158:$J$158,BX$111,OTT!$W37:$Z37)</f>
        <v>0</v>
      </c>
      <c r="BY417" s="446">
        <f>SUMIF(OTT!$G$158:$J$158,BY$111,OTT!$R37:$U37)+SUMIF(OTT!$G$158:$J$158,BY$111,OTT!$W37:$Z37)</f>
        <v>0</v>
      </c>
      <c r="BZ417" s="446">
        <f>SUMIF(OTT!$G$158:$J$158,BZ$111,OTT!$R37:$U37)+SUMIF(OTT!$G$158:$J$158,BZ$111,OTT!$W37:$Z37)</f>
        <v>0</v>
      </c>
      <c r="CA417" s="446">
        <f>SUMIF(OTT!$G$158:$J$158,CA$111,OTT!$R37:$U37)+SUMIF(OTT!$G$158:$J$158,CA$111,OTT!$W37:$Z37)</f>
        <v>0</v>
      </c>
      <c r="CB417" s="448">
        <f>SUMIF(OTT!$G$158:$J$158,CB$111,OTT!$R37:$U37)+SUMIF(OTT!$G$158:$J$158,CB$111,OTT!$W37:$Z37)</f>
        <v>0</v>
      </c>
      <c r="CC417" s="571"/>
      <c r="CD417" s="448"/>
      <c r="CE417" s="92">
        <f t="shared" si="297"/>
        <v>0</v>
      </c>
      <c r="CF417" s="92">
        <f t="shared" si="298"/>
        <v>0</v>
      </c>
      <c r="CG417" s="151" t="str">
        <f t="shared" si="284"/>
        <v/>
      </c>
      <c r="CH417" s="92">
        <f t="shared" si="287"/>
        <v>0</v>
      </c>
      <c r="CI417" s="92" t="str">
        <f t="shared" si="299"/>
        <v/>
      </c>
      <c r="CJ417" s="1100">
        <f>OTT!AM37</f>
        <v>0</v>
      </c>
      <c r="CK417" s="445">
        <f>SUMIF(OTT!$G$155:$J$155,CK$112,OTT!$AN37:$AQ37)</f>
        <v>0</v>
      </c>
      <c r="CL417" s="446">
        <f>SUMIF(OTT!$G$155:$J$155,CL$112,OTT!$AN37:$AQ37)</f>
        <v>0</v>
      </c>
      <c r="CM417" s="447">
        <f>SUMIF(OTT!$G$155:$J$155,CM$112,OTT!$AN37:$AQ37)</f>
        <v>0</v>
      </c>
      <c r="CN417" s="448">
        <f>SUMIF(OTT!$G$155:$J$155,CN$112,OTT!$AN37:$AQ37)</f>
        <v>0</v>
      </c>
      <c r="CO417" s="1100">
        <f>OTT!AS37</f>
        <v>0</v>
      </c>
      <c r="CP417" s="445">
        <f>OTT!AT37</f>
        <v>0</v>
      </c>
      <c r="CQ417" s="446">
        <f>OTT!AU37</f>
        <v>0</v>
      </c>
      <c r="CR417" s="447">
        <f>OTT!AV37</f>
        <v>0</v>
      </c>
      <c r="CS417" s="448">
        <f>OTT!AW37</f>
        <v>0</v>
      </c>
      <c r="CT417" s="1100">
        <f>OTT!AY37</f>
        <v>0</v>
      </c>
      <c r="CU417" s="2"/>
    </row>
    <row r="418" spans="1:99" ht="14.25" hidden="1" customHeight="1" x14ac:dyDescent="0.2">
      <c r="A418" s="2"/>
      <c r="B418" s="151">
        <f t="shared" si="288"/>
        <v>45596</v>
      </c>
      <c r="C418" s="223">
        <f>IF(AND(E418&gt;(N$494-1),E418&lt;(R$494+1)),W$485,IF(ISERROR(HLOOKUP(E418,$N$487:$U$487,1,FALSE)),HLOOKUP(WEEKDAY(E418,2),IMPOSTAZIONI!$C$51:$P$56,6,FALSE),$W$484))</f>
        <v>0</v>
      </c>
      <c r="D418" s="103" t="str">
        <f t="shared" si="289"/>
        <v/>
      </c>
      <c r="E418" s="2445">
        <f t="shared" si="300"/>
        <v>45596</v>
      </c>
      <c r="F418" s="2446"/>
      <c r="G418" s="2316" t="str">
        <f>OTT!E38</f>
        <v xml:space="preserve">attiva trim.  </v>
      </c>
      <c r="H418" s="2317"/>
      <c r="I418" s="2318"/>
      <c r="J418" s="479" t="str">
        <f t="shared" si="285"/>
        <v/>
      </c>
      <c r="K418" s="480"/>
      <c r="L418" s="2319">
        <f t="shared" si="301"/>
        <v>44</v>
      </c>
      <c r="M418" s="2320"/>
      <c r="N418" s="478"/>
      <c r="O418" s="478"/>
      <c r="P418" s="478"/>
      <c r="Q418" s="2315">
        <f t="shared" si="290"/>
        <v>45596</v>
      </c>
      <c r="R418" s="2315"/>
      <c r="S418" s="478"/>
      <c r="T418" s="140">
        <f t="shared" si="291"/>
        <v>1</v>
      </c>
      <c r="U418" s="478"/>
      <c r="V418" s="478"/>
      <c r="W418" s="478"/>
      <c r="X418" s="478"/>
      <c r="Y418" s="478"/>
      <c r="Z418" s="478"/>
      <c r="AA418" s="478"/>
      <c r="AB418" s="478"/>
      <c r="AC418" s="478"/>
      <c r="AD418" s="478"/>
      <c r="AE418" s="478"/>
      <c r="AF418" s="478"/>
      <c r="AG418" s="140">
        <f t="shared" si="292"/>
        <v>0</v>
      </c>
      <c r="AH418" s="92" t="str">
        <f t="shared" si="293"/>
        <v/>
      </c>
      <c r="AI418" s="131">
        <f t="shared" si="294"/>
        <v>0</v>
      </c>
      <c r="AJ418" s="2"/>
      <c r="AK418" s="92">
        <f>IF(G418=G$481,0,IF(OR(G418&lt;&gt;0,CJ418&lt;&gt;0,C418="L"),COUNTIF(AK$114:AK417,"&gt;0")+1,0))</f>
        <v>0</v>
      </c>
      <c r="AL418" s="92" t="str">
        <f t="shared" si="295"/>
        <v/>
      </c>
      <c r="AM418" s="92" t="str">
        <f t="shared" si="296"/>
        <v/>
      </c>
      <c r="AN418" s="131">
        <f t="shared" si="286"/>
        <v>0</v>
      </c>
      <c r="AO418" s="452">
        <f>SUM(OTT!W38:Z38)</f>
        <v>0</v>
      </c>
      <c r="AP418" s="450">
        <f>SUMIF(OTT!$G$155:$J$155,AP$112,OTT!$R38:$U38)</f>
        <v>0</v>
      </c>
      <c r="AQ418" s="451">
        <f>SUMIF(OTT!$G$155:$J$155,AQ$112,OTT!$R38:$U38)</f>
        <v>0</v>
      </c>
      <c r="AR418" s="452">
        <f>SUMIF(OTT!$G$155:$J$155,AR$112,OTT!$R38:$U38)</f>
        <v>0</v>
      </c>
      <c r="AS418" s="453">
        <f>SUMIF(OTT!$G$155:$J$155,AS$112,OTT!$R38:$U38)</f>
        <v>0</v>
      </c>
      <c r="AT418" s="454">
        <f>OTT!AG38</f>
        <v>0</v>
      </c>
      <c r="AU418" s="450">
        <f>OTT!AH38</f>
        <v>0</v>
      </c>
      <c r="AV418" s="451">
        <f>OTT!AI38</f>
        <v>0</v>
      </c>
      <c r="AW418" s="452">
        <f>OTT!AJ38</f>
        <v>0</v>
      </c>
      <c r="AX418" s="453">
        <f>OTT!AK38</f>
        <v>0</v>
      </c>
      <c r="AY418" s="450">
        <f>SUMIF(OTT!$G$152:$J$152,"&gt;0",OTT!$W38:$Z38)</f>
        <v>0</v>
      </c>
      <c r="AZ418" s="1064">
        <f>SUM(OTT!AB38:AE38)</f>
        <v>0</v>
      </c>
      <c r="BA418" s="450">
        <f>SUMIF(OTT!$G$159:$J$159,BA$111,OTT!$R38:$U38)+SUMIF(OTT!$G$159:$J$159,BA$111,OTT!$W38:$Z38)</f>
        <v>0</v>
      </c>
      <c r="BB418" s="451">
        <f>SUMIF(OTT!$G$159:$J$159,BB$111,OTT!$R38:$U38)+SUMIF(OTT!$G$159:$J$159,BB$111,OTT!$W38:$Z38)</f>
        <v>0</v>
      </c>
      <c r="BC418" s="451">
        <f>SUMIF(OTT!$G$159:$J$159,BC$111,OTT!$R38:$U38)+SUMIF(OTT!$G$159:$J$159,BC$111,OTT!$W38:$Z38)</f>
        <v>0</v>
      </c>
      <c r="BD418" s="451">
        <f>SUMIF(OTT!$G$159:$J$159,BD$111,OTT!$R38:$U38)+SUMIF(OTT!$G$159:$J$159,BD$111,OTT!$W38:$Z38)</f>
        <v>0</v>
      </c>
      <c r="BE418" s="451">
        <f>SUMIF(OTT!$G$159:$J$159,BE$111,OTT!$R38:$U38)+SUMIF(OTT!$G$159:$J$159,BE$111,OTT!$W38:$Z38)</f>
        <v>0</v>
      </c>
      <c r="BF418" s="451">
        <f>SUMIF(OTT!$G$159:$J$159,BF$111,OTT!$R38:$U38)+SUMIF(OTT!$G$159:$J$159,BF$111,OTT!$W38:$Z38)</f>
        <v>0</v>
      </c>
      <c r="BG418" s="453">
        <f>SUMIF(OTT!$G$159:$J$159,BG$111,OTT!$R38:$U38)+SUMIF(OTT!$G$159:$J$159,BG$111,OTT!$W38:$Z38)</f>
        <v>0</v>
      </c>
      <c r="BH418" s="572"/>
      <c r="BI418" s="453"/>
      <c r="BJ418" s="470"/>
      <c r="BK418" s="450">
        <f>SUMIF(OTT!$G$157:$J$157,BK$111,OTT!$R38:$U38)+SUMIF(OTT!$G$157:$J$157,BK$111,OTT!$W38:$Z38)</f>
        <v>0</v>
      </c>
      <c r="BL418" s="451">
        <f>SUMIF(OTT!$G$157:$J$157,BL$111,OTT!$R38:$U38)+SUMIF(OTT!$G$157:$J$157,BL$111,OTT!$W38:$Z38)</f>
        <v>0</v>
      </c>
      <c r="BM418" s="451">
        <f>SUMIF(OTT!$G$157:$J$157,BM$111,OTT!$R38:$U38)+SUMIF(OTT!$G$157:$J$157,BM$111,OTT!$W38:$Z38)</f>
        <v>0</v>
      </c>
      <c r="BN418" s="451">
        <f>SUMIF(OTT!$G$157:$J$157,BN$111,OTT!$R38:$U38)+SUMIF(OTT!$G$157:$J$157,BN$111,OTT!$W38:$Z38)</f>
        <v>0</v>
      </c>
      <c r="BO418" s="451">
        <f>SUMIF(OTT!$G$157:$J$157,BO$111,OTT!$R38:$U38)+SUMIF(OTT!$G$157:$J$157,BO$111,OTT!$W38:$Z38)</f>
        <v>0</v>
      </c>
      <c r="BP418" s="451">
        <f>SUMIF(OTT!$G$157:$J$157,BP$111,OTT!$R38:$U38)+SUMIF(OTT!$G$157:$J$157,BP$111,OTT!$W38:$Z38)</f>
        <v>0</v>
      </c>
      <c r="BQ418" s="453">
        <f>SUMIF(OTT!$G$157:$J$157,BQ$111,OTT!$R38:$U38)+SUMIF(OTT!$G$157:$J$157,BQ$111,OTT!$W38:$Z38)</f>
        <v>0</v>
      </c>
      <c r="BR418" s="572"/>
      <c r="BS418" s="451"/>
      <c r="BT418" s="453"/>
      <c r="BU418" s="470"/>
      <c r="BV418" s="450">
        <f>SUMIF(OTT!$G$158:$J$158,BV$111,OTT!$R38:$U38)+SUMIF(OTT!$G$158:$J$158,BV$111,OTT!$W38:$Z38)</f>
        <v>0</v>
      </c>
      <c r="BW418" s="451">
        <f>SUMIF(OTT!$G$158:$J$158,BW$111,OTT!$R38:$U38)+SUMIF(OTT!$G$158:$J$158,BW$111,OTT!$W38:$Z38)</f>
        <v>0</v>
      </c>
      <c r="BX418" s="451">
        <f>SUMIF(OTT!$G$158:$J$158,BX$111,OTT!$R38:$U38)+SUMIF(OTT!$G$158:$J$158,BX$111,OTT!$W38:$Z38)</f>
        <v>0</v>
      </c>
      <c r="BY418" s="451">
        <f>SUMIF(OTT!$G$158:$J$158,BY$111,OTT!$R38:$U38)+SUMIF(OTT!$G$158:$J$158,BY$111,OTT!$W38:$Z38)</f>
        <v>0</v>
      </c>
      <c r="BZ418" s="451">
        <f>SUMIF(OTT!$G$158:$J$158,BZ$111,OTT!$R38:$U38)+SUMIF(OTT!$G$158:$J$158,BZ$111,OTT!$W38:$Z38)</f>
        <v>0</v>
      </c>
      <c r="CA418" s="451">
        <f>SUMIF(OTT!$G$158:$J$158,CA$111,OTT!$R38:$U38)+SUMIF(OTT!$G$158:$J$158,CA$111,OTT!$W38:$Z38)</f>
        <v>0</v>
      </c>
      <c r="CB418" s="453">
        <f>SUMIF(OTT!$G$158:$J$158,CB$111,OTT!$R38:$U38)+SUMIF(OTT!$G$158:$J$158,CB$111,OTT!$W38:$Z38)</f>
        <v>0</v>
      </c>
      <c r="CC418" s="572"/>
      <c r="CD418" s="453"/>
      <c r="CE418" s="92">
        <f t="shared" si="297"/>
        <v>0</v>
      </c>
      <c r="CF418" s="92">
        <f t="shared" si="298"/>
        <v>0</v>
      </c>
      <c r="CG418" s="151" t="str">
        <f t="shared" si="284"/>
        <v/>
      </c>
      <c r="CH418" s="92">
        <f t="shared" si="287"/>
        <v>0</v>
      </c>
      <c r="CI418" s="92" t="str">
        <f t="shared" si="299"/>
        <v/>
      </c>
      <c r="CJ418" s="1101">
        <f>OTT!AM38</f>
        <v>0</v>
      </c>
      <c r="CK418" s="450">
        <f>SUMIF(OTT!$G$155:$J$155,CK$112,OTT!$AN38:$AQ38)</f>
        <v>0</v>
      </c>
      <c r="CL418" s="451">
        <f>SUMIF(OTT!$G$155:$J$155,CL$112,OTT!$AN38:$AQ38)</f>
        <v>0</v>
      </c>
      <c r="CM418" s="452">
        <f>SUMIF(OTT!$G$155:$J$155,CM$112,OTT!$AN38:$AQ38)</f>
        <v>0</v>
      </c>
      <c r="CN418" s="453">
        <f>SUMIF(OTT!$G$155:$J$155,CN$112,OTT!$AN38:$AQ38)</f>
        <v>0</v>
      </c>
      <c r="CO418" s="1101">
        <f>OTT!AS38</f>
        <v>0</v>
      </c>
      <c r="CP418" s="450">
        <f>OTT!AT38</f>
        <v>0</v>
      </c>
      <c r="CQ418" s="451">
        <f>OTT!AU38</f>
        <v>0</v>
      </c>
      <c r="CR418" s="452">
        <f>OTT!AV38</f>
        <v>0</v>
      </c>
      <c r="CS418" s="453">
        <f>OTT!AW38</f>
        <v>0</v>
      </c>
      <c r="CT418" s="1101">
        <f>OTT!AY38</f>
        <v>0</v>
      </c>
      <c r="CU418" s="2"/>
    </row>
    <row r="419" spans="1:99" ht="14.25" hidden="1" customHeight="1" x14ac:dyDescent="0.2">
      <c r="A419" s="2"/>
      <c r="B419" s="151">
        <f t="shared" si="288"/>
        <v>45597</v>
      </c>
      <c r="C419" s="223">
        <f>IF(AND(E419&gt;(N$495-1),E419&lt;(R$495+1)),W$485,IF(ISERROR(HLOOKUP(E419,$N$488:$U$488,1,FALSE)),HLOOKUP(WEEKDAY(E419,2),IMPOSTAZIONI!$C$51:$P$56,6,FALSE),$W$484))</f>
        <v>0</v>
      </c>
      <c r="D419" s="103" t="str">
        <f t="shared" si="289"/>
        <v/>
      </c>
      <c r="E419" s="2447">
        <f t="shared" si="300"/>
        <v>45597</v>
      </c>
      <c r="F419" s="2448"/>
      <c r="G419" s="2449" t="str">
        <f>NOV!E8</f>
        <v xml:space="preserve">attiva trim.  </v>
      </c>
      <c r="H419" s="2450"/>
      <c r="I419" s="2451"/>
      <c r="J419" s="479" t="str">
        <f t="shared" si="285"/>
        <v/>
      </c>
      <c r="K419" s="480"/>
      <c r="L419" s="2319">
        <f t="shared" si="301"/>
        <v>44</v>
      </c>
      <c r="M419" s="2320"/>
      <c r="N419" s="478"/>
      <c r="O419" s="478"/>
      <c r="P419" s="478"/>
      <c r="Q419" s="2315">
        <f t="shared" si="290"/>
        <v>45597</v>
      </c>
      <c r="R419" s="2315"/>
      <c r="S419" s="478"/>
      <c r="T419" s="140">
        <f t="shared" si="291"/>
        <v>1</v>
      </c>
      <c r="U419" s="478"/>
      <c r="V419" s="478"/>
      <c r="W419" s="478"/>
      <c r="X419" s="478"/>
      <c r="Y419" s="478"/>
      <c r="Z419" s="478"/>
      <c r="AA419" s="478"/>
      <c r="AB419" s="478"/>
      <c r="AC419" s="478"/>
      <c r="AD419" s="478"/>
      <c r="AE419" s="478"/>
      <c r="AF419" s="478"/>
      <c r="AG419" s="140">
        <f t="shared" si="292"/>
        <v>0</v>
      </c>
      <c r="AH419" s="92" t="str">
        <f t="shared" si="293"/>
        <v/>
      </c>
      <c r="AI419" s="131">
        <f t="shared" si="294"/>
        <v>0</v>
      </c>
      <c r="AJ419" s="131">
        <f>IF(G419=G481,0,COUNTIF(T419:T448,"&gt;0"))</f>
        <v>0</v>
      </c>
      <c r="AK419" s="92">
        <f>IF(G419=G$481,0,IF(OR(G419&lt;&gt;0,CJ419&lt;&gt;0,C419="L"),COUNTIF(AK$114:AK418,"&gt;0")+1,0))</f>
        <v>0</v>
      </c>
      <c r="AL419" s="92" t="str">
        <f t="shared" si="295"/>
        <v/>
      </c>
      <c r="AM419" s="92" t="str">
        <f t="shared" si="296"/>
        <v/>
      </c>
      <c r="AN419" s="131">
        <f t="shared" si="286"/>
        <v>0</v>
      </c>
      <c r="AO419" s="447">
        <f>SUM(NOV!W8:Z8)</f>
        <v>0</v>
      </c>
      <c r="AP419" s="445">
        <f>SUMIF(NOV!$G$155:$J$155,AP$112,NOV!$R8:$U8)</f>
        <v>0</v>
      </c>
      <c r="AQ419" s="446">
        <f>SUMIF(NOV!$G$155:$J$155,AQ$112,NOV!$R8:$U8)</f>
        <v>0</v>
      </c>
      <c r="AR419" s="447">
        <f>SUMIF(NOV!$G$155:$J$155,AR$112,NOV!$R8:$U8)</f>
        <v>0</v>
      </c>
      <c r="AS419" s="448">
        <f>SUMIF(NOV!$G$155:$J$155,AS$112,NOV!$R8:$U8)</f>
        <v>0</v>
      </c>
      <c r="AT419" s="449">
        <f>NOV!AG8</f>
        <v>0</v>
      </c>
      <c r="AU419" s="445">
        <f>NOV!AH8</f>
        <v>0</v>
      </c>
      <c r="AV419" s="446">
        <f>NOV!AI8</f>
        <v>0</v>
      </c>
      <c r="AW419" s="447">
        <f>NOV!AJ8</f>
        <v>0</v>
      </c>
      <c r="AX419" s="448">
        <f>NOV!AK8</f>
        <v>0</v>
      </c>
      <c r="AY419" s="445">
        <f>SUMIF(NOV!$G$152:$J$152,"&gt;0",NOV!$W8:$Z8)</f>
        <v>0</v>
      </c>
      <c r="AZ419" s="1062">
        <f>SUM(NOV!AB8:AE8)</f>
        <v>0</v>
      </c>
      <c r="BA419" s="472">
        <f>SUMIF(NOV!$G$159:$J$159,BA$111,NOV!$R8:$U8)+SUMIF(NOV!$G$159:$J$159,BA$111,NOV!$W8:$Z8)</f>
        <v>0</v>
      </c>
      <c r="BB419" s="473">
        <f>SUMIF(NOV!$G$159:$J$159,BB$111,NOV!$R8:$U8)+SUMIF(NOV!$G$159:$J$159,BB$111,NOV!$W8:$Z8)</f>
        <v>0</v>
      </c>
      <c r="BC419" s="473">
        <f>SUMIF(NOV!$G$159:$J$159,BC$111,NOV!$R8:$U8)+SUMIF(NOV!$G$159:$J$159,BC$111,NOV!$W8:$Z8)</f>
        <v>0</v>
      </c>
      <c r="BD419" s="473">
        <f>SUMIF(NOV!$G$159:$J$159,BD$111,NOV!$R8:$U8)+SUMIF(NOV!$G$159:$J$159,BD$111,NOV!$W8:$Z8)</f>
        <v>0</v>
      </c>
      <c r="BE419" s="473">
        <f>SUMIF(NOV!$G$159:$J$159,BE$111,NOV!$R8:$U8)+SUMIF(NOV!$G$159:$J$159,BE$111,NOV!$W8:$Z8)</f>
        <v>0</v>
      </c>
      <c r="BF419" s="473">
        <f>SUMIF(NOV!$G$159:$J$159,BF$111,NOV!$R8:$U8)+SUMIF(NOV!$G$159:$J$159,BF$111,NOV!$W8:$Z8)</f>
        <v>0</v>
      </c>
      <c r="BG419" s="474">
        <f>SUMIF(NOV!$G$159:$J$159,BG$111,NOV!$R8:$U8)+SUMIF(NOV!$G$159:$J$159,BG$111,NOV!$W8:$Z8)</f>
        <v>0</v>
      </c>
      <c r="BH419" s="570"/>
      <c r="BI419" s="474"/>
      <c r="BJ419" s="470"/>
      <c r="BK419" s="472">
        <f>SUMIF(NOV!$G$157:$J$157,BK$111,NOV!$R8:$U8)+SUMIF(NOV!$G$157:$J$157,BK$111,NOV!$W8:$Z8)</f>
        <v>0</v>
      </c>
      <c r="BL419" s="473">
        <f>SUMIF(NOV!$G$157:$J$157,BL$111,NOV!$R8:$U8)+SUMIF(NOV!$G$157:$J$157,BL$111,NOV!$W8:$Z8)</f>
        <v>0</v>
      </c>
      <c r="BM419" s="473">
        <f>SUMIF(NOV!$G$157:$J$157,BM$111,NOV!$R8:$U8)+SUMIF(NOV!$G$157:$J$157,BM$111,NOV!$W8:$Z8)</f>
        <v>0</v>
      </c>
      <c r="BN419" s="473">
        <f>SUMIF(NOV!$G$157:$J$157,BN$111,NOV!$R8:$U8)+SUMIF(NOV!$G$157:$J$157,BN$111,NOV!$W8:$Z8)</f>
        <v>0</v>
      </c>
      <c r="BO419" s="473">
        <f>SUMIF(NOV!$G$157:$J$157,BO$111,NOV!$R8:$U8)+SUMIF(NOV!$G$157:$J$157,BO$111,NOV!$W8:$Z8)</f>
        <v>0</v>
      </c>
      <c r="BP419" s="473">
        <f>SUMIF(NOV!$G$157:$J$157,BP$111,NOV!$R8:$U8)+SUMIF(NOV!$G$157:$J$157,BP$111,NOV!$W8:$Z8)</f>
        <v>0</v>
      </c>
      <c r="BQ419" s="474">
        <f>SUMIF(NOV!$G$157:$J$157,BQ$111,NOV!$R8:$U8)+SUMIF(NOV!$G$157:$J$157,BQ$111,NOV!$W8:$Z8)</f>
        <v>0</v>
      </c>
      <c r="BR419" s="570"/>
      <c r="BS419" s="473"/>
      <c r="BT419" s="474"/>
      <c r="BU419" s="470"/>
      <c r="BV419" s="472">
        <f>SUMIF(NOV!$G$158:$J$158,BV$111,NOV!$R8:$U8)+SUMIF(NOV!$G$158:$J$158,BV$111,NOV!$W8:$Z8)</f>
        <v>0</v>
      </c>
      <c r="BW419" s="473">
        <f>SUMIF(NOV!$G$158:$J$158,BW$111,NOV!$R8:$U8)+SUMIF(NOV!$G$158:$J$158,BW$111,NOV!$W8:$Z8)</f>
        <v>0</v>
      </c>
      <c r="BX419" s="473">
        <f>SUMIF(NOV!$G$158:$J$158,BX$111,NOV!$R8:$U8)+SUMIF(NOV!$G$158:$J$158,BX$111,NOV!$W8:$Z8)</f>
        <v>0</v>
      </c>
      <c r="BY419" s="473">
        <f>SUMIF(NOV!$G$158:$J$158,BY$111,NOV!$R8:$U8)+SUMIF(NOV!$G$158:$J$158,BY$111,NOV!$W8:$Z8)</f>
        <v>0</v>
      </c>
      <c r="BZ419" s="473">
        <f>SUMIF(NOV!$G$158:$J$158,BZ$111,NOV!$R8:$U8)+SUMIF(NOV!$G$158:$J$158,BZ$111,NOV!$W8:$Z8)</f>
        <v>0</v>
      </c>
      <c r="CA419" s="473">
        <f>SUMIF(NOV!$G$158:$J$158,CA$111,NOV!$R8:$U8)+SUMIF(NOV!$G$158:$J$158,CA$111,NOV!$W8:$Z8)</f>
        <v>0</v>
      </c>
      <c r="CB419" s="474">
        <f>SUMIF(NOV!$G$158:$J$158,CB$111,NOV!$R8:$U8)+SUMIF(NOV!$G$158:$J$158,CB$111,NOV!$W8:$Z8)</f>
        <v>0</v>
      </c>
      <c r="CC419" s="570"/>
      <c r="CD419" s="474"/>
      <c r="CE419" s="92">
        <f t="shared" si="297"/>
        <v>0</v>
      </c>
      <c r="CF419" s="92">
        <f t="shared" si="298"/>
        <v>0</v>
      </c>
      <c r="CG419" s="151" t="str">
        <f t="shared" si="284"/>
        <v/>
      </c>
      <c r="CH419" s="92">
        <f t="shared" si="287"/>
        <v>0</v>
      </c>
      <c r="CI419" s="92" t="str">
        <f t="shared" si="299"/>
        <v/>
      </c>
      <c r="CJ419" s="1102">
        <f>NOV!AM8</f>
        <v>0</v>
      </c>
      <c r="CK419" s="445">
        <f>SUMIF(NOV!$G$155:$J$155,CK$112,NOV!$AN8:$AQ8)</f>
        <v>0</v>
      </c>
      <c r="CL419" s="446">
        <f>SUMIF(NOV!$G$155:$J$155,CL$112,NOV!$AN8:$AQ8)</f>
        <v>0</v>
      </c>
      <c r="CM419" s="447">
        <f>SUMIF(NOV!$G$155:$J$155,CM$112,NOV!$AN8:$AQ8)</f>
        <v>0</v>
      </c>
      <c r="CN419" s="448">
        <f>SUMIF(NOV!$G$155:$J$155,CN$112,NOV!$AN8:$AQ8)</f>
        <v>0</v>
      </c>
      <c r="CO419" s="1102">
        <f>NOV!AS8</f>
        <v>0</v>
      </c>
      <c r="CP419" s="445">
        <f>NOV!AT8</f>
        <v>0</v>
      </c>
      <c r="CQ419" s="446">
        <f>NOV!AU8</f>
        <v>0</v>
      </c>
      <c r="CR419" s="447">
        <f>NOV!AV8</f>
        <v>0</v>
      </c>
      <c r="CS419" s="448">
        <f>NOV!AW8</f>
        <v>0</v>
      </c>
      <c r="CT419" s="1102">
        <f>NOV!AY8</f>
        <v>0</v>
      </c>
      <c r="CU419" s="2"/>
    </row>
    <row r="420" spans="1:99" ht="14.25" hidden="1" customHeight="1" x14ac:dyDescent="0.2">
      <c r="A420" s="2"/>
      <c r="B420" s="151">
        <f t="shared" si="288"/>
        <v>45598</v>
      </c>
      <c r="C420" s="223">
        <f>IF(AND(E420&gt;(N$495-1),E420&lt;(R$495+1)),W$485,IF(ISERROR(HLOOKUP(E420,$N$488:$U$488,1,FALSE)),HLOOKUP(WEEKDAY(E420,2),IMPOSTAZIONI!$C$51:$P$56,6,FALSE),$W$484))</f>
        <v>0</v>
      </c>
      <c r="D420" s="103" t="str">
        <f t="shared" si="289"/>
        <v/>
      </c>
      <c r="E420" s="2380">
        <f t="shared" si="300"/>
        <v>45598</v>
      </c>
      <c r="F420" s="2381"/>
      <c r="G420" s="2325" t="str">
        <f>NOV!E9</f>
        <v xml:space="preserve">attiva trim.  </v>
      </c>
      <c r="H420" s="2326"/>
      <c r="I420" s="2327"/>
      <c r="J420" s="479" t="str">
        <f t="shared" si="285"/>
        <v/>
      </c>
      <c r="K420" s="480"/>
      <c r="L420" s="2319">
        <f t="shared" si="301"/>
        <v>44</v>
      </c>
      <c r="M420" s="2320"/>
      <c r="N420" s="478"/>
      <c r="O420" s="478"/>
      <c r="P420" s="478"/>
      <c r="Q420" s="2315">
        <f t="shared" si="290"/>
        <v>45598</v>
      </c>
      <c r="R420" s="2315"/>
      <c r="S420" s="478"/>
      <c r="T420" s="140">
        <f t="shared" si="291"/>
        <v>1</v>
      </c>
      <c r="U420" s="478"/>
      <c r="V420" s="478"/>
      <c r="W420" s="478"/>
      <c r="X420" s="478"/>
      <c r="Y420" s="478"/>
      <c r="Z420" s="478"/>
      <c r="AA420" s="478"/>
      <c r="AB420" s="478"/>
      <c r="AC420" s="478"/>
      <c r="AD420" s="478"/>
      <c r="AE420" s="478"/>
      <c r="AF420" s="478"/>
      <c r="AG420" s="140">
        <f t="shared" si="292"/>
        <v>0</v>
      </c>
      <c r="AH420" s="92" t="str">
        <f t="shared" si="293"/>
        <v/>
      </c>
      <c r="AI420" s="131">
        <f t="shared" si="294"/>
        <v>0</v>
      </c>
      <c r="AJ420" s="2"/>
      <c r="AK420" s="92">
        <f>IF(G420=G$481,0,IF(OR(G420&lt;&gt;0,CJ420&lt;&gt;0,C420="L"),COUNTIF(AK$114:AK419,"&gt;0")+1,0))</f>
        <v>0</v>
      </c>
      <c r="AL420" s="92" t="str">
        <f t="shared" si="295"/>
        <v/>
      </c>
      <c r="AM420" s="92" t="str">
        <f t="shared" si="296"/>
        <v/>
      </c>
      <c r="AN420" s="131">
        <f t="shared" si="286"/>
        <v>0</v>
      </c>
      <c r="AO420" s="447">
        <f>SUM(NOV!W9:Z9)</f>
        <v>0</v>
      </c>
      <c r="AP420" s="445">
        <f>SUMIF(NOV!$G$155:$J$155,AP$112,NOV!$R9:$U9)</f>
        <v>0</v>
      </c>
      <c r="AQ420" s="446">
        <f>SUMIF(NOV!$G$155:$J$155,AQ$112,NOV!$R9:$U9)</f>
        <v>0</v>
      </c>
      <c r="AR420" s="447">
        <f>SUMIF(NOV!$G$155:$J$155,AR$112,NOV!$R9:$U9)</f>
        <v>0</v>
      </c>
      <c r="AS420" s="448">
        <f>SUMIF(NOV!$G$155:$J$155,AS$112,NOV!$R9:$U9)</f>
        <v>0</v>
      </c>
      <c r="AT420" s="449">
        <f>NOV!AG9</f>
        <v>0</v>
      </c>
      <c r="AU420" s="445">
        <f>NOV!AH9</f>
        <v>0</v>
      </c>
      <c r="AV420" s="446">
        <f>NOV!AI9</f>
        <v>0</v>
      </c>
      <c r="AW420" s="447">
        <f>NOV!AJ9</f>
        <v>0</v>
      </c>
      <c r="AX420" s="448">
        <f>NOV!AK9</f>
        <v>0</v>
      </c>
      <c r="AY420" s="445">
        <f>SUMIF(NOV!$G$152:$J$152,"&gt;0",NOV!$W9:$Z9)</f>
        <v>0</v>
      </c>
      <c r="AZ420" s="1063">
        <f>SUM(NOV!AB9:AE9)</f>
        <v>0</v>
      </c>
      <c r="BA420" s="445">
        <f>SUMIF(NOV!$G$159:$J$159,BA$111,NOV!$R9:$U9)+SUMIF(NOV!$G$159:$J$159,BA$111,NOV!$W9:$Z9)</f>
        <v>0</v>
      </c>
      <c r="BB420" s="446">
        <f>SUMIF(NOV!$G$159:$J$159,BB$111,NOV!$R9:$U9)+SUMIF(NOV!$G$159:$J$159,BB$111,NOV!$W9:$Z9)</f>
        <v>0</v>
      </c>
      <c r="BC420" s="446">
        <f>SUMIF(NOV!$G$159:$J$159,BC$111,NOV!$R9:$U9)+SUMIF(NOV!$G$159:$J$159,BC$111,NOV!$W9:$Z9)</f>
        <v>0</v>
      </c>
      <c r="BD420" s="446">
        <f>SUMIF(NOV!$G$159:$J$159,BD$111,NOV!$R9:$U9)+SUMIF(NOV!$G$159:$J$159,BD$111,NOV!$W9:$Z9)</f>
        <v>0</v>
      </c>
      <c r="BE420" s="446">
        <f>SUMIF(NOV!$G$159:$J$159,BE$111,NOV!$R9:$U9)+SUMIF(NOV!$G$159:$J$159,BE$111,NOV!$W9:$Z9)</f>
        <v>0</v>
      </c>
      <c r="BF420" s="446">
        <f>SUMIF(NOV!$G$159:$J$159,BF$111,NOV!$R9:$U9)+SUMIF(NOV!$G$159:$J$159,BF$111,NOV!$W9:$Z9)</f>
        <v>0</v>
      </c>
      <c r="BG420" s="448">
        <f>SUMIF(NOV!$G$159:$J$159,BG$111,NOV!$R9:$U9)+SUMIF(NOV!$G$159:$J$159,BG$111,NOV!$W9:$Z9)</f>
        <v>0</v>
      </c>
      <c r="BH420" s="571"/>
      <c r="BI420" s="448"/>
      <c r="BJ420" s="470"/>
      <c r="BK420" s="445">
        <f>SUMIF(NOV!$G$157:$J$157,BK$111,NOV!$R9:$U9)+SUMIF(NOV!$G$157:$J$157,BK$111,NOV!$W9:$Z9)</f>
        <v>0</v>
      </c>
      <c r="BL420" s="446">
        <f>SUMIF(NOV!$G$157:$J$157,BL$111,NOV!$R9:$U9)+SUMIF(NOV!$G$157:$J$157,BL$111,NOV!$W9:$Z9)</f>
        <v>0</v>
      </c>
      <c r="BM420" s="446">
        <f>SUMIF(NOV!$G$157:$J$157,BM$111,NOV!$R9:$U9)+SUMIF(NOV!$G$157:$J$157,BM$111,NOV!$W9:$Z9)</f>
        <v>0</v>
      </c>
      <c r="BN420" s="446">
        <f>SUMIF(NOV!$G$157:$J$157,BN$111,NOV!$R9:$U9)+SUMIF(NOV!$G$157:$J$157,BN$111,NOV!$W9:$Z9)</f>
        <v>0</v>
      </c>
      <c r="BO420" s="446">
        <f>SUMIF(NOV!$G$157:$J$157,BO$111,NOV!$R9:$U9)+SUMIF(NOV!$G$157:$J$157,BO$111,NOV!$W9:$Z9)</f>
        <v>0</v>
      </c>
      <c r="BP420" s="446">
        <f>SUMIF(NOV!$G$157:$J$157,BP$111,NOV!$R9:$U9)+SUMIF(NOV!$G$157:$J$157,BP$111,NOV!$W9:$Z9)</f>
        <v>0</v>
      </c>
      <c r="BQ420" s="448">
        <f>SUMIF(NOV!$G$157:$J$157,BQ$111,NOV!$R9:$U9)+SUMIF(NOV!$G$157:$J$157,BQ$111,NOV!$W9:$Z9)</f>
        <v>0</v>
      </c>
      <c r="BR420" s="571"/>
      <c r="BS420" s="446"/>
      <c r="BT420" s="448"/>
      <c r="BU420" s="470"/>
      <c r="BV420" s="445">
        <f>SUMIF(NOV!$G$158:$J$158,BV$111,NOV!$R9:$U9)+SUMIF(NOV!$G$158:$J$158,BV$111,NOV!$W9:$Z9)</f>
        <v>0</v>
      </c>
      <c r="BW420" s="446">
        <f>SUMIF(NOV!$G$158:$J$158,BW$111,NOV!$R9:$U9)+SUMIF(NOV!$G$158:$J$158,BW$111,NOV!$W9:$Z9)</f>
        <v>0</v>
      </c>
      <c r="BX420" s="446">
        <f>SUMIF(NOV!$G$158:$J$158,BX$111,NOV!$R9:$U9)+SUMIF(NOV!$G$158:$J$158,BX$111,NOV!$W9:$Z9)</f>
        <v>0</v>
      </c>
      <c r="BY420" s="446">
        <f>SUMIF(NOV!$G$158:$J$158,BY$111,NOV!$R9:$U9)+SUMIF(NOV!$G$158:$J$158,BY$111,NOV!$W9:$Z9)</f>
        <v>0</v>
      </c>
      <c r="BZ420" s="446">
        <f>SUMIF(NOV!$G$158:$J$158,BZ$111,NOV!$R9:$U9)+SUMIF(NOV!$G$158:$J$158,BZ$111,NOV!$W9:$Z9)</f>
        <v>0</v>
      </c>
      <c r="CA420" s="446">
        <f>SUMIF(NOV!$G$158:$J$158,CA$111,NOV!$R9:$U9)+SUMIF(NOV!$G$158:$J$158,CA$111,NOV!$W9:$Z9)</f>
        <v>0</v>
      </c>
      <c r="CB420" s="448">
        <f>SUMIF(NOV!$G$158:$J$158,CB$111,NOV!$R9:$U9)+SUMIF(NOV!$G$158:$J$158,CB$111,NOV!$W9:$Z9)</f>
        <v>0</v>
      </c>
      <c r="CC420" s="571"/>
      <c r="CD420" s="448"/>
      <c r="CE420" s="92">
        <f t="shared" si="297"/>
        <v>0</v>
      </c>
      <c r="CF420" s="92">
        <f t="shared" si="298"/>
        <v>0</v>
      </c>
      <c r="CG420" s="151" t="str">
        <f t="shared" si="284"/>
        <v/>
      </c>
      <c r="CH420" s="92">
        <f t="shared" si="287"/>
        <v>0</v>
      </c>
      <c r="CI420" s="92" t="str">
        <f t="shared" si="299"/>
        <v/>
      </c>
      <c r="CJ420" s="1100">
        <f>NOV!AM9</f>
        <v>0</v>
      </c>
      <c r="CK420" s="445">
        <f>SUMIF(NOV!$G$155:$J$155,CK$112,NOV!$AN9:$AQ9)</f>
        <v>0</v>
      </c>
      <c r="CL420" s="446">
        <f>SUMIF(NOV!$G$155:$J$155,CL$112,NOV!$AN9:$AQ9)</f>
        <v>0</v>
      </c>
      <c r="CM420" s="447">
        <f>SUMIF(NOV!$G$155:$J$155,CM$112,NOV!$AN9:$AQ9)</f>
        <v>0</v>
      </c>
      <c r="CN420" s="448">
        <f>SUMIF(NOV!$G$155:$J$155,CN$112,NOV!$AN9:$AQ9)</f>
        <v>0</v>
      </c>
      <c r="CO420" s="1100">
        <f>NOV!AS9</f>
        <v>0</v>
      </c>
      <c r="CP420" s="445">
        <f>NOV!AT9</f>
        <v>0</v>
      </c>
      <c r="CQ420" s="446">
        <f>NOV!AU9</f>
        <v>0</v>
      </c>
      <c r="CR420" s="447">
        <f>NOV!AV9</f>
        <v>0</v>
      </c>
      <c r="CS420" s="448">
        <f>NOV!AW9</f>
        <v>0</v>
      </c>
      <c r="CT420" s="1100">
        <f>NOV!AY9</f>
        <v>0</v>
      </c>
      <c r="CU420" s="2"/>
    </row>
    <row r="421" spans="1:99" ht="14.25" hidden="1" customHeight="1" x14ac:dyDescent="0.2">
      <c r="A421" s="2"/>
      <c r="B421" s="151">
        <f t="shared" si="288"/>
        <v>45599</v>
      </c>
      <c r="C421" s="223">
        <f>IF(AND(E421&gt;(N$495-1),E421&lt;(R$495+1)),W$485,IF(ISERROR(HLOOKUP(E421,$N$488:$U$488,1,FALSE)),HLOOKUP(WEEKDAY(E421,2),IMPOSTAZIONI!$C$51:$P$56,6,FALSE),$W$484))</f>
        <v>0</v>
      </c>
      <c r="D421" s="103" t="str">
        <f t="shared" si="289"/>
        <v/>
      </c>
      <c r="E421" s="2380">
        <f t="shared" si="300"/>
        <v>45599</v>
      </c>
      <c r="F421" s="2381"/>
      <c r="G421" s="2325" t="str">
        <f>NOV!E10</f>
        <v xml:space="preserve">attiva trim.  </v>
      </c>
      <c r="H421" s="2326"/>
      <c r="I421" s="2327"/>
      <c r="J421" s="479" t="str">
        <f t="shared" si="285"/>
        <v/>
      </c>
      <c r="K421" s="480"/>
      <c r="L421" s="2321">
        <f t="shared" si="301"/>
        <v>44</v>
      </c>
      <c r="M421" s="2322"/>
      <c r="N421" s="478"/>
      <c r="O421" s="478"/>
      <c r="P421" s="478"/>
      <c r="Q421" s="2315">
        <f t="shared" si="290"/>
        <v>45599</v>
      </c>
      <c r="R421" s="2315"/>
      <c r="S421" s="478"/>
      <c r="T421" s="140">
        <f t="shared" si="291"/>
        <v>1</v>
      </c>
      <c r="U421" s="478"/>
      <c r="V421" s="478"/>
      <c r="W421" s="478"/>
      <c r="X421" s="478"/>
      <c r="Y421" s="478"/>
      <c r="Z421" s="478"/>
      <c r="AA421" s="478"/>
      <c r="AB421" s="478"/>
      <c r="AC421" s="478"/>
      <c r="AD421" s="478"/>
      <c r="AE421" s="478"/>
      <c r="AF421" s="478"/>
      <c r="AG421" s="140">
        <f t="shared" si="292"/>
        <v>0</v>
      </c>
      <c r="AH421" s="92" t="str">
        <f t="shared" si="293"/>
        <v/>
      </c>
      <c r="AI421" s="131">
        <f t="shared" si="294"/>
        <v>0</v>
      </c>
      <c r="AJ421" s="2"/>
      <c r="AK421" s="92">
        <f>IF(G421=G$481,0,IF(OR(G421&lt;&gt;0,CJ421&lt;&gt;0,C421="L"),COUNTIF(AK$114:AK420,"&gt;0")+1,0))</f>
        <v>0</v>
      </c>
      <c r="AL421" s="92" t="str">
        <f t="shared" si="295"/>
        <v/>
      </c>
      <c r="AM421" s="92" t="str">
        <f t="shared" si="296"/>
        <v/>
      </c>
      <c r="AN421" s="131">
        <f t="shared" si="286"/>
        <v>0</v>
      </c>
      <c r="AO421" s="447">
        <f>SUM(NOV!W10:Z10)</f>
        <v>0</v>
      </c>
      <c r="AP421" s="445">
        <f>SUMIF(NOV!$G$155:$J$155,AP$112,NOV!$R10:$U10)</f>
        <v>0</v>
      </c>
      <c r="AQ421" s="446">
        <f>SUMIF(NOV!$G$155:$J$155,AQ$112,NOV!$R10:$U10)</f>
        <v>0</v>
      </c>
      <c r="AR421" s="447">
        <f>SUMIF(NOV!$G$155:$J$155,AR$112,NOV!$R10:$U10)</f>
        <v>0</v>
      </c>
      <c r="AS421" s="448">
        <f>SUMIF(NOV!$G$155:$J$155,AS$112,NOV!$R10:$U10)</f>
        <v>0</v>
      </c>
      <c r="AT421" s="449">
        <f>NOV!AG10</f>
        <v>0</v>
      </c>
      <c r="AU421" s="445">
        <f>NOV!AH10</f>
        <v>0</v>
      </c>
      <c r="AV421" s="446">
        <f>NOV!AI10</f>
        <v>0</v>
      </c>
      <c r="AW421" s="447">
        <f>NOV!AJ10</f>
        <v>0</v>
      </c>
      <c r="AX421" s="448">
        <f>NOV!AK10</f>
        <v>0</v>
      </c>
      <c r="AY421" s="445">
        <f>SUMIF(NOV!$G$152:$J$152,"&gt;0",NOV!$W10:$Z10)</f>
        <v>0</v>
      </c>
      <c r="AZ421" s="1063">
        <f>SUM(NOV!AB10:AE10)</f>
        <v>0</v>
      </c>
      <c r="BA421" s="445">
        <f>SUMIF(NOV!$G$159:$J$159,BA$111,NOV!$R10:$U10)+SUMIF(NOV!$G$159:$J$159,BA$111,NOV!$W10:$Z10)</f>
        <v>0</v>
      </c>
      <c r="BB421" s="446">
        <f>SUMIF(NOV!$G$159:$J$159,BB$111,NOV!$R10:$U10)+SUMIF(NOV!$G$159:$J$159,BB$111,NOV!$W10:$Z10)</f>
        <v>0</v>
      </c>
      <c r="BC421" s="446">
        <f>SUMIF(NOV!$G$159:$J$159,BC$111,NOV!$R10:$U10)+SUMIF(NOV!$G$159:$J$159,BC$111,NOV!$W10:$Z10)</f>
        <v>0</v>
      </c>
      <c r="BD421" s="446">
        <f>SUMIF(NOV!$G$159:$J$159,BD$111,NOV!$R10:$U10)+SUMIF(NOV!$G$159:$J$159,BD$111,NOV!$W10:$Z10)</f>
        <v>0</v>
      </c>
      <c r="BE421" s="446">
        <f>SUMIF(NOV!$G$159:$J$159,BE$111,NOV!$R10:$U10)+SUMIF(NOV!$G$159:$J$159,BE$111,NOV!$W10:$Z10)</f>
        <v>0</v>
      </c>
      <c r="BF421" s="446">
        <f>SUMIF(NOV!$G$159:$J$159,BF$111,NOV!$R10:$U10)+SUMIF(NOV!$G$159:$J$159,BF$111,NOV!$W10:$Z10)</f>
        <v>0</v>
      </c>
      <c r="BG421" s="448">
        <f>SUMIF(NOV!$G$159:$J$159,BG$111,NOV!$R10:$U10)+SUMIF(NOV!$G$159:$J$159,BG$111,NOV!$W10:$Z10)</f>
        <v>0</v>
      </c>
      <c r="BH421" s="571"/>
      <c r="BI421" s="448"/>
      <c r="BJ421" s="470"/>
      <c r="BK421" s="445">
        <f>SUMIF(NOV!$G$157:$J$157,BK$111,NOV!$R10:$U10)+SUMIF(NOV!$G$157:$J$157,BK$111,NOV!$W10:$Z10)</f>
        <v>0</v>
      </c>
      <c r="BL421" s="446">
        <f>SUMIF(NOV!$G$157:$J$157,BL$111,NOV!$R10:$U10)+SUMIF(NOV!$G$157:$J$157,BL$111,NOV!$W10:$Z10)</f>
        <v>0</v>
      </c>
      <c r="BM421" s="446">
        <f>SUMIF(NOV!$G$157:$J$157,BM$111,NOV!$R10:$U10)+SUMIF(NOV!$G$157:$J$157,BM$111,NOV!$W10:$Z10)</f>
        <v>0</v>
      </c>
      <c r="BN421" s="446">
        <f>SUMIF(NOV!$G$157:$J$157,BN$111,NOV!$R10:$U10)+SUMIF(NOV!$G$157:$J$157,BN$111,NOV!$W10:$Z10)</f>
        <v>0</v>
      </c>
      <c r="BO421" s="446">
        <f>SUMIF(NOV!$G$157:$J$157,BO$111,NOV!$R10:$U10)+SUMIF(NOV!$G$157:$J$157,BO$111,NOV!$W10:$Z10)</f>
        <v>0</v>
      </c>
      <c r="BP421" s="446">
        <f>SUMIF(NOV!$G$157:$J$157,BP$111,NOV!$R10:$U10)+SUMIF(NOV!$G$157:$J$157,BP$111,NOV!$W10:$Z10)</f>
        <v>0</v>
      </c>
      <c r="BQ421" s="448">
        <f>SUMIF(NOV!$G$157:$J$157,BQ$111,NOV!$R10:$U10)+SUMIF(NOV!$G$157:$J$157,BQ$111,NOV!$W10:$Z10)</f>
        <v>0</v>
      </c>
      <c r="BR421" s="571"/>
      <c r="BS421" s="446"/>
      <c r="BT421" s="448"/>
      <c r="BU421" s="470"/>
      <c r="BV421" s="445">
        <f>SUMIF(NOV!$G$158:$J$158,BV$111,NOV!$R10:$U10)+SUMIF(NOV!$G$158:$J$158,BV$111,NOV!$W10:$Z10)</f>
        <v>0</v>
      </c>
      <c r="BW421" s="446">
        <f>SUMIF(NOV!$G$158:$J$158,BW$111,NOV!$R10:$U10)+SUMIF(NOV!$G$158:$J$158,BW$111,NOV!$W10:$Z10)</f>
        <v>0</v>
      </c>
      <c r="BX421" s="446">
        <f>SUMIF(NOV!$G$158:$J$158,BX$111,NOV!$R10:$U10)+SUMIF(NOV!$G$158:$J$158,BX$111,NOV!$W10:$Z10)</f>
        <v>0</v>
      </c>
      <c r="BY421" s="446">
        <f>SUMIF(NOV!$G$158:$J$158,BY$111,NOV!$R10:$U10)+SUMIF(NOV!$G$158:$J$158,BY$111,NOV!$W10:$Z10)</f>
        <v>0</v>
      </c>
      <c r="BZ421" s="446">
        <f>SUMIF(NOV!$G$158:$J$158,BZ$111,NOV!$R10:$U10)+SUMIF(NOV!$G$158:$J$158,BZ$111,NOV!$W10:$Z10)</f>
        <v>0</v>
      </c>
      <c r="CA421" s="446">
        <f>SUMIF(NOV!$G$158:$J$158,CA$111,NOV!$R10:$U10)+SUMIF(NOV!$G$158:$J$158,CA$111,NOV!$W10:$Z10)</f>
        <v>0</v>
      </c>
      <c r="CB421" s="448">
        <f>SUMIF(NOV!$G$158:$J$158,CB$111,NOV!$R10:$U10)+SUMIF(NOV!$G$158:$J$158,CB$111,NOV!$W10:$Z10)</f>
        <v>0</v>
      </c>
      <c r="CC421" s="571"/>
      <c r="CD421" s="448"/>
      <c r="CE421" s="92">
        <f t="shared" si="297"/>
        <v>0</v>
      </c>
      <c r="CF421" s="92">
        <f t="shared" si="298"/>
        <v>0</v>
      </c>
      <c r="CG421" s="151" t="str">
        <f t="shared" si="284"/>
        <v/>
      </c>
      <c r="CH421" s="92">
        <f t="shared" si="287"/>
        <v>0</v>
      </c>
      <c r="CI421" s="92" t="str">
        <f t="shared" si="299"/>
        <v/>
      </c>
      <c r="CJ421" s="1100">
        <f>NOV!AM10</f>
        <v>0</v>
      </c>
      <c r="CK421" s="445">
        <f>SUMIF(NOV!$G$155:$J$155,CK$112,NOV!$AN10:$AQ10)</f>
        <v>0</v>
      </c>
      <c r="CL421" s="446">
        <f>SUMIF(NOV!$G$155:$J$155,CL$112,NOV!$AN10:$AQ10)</f>
        <v>0</v>
      </c>
      <c r="CM421" s="447">
        <f>SUMIF(NOV!$G$155:$J$155,CM$112,NOV!$AN10:$AQ10)</f>
        <v>0</v>
      </c>
      <c r="CN421" s="448">
        <f>SUMIF(NOV!$G$155:$J$155,CN$112,NOV!$AN10:$AQ10)</f>
        <v>0</v>
      </c>
      <c r="CO421" s="1100">
        <f>NOV!AS10</f>
        <v>0</v>
      </c>
      <c r="CP421" s="445">
        <f>NOV!AT10</f>
        <v>0</v>
      </c>
      <c r="CQ421" s="446">
        <f>NOV!AU10</f>
        <v>0</v>
      </c>
      <c r="CR421" s="447">
        <f>NOV!AV10</f>
        <v>0</v>
      </c>
      <c r="CS421" s="448">
        <f>NOV!AW10</f>
        <v>0</v>
      </c>
      <c r="CT421" s="1100">
        <f>NOV!AY10</f>
        <v>0</v>
      </c>
      <c r="CU421" s="2"/>
    </row>
    <row r="422" spans="1:99" ht="14.25" hidden="1" customHeight="1" x14ac:dyDescent="0.2">
      <c r="A422" s="2"/>
      <c r="B422" s="151">
        <f t="shared" si="288"/>
        <v>45600</v>
      </c>
      <c r="C422" s="223">
        <f>IF(AND(E422&gt;(N$495-1),E422&lt;(R$495+1)),W$485,IF(ISERROR(HLOOKUP(E422,$N$488:$U$488,1,FALSE)),HLOOKUP(WEEKDAY(E422,2),IMPOSTAZIONI!$C$51:$P$56,6,FALSE),$W$484))</f>
        <v>0</v>
      </c>
      <c r="D422" s="103" t="str">
        <f t="shared" si="289"/>
        <v/>
      </c>
      <c r="E422" s="2380">
        <f t="shared" si="300"/>
        <v>45600</v>
      </c>
      <c r="F422" s="2381"/>
      <c r="G422" s="2325" t="str">
        <f>NOV!E11</f>
        <v xml:space="preserve">attiva trim.  </v>
      </c>
      <c r="H422" s="2326"/>
      <c r="I422" s="2327"/>
      <c r="J422" s="479" t="str">
        <f t="shared" si="285"/>
        <v/>
      </c>
      <c r="K422" s="480"/>
      <c r="L422" s="2323">
        <f t="shared" si="301"/>
        <v>45</v>
      </c>
      <c r="M422" s="2324"/>
      <c r="N422" s="478"/>
      <c r="O422" s="478"/>
      <c r="P422" s="478"/>
      <c r="Q422" s="2315">
        <f t="shared" si="290"/>
        <v>45600</v>
      </c>
      <c r="R422" s="2315"/>
      <c r="S422" s="478"/>
      <c r="T422" s="140">
        <f t="shared" si="291"/>
        <v>1</v>
      </c>
      <c r="U422" s="478"/>
      <c r="V422" s="478"/>
      <c r="W422" s="478"/>
      <c r="X422" s="478"/>
      <c r="Y422" s="478"/>
      <c r="Z422" s="478"/>
      <c r="AA422" s="478"/>
      <c r="AB422" s="478"/>
      <c r="AC422" s="478"/>
      <c r="AD422" s="478"/>
      <c r="AE422" s="478"/>
      <c r="AF422" s="478"/>
      <c r="AG422" s="140">
        <f t="shared" si="292"/>
        <v>0</v>
      </c>
      <c r="AH422" s="92" t="str">
        <f t="shared" si="293"/>
        <v/>
      </c>
      <c r="AI422" s="131">
        <f t="shared" si="294"/>
        <v>0</v>
      </c>
      <c r="AJ422" s="2"/>
      <c r="AK422" s="92">
        <f>IF(G422=G$481,0,IF(OR(G422&lt;&gt;0,CJ422&lt;&gt;0,C422="L"),COUNTIF(AK$114:AK421,"&gt;0")+1,0))</f>
        <v>0</v>
      </c>
      <c r="AL422" s="92" t="str">
        <f t="shared" si="295"/>
        <v/>
      </c>
      <c r="AM422" s="92" t="str">
        <f t="shared" si="296"/>
        <v/>
      </c>
      <c r="AN422" s="131">
        <f t="shared" si="286"/>
        <v>0</v>
      </c>
      <c r="AO422" s="447">
        <f>SUM(NOV!W11:Z11)</f>
        <v>0</v>
      </c>
      <c r="AP422" s="445">
        <f>SUMIF(NOV!$G$155:$J$155,AP$112,NOV!$R11:$U11)</f>
        <v>0</v>
      </c>
      <c r="AQ422" s="446">
        <f>SUMIF(NOV!$G$155:$J$155,AQ$112,NOV!$R11:$U11)</f>
        <v>0</v>
      </c>
      <c r="AR422" s="447">
        <f>SUMIF(NOV!$G$155:$J$155,AR$112,NOV!$R11:$U11)</f>
        <v>0</v>
      </c>
      <c r="AS422" s="448">
        <f>SUMIF(NOV!$G$155:$J$155,AS$112,NOV!$R11:$U11)</f>
        <v>0</v>
      </c>
      <c r="AT422" s="449">
        <f>NOV!AG11</f>
        <v>0</v>
      </c>
      <c r="AU422" s="445">
        <f>NOV!AH11</f>
        <v>0</v>
      </c>
      <c r="AV422" s="446">
        <f>NOV!AI11</f>
        <v>0</v>
      </c>
      <c r="AW422" s="447">
        <f>NOV!AJ11</f>
        <v>0</v>
      </c>
      <c r="AX422" s="448">
        <f>NOV!AK11</f>
        <v>0</v>
      </c>
      <c r="AY422" s="445">
        <f>SUMIF(NOV!$G$152:$J$152,"&gt;0",NOV!$W11:$Z11)</f>
        <v>0</v>
      </c>
      <c r="AZ422" s="1063">
        <f>SUM(NOV!AB11:AE11)</f>
        <v>0</v>
      </c>
      <c r="BA422" s="445">
        <f>SUMIF(NOV!$G$159:$J$159,BA$111,NOV!$R11:$U11)+SUMIF(NOV!$G$159:$J$159,BA$111,NOV!$W11:$Z11)</f>
        <v>0</v>
      </c>
      <c r="BB422" s="446">
        <f>SUMIF(NOV!$G$159:$J$159,BB$111,NOV!$R11:$U11)+SUMIF(NOV!$G$159:$J$159,BB$111,NOV!$W11:$Z11)</f>
        <v>0</v>
      </c>
      <c r="BC422" s="446">
        <f>SUMIF(NOV!$G$159:$J$159,BC$111,NOV!$R11:$U11)+SUMIF(NOV!$G$159:$J$159,BC$111,NOV!$W11:$Z11)</f>
        <v>0</v>
      </c>
      <c r="BD422" s="446">
        <f>SUMIF(NOV!$G$159:$J$159,BD$111,NOV!$R11:$U11)+SUMIF(NOV!$G$159:$J$159,BD$111,NOV!$W11:$Z11)</f>
        <v>0</v>
      </c>
      <c r="BE422" s="446">
        <f>SUMIF(NOV!$G$159:$J$159,BE$111,NOV!$R11:$U11)+SUMIF(NOV!$G$159:$J$159,BE$111,NOV!$W11:$Z11)</f>
        <v>0</v>
      </c>
      <c r="BF422" s="446">
        <f>SUMIF(NOV!$G$159:$J$159,BF$111,NOV!$R11:$U11)+SUMIF(NOV!$G$159:$J$159,BF$111,NOV!$W11:$Z11)</f>
        <v>0</v>
      </c>
      <c r="BG422" s="448">
        <f>SUMIF(NOV!$G$159:$J$159,BG$111,NOV!$R11:$U11)+SUMIF(NOV!$G$159:$J$159,BG$111,NOV!$W11:$Z11)</f>
        <v>0</v>
      </c>
      <c r="BH422" s="571"/>
      <c r="BI422" s="448"/>
      <c r="BJ422" s="470"/>
      <c r="BK422" s="445">
        <f>SUMIF(NOV!$G$157:$J$157,BK$111,NOV!$R11:$U11)+SUMIF(NOV!$G$157:$J$157,BK$111,NOV!$W11:$Z11)</f>
        <v>0</v>
      </c>
      <c r="BL422" s="446">
        <f>SUMIF(NOV!$G$157:$J$157,BL$111,NOV!$R11:$U11)+SUMIF(NOV!$G$157:$J$157,BL$111,NOV!$W11:$Z11)</f>
        <v>0</v>
      </c>
      <c r="BM422" s="446">
        <f>SUMIF(NOV!$G$157:$J$157,BM$111,NOV!$R11:$U11)+SUMIF(NOV!$G$157:$J$157,BM$111,NOV!$W11:$Z11)</f>
        <v>0</v>
      </c>
      <c r="BN422" s="446">
        <f>SUMIF(NOV!$G$157:$J$157,BN$111,NOV!$R11:$U11)+SUMIF(NOV!$G$157:$J$157,BN$111,NOV!$W11:$Z11)</f>
        <v>0</v>
      </c>
      <c r="BO422" s="446">
        <f>SUMIF(NOV!$G$157:$J$157,BO$111,NOV!$R11:$U11)+SUMIF(NOV!$G$157:$J$157,BO$111,NOV!$W11:$Z11)</f>
        <v>0</v>
      </c>
      <c r="BP422" s="446">
        <f>SUMIF(NOV!$G$157:$J$157,BP$111,NOV!$R11:$U11)+SUMIF(NOV!$G$157:$J$157,BP$111,NOV!$W11:$Z11)</f>
        <v>0</v>
      </c>
      <c r="BQ422" s="448">
        <f>SUMIF(NOV!$G$157:$J$157,BQ$111,NOV!$R11:$U11)+SUMIF(NOV!$G$157:$J$157,BQ$111,NOV!$W11:$Z11)</f>
        <v>0</v>
      </c>
      <c r="BR422" s="571"/>
      <c r="BS422" s="446"/>
      <c r="BT422" s="448"/>
      <c r="BU422" s="470"/>
      <c r="BV422" s="445">
        <f>SUMIF(NOV!$G$158:$J$158,BV$111,NOV!$R11:$U11)+SUMIF(NOV!$G$158:$J$158,BV$111,NOV!$W11:$Z11)</f>
        <v>0</v>
      </c>
      <c r="BW422" s="446">
        <f>SUMIF(NOV!$G$158:$J$158,BW$111,NOV!$R11:$U11)+SUMIF(NOV!$G$158:$J$158,BW$111,NOV!$W11:$Z11)</f>
        <v>0</v>
      </c>
      <c r="BX422" s="446">
        <f>SUMIF(NOV!$G$158:$J$158,BX$111,NOV!$R11:$U11)+SUMIF(NOV!$G$158:$J$158,BX$111,NOV!$W11:$Z11)</f>
        <v>0</v>
      </c>
      <c r="BY422" s="446">
        <f>SUMIF(NOV!$G$158:$J$158,BY$111,NOV!$R11:$U11)+SUMIF(NOV!$G$158:$J$158,BY$111,NOV!$W11:$Z11)</f>
        <v>0</v>
      </c>
      <c r="BZ422" s="446">
        <f>SUMIF(NOV!$G$158:$J$158,BZ$111,NOV!$R11:$U11)+SUMIF(NOV!$G$158:$J$158,BZ$111,NOV!$W11:$Z11)</f>
        <v>0</v>
      </c>
      <c r="CA422" s="446">
        <f>SUMIF(NOV!$G$158:$J$158,CA$111,NOV!$R11:$U11)+SUMIF(NOV!$G$158:$J$158,CA$111,NOV!$W11:$Z11)</f>
        <v>0</v>
      </c>
      <c r="CB422" s="448">
        <f>SUMIF(NOV!$G$158:$J$158,CB$111,NOV!$R11:$U11)+SUMIF(NOV!$G$158:$J$158,CB$111,NOV!$W11:$Z11)</f>
        <v>0</v>
      </c>
      <c r="CC422" s="571"/>
      <c r="CD422" s="448"/>
      <c r="CE422" s="92">
        <f t="shared" si="297"/>
        <v>0</v>
      </c>
      <c r="CF422" s="92">
        <f t="shared" si="298"/>
        <v>0</v>
      </c>
      <c r="CG422" s="151" t="str">
        <f t="shared" si="284"/>
        <v/>
      </c>
      <c r="CH422" s="92">
        <f t="shared" si="287"/>
        <v>0</v>
      </c>
      <c r="CI422" s="92" t="str">
        <f t="shared" si="299"/>
        <v/>
      </c>
      <c r="CJ422" s="1100">
        <f>NOV!AM11</f>
        <v>0</v>
      </c>
      <c r="CK422" s="445">
        <f>SUMIF(NOV!$G$155:$J$155,CK$112,NOV!$AN11:$AQ11)</f>
        <v>0</v>
      </c>
      <c r="CL422" s="446">
        <f>SUMIF(NOV!$G$155:$J$155,CL$112,NOV!$AN11:$AQ11)</f>
        <v>0</v>
      </c>
      <c r="CM422" s="447">
        <f>SUMIF(NOV!$G$155:$J$155,CM$112,NOV!$AN11:$AQ11)</f>
        <v>0</v>
      </c>
      <c r="CN422" s="448">
        <f>SUMIF(NOV!$G$155:$J$155,CN$112,NOV!$AN11:$AQ11)</f>
        <v>0</v>
      </c>
      <c r="CO422" s="1100">
        <f>NOV!AS11</f>
        <v>0</v>
      </c>
      <c r="CP422" s="445">
        <f>NOV!AT11</f>
        <v>0</v>
      </c>
      <c r="CQ422" s="446">
        <f>NOV!AU11</f>
        <v>0</v>
      </c>
      <c r="CR422" s="447">
        <f>NOV!AV11</f>
        <v>0</v>
      </c>
      <c r="CS422" s="448">
        <f>NOV!AW11</f>
        <v>0</v>
      </c>
      <c r="CT422" s="1100">
        <f>NOV!AY11</f>
        <v>0</v>
      </c>
      <c r="CU422" s="2"/>
    </row>
    <row r="423" spans="1:99" ht="14.25" hidden="1" customHeight="1" x14ac:dyDescent="0.2">
      <c r="A423" s="2"/>
      <c r="B423" s="151">
        <f t="shared" si="288"/>
        <v>45601</v>
      </c>
      <c r="C423" s="223">
        <f>IF(AND(E423&gt;(N$495-1),E423&lt;(R$495+1)),W$485,IF(ISERROR(HLOOKUP(E423,$N$488:$U$488,1,FALSE)),HLOOKUP(WEEKDAY(E423,2),IMPOSTAZIONI!$C$51:$P$56,6,FALSE),$W$484))</f>
        <v>0</v>
      </c>
      <c r="D423" s="103" t="str">
        <f t="shared" si="289"/>
        <v/>
      </c>
      <c r="E423" s="2380">
        <f t="shared" si="300"/>
        <v>45601</v>
      </c>
      <c r="F423" s="2381"/>
      <c r="G423" s="2325" t="str">
        <f>NOV!E12</f>
        <v xml:space="preserve">attiva trim.  </v>
      </c>
      <c r="H423" s="2326"/>
      <c r="I423" s="2327"/>
      <c r="J423" s="479" t="str">
        <f t="shared" si="285"/>
        <v/>
      </c>
      <c r="K423" s="480"/>
      <c r="L423" s="2319">
        <f t="shared" si="301"/>
        <v>45</v>
      </c>
      <c r="M423" s="2320"/>
      <c r="N423" s="478"/>
      <c r="O423" s="478"/>
      <c r="P423" s="478"/>
      <c r="Q423" s="2315">
        <f t="shared" si="290"/>
        <v>45601</v>
      </c>
      <c r="R423" s="2315"/>
      <c r="S423" s="478"/>
      <c r="T423" s="140">
        <f t="shared" si="291"/>
        <v>1</v>
      </c>
      <c r="U423" s="478"/>
      <c r="V423" s="478"/>
      <c r="W423" s="478"/>
      <c r="X423" s="478"/>
      <c r="Y423" s="478"/>
      <c r="Z423" s="478"/>
      <c r="AA423" s="478"/>
      <c r="AB423" s="478"/>
      <c r="AC423" s="478"/>
      <c r="AD423" s="478"/>
      <c r="AE423" s="478"/>
      <c r="AF423" s="478"/>
      <c r="AG423" s="140">
        <f t="shared" si="292"/>
        <v>0</v>
      </c>
      <c r="AH423" s="92" t="str">
        <f t="shared" si="293"/>
        <v/>
      </c>
      <c r="AI423" s="131">
        <f t="shared" si="294"/>
        <v>0</v>
      </c>
      <c r="AJ423" s="2"/>
      <c r="AK423" s="92">
        <f>IF(G423=G$481,0,IF(OR(G423&lt;&gt;0,CJ423&lt;&gt;0,C423="L"),COUNTIF(AK$114:AK422,"&gt;0")+1,0))</f>
        <v>0</v>
      </c>
      <c r="AL423" s="92" t="str">
        <f t="shared" si="295"/>
        <v/>
      </c>
      <c r="AM423" s="92" t="str">
        <f t="shared" si="296"/>
        <v/>
      </c>
      <c r="AN423" s="131">
        <f t="shared" si="286"/>
        <v>0</v>
      </c>
      <c r="AO423" s="447">
        <f>SUM(NOV!W12:Z12)</f>
        <v>0</v>
      </c>
      <c r="AP423" s="445">
        <f>SUMIF(NOV!$G$155:$J$155,AP$112,NOV!$R12:$U12)</f>
        <v>0</v>
      </c>
      <c r="AQ423" s="446">
        <f>SUMIF(NOV!$G$155:$J$155,AQ$112,NOV!$R12:$U12)</f>
        <v>0</v>
      </c>
      <c r="AR423" s="447">
        <f>SUMIF(NOV!$G$155:$J$155,AR$112,NOV!$R12:$U12)</f>
        <v>0</v>
      </c>
      <c r="AS423" s="448">
        <f>SUMIF(NOV!$G$155:$J$155,AS$112,NOV!$R12:$U12)</f>
        <v>0</v>
      </c>
      <c r="AT423" s="449">
        <f>NOV!AG12</f>
        <v>0</v>
      </c>
      <c r="AU423" s="445">
        <f>NOV!AH12</f>
        <v>0</v>
      </c>
      <c r="AV423" s="446">
        <f>NOV!AI12</f>
        <v>0</v>
      </c>
      <c r="AW423" s="447">
        <f>NOV!AJ12</f>
        <v>0</v>
      </c>
      <c r="AX423" s="448">
        <f>NOV!AK12</f>
        <v>0</v>
      </c>
      <c r="AY423" s="445">
        <f>SUMIF(NOV!$G$152:$J$152,"&gt;0",NOV!$W12:$Z12)</f>
        <v>0</v>
      </c>
      <c r="AZ423" s="1063">
        <f>SUM(NOV!AB12:AE12)</f>
        <v>0</v>
      </c>
      <c r="BA423" s="445">
        <f>SUMIF(NOV!$G$159:$J$159,BA$111,NOV!$R12:$U12)+SUMIF(NOV!$G$159:$J$159,BA$111,NOV!$W12:$Z12)</f>
        <v>0</v>
      </c>
      <c r="BB423" s="446">
        <f>SUMIF(NOV!$G$159:$J$159,BB$111,NOV!$R12:$U12)+SUMIF(NOV!$G$159:$J$159,BB$111,NOV!$W12:$Z12)</f>
        <v>0</v>
      </c>
      <c r="BC423" s="446">
        <f>SUMIF(NOV!$G$159:$J$159,BC$111,NOV!$R12:$U12)+SUMIF(NOV!$G$159:$J$159,BC$111,NOV!$W12:$Z12)</f>
        <v>0</v>
      </c>
      <c r="BD423" s="446">
        <f>SUMIF(NOV!$G$159:$J$159,BD$111,NOV!$R12:$U12)+SUMIF(NOV!$G$159:$J$159,BD$111,NOV!$W12:$Z12)</f>
        <v>0</v>
      </c>
      <c r="BE423" s="446">
        <f>SUMIF(NOV!$G$159:$J$159,BE$111,NOV!$R12:$U12)+SUMIF(NOV!$G$159:$J$159,BE$111,NOV!$W12:$Z12)</f>
        <v>0</v>
      </c>
      <c r="BF423" s="446">
        <f>SUMIF(NOV!$G$159:$J$159,BF$111,NOV!$R12:$U12)+SUMIF(NOV!$G$159:$J$159,BF$111,NOV!$W12:$Z12)</f>
        <v>0</v>
      </c>
      <c r="BG423" s="448">
        <f>SUMIF(NOV!$G$159:$J$159,BG$111,NOV!$R12:$U12)+SUMIF(NOV!$G$159:$J$159,BG$111,NOV!$W12:$Z12)</f>
        <v>0</v>
      </c>
      <c r="BH423" s="571"/>
      <c r="BI423" s="448"/>
      <c r="BJ423" s="470"/>
      <c r="BK423" s="445">
        <f>SUMIF(NOV!$G$157:$J$157,BK$111,NOV!$R12:$U12)+SUMIF(NOV!$G$157:$J$157,BK$111,NOV!$W12:$Z12)</f>
        <v>0</v>
      </c>
      <c r="BL423" s="446">
        <f>SUMIF(NOV!$G$157:$J$157,BL$111,NOV!$R12:$U12)+SUMIF(NOV!$G$157:$J$157,BL$111,NOV!$W12:$Z12)</f>
        <v>0</v>
      </c>
      <c r="BM423" s="446">
        <f>SUMIF(NOV!$G$157:$J$157,BM$111,NOV!$R12:$U12)+SUMIF(NOV!$G$157:$J$157,BM$111,NOV!$W12:$Z12)</f>
        <v>0</v>
      </c>
      <c r="BN423" s="446">
        <f>SUMIF(NOV!$G$157:$J$157,BN$111,NOV!$R12:$U12)+SUMIF(NOV!$G$157:$J$157,BN$111,NOV!$W12:$Z12)</f>
        <v>0</v>
      </c>
      <c r="BO423" s="446">
        <f>SUMIF(NOV!$G$157:$J$157,BO$111,NOV!$R12:$U12)+SUMIF(NOV!$G$157:$J$157,BO$111,NOV!$W12:$Z12)</f>
        <v>0</v>
      </c>
      <c r="BP423" s="446">
        <f>SUMIF(NOV!$G$157:$J$157,BP$111,NOV!$R12:$U12)+SUMIF(NOV!$G$157:$J$157,BP$111,NOV!$W12:$Z12)</f>
        <v>0</v>
      </c>
      <c r="BQ423" s="448">
        <f>SUMIF(NOV!$G$157:$J$157,BQ$111,NOV!$R12:$U12)+SUMIF(NOV!$G$157:$J$157,BQ$111,NOV!$W12:$Z12)</f>
        <v>0</v>
      </c>
      <c r="BR423" s="571"/>
      <c r="BS423" s="446"/>
      <c r="BT423" s="448"/>
      <c r="BU423" s="470"/>
      <c r="BV423" s="445">
        <f>SUMIF(NOV!$G$158:$J$158,BV$111,NOV!$R12:$U12)+SUMIF(NOV!$G$158:$J$158,BV$111,NOV!$W12:$Z12)</f>
        <v>0</v>
      </c>
      <c r="BW423" s="446">
        <f>SUMIF(NOV!$G$158:$J$158,BW$111,NOV!$R12:$U12)+SUMIF(NOV!$G$158:$J$158,BW$111,NOV!$W12:$Z12)</f>
        <v>0</v>
      </c>
      <c r="BX423" s="446">
        <f>SUMIF(NOV!$G$158:$J$158,BX$111,NOV!$R12:$U12)+SUMIF(NOV!$G$158:$J$158,BX$111,NOV!$W12:$Z12)</f>
        <v>0</v>
      </c>
      <c r="BY423" s="446">
        <f>SUMIF(NOV!$G$158:$J$158,BY$111,NOV!$R12:$U12)+SUMIF(NOV!$G$158:$J$158,BY$111,NOV!$W12:$Z12)</f>
        <v>0</v>
      </c>
      <c r="BZ423" s="446">
        <f>SUMIF(NOV!$G$158:$J$158,BZ$111,NOV!$R12:$U12)+SUMIF(NOV!$G$158:$J$158,BZ$111,NOV!$W12:$Z12)</f>
        <v>0</v>
      </c>
      <c r="CA423" s="446">
        <f>SUMIF(NOV!$G$158:$J$158,CA$111,NOV!$R12:$U12)+SUMIF(NOV!$G$158:$J$158,CA$111,NOV!$W12:$Z12)</f>
        <v>0</v>
      </c>
      <c r="CB423" s="448">
        <f>SUMIF(NOV!$G$158:$J$158,CB$111,NOV!$R12:$U12)+SUMIF(NOV!$G$158:$J$158,CB$111,NOV!$W12:$Z12)</f>
        <v>0</v>
      </c>
      <c r="CC423" s="571"/>
      <c r="CD423" s="448"/>
      <c r="CE423" s="92">
        <f t="shared" si="297"/>
        <v>0</v>
      </c>
      <c r="CF423" s="92">
        <f t="shared" si="298"/>
        <v>0</v>
      </c>
      <c r="CG423" s="151" t="str">
        <f t="shared" si="284"/>
        <v/>
      </c>
      <c r="CH423" s="92">
        <f t="shared" si="287"/>
        <v>0</v>
      </c>
      <c r="CI423" s="92" t="str">
        <f t="shared" si="299"/>
        <v/>
      </c>
      <c r="CJ423" s="1100">
        <f>NOV!AM12</f>
        <v>0</v>
      </c>
      <c r="CK423" s="445">
        <f>SUMIF(NOV!$G$155:$J$155,CK$112,NOV!$AN12:$AQ12)</f>
        <v>0</v>
      </c>
      <c r="CL423" s="446">
        <f>SUMIF(NOV!$G$155:$J$155,CL$112,NOV!$AN12:$AQ12)</f>
        <v>0</v>
      </c>
      <c r="CM423" s="447">
        <f>SUMIF(NOV!$G$155:$J$155,CM$112,NOV!$AN12:$AQ12)</f>
        <v>0</v>
      </c>
      <c r="CN423" s="448">
        <f>SUMIF(NOV!$G$155:$J$155,CN$112,NOV!$AN12:$AQ12)</f>
        <v>0</v>
      </c>
      <c r="CO423" s="1100">
        <f>NOV!AS12</f>
        <v>0</v>
      </c>
      <c r="CP423" s="445">
        <f>NOV!AT12</f>
        <v>0</v>
      </c>
      <c r="CQ423" s="446">
        <f>NOV!AU12</f>
        <v>0</v>
      </c>
      <c r="CR423" s="447">
        <f>NOV!AV12</f>
        <v>0</v>
      </c>
      <c r="CS423" s="448">
        <f>NOV!AW12</f>
        <v>0</v>
      </c>
      <c r="CT423" s="1100">
        <f>NOV!AY12</f>
        <v>0</v>
      </c>
      <c r="CU423" s="2"/>
    </row>
    <row r="424" spans="1:99" ht="14.25" hidden="1" customHeight="1" x14ac:dyDescent="0.2">
      <c r="A424" s="2"/>
      <c r="B424" s="151">
        <f t="shared" si="288"/>
        <v>45602</v>
      </c>
      <c r="C424" s="223">
        <f>IF(AND(E424&gt;(N$495-1),E424&lt;(R$495+1)),W$485,IF(ISERROR(HLOOKUP(E424,$N$488:$U$488,1,FALSE)),HLOOKUP(WEEKDAY(E424,2),IMPOSTAZIONI!$C$51:$P$56,6,FALSE),$W$484))</f>
        <v>0</v>
      </c>
      <c r="D424" s="103" t="str">
        <f t="shared" si="289"/>
        <v/>
      </c>
      <c r="E424" s="2380">
        <f t="shared" si="300"/>
        <v>45602</v>
      </c>
      <c r="F424" s="2381"/>
      <c r="G424" s="2325" t="str">
        <f>NOV!E13</f>
        <v xml:space="preserve">attiva trim.  </v>
      </c>
      <c r="H424" s="2326"/>
      <c r="I424" s="2327"/>
      <c r="J424" s="479" t="str">
        <f t="shared" si="285"/>
        <v/>
      </c>
      <c r="K424" s="480"/>
      <c r="L424" s="2319">
        <f t="shared" si="301"/>
        <v>45</v>
      </c>
      <c r="M424" s="2320"/>
      <c r="N424" s="478"/>
      <c r="O424" s="478"/>
      <c r="P424" s="478"/>
      <c r="Q424" s="2315">
        <f t="shared" si="290"/>
        <v>45602</v>
      </c>
      <c r="R424" s="2315"/>
      <c r="S424" s="478"/>
      <c r="T424" s="140">
        <f t="shared" si="291"/>
        <v>1</v>
      </c>
      <c r="U424" s="478"/>
      <c r="V424" s="478"/>
      <c r="W424" s="478"/>
      <c r="X424" s="478"/>
      <c r="Y424" s="478"/>
      <c r="Z424" s="478"/>
      <c r="AA424" s="478"/>
      <c r="AB424" s="478"/>
      <c r="AC424" s="478"/>
      <c r="AD424" s="478"/>
      <c r="AE424" s="478"/>
      <c r="AF424" s="478"/>
      <c r="AG424" s="140">
        <f t="shared" si="292"/>
        <v>0</v>
      </c>
      <c r="AH424" s="92" t="str">
        <f t="shared" si="293"/>
        <v/>
      </c>
      <c r="AI424" s="131">
        <f t="shared" si="294"/>
        <v>0</v>
      </c>
      <c r="AJ424" s="2"/>
      <c r="AK424" s="92">
        <f>IF(G424=G$481,0,IF(OR(G424&lt;&gt;0,CJ424&lt;&gt;0,C424="L"),COUNTIF(AK$114:AK423,"&gt;0")+1,0))</f>
        <v>0</v>
      </c>
      <c r="AL424" s="92" t="str">
        <f t="shared" si="295"/>
        <v/>
      </c>
      <c r="AM424" s="92" t="str">
        <f t="shared" si="296"/>
        <v/>
      </c>
      <c r="AN424" s="131">
        <f t="shared" si="286"/>
        <v>0</v>
      </c>
      <c r="AO424" s="447">
        <f>SUM(NOV!W13:Z13)</f>
        <v>0</v>
      </c>
      <c r="AP424" s="445">
        <f>SUMIF(NOV!$G$155:$J$155,AP$112,NOV!$R13:$U13)</f>
        <v>0</v>
      </c>
      <c r="AQ424" s="446">
        <f>SUMIF(NOV!$G$155:$J$155,AQ$112,NOV!$R13:$U13)</f>
        <v>0</v>
      </c>
      <c r="AR424" s="447">
        <f>SUMIF(NOV!$G$155:$J$155,AR$112,NOV!$R13:$U13)</f>
        <v>0</v>
      </c>
      <c r="AS424" s="448">
        <f>SUMIF(NOV!$G$155:$J$155,AS$112,NOV!$R13:$U13)</f>
        <v>0</v>
      </c>
      <c r="AT424" s="449">
        <f>NOV!AG13</f>
        <v>0</v>
      </c>
      <c r="AU424" s="445">
        <f>NOV!AH13</f>
        <v>0</v>
      </c>
      <c r="AV424" s="446">
        <f>NOV!AI13</f>
        <v>0</v>
      </c>
      <c r="AW424" s="447">
        <f>NOV!AJ13</f>
        <v>0</v>
      </c>
      <c r="AX424" s="448">
        <f>NOV!AK13</f>
        <v>0</v>
      </c>
      <c r="AY424" s="445">
        <f>SUMIF(NOV!$G$152:$J$152,"&gt;0",NOV!$W13:$Z13)</f>
        <v>0</v>
      </c>
      <c r="AZ424" s="1063">
        <f>SUM(NOV!AB13:AE13)</f>
        <v>0</v>
      </c>
      <c r="BA424" s="445">
        <f>SUMIF(NOV!$G$159:$J$159,BA$111,NOV!$R13:$U13)+SUMIF(NOV!$G$159:$J$159,BA$111,NOV!$W13:$Z13)</f>
        <v>0</v>
      </c>
      <c r="BB424" s="446">
        <f>SUMIF(NOV!$G$159:$J$159,BB$111,NOV!$R13:$U13)+SUMIF(NOV!$G$159:$J$159,BB$111,NOV!$W13:$Z13)</f>
        <v>0</v>
      </c>
      <c r="BC424" s="446">
        <f>SUMIF(NOV!$G$159:$J$159,BC$111,NOV!$R13:$U13)+SUMIF(NOV!$G$159:$J$159,BC$111,NOV!$W13:$Z13)</f>
        <v>0</v>
      </c>
      <c r="BD424" s="446">
        <f>SUMIF(NOV!$G$159:$J$159,BD$111,NOV!$R13:$U13)+SUMIF(NOV!$G$159:$J$159,BD$111,NOV!$W13:$Z13)</f>
        <v>0</v>
      </c>
      <c r="BE424" s="446">
        <f>SUMIF(NOV!$G$159:$J$159,BE$111,NOV!$R13:$U13)+SUMIF(NOV!$G$159:$J$159,BE$111,NOV!$W13:$Z13)</f>
        <v>0</v>
      </c>
      <c r="BF424" s="446">
        <f>SUMIF(NOV!$G$159:$J$159,BF$111,NOV!$R13:$U13)+SUMIF(NOV!$G$159:$J$159,BF$111,NOV!$W13:$Z13)</f>
        <v>0</v>
      </c>
      <c r="BG424" s="448">
        <f>SUMIF(NOV!$G$159:$J$159,BG$111,NOV!$R13:$U13)+SUMIF(NOV!$G$159:$J$159,BG$111,NOV!$W13:$Z13)</f>
        <v>0</v>
      </c>
      <c r="BH424" s="571"/>
      <c r="BI424" s="448"/>
      <c r="BJ424" s="470"/>
      <c r="BK424" s="445">
        <f>SUMIF(NOV!$G$157:$J$157,BK$111,NOV!$R13:$U13)+SUMIF(NOV!$G$157:$J$157,BK$111,NOV!$W13:$Z13)</f>
        <v>0</v>
      </c>
      <c r="BL424" s="446">
        <f>SUMIF(NOV!$G$157:$J$157,BL$111,NOV!$R13:$U13)+SUMIF(NOV!$G$157:$J$157,BL$111,NOV!$W13:$Z13)</f>
        <v>0</v>
      </c>
      <c r="BM424" s="446">
        <f>SUMIF(NOV!$G$157:$J$157,BM$111,NOV!$R13:$U13)+SUMIF(NOV!$G$157:$J$157,BM$111,NOV!$W13:$Z13)</f>
        <v>0</v>
      </c>
      <c r="BN424" s="446">
        <f>SUMIF(NOV!$G$157:$J$157,BN$111,NOV!$R13:$U13)+SUMIF(NOV!$G$157:$J$157,BN$111,NOV!$W13:$Z13)</f>
        <v>0</v>
      </c>
      <c r="BO424" s="446">
        <f>SUMIF(NOV!$G$157:$J$157,BO$111,NOV!$R13:$U13)+SUMIF(NOV!$G$157:$J$157,BO$111,NOV!$W13:$Z13)</f>
        <v>0</v>
      </c>
      <c r="BP424" s="446">
        <f>SUMIF(NOV!$G$157:$J$157,BP$111,NOV!$R13:$U13)+SUMIF(NOV!$G$157:$J$157,BP$111,NOV!$W13:$Z13)</f>
        <v>0</v>
      </c>
      <c r="BQ424" s="448">
        <f>SUMIF(NOV!$G$157:$J$157,BQ$111,NOV!$R13:$U13)+SUMIF(NOV!$G$157:$J$157,BQ$111,NOV!$W13:$Z13)</f>
        <v>0</v>
      </c>
      <c r="BR424" s="571"/>
      <c r="BS424" s="446"/>
      <c r="BT424" s="448"/>
      <c r="BU424" s="470"/>
      <c r="BV424" s="445">
        <f>SUMIF(NOV!$G$158:$J$158,BV$111,NOV!$R13:$U13)+SUMIF(NOV!$G$158:$J$158,BV$111,NOV!$W13:$Z13)</f>
        <v>0</v>
      </c>
      <c r="BW424" s="446">
        <f>SUMIF(NOV!$G$158:$J$158,BW$111,NOV!$R13:$U13)+SUMIF(NOV!$G$158:$J$158,BW$111,NOV!$W13:$Z13)</f>
        <v>0</v>
      </c>
      <c r="BX424" s="446">
        <f>SUMIF(NOV!$G$158:$J$158,BX$111,NOV!$R13:$U13)+SUMIF(NOV!$G$158:$J$158,BX$111,NOV!$W13:$Z13)</f>
        <v>0</v>
      </c>
      <c r="BY424" s="446">
        <f>SUMIF(NOV!$G$158:$J$158,BY$111,NOV!$R13:$U13)+SUMIF(NOV!$G$158:$J$158,BY$111,NOV!$W13:$Z13)</f>
        <v>0</v>
      </c>
      <c r="BZ424" s="446">
        <f>SUMIF(NOV!$G$158:$J$158,BZ$111,NOV!$R13:$U13)+SUMIF(NOV!$G$158:$J$158,BZ$111,NOV!$W13:$Z13)</f>
        <v>0</v>
      </c>
      <c r="CA424" s="446">
        <f>SUMIF(NOV!$G$158:$J$158,CA$111,NOV!$R13:$U13)+SUMIF(NOV!$G$158:$J$158,CA$111,NOV!$W13:$Z13)</f>
        <v>0</v>
      </c>
      <c r="CB424" s="448">
        <f>SUMIF(NOV!$G$158:$J$158,CB$111,NOV!$R13:$U13)+SUMIF(NOV!$G$158:$J$158,CB$111,NOV!$W13:$Z13)</f>
        <v>0</v>
      </c>
      <c r="CC424" s="571"/>
      <c r="CD424" s="448"/>
      <c r="CE424" s="92">
        <f t="shared" si="297"/>
        <v>0</v>
      </c>
      <c r="CF424" s="92">
        <f t="shared" si="298"/>
        <v>0</v>
      </c>
      <c r="CG424" s="151" t="str">
        <f t="shared" si="284"/>
        <v/>
      </c>
      <c r="CH424" s="92">
        <f t="shared" si="287"/>
        <v>0</v>
      </c>
      <c r="CI424" s="92" t="str">
        <f t="shared" si="299"/>
        <v/>
      </c>
      <c r="CJ424" s="1100">
        <f>NOV!AM13</f>
        <v>0</v>
      </c>
      <c r="CK424" s="445">
        <f>SUMIF(NOV!$G$155:$J$155,CK$112,NOV!$AN13:$AQ13)</f>
        <v>0</v>
      </c>
      <c r="CL424" s="446">
        <f>SUMIF(NOV!$G$155:$J$155,CL$112,NOV!$AN13:$AQ13)</f>
        <v>0</v>
      </c>
      <c r="CM424" s="447">
        <f>SUMIF(NOV!$G$155:$J$155,CM$112,NOV!$AN13:$AQ13)</f>
        <v>0</v>
      </c>
      <c r="CN424" s="448">
        <f>SUMIF(NOV!$G$155:$J$155,CN$112,NOV!$AN13:$AQ13)</f>
        <v>0</v>
      </c>
      <c r="CO424" s="1100">
        <f>NOV!AS13</f>
        <v>0</v>
      </c>
      <c r="CP424" s="445">
        <f>NOV!AT13</f>
        <v>0</v>
      </c>
      <c r="CQ424" s="446">
        <f>NOV!AU13</f>
        <v>0</v>
      </c>
      <c r="CR424" s="447">
        <f>NOV!AV13</f>
        <v>0</v>
      </c>
      <c r="CS424" s="448">
        <f>NOV!AW13</f>
        <v>0</v>
      </c>
      <c r="CT424" s="1100">
        <f>NOV!AY13</f>
        <v>0</v>
      </c>
      <c r="CU424" s="2"/>
    </row>
    <row r="425" spans="1:99" ht="14.25" hidden="1" customHeight="1" x14ac:dyDescent="0.2">
      <c r="A425" s="2"/>
      <c r="B425" s="151">
        <f t="shared" si="288"/>
        <v>45603</v>
      </c>
      <c r="C425" s="223">
        <f>IF(AND(E425&gt;(N$495-1),E425&lt;(R$495+1)),W$485,IF(ISERROR(HLOOKUP(E425,$N$488:$U$488,1,FALSE)),HLOOKUP(WEEKDAY(E425,2),IMPOSTAZIONI!$C$51:$P$56,6,FALSE),$W$484))</f>
        <v>0</v>
      </c>
      <c r="D425" s="103" t="str">
        <f t="shared" si="289"/>
        <v/>
      </c>
      <c r="E425" s="2380">
        <f t="shared" si="300"/>
        <v>45603</v>
      </c>
      <c r="F425" s="2381"/>
      <c r="G425" s="2325" t="str">
        <f>NOV!E14</f>
        <v xml:space="preserve">attiva trim.  </v>
      </c>
      <c r="H425" s="2326"/>
      <c r="I425" s="2327"/>
      <c r="J425" s="479" t="str">
        <f t="shared" si="285"/>
        <v/>
      </c>
      <c r="K425" s="480"/>
      <c r="L425" s="2319">
        <f t="shared" si="301"/>
        <v>45</v>
      </c>
      <c r="M425" s="2320"/>
      <c r="N425" s="478"/>
      <c r="O425" s="478"/>
      <c r="P425" s="478"/>
      <c r="Q425" s="2315">
        <f t="shared" si="290"/>
        <v>45603</v>
      </c>
      <c r="R425" s="2315"/>
      <c r="S425" s="478"/>
      <c r="T425" s="140">
        <f t="shared" si="291"/>
        <v>1</v>
      </c>
      <c r="U425" s="478"/>
      <c r="V425" s="478"/>
      <c r="W425" s="478"/>
      <c r="X425" s="478"/>
      <c r="Y425" s="478"/>
      <c r="Z425" s="478"/>
      <c r="AA425" s="478"/>
      <c r="AB425" s="478"/>
      <c r="AC425" s="478"/>
      <c r="AD425" s="478"/>
      <c r="AE425" s="478"/>
      <c r="AF425" s="478"/>
      <c r="AG425" s="140">
        <f t="shared" si="292"/>
        <v>0</v>
      </c>
      <c r="AH425" s="92" t="str">
        <f t="shared" si="293"/>
        <v/>
      </c>
      <c r="AI425" s="131">
        <f t="shared" si="294"/>
        <v>0</v>
      </c>
      <c r="AJ425" s="2"/>
      <c r="AK425" s="92">
        <f>IF(G425=G$481,0,IF(OR(G425&lt;&gt;0,CJ425&lt;&gt;0,C425="L"),COUNTIF(AK$114:AK424,"&gt;0")+1,0))</f>
        <v>0</v>
      </c>
      <c r="AL425" s="92" t="str">
        <f t="shared" si="295"/>
        <v/>
      </c>
      <c r="AM425" s="92" t="str">
        <f t="shared" si="296"/>
        <v/>
      </c>
      <c r="AN425" s="131">
        <f t="shared" si="286"/>
        <v>0</v>
      </c>
      <c r="AO425" s="447">
        <f>SUM(NOV!W14:Z14)</f>
        <v>0</v>
      </c>
      <c r="AP425" s="445">
        <f>SUMIF(NOV!$G$155:$J$155,AP$112,NOV!$R14:$U14)</f>
        <v>0</v>
      </c>
      <c r="AQ425" s="446">
        <f>SUMIF(NOV!$G$155:$J$155,AQ$112,NOV!$R14:$U14)</f>
        <v>0</v>
      </c>
      <c r="AR425" s="447">
        <f>SUMIF(NOV!$G$155:$J$155,AR$112,NOV!$R14:$U14)</f>
        <v>0</v>
      </c>
      <c r="AS425" s="448">
        <f>SUMIF(NOV!$G$155:$J$155,AS$112,NOV!$R14:$U14)</f>
        <v>0</v>
      </c>
      <c r="AT425" s="449">
        <f>NOV!AG14</f>
        <v>0</v>
      </c>
      <c r="AU425" s="445">
        <f>NOV!AH14</f>
        <v>0</v>
      </c>
      <c r="AV425" s="446">
        <f>NOV!AI14</f>
        <v>0</v>
      </c>
      <c r="AW425" s="447">
        <f>NOV!AJ14</f>
        <v>0</v>
      </c>
      <c r="AX425" s="448">
        <f>NOV!AK14</f>
        <v>0</v>
      </c>
      <c r="AY425" s="445">
        <f>SUMIF(NOV!$G$152:$J$152,"&gt;0",NOV!$W14:$Z14)</f>
        <v>0</v>
      </c>
      <c r="AZ425" s="1063">
        <f>SUM(NOV!AB14:AE14)</f>
        <v>0</v>
      </c>
      <c r="BA425" s="445">
        <f>SUMIF(NOV!$G$159:$J$159,BA$111,NOV!$R14:$U14)+SUMIF(NOV!$G$159:$J$159,BA$111,NOV!$W14:$Z14)</f>
        <v>0</v>
      </c>
      <c r="BB425" s="446">
        <f>SUMIF(NOV!$G$159:$J$159,BB$111,NOV!$R14:$U14)+SUMIF(NOV!$G$159:$J$159,BB$111,NOV!$W14:$Z14)</f>
        <v>0</v>
      </c>
      <c r="BC425" s="446">
        <f>SUMIF(NOV!$G$159:$J$159,BC$111,NOV!$R14:$U14)+SUMIF(NOV!$G$159:$J$159,BC$111,NOV!$W14:$Z14)</f>
        <v>0</v>
      </c>
      <c r="BD425" s="446">
        <f>SUMIF(NOV!$G$159:$J$159,BD$111,NOV!$R14:$U14)+SUMIF(NOV!$G$159:$J$159,BD$111,NOV!$W14:$Z14)</f>
        <v>0</v>
      </c>
      <c r="BE425" s="446">
        <f>SUMIF(NOV!$G$159:$J$159,BE$111,NOV!$R14:$U14)+SUMIF(NOV!$G$159:$J$159,BE$111,NOV!$W14:$Z14)</f>
        <v>0</v>
      </c>
      <c r="BF425" s="446">
        <f>SUMIF(NOV!$G$159:$J$159,BF$111,NOV!$R14:$U14)+SUMIF(NOV!$G$159:$J$159,BF$111,NOV!$W14:$Z14)</f>
        <v>0</v>
      </c>
      <c r="BG425" s="448">
        <f>SUMIF(NOV!$G$159:$J$159,BG$111,NOV!$R14:$U14)+SUMIF(NOV!$G$159:$J$159,BG$111,NOV!$W14:$Z14)</f>
        <v>0</v>
      </c>
      <c r="BH425" s="571"/>
      <c r="BI425" s="448"/>
      <c r="BJ425" s="470"/>
      <c r="BK425" s="445">
        <f>SUMIF(NOV!$G$157:$J$157,BK$111,NOV!$R14:$U14)+SUMIF(NOV!$G$157:$J$157,BK$111,NOV!$W14:$Z14)</f>
        <v>0</v>
      </c>
      <c r="BL425" s="446">
        <f>SUMIF(NOV!$G$157:$J$157,BL$111,NOV!$R14:$U14)+SUMIF(NOV!$G$157:$J$157,BL$111,NOV!$W14:$Z14)</f>
        <v>0</v>
      </c>
      <c r="BM425" s="446">
        <f>SUMIF(NOV!$G$157:$J$157,BM$111,NOV!$R14:$U14)+SUMIF(NOV!$G$157:$J$157,BM$111,NOV!$W14:$Z14)</f>
        <v>0</v>
      </c>
      <c r="BN425" s="446">
        <f>SUMIF(NOV!$G$157:$J$157,BN$111,NOV!$R14:$U14)+SUMIF(NOV!$G$157:$J$157,BN$111,NOV!$W14:$Z14)</f>
        <v>0</v>
      </c>
      <c r="BO425" s="446">
        <f>SUMIF(NOV!$G$157:$J$157,BO$111,NOV!$R14:$U14)+SUMIF(NOV!$G$157:$J$157,BO$111,NOV!$W14:$Z14)</f>
        <v>0</v>
      </c>
      <c r="BP425" s="446">
        <f>SUMIF(NOV!$G$157:$J$157,BP$111,NOV!$R14:$U14)+SUMIF(NOV!$G$157:$J$157,BP$111,NOV!$W14:$Z14)</f>
        <v>0</v>
      </c>
      <c r="BQ425" s="448">
        <f>SUMIF(NOV!$G$157:$J$157,BQ$111,NOV!$R14:$U14)+SUMIF(NOV!$G$157:$J$157,BQ$111,NOV!$W14:$Z14)</f>
        <v>0</v>
      </c>
      <c r="BR425" s="571"/>
      <c r="BS425" s="446"/>
      <c r="BT425" s="448"/>
      <c r="BU425" s="470"/>
      <c r="BV425" s="445">
        <f>SUMIF(NOV!$G$158:$J$158,BV$111,NOV!$R14:$U14)+SUMIF(NOV!$G$158:$J$158,BV$111,NOV!$W14:$Z14)</f>
        <v>0</v>
      </c>
      <c r="BW425" s="446">
        <f>SUMIF(NOV!$G$158:$J$158,BW$111,NOV!$R14:$U14)+SUMIF(NOV!$G$158:$J$158,BW$111,NOV!$W14:$Z14)</f>
        <v>0</v>
      </c>
      <c r="BX425" s="446">
        <f>SUMIF(NOV!$G$158:$J$158,BX$111,NOV!$R14:$U14)+SUMIF(NOV!$G$158:$J$158,BX$111,NOV!$W14:$Z14)</f>
        <v>0</v>
      </c>
      <c r="BY425" s="446">
        <f>SUMIF(NOV!$G$158:$J$158,BY$111,NOV!$R14:$U14)+SUMIF(NOV!$G$158:$J$158,BY$111,NOV!$W14:$Z14)</f>
        <v>0</v>
      </c>
      <c r="BZ425" s="446">
        <f>SUMIF(NOV!$G$158:$J$158,BZ$111,NOV!$R14:$U14)+SUMIF(NOV!$G$158:$J$158,BZ$111,NOV!$W14:$Z14)</f>
        <v>0</v>
      </c>
      <c r="CA425" s="446">
        <f>SUMIF(NOV!$G$158:$J$158,CA$111,NOV!$R14:$U14)+SUMIF(NOV!$G$158:$J$158,CA$111,NOV!$W14:$Z14)</f>
        <v>0</v>
      </c>
      <c r="CB425" s="448">
        <f>SUMIF(NOV!$G$158:$J$158,CB$111,NOV!$R14:$U14)+SUMIF(NOV!$G$158:$J$158,CB$111,NOV!$W14:$Z14)</f>
        <v>0</v>
      </c>
      <c r="CC425" s="571"/>
      <c r="CD425" s="448"/>
      <c r="CE425" s="92">
        <f t="shared" si="297"/>
        <v>0</v>
      </c>
      <c r="CF425" s="92">
        <f t="shared" si="298"/>
        <v>0</v>
      </c>
      <c r="CG425" s="151" t="str">
        <f t="shared" si="284"/>
        <v/>
      </c>
      <c r="CH425" s="92">
        <f t="shared" si="287"/>
        <v>0</v>
      </c>
      <c r="CI425" s="92" t="str">
        <f t="shared" si="299"/>
        <v/>
      </c>
      <c r="CJ425" s="1100">
        <f>NOV!AM14</f>
        <v>0</v>
      </c>
      <c r="CK425" s="445">
        <f>SUMIF(NOV!$G$155:$J$155,CK$112,NOV!$AN14:$AQ14)</f>
        <v>0</v>
      </c>
      <c r="CL425" s="446">
        <f>SUMIF(NOV!$G$155:$J$155,CL$112,NOV!$AN14:$AQ14)</f>
        <v>0</v>
      </c>
      <c r="CM425" s="447">
        <f>SUMIF(NOV!$G$155:$J$155,CM$112,NOV!$AN14:$AQ14)</f>
        <v>0</v>
      </c>
      <c r="CN425" s="448">
        <f>SUMIF(NOV!$G$155:$J$155,CN$112,NOV!$AN14:$AQ14)</f>
        <v>0</v>
      </c>
      <c r="CO425" s="1100">
        <f>NOV!AS14</f>
        <v>0</v>
      </c>
      <c r="CP425" s="445">
        <f>NOV!AT14</f>
        <v>0</v>
      </c>
      <c r="CQ425" s="446">
        <f>NOV!AU14</f>
        <v>0</v>
      </c>
      <c r="CR425" s="447">
        <f>NOV!AV14</f>
        <v>0</v>
      </c>
      <c r="CS425" s="448">
        <f>NOV!AW14</f>
        <v>0</v>
      </c>
      <c r="CT425" s="1100">
        <f>NOV!AY14</f>
        <v>0</v>
      </c>
      <c r="CU425" s="2"/>
    </row>
    <row r="426" spans="1:99" ht="14.25" hidden="1" customHeight="1" x14ac:dyDescent="0.2">
      <c r="A426" s="2"/>
      <c r="B426" s="151">
        <f t="shared" si="288"/>
        <v>45604</v>
      </c>
      <c r="C426" s="223">
        <f>IF(AND(E426&gt;(N$495-1),E426&lt;(R$495+1)),W$485,IF(ISERROR(HLOOKUP(E426,$N$488:$U$488,1,FALSE)),HLOOKUP(WEEKDAY(E426,2),IMPOSTAZIONI!$C$51:$P$56,6,FALSE),$W$484))</f>
        <v>0</v>
      </c>
      <c r="D426" s="103" t="str">
        <f t="shared" si="289"/>
        <v/>
      </c>
      <c r="E426" s="2380">
        <f t="shared" si="300"/>
        <v>45604</v>
      </c>
      <c r="F426" s="2381"/>
      <c r="G426" s="2325" t="str">
        <f>NOV!E15</f>
        <v xml:space="preserve">attiva trim.  </v>
      </c>
      <c r="H426" s="2326"/>
      <c r="I426" s="2327"/>
      <c r="J426" s="479" t="str">
        <f t="shared" si="285"/>
        <v/>
      </c>
      <c r="K426" s="480"/>
      <c r="L426" s="2319">
        <f t="shared" si="301"/>
        <v>45</v>
      </c>
      <c r="M426" s="2320"/>
      <c r="N426" s="478"/>
      <c r="O426" s="478"/>
      <c r="P426" s="478"/>
      <c r="Q426" s="2315">
        <f t="shared" si="290"/>
        <v>45604</v>
      </c>
      <c r="R426" s="2315"/>
      <c r="S426" s="478"/>
      <c r="T426" s="140">
        <f t="shared" si="291"/>
        <v>1</v>
      </c>
      <c r="U426" s="478"/>
      <c r="V426" s="478"/>
      <c r="W426" s="478"/>
      <c r="X426" s="478"/>
      <c r="Y426" s="478"/>
      <c r="Z426" s="478"/>
      <c r="AA426" s="478"/>
      <c r="AB426" s="478"/>
      <c r="AC426" s="478"/>
      <c r="AD426" s="478"/>
      <c r="AE426" s="478"/>
      <c r="AF426" s="478"/>
      <c r="AG426" s="140">
        <f t="shared" si="292"/>
        <v>0</v>
      </c>
      <c r="AH426" s="92" t="str">
        <f t="shared" si="293"/>
        <v/>
      </c>
      <c r="AI426" s="131">
        <f t="shared" si="294"/>
        <v>0</v>
      </c>
      <c r="AJ426" s="2"/>
      <c r="AK426" s="92">
        <f>IF(G426=G$481,0,IF(OR(G426&lt;&gt;0,CJ426&lt;&gt;0,C426="L"),COUNTIF(AK$114:AK425,"&gt;0")+1,0))</f>
        <v>0</v>
      </c>
      <c r="AL426" s="92" t="str">
        <f t="shared" si="295"/>
        <v/>
      </c>
      <c r="AM426" s="92" t="str">
        <f t="shared" si="296"/>
        <v/>
      </c>
      <c r="AN426" s="131">
        <f t="shared" si="286"/>
        <v>0</v>
      </c>
      <c r="AO426" s="447">
        <f>SUM(NOV!W15:Z15)</f>
        <v>0</v>
      </c>
      <c r="AP426" s="445">
        <f>SUMIF(NOV!$G$155:$J$155,AP$112,NOV!$R15:$U15)</f>
        <v>0</v>
      </c>
      <c r="AQ426" s="446">
        <f>SUMIF(NOV!$G$155:$J$155,AQ$112,NOV!$R15:$U15)</f>
        <v>0</v>
      </c>
      <c r="AR426" s="447">
        <f>SUMIF(NOV!$G$155:$J$155,AR$112,NOV!$R15:$U15)</f>
        <v>0</v>
      </c>
      <c r="AS426" s="448">
        <f>SUMIF(NOV!$G$155:$J$155,AS$112,NOV!$R15:$U15)</f>
        <v>0</v>
      </c>
      <c r="AT426" s="449">
        <f>NOV!AG15</f>
        <v>0</v>
      </c>
      <c r="AU426" s="445">
        <f>NOV!AH15</f>
        <v>0</v>
      </c>
      <c r="AV426" s="446">
        <f>NOV!AI15</f>
        <v>0</v>
      </c>
      <c r="AW426" s="447">
        <f>NOV!AJ15</f>
        <v>0</v>
      </c>
      <c r="AX426" s="448">
        <f>NOV!AK15</f>
        <v>0</v>
      </c>
      <c r="AY426" s="445">
        <f>SUMIF(NOV!$G$152:$J$152,"&gt;0",NOV!$W15:$Z15)</f>
        <v>0</v>
      </c>
      <c r="AZ426" s="1063">
        <f>SUM(NOV!AB15:AE15)</f>
        <v>0</v>
      </c>
      <c r="BA426" s="445">
        <f>SUMIF(NOV!$G$159:$J$159,BA$111,NOV!$R15:$U15)+SUMIF(NOV!$G$159:$J$159,BA$111,NOV!$W15:$Z15)</f>
        <v>0</v>
      </c>
      <c r="BB426" s="446">
        <f>SUMIF(NOV!$G$159:$J$159,BB$111,NOV!$R15:$U15)+SUMIF(NOV!$G$159:$J$159,BB$111,NOV!$W15:$Z15)</f>
        <v>0</v>
      </c>
      <c r="BC426" s="446">
        <f>SUMIF(NOV!$G$159:$J$159,BC$111,NOV!$R15:$U15)+SUMIF(NOV!$G$159:$J$159,BC$111,NOV!$W15:$Z15)</f>
        <v>0</v>
      </c>
      <c r="BD426" s="446">
        <f>SUMIF(NOV!$G$159:$J$159,BD$111,NOV!$R15:$U15)+SUMIF(NOV!$G$159:$J$159,BD$111,NOV!$W15:$Z15)</f>
        <v>0</v>
      </c>
      <c r="BE426" s="446">
        <f>SUMIF(NOV!$G$159:$J$159,BE$111,NOV!$R15:$U15)+SUMIF(NOV!$G$159:$J$159,BE$111,NOV!$W15:$Z15)</f>
        <v>0</v>
      </c>
      <c r="BF426" s="446">
        <f>SUMIF(NOV!$G$159:$J$159,BF$111,NOV!$R15:$U15)+SUMIF(NOV!$G$159:$J$159,BF$111,NOV!$W15:$Z15)</f>
        <v>0</v>
      </c>
      <c r="BG426" s="448">
        <f>SUMIF(NOV!$G$159:$J$159,BG$111,NOV!$R15:$U15)+SUMIF(NOV!$G$159:$J$159,BG$111,NOV!$W15:$Z15)</f>
        <v>0</v>
      </c>
      <c r="BH426" s="571"/>
      <c r="BI426" s="448"/>
      <c r="BJ426" s="470"/>
      <c r="BK426" s="445">
        <f>SUMIF(NOV!$G$157:$J$157,BK$111,NOV!$R15:$U15)+SUMIF(NOV!$G$157:$J$157,BK$111,NOV!$W15:$Z15)</f>
        <v>0</v>
      </c>
      <c r="BL426" s="446">
        <f>SUMIF(NOV!$G$157:$J$157,BL$111,NOV!$R15:$U15)+SUMIF(NOV!$G$157:$J$157,BL$111,NOV!$W15:$Z15)</f>
        <v>0</v>
      </c>
      <c r="BM426" s="446">
        <f>SUMIF(NOV!$G$157:$J$157,BM$111,NOV!$R15:$U15)+SUMIF(NOV!$G$157:$J$157,BM$111,NOV!$W15:$Z15)</f>
        <v>0</v>
      </c>
      <c r="BN426" s="446">
        <f>SUMIF(NOV!$G$157:$J$157,BN$111,NOV!$R15:$U15)+SUMIF(NOV!$G$157:$J$157,BN$111,NOV!$W15:$Z15)</f>
        <v>0</v>
      </c>
      <c r="BO426" s="446">
        <f>SUMIF(NOV!$G$157:$J$157,BO$111,NOV!$R15:$U15)+SUMIF(NOV!$G$157:$J$157,BO$111,NOV!$W15:$Z15)</f>
        <v>0</v>
      </c>
      <c r="BP426" s="446">
        <f>SUMIF(NOV!$G$157:$J$157,BP$111,NOV!$R15:$U15)+SUMIF(NOV!$G$157:$J$157,BP$111,NOV!$W15:$Z15)</f>
        <v>0</v>
      </c>
      <c r="BQ426" s="448">
        <f>SUMIF(NOV!$G$157:$J$157,BQ$111,NOV!$R15:$U15)+SUMIF(NOV!$G$157:$J$157,BQ$111,NOV!$W15:$Z15)</f>
        <v>0</v>
      </c>
      <c r="BR426" s="571"/>
      <c r="BS426" s="446"/>
      <c r="BT426" s="448"/>
      <c r="BU426" s="470"/>
      <c r="BV426" s="445">
        <f>SUMIF(NOV!$G$158:$J$158,BV$111,NOV!$R15:$U15)+SUMIF(NOV!$G$158:$J$158,BV$111,NOV!$W15:$Z15)</f>
        <v>0</v>
      </c>
      <c r="BW426" s="446">
        <f>SUMIF(NOV!$G$158:$J$158,BW$111,NOV!$R15:$U15)+SUMIF(NOV!$G$158:$J$158,BW$111,NOV!$W15:$Z15)</f>
        <v>0</v>
      </c>
      <c r="BX426" s="446">
        <f>SUMIF(NOV!$G$158:$J$158,BX$111,NOV!$R15:$U15)+SUMIF(NOV!$G$158:$J$158,BX$111,NOV!$W15:$Z15)</f>
        <v>0</v>
      </c>
      <c r="BY426" s="446">
        <f>SUMIF(NOV!$G$158:$J$158,BY$111,NOV!$R15:$U15)+SUMIF(NOV!$G$158:$J$158,BY$111,NOV!$W15:$Z15)</f>
        <v>0</v>
      </c>
      <c r="BZ426" s="446">
        <f>SUMIF(NOV!$G$158:$J$158,BZ$111,NOV!$R15:$U15)+SUMIF(NOV!$G$158:$J$158,BZ$111,NOV!$W15:$Z15)</f>
        <v>0</v>
      </c>
      <c r="CA426" s="446">
        <f>SUMIF(NOV!$G$158:$J$158,CA$111,NOV!$R15:$U15)+SUMIF(NOV!$G$158:$J$158,CA$111,NOV!$W15:$Z15)</f>
        <v>0</v>
      </c>
      <c r="CB426" s="448">
        <f>SUMIF(NOV!$G$158:$J$158,CB$111,NOV!$R15:$U15)+SUMIF(NOV!$G$158:$J$158,CB$111,NOV!$W15:$Z15)</f>
        <v>0</v>
      </c>
      <c r="CC426" s="571"/>
      <c r="CD426" s="448"/>
      <c r="CE426" s="92">
        <f t="shared" si="297"/>
        <v>0</v>
      </c>
      <c r="CF426" s="92">
        <f t="shared" si="298"/>
        <v>0</v>
      </c>
      <c r="CG426" s="151" t="str">
        <f t="shared" si="284"/>
        <v/>
      </c>
      <c r="CH426" s="92">
        <f t="shared" si="287"/>
        <v>0</v>
      </c>
      <c r="CI426" s="92" t="str">
        <f t="shared" si="299"/>
        <v/>
      </c>
      <c r="CJ426" s="1100">
        <f>NOV!AM15</f>
        <v>0</v>
      </c>
      <c r="CK426" s="445">
        <f>SUMIF(NOV!$G$155:$J$155,CK$112,NOV!$AN15:$AQ15)</f>
        <v>0</v>
      </c>
      <c r="CL426" s="446">
        <f>SUMIF(NOV!$G$155:$J$155,CL$112,NOV!$AN15:$AQ15)</f>
        <v>0</v>
      </c>
      <c r="CM426" s="447">
        <f>SUMIF(NOV!$G$155:$J$155,CM$112,NOV!$AN15:$AQ15)</f>
        <v>0</v>
      </c>
      <c r="CN426" s="448">
        <f>SUMIF(NOV!$G$155:$J$155,CN$112,NOV!$AN15:$AQ15)</f>
        <v>0</v>
      </c>
      <c r="CO426" s="1100">
        <f>NOV!AS15</f>
        <v>0</v>
      </c>
      <c r="CP426" s="445">
        <f>NOV!AT15</f>
        <v>0</v>
      </c>
      <c r="CQ426" s="446">
        <f>NOV!AU15</f>
        <v>0</v>
      </c>
      <c r="CR426" s="447">
        <f>NOV!AV15</f>
        <v>0</v>
      </c>
      <c r="CS426" s="448">
        <f>NOV!AW15</f>
        <v>0</v>
      </c>
      <c r="CT426" s="1100">
        <f>NOV!AY15</f>
        <v>0</v>
      </c>
      <c r="CU426" s="2"/>
    </row>
    <row r="427" spans="1:99" ht="14.25" hidden="1" customHeight="1" x14ac:dyDescent="0.2">
      <c r="A427" s="2"/>
      <c r="B427" s="151">
        <f t="shared" si="288"/>
        <v>45605</v>
      </c>
      <c r="C427" s="223">
        <f>IF(AND(E427&gt;(N$495-1),E427&lt;(R$495+1)),W$485,IF(ISERROR(HLOOKUP(E427,$N$488:$U$488,1,FALSE)),HLOOKUP(WEEKDAY(E427,2),IMPOSTAZIONI!$C$51:$P$56,6,FALSE),$W$484))</f>
        <v>0</v>
      </c>
      <c r="D427" s="103" t="str">
        <f t="shared" si="289"/>
        <v/>
      </c>
      <c r="E427" s="2380">
        <f t="shared" si="300"/>
        <v>45605</v>
      </c>
      <c r="F427" s="2381"/>
      <c r="G427" s="2325" t="str">
        <f>NOV!E16</f>
        <v xml:space="preserve">attiva trim.  </v>
      </c>
      <c r="H427" s="2326"/>
      <c r="I427" s="2327"/>
      <c r="J427" s="479" t="str">
        <f t="shared" si="285"/>
        <v/>
      </c>
      <c r="K427" s="480"/>
      <c r="L427" s="2319">
        <f t="shared" si="301"/>
        <v>45</v>
      </c>
      <c r="M427" s="2320"/>
      <c r="N427" s="478"/>
      <c r="O427" s="478"/>
      <c r="P427" s="478"/>
      <c r="Q427" s="2315">
        <f t="shared" si="290"/>
        <v>45605</v>
      </c>
      <c r="R427" s="2315"/>
      <c r="S427" s="478"/>
      <c r="T427" s="140">
        <f t="shared" si="291"/>
        <v>1</v>
      </c>
      <c r="U427" s="478"/>
      <c r="V427" s="478"/>
      <c r="W427" s="478"/>
      <c r="X427" s="478"/>
      <c r="Y427" s="478"/>
      <c r="Z427" s="478"/>
      <c r="AA427" s="478"/>
      <c r="AB427" s="478"/>
      <c r="AC427" s="478"/>
      <c r="AD427" s="478"/>
      <c r="AE427" s="478"/>
      <c r="AF427" s="478"/>
      <c r="AG427" s="140">
        <f t="shared" si="292"/>
        <v>0</v>
      </c>
      <c r="AH427" s="92" t="str">
        <f t="shared" si="293"/>
        <v/>
      </c>
      <c r="AI427" s="131">
        <f t="shared" si="294"/>
        <v>0</v>
      </c>
      <c r="AJ427" s="2"/>
      <c r="AK427" s="92">
        <f>IF(G427=G$481,0,IF(OR(G427&lt;&gt;0,CJ427&lt;&gt;0,C427="L"),COUNTIF(AK$114:AK426,"&gt;0")+1,0))</f>
        <v>0</v>
      </c>
      <c r="AL427" s="92" t="str">
        <f t="shared" si="295"/>
        <v/>
      </c>
      <c r="AM427" s="92" t="str">
        <f t="shared" si="296"/>
        <v/>
      </c>
      <c r="AN427" s="131">
        <f t="shared" si="286"/>
        <v>0</v>
      </c>
      <c r="AO427" s="447">
        <f>SUM(NOV!W16:Z16)</f>
        <v>0</v>
      </c>
      <c r="AP427" s="445">
        <f>SUMIF(NOV!$G$155:$J$155,AP$112,NOV!$R16:$U16)</f>
        <v>0</v>
      </c>
      <c r="AQ427" s="446">
        <f>SUMIF(NOV!$G$155:$J$155,AQ$112,NOV!$R16:$U16)</f>
        <v>0</v>
      </c>
      <c r="AR427" s="447">
        <f>SUMIF(NOV!$G$155:$J$155,AR$112,NOV!$R16:$U16)</f>
        <v>0</v>
      </c>
      <c r="AS427" s="448">
        <f>SUMIF(NOV!$G$155:$J$155,AS$112,NOV!$R16:$U16)</f>
        <v>0</v>
      </c>
      <c r="AT427" s="449">
        <f>NOV!AG16</f>
        <v>0</v>
      </c>
      <c r="AU427" s="445">
        <f>NOV!AH16</f>
        <v>0</v>
      </c>
      <c r="AV427" s="446">
        <f>NOV!AI16</f>
        <v>0</v>
      </c>
      <c r="AW427" s="447">
        <f>NOV!AJ16</f>
        <v>0</v>
      </c>
      <c r="AX427" s="448">
        <f>NOV!AK16</f>
        <v>0</v>
      </c>
      <c r="AY427" s="445">
        <f>SUMIF(NOV!$G$152:$J$152,"&gt;0",NOV!$W16:$Z16)</f>
        <v>0</v>
      </c>
      <c r="AZ427" s="1063">
        <f>SUM(NOV!AB16:AE16)</f>
        <v>0</v>
      </c>
      <c r="BA427" s="445">
        <f>SUMIF(NOV!$G$159:$J$159,BA$111,NOV!$R16:$U16)+SUMIF(NOV!$G$159:$J$159,BA$111,NOV!$W16:$Z16)</f>
        <v>0</v>
      </c>
      <c r="BB427" s="446">
        <f>SUMIF(NOV!$G$159:$J$159,BB$111,NOV!$R16:$U16)+SUMIF(NOV!$G$159:$J$159,BB$111,NOV!$W16:$Z16)</f>
        <v>0</v>
      </c>
      <c r="BC427" s="446">
        <f>SUMIF(NOV!$G$159:$J$159,BC$111,NOV!$R16:$U16)+SUMIF(NOV!$G$159:$J$159,BC$111,NOV!$W16:$Z16)</f>
        <v>0</v>
      </c>
      <c r="BD427" s="446">
        <f>SUMIF(NOV!$G$159:$J$159,BD$111,NOV!$R16:$U16)+SUMIF(NOV!$G$159:$J$159,BD$111,NOV!$W16:$Z16)</f>
        <v>0</v>
      </c>
      <c r="BE427" s="446">
        <f>SUMIF(NOV!$G$159:$J$159,BE$111,NOV!$R16:$U16)+SUMIF(NOV!$G$159:$J$159,BE$111,NOV!$W16:$Z16)</f>
        <v>0</v>
      </c>
      <c r="BF427" s="446">
        <f>SUMIF(NOV!$G$159:$J$159,BF$111,NOV!$R16:$U16)+SUMIF(NOV!$G$159:$J$159,BF$111,NOV!$W16:$Z16)</f>
        <v>0</v>
      </c>
      <c r="BG427" s="448">
        <f>SUMIF(NOV!$G$159:$J$159,BG$111,NOV!$R16:$U16)+SUMIF(NOV!$G$159:$J$159,BG$111,NOV!$W16:$Z16)</f>
        <v>0</v>
      </c>
      <c r="BH427" s="571"/>
      <c r="BI427" s="448"/>
      <c r="BJ427" s="470"/>
      <c r="BK427" s="445">
        <f>SUMIF(NOV!$G$157:$J$157,BK$111,NOV!$R16:$U16)+SUMIF(NOV!$G$157:$J$157,BK$111,NOV!$W16:$Z16)</f>
        <v>0</v>
      </c>
      <c r="BL427" s="446">
        <f>SUMIF(NOV!$G$157:$J$157,BL$111,NOV!$R16:$U16)+SUMIF(NOV!$G$157:$J$157,BL$111,NOV!$W16:$Z16)</f>
        <v>0</v>
      </c>
      <c r="BM427" s="446">
        <f>SUMIF(NOV!$G$157:$J$157,BM$111,NOV!$R16:$U16)+SUMIF(NOV!$G$157:$J$157,BM$111,NOV!$W16:$Z16)</f>
        <v>0</v>
      </c>
      <c r="BN427" s="446">
        <f>SUMIF(NOV!$G$157:$J$157,BN$111,NOV!$R16:$U16)+SUMIF(NOV!$G$157:$J$157,BN$111,NOV!$W16:$Z16)</f>
        <v>0</v>
      </c>
      <c r="BO427" s="446">
        <f>SUMIF(NOV!$G$157:$J$157,BO$111,NOV!$R16:$U16)+SUMIF(NOV!$G$157:$J$157,BO$111,NOV!$W16:$Z16)</f>
        <v>0</v>
      </c>
      <c r="BP427" s="446">
        <f>SUMIF(NOV!$G$157:$J$157,BP$111,NOV!$R16:$U16)+SUMIF(NOV!$G$157:$J$157,BP$111,NOV!$W16:$Z16)</f>
        <v>0</v>
      </c>
      <c r="BQ427" s="448">
        <f>SUMIF(NOV!$G$157:$J$157,BQ$111,NOV!$R16:$U16)+SUMIF(NOV!$G$157:$J$157,BQ$111,NOV!$W16:$Z16)</f>
        <v>0</v>
      </c>
      <c r="BR427" s="571"/>
      <c r="BS427" s="446"/>
      <c r="BT427" s="448"/>
      <c r="BU427" s="470"/>
      <c r="BV427" s="445">
        <f>SUMIF(NOV!$G$158:$J$158,BV$111,NOV!$R16:$U16)+SUMIF(NOV!$G$158:$J$158,BV$111,NOV!$W16:$Z16)</f>
        <v>0</v>
      </c>
      <c r="BW427" s="446">
        <f>SUMIF(NOV!$G$158:$J$158,BW$111,NOV!$R16:$U16)+SUMIF(NOV!$G$158:$J$158,BW$111,NOV!$W16:$Z16)</f>
        <v>0</v>
      </c>
      <c r="BX427" s="446">
        <f>SUMIF(NOV!$G$158:$J$158,BX$111,NOV!$R16:$U16)+SUMIF(NOV!$G$158:$J$158,BX$111,NOV!$W16:$Z16)</f>
        <v>0</v>
      </c>
      <c r="BY427" s="446">
        <f>SUMIF(NOV!$G$158:$J$158,BY$111,NOV!$R16:$U16)+SUMIF(NOV!$G$158:$J$158,BY$111,NOV!$W16:$Z16)</f>
        <v>0</v>
      </c>
      <c r="BZ427" s="446">
        <f>SUMIF(NOV!$G$158:$J$158,BZ$111,NOV!$R16:$U16)+SUMIF(NOV!$G$158:$J$158,BZ$111,NOV!$W16:$Z16)</f>
        <v>0</v>
      </c>
      <c r="CA427" s="446">
        <f>SUMIF(NOV!$G$158:$J$158,CA$111,NOV!$R16:$U16)+SUMIF(NOV!$G$158:$J$158,CA$111,NOV!$W16:$Z16)</f>
        <v>0</v>
      </c>
      <c r="CB427" s="448">
        <f>SUMIF(NOV!$G$158:$J$158,CB$111,NOV!$R16:$U16)+SUMIF(NOV!$G$158:$J$158,CB$111,NOV!$W16:$Z16)</f>
        <v>0</v>
      </c>
      <c r="CC427" s="571"/>
      <c r="CD427" s="448"/>
      <c r="CE427" s="92">
        <f t="shared" si="297"/>
        <v>0</v>
      </c>
      <c r="CF427" s="92">
        <f t="shared" si="298"/>
        <v>0</v>
      </c>
      <c r="CG427" s="151" t="str">
        <f t="shared" si="284"/>
        <v/>
      </c>
      <c r="CH427" s="92">
        <f t="shared" si="287"/>
        <v>0</v>
      </c>
      <c r="CI427" s="92" t="str">
        <f t="shared" si="299"/>
        <v/>
      </c>
      <c r="CJ427" s="1100">
        <f>NOV!AM16</f>
        <v>0</v>
      </c>
      <c r="CK427" s="445">
        <f>SUMIF(NOV!$G$155:$J$155,CK$112,NOV!$AN16:$AQ16)</f>
        <v>0</v>
      </c>
      <c r="CL427" s="446">
        <f>SUMIF(NOV!$G$155:$J$155,CL$112,NOV!$AN16:$AQ16)</f>
        <v>0</v>
      </c>
      <c r="CM427" s="447">
        <f>SUMIF(NOV!$G$155:$J$155,CM$112,NOV!$AN16:$AQ16)</f>
        <v>0</v>
      </c>
      <c r="CN427" s="448">
        <f>SUMIF(NOV!$G$155:$J$155,CN$112,NOV!$AN16:$AQ16)</f>
        <v>0</v>
      </c>
      <c r="CO427" s="1100">
        <f>NOV!AS16</f>
        <v>0</v>
      </c>
      <c r="CP427" s="445">
        <f>NOV!AT16</f>
        <v>0</v>
      </c>
      <c r="CQ427" s="446">
        <f>NOV!AU16</f>
        <v>0</v>
      </c>
      <c r="CR427" s="447">
        <f>NOV!AV16</f>
        <v>0</v>
      </c>
      <c r="CS427" s="448">
        <f>NOV!AW16</f>
        <v>0</v>
      </c>
      <c r="CT427" s="1100">
        <f>NOV!AY16</f>
        <v>0</v>
      </c>
      <c r="CU427" s="2"/>
    </row>
    <row r="428" spans="1:99" ht="14.25" hidden="1" customHeight="1" x14ac:dyDescent="0.2">
      <c r="A428" s="2"/>
      <c r="B428" s="151">
        <f t="shared" si="288"/>
        <v>45606</v>
      </c>
      <c r="C428" s="223">
        <f>IF(AND(E428&gt;(N$495-1),E428&lt;(R$495+1)),W$485,IF(ISERROR(HLOOKUP(E428,$N$488:$U$488,1,FALSE)),HLOOKUP(WEEKDAY(E428,2),IMPOSTAZIONI!$C$51:$P$56,6,FALSE),$W$484))</f>
        <v>0</v>
      </c>
      <c r="D428" s="103" t="str">
        <f t="shared" si="289"/>
        <v/>
      </c>
      <c r="E428" s="2380">
        <f t="shared" si="300"/>
        <v>45606</v>
      </c>
      <c r="F428" s="2381"/>
      <c r="G428" s="2325" t="str">
        <f>NOV!E17</f>
        <v xml:space="preserve">attiva trim.  </v>
      </c>
      <c r="H428" s="2326"/>
      <c r="I428" s="2327"/>
      <c r="J428" s="479" t="str">
        <f t="shared" si="285"/>
        <v/>
      </c>
      <c r="K428" s="480"/>
      <c r="L428" s="2321">
        <f t="shared" si="301"/>
        <v>45</v>
      </c>
      <c r="M428" s="2322"/>
      <c r="N428" s="478"/>
      <c r="O428" s="478"/>
      <c r="P428" s="478"/>
      <c r="Q428" s="2315">
        <f t="shared" si="290"/>
        <v>45606</v>
      </c>
      <c r="R428" s="2315"/>
      <c r="S428" s="478"/>
      <c r="T428" s="140">
        <f t="shared" si="291"/>
        <v>1</v>
      </c>
      <c r="U428" s="478"/>
      <c r="V428" s="478"/>
      <c r="W428" s="478"/>
      <c r="X428" s="478"/>
      <c r="Y428" s="478"/>
      <c r="Z428" s="478"/>
      <c r="AA428" s="478"/>
      <c r="AB428" s="478"/>
      <c r="AC428" s="478"/>
      <c r="AD428" s="478"/>
      <c r="AE428" s="478"/>
      <c r="AF428" s="478"/>
      <c r="AG428" s="140">
        <f t="shared" si="292"/>
        <v>0</v>
      </c>
      <c r="AH428" s="92" t="str">
        <f t="shared" si="293"/>
        <v/>
      </c>
      <c r="AI428" s="131">
        <f t="shared" si="294"/>
        <v>0</v>
      </c>
      <c r="AJ428" s="2"/>
      <c r="AK428" s="92">
        <f>IF(G428=G$481,0,IF(OR(G428&lt;&gt;0,CJ428&lt;&gt;0,C428="L"),COUNTIF(AK$114:AK427,"&gt;0")+1,0))</f>
        <v>0</v>
      </c>
      <c r="AL428" s="92" t="str">
        <f t="shared" si="295"/>
        <v/>
      </c>
      <c r="AM428" s="92" t="str">
        <f t="shared" si="296"/>
        <v/>
      </c>
      <c r="AN428" s="131">
        <f t="shared" si="286"/>
        <v>0</v>
      </c>
      <c r="AO428" s="447">
        <f>SUM(NOV!W17:Z17)</f>
        <v>0</v>
      </c>
      <c r="AP428" s="445">
        <f>SUMIF(NOV!$G$155:$J$155,AP$112,NOV!$R17:$U17)</f>
        <v>0</v>
      </c>
      <c r="AQ428" s="446">
        <f>SUMIF(NOV!$G$155:$J$155,AQ$112,NOV!$R17:$U17)</f>
        <v>0</v>
      </c>
      <c r="AR428" s="447">
        <f>SUMIF(NOV!$G$155:$J$155,AR$112,NOV!$R17:$U17)</f>
        <v>0</v>
      </c>
      <c r="AS428" s="448">
        <f>SUMIF(NOV!$G$155:$J$155,AS$112,NOV!$R17:$U17)</f>
        <v>0</v>
      </c>
      <c r="AT428" s="449">
        <f>NOV!AG17</f>
        <v>0</v>
      </c>
      <c r="AU428" s="445">
        <f>NOV!AH17</f>
        <v>0</v>
      </c>
      <c r="AV428" s="446">
        <f>NOV!AI17</f>
        <v>0</v>
      </c>
      <c r="AW428" s="447">
        <f>NOV!AJ17</f>
        <v>0</v>
      </c>
      <c r="AX428" s="448">
        <f>NOV!AK17</f>
        <v>0</v>
      </c>
      <c r="AY428" s="445">
        <f>SUMIF(NOV!$G$152:$J$152,"&gt;0",NOV!$W17:$Z17)</f>
        <v>0</v>
      </c>
      <c r="AZ428" s="1063">
        <f>SUM(NOV!AB17:AE17)</f>
        <v>0</v>
      </c>
      <c r="BA428" s="445">
        <f>SUMIF(NOV!$G$159:$J$159,BA$111,NOV!$R17:$U17)+SUMIF(NOV!$G$159:$J$159,BA$111,NOV!$W17:$Z17)</f>
        <v>0</v>
      </c>
      <c r="BB428" s="446">
        <f>SUMIF(NOV!$G$159:$J$159,BB$111,NOV!$R17:$U17)+SUMIF(NOV!$G$159:$J$159,BB$111,NOV!$W17:$Z17)</f>
        <v>0</v>
      </c>
      <c r="BC428" s="446">
        <f>SUMIF(NOV!$G$159:$J$159,BC$111,NOV!$R17:$U17)+SUMIF(NOV!$G$159:$J$159,BC$111,NOV!$W17:$Z17)</f>
        <v>0</v>
      </c>
      <c r="BD428" s="446">
        <f>SUMIF(NOV!$G$159:$J$159,BD$111,NOV!$R17:$U17)+SUMIF(NOV!$G$159:$J$159,BD$111,NOV!$W17:$Z17)</f>
        <v>0</v>
      </c>
      <c r="BE428" s="446">
        <f>SUMIF(NOV!$G$159:$J$159,BE$111,NOV!$R17:$U17)+SUMIF(NOV!$G$159:$J$159,BE$111,NOV!$W17:$Z17)</f>
        <v>0</v>
      </c>
      <c r="BF428" s="446">
        <f>SUMIF(NOV!$G$159:$J$159,BF$111,NOV!$R17:$U17)+SUMIF(NOV!$G$159:$J$159,BF$111,NOV!$W17:$Z17)</f>
        <v>0</v>
      </c>
      <c r="BG428" s="448">
        <f>SUMIF(NOV!$G$159:$J$159,BG$111,NOV!$R17:$U17)+SUMIF(NOV!$G$159:$J$159,BG$111,NOV!$W17:$Z17)</f>
        <v>0</v>
      </c>
      <c r="BH428" s="571"/>
      <c r="BI428" s="448"/>
      <c r="BJ428" s="470"/>
      <c r="BK428" s="445">
        <f>SUMIF(NOV!$G$157:$J$157,BK$111,NOV!$R17:$U17)+SUMIF(NOV!$G$157:$J$157,BK$111,NOV!$W17:$Z17)</f>
        <v>0</v>
      </c>
      <c r="BL428" s="446">
        <f>SUMIF(NOV!$G$157:$J$157,BL$111,NOV!$R17:$U17)+SUMIF(NOV!$G$157:$J$157,BL$111,NOV!$W17:$Z17)</f>
        <v>0</v>
      </c>
      <c r="BM428" s="446">
        <f>SUMIF(NOV!$G$157:$J$157,BM$111,NOV!$R17:$U17)+SUMIF(NOV!$G$157:$J$157,BM$111,NOV!$W17:$Z17)</f>
        <v>0</v>
      </c>
      <c r="BN428" s="446">
        <f>SUMIF(NOV!$G$157:$J$157,BN$111,NOV!$R17:$U17)+SUMIF(NOV!$G$157:$J$157,BN$111,NOV!$W17:$Z17)</f>
        <v>0</v>
      </c>
      <c r="BO428" s="446">
        <f>SUMIF(NOV!$G$157:$J$157,BO$111,NOV!$R17:$U17)+SUMIF(NOV!$G$157:$J$157,BO$111,NOV!$W17:$Z17)</f>
        <v>0</v>
      </c>
      <c r="BP428" s="446">
        <f>SUMIF(NOV!$G$157:$J$157,BP$111,NOV!$R17:$U17)+SUMIF(NOV!$G$157:$J$157,BP$111,NOV!$W17:$Z17)</f>
        <v>0</v>
      </c>
      <c r="BQ428" s="448">
        <f>SUMIF(NOV!$G$157:$J$157,BQ$111,NOV!$R17:$U17)+SUMIF(NOV!$G$157:$J$157,BQ$111,NOV!$W17:$Z17)</f>
        <v>0</v>
      </c>
      <c r="BR428" s="571"/>
      <c r="BS428" s="446"/>
      <c r="BT428" s="448"/>
      <c r="BU428" s="470"/>
      <c r="BV428" s="445">
        <f>SUMIF(NOV!$G$158:$J$158,BV$111,NOV!$R17:$U17)+SUMIF(NOV!$G$158:$J$158,BV$111,NOV!$W17:$Z17)</f>
        <v>0</v>
      </c>
      <c r="BW428" s="446">
        <f>SUMIF(NOV!$G$158:$J$158,BW$111,NOV!$R17:$U17)+SUMIF(NOV!$G$158:$J$158,BW$111,NOV!$W17:$Z17)</f>
        <v>0</v>
      </c>
      <c r="BX428" s="446">
        <f>SUMIF(NOV!$G$158:$J$158,BX$111,NOV!$R17:$U17)+SUMIF(NOV!$G$158:$J$158,BX$111,NOV!$W17:$Z17)</f>
        <v>0</v>
      </c>
      <c r="BY428" s="446">
        <f>SUMIF(NOV!$G$158:$J$158,BY$111,NOV!$R17:$U17)+SUMIF(NOV!$G$158:$J$158,BY$111,NOV!$W17:$Z17)</f>
        <v>0</v>
      </c>
      <c r="BZ428" s="446">
        <f>SUMIF(NOV!$G$158:$J$158,BZ$111,NOV!$R17:$U17)+SUMIF(NOV!$G$158:$J$158,BZ$111,NOV!$W17:$Z17)</f>
        <v>0</v>
      </c>
      <c r="CA428" s="446">
        <f>SUMIF(NOV!$G$158:$J$158,CA$111,NOV!$R17:$U17)+SUMIF(NOV!$G$158:$J$158,CA$111,NOV!$W17:$Z17)</f>
        <v>0</v>
      </c>
      <c r="CB428" s="448">
        <f>SUMIF(NOV!$G$158:$J$158,CB$111,NOV!$R17:$U17)+SUMIF(NOV!$G$158:$J$158,CB$111,NOV!$W17:$Z17)</f>
        <v>0</v>
      </c>
      <c r="CC428" s="571"/>
      <c r="CD428" s="448"/>
      <c r="CE428" s="92">
        <f t="shared" si="297"/>
        <v>0</v>
      </c>
      <c r="CF428" s="92">
        <f t="shared" si="298"/>
        <v>0</v>
      </c>
      <c r="CG428" s="151" t="str">
        <f t="shared" si="284"/>
        <v/>
      </c>
      <c r="CH428" s="92">
        <f t="shared" si="287"/>
        <v>0</v>
      </c>
      <c r="CI428" s="92" t="str">
        <f t="shared" si="299"/>
        <v/>
      </c>
      <c r="CJ428" s="1100">
        <f>NOV!AM17</f>
        <v>0</v>
      </c>
      <c r="CK428" s="445">
        <f>SUMIF(NOV!$G$155:$J$155,CK$112,NOV!$AN17:$AQ17)</f>
        <v>0</v>
      </c>
      <c r="CL428" s="446">
        <f>SUMIF(NOV!$G$155:$J$155,CL$112,NOV!$AN17:$AQ17)</f>
        <v>0</v>
      </c>
      <c r="CM428" s="447">
        <f>SUMIF(NOV!$G$155:$J$155,CM$112,NOV!$AN17:$AQ17)</f>
        <v>0</v>
      </c>
      <c r="CN428" s="448">
        <f>SUMIF(NOV!$G$155:$J$155,CN$112,NOV!$AN17:$AQ17)</f>
        <v>0</v>
      </c>
      <c r="CO428" s="1100">
        <f>NOV!AS17</f>
        <v>0</v>
      </c>
      <c r="CP428" s="445">
        <f>NOV!AT17</f>
        <v>0</v>
      </c>
      <c r="CQ428" s="446">
        <f>NOV!AU17</f>
        <v>0</v>
      </c>
      <c r="CR428" s="447">
        <f>NOV!AV17</f>
        <v>0</v>
      </c>
      <c r="CS428" s="448">
        <f>NOV!AW17</f>
        <v>0</v>
      </c>
      <c r="CT428" s="1100">
        <f>NOV!AY17</f>
        <v>0</v>
      </c>
      <c r="CU428" s="2"/>
    </row>
    <row r="429" spans="1:99" ht="14.25" hidden="1" customHeight="1" x14ac:dyDescent="0.2">
      <c r="A429" s="2"/>
      <c r="B429" s="151">
        <f t="shared" si="288"/>
        <v>45607</v>
      </c>
      <c r="C429" s="223">
        <f>IF(AND(E429&gt;(N$495-1),E429&lt;(R$495+1)),W$485,IF(ISERROR(HLOOKUP(E429,$N$488:$U$488,1,FALSE)),HLOOKUP(WEEKDAY(E429,2),IMPOSTAZIONI!$C$51:$P$56,6,FALSE),$W$484))</f>
        <v>0</v>
      </c>
      <c r="D429" s="103" t="str">
        <f t="shared" si="289"/>
        <v/>
      </c>
      <c r="E429" s="2380">
        <f t="shared" si="300"/>
        <v>45607</v>
      </c>
      <c r="F429" s="2381"/>
      <c r="G429" s="2325" t="str">
        <f>NOV!E18</f>
        <v xml:space="preserve">attiva trim.  </v>
      </c>
      <c r="H429" s="2326"/>
      <c r="I429" s="2327"/>
      <c r="J429" s="479" t="str">
        <f t="shared" si="285"/>
        <v/>
      </c>
      <c r="K429" s="480"/>
      <c r="L429" s="2323">
        <f t="shared" si="301"/>
        <v>46</v>
      </c>
      <c r="M429" s="2324"/>
      <c r="N429" s="478"/>
      <c r="O429" s="478"/>
      <c r="P429" s="478"/>
      <c r="Q429" s="2315">
        <f t="shared" si="290"/>
        <v>45607</v>
      </c>
      <c r="R429" s="2315"/>
      <c r="S429" s="478"/>
      <c r="T429" s="140">
        <f t="shared" si="291"/>
        <v>1</v>
      </c>
      <c r="U429" s="478"/>
      <c r="V429" s="478"/>
      <c r="W429" s="478"/>
      <c r="X429" s="478"/>
      <c r="Y429" s="478"/>
      <c r="Z429" s="478"/>
      <c r="AA429" s="478"/>
      <c r="AB429" s="478"/>
      <c r="AC429" s="478"/>
      <c r="AD429" s="478"/>
      <c r="AE429" s="478"/>
      <c r="AF429" s="478"/>
      <c r="AG429" s="140">
        <f t="shared" si="292"/>
        <v>0</v>
      </c>
      <c r="AH429" s="92" t="str">
        <f t="shared" si="293"/>
        <v/>
      </c>
      <c r="AI429" s="131">
        <f t="shared" si="294"/>
        <v>0</v>
      </c>
      <c r="AJ429" s="2"/>
      <c r="AK429" s="92">
        <f>IF(G429=G$481,0,IF(OR(G429&lt;&gt;0,CJ429&lt;&gt;0,C429="L"),COUNTIF(AK$114:AK428,"&gt;0")+1,0))</f>
        <v>0</v>
      </c>
      <c r="AL429" s="92" t="str">
        <f t="shared" si="295"/>
        <v/>
      </c>
      <c r="AM429" s="92" t="str">
        <f t="shared" si="296"/>
        <v/>
      </c>
      <c r="AN429" s="131">
        <f t="shared" si="286"/>
        <v>0</v>
      </c>
      <c r="AO429" s="447">
        <f>SUM(NOV!W18:Z18)</f>
        <v>0</v>
      </c>
      <c r="AP429" s="445">
        <f>SUMIF(NOV!$G$155:$J$155,AP$112,NOV!$R18:$U18)</f>
        <v>0</v>
      </c>
      <c r="AQ429" s="446">
        <f>SUMIF(NOV!$G$155:$J$155,AQ$112,NOV!$R18:$U18)</f>
        <v>0</v>
      </c>
      <c r="AR429" s="447">
        <f>SUMIF(NOV!$G$155:$J$155,AR$112,NOV!$R18:$U18)</f>
        <v>0</v>
      </c>
      <c r="AS429" s="448">
        <f>SUMIF(NOV!$G$155:$J$155,AS$112,NOV!$R18:$U18)</f>
        <v>0</v>
      </c>
      <c r="AT429" s="449">
        <f>NOV!AG18</f>
        <v>0</v>
      </c>
      <c r="AU429" s="445">
        <f>NOV!AH18</f>
        <v>0</v>
      </c>
      <c r="AV429" s="446">
        <f>NOV!AI18</f>
        <v>0</v>
      </c>
      <c r="AW429" s="447">
        <f>NOV!AJ18</f>
        <v>0</v>
      </c>
      <c r="AX429" s="448">
        <f>NOV!AK18</f>
        <v>0</v>
      </c>
      <c r="AY429" s="445">
        <f>SUMIF(NOV!$G$152:$J$152,"&gt;0",NOV!$W18:$Z18)</f>
        <v>0</v>
      </c>
      <c r="AZ429" s="1063">
        <f>SUM(NOV!AB18:AE18)</f>
        <v>0</v>
      </c>
      <c r="BA429" s="445">
        <f>SUMIF(NOV!$G$159:$J$159,BA$111,NOV!$R18:$U18)+SUMIF(NOV!$G$159:$J$159,BA$111,NOV!$W18:$Z18)</f>
        <v>0</v>
      </c>
      <c r="BB429" s="446">
        <f>SUMIF(NOV!$G$159:$J$159,BB$111,NOV!$R18:$U18)+SUMIF(NOV!$G$159:$J$159,BB$111,NOV!$W18:$Z18)</f>
        <v>0</v>
      </c>
      <c r="BC429" s="446">
        <f>SUMIF(NOV!$G$159:$J$159,BC$111,NOV!$R18:$U18)+SUMIF(NOV!$G$159:$J$159,BC$111,NOV!$W18:$Z18)</f>
        <v>0</v>
      </c>
      <c r="BD429" s="446">
        <f>SUMIF(NOV!$G$159:$J$159,BD$111,NOV!$R18:$U18)+SUMIF(NOV!$G$159:$J$159,BD$111,NOV!$W18:$Z18)</f>
        <v>0</v>
      </c>
      <c r="BE429" s="446">
        <f>SUMIF(NOV!$G$159:$J$159,BE$111,NOV!$R18:$U18)+SUMIF(NOV!$G$159:$J$159,BE$111,NOV!$W18:$Z18)</f>
        <v>0</v>
      </c>
      <c r="BF429" s="446">
        <f>SUMIF(NOV!$G$159:$J$159,BF$111,NOV!$R18:$U18)+SUMIF(NOV!$G$159:$J$159,BF$111,NOV!$W18:$Z18)</f>
        <v>0</v>
      </c>
      <c r="BG429" s="448">
        <f>SUMIF(NOV!$G$159:$J$159,BG$111,NOV!$R18:$U18)+SUMIF(NOV!$G$159:$J$159,BG$111,NOV!$W18:$Z18)</f>
        <v>0</v>
      </c>
      <c r="BH429" s="571"/>
      <c r="BI429" s="448"/>
      <c r="BJ429" s="470"/>
      <c r="BK429" s="445">
        <f>SUMIF(NOV!$G$157:$J$157,BK$111,NOV!$R18:$U18)+SUMIF(NOV!$G$157:$J$157,BK$111,NOV!$W18:$Z18)</f>
        <v>0</v>
      </c>
      <c r="BL429" s="446">
        <f>SUMIF(NOV!$G$157:$J$157,BL$111,NOV!$R18:$U18)+SUMIF(NOV!$G$157:$J$157,BL$111,NOV!$W18:$Z18)</f>
        <v>0</v>
      </c>
      <c r="BM429" s="446">
        <f>SUMIF(NOV!$G$157:$J$157,BM$111,NOV!$R18:$U18)+SUMIF(NOV!$G$157:$J$157,BM$111,NOV!$W18:$Z18)</f>
        <v>0</v>
      </c>
      <c r="BN429" s="446">
        <f>SUMIF(NOV!$G$157:$J$157,BN$111,NOV!$R18:$U18)+SUMIF(NOV!$G$157:$J$157,BN$111,NOV!$W18:$Z18)</f>
        <v>0</v>
      </c>
      <c r="BO429" s="446">
        <f>SUMIF(NOV!$G$157:$J$157,BO$111,NOV!$R18:$U18)+SUMIF(NOV!$G$157:$J$157,BO$111,NOV!$W18:$Z18)</f>
        <v>0</v>
      </c>
      <c r="BP429" s="446">
        <f>SUMIF(NOV!$G$157:$J$157,BP$111,NOV!$R18:$U18)+SUMIF(NOV!$G$157:$J$157,BP$111,NOV!$W18:$Z18)</f>
        <v>0</v>
      </c>
      <c r="BQ429" s="448">
        <f>SUMIF(NOV!$G$157:$J$157,BQ$111,NOV!$R18:$U18)+SUMIF(NOV!$G$157:$J$157,BQ$111,NOV!$W18:$Z18)</f>
        <v>0</v>
      </c>
      <c r="BR429" s="571"/>
      <c r="BS429" s="446"/>
      <c r="BT429" s="448"/>
      <c r="BU429" s="470"/>
      <c r="BV429" s="445">
        <f>SUMIF(NOV!$G$158:$J$158,BV$111,NOV!$R18:$U18)+SUMIF(NOV!$G$158:$J$158,BV$111,NOV!$W18:$Z18)</f>
        <v>0</v>
      </c>
      <c r="BW429" s="446">
        <f>SUMIF(NOV!$G$158:$J$158,BW$111,NOV!$R18:$U18)+SUMIF(NOV!$G$158:$J$158,BW$111,NOV!$W18:$Z18)</f>
        <v>0</v>
      </c>
      <c r="BX429" s="446">
        <f>SUMIF(NOV!$G$158:$J$158,BX$111,NOV!$R18:$U18)+SUMIF(NOV!$G$158:$J$158,BX$111,NOV!$W18:$Z18)</f>
        <v>0</v>
      </c>
      <c r="BY429" s="446">
        <f>SUMIF(NOV!$G$158:$J$158,BY$111,NOV!$R18:$U18)+SUMIF(NOV!$G$158:$J$158,BY$111,NOV!$W18:$Z18)</f>
        <v>0</v>
      </c>
      <c r="BZ429" s="446">
        <f>SUMIF(NOV!$G$158:$J$158,BZ$111,NOV!$R18:$U18)+SUMIF(NOV!$G$158:$J$158,BZ$111,NOV!$W18:$Z18)</f>
        <v>0</v>
      </c>
      <c r="CA429" s="446">
        <f>SUMIF(NOV!$G$158:$J$158,CA$111,NOV!$R18:$U18)+SUMIF(NOV!$G$158:$J$158,CA$111,NOV!$W18:$Z18)</f>
        <v>0</v>
      </c>
      <c r="CB429" s="448">
        <f>SUMIF(NOV!$G$158:$J$158,CB$111,NOV!$R18:$U18)+SUMIF(NOV!$G$158:$J$158,CB$111,NOV!$W18:$Z18)</f>
        <v>0</v>
      </c>
      <c r="CC429" s="571"/>
      <c r="CD429" s="448"/>
      <c r="CE429" s="92">
        <f t="shared" si="297"/>
        <v>0</v>
      </c>
      <c r="CF429" s="92">
        <f t="shared" si="298"/>
        <v>0</v>
      </c>
      <c r="CG429" s="151" t="str">
        <f t="shared" si="284"/>
        <v/>
      </c>
      <c r="CH429" s="92">
        <f t="shared" si="287"/>
        <v>0</v>
      </c>
      <c r="CI429" s="92" t="str">
        <f t="shared" si="299"/>
        <v/>
      </c>
      <c r="CJ429" s="1100">
        <f>NOV!AM18</f>
        <v>0</v>
      </c>
      <c r="CK429" s="445">
        <f>SUMIF(NOV!$G$155:$J$155,CK$112,NOV!$AN18:$AQ18)</f>
        <v>0</v>
      </c>
      <c r="CL429" s="446">
        <f>SUMIF(NOV!$G$155:$J$155,CL$112,NOV!$AN18:$AQ18)</f>
        <v>0</v>
      </c>
      <c r="CM429" s="447">
        <f>SUMIF(NOV!$G$155:$J$155,CM$112,NOV!$AN18:$AQ18)</f>
        <v>0</v>
      </c>
      <c r="CN429" s="448">
        <f>SUMIF(NOV!$G$155:$J$155,CN$112,NOV!$AN18:$AQ18)</f>
        <v>0</v>
      </c>
      <c r="CO429" s="1100">
        <f>NOV!AS18</f>
        <v>0</v>
      </c>
      <c r="CP429" s="445">
        <f>NOV!AT18</f>
        <v>0</v>
      </c>
      <c r="CQ429" s="446">
        <f>NOV!AU18</f>
        <v>0</v>
      </c>
      <c r="CR429" s="447">
        <f>NOV!AV18</f>
        <v>0</v>
      </c>
      <c r="CS429" s="448">
        <f>NOV!AW18</f>
        <v>0</v>
      </c>
      <c r="CT429" s="1100">
        <f>NOV!AY18</f>
        <v>0</v>
      </c>
      <c r="CU429" s="2"/>
    </row>
    <row r="430" spans="1:99" ht="14.25" hidden="1" customHeight="1" x14ac:dyDescent="0.2">
      <c r="A430" s="2"/>
      <c r="B430" s="151">
        <f t="shared" si="288"/>
        <v>45608</v>
      </c>
      <c r="C430" s="223">
        <f>IF(AND(E430&gt;(N$495-1),E430&lt;(R$495+1)),W$485,IF(ISERROR(HLOOKUP(E430,$N$488:$U$488,1,FALSE)),HLOOKUP(WEEKDAY(E430,2),IMPOSTAZIONI!$C$51:$P$56,6,FALSE),$W$484))</f>
        <v>0</v>
      </c>
      <c r="D430" s="103" t="str">
        <f t="shared" si="289"/>
        <v/>
      </c>
      <c r="E430" s="2380">
        <f t="shared" si="300"/>
        <v>45608</v>
      </c>
      <c r="F430" s="2381"/>
      <c r="G430" s="2325" t="str">
        <f>NOV!E19</f>
        <v xml:space="preserve">attiva trim.  </v>
      </c>
      <c r="H430" s="2326"/>
      <c r="I430" s="2327"/>
      <c r="J430" s="479" t="str">
        <f t="shared" si="285"/>
        <v/>
      </c>
      <c r="K430" s="480"/>
      <c r="L430" s="2319">
        <f t="shared" si="301"/>
        <v>46</v>
      </c>
      <c r="M430" s="2320"/>
      <c r="N430" s="478"/>
      <c r="O430" s="478"/>
      <c r="P430" s="478"/>
      <c r="Q430" s="2315">
        <f t="shared" si="290"/>
        <v>45608</v>
      </c>
      <c r="R430" s="2315"/>
      <c r="S430" s="478"/>
      <c r="T430" s="140">
        <f t="shared" si="291"/>
        <v>1</v>
      </c>
      <c r="U430" s="478"/>
      <c r="V430" s="478"/>
      <c r="W430" s="478"/>
      <c r="X430" s="478"/>
      <c r="Y430" s="478"/>
      <c r="Z430" s="478"/>
      <c r="AA430" s="478"/>
      <c r="AB430" s="478"/>
      <c r="AC430" s="478"/>
      <c r="AD430" s="478"/>
      <c r="AE430" s="478"/>
      <c r="AF430" s="478"/>
      <c r="AG430" s="140">
        <f t="shared" si="292"/>
        <v>0</v>
      </c>
      <c r="AH430" s="92" t="str">
        <f t="shared" si="293"/>
        <v/>
      </c>
      <c r="AI430" s="131">
        <f t="shared" si="294"/>
        <v>0</v>
      </c>
      <c r="AJ430" s="2"/>
      <c r="AK430" s="92">
        <f>IF(G430=G$481,0,IF(OR(G430&lt;&gt;0,CJ430&lt;&gt;0,C430="L"),COUNTIF(AK$114:AK429,"&gt;0")+1,0))</f>
        <v>0</v>
      </c>
      <c r="AL430" s="92" t="str">
        <f t="shared" si="295"/>
        <v/>
      </c>
      <c r="AM430" s="92" t="str">
        <f t="shared" si="296"/>
        <v/>
      </c>
      <c r="AN430" s="131">
        <f t="shared" si="286"/>
        <v>0</v>
      </c>
      <c r="AO430" s="447">
        <f>SUM(NOV!W19:Z19)</f>
        <v>0</v>
      </c>
      <c r="AP430" s="445">
        <f>SUMIF(NOV!$G$155:$J$155,AP$112,NOV!$R19:$U19)</f>
        <v>0</v>
      </c>
      <c r="AQ430" s="446">
        <f>SUMIF(NOV!$G$155:$J$155,AQ$112,NOV!$R19:$U19)</f>
        <v>0</v>
      </c>
      <c r="AR430" s="447">
        <f>SUMIF(NOV!$G$155:$J$155,AR$112,NOV!$R19:$U19)</f>
        <v>0</v>
      </c>
      <c r="AS430" s="448">
        <f>SUMIF(NOV!$G$155:$J$155,AS$112,NOV!$R19:$U19)</f>
        <v>0</v>
      </c>
      <c r="AT430" s="449">
        <f>NOV!AG19</f>
        <v>0</v>
      </c>
      <c r="AU430" s="445">
        <f>NOV!AH19</f>
        <v>0</v>
      </c>
      <c r="AV430" s="446">
        <f>NOV!AI19</f>
        <v>0</v>
      </c>
      <c r="AW430" s="447">
        <f>NOV!AJ19</f>
        <v>0</v>
      </c>
      <c r="AX430" s="448">
        <f>NOV!AK19</f>
        <v>0</v>
      </c>
      <c r="AY430" s="445">
        <f>SUMIF(NOV!$G$152:$J$152,"&gt;0",NOV!$W19:$Z19)</f>
        <v>0</v>
      </c>
      <c r="AZ430" s="1063">
        <f>SUM(NOV!AB19:AE19)</f>
        <v>0</v>
      </c>
      <c r="BA430" s="445">
        <f>SUMIF(NOV!$G$159:$J$159,BA$111,NOV!$R19:$U19)+SUMIF(NOV!$G$159:$J$159,BA$111,NOV!$W19:$Z19)</f>
        <v>0</v>
      </c>
      <c r="BB430" s="446">
        <f>SUMIF(NOV!$G$159:$J$159,BB$111,NOV!$R19:$U19)+SUMIF(NOV!$G$159:$J$159,BB$111,NOV!$W19:$Z19)</f>
        <v>0</v>
      </c>
      <c r="BC430" s="446">
        <f>SUMIF(NOV!$G$159:$J$159,BC$111,NOV!$R19:$U19)+SUMIF(NOV!$G$159:$J$159,BC$111,NOV!$W19:$Z19)</f>
        <v>0</v>
      </c>
      <c r="BD430" s="446">
        <f>SUMIF(NOV!$G$159:$J$159,BD$111,NOV!$R19:$U19)+SUMIF(NOV!$G$159:$J$159,BD$111,NOV!$W19:$Z19)</f>
        <v>0</v>
      </c>
      <c r="BE430" s="446">
        <f>SUMIF(NOV!$G$159:$J$159,BE$111,NOV!$R19:$U19)+SUMIF(NOV!$G$159:$J$159,BE$111,NOV!$W19:$Z19)</f>
        <v>0</v>
      </c>
      <c r="BF430" s="446">
        <f>SUMIF(NOV!$G$159:$J$159,BF$111,NOV!$R19:$U19)+SUMIF(NOV!$G$159:$J$159,BF$111,NOV!$W19:$Z19)</f>
        <v>0</v>
      </c>
      <c r="BG430" s="448">
        <f>SUMIF(NOV!$G$159:$J$159,BG$111,NOV!$R19:$U19)+SUMIF(NOV!$G$159:$J$159,BG$111,NOV!$W19:$Z19)</f>
        <v>0</v>
      </c>
      <c r="BH430" s="571"/>
      <c r="BI430" s="448"/>
      <c r="BJ430" s="470"/>
      <c r="BK430" s="445">
        <f>SUMIF(NOV!$G$157:$J$157,BK$111,NOV!$R19:$U19)+SUMIF(NOV!$G$157:$J$157,BK$111,NOV!$W19:$Z19)</f>
        <v>0</v>
      </c>
      <c r="BL430" s="446">
        <f>SUMIF(NOV!$G$157:$J$157,BL$111,NOV!$R19:$U19)+SUMIF(NOV!$G$157:$J$157,BL$111,NOV!$W19:$Z19)</f>
        <v>0</v>
      </c>
      <c r="BM430" s="446">
        <f>SUMIF(NOV!$G$157:$J$157,BM$111,NOV!$R19:$U19)+SUMIF(NOV!$G$157:$J$157,BM$111,NOV!$W19:$Z19)</f>
        <v>0</v>
      </c>
      <c r="BN430" s="446">
        <f>SUMIF(NOV!$G$157:$J$157,BN$111,NOV!$R19:$U19)+SUMIF(NOV!$G$157:$J$157,BN$111,NOV!$W19:$Z19)</f>
        <v>0</v>
      </c>
      <c r="BO430" s="446">
        <f>SUMIF(NOV!$G$157:$J$157,BO$111,NOV!$R19:$U19)+SUMIF(NOV!$G$157:$J$157,BO$111,NOV!$W19:$Z19)</f>
        <v>0</v>
      </c>
      <c r="BP430" s="446">
        <f>SUMIF(NOV!$G$157:$J$157,BP$111,NOV!$R19:$U19)+SUMIF(NOV!$G$157:$J$157,BP$111,NOV!$W19:$Z19)</f>
        <v>0</v>
      </c>
      <c r="BQ430" s="448">
        <f>SUMIF(NOV!$G$157:$J$157,BQ$111,NOV!$R19:$U19)+SUMIF(NOV!$G$157:$J$157,BQ$111,NOV!$W19:$Z19)</f>
        <v>0</v>
      </c>
      <c r="BR430" s="571"/>
      <c r="BS430" s="446"/>
      <c r="BT430" s="448"/>
      <c r="BU430" s="470"/>
      <c r="BV430" s="445">
        <f>SUMIF(NOV!$G$158:$J$158,BV$111,NOV!$R19:$U19)+SUMIF(NOV!$G$158:$J$158,BV$111,NOV!$W19:$Z19)</f>
        <v>0</v>
      </c>
      <c r="BW430" s="446">
        <f>SUMIF(NOV!$G$158:$J$158,BW$111,NOV!$R19:$U19)+SUMIF(NOV!$G$158:$J$158,BW$111,NOV!$W19:$Z19)</f>
        <v>0</v>
      </c>
      <c r="BX430" s="446">
        <f>SUMIF(NOV!$G$158:$J$158,BX$111,NOV!$R19:$U19)+SUMIF(NOV!$G$158:$J$158,BX$111,NOV!$W19:$Z19)</f>
        <v>0</v>
      </c>
      <c r="BY430" s="446">
        <f>SUMIF(NOV!$G$158:$J$158,BY$111,NOV!$R19:$U19)+SUMIF(NOV!$G$158:$J$158,BY$111,NOV!$W19:$Z19)</f>
        <v>0</v>
      </c>
      <c r="BZ430" s="446">
        <f>SUMIF(NOV!$G$158:$J$158,BZ$111,NOV!$R19:$U19)+SUMIF(NOV!$G$158:$J$158,BZ$111,NOV!$W19:$Z19)</f>
        <v>0</v>
      </c>
      <c r="CA430" s="446">
        <f>SUMIF(NOV!$G$158:$J$158,CA$111,NOV!$R19:$U19)+SUMIF(NOV!$G$158:$J$158,CA$111,NOV!$W19:$Z19)</f>
        <v>0</v>
      </c>
      <c r="CB430" s="448">
        <f>SUMIF(NOV!$G$158:$J$158,CB$111,NOV!$R19:$U19)+SUMIF(NOV!$G$158:$J$158,CB$111,NOV!$W19:$Z19)</f>
        <v>0</v>
      </c>
      <c r="CC430" s="571"/>
      <c r="CD430" s="448"/>
      <c r="CE430" s="92">
        <f t="shared" si="297"/>
        <v>0</v>
      </c>
      <c r="CF430" s="92">
        <f t="shared" si="298"/>
        <v>0</v>
      </c>
      <c r="CG430" s="151" t="str">
        <f t="shared" ref="CG430:CG479" si="302">IF(AL430="Y",E430,"")</f>
        <v/>
      </c>
      <c r="CH430" s="92">
        <f t="shared" si="287"/>
        <v>0</v>
      </c>
      <c r="CI430" s="92" t="str">
        <f t="shared" si="299"/>
        <v/>
      </c>
      <c r="CJ430" s="1100">
        <f>NOV!AM19</f>
        <v>0</v>
      </c>
      <c r="CK430" s="445">
        <f>SUMIF(NOV!$G$155:$J$155,CK$112,NOV!$AN19:$AQ19)</f>
        <v>0</v>
      </c>
      <c r="CL430" s="446">
        <f>SUMIF(NOV!$G$155:$J$155,CL$112,NOV!$AN19:$AQ19)</f>
        <v>0</v>
      </c>
      <c r="CM430" s="447">
        <f>SUMIF(NOV!$G$155:$J$155,CM$112,NOV!$AN19:$AQ19)</f>
        <v>0</v>
      </c>
      <c r="CN430" s="448">
        <f>SUMIF(NOV!$G$155:$J$155,CN$112,NOV!$AN19:$AQ19)</f>
        <v>0</v>
      </c>
      <c r="CO430" s="1100">
        <f>NOV!AS19</f>
        <v>0</v>
      </c>
      <c r="CP430" s="445">
        <f>NOV!AT19</f>
        <v>0</v>
      </c>
      <c r="CQ430" s="446">
        <f>NOV!AU19</f>
        <v>0</v>
      </c>
      <c r="CR430" s="447">
        <f>NOV!AV19</f>
        <v>0</v>
      </c>
      <c r="CS430" s="448">
        <f>NOV!AW19</f>
        <v>0</v>
      </c>
      <c r="CT430" s="1100">
        <f>NOV!AY19</f>
        <v>0</v>
      </c>
      <c r="CU430" s="2"/>
    </row>
    <row r="431" spans="1:99" ht="14.25" hidden="1" customHeight="1" x14ac:dyDescent="0.2">
      <c r="A431" s="2"/>
      <c r="B431" s="151">
        <f t="shared" si="288"/>
        <v>45609</v>
      </c>
      <c r="C431" s="223">
        <f>IF(AND(E431&gt;(N$495-1),E431&lt;(R$495+1)),W$485,IF(ISERROR(HLOOKUP(E431,$N$488:$U$488,1,FALSE)),HLOOKUP(WEEKDAY(E431,2),IMPOSTAZIONI!$C$51:$P$56,6,FALSE),$W$484))</f>
        <v>0</v>
      </c>
      <c r="D431" s="103" t="str">
        <f t="shared" si="289"/>
        <v/>
      </c>
      <c r="E431" s="2380">
        <f t="shared" si="300"/>
        <v>45609</v>
      </c>
      <c r="F431" s="2381"/>
      <c r="G431" s="2325" t="str">
        <f>NOV!E20</f>
        <v xml:space="preserve">attiva trim.  </v>
      </c>
      <c r="H431" s="2326"/>
      <c r="I431" s="2327"/>
      <c r="J431" s="479" t="str">
        <f t="shared" si="285"/>
        <v/>
      </c>
      <c r="K431" s="480"/>
      <c r="L431" s="2319">
        <f t="shared" si="301"/>
        <v>46</v>
      </c>
      <c r="M431" s="2320"/>
      <c r="N431" s="478"/>
      <c r="O431" s="478"/>
      <c r="P431" s="478"/>
      <c r="Q431" s="2315">
        <f t="shared" si="290"/>
        <v>45609</v>
      </c>
      <c r="R431" s="2315"/>
      <c r="S431" s="478"/>
      <c r="T431" s="140">
        <f t="shared" si="291"/>
        <v>1</v>
      </c>
      <c r="U431" s="478"/>
      <c r="V431" s="478"/>
      <c r="W431" s="478"/>
      <c r="X431" s="478"/>
      <c r="Y431" s="478"/>
      <c r="Z431" s="478"/>
      <c r="AA431" s="478"/>
      <c r="AB431" s="478"/>
      <c r="AC431" s="478"/>
      <c r="AD431" s="478"/>
      <c r="AE431" s="478"/>
      <c r="AF431" s="478"/>
      <c r="AG431" s="140">
        <f t="shared" si="292"/>
        <v>0</v>
      </c>
      <c r="AH431" s="92" t="str">
        <f t="shared" si="293"/>
        <v/>
      </c>
      <c r="AI431" s="131">
        <f t="shared" si="294"/>
        <v>0</v>
      </c>
      <c r="AJ431" s="2"/>
      <c r="AK431" s="92">
        <f>IF(G431=G$481,0,IF(OR(G431&lt;&gt;0,CJ431&lt;&gt;0,C431="L"),COUNTIF(AK$114:AK430,"&gt;0")+1,0))</f>
        <v>0</v>
      </c>
      <c r="AL431" s="92" t="str">
        <f t="shared" si="295"/>
        <v/>
      </c>
      <c r="AM431" s="92" t="str">
        <f t="shared" si="296"/>
        <v/>
      </c>
      <c r="AN431" s="131">
        <f t="shared" si="286"/>
        <v>0</v>
      </c>
      <c r="AO431" s="447">
        <f>SUM(NOV!W20:Z20)</f>
        <v>0</v>
      </c>
      <c r="AP431" s="445">
        <f>SUMIF(NOV!$G$155:$J$155,AP$112,NOV!$R20:$U20)</f>
        <v>0</v>
      </c>
      <c r="AQ431" s="446">
        <f>SUMIF(NOV!$G$155:$J$155,AQ$112,NOV!$R20:$U20)</f>
        <v>0</v>
      </c>
      <c r="AR431" s="447">
        <f>SUMIF(NOV!$G$155:$J$155,AR$112,NOV!$R20:$U20)</f>
        <v>0</v>
      </c>
      <c r="AS431" s="448">
        <f>SUMIF(NOV!$G$155:$J$155,AS$112,NOV!$R20:$U20)</f>
        <v>0</v>
      </c>
      <c r="AT431" s="449">
        <f>NOV!AG20</f>
        <v>0</v>
      </c>
      <c r="AU431" s="445">
        <f>NOV!AH20</f>
        <v>0</v>
      </c>
      <c r="AV431" s="446">
        <f>NOV!AI20</f>
        <v>0</v>
      </c>
      <c r="AW431" s="447">
        <f>NOV!AJ20</f>
        <v>0</v>
      </c>
      <c r="AX431" s="448">
        <f>NOV!AK20</f>
        <v>0</v>
      </c>
      <c r="AY431" s="445">
        <f>SUMIF(NOV!$G$152:$J$152,"&gt;0",NOV!$W20:$Z20)</f>
        <v>0</v>
      </c>
      <c r="AZ431" s="1063">
        <f>SUM(NOV!AB20:AE20)</f>
        <v>0</v>
      </c>
      <c r="BA431" s="445">
        <f>SUMIF(NOV!$G$159:$J$159,BA$111,NOV!$R20:$U20)+SUMIF(NOV!$G$159:$J$159,BA$111,NOV!$W20:$Z20)</f>
        <v>0</v>
      </c>
      <c r="BB431" s="446">
        <f>SUMIF(NOV!$G$159:$J$159,BB$111,NOV!$R20:$U20)+SUMIF(NOV!$G$159:$J$159,BB$111,NOV!$W20:$Z20)</f>
        <v>0</v>
      </c>
      <c r="BC431" s="446">
        <f>SUMIF(NOV!$G$159:$J$159,BC$111,NOV!$R20:$U20)+SUMIF(NOV!$G$159:$J$159,BC$111,NOV!$W20:$Z20)</f>
        <v>0</v>
      </c>
      <c r="BD431" s="446">
        <f>SUMIF(NOV!$G$159:$J$159,BD$111,NOV!$R20:$U20)+SUMIF(NOV!$G$159:$J$159,BD$111,NOV!$W20:$Z20)</f>
        <v>0</v>
      </c>
      <c r="BE431" s="446">
        <f>SUMIF(NOV!$G$159:$J$159,BE$111,NOV!$R20:$U20)+SUMIF(NOV!$G$159:$J$159,BE$111,NOV!$W20:$Z20)</f>
        <v>0</v>
      </c>
      <c r="BF431" s="446">
        <f>SUMIF(NOV!$G$159:$J$159,BF$111,NOV!$R20:$U20)+SUMIF(NOV!$G$159:$J$159,BF$111,NOV!$W20:$Z20)</f>
        <v>0</v>
      </c>
      <c r="BG431" s="448">
        <f>SUMIF(NOV!$G$159:$J$159,BG$111,NOV!$R20:$U20)+SUMIF(NOV!$G$159:$J$159,BG$111,NOV!$W20:$Z20)</f>
        <v>0</v>
      </c>
      <c r="BH431" s="571"/>
      <c r="BI431" s="448"/>
      <c r="BJ431" s="470"/>
      <c r="BK431" s="445">
        <f>SUMIF(NOV!$G$157:$J$157,BK$111,NOV!$R20:$U20)+SUMIF(NOV!$G$157:$J$157,BK$111,NOV!$W20:$Z20)</f>
        <v>0</v>
      </c>
      <c r="BL431" s="446">
        <f>SUMIF(NOV!$G$157:$J$157,BL$111,NOV!$R20:$U20)+SUMIF(NOV!$G$157:$J$157,BL$111,NOV!$W20:$Z20)</f>
        <v>0</v>
      </c>
      <c r="BM431" s="446">
        <f>SUMIF(NOV!$G$157:$J$157,BM$111,NOV!$R20:$U20)+SUMIF(NOV!$G$157:$J$157,BM$111,NOV!$W20:$Z20)</f>
        <v>0</v>
      </c>
      <c r="BN431" s="446">
        <f>SUMIF(NOV!$G$157:$J$157,BN$111,NOV!$R20:$U20)+SUMIF(NOV!$G$157:$J$157,BN$111,NOV!$W20:$Z20)</f>
        <v>0</v>
      </c>
      <c r="BO431" s="446">
        <f>SUMIF(NOV!$G$157:$J$157,BO$111,NOV!$R20:$U20)+SUMIF(NOV!$G$157:$J$157,BO$111,NOV!$W20:$Z20)</f>
        <v>0</v>
      </c>
      <c r="BP431" s="446">
        <f>SUMIF(NOV!$G$157:$J$157,BP$111,NOV!$R20:$U20)+SUMIF(NOV!$G$157:$J$157,BP$111,NOV!$W20:$Z20)</f>
        <v>0</v>
      </c>
      <c r="BQ431" s="448">
        <f>SUMIF(NOV!$G$157:$J$157,BQ$111,NOV!$R20:$U20)+SUMIF(NOV!$G$157:$J$157,BQ$111,NOV!$W20:$Z20)</f>
        <v>0</v>
      </c>
      <c r="BR431" s="571"/>
      <c r="BS431" s="446"/>
      <c r="BT431" s="448"/>
      <c r="BU431" s="470"/>
      <c r="BV431" s="445">
        <f>SUMIF(NOV!$G$158:$J$158,BV$111,NOV!$R20:$U20)+SUMIF(NOV!$G$158:$J$158,BV$111,NOV!$W20:$Z20)</f>
        <v>0</v>
      </c>
      <c r="BW431" s="446">
        <f>SUMIF(NOV!$G$158:$J$158,BW$111,NOV!$R20:$U20)+SUMIF(NOV!$G$158:$J$158,BW$111,NOV!$W20:$Z20)</f>
        <v>0</v>
      </c>
      <c r="BX431" s="446">
        <f>SUMIF(NOV!$G$158:$J$158,BX$111,NOV!$R20:$U20)+SUMIF(NOV!$G$158:$J$158,BX$111,NOV!$W20:$Z20)</f>
        <v>0</v>
      </c>
      <c r="BY431" s="446">
        <f>SUMIF(NOV!$G$158:$J$158,BY$111,NOV!$R20:$U20)+SUMIF(NOV!$G$158:$J$158,BY$111,NOV!$W20:$Z20)</f>
        <v>0</v>
      </c>
      <c r="BZ431" s="446">
        <f>SUMIF(NOV!$G$158:$J$158,BZ$111,NOV!$R20:$U20)+SUMIF(NOV!$G$158:$J$158,BZ$111,NOV!$W20:$Z20)</f>
        <v>0</v>
      </c>
      <c r="CA431" s="446">
        <f>SUMIF(NOV!$G$158:$J$158,CA$111,NOV!$R20:$U20)+SUMIF(NOV!$G$158:$J$158,CA$111,NOV!$W20:$Z20)</f>
        <v>0</v>
      </c>
      <c r="CB431" s="448">
        <f>SUMIF(NOV!$G$158:$J$158,CB$111,NOV!$R20:$U20)+SUMIF(NOV!$G$158:$J$158,CB$111,NOV!$W20:$Z20)</f>
        <v>0</v>
      </c>
      <c r="CC431" s="571"/>
      <c r="CD431" s="448"/>
      <c r="CE431" s="92">
        <f t="shared" si="297"/>
        <v>0</v>
      </c>
      <c r="CF431" s="92">
        <f t="shared" si="298"/>
        <v>0</v>
      </c>
      <c r="CG431" s="151" t="str">
        <f t="shared" si="302"/>
        <v/>
      </c>
      <c r="CH431" s="92">
        <f t="shared" si="287"/>
        <v>0</v>
      </c>
      <c r="CI431" s="92" t="str">
        <f t="shared" si="299"/>
        <v/>
      </c>
      <c r="CJ431" s="1100">
        <f>NOV!AM20</f>
        <v>0</v>
      </c>
      <c r="CK431" s="445">
        <f>SUMIF(NOV!$G$155:$J$155,CK$112,NOV!$AN20:$AQ20)</f>
        <v>0</v>
      </c>
      <c r="CL431" s="446">
        <f>SUMIF(NOV!$G$155:$J$155,CL$112,NOV!$AN20:$AQ20)</f>
        <v>0</v>
      </c>
      <c r="CM431" s="447">
        <f>SUMIF(NOV!$G$155:$J$155,CM$112,NOV!$AN20:$AQ20)</f>
        <v>0</v>
      </c>
      <c r="CN431" s="448">
        <f>SUMIF(NOV!$G$155:$J$155,CN$112,NOV!$AN20:$AQ20)</f>
        <v>0</v>
      </c>
      <c r="CO431" s="1100">
        <f>NOV!AS20</f>
        <v>0</v>
      </c>
      <c r="CP431" s="445">
        <f>NOV!AT20</f>
        <v>0</v>
      </c>
      <c r="CQ431" s="446">
        <f>NOV!AU20</f>
        <v>0</v>
      </c>
      <c r="CR431" s="447">
        <f>NOV!AV20</f>
        <v>0</v>
      </c>
      <c r="CS431" s="448">
        <f>NOV!AW20</f>
        <v>0</v>
      </c>
      <c r="CT431" s="1100">
        <f>NOV!AY20</f>
        <v>0</v>
      </c>
      <c r="CU431" s="2"/>
    </row>
    <row r="432" spans="1:99" ht="14.25" hidden="1" customHeight="1" x14ac:dyDescent="0.2">
      <c r="A432" s="2"/>
      <c r="B432" s="151">
        <f t="shared" si="288"/>
        <v>45610</v>
      </c>
      <c r="C432" s="223">
        <f>IF(AND(E432&gt;(N$495-1),E432&lt;(R$495+1)),W$485,IF(ISERROR(HLOOKUP(E432,$N$488:$U$488,1,FALSE)),HLOOKUP(WEEKDAY(E432,2),IMPOSTAZIONI!$C$51:$P$56,6,FALSE),$W$484))</f>
        <v>0</v>
      </c>
      <c r="D432" s="103" t="str">
        <f t="shared" si="289"/>
        <v/>
      </c>
      <c r="E432" s="2380">
        <f t="shared" si="300"/>
        <v>45610</v>
      </c>
      <c r="F432" s="2381"/>
      <c r="G432" s="2325" t="str">
        <f>NOV!E21</f>
        <v xml:space="preserve">attiva trim.  </v>
      </c>
      <c r="H432" s="2326"/>
      <c r="I432" s="2327"/>
      <c r="J432" s="479" t="str">
        <f t="shared" si="285"/>
        <v/>
      </c>
      <c r="K432" s="480"/>
      <c r="L432" s="2319">
        <f t="shared" si="301"/>
        <v>46</v>
      </c>
      <c r="M432" s="2320"/>
      <c r="N432" s="478"/>
      <c r="O432" s="478"/>
      <c r="P432" s="478"/>
      <c r="Q432" s="2315">
        <f t="shared" si="290"/>
        <v>45610</v>
      </c>
      <c r="R432" s="2315"/>
      <c r="S432" s="478"/>
      <c r="T432" s="140">
        <f t="shared" si="291"/>
        <v>1</v>
      </c>
      <c r="U432" s="478"/>
      <c r="V432" s="478"/>
      <c r="W432" s="478"/>
      <c r="X432" s="478"/>
      <c r="Y432" s="478"/>
      <c r="Z432" s="478"/>
      <c r="AA432" s="478"/>
      <c r="AB432" s="478"/>
      <c r="AC432" s="478"/>
      <c r="AD432" s="478"/>
      <c r="AE432" s="478"/>
      <c r="AF432" s="478"/>
      <c r="AG432" s="140">
        <f t="shared" si="292"/>
        <v>0</v>
      </c>
      <c r="AH432" s="92" t="str">
        <f t="shared" si="293"/>
        <v/>
      </c>
      <c r="AI432" s="131">
        <f t="shared" si="294"/>
        <v>0</v>
      </c>
      <c r="AJ432" s="2"/>
      <c r="AK432" s="92">
        <f>IF(G432=G$481,0,IF(OR(G432&lt;&gt;0,CJ432&lt;&gt;0,C432="L"),COUNTIF(AK$114:AK431,"&gt;0")+1,0))</f>
        <v>0</v>
      </c>
      <c r="AL432" s="92" t="str">
        <f t="shared" si="295"/>
        <v/>
      </c>
      <c r="AM432" s="92" t="str">
        <f t="shared" si="296"/>
        <v/>
      </c>
      <c r="AN432" s="131">
        <f t="shared" si="286"/>
        <v>0</v>
      </c>
      <c r="AO432" s="447">
        <f>SUM(NOV!W21:Z21)</f>
        <v>0</v>
      </c>
      <c r="AP432" s="445">
        <f>SUMIF(NOV!$G$155:$J$155,AP$112,NOV!$R21:$U21)</f>
        <v>0</v>
      </c>
      <c r="AQ432" s="446">
        <f>SUMIF(NOV!$G$155:$J$155,AQ$112,NOV!$R21:$U21)</f>
        <v>0</v>
      </c>
      <c r="AR432" s="447">
        <f>SUMIF(NOV!$G$155:$J$155,AR$112,NOV!$R21:$U21)</f>
        <v>0</v>
      </c>
      <c r="AS432" s="448">
        <f>SUMIF(NOV!$G$155:$J$155,AS$112,NOV!$R21:$U21)</f>
        <v>0</v>
      </c>
      <c r="AT432" s="449">
        <f>NOV!AG21</f>
        <v>0</v>
      </c>
      <c r="AU432" s="445">
        <f>NOV!AH21</f>
        <v>0</v>
      </c>
      <c r="AV432" s="446">
        <f>NOV!AI21</f>
        <v>0</v>
      </c>
      <c r="AW432" s="447">
        <f>NOV!AJ21</f>
        <v>0</v>
      </c>
      <c r="AX432" s="448">
        <f>NOV!AK21</f>
        <v>0</v>
      </c>
      <c r="AY432" s="445">
        <f>SUMIF(NOV!$G$152:$J$152,"&gt;0",NOV!$W21:$Z21)</f>
        <v>0</v>
      </c>
      <c r="AZ432" s="1063">
        <f>SUM(NOV!AB21:AE21)</f>
        <v>0</v>
      </c>
      <c r="BA432" s="445">
        <f>SUMIF(NOV!$G$159:$J$159,BA$111,NOV!$R21:$U21)+SUMIF(NOV!$G$159:$J$159,BA$111,NOV!$W21:$Z21)</f>
        <v>0</v>
      </c>
      <c r="BB432" s="446">
        <f>SUMIF(NOV!$G$159:$J$159,BB$111,NOV!$R21:$U21)+SUMIF(NOV!$G$159:$J$159,BB$111,NOV!$W21:$Z21)</f>
        <v>0</v>
      </c>
      <c r="BC432" s="446">
        <f>SUMIF(NOV!$G$159:$J$159,BC$111,NOV!$R21:$U21)+SUMIF(NOV!$G$159:$J$159,BC$111,NOV!$W21:$Z21)</f>
        <v>0</v>
      </c>
      <c r="BD432" s="446">
        <f>SUMIF(NOV!$G$159:$J$159,BD$111,NOV!$R21:$U21)+SUMIF(NOV!$G$159:$J$159,BD$111,NOV!$W21:$Z21)</f>
        <v>0</v>
      </c>
      <c r="BE432" s="446">
        <f>SUMIF(NOV!$G$159:$J$159,BE$111,NOV!$R21:$U21)+SUMIF(NOV!$G$159:$J$159,BE$111,NOV!$W21:$Z21)</f>
        <v>0</v>
      </c>
      <c r="BF432" s="446">
        <f>SUMIF(NOV!$G$159:$J$159,BF$111,NOV!$R21:$U21)+SUMIF(NOV!$G$159:$J$159,BF$111,NOV!$W21:$Z21)</f>
        <v>0</v>
      </c>
      <c r="BG432" s="448">
        <f>SUMIF(NOV!$G$159:$J$159,BG$111,NOV!$R21:$U21)+SUMIF(NOV!$G$159:$J$159,BG$111,NOV!$W21:$Z21)</f>
        <v>0</v>
      </c>
      <c r="BH432" s="571"/>
      <c r="BI432" s="448"/>
      <c r="BJ432" s="470"/>
      <c r="BK432" s="445">
        <f>SUMIF(NOV!$G$157:$J$157,BK$111,NOV!$R21:$U21)+SUMIF(NOV!$G$157:$J$157,BK$111,NOV!$W21:$Z21)</f>
        <v>0</v>
      </c>
      <c r="BL432" s="446">
        <f>SUMIF(NOV!$G$157:$J$157,BL$111,NOV!$R21:$U21)+SUMIF(NOV!$G$157:$J$157,BL$111,NOV!$W21:$Z21)</f>
        <v>0</v>
      </c>
      <c r="BM432" s="446">
        <f>SUMIF(NOV!$G$157:$J$157,BM$111,NOV!$R21:$U21)+SUMIF(NOV!$G$157:$J$157,BM$111,NOV!$W21:$Z21)</f>
        <v>0</v>
      </c>
      <c r="BN432" s="446">
        <f>SUMIF(NOV!$G$157:$J$157,BN$111,NOV!$R21:$U21)+SUMIF(NOV!$G$157:$J$157,BN$111,NOV!$W21:$Z21)</f>
        <v>0</v>
      </c>
      <c r="BO432" s="446">
        <f>SUMIF(NOV!$G$157:$J$157,BO$111,NOV!$R21:$U21)+SUMIF(NOV!$G$157:$J$157,BO$111,NOV!$W21:$Z21)</f>
        <v>0</v>
      </c>
      <c r="BP432" s="446">
        <f>SUMIF(NOV!$G$157:$J$157,BP$111,NOV!$R21:$U21)+SUMIF(NOV!$G$157:$J$157,BP$111,NOV!$W21:$Z21)</f>
        <v>0</v>
      </c>
      <c r="BQ432" s="448">
        <f>SUMIF(NOV!$G$157:$J$157,BQ$111,NOV!$R21:$U21)+SUMIF(NOV!$G$157:$J$157,BQ$111,NOV!$W21:$Z21)</f>
        <v>0</v>
      </c>
      <c r="BR432" s="571"/>
      <c r="BS432" s="446"/>
      <c r="BT432" s="448"/>
      <c r="BU432" s="470"/>
      <c r="BV432" s="445">
        <f>SUMIF(NOV!$G$158:$J$158,BV$111,NOV!$R21:$U21)+SUMIF(NOV!$G$158:$J$158,BV$111,NOV!$W21:$Z21)</f>
        <v>0</v>
      </c>
      <c r="BW432" s="446">
        <f>SUMIF(NOV!$G$158:$J$158,BW$111,NOV!$R21:$U21)+SUMIF(NOV!$G$158:$J$158,BW$111,NOV!$W21:$Z21)</f>
        <v>0</v>
      </c>
      <c r="BX432" s="446">
        <f>SUMIF(NOV!$G$158:$J$158,BX$111,NOV!$R21:$U21)+SUMIF(NOV!$G$158:$J$158,BX$111,NOV!$W21:$Z21)</f>
        <v>0</v>
      </c>
      <c r="BY432" s="446">
        <f>SUMIF(NOV!$G$158:$J$158,BY$111,NOV!$R21:$U21)+SUMIF(NOV!$G$158:$J$158,BY$111,NOV!$W21:$Z21)</f>
        <v>0</v>
      </c>
      <c r="BZ432" s="446">
        <f>SUMIF(NOV!$G$158:$J$158,BZ$111,NOV!$R21:$U21)+SUMIF(NOV!$G$158:$J$158,BZ$111,NOV!$W21:$Z21)</f>
        <v>0</v>
      </c>
      <c r="CA432" s="446">
        <f>SUMIF(NOV!$G$158:$J$158,CA$111,NOV!$R21:$U21)+SUMIF(NOV!$G$158:$J$158,CA$111,NOV!$W21:$Z21)</f>
        <v>0</v>
      </c>
      <c r="CB432" s="448">
        <f>SUMIF(NOV!$G$158:$J$158,CB$111,NOV!$R21:$U21)+SUMIF(NOV!$G$158:$J$158,CB$111,NOV!$W21:$Z21)</f>
        <v>0</v>
      </c>
      <c r="CC432" s="571"/>
      <c r="CD432" s="448"/>
      <c r="CE432" s="92">
        <f t="shared" si="297"/>
        <v>0</v>
      </c>
      <c r="CF432" s="92">
        <f t="shared" si="298"/>
        <v>0</v>
      </c>
      <c r="CG432" s="151" t="str">
        <f t="shared" si="302"/>
        <v/>
      </c>
      <c r="CH432" s="92">
        <f t="shared" si="287"/>
        <v>0</v>
      </c>
      <c r="CI432" s="92" t="str">
        <f t="shared" si="299"/>
        <v/>
      </c>
      <c r="CJ432" s="1100">
        <f>NOV!AM21</f>
        <v>0</v>
      </c>
      <c r="CK432" s="445">
        <f>SUMIF(NOV!$G$155:$J$155,CK$112,NOV!$AN21:$AQ21)</f>
        <v>0</v>
      </c>
      <c r="CL432" s="446">
        <f>SUMIF(NOV!$G$155:$J$155,CL$112,NOV!$AN21:$AQ21)</f>
        <v>0</v>
      </c>
      <c r="CM432" s="447">
        <f>SUMIF(NOV!$G$155:$J$155,CM$112,NOV!$AN21:$AQ21)</f>
        <v>0</v>
      </c>
      <c r="CN432" s="448">
        <f>SUMIF(NOV!$G$155:$J$155,CN$112,NOV!$AN21:$AQ21)</f>
        <v>0</v>
      </c>
      <c r="CO432" s="1100">
        <f>NOV!AS21</f>
        <v>0</v>
      </c>
      <c r="CP432" s="445">
        <f>NOV!AT21</f>
        <v>0</v>
      </c>
      <c r="CQ432" s="446">
        <f>NOV!AU21</f>
        <v>0</v>
      </c>
      <c r="CR432" s="447">
        <f>NOV!AV21</f>
        <v>0</v>
      </c>
      <c r="CS432" s="448">
        <f>NOV!AW21</f>
        <v>0</v>
      </c>
      <c r="CT432" s="1100">
        <f>NOV!AY21</f>
        <v>0</v>
      </c>
      <c r="CU432" s="2"/>
    </row>
    <row r="433" spans="1:99" ht="14.25" hidden="1" customHeight="1" x14ac:dyDescent="0.2">
      <c r="A433" s="2"/>
      <c r="B433" s="151">
        <f t="shared" si="288"/>
        <v>45611</v>
      </c>
      <c r="C433" s="223">
        <f>IF(AND(E433&gt;(N$495-1),E433&lt;(R$495+1)),W$485,IF(ISERROR(HLOOKUP(E433,$N$488:$U$488,1,FALSE)),HLOOKUP(WEEKDAY(E433,2),IMPOSTAZIONI!$C$51:$P$56,6,FALSE),$W$484))</f>
        <v>0</v>
      </c>
      <c r="D433" s="103" t="str">
        <f t="shared" si="289"/>
        <v/>
      </c>
      <c r="E433" s="2380">
        <f t="shared" si="300"/>
        <v>45611</v>
      </c>
      <c r="F433" s="2381"/>
      <c r="G433" s="2325" t="str">
        <f>NOV!E22</f>
        <v xml:space="preserve">attiva trim.  </v>
      </c>
      <c r="H433" s="2326"/>
      <c r="I433" s="2327"/>
      <c r="J433" s="479" t="str">
        <f t="shared" si="285"/>
        <v/>
      </c>
      <c r="K433" s="480"/>
      <c r="L433" s="2319">
        <f t="shared" si="301"/>
        <v>46</v>
      </c>
      <c r="M433" s="2320"/>
      <c r="N433" s="478"/>
      <c r="O433" s="478"/>
      <c r="P433" s="478"/>
      <c r="Q433" s="2315">
        <f t="shared" si="290"/>
        <v>45611</v>
      </c>
      <c r="R433" s="2315"/>
      <c r="S433" s="478"/>
      <c r="T433" s="140">
        <f t="shared" si="291"/>
        <v>1</v>
      </c>
      <c r="U433" s="478"/>
      <c r="V433" s="478"/>
      <c r="W433" s="478"/>
      <c r="X433" s="478"/>
      <c r="Y433" s="478"/>
      <c r="Z433" s="478"/>
      <c r="AA433" s="478"/>
      <c r="AB433" s="478"/>
      <c r="AC433" s="478"/>
      <c r="AD433" s="478"/>
      <c r="AE433" s="478"/>
      <c r="AF433" s="478"/>
      <c r="AG433" s="140">
        <f t="shared" si="292"/>
        <v>0</v>
      </c>
      <c r="AH433" s="92" t="str">
        <f t="shared" si="293"/>
        <v/>
      </c>
      <c r="AI433" s="131">
        <f t="shared" si="294"/>
        <v>0</v>
      </c>
      <c r="AJ433" s="2"/>
      <c r="AK433" s="92">
        <f>IF(G433=G$481,0,IF(OR(G433&lt;&gt;0,CJ433&lt;&gt;0,C433="L"),COUNTIF(AK$114:AK432,"&gt;0")+1,0))</f>
        <v>0</v>
      </c>
      <c r="AL433" s="92" t="str">
        <f t="shared" si="295"/>
        <v/>
      </c>
      <c r="AM433" s="92" t="str">
        <f t="shared" si="296"/>
        <v/>
      </c>
      <c r="AN433" s="131">
        <f t="shared" si="286"/>
        <v>0</v>
      </c>
      <c r="AO433" s="447">
        <f>SUM(NOV!W22:Z22)</f>
        <v>0</v>
      </c>
      <c r="AP433" s="445">
        <f>SUMIF(NOV!$G$155:$J$155,AP$112,NOV!$R22:$U22)</f>
        <v>0</v>
      </c>
      <c r="AQ433" s="446">
        <f>SUMIF(NOV!$G$155:$J$155,AQ$112,NOV!$R22:$U22)</f>
        <v>0</v>
      </c>
      <c r="AR433" s="447">
        <f>SUMIF(NOV!$G$155:$J$155,AR$112,NOV!$R22:$U22)</f>
        <v>0</v>
      </c>
      <c r="AS433" s="448">
        <f>SUMIF(NOV!$G$155:$J$155,AS$112,NOV!$R22:$U22)</f>
        <v>0</v>
      </c>
      <c r="AT433" s="449">
        <f>NOV!AG22</f>
        <v>0</v>
      </c>
      <c r="AU433" s="445">
        <f>NOV!AH22</f>
        <v>0</v>
      </c>
      <c r="AV433" s="446">
        <f>NOV!AI22</f>
        <v>0</v>
      </c>
      <c r="AW433" s="447">
        <f>NOV!AJ22</f>
        <v>0</v>
      </c>
      <c r="AX433" s="448">
        <f>NOV!AK22</f>
        <v>0</v>
      </c>
      <c r="AY433" s="445">
        <f>SUMIF(NOV!$G$152:$J$152,"&gt;0",NOV!$W22:$Z22)</f>
        <v>0</v>
      </c>
      <c r="AZ433" s="1063">
        <f>SUM(NOV!AB22:AE22)</f>
        <v>0</v>
      </c>
      <c r="BA433" s="445">
        <f>SUMIF(NOV!$G$159:$J$159,BA$111,NOV!$R22:$U22)+SUMIF(NOV!$G$159:$J$159,BA$111,NOV!$W22:$Z22)</f>
        <v>0</v>
      </c>
      <c r="BB433" s="446">
        <f>SUMIF(NOV!$G$159:$J$159,BB$111,NOV!$R22:$U22)+SUMIF(NOV!$G$159:$J$159,BB$111,NOV!$W22:$Z22)</f>
        <v>0</v>
      </c>
      <c r="BC433" s="446">
        <f>SUMIF(NOV!$G$159:$J$159,BC$111,NOV!$R22:$U22)+SUMIF(NOV!$G$159:$J$159,BC$111,NOV!$W22:$Z22)</f>
        <v>0</v>
      </c>
      <c r="BD433" s="446">
        <f>SUMIF(NOV!$G$159:$J$159,BD$111,NOV!$R22:$U22)+SUMIF(NOV!$G$159:$J$159,BD$111,NOV!$W22:$Z22)</f>
        <v>0</v>
      </c>
      <c r="BE433" s="446">
        <f>SUMIF(NOV!$G$159:$J$159,BE$111,NOV!$R22:$U22)+SUMIF(NOV!$G$159:$J$159,BE$111,NOV!$W22:$Z22)</f>
        <v>0</v>
      </c>
      <c r="BF433" s="446">
        <f>SUMIF(NOV!$G$159:$J$159,BF$111,NOV!$R22:$U22)+SUMIF(NOV!$G$159:$J$159,BF$111,NOV!$W22:$Z22)</f>
        <v>0</v>
      </c>
      <c r="BG433" s="448">
        <f>SUMIF(NOV!$G$159:$J$159,BG$111,NOV!$R22:$U22)+SUMIF(NOV!$G$159:$J$159,BG$111,NOV!$W22:$Z22)</f>
        <v>0</v>
      </c>
      <c r="BH433" s="571"/>
      <c r="BI433" s="448"/>
      <c r="BJ433" s="470"/>
      <c r="BK433" s="445">
        <f>SUMIF(NOV!$G$157:$J$157,BK$111,NOV!$R22:$U22)+SUMIF(NOV!$G$157:$J$157,BK$111,NOV!$W22:$Z22)</f>
        <v>0</v>
      </c>
      <c r="BL433" s="446">
        <f>SUMIF(NOV!$G$157:$J$157,BL$111,NOV!$R22:$U22)+SUMIF(NOV!$G$157:$J$157,BL$111,NOV!$W22:$Z22)</f>
        <v>0</v>
      </c>
      <c r="BM433" s="446">
        <f>SUMIF(NOV!$G$157:$J$157,BM$111,NOV!$R22:$U22)+SUMIF(NOV!$G$157:$J$157,BM$111,NOV!$W22:$Z22)</f>
        <v>0</v>
      </c>
      <c r="BN433" s="446">
        <f>SUMIF(NOV!$G$157:$J$157,BN$111,NOV!$R22:$U22)+SUMIF(NOV!$G$157:$J$157,BN$111,NOV!$W22:$Z22)</f>
        <v>0</v>
      </c>
      <c r="BO433" s="446">
        <f>SUMIF(NOV!$G$157:$J$157,BO$111,NOV!$R22:$U22)+SUMIF(NOV!$G$157:$J$157,BO$111,NOV!$W22:$Z22)</f>
        <v>0</v>
      </c>
      <c r="BP433" s="446">
        <f>SUMIF(NOV!$G$157:$J$157,BP$111,NOV!$R22:$U22)+SUMIF(NOV!$G$157:$J$157,BP$111,NOV!$W22:$Z22)</f>
        <v>0</v>
      </c>
      <c r="BQ433" s="448">
        <f>SUMIF(NOV!$G$157:$J$157,BQ$111,NOV!$R22:$U22)+SUMIF(NOV!$G$157:$J$157,BQ$111,NOV!$W22:$Z22)</f>
        <v>0</v>
      </c>
      <c r="BR433" s="571"/>
      <c r="BS433" s="446"/>
      <c r="BT433" s="448"/>
      <c r="BU433" s="470"/>
      <c r="BV433" s="445">
        <f>SUMIF(NOV!$G$158:$J$158,BV$111,NOV!$R22:$U22)+SUMIF(NOV!$G$158:$J$158,BV$111,NOV!$W22:$Z22)</f>
        <v>0</v>
      </c>
      <c r="BW433" s="446">
        <f>SUMIF(NOV!$G$158:$J$158,BW$111,NOV!$R22:$U22)+SUMIF(NOV!$G$158:$J$158,BW$111,NOV!$W22:$Z22)</f>
        <v>0</v>
      </c>
      <c r="BX433" s="446">
        <f>SUMIF(NOV!$G$158:$J$158,BX$111,NOV!$R22:$U22)+SUMIF(NOV!$G$158:$J$158,BX$111,NOV!$W22:$Z22)</f>
        <v>0</v>
      </c>
      <c r="BY433" s="446">
        <f>SUMIF(NOV!$G$158:$J$158,BY$111,NOV!$R22:$U22)+SUMIF(NOV!$G$158:$J$158,BY$111,NOV!$W22:$Z22)</f>
        <v>0</v>
      </c>
      <c r="BZ433" s="446">
        <f>SUMIF(NOV!$G$158:$J$158,BZ$111,NOV!$R22:$U22)+SUMIF(NOV!$G$158:$J$158,BZ$111,NOV!$W22:$Z22)</f>
        <v>0</v>
      </c>
      <c r="CA433" s="446">
        <f>SUMIF(NOV!$G$158:$J$158,CA$111,NOV!$R22:$U22)+SUMIF(NOV!$G$158:$J$158,CA$111,NOV!$W22:$Z22)</f>
        <v>0</v>
      </c>
      <c r="CB433" s="448">
        <f>SUMIF(NOV!$G$158:$J$158,CB$111,NOV!$R22:$U22)+SUMIF(NOV!$G$158:$J$158,CB$111,NOV!$W22:$Z22)</f>
        <v>0</v>
      </c>
      <c r="CC433" s="571"/>
      <c r="CD433" s="448"/>
      <c r="CE433" s="92">
        <f t="shared" si="297"/>
        <v>0</v>
      </c>
      <c r="CF433" s="92">
        <f t="shared" si="298"/>
        <v>0</v>
      </c>
      <c r="CG433" s="151" t="str">
        <f t="shared" si="302"/>
        <v/>
      </c>
      <c r="CH433" s="92">
        <f t="shared" si="287"/>
        <v>0</v>
      </c>
      <c r="CI433" s="92" t="str">
        <f t="shared" si="299"/>
        <v/>
      </c>
      <c r="CJ433" s="1100">
        <f>NOV!AM22</f>
        <v>0</v>
      </c>
      <c r="CK433" s="445">
        <f>SUMIF(NOV!$G$155:$J$155,CK$112,NOV!$AN22:$AQ22)</f>
        <v>0</v>
      </c>
      <c r="CL433" s="446">
        <f>SUMIF(NOV!$G$155:$J$155,CL$112,NOV!$AN22:$AQ22)</f>
        <v>0</v>
      </c>
      <c r="CM433" s="447">
        <f>SUMIF(NOV!$G$155:$J$155,CM$112,NOV!$AN22:$AQ22)</f>
        <v>0</v>
      </c>
      <c r="CN433" s="448">
        <f>SUMIF(NOV!$G$155:$J$155,CN$112,NOV!$AN22:$AQ22)</f>
        <v>0</v>
      </c>
      <c r="CO433" s="1100">
        <f>NOV!AS22</f>
        <v>0</v>
      </c>
      <c r="CP433" s="445">
        <f>NOV!AT22</f>
        <v>0</v>
      </c>
      <c r="CQ433" s="446">
        <f>NOV!AU22</f>
        <v>0</v>
      </c>
      <c r="CR433" s="447">
        <f>NOV!AV22</f>
        <v>0</v>
      </c>
      <c r="CS433" s="448">
        <f>NOV!AW22</f>
        <v>0</v>
      </c>
      <c r="CT433" s="1100">
        <f>NOV!AY22</f>
        <v>0</v>
      </c>
      <c r="CU433" s="2"/>
    </row>
    <row r="434" spans="1:99" ht="14.25" hidden="1" customHeight="1" x14ac:dyDescent="0.2">
      <c r="A434" s="2"/>
      <c r="B434" s="151">
        <f t="shared" si="288"/>
        <v>45612</v>
      </c>
      <c r="C434" s="223">
        <f>IF(AND(E434&gt;(N$495-1),E434&lt;(R$495+1)),W$485,IF(ISERROR(HLOOKUP(E434,$N$488:$U$488,1,FALSE)),HLOOKUP(WEEKDAY(E434,2),IMPOSTAZIONI!$C$51:$P$56,6,FALSE),$W$484))</f>
        <v>0</v>
      </c>
      <c r="D434" s="103" t="str">
        <f t="shared" si="289"/>
        <v/>
      </c>
      <c r="E434" s="2380">
        <f t="shared" si="300"/>
        <v>45612</v>
      </c>
      <c r="F434" s="2381"/>
      <c r="G434" s="2325" t="str">
        <f>NOV!E23</f>
        <v xml:space="preserve">attiva trim.  </v>
      </c>
      <c r="H434" s="2326"/>
      <c r="I434" s="2327"/>
      <c r="J434" s="479" t="str">
        <f t="shared" ref="J434:J479" si="303">IF(E434=T$5,"&gt;","")</f>
        <v/>
      </c>
      <c r="K434" s="480"/>
      <c r="L434" s="2319">
        <f t="shared" si="301"/>
        <v>46</v>
      </c>
      <c r="M434" s="2320"/>
      <c r="N434" s="478"/>
      <c r="O434" s="478"/>
      <c r="P434" s="478"/>
      <c r="Q434" s="2315">
        <f t="shared" si="290"/>
        <v>45612</v>
      </c>
      <c r="R434" s="2315"/>
      <c r="S434" s="478"/>
      <c r="T434" s="140">
        <f t="shared" si="291"/>
        <v>1</v>
      </c>
      <c r="U434" s="478"/>
      <c r="V434" s="478"/>
      <c r="W434" s="478"/>
      <c r="X434" s="478"/>
      <c r="Y434" s="478"/>
      <c r="Z434" s="478"/>
      <c r="AA434" s="478"/>
      <c r="AB434" s="478"/>
      <c r="AC434" s="478"/>
      <c r="AD434" s="478"/>
      <c r="AE434" s="478"/>
      <c r="AF434" s="478"/>
      <c r="AG434" s="140">
        <f t="shared" si="292"/>
        <v>0</v>
      </c>
      <c r="AH434" s="92" t="str">
        <f t="shared" si="293"/>
        <v/>
      </c>
      <c r="AI434" s="131">
        <f t="shared" si="294"/>
        <v>0</v>
      </c>
      <c r="AJ434" s="2"/>
      <c r="AK434" s="92">
        <f>IF(G434=G$481,0,IF(OR(G434&lt;&gt;0,CJ434&lt;&gt;0,C434="L"),COUNTIF(AK$114:AK433,"&gt;0")+1,0))</f>
        <v>0</v>
      </c>
      <c r="AL434" s="92" t="str">
        <f t="shared" si="295"/>
        <v/>
      </c>
      <c r="AM434" s="92" t="str">
        <f t="shared" si="296"/>
        <v/>
      </c>
      <c r="AN434" s="131">
        <f t="shared" ref="AN434:AN479" si="304">IF(AND(E434&gt;(AN$111-1),E434&lt;(AN$112+1)),C434,0)</f>
        <v>0</v>
      </c>
      <c r="AO434" s="447">
        <f>SUM(NOV!W23:Z23)</f>
        <v>0</v>
      </c>
      <c r="AP434" s="445">
        <f>SUMIF(NOV!$G$155:$J$155,AP$112,NOV!$R23:$U23)</f>
        <v>0</v>
      </c>
      <c r="AQ434" s="446">
        <f>SUMIF(NOV!$G$155:$J$155,AQ$112,NOV!$R23:$U23)</f>
        <v>0</v>
      </c>
      <c r="AR434" s="447">
        <f>SUMIF(NOV!$G$155:$J$155,AR$112,NOV!$R23:$U23)</f>
        <v>0</v>
      </c>
      <c r="AS434" s="448">
        <f>SUMIF(NOV!$G$155:$J$155,AS$112,NOV!$R23:$U23)</f>
        <v>0</v>
      </c>
      <c r="AT434" s="449">
        <f>NOV!AG23</f>
        <v>0</v>
      </c>
      <c r="AU434" s="445">
        <f>NOV!AH23</f>
        <v>0</v>
      </c>
      <c r="AV434" s="446">
        <f>NOV!AI23</f>
        <v>0</v>
      </c>
      <c r="AW434" s="447">
        <f>NOV!AJ23</f>
        <v>0</v>
      </c>
      <c r="AX434" s="448">
        <f>NOV!AK23</f>
        <v>0</v>
      </c>
      <c r="AY434" s="445">
        <f>SUMIF(NOV!$G$152:$J$152,"&gt;0",NOV!$W23:$Z23)</f>
        <v>0</v>
      </c>
      <c r="AZ434" s="1063">
        <f>SUM(NOV!AB23:AE23)</f>
        <v>0</v>
      </c>
      <c r="BA434" s="445">
        <f>SUMIF(NOV!$G$159:$J$159,BA$111,NOV!$R23:$U23)+SUMIF(NOV!$G$159:$J$159,BA$111,NOV!$W23:$Z23)</f>
        <v>0</v>
      </c>
      <c r="BB434" s="446">
        <f>SUMIF(NOV!$G$159:$J$159,BB$111,NOV!$R23:$U23)+SUMIF(NOV!$G$159:$J$159,BB$111,NOV!$W23:$Z23)</f>
        <v>0</v>
      </c>
      <c r="BC434" s="446">
        <f>SUMIF(NOV!$G$159:$J$159,BC$111,NOV!$R23:$U23)+SUMIF(NOV!$G$159:$J$159,BC$111,NOV!$W23:$Z23)</f>
        <v>0</v>
      </c>
      <c r="BD434" s="446">
        <f>SUMIF(NOV!$G$159:$J$159,BD$111,NOV!$R23:$U23)+SUMIF(NOV!$G$159:$J$159,BD$111,NOV!$W23:$Z23)</f>
        <v>0</v>
      </c>
      <c r="BE434" s="446">
        <f>SUMIF(NOV!$G$159:$J$159,BE$111,NOV!$R23:$U23)+SUMIF(NOV!$G$159:$J$159,BE$111,NOV!$W23:$Z23)</f>
        <v>0</v>
      </c>
      <c r="BF434" s="446">
        <f>SUMIF(NOV!$G$159:$J$159,BF$111,NOV!$R23:$U23)+SUMIF(NOV!$G$159:$J$159,BF$111,NOV!$W23:$Z23)</f>
        <v>0</v>
      </c>
      <c r="BG434" s="448">
        <f>SUMIF(NOV!$G$159:$J$159,BG$111,NOV!$R23:$U23)+SUMIF(NOV!$G$159:$J$159,BG$111,NOV!$W23:$Z23)</f>
        <v>0</v>
      </c>
      <c r="BH434" s="571"/>
      <c r="BI434" s="448"/>
      <c r="BJ434" s="470"/>
      <c r="BK434" s="445">
        <f>SUMIF(NOV!$G$157:$J$157,BK$111,NOV!$R23:$U23)+SUMIF(NOV!$G$157:$J$157,BK$111,NOV!$W23:$Z23)</f>
        <v>0</v>
      </c>
      <c r="BL434" s="446">
        <f>SUMIF(NOV!$G$157:$J$157,BL$111,NOV!$R23:$U23)+SUMIF(NOV!$G$157:$J$157,BL$111,NOV!$W23:$Z23)</f>
        <v>0</v>
      </c>
      <c r="BM434" s="446">
        <f>SUMIF(NOV!$G$157:$J$157,BM$111,NOV!$R23:$U23)+SUMIF(NOV!$G$157:$J$157,BM$111,NOV!$W23:$Z23)</f>
        <v>0</v>
      </c>
      <c r="BN434" s="446">
        <f>SUMIF(NOV!$G$157:$J$157,BN$111,NOV!$R23:$U23)+SUMIF(NOV!$G$157:$J$157,BN$111,NOV!$W23:$Z23)</f>
        <v>0</v>
      </c>
      <c r="BO434" s="446">
        <f>SUMIF(NOV!$G$157:$J$157,BO$111,NOV!$R23:$U23)+SUMIF(NOV!$G$157:$J$157,BO$111,NOV!$W23:$Z23)</f>
        <v>0</v>
      </c>
      <c r="BP434" s="446">
        <f>SUMIF(NOV!$G$157:$J$157,BP$111,NOV!$R23:$U23)+SUMIF(NOV!$G$157:$J$157,BP$111,NOV!$W23:$Z23)</f>
        <v>0</v>
      </c>
      <c r="BQ434" s="448">
        <f>SUMIF(NOV!$G$157:$J$157,BQ$111,NOV!$R23:$U23)+SUMIF(NOV!$G$157:$J$157,BQ$111,NOV!$W23:$Z23)</f>
        <v>0</v>
      </c>
      <c r="BR434" s="571"/>
      <c r="BS434" s="446"/>
      <c r="BT434" s="448"/>
      <c r="BU434" s="470"/>
      <c r="BV434" s="445">
        <f>SUMIF(NOV!$G$158:$J$158,BV$111,NOV!$R23:$U23)+SUMIF(NOV!$G$158:$J$158,BV$111,NOV!$W23:$Z23)</f>
        <v>0</v>
      </c>
      <c r="BW434" s="446">
        <f>SUMIF(NOV!$G$158:$J$158,BW$111,NOV!$R23:$U23)+SUMIF(NOV!$G$158:$J$158,BW$111,NOV!$W23:$Z23)</f>
        <v>0</v>
      </c>
      <c r="BX434" s="446">
        <f>SUMIF(NOV!$G$158:$J$158,BX$111,NOV!$R23:$U23)+SUMIF(NOV!$G$158:$J$158,BX$111,NOV!$W23:$Z23)</f>
        <v>0</v>
      </c>
      <c r="BY434" s="446">
        <f>SUMIF(NOV!$G$158:$J$158,BY$111,NOV!$R23:$U23)+SUMIF(NOV!$G$158:$J$158,BY$111,NOV!$W23:$Z23)</f>
        <v>0</v>
      </c>
      <c r="BZ434" s="446">
        <f>SUMIF(NOV!$G$158:$J$158,BZ$111,NOV!$R23:$U23)+SUMIF(NOV!$G$158:$J$158,BZ$111,NOV!$W23:$Z23)</f>
        <v>0</v>
      </c>
      <c r="CA434" s="446">
        <f>SUMIF(NOV!$G$158:$J$158,CA$111,NOV!$R23:$U23)+SUMIF(NOV!$G$158:$J$158,CA$111,NOV!$W23:$Z23)</f>
        <v>0</v>
      </c>
      <c r="CB434" s="448">
        <f>SUMIF(NOV!$G$158:$J$158,CB$111,NOV!$R23:$U23)+SUMIF(NOV!$G$158:$J$158,CB$111,NOV!$W23:$Z23)</f>
        <v>0</v>
      </c>
      <c r="CC434" s="571"/>
      <c r="CD434" s="448"/>
      <c r="CE434" s="92">
        <f t="shared" si="297"/>
        <v>0</v>
      </c>
      <c r="CF434" s="92">
        <f t="shared" si="298"/>
        <v>0</v>
      </c>
      <c r="CG434" s="151" t="str">
        <f t="shared" si="302"/>
        <v/>
      </c>
      <c r="CH434" s="92">
        <f t="shared" ref="CH434:CH479" si="305">IF(CI434="X",AK434,0)</f>
        <v>0</v>
      </c>
      <c r="CI434" s="92" t="str">
        <f t="shared" si="299"/>
        <v/>
      </c>
      <c r="CJ434" s="1100">
        <f>NOV!AM23</f>
        <v>0</v>
      </c>
      <c r="CK434" s="445">
        <f>SUMIF(NOV!$G$155:$J$155,CK$112,NOV!$AN23:$AQ23)</f>
        <v>0</v>
      </c>
      <c r="CL434" s="446">
        <f>SUMIF(NOV!$G$155:$J$155,CL$112,NOV!$AN23:$AQ23)</f>
        <v>0</v>
      </c>
      <c r="CM434" s="447">
        <f>SUMIF(NOV!$G$155:$J$155,CM$112,NOV!$AN23:$AQ23)</f>
        <v>0</v>
      </c>
      <c r="CN434" s="448">
        <f>SUMIF(NOV!$G$155:$J$155,CN$112,NOV!$AN23:$AQ23)</f>
        <v>0</v>
      </c>
      <c r="CO434" s="1100">
        <f>NOV!AS23</f>
        <v>0</v>
      </c>
      <c r="CP434" s="445">
        <f>NOV!AT23</f>
        <v>0</v>
      </c>
      <c r="CQ434" s="446">
        <f>NOV!AU23</f>
        <v>0</v>
      </c>
      <c r="CR434" s="447">
        <f>NOV!AV23</f>
        <v>0</v>
      </c>
      <c r="CS434" s="448">
        <f>NOV!AW23</f>
        <v>0</v>
      </c>
      <c r="CT434" s="1100">
        <f>NOV!AY23</f>
        <v>0</v>
      </c>
      <c r="CU434" s="2"/>
    </row>
    <row r="435" spans="1:99" ht="14.25" hidden="1" customHeight="1" x14ac:dyDescent="0.2">
      <c r="A435" s="2"/>
      <c r="B435" s="151">
        <f t="shared" ref="B435:B479" si="306">E435</f>
        <v>45613</v>
      </c>
      <c r="C435" s="223">
        <f>IF(AND(E435&gt;(N$495-1),E435&lt;(R$495+1)),W$485,IF(ISERROR(HLOOKUP(E435,$N$488:$U$488,1,FALSE)),HLOOKUP(WEEKDAY(E435,2),IMPOSTAZIONI!$C$51:$P$56,6,FALSE),$W$484))</f>
        <v>0</v>
      </c>
      <c r="D435" s="103" t="str">
        <f t="shared" ref="D435:D479" si="307">IF(C435="L",MONTH(E435),"")</f>
        <v/>
      </c>
      <c r="E435" s="2380">
        <f t="shared" si="300"/>
        <v>45613</v>
      </c>
      <c r="F435" s="2381"/>
      <c r="G435" s="2325" t="str">
        <f>NOV!E24</f>
        <v xml:space="preserve">attiva trim.  </v>
      </c>
      <c r="H435" s="2326"/>
      <c r="I435" s="2327"/>
      <c r="J435" s="479" t="str">
        <f t="shared" si="303"/>
        <v/>
      </c>
      <c r="K435" s="480"/>
      <c r="L435" s="2321">
        <f t="shared" si="301"/>
        <v>46</v>
      </c>
      <c r="M435" s="2322"/>
      <c r="N435" s="478"/>
      <c r="O435" s="478"/>
      <c r="P435" s="478"/>
      <c r="Q435" s="2315">
        <f t="shared" ref="Q435:Q479" si="308">E435</f>
        <v>45613</v>
      </c>
      <c r="R435" s="2315"/>
      <c r="S435" s="478"/>
      <c r="T435" s="140">
        <f t="shared" ref="T435:T479" si="309">IF(OR(G435&lt;&gt;0,CJ435&lt;&gt;0),1,0)</f>
        <v>1</v>
      </c>
      <c r="U435" s="478"/>
      <c r="V435" s="478"/>
      <c r="W435" s="478"/>
      <c r="X435" s="478"/>
      <c r="Y435" s="478"/>
      <c r="Z435" s="478"/>
      <c r="AA435" s="478"/>
      <c r="AB435" s="478"/>
      <c r="AC435" s="478"/>
      <c r="AD435" s="478"/>
      <c r="AE435" s="478"/>
      <c r="AF435" s="478"/>
      <c r="AG435" s="140">
        <f t="shared" ref="AG435:AG479" si="310">IF(AND(L435&gt;(AG$110-1),L435&lt;(AG$111+1)),1,0)</f>
        <v>0</v>
      </c>
      <c r="AH435" s="92" t="str">
        <f t="shared" ref="AH435:AH479" si="311">IF(AK435=0,"",IF(AH$111=5,IF(AND(L435&gt;(AG$110-1),L435&lt;(AG$111+1)),"Y",""),""))</f>
        <v/>
      </c>
      <c r="AI435" s="131">
        <f t="shared" ref="AI435:AI479" si="312">IF(AND($L435&gt;(AI$111-1),$L435&lt;(AI$112+1)),$C435,0)</f>
        <v>0</v>
      </c>
      <c r="AJ435" s="2"/>
      <c r="AK435" s="92">
        <f>IF(G435=G$481,0,IF(OR(G435&lt;&gt;0,CJ435&lt;&gt;0,C435="L"),COUNTIF(AK$114:AK434,"&gt;0")+1,0))</f>
        <v>0</v>
      </c>
      <c r="AL435" s="92" t="str">
        <f t="shared" ref="AL435:AL479" si="313">IF(AL$111=5,AH435,IF(AK435=0,"",IF(AL$111=1,IF(AND(AK435&gt;($CF$483-1),AK435&lt;($CF$484+1)),"Y",""),IF(AL$111=2,IF(AL$110=MONTH(E435),"Y",""),IF(AL$111=3,"Y",IF(AL$111=4,IF(AND(E435&gt;(AO$111-1),E435&lt;(AO$112+1)),"Y",""),IF(AL$111=5,IF(AG435=1,"Y",""),"")))))))</f>
        <v/>
      </c>
      <c r="AM435" s="92" t="str">
        <f t="shared" ref="AM435:AM479" si="314">IF(AM$109=AM$108,CI435,IF(AND(AN$111&gt;0,AN$112&gt;0),IF(AND(E435&gt;(AN$111-1),E435&lt;(AN$112+1),OR(AO435&lt;&gt;0,AN435=AM$111)),"X",""),""))</f>
        <v/>
      </c>
      <c r="AN435" s="131">
        <f t="shared" si="304"/>
        <v>0</v>
      </c>
      <c r="AO435" s="447">
        <f>SUM(NOV!W24:Z24)</f>
        <v>0</v>
      </c>
      <c r="AP435" s="445">
        <f>SUMIF(NOV!$G$155:$J$155,AP$112,NOV!$R24:$U24)</f>
        <v>0</v>
      </c>
      <c r="AQ435" s="446">
        <f>SUMIF(NOV!$G$155:$J$155,AQ$112,NOV!$R24:$U24)</f>
        <v>0</v>
      </c>
      <c r="AR435" s="447">
        <f>SUMIF(NOV!$G$155:$J$155,AR$112,NOV!$R24:$U24)</f>
        <v>0</v>
      </c>
      <c r="AS435" s="448">
        <f>SUMIF(NOV!$G$155:$J$155,AS$112,NOV!$R24:$U24)</f>
        <v>0</v>
      </c>
      <c r="AT435" s="449">
        <f>NOV!AG24</f>
        <v>0</v>
      </c>
      <c r="AU435" s="445">
        <f>NOV!AH24</f>
        <v>0</v>
      </c>
      <c r="AV435" s="446">
        <f>NOV!AI24</f>
        <v>0</v>
      </c>
      <c r="AW435" s="447">
        <f>NOV!AJ24</f>
        <v>0</v>
      </c>
      <c r="AX435" s="448">
        <f>NOV!AK24</f>
        <v>0</v>
      </c>
      <c r="AY435" s="445">
        <f>SUMIF(NOV!$G$152:$J$152,"&gt;0",NOV!$W24:$Z24)</f>
        <v>0</v>
      </c>
      <c r="AZ435" s="1063">
        <f>SUM(NOV!AB24:AE24)</f>
        <v>0</v>
      </c>
      <c r="BA435" s="445">
        <f>SUMIF(NOV!$G$159:$J$159,BA$111,NOV!$R24:$U24)+SUMIF(NOV!$G$159:$J$159,BA$111,NOV!$W24:$Z24)</f>
        <v>0</v>
      </c>
      <c r="BB435" s="446">
        <f>SUMIF(NOV!$G$159:$J$159,BB$111,NOV!$R24:$U24)+SUMIF(NOV!$G$159:$J$159,BB$111,NOV!$W24:$Z24)</f>
        <v>0</v>
      </c>
      <c r="BC435" s="446">
        <f>SUMIF(NOV!$G$159:$J$159,BC$111,NOV!$R24:$U24)+SUMIF(NOV!$G$159:$J$159,BC$111,NOV!$W24:$Z24)</f>
        <v>0</v>
      </c>
      <c r="BD435" s="446">
        <f>SUMIF(NOV!$G$159:$J$159,BD$111,NOV!$R24:$U24)+SUMIF(NOV!$G$159:$J$159,BD$111,NOV!$W24:$Z24)</f>
        <v>0</v>
      </c>
      <c r="BE435" s="446">
        <f>SUMIF(NOV!$G$159:$J$159,BE$111,NOV!$R24:$U24)+SUMIF(NOV!$G$159:$J$159,BE$111,NOV!$W24:$Z24)</f>
        <v>0</v>
      </c>
      <c r="BF435" s="446">
        <f>SUMIF(NOV!$G$159:$J$159,BF$111,NOV!$R24:$U24)+SUMIF(NOV!$G$159:$J$159,BF$111,NOV!$W24:$Z24)</f>
        <v>0</v>
      </c>
      <c r="BG435" s="448">
        <f>SUMIF(NOV!$G$159:$J$159,BG$111,NOV!$R24:$U24)+SUMIF(NOV!$G$159:$J$159,BG$111,NOV!$W24:$Z24)</f>
        <v>0</v>
      </c>
      <c r="BH435" s="571"/>
      <c r="BI435" s="448"/>
      <c r="BJ435" s="470"/>
      <c r="BK435" s="445">
        <f>SUMIF(NOV!$G$157:$J$157,BK$111,NOV!$R24:$U24)+SUMIF(NOV!$G$157:$J$157,BK$111,NOV!$W24:$Z24)</f>
        <v>0</v>
      </c>
      <c r="BL435" s="446">
        <f>SUMIF(NOV!$G$157:$J$157,BL$111,NOV!$R24:$U24)+SUMIF(NOV!$G$157:$J$157,BL$111,NOV!$W24:$Z24)</f>
        <v>0</v>
      </c>
      <c r="BM435" s="446">
        <f>SUMIF(NOV!$G$157:$J$157,BM$111,NOV!$R24:$U24)+SUMIF(NOV!$G$157:$J$157,BM$111,NOV!$W24:$Z24)</f>
        <v>0</v>
      </c>
      <c r="BN435" s="446">
        <f>SUMIF(NOV!$G$157:$J$157,BN$111,NOV!$R24:$U24)+SUMIF(NOV!$G$157:$J$157,BN$111,NOV!$W24:$Z24)</f>
        <v>0</v>
      </c>
      <c r="BO435" s="446">
        <f>SUMIF(NOV!$G$157:$J$157,BO$111,NOV!$R24:$U24)+SUMIF(NOV!$G$157:$J$157,BO$111,NOV!$W24:$Z24)</f>
        <v>0</v>
      </c>
      <c r="BP435" s="446">
        <f>SUMIF(NOV!$G$157:$J$157,BP$111,NOV!$R24:$U24)+SUMIF(NOV!$G$157:$J$157,BP$111,NOV!$W24:$Z24)</f>
        <v>0</v>
      </c>
      <c r="BQ435" s="448">
        <f>SUMIF(NOV!$G$157:$J$157,BQ$111,NOV!$R24:$U24)+SUMIF(NOV!$G$157:$J$157,BQ$111,NOV!$W24:$Z24)</f>
        <v>0</v>
      </c>
      <c r="BR435" s="571"/>
      <c r="BS435" s="446"/>
      <c r="BT435" s="448"/>
      <c r="BU435" s="470"/>
      <c r="BV435" s="445">
        <f>SUMIF(NOV!$G$158:$J$158,BV$111,NOV!$R24:$U24)+SUMIF(NOV!$G$158:$J$158,BV$111,NOV!$W24:$Z24)</f>
        <v>0</v>
      </c>
      <c r="BW435" s="446">
        <f>SUMIF(NOV!$G$158:$J$158,BW$111,NOV!$R24:$U24)+SUMIF(NOV!$G$158:$J$158,BW$111,NOV!$W24:$Z24)</f>
        <v>0</v>
      </c>
      <c r="BX435" s="446">
        <f>SUMIF(NOV!$G$158:$J$158,BX$111,NOV!$R24:$U24)+SUMIF(NOV!$G$158:$J$158,BX$111,NOV!$W24:$Z24)</f>
        <v>0</v>
      </c>
      <c r="BY435" s="446">
        <f>SUMIF(NOV!$G$158:$J$158,BY$111,NOV!$R24:$U24)+SUMIF(NOV!$G$158:$J$158,BY$111,NOV!$W24:$Z24)</f>
        <v>0</v>
      </c>
      <c r="BZ435" s="446">
        <f>SUMIF(NOV!$G$158:$J$158,BZ$111,NOV!$R24:$U24)+SUMIF(NOV!$G$158:$J$158,BZ$111,NOV!$W24:$Z24)</f>
        <v>0</v>
      </c>
      <c r="CA435" s="446">
        <f>SUMIF(NOV!$G$158:$J$158,CA$111,NOV!$R24:$U24)+SUMIF(NOV!$G$158:$J$158,CA$111,NOV!$W24:$Z24)</f>
        <v>0</v>
      </c>
      <c r="CB435" s="448">
        <f>SUMIF(NOV!$G$158:$J$158,CB$111,NOV!$R24:$U24)+SUMIF(NOV!$G$158:$J$158,CB$111,NOV!$W24:$Z24)</f>
        <v>0</v>
      </c>
      <c r="CC435" s="571"/>
      <c r="CD435" s="448"/>
      <c r="CE435" s="92">
        <f t="shared" ref="CE435:CE479" si="315">IF(AM435="X",AK435,0)</f>
        <v>0</v>
      </c>
      <c r="CF435" s="92">
        <f t="shared" ref="CF435:CF479" si="316">IF(AL435="Y",AK435,0)</f>
        <v>0</v>
      </c>
      <c r="CG435" s="151" t="str">
        <f t="shared" si="302"/>
        <v/>
      </c>
      <c r="CH435" s="92">
        <f t="shared" si="305"/>
        <v>0</v>
      </c>
      <c r="CI435" s="92" t="str">
        <f t="shared" ref="CI435:CI479" si="317">IF(AND(L435&gt;(AI$111-1),L435&lt;(AI$112+1),OR(AO435&lt;&gt;0,AI435=CI$111)),"X","")</f>
        <v/>
      </c>
      <c r="CJ435" s="1100">
        <f>NOV!AM24</f>
        <v>0</v>
      </c>
      <c r="CK435" s="445">
        <f>SUMIF(NOV!$G$155:$J$155,CK$112,NOV!$AN24:$AQ24)</f>
        <v>0</v>
      </c>
      <c r="CL435" s="446">
        <f>SUMIF(NOV!$G$155:$J$155,CL$112,NOV!$AN24:$AQ24)</f>
        <v>0</v>
      </c>
      <c r="CM435" s="447">
        <f>SUMIF(NOV!$G$155:$J$155,CM$112,NOV!$AN24:$AQ24)</f>
        <v>0</v>
      </c>
      <c r="CN435" s="448">
        <f>SUMIF(NOV!$G$155:$J$155,CN$112,NOV!$AN24:$AQ24)</f>
        <v>0</v>
      </c>
      <c r="CO435" s="1100">
        <f>NOV!AS24</f>
        <v>0</v>
      </c>
      <c r="CP435" s="445">
        <f>NOV!AT24</f>
        <v>0</v>
      </c>
      <c r="CQ435" s="446">
        <f>NOV!AU24</f>
        <v>0</v>
      </c>
      <c r="CR435" s="447">
        <f>NOV!AV24</f>
        <v>0</v>
      </c>
      <c r="CS435" s="448">
        <f>NOV!AW24</f>
        <v>0</v>
      </c>
      <c r="CT435" s="1100">
        <f>NOV!AY24</f>
        <v>0</v>
      </c>
      <c r="CU435" s="2"/>
    </row>
    <row r="436" spans="1:99" ht="14.25" hidden="1" customHeight="1" x14ac:dyDescent="0.2">
      <c r="A436" s="2"/>
      <c r="B436" s="151">
        <f t="shared" si="306"/>
        <v>45614</v>
      </c>
      <c r="C436" s="223">
        <f>IF(AND(E436&gt;(N$495-1),E436&lt;(R$495+1)),W$485,IF(ISERROR(HLOOKUP(E436,$N$488:$U$488,1,FALSE)),HLOOKUP(WEEKDAY(E436,2),IMPOSTAZIONI!$C$51:$P$56,6,FALSE),$W$484))</f>
        <v>0</v>
      </c>
      <c r="D436" s="103" t="str">
        <f t="shared" si="307"/>
        <v/>
      </c>
      <c r="E436" s="2380">
        <f t="shared" ref="E436:E479" si="318">E435+1</f>
        <v>45614</v>
      </c>
      <c r="F436" s="2381"/>
      <c r="G436" s="2325" t="str">
        <f>NOV!E25</f>
        <v xml:space="preserve">attiva trim.  </v>
      </c>
      <c r="H436" s="2326"/>
      <c r="I436" s="2327"/>
      <c r="J436" s="479" t="str">
        <f t="shared" si="303"/>
        <v/>
      </c>
      <c r="K436" s="480"/>
      <c r="L436" s="2323">
        <f t="shared" si="301"/>
        <v>47</v>
      </c>
      <c r="M436" s="2324"/>
      <c r="N436" s="478"/>
      <c r="O436" s="478"/>
      <c r="P436" s="478"/>
      <c r="Q436" s="2315">
        <f t="shared" si="308"/>
        <v>45614</v>
      </c>
      <c r="R436" s="2315"/>
      <c r="S436" s="478"/>
      <c r="T436" s="140">
        <f t="shared" si="309"/>
        <v>1</v>
      </c>
      <c r="U436" s="478"/>
      <c r="V436" s="478"/>
      <c r="W436" s="478"/>
      <c r="X436" s="478"/>
      <c r="Y436" s="478"/>
      <c r="Z436" s="478"/>
      <c r="AA436" s="478"/>
      <c r="AB436" s="478"/>
      <c r="AC436" s="478"/>
      <c r="AD436" s="478"/>
      <c r="AE436" s="478"/>
      <c r="AF436" s="478"/>
      <c r="AG436" s="140">
        <f t="shared" si="310"/>
        <v>0</v>
      </c>
      <c r="AH436" s="92" t="str">
        <f t="shared" si="311"/>
        <v/>
      </c>
      <c r="AI436" s="131">
        <f t="shared" si="312"/>
        <v>0</v>
      </c>
      <c r="AJ436" s="2"/>
      <c r="AK436" s="92">
        <f>IF(G436=G$481,0,IF(OR(G436&lt;&gt;0,CJ436&lt;&gt;0,C436="L"),COUNTIF(AK$114:AK435,"&gt;0")+1,0))</f>
        <v>0</v>
      </c>
      <c r="AL436" s="92" t="str">
        <f t="shared" si="313"/>
        <v/>
      </c>
      <c r="AM436" s="92" t="str">
        <f t="shared" si="314"/>
        <v/>
      </c>
      <c r="AN436" s="131">
        <f t="shared" si="304"/>
        <v>0</v>
      </c>
      <c r="AO436" s="447">
        <f>SUM(NOV!W25:Z25)</f>
        <v>0</v>
      </c>
      <c r="AP436" s="445">
        <f>SUMIF(NOV!$G$155:$J$155,AP$112,NOV!$R25:$U25)</f>
        <v>0</v>
      </c>
      <c r="AQ436" s="446">
        <f>SUMIF(NOV!$G$155:$J$155,AQ$112,NOV!$R25:$U25)</f>
        <v>0</v>
      </c>
      <c r="AR436" s="447">
        <f>SUMIF(NOV!$G$155:$J$155,AR$112,NOV!$R25:$U25)</f>
        <v>0</v>
      </c>
      <c r="AS436" s="448">
        <f>SUMIF(NOV!$G$155:$J$155,AS$112,NOV!$R25:$U25)</f>
        <v>0</v>
      </c>
      <c r="AT436" s="449">
        <f>NOV!AG25</f>
        <v>0</v>
      </c>
      <c r="AU436" s="445">
        <f>NOV!AH25</f>
        <v>0</v>
      </c>
      <c r="AV436" s="446">
        <f>NOV!AI25</f>
        <v>0</v>
      </c>
      <c r="AW436" s="447">
        <f>NOV!AJ25</f>
        <v>0</v>
      </c>
      <c r="AX436" s="448">
        <f>NOV!AK25</f>
        <v>0</v>
      </c>
      <c r="AY436" s="445">
        <f>SUMIF(NOV!$G$152:$J$152,"&gt;0",NOV!$W25:$Z25)</f>
        <v>0</v>
      </c>
      <c r="AZ436" s="1063">
        <f>SUM(NOV!AB25:AE25)</f>
        <v>0</v>
      </c>
      <c r="BA436" s="445">
        <f>SUMIF(NOV!$G$159:$J$159,BA$111,NOV!$R25:$U25)+SUMIF(NOV!$G$159:$J$159,BA$111,NOV!$W25:$Z25)</f>
        <v>0</v>
      </c>
      <c r="BB436" s="446">
        <f>SUMIF(NOV!$G$159:$J$159,BB$111,NOV!$R25:$U25)+SUMIF(NOV!$G$159:$J$159,BB$111,NOV!$W25:$Z25)</f>
        <v>0</v>
      </c>
      <c r="BC436" s="446">
        <f>SUMIF(NOV!$G$159:$J$159,BC$111,NOV!$R25:$U25)+SUMIF(NOV!$G$159:$J$159,BC$111,NOV!$W25:$Z25)</f>
        <v>0</v>
      </c>
      <c r="BD436" s="446">
        <f>SUMIF(NOV!$G$159:$J$159,BD$111,NOV!$R25:$U25)+SUMIF(NOV!$G$159:$J$159,BD$111,NOV!$W25:$Z25)</f>
        <v>0</v>
      </c>
      <c r="BE436" s="446">
        <f>SUMIF(NOV!$G$159:$J$159,BE$111,NOV!$R25:$U25)+SUMIF(NOV!$G$159:$J$159,BE$111,NOV!$W25:$Z25)</f>
        <v>0</v>
      </c>
      <c r="BF436" s="446">
        <f>SUMIF(NOV!$G$159:$J$159,BF$111,NOV!$R25:$U25)+SUMIF(NOV!$G$159:$J$159,BF$111,NOV!$W25:$Z25)</f>
        <v>0</v>
      </c>
      <c r="BG436" s="448">
        <f>SUMIF(NOV!$G$159:$J$159,BG$111,NOV!$R25:$U25)+SUMIF(NOV!$G$159:$J$159,BG$111,NOV!$W25:$Z25)</f>
        <v>0</v>
      </c>
      <c r="BH436" s="571"/>
      <c r="BI436" s="448"/>
      <c r="BJ436" s="470"/>
      <c r="BK436" s="445">
        <f>SUMIF(NOV!$G$157:$J$157,BK$111,NOV!$R25:$U25)+SUMIF(NOV!$G$157:$J$157,BK$111,NOV!$W25:$Z25)</f>
        <v>0</v>
      </c>
      <c r="BL436" s="446">
        <f>SUMIF(NOV!$G$157:$J$157,BL$111,NOV!$R25:$U25)+SUMIF(NOV!$G$157:$J$157,BL$111,NOV!$W25:$Z25)</f>
        <v>0</v>
      </c>
      <c r="BM436" s="446">
        <f>SUMIF(NOV!$G$157:$J$157,BM$111,NOV!$R25:$U25)+SUMIF(NOV!$G$157:$J$157,BM$111,NOV!$W25:$Z25)</f>
        <v>0</v>
      </c>
      <c r="BN436" s="446">
        <f>SUMIF(NOV!$G$157:$J$157,BN$111,NOV!$R25:$U25)+SUMIF(NOV!$G$157:$J$157,BN$111,NOV!$W25:$Z25)</f>
        <v>0</v>
      </c>
      <c r="BO436" s="446">
        <f>SUMIF(NOV!$G$157:$J$157,BO$111,NOV!$R25:$U25)+SUMIF(NOV!$G$157:$J$157,BO$111,NOV!$W25:$Z25)</f>
        <v>0</v>
      </c>
      <c r="BP436" s="446">
        <f>SUMIF(NOV!$G$157:$J$157,BP$111,NOV!$R25:$U25)+SUMIF(NOV!$G$157:$J$157,BP$111,NOV!$W25:$Z25)</f>
        <v>0</v>
      </c>
      <c r="BQ436" s="448">
        <f>SUMIF(NOV!$G$157:$J$157,BQ$111,NOV!$R25:$U25)+SUMIF(NOV!$G$157:$J$157,BQ$111,NOV!$W25:$Z25)</f>
        <v>0</v>
      </c>
      <c r="BR436" s="571"/>
      <c r="BS436" s="446"/>
      <c r="BT436" s="448"/>
      <c r="BU436" s="470"/>
      <c r="BV436" s="445">
        <f>SUMIF(NOV!$G$158:$J$158,BV$111,NOV!$R25:$U25)+SUMIF(NOV!$G$158:$J$158,BV$111,NOV!$W25:$Z25)</f>
        <v>0</v>
      </c>
      <c r="BW436" s="446">
        <f>SUMIF(NOV!$G$158:$J$158,BW$111,NOV!$R25:$U25)+SUMIF(NOV!$G$158:$J$158,BW$111,NOV!$W25:$Z25)</f>
        <v>0</v>
      </c>
      <c r="BX436" s="446">
        <f>SUMIF(NOV!$G$158:$J$158,BX$111,NOV!$R25:$U25)+SUMIF(NOV!$G$158:$J$158,BX$111,NOV!$W25:$Z25)</f>
        <v>0</v>
      </c>
      <c r="BY436" s="446">
        <f>SUMIF(NOV!$G$158:$J$158,BY$111,NOV!$R25:$U25)+SUMIF(NOV!$G$158:$J$158,BY$111,NOV!$W25:$Z25)</f>
        <v>0</v>
      </c>
      <c r="BZ436" s="446">
        <f>SUMIF(NOV!$G$158:$J$158,BZ$111,NOV!$R25:$U25)+SUMIF(NOV!$G$158:$J$158,BZ$111,NOV!$W25:$Z25)</f>
        <v>0</v>
      </c>
      <c r="CA436" s="446">
        <f>SUMIF(NOV!$G$158:$J$158,CA$111,NOV!$R25:$U25)+SUMIF(NOV!$G$158:$J$158,CA$111,NOV!$W25:$Z25)</f>
        <v>0</v>
      </c>
      <c r="CB436" s="448">
        <f>SUMIF(NOV!$G$158:$J$158,CB$111,NOV!$R25:$U25)+SUMIF(NOV!$G$158:$J$158,CB$111,NOV!$W25:$Z25)</f>
        <v>0</v>
      </c>
      <c r="CC436" s="571"/>
      <c r="CD436" s="448"/>
      <c r="CE436" s="92">
        <f t="shared" si="315"/>
        <v>0</v>
      </c>
      <c r="CF436" s="92">
        <f t="shared" si="316"/>
        <v>0</v>
      </c>
      <c r="CG436" s="151" t="str">
        <f t="shared" si="302"/>
        <v/>
      </c>
      <c r="CH436" s="92">
        <f t="shared" si="305"/>
        <v>0</v>
      </c>
      <c r="CI436" s="92" t="str">
        <f t="shared" si="317"/>
        <v/>
      </c>
      <c r="CJ436" s="1100">
        <f>NOV!AM25</f>
        <v>0</v>
      </c>
      <c r="CK436" s="445">
        <f>SUMIF(NOV!$G$155:$J$155,CK$112,NOV!$AN25:$AQ25)</f>
        <v>0</v>
      </c>
      <c r="CL436" s="446">
        <f>SUMIF(NOV!$G$155:$J$155,CL$112,NOV!$AN25:$AQ25)</f>
        <v>0</v>
      </c>
      <c r="CM436" s="447">
        <f>SUMIF(NOV!$G$155:$J$155,CM$112,NOV!$AN25:$AQ25)</f>
        <v>0</v>
      </c>
      <c r="CN436" s="448">
        <f>SUMIF(NOV!$G$155:$J$155,CN$112,NOV!$AN25:$AQ25)</f>
        <v>0</v>
      </c>
      <c r="CO436" s="1100">
        <f>NOV!AS25</f>
        <v>0</v>
      </c>
      <c r="CP436" s="445">
        <f>NOV!AT25</f>
        <v>0</v>
      </c>
      <c r="CQ436" s="446">
        <f>NOV!AU25</f>
        <v>0</v>
      </c>
      <c r="CR436" s="447">
        <f>NOV!AV25</f>
        <v>0</v>
      </c>
      <c r="CS436" s="448">
        <f>NOV!AW25</f>
        <v>0</v>
      </c>
      <c r="CT436" s="1100">
        <f>NOV!AY25</f>
        <v>0</v>
      </c>
      <c r="CU436" s="2"/>
    </row>
    <row r="437" spans="1:99" ht="14.25" hidden="1" customHeight="1" x14ac:dyDescent="0.2">
      <c r="A437" s="2"/>
      <c r="B437" s="151">
        <f t="shared" si="306"/>
        <v>45615</v>
      </c>
      <c r="C437" s="223">
        <f>IF(AND(E437&gt;(N$495-1),E437&lt;(R$495+1)),W$485,IF(ISERROR(HLOOKUP(E437,$N$488:$U$488,1,FALSE)),HLOOKUP(WEEKDAY(E437,2),IMPOSTAZIONI!$C$51:$P$56,6,FALSE),$W$484))</f>
        <v>0</v>
      </c>
      <c r="D437" s="103" t="str">
        <f t="shared" si="307"/>
        <v/>
      </c>
      <c r="E437" s="2380">
        <f t="shared" si="318"/>
        <v>45615</v>
      </c>
      <c r="F437" s="2381"/>
      <c r="G437" s="2325" t="str">
        <f>NOV!E26</f>
        <v xml:space="preserve">attiva trim.  </v>
      </c>
      <c r="H437" s="2326"/>
      <c r="I437" s="2327"/>
      <c r="J437" s="479" t="str">
        <f t="shared" si="303"/>
        <v/>
      </c>
      <c r="K437" s="480"/>
      <c r="L437" s="2319">
        <f t="shared" si="301"/>
        <v>47</v>
      </c>
      <c r="M437" s="2320"/>
      <c r="N437" s="478"/>
      <c r="O437" s="478"/>
      <c r="P437" s="478"/>
      <c r="Q437" s="2315">
        <f t="shared" si="308"/>
        <v>45615</v>
      </c>
      <c r="R437" s="2315"/>
      <c r="S437" s="478"/>
      <c r="T437" s="140">
        <f t="shared" si="309"/>
        <v>1</v>
      </c>
      <c r="U437" s="478"/>
      <c r="V437" s="478"/>
      <c r="W437" s="478"/>
      <c r="X437" s="478"/>
      <c r="Y437" s="478"/>
      <c r="Z437" s="478"/>
      <c r="AA437" s="478"/>
      <c r="AB437" s="478"/>
      <c r="AC437" s="478"/>
      <c r="AD437" s="478"/>
      <c r="AE437" s="478"/>
      <c r="AF437" s="478"/>
      <c r="AG437" s="140">
        <f t="shared" si="310"/>
        <v>0</v>
      </c>
      <c r="AH437" s="92" t="str">
        <f t="shared" si="311"/>
        <v/>
      </c>
      <c r="AI437" s="131">
        <f t="shared" si="312"/>
        <v>0</v>
      </c>
      <c r="AJ437" s="2"/>
      <c r="AK437" s="92">
        <f>IF(G437=G$481,0,IF(OR(G437&lt;&gt;0,CJ437&lt;&gt;0,C437="L"),COUNTIF(AK$114:AK436,"&gt;0")+1,0))</f>
        <v>0</v>
      </c>
      <c r="AL437" s="92" t="str">
        <f t="shared" si="313"/>
        <v/>
      </c>
      <c r="AM437" s="92" t="str">
        <f t="shared" si="314"/>
        <v/>
      </c>
      <c r="AN437" s="131">
        <f t="shared" si="304"/>
        <v>0</v>
      </c>
      <c r="AO437" s="447">
        <f>SUM(NOV!W26:Z26)</f>
        <v>0</v>
      </c>
      <c r="AP437" s="445">
        <f>SUMIF(NOV!$G$155:$J$155,AP$112,NOV!$R26:$U26)</f>
        <v>0</v>
      </c>
      <c r="AQ437" s="446">
        <f>SUMIF(NOV!$G$155:$J$155,AQ$112,NOV!$R26:$U26)</f>
        <v>0</v>
      </c>
      <c r="AR437" s="447">
        <f>SUMIF(NOV!$G$155:$J$155,AR$112,NOV!$R26:$U26)</f>
        <v>0</v>
      </c>
      <c r="AS437" s="448">
        <f>SUMIF(NOV!$G$155:$J$155,AS$112,NOV!$R26:$U26)</f>
        <v>0</v>
      </c>
      <c r="AT437" s="449">
        <f>NOV!AG26</f>
        <v>0</v>
      </c>
      <c r="AU437" s="445">
        <f>NOV!AH26</f>
        <v>0</v>
      </c>
      <c r="AV437" s="446">
        <f>NOV!AI26</f>
        <v>0</v>
      </c>
      <c r="AW437" s="447">
        <f>NOV!AJ26</f>
        <v>0</v>
      </c>
      <c r="AX437" s="448">
        <f>NOV!AK26</f>
        <v>0</v>
      </c>
      <c r="AY437" s="445">
        <f>SUMIF(NOV!$G$152:$J$152,"&gt;0",NOV!$W26:$Z26)</f>
        <v>0</v>
      </c>
      <c r="AZ437" s="1063">
        <f>SUM(NOV!AB26:AE26)</f>
        <v>0</v>
      </c>
      <c r="BA437" s="445">
        <f>SUMIF(NOV!$G$159:$J$159,BA$111,NOV!$R26:$U26)+SUMIF(NOV!$G$159:$J$159,BA$111,NOV!$W26:$Z26)</f>
        <v>0</v>
      </c>
      <c r="BB437" s="446">
        <f>SUMIF(NOV!$G$159:$J$159,BB$111,NOV!$R26:$U26)+SUMIF(NOV!$G$159:$J$159,BB$111,NOV!$W26:$Z26)</f>
        <v>0</v>
      </c>
      <c r="BC437" s="446">
        <f>SUMIF(NOV!$G$159:$J$159,BC$111,NOV!$R26:$U26)+SUMIF(NOV!$G$159:$J$159,BC$111,NOV!$W26:$Z26)</f>
        <v>0</v>
      </c>
      <c r="BD437" s="446">
        <f>SUMIF(NOV!$G$159:$J$159,BD$111,NOV!$R26:$U26)+SUMIF(NOV!$G$159:$J$159,BD$111,NOV!$W26:$Z26)</f>
        <v>0</v>
      </c>
      <c r="BE437" s="446">
        <f>SUMIF(NOV!$G$159:$J$159,BE$111,NOV!$R26:$U26)+SUMIF(NOV!$G$159:$J$159,BE$111,NOV!$W26:$Z26)</f>
        <v>0</v>
      </c>
      <c r="BF437" s="446">
        <f>SUMIF(NOV!$G$159:$J$159,BF$111,NOV!$R26:$U26)+SUMIF(NOV!$G$159:$J$159,BF$111,NOV!$W26:$Z26)</f>
        <v>0</v>
      </c>
      <c r="BG437" s="448">
        <f>SUMIF(NOV!$G$159:$J$159,BG$111,NOV!$R26:$U26)+SUMIF(NOV!$G$159:$J$159,BG$111,NOV!$W26:$Z26)</f>
        <v>0</v>
      </c>
      <c r="BH437" s="571"/>
      <c r="BI437" s="448"/>
      <c r="BJ437" s="470"/>
      <c r="BK437" s="445">
        <f>SUMIF(NOV!$G$157:$J$157,BK$111,NOV!$R26:$U26)+SUMIF(NOV!$G$157:$J$157,BK$111,NOV!$W26:$Z26)</f>
        <v>0</v>
      </c>
      <c r="BL437" s="446">
        <f>SUMIF(NOV!$G$157:$J$157,BL$111,NOV!$R26:$U26)+SUMIF(NOV!$G$157:$J$157,BL$111,NOV!$W26:$Z26)</f>
        <v>0</v>
      </c>
      <c r="BM437" s="446">
        <f>SUMIF(NOV!$G$157:$J$157,BM$111,NOV!$R26:$U26)+SUMIF(NOV!$G$157:$J$157,BM$111,NOV!$W26:$Z26)</f>
        <v>0</v>
      </c>
      <c r="BN437" s="446">
        <f>SUMIF(NOV!$G$157:$J$157,BN$111,NOV!$R26:$U26)+SUMIF(NOV!$G$157:$J$157,BN$111,NOV!$W26:$Z26)</f>
        <v>0</v>
      </c>
      <c r="BO437" s="446">
        <f>SUMIF(NOV!$G$157:$J$157,BO$111,NOV!$R26:$U26)+SUMIF(NOV!$G$157:$J$157,BO$111,NOV!$W26:$Z26)</f>
        <v>0</v>
      </c>
      <c r="BP437" s="446">
        <f>SUMIF(NOV!$G$157:$J$157,BP$111,NOV!$R26:$U26)+SUMIF(NOV!$G$157:$J$157,BP$111,NOV!$W26:$Z26)</f>
        <v>0</v>
      </c>
      <c r="BQ437" s="448">
        <f>SUMIF(NOV!$G$157:$J$157,BQ$111,NOV!$R26:$U26)+SUMIF(NOV!$G$157:$J$157,BQ$111,NOV!$W26:$Z26)</f>
        <v>0</v>
      </c>
      <c r="BR437" s="571"/>
      <c r="BS437" s="446"/>
      <c r="BT437" s="448"/>
      <c r="BU437" s="470"/>
      <c r="BV437" s="445">
        <f>SUMIF(NOV!$G$158:$J$158,BV$111,NOV!$R26:$U26)+SUMIF(NOV!$G$158:$J$158,BV$111,NOV!$W26:$Z26)</f>
        <v>0</v>
      </c>
      <c r="BW437" s="446">
        <f>SUMIF(NOV!$G$158:$J$158,BW$111,NOV!$R26:$U26)+SUMIF(NOV!$G$158:$J$158,BW$111,NOV!$W26:$Z26)</f>
        <v>0</v>
      </c>
      <c r="BX437" s="446">
        <f>SUMIF(NOV!$G$158:$J$158,BX$111,NOV!$R26:$U26)+SUMIF(NOV!$G$158:$J$158,BX$111,NOV!$W26:$Z26)</f>
        <v>0</v>
      </c>
      <c r="BY437" s="446">
        <f>SUMIF(NOV!$G$158:$J$158,BY$111,NOV!$R26:$U26)+SUMIF(NOV!$G$158:$J$158,BY$111,NOV!$W26:$Z26)</f>
        <v>0</v>
      </c>
      <c r="BZ437" s="446">
        <f>SUMIF(NOV!$G$158:$J$158,BZ$111,NOV!$R26:$U26)+SUMIF(NOV!$G$158:$J$158,BZ$111,NOV!$W26:$Z26)</f>
        <v>0</v>
      </c>
      <c r="CA437" s="446">
        <f>SUMIF(NOV!$G$158:$J$158,CA$111,NOV!$R26:$U26)+SUMIF(NOV!$G$158:$J$158,CA$111,NOV!$W26:$Z26)</f>
        <v>0</v>
      </c>
      <c r="CB437" s="448">
        <f>SUMIF(NOV!$G$158:$J$158,CB$111,NOV!$R26:$U26)+SUMIF(NOV!$G$158:$J$158,CB$111,NOV!$W26:$Z26)</f>
        <v>0</v>
      </c>
      <c r="CC437" s="571"/>
      <c r="CD437" s="448"/>
      <c r="CE437" s="92">
        <f t="shared" si="315"/>
        <v>0</v>
      </c>
      <c r="CF437" s="92">
        <f t="shared" si="316"/>
        <v>0</v>
      </c>
      <c r="CG437" s="151" t="str">
        <f t="shared" si="302"/>
        <v/>
      </c>
      <c r="CH437" s="92">
        <f t="shared" si="305"/>
        <v>0</v>
      </c>
      <c r="CI437" s="92" t="str">
        <f t="shared" si="317"/>
        <v/>
      </c>
      <c r="CJ437" s="1100">
        <f>NOV!AM26</f>
        <v>0</v>
      </c>
      <c r="CK437" s="445">
        <f>SUMIF(NOV!$G$155:$J$155,CK$112,NOV!$AN26:$AQ26)</f>
        <v>0</v>
      </c>
      <c r="CL437" s="446">
        <f>SUMIF(NOV!$G$155:$J$155,CL$112,NOV!$AN26:$AQ26)</f>
        <v>0</v>
      </c>
      <c r="CM437" s="447">
        <f>SUMIF(NOV!$G$155:$J$155,CM$112,NOV!$AN26:$AQ26)</f>
        <v>0</v>
      </c>
      <c r="CN437" s="448">
        <f>SUMIF(NOV!$G$155:$J$155,CN$112,NOV!$AN26:$AQ26)</f>
        <v>0</v>
      </c>
      <c r="CO437" s="1100">
        <f>NOV!AS26</f>
        <v>0</v>
      </c>
      <c r="CP437" s="445">
        <f>NOV!AT26</f>
        <v>0</v>
      </c>
      <c r="CQ437" s="446">
        <f>NOV!AU26</f>
        <v>0</v>
      </c>
      <c r="CR437" s="447">
        <f>NOV!AV26</f>
        <v>0</v>
      </c>
      <c r="CS437" s="448">
        <f>NOV!AW26</f>
        <v>0</v>
      </c>
      <c r="CT437" s="1100">
        <f>NOV!AY26</f>
        <v>0</v>
      </c>
      <c r="CU437" s="2"/>
    </row>
    <row r="438" spans="1:99" ht="14.25" hidden="1" customHeight="1" x14ac:dyDescent="0.2">
      <c r="A438" s="2"/>
      <c r="B438" s="151">
        <f t="shared" si="306"/>
        <v>45616</v>
      </c>
      <c r="C438" s="223">
        <f>IF(AND(E438&gt;(N$495-1),E438&lt;(R$495+1)),W$485,IF(ISERROR(HLOOKUP(E438,$N$488:$U$488,1,FALSE)),HLOOKUP(WEEKDAY(E438,2),IMPOSTAZIONI!$C$51:$P$56,6,FALSE),$W$484))</f>
        <v>0</v>
      </c>
      <c r="D438" s="103" t="str">
        <f t="shared" si="307"/>
        <v/>
      </c>
      <c r="E438" s="2380">
        <f t="shared" si="318"/>
        <v>45616</v>
      </c>
      <c r="F438" s="2381"/>
      <c r="G438" s="2325" t="str">
        <f>NOV!E27</f>
        <v xml:space="preserve">attiva trim.  </v>
      </c>
      <c r="H438" s="2326"/>
      <c r="I438" s="2327"/>
      <c r="J438" s="479" t="str">
        <f t="shared" si="303"/>
        <v/>
      </c>
      <c r="K438" s="480"/>
      <c r="L438" s="2319">
        <f t="shared" si="301"/>
        <v>47</v>
      </c>
      <c r="M438" s="2320"/>
      <c r="N438" s="478"/>
      <c r="O438" s="478"/>
      <c r="P438" s="478"/>
      <c r="Q438" s="2315">
        <f t="shared" si="308"/>
        <v>45616</v>
      </c>
      <c r="R438" s="2315"/>
      <c r="S438" s="478"/>
      <c r="T438" s="140">
        <f t="shared" si="309"/>
        <v>1</v>
      </c>
      <c r="U438" s="478"/>
      <c r="V438" s="478"/>
      <c r="W438" s="478"/>
      <c r="X438" s="478"/>
      <c r="Y438" s="478"/>
      <c r="Z438" s="478"/>
      <c r="AA438" s="478"/>
      <c r="AB438" s="478"/>
      <c r="AC438" s="478"/>
      <c r="AD438" s="478"/>
      <c r="AE438" s="478"/>
      <c r="AF438" s="478"/>
      <c r="AG438" s="140">
        <f t="shared" si="310"/>
        <v>0</v>
      </c>
      <c r="AH438" s="92" t="str">
        <f t="shared" si="311"/>
        <v/>
      </c>
      <c r="AI438" s="131">
        <f t="shared" si="312"/>
        <v>0</v>
      </c>
      <c r="AJ438" s="2"/>
      <c r="AK438" s="92">
        <f>IF(G438=G$481,0,IF(OR(G438&lt;&gt;0,CJ438&lt;&gt;0,C438="L"),COUNTIF(AK$114:AK437,"&gt;0")+1,0))</f>
        <v>0</v>
      </c>
      <c r="AL438" s="92" t="str">
        <f t="shared" si="313"/>
        <v/>
      </c>
      <c r="AM438" s="92" t="str">
        <f t="shared" si="314"/>
        <v/>
      </c>
      <c r="AN438" s="131">
        <f t="shared" si="304"/>
        <v>0</v>
      </c>
      <c r="AO438" s="447">
        <f>SUM(NOV!W27:Z27)</f>
        <v>0</v>
      </c>
      <c r="AP438" s="445">
        <f>SUMIF(NOV!$G$155:$J$155,AP$112,NOV!$R27:$U27)</f>
        <v>0</v>
      </c>
      <c r="AQ438" s="446">
        <f>SUMIF(NOV!$G$155:$J$155,AQ$112,NOV!$R27:$U27)</f>
        <v>0</v>
      </c>
      <c r="AR438" s="447">
        <f>SUMIF(NOV!$G$155:$J$155,AR$112,NOV!$R27:$U27)</f>
        <v>0</v>
      </c>
      <c r="AS438" s="448">
        <f>SUMIF(NOV!$G$155:$J$155,AS$112,NOV!$R27:$U27)</f>
        <v>0</v>
      </c>
      <c r="AT438" s="449">
        <f>NOV!AG27</f>
        <v>0</v>
      </c>
      <c r="AU438" s="445">
        <f>NOV!AH27</f>
        <v>0</v>
      </c>
      <c r="AV438" s="446">
        <f>NOV!AI27</f>
        <v>0</v>
      </c>
      <c r="AW438" s="447">
        <f>NOV!AJ27</f>
        <v>0</v>
      </c>
      <c r="AX438" s="448">
        <f>NOV!AK27</f>
        <v>0</v>
      </c>
      <c r="AY438" s="445">
        <f>SUMIF(NOV!$G$152:$J$152,"&gt;0",NOV!$W27:$Z27)</f>
        <v>0</v>
      </c>
      <c r="AZ438" s="1063">
        <f>SUM(NOV!AB27:AE27)</f>
        <v>0</v>
      </c>
      <c r="BA438" s="445">
        <f>SUMIF(NOV!$G$159:$J$159,BA$111,NOV!$R27:$U27)+SUMIF(NOV!$G$159:$J$159,BA$111,NOV!$W27:$Z27)</f>
        <v>0</v>
      </c>
      <c r="BB438" s="446">
        <f>SUMIF(NOV!$G$159:$J$159,BB$111,NOV!$R27:$U27)+SUMIF(NOV!$G$159:$J$159,BB$111,NOV!$W27:$Z27)</f>
        <v>0</v>
      </c>
      <c r="BC438" s="446">
        <f>SUMIF(NOV!$G$159:$J$159,BC$111,NOV!$R27:$U27)+SUMIF(NOV!$G$159:$J$159,BC$111,NOV!$W27:$Z27)</f>
        <v>0</v>
      </c>
      <c r="BD438" s="446">
        <f>SUMIF(NOV!$G$159:$J$159,BD$111,NOV!$R27:$U27)+SUMIF(NOV!$G$159:$J$159,BD$111,NOV!$W27:$Z27)</f>
        <v>0</v>
      </c>
      <c r="BE438" s="446">
        <f>SUMIF(NOV!$G$159:$J$159,BE$111,NOV!$R27:$U27)+SUMIF(NOV!$G$159:$J$159,BE$111,NOV!$W27:$Z27)</f>
        <v>0</v>
      </c>
      <c r="BF438" s="446">
        <f>SUMIF(NOV!$G$159:$J$159,BF$111,NOV!$R27:$U27)+SUMIF(NOV!$G$159:$J$159,BF$111,NOV!$W27:$Z27)</f>
        <v>0</v>
      </c>
      <c r="BG438" s="448">
        <f>SUMIF(NOV!$G$159:$J$159,BG$111,NOV!$R27:$U27)+SUMIF(NOV!$G$159:$J$159,BG$111,NOV!$W27:$Z27)</f>
        <v>0</v>
      </c>
      <c r="BH438" s="571"/>
      <c r="BI438" s="448"/>
      <c r="BJ438" s="470"/>
      <c r="BK438" s="445">
        <f>SUMIF(NOV!$G$157:$J$157,BK$111,NOV!$R27:$U27)+SUMIF(NOV!$G$157:$J$157,BK$111,NOV!$W27:$Z27)</f>
        <v>0</v>
      </c>
      <c r="BL438" s="446">
        <f>SUMIF(NOV!$G$157:$J$157,BL$111,NOV!$R27:$U27)+SUMIF(NOV!$G$157:$J$157,BL$111,NOV!$W27:$Z27)</f>
        <v>0</v>
      </c>
      <c r="BM438" s="446">
        <f>SUMIF(NOV!$G$157:$J$157,BM$111,NOV!$R27:$U27)+SUMIF(NOV!$G$157:$J$157,BM$111,NOV!$W27:$Z27)</f>
        <v>0</v>
      </c>
      <c r="BN438" s="446">
        <f>SUMIF(NOV!$G$157:$J$157,BN$111,NOV!$R27:$U27)+SUMIF(NOV!$G$157:$J$157,BN$111,NOV!$W27:$Z27)</f>
        <v>0</v>
      </c>
      <c r="BO438" s="446">
        <f>SUMIF(NOV!$G$157:$J$157,BO$111,NOV!$R27:$U27)+SUMIF(NOV!$G$157:$J$157,BO$111,NOV!$W27:$Z27)</f>
        <v>0</v>
      </c>
      <c r="BP438" s="446">
        <f>SUMIF(NOV!$G$157:$J$157,BP$111,NOV!$R27:$U27)+SUMIF(NOV!$G$157:$J$157,BP$111,NOV!$W27:$Z27)</f>
        <v>0</v>
      </c>
      <c r="BQ438" s="448">
        <f>SUMIF(NOV!$G$157:$J$157,BQ$111,NOV!$R27:$U27)+SUMIF(NOV!$G$157:$J$157,BQ$111,NOV!$W27:$Z27)</f>
        <v>0</v>
      </c>
      <c r="BR438" s="571"/>
      <c r="BS438" s="446"/>
      <c r="BT438" s="448"/>
      <c r="BU438" s="470"/>
      <c r="BV438" s="445">
        <f>SUMIF(NOV!$G$158:$J$158,BV$111,NOV!$R27:$U27)+SUMIF(NOV!$G$158:$J$158,BV$111,NOV!$W27:$Z27)</f>
        <v>0</v>
      </c>
      <c r="BW438" s="446">
        <f>SUMIF(NOV!$G$158:$J$158,BW$111,NOV!$R27:$U27)+SUMIF(NOV!$G$158:$J$158,BW$111,NOV!$W27:$Z27)</f>
        <v>0</v>
      </c>
      <c r="BX438" s="446">
        <f>SUMIF(NOV!$G$158:$J$158,BX$111,NOV!$R27:$U27)+SUMIF(NOV!$G$158:$J$158,BX$111,NOV!$W27:$Z27)</f>
        <v>0</v>
      </c>
      <c r="BY438" s="446">
        <f>SUMIF(NOV!$G$158:$J$158,BY$111,NOV!$R27:$U27)+SUMIF(NOV!$G$158:$J$158,BY$111,NOV!$W27:$Z27)</f>
        <v>0</v>
      </c>
      <c r="BZ438" s="446">
        <f>SUMIF(NOV!$G$158:$J$158,BZ$111,NOV!$R27:$U27)+SUMIF(NOV!$G$158:$J$158,BZ$111,NOV!$W27:$Z27)</f>
        <v>0</v>
      </c>
      <c r="CA438" s="446">
        <f>SUMIF(NOV!$G$158:$J$158,CA$111,NOV!$R27:$U27)+SUMIF(NOV!$G$158:$J$158,CA$111,NOV!$W27:$Z27)</f>
        <v>0</v>
      </c>
      <c r="CB438" s="448">
        <f>SUMIF(NOV!$G$158:$J$158,CB$111,NOV!$R27:$U27)+SUMIF(NOV!$G$158:$J$158,CB$111,NOV!$W27:$Z27)</f>
        <v>0</v>
      </c>
      <c r="CC438" s="571"/>
      <c r="CD438" s="448"/>
      <c r="CE438" s="92">
        <f t="shared" si="315"/>
        <v>0</v>
      </c>
      <c r="CF438" s="92">
        <f t="shared" si="316"/>
        <v>0</v>
      </c>
      <c r="CG438" s="151" t="str">
        <f t="shared" si="302"/>
        <v/>
      </c>
      <c r="CH438" s="92">
        <f t="shared" si="305"/>
        <v>0</v>
      </c>
      <c r="CI438" s="92" t="str">
        <f t="shared" si="317"/>
        <v/>
      </c>
      <c r="CJ438" s="1100">
        <f>NOV!AM27</f>
        <v>0</v>
      </c>
      <c r="CK438" s="445">
        <f>SUMIF(NOV!$G$155:$J$155,CK$112,NOV!$AN27:$AQ27)</f>
        <v>0</v>
      </c>
      <c r="CL438" s="446">
        <f>SUMIF(NOV!$G$155:$J$155,CL$112,NOV!$AN27:$AQ27)</f>
        <v>0</v>
      </c>
      <c r="CM438" s="447">
        <f>SUMIF(NOV!$G$155:$J$155,CM$112,NOV!$AN27:$AQ27)</f>
        <v>0</v>
      </c>
      <c r="CN438" s="448">
        <f>SUMIF(NOV!$G$155:$J$155,CN$112,NOV!$AN27:$AQ27)</f>
        <v>0</v>
      </c>
      <c r="CO438" s="1100">
        <f>NOV!AS27</f>
        <v>0</v>
      </c>
      <c r="CP438" s="445">
        <f>NOV!AT27</f>
        <v>0</v>
      </c>
      <c r="CQ438" s="446">
        <f>NOV!AU27</f>
        <v>0</v>
      </c>
      <c r="CR438" s="447">
        <f>NOV!AV27</f>
        <v>0</v>
      </c>
      <c r="CS438" s="448">
        <f>NOV!AW27</f>
        <v>0</v>
      </c>
      <c r="CT438" s="1100">
        <f>NOV!AY27</f>
        <v>0</v>
      </c>
      <c r="CU438" s="2"/>
    </row>
    <row r="439" spans="1:99" ht="14.25" hidden="1" customHeight="1" x14ac:dyDescent="0.2">
      <c r="A439" s="2"/>
      <c r="B439" s="151">
        <f t="shared" si="306"/>
        <v>45617</v>
      </c>
      <c r="C439" s="223">
        <f>IF(AND(E439&gt;(N$495-1),E439&lt;(R$495+1)),W$485,IF(ISERROR(HLOOKUP(E439,$N$488:$U$488,1,FALSE)),HLOOKUP(WEEKDAY(E439,2),IMPOSTAZIONI!$C$51:$P$56,6,FALSE),$W$484))</f>
        <v>0</v>
      </c>
      <c r="D439" s="103" t="str">
        <f t="shared" si="307"/>
        <v/>
      </c>
      <c r="E439" s="2380">
        <f t="shared" si="318"/>
        <v>45617</v>
      </c>
      <c r="F439" s="2381"/>
      <c r="G439" s="2325" t="str">
        <f>NOV!E28</f>
        <v xml:space="preserve">attiva trim.  </v>
      </c>
      <c r="H439" s="2326"/>
      <c r="I439" s="2327"/>
      <c r="J439" s="479" t="str">
        <f t="shared" si="303"/>
        <v/>
      </c>
      <c r="K439" s="480"/>
      <c r="L439" s="2319">
        <f t="shared" si="301"/>
        <v>47</v>
      </c>
      <c r="M439" s="2320"/>
      <c r="N439" s="478"/>
      <c r="O439" s="478"/>
      <c r="P439" s="478"/>
      <c r="Q439" s="2315">
        <f t="shared" si="308"/>
        <v>45617</v>
      </c>
      <c r="R439" s="2315"/>
      <c r="S439" s="478"/>
      <c r="T439" s="140">
        <f t="shared" si="309"/>
        <v>1</v>
      </c>
      <c r="U439" s="478"/>
      <c r="V439" s="478"/>
      <c r="W439" s="478"/>
      <c r="X439" s="478"/>
      <c r="Y439" s="478"/>
      <c r="Z439" s="478"/>
      <c r="AA439" s="478"/>
      <c r="AB439" s="478"/>
      <c r="AC439" s="478"/>
      <c r="AD439" s="478"/>
      <c r="AE439" s="478"/>
      <c r="AF439" s="478"/>
      <c r="AG439" s="140">
        <f t="shared" si="310"/>
        <v>0</v>
      </c>
      <c r="AH439" s="92" t="str">
        <f t="shared" si="311"/>
        <v/>
      </c>
      <c r="AI439" s="131">
        <f t="shared" si="312"/>
        <v>0</v>
      </c>
      <c r="AJ439" s="2"/>
      <c r="AK439" s="92">
        <f>IF(G439=G$481,0,IF(OR(G439&lt;&gt;0,CJ439&lt;&gt;0,C439="L"),COUNTIF(AK$114:AK438,"&gt;0")+1,0))</f>
        <v>0</v>
      </c>
      <c r="AL439" s="92" t="str">
        <f t="shared" si="313"/>
        <v/>
      </c>
      <c r="AM439" s="92" t="str">
        <f t="shared" si="314"/>
        <v/>
      </c>
      <c r="AN439" s="131">
        <f t="shared" si="304"/>
        <v>0</v>
      </c>
      <c r="AO439" s="447">
        <f>SUM(NOV!W28:Z28)</f>
        <v>0</v>
      </c>
      <c r="AP439" s="445">
        <f>SUMIF(NOV!$G$155:$J$155,AP$112,NOV!$R28:$U28)</f>
        <v>0</v>
      </c>
      <c r="AQ439" s="446">
        <f>SUMIF(NOV!$G$155:$J$155,AQ$112,NOV!$R28:$U28)</f>
        <v>0</v>
      </c>
      <c r="AR439" s="447">
        <f>SUMIF(NOV!$G$155:$J$155,AR$112,NOV!$R28:$U28)</f>
        <v>0</v>
      </c>
      <c r="AS439" s="448">
        <f>SUMIF(NOV!$G$155:$J$155,AS$112,NOV!$R28:$U28)</f>
        <v>0</v>
      </c>
      <c r="AT439" s="449">
        <f>NOV!AG28</f>
        <v>0</v>
      </c>
      <c r="AU439" s="445">
        <f>NOV!AH28</f>
        <v>0</v>
      </c>
      <c r="AV439" s="446">
        <f>NOV!AI28</f>
        <v>0</v>
      </c>
      <c r="AW439" s="447">
        <f>NOV!AJ28</f>
        <v>0</v>
      </c>
      <c r="AX439" s="448">
        <f>NOV!AK28</f>
        <v>0</v>
      </c>
      <c r="AY439" s="445">
        <f>SUMIF(NOV!$G$152:$J$152,"&gt;0",NOV!$W28:$Z28)</f>
        <v>0</v>
      </c>
      <c r="AZ439" s="1063">
        <f>SUM(NOV!AB28:AE28)</f>
        <v>0</v>
      </c>
      <c r="BA439" s="445">
        <f>SUMIF(NOV!$G$159:$J$159,BA$111,NOV!$R28:$U28)+SUMIF(NOV!$G$159:$J$159,BA$111,NOV!$W28:$Z28)</f>
        <v>0</v>
      </c>
      <c r="BB439" s="446">
        <f>SUMIF(NOV!$G$159:$J$159,BB$111,NOV!$R28:$U28)+SUMIF(NOV!$G$159:$J$159,BB$111,NOV!$W28:$Z28)</f>
        <v>0</v>
      </c>
      <c r="BC439" s="446">
        <f>SUMIF(NOV!$G$159:$J$159,BC$111,NOV!$R28:$U28)+SUMIF(NOV!$G$159:$J$159,BC$111,NOV!$W28:$Z28)</f>
        <v>0</v>
      </c>
      <c r="BD439" s="446">
        <f>SUMIF(NOV!$G$159:$J$159,BD$111,NOV!$R28:$U28)+SUMIF(NOV!$G$159:$J$159,BD$111,NOV!$W28:$Z28)</f>
        <v>0</v>
      </c>
      <c r="BE439" s="446">
        <f>SUMIF(NOV!$G$159:$J$159,BE$111,NOV!$R28:$U28)+SUMIF(NOV!$G$159:$J$159,BE$111,NOV!$W28:$Z28)</f>
        <v>0</v>
      </c>
      <c r="BF439" s="446">
        <f>SUMIF(NOV!$G$159:$J$159,BF$111,NOV!$R28:$U28)+SUMIF(NOV!$G$159:$J$159,BF$111,NOV!$W28:$Z28)</f>
        <v>0</v>
      </c>
      <c r="BG439" s="448">
        <f>SUMIF(NOV!$G$159:$J$159,BG$111,NOV!$R28:$U28)+SUMIF(NOV!$G$159:$J$159,BG$111,NOV!$W28:$Z28)</f>
        <v>0</v>
      </c>
      <c r="BH439" s="571"/>
      <c r="BI439" s="448"/>
      <c r="BJ439" s="470"/>
      <c r="BK439" s="445">
        <f>SUMIF(NOV!$G$157:$J$157,BK$111,NOV!$R28:$U28)+SUMIF(NOV!$G$157:$J$157,BK$111,NOV!$W28:$Z28)</f>
        <v>0</v>
      </c>
      <c r="BL439" s="446">
        <f>SUMIF(NOV!$G$157:$J$157,BL$111,NOV!$R28:$U28)+SUMIF(NOV!$G$157:$J$157,BL$111,NOV!$W28:$Z28)</f>
        <v>0</v>
      </c>
      <c r="BM439" s="446">
        <f>SUMIF(NOV!$G$157:$J$157,BM$111,NOV!$R28:$U28)+SUMIF(NOV!$G$157:$J$157,BM$111,NOV!$W28:$Z28)</f>
        <v>0</v>
      </c>
      <c r="BN439" s="446">
        <f>SUMIF(NOV!$G$157:$J$157,BN$111,NOV!$R28:$U28)+SUMIF(NOV!$G$157:$J$157,BN$111,NOV!$W28:$Z28)</f>
        <v>0</v>
      </c>
      <c r="BO439" s="446">
        <f>SUMIF(NOV!$G$157:$J$157,BO$111,NOV!$R28:$U28)+SUMIF(NOV!$G$157:$J$157,BO$111,NOV!$W28:$Z28)</f>
        <v>0</v>
      </c>
      <c r="BP439" s="446">
        <f>SUMIF(NOV!$G$157:$J$157,BP$111,NOV!$R28:$U28)+SUMIF(NOV!$G$157:$J$157,BP$111,NOV!$W28:$Z28)</f>
        <v>0</v>
      </c>
      <c r="BQ439" s="448">
        <f>SUMIF(NOV!$G$157:$J$157,BQ$111,NOV!$R28:$U28)+SUMIF(NOV!$G$157:$J$157,BQ$111,NOV!$W28:$Z28)</f>
        <v>0</v>
      </c>
      <c r="BR439" s="571"/>
      <c r="BS439" s="446"/>
      <c r="BT439" s="448"/>
      <c r="BU439" s="470"/>
      <c r="BV439" s="445">
        <f>SUMIF(NOV!$G$158:$J$158,BV$111,NOV!$R28:$U28)+SUMIF(NOV!$G$158:$J$158,BV$111,NOV!$W28:$Z28)</f>
        <v>0</v>
      </c>
      <c r="BW439" s="446">
        <f>SUMIF(NOV!$G$158:$J$158,BW$111,NOV!$R28:$U28)+SUMIF(NOV!$G$158:$J$158,BW$111,NOV!$W28:$Z28)</f>
        <v>0</v>
      </c>
      <c r="BX439" s="446">
        <f>SUMIF(NOV!$G$158:$J$158,BX$111,NOV!$R28:$U28)+SUMIF(NOV!$G$158:$J$158,BX$111,NOV!$W28:$Z28)</f>
        <v>0</v>
      </c>
      <c r="BY439" s="446">
        <f>SUMIF(NOV!$G$158:$J$158,BY$111,NOV!$R28:$U28)+SUMIF(NOV!$G$158:$J$158,BY$111,NOV!$W28:$Z28)</f>
        <v>0</v>
      </c>
      <c r="BZ439" s="446">
        <f>SUMIF(NOV!$G$158:$J$158,BZ$111,NOV!$R28:$U28)+SUMIF(NOV!$G$158:$J$158,BZ$111,NOV!$W28:$Z28)</f>
        <v>0</v>
      </c>
      <c r="CA439" s="446">
        <f>SUMIF(NOV!$G$158:$J$158,CA$111,NOV!$R28:$U28)+SUMIF(NOV!$G$158:$J$158,CA$111,NOV!$W28:$Z28)</f>
        <v>0</v>
      </c>
      <c r="CB439" s="448">
        <f>SUMIF(NOV!$G$158:$J$158,CB$111,NOV!$R28:$U28)+SUMIF(NOV!$G$158:$J$158,CB$111,NOV!$W28:$Z28)</f>
        <v>0</v>
      </c>
      <c r="CC439" s="571"/>
      <c r="CD439" s="448"/>
      <c r="CE439" s="92">
        <f t="shared" si="315"/>
        <v>0</v>
      </c>
      <c r="CF439" s="92">
        <f t="shared" si="316"/>
        <v>0</v>
      </c>
      <c r="CG439" s="151" t="str">
        <f t="shared" si="302"/>
        <v/>
      </c>
      <c r="CH439" s="92">
        <f t="shared" si="305"/>
        <v>0</v>
      </c>
      <c r="CI439" s="92" t="str">
        <f t="shared" si="317"/>
        <v/>
      </c>
      <c r="CJ439" s="1100">
        <f>NOV!AM28</f>
        <v>0</v>
      </c>
      <c r="CK439" s="445">
        <f>SUMIF(NOV!$G$155:$J$155,CK$112,NOV!$AN28:$AQ28)</f>
        <v>0</v>
      </c>
      <c r="CL439" s="446">
        <f>SUMIF(NOV!$G$155:$J$155,CL$112,NOV!$AN28:$AQ28)</f>
        <v>0</v>
      </c>
      <c r="CM439" s="447">
        <f>SUMIF(NOV!$G$155:$J$155,CM$112,NOV!$AN28:$AQ28)</f>
        <v>0</v>
      </c>
      <c r="CN439" s="448">
        <f>SUMIF(NOV!$G$155:$J$155,CN$112,NOV!$AN28:$AQ28)</f>
        <v>0</v>
      </c>
      <c r="CO439" s="1100">
        <f>NOV!AS28</f>
        <v>0</v>
      </c>
      <c r="CP439" s="445">
        <f>NOV!AT28</f>
        <v>0</v>
      </c>
      <c r="CQ439" s="446">
        <f>NOV!AU28</f>
        <v>0</v>
      </c>
      <c r="CR439" s="447">
        <f>NOV!AV28</f>
        <v>0</v>
      </c>
      <c r="CS439" s="448">
        <f>NOV!AW28</f>
        <v>0</v>
      </c>
      <c r="CT439" s="1100">
        <f>NOV!AY28</f>
        <v>0</v>
      </c>
      <c r="CU439" s="2"/>
    </row>
    <row r="440" spans="1:99" ht="14.25" hidden="1" customHeight="1" x14ac:dyDescent="0.2">
      <c r="A440" s="2"/>
      <c r="B440" s="151">
        <f t="shared" si="306"/>
        <v>45618</v>
      </c>
      <c r="C440" s="223">
        <f>IF(AND(E440&gt;(N$495-1),E440&lt;(R$495+1)),W$485,IF(ISERROR(HLOOKUP(E440,$N$488:$U$488,1,FALSE)),HLOOKUP(WEEKDAY(E440,2),IMPOSTAZIONI!$C$51:$P$56,6,FALSE),$W$484))</f>
        <v>0</v>
      </c>
      <c r="D440" s="103" t="str">
        <f t="shared" si="307"/>
        <v/>
      </c>
      <c r="E440" s="2380">
        <f t="shared" si="318"/>
        <v>45618</v>
      </c>
      <c r="F440" s="2381"/>
      <c r="G440" s="2325" t="str">
        <f>NOV!E29</f>
        <v xml:space="preserve">attiva trim.  </v>
      </c>
      <c r="H440" s="2326"/>
      <c r="I440" s="2327"/>
      <c r="J440" s="479" t="str">
        <f t="shared" si="303"/>
        <v/>
      </c>
      <c r="K440" s="480"/>
      <c r="L440" s="2319">
        <f t="shared" si="301"/>
        <v>47</v>
      </c>
      <c r="M440" s="2320"/>
      <c r="N440" s="478"/>
      <c r="O440" s="478"/>
      <c r="P440" s="478"/>
      <c r="Q440" s="2315">
        <f t="shared" si="308"/>
        <v>45618</v>
      </c>
      <c r="R440" s="2315"/>
      <c r="S440" s="478"/>
      <c r="T440" s="140">
        <f t="shared" si="309"/>
        <v>1</v>
      </c>
      <c r="U440" s="478"/>
      <c r="V440" s="478"/>
      <c r="W440" s="478"/>
      <c r="X440" s="478"/>
      <c r="Y440" s="478"/>
      <c r="Z440" s="478"/>
      <c r="AA440" s="478"/>
      <c r="AB440" s="478"/>
      <c r="AC440" s="478"/>
      <c r="AD440" s="478"/>
      <c r="AE440" s="478"/>
      <c r="AF440" s="478"/>
      <c r="AG440" s="140">
        <f t="shared" si="310"/>
        <v>0</v>
      </c>
      <c r="AH440" s="92" t="str">
        <f t="shared" si="311"/>
        <v/>
      </c>
      <c r="AI440" s="131">
        <f t="shared" si="312"/>
        <v>0</v>
      </c>
      <c r="AJ440" s="2"/>
      <c r="AK440" s="92">
        <f>IF(G440=G$481,0,IF(OR(G440&lt;&gt;0,CJ440&lt;&gt;0,C440="L"),COUNTIF(AK$114:AK439,"&gt;0")+1,0))</f>
        <v>0</v>
      </c>
      <c r="AL440" s="92" t="str">
        <f t="shared" si="313"/>
        <v/>
      </c>
      <c r="AM440" s="92" t="str">
        <f t="shared" si="314"/>
        <v/>
      </c>
      <c r="AN440" s="131">
        <f t="shared" si="304"/>
        <v>0</v>
      </c>
      <c r="AO440" s="447">
        <f>SUM(NOV!W29:Z29)</f>
        <v>0</v>
      </c>
      <c r="AP440" s="445">
        <f>SUMIF(NOV!$G$155:$J$155,AP$112,NOV!$R29:$U29)</f>
        <v>0</v>
      </c>
      <c r="AQ440" s="446">
        <f>SUMIF(NOV!$G$155:$J$155,AQ$112,NOV!$R29:$U29)</f>
        <v>0</v>
      </c>
      <c r="AR440" s="447">
        <f>SUMIF(NOV!$G$155:$J$155,AR$112,NOV!$R29:$U29)</f>
        <v>0</v>
      </c>
      <c r="AS440" s="448">
        <f>SUMIF(NOV!$G$155:$J$155,AS$112,NOV!$R29:$U29)</f>
        <v>0</v>
      </c>
      <c r="AT440" s="449">
        <f>NOV!AG29</f>
        <v>0</v>
      </c>
      <c r="AU440" s="445">
        <f>NOV!AH29</f>
        <v>0</v>
      </c>
      <c r="AV440" s="446">
        <f>NOV!AI29</f>
        <v>0</v>
      </c>
      <c r="AW440" s="447">
        <f>NOV!AJ29</f>
        <v>0</v>
      </c>
      <c r="AX440" s="448">
        <f>NOV!AK29</f>
        <v>0</v>
      </c>
      <c r="AY440" s="445">
        <f>SUMIF(NOV!$G$152:$J$152,"&gt;0",NOV!$W29:$Z29)</f>
        <v>0</v>
      </c>
      <c r="AZ440" s="1063">
        <f>SUM(NOV!AB29:AE29)</f>
        <v>0</v>
      </c>
      <c r="BA440" s="445">
        <f>SUMIF(NOV!$G$159:$J$159,BA$111,NOV!$R29:$U29)+SUMIF(NOV!$G$159:$J$159,BA$111,NOV!$W29:$Z29)</f>
        <v>0</v>
      </c>
      <c r="BB440" s="446">
        <f>SUMIF(NOV!$G$159:$J$159,BB$111,NOV!$R29:$U29)+SUMIF(NOV!$G$159:$J$159,BB$111,NOV!$W29:$Z29)</f>
        <v>0</v>
      </c>
      <c r="BC440" s="446">
        <f>SUMIF(NOV!$G$159:$J$159,BC$111,NOV!$R29:$U29)+SUMIF(NOV!$G$159:$J$159,BC$111,NOV!$W29:$Z29)</f>
        <v>0</v>
      </c>
      <c r="BD440" s="446">
        <f>SUMIF(NOV!$G$159:$J$159,BD$111,NOV!$R29:$U29)+SUMIF(NOV!$G$159:$J$159,BD$111,NOV!$W29:$Z29)</f>
        <v>0</v>
      </c>
      <c r="BE440" s="446">
        <f>SUMIF(NOV!$G$159:$J$159,BE$111,NOV!$R29:$U29)+SUMIF(NOV!$G$159:$J$159,BE$111,NOV!$W29:$Z29)</f>
        <v>0</v>
      </c>
      <c r="BF440" s="446">
        <f>SUMIF(NOV!$G$159:$J$159,BF$111,NOV!$R29:$U29)+SUMIF(NOV!$G$159:$J$159,BF$111,NOV!$W29:$Z29)</f>
        <v>0</v>
      </c>
      <c r="BG440" s="448">
        <f>SUMIF(NOV!$G$159:$J$159,BG$111,NOV!$R29:$U29)+SUMIF(NOV!$G$159:$J$159,BG$111,NOV!$W29:$Z29)</f>
        <v>0</v>
      </c>
      <c r="BH440" s="571"/>
      <c r="BI440" s="448"/>
      <c r="BJ440" s="470"/>
      <c r="BK440" s="445">
        <f>SUMIF(NOV!$G$157:$J$157,BK$111,NOV!$R29:$U29)+SUMIF(NOV!$G$157:$J$157,BK$111,NOV!$W29:$Z29)</f>
        <v>0</v>
      </c>
      <c r="BL440" s="446">
        <f>SUMIF(NOV!$G$157:$J$157,BL$111,NOV!$R29:$U29)+SUMIF(NOV!$G$157:$J$157,BL$111,NOV!$W29:$Z29)</f>
        <v>0</v>
      </c>
      <c r="BM440" s="446">
        <f>SUMIF(NOV!$G$157:$J$157,BM$111,NOV!$R29:$U29)+SUMIF(NOV!$G$157:$J$157,BM$111,NOV!$W29:$Z29)</f>
        <v>0</v>
      </c>
      <c r="BN440" s="446">
        <f>SUMIF(NOV!$G$157:$J$157,BN$111,NOV!$R29:$U29)+SUMIF(NOV!$G$157:$J$157,BN$111,NOV!$W29:$Z29)</f>
        <v>0</v>
      </c>
      <c r="BO440" s="446">
        <f>SUMIF(NOV!$G$157:$J$157,BO$111,NOV!$R29:$U29)+SUMIF(NOV!$G$157:$J$157,BO$111,NOV!$W29:$Z29)</f>
        <v>0</v>
      </c>
      <c r="BP440" s="446">
        <f>SUMIF(NOV!$G$157:$J$157,BP$111,NOV!$R29:$U29)+SUMIF(NOV!$G$157:$J$157,BP$111,NOV!$W29:$Z29)</f>
        <v>0</v>
      </c>
      <c r="BQ440" s="448">
        <f>SUMIF(NOV!$G$157:$J$157,BQ$111,NOV!$R29:$U29)+SUMIF(NOV!$G$157:$J$157,BQ$111,NOV!$W29:$Z29)</f>
        <v>0</v>
      </c>
      <c r="BR440" s="571"/>
      <c r="BS440" s="446"/>
      <c r="BT440" s="448"/>
      <c r="BU440" s="470"/>
      <c r="BV440" s="445">
        <f>SUMIF(NOV!$G$158:$J$158,BV$111,NOV!$R29:$U29)+SUMIF(NOV!$G$158:$J$158,BV$111,NOV!$W29:$Z29)</f>
        <v>0</v>
      </c>
      <c r="BW440" s="446">
        <f>SUMIF(NOV!$G$158:$J$158,BW$111,NOV!$R29:$U29)+SUMIF(NOV!$G$158:$J$158,BW$111,NOV!$W29:$Z29)</f>
        <v>0</v>
      </c>
      <c r="BX440" s="446">
        <f>SUMIF(NOV!$G$158:$J$158,BX$111,NOV!$R29:$U29)+SUMIF(NOV!$G$158:$J$158,BX$111,NOV!$W29:$Z29)</f>
        <v>0</v>
      </c>
      <c r="BY440" s="446">
        <f>SUMIF(NOV!$G$158:$J$158,BY$111,NOV!$R29:$U29)+SUMIF(NOV!$G$158:$J$158,BY$111,NOV!$W29:$Z29)</f>
        <v>0</v>
      </c>
      <c r="BZ440" s="446">
        <f>SUMIF(NOV!$G$158:$J$158,BZ$111,NOV!$R29:$U29)+SUMIF(NOV!$G$158:$J$158,BZ$111,NOV!$W29:$Z29)</f>
        <v>0</v>
      </c>
      <c r="CA440" s="446">
        <f>SUMIF(NOV!$G$158:$J$158,CA$111,NOV!$R29:$U29)+SUMIF(NOV!$G$158:$J$158,CA$111,NOV!$W29:$Z29)</f>
        <v>0</v>
      </c>
      <c r="CB440" s="448">
        <f>SUMIF(NOV!$G$158:$J$158,CB$111,NOV!$R29:$U29)+SUMIF(NOV!$G$158:$J$158,CB$111,NOV!$W29:$Z29)</f>
        <v>0</v>
      </c>
      <c r="CC440" s="571"/>
      <c r="CD440" s="448"/>
      <c r="CE440" s="92">
        <f t="shared" si="315"/>
        <v>0</v>
      </c>
      <c r="CF440" s="92">
        <f t="shared" si="316"/>
        <v>0</v>
      </c>
      <c r="CG440" s="151" t="str">
        <f t="shared" si="302"/>
        <v/>
      </c>
      <c r="CH440" s="92">
        <f t="shared" si="305"/>
        <v>0</v>
      </c>
      <c r="CI440" s="92" t="str">
        <f t="shared" si="317"/>
        <v/>
      </c>
      <c r="CJ440" s="1100">
        <f>NOV!AM29</f>
        <v>0</v>
      </c>
      <c r="CK440" s="445">
        <f>SUMIF(NOV!$G$155:$J$155,CK$112,NOV!$AN29:$AQ29)</f>
        <v>0</v>
      </c>
      <c r="CL440" s="446">
        <f>SUMIF(NOV!$G$155:$J$155,CL$112,NOV!$AN29:$AQ29)</f>
        <v>0</v>
      </c>
      <c r="CM440" s="447">
        <f>SUMIF(NOV!$G$155:$J$155,CM$112,NOV!$AN29:$AQ29)</f>
        <v>0</v>
      </c>
      <c r="CN440" s="448">
        <f>SUMIF(NOV!$G$155:$J$155,CN$112,NOV!$AN29:$AQ29)</f>
        <v>0</v>
      </c>
      <c r="CO440" s="1100">
        <f>NOV!AS29</f>
        <v>0</v>
      </c>
      <c r="CP440" s="445">
        <f>NOV!AT29</f>
        <v>0</v>
      </c>
      <c r="CQ440" s="446">
        <f>NOV!AU29</f>
        <v>0</v>
      </c>
      <c r="CR440" s="447">
        <f>NOV!AV29</f>
        <v>0</v>
      </c>
      <c r="CS440" s="448">
        <f>NOV!AW29</f>
        <v>0</v>
      </c>
      <c r="CT440" s="1100">
        <f>NOV!AY29</f>
        <v>0</v>
      </c>
      <c r="CU440" s="2"/>
    </row>
    <row r="441" spans="1:99" ht="14.25" hidden="1" customHeight="1" x14ac:dyDescent="0.2">
      <c r="A441" s="2"/>
      <c r="B441" s="151">
        <f t="shared" si="306"/>
        <v>45619</v>
      </c>
      <c r="C441" s="223">
        <f>IF(AND(E441&gt;(N$495-1),E441&lt;(R$495+1)),W$485,IF(ISERROR(HLOOKUP(E441,$N$488:$U$488,1,FALSE)),HLOOKUP(WEEKDAY(E441,2),IMPOSTAZIONI!$C$51:$P$56,6,FALSE),$W$484))</f>
        <v>0</v>
      </c>
      <c r="D441" s="103" t="str">
        <f t="shared" si="307"/>
        <v/>
      </c>
      <c r="E441" s="2380">
        <f t="shared" si="318"/>
        <v>45619</v>
      </c>
      <c r="F441" s="2381"/>
      <c r="G441" s="2325" t="str">
        <f>NOV!E30</f>
        <v xml:space="preserve">attiva trim.  </v>
      </c>
      <c r="H441" s="2326"/>
      <c r="I441" s="2327"/>
      <c r="J441" s="479" t="str">
        <f t="shared" si="303"/>
        <v/>
      </c>
      <c r="K441" s="480"/>
      <c r="L441" s="2319">
        <f t="shared" si="301"/>
        <v>47</v>
      </c>
      <c r="M441" s="2320"/>
      <c r="N441" s="478"/>
      <c r="O441" s="478"/>
      <c r="P441" s="478"/>
      <c r="Q441" s="2315">
        <f t="shared" si="308"/>
        <v>45619</v>
      </c>
      <c r="R441" s="2315"/>
      <c r="S441" s="478"/>
      <c r="T441" s="140">
        <f t="shared" si="309"/>
        <v>1</v>
      </c>
      <c r="U441" s="478"/>
      <c r="V441" s="478"/>
      <c r="W441" s="478"/>
      <c r="X441" s="478"/>
      <c r="Y441" s="478"/>
      <c r="Z441" s="478"/>
      <c r="AA441" s="478"/>
      <c r="AB441" s="478"/>
      <c r="AC441" s="478"/>
      <c r="AD441" s="478"/>
      <c r="AE441" s="478"/>
      <c r="AF441" s="478"/>
      <c r="AG441" s="140">
        <f t="shared" si="310"/>
        <v>0</v>
      </c>
      <c r="AH441" s="92" t="str">
        <f t="shared" si="311"/>
        <v/>
      </c>
      <c r="AI441" s="131">
        <f t="shared" si="312"/>
        <v>0</v>
      </c>
      <c r="AJ441" s="2"/>
      <c r="AK441" s="92">
        <f>IF(G441=G$481,0,IF(OR(G441&lt;&gt;0,CJ441&lt;&gt;0,C441="L"),COUNTIF(AK$114:AK440,"&gt;0")+1,0))</f>
        <v>0</v>
      </c>
      <c r="AL441" s="92" t="str">
        <f t="shared" si="313"/>
        <v/>
      </c>
      <c r="AM441" s="92" t="str">
        <f t="shared" si="314"/>
        <v/>
      </c>
      <c r="AN441" s="131">
        <f t="shared" si="304"/>
        <v>0</v>
      </c>
      <c r="AO441" s="447">
        <f>SUM(NOV!W30:Z30)</f>
        <v>0</v>
      </c>
      <c r="AP441" s="445">
        <f>SUMIF(NOV!$G$155:$J$155,AP$112,NOV!$R30:$U30)</f>
        <v>0</v>
      </c>
      <c r="AQ441" s="446">
        <f>SUMIF(NOV!$G$155:$J$155,AQ$112,NOV!$R30:$U30)</f>
        <v>0</v>
      </c>
      <c r="AR441" s="447">
        <f>SUMIF(NOV!$G$155:$J$155,AR$112,NOV!$R30:$U30)</f>
        <v>0</v>
      </c>
      <c r="AS441" s="448">
        <f>SUMIF(NOV!$G$155:$J$155,AS$112,NOV!$R30:$U30)</f>
        <v>0</v>
      </c>
      <c r="AT441" s="449">
        <f>NOV!AG30</f>
        <v>0</v>
      </c>
      <c r="AU441" s="445">
        <f>NOV!AH30</f>
        <v>0</v>
      </c>
      <c r="AV441" s="446">
        <f>NOV!AI30</f>
        <v>0</v>
      </c>
      <c r="AW441" s="447">
        <f>NOV!AJ30</f>
        <v>0</v>
      </c>
      <c r="AX441" s="448">
        <f>NOV!AK30</f>
        <v>0</v>
      </c>
      <c r="AY441" s="445">
        <f>SUMIF(NOV!$G$152:$J$152,"&gt;0",NOV!$W30:$Z30)</f>
        <v>0</v>
      </c>
      <c r="AZ441" s="1063">
        <f>SUM(NOV!AB30:AE30)</f>
        <v>0</v>
      </c>
      <c r="BA441" s="445">
        <f>SUMIF(NOV!$G$159:$J$159,BA$111,NOV!$R30:$U30)+SUMIF(NOV!$G$159:$J$159,BA$111,NOV!$W30:$Z30)</f>
        <v>0</v>
      </c>
      <c r="BB441" s="446">
        <f>SUMIF(NOV!$G$159:$J$159,BB$111,NOV!$R30:$U30)+SUMIF(NOV!$G$159:$J$159,BB$111,NOV!$W30:$Z30)</f>
        <v>0</v>
      </c>
      <c r="BC441" s="446">
        <f>SUMIF(NOV!$G$159:$J$159,BC$111,NOV!$R30:$U30)+SUMIF(NOV!$G$159:$J$159,BC$111,NOV!$W30:$Z30)</f>
        <v>0</v>
      </c>
      <c r="BD441" s="446">
        <f>SUMIF(NOV!$G$159:$J$159,BD$111,NOV!$R30:$U30)+SUMIF(NOV!$G$159:$J$159,BD$111,NOV!$W30:$Z30)</f>
        <v>0</v>
      </c>
      <c r="BE441" s="446">
        <f>SUMIF(NOV!$G$159:$J$159,BE$111,NOV!$R30:$U30)+SUMIF(NOV!$G$159:$J$159,BE$111,NOV!$W30:$Z30)</f>
        <v>0</v>
      </c>
      <c r="BF441" s="446">
        <f>SUMIF(NOV!$G$159:$J$159,BF$111,NOV!$R30:$U30)+SUMIF(NOV!$G$159:$J$159,BF$111,NOV!$W30:$Z30)</f>
        <v>0</v>
      </c>
      <c r="BG441" s="448">
        <f>SUMIF(NOV!$G$159:$J$159,BG$111,NOV!$R30:$U30)+SUMIF(NOV!$G$159:$J$159,BG$111,NOV!$W30:$Z30)</f>
        <v>0</v>
      </c>
      <c r="BH441" s="571"/>
      <c r="BI441" s="448"/>
      <c r="BJ441" s="470"/>
      <c r="BK441" s="445">
        <f>SUMIF(NOV!$G$157:$J$157,BK$111,NOV!$R30:$U30)+SUMIF(NOV!$G$157:$J$157,BK$111,NOV!$W30:$Z30)</f>
        <v>0</v>
      </c>
      <c r="BL441" s="446">
        <f>SUMIF(NOV!$G$157:$J$157,BL$111,NOV!$R30:$U30)+SUMIF(NOV!$G$157:$J$157,BL$111,NOV!$W30:$Z30)</f>
        <v>0</v>
      </c>
      <c r="BM441" s="446">
        <f>SUMIF(NOV!$G$157:$J$157,BM$111,NOV!$R30:$U30)+SUMIF(NOV!$G$157:$J$157,BM$111,NOV!$W30:$Z30)</f>
        <v>0</v>
      </c>
      <c r="BN441" s="446">
        <f>SUMIF(NOV!$G$157:$J$157,BN$111,NOV!$R30:$U30)+SUMIF(NOV!$G$157:$J$157,BN$111,NOV!$W30:$Z30)</f>
        <v>0</v>
      </c>
      <c r="BO441" s="446">
        <f>SUMIF(NOV!$G$157:$J$157,BO$111,NOV!$R30:$U30)+SUMIF(NOV!$G$157:$J$157,BO$111,NOV!$W30:$Z30)</f>
        <v>0</v>
      </c>
      <c r="BP441" s="446">
        <f>SUMIF(NOV!$G$157:$J$157,BP$111,NOV!$R30:$U30)+SUMIF(NOV!$G$157:$J$157,BP$111,NOV!$W30:$Z30)</f>
        <v>0</v>
      </c>
      <c r="BQ441" s="448">
        <f>SUMIF(NOV!$G$157:$J$157,BQ$111,NOV!$R30:$U30)+SUMIF(NOV!$G$157:$J$157,BQ$111,NOV!$W30:$Z30)</f>
        <v>0</v>
      </c>
      <c r="BR441" s="571"/>
      <c r="BS441" s="446"/>
      <c r="BT441" s="448"/>
      <c r="BU441" s="470"/>
      <c r="BV441" s="445">
        <f>SUMIF(NOV!$G$158:$J$158,BV$111,NOV!$R30:$U30)+SUMIF(NOV!$G$158:$J$158,BV$111,NOV!$W30:$Z30)</f>
        <v>0</v>
      </c>
      <c r="BW441" s="446">
        <f>SUMIF(NOV!$G$158:$J$158,BW$111,NOV!$R30:$U30)+SUMIF(NOV!$G$158:$J$158,BW$111,NOV!$W30:$Z30)</f>
        <v>0</v>
      </c>
      <c r="BX441" s="446">
        <f>SUMIF(NOV!$G$158:$J$158,BX$111,NOV!$R30:$U30)+SUMIF(NOV!$G$158:$J$158,BX$111,NOV!$W30:$Z30)</f>
        <v>0</v>
      </c>
      <c r="BY441" s="446">
        <f>SUMIF(NOV!$G$158:$J$158,BY$111,NOV!$R30:$U30)+SUMIF(NOV!$G$158:$J$158,BY$111,NOV!$W30:$Z30)</f>
        <v>0</v>
      </c>
      <c r="BZ441" s="446">
        <f>SUMIF(NOV!$G$158:$J$158,BZ$111,NOV!$R30:$U30)+SUMIF(NOV!$G$158:$J$158,BZ$111,NOV!$W30:$Z30)</f>
        <v>0</v>
      </c>
      <c r="CA441" s="446">
        <f>SUMIF(NOV!$G$158:$J$158,CA$111,NOV!$R30:$U30)+SUMIF(NOV!$G$158:$J$158,CA$111,NOV!$W30:$Z30)</f>
        <v>0</v>
      </c>
      <c r="CB441" s="448">
        <f>SUMIF(NOV!$G$158:$J$158,CB$111,NOV!$R30:$U30)+SUMIF(NOV!$G$158:$J$158,CB$111,NOV!$W30:$Z30)</f>
        <v>0</v>
      </c>
      <c r="CC441" s="571"/>
      <c r="CD441" s="448"/>
      <c r="CE441" s="92">
        <f t="shared" si="315"/>
        <v>0</v>
      </c>
      <c r="CF441" s="92">
        <f t="shared" si="316"/>
        <v>0</v>
      </c>
      <c r="CG441" s="151" t="str">
        <f t="shared" si="302"/>
        <v/>
      </c>
      <c r="CH441" s="92">
        <f t="shared" si="305"/>
        <v>0</v>
      </c>
      <c r="CI441" s="92" t="str">
        <f t="shared" si="317"/>
        <v/>
      </c>
      <c r="CJ441" s="1100">
        <f>NOV!AM30</f>
        <v>0</v>
      </c>
      <c r="CK441" s="445">
        <f>SUMIF(NOV!$G$155:$J$155,CK$112,NOV!$AN30:$AQ30)</f>
        <v>0</v>
      </c>
      <c r="CL441" s="446">
        <f>SUMIF(NOV!$G$155:$J$155,CL$112,NOV!$AN30:$AQ30)</f>
        <v>0</v>
      </c>
      <c r="CM441" s="447">
        <f>SUMIF(NOV!$G$155:$J$155,CM$112,NOV!$AN30:$AQ30)</f>
        <v>0</v>
      </c>
      <c r="CN441" s="448">
        <f>SUMIF(NOV!$G$155:$J$155,CN$112,NOV!$AN30:$AQ30)</f>
        <v>0</v>
      </c>
      <c r="CO441" s="1100">
        <f>NOV!AS30</f>
        <v>0</v>
      </c>
      <c r="CP441" s="445">
        <f>NOV!AT30</f>
        <v>0</v>
      </c>
      <c r="CQ441" s="446">
        <f>NOV!AU30</f>
        <v>0</v>
      </c>
      <c r="CR441" s="447">
        <f>NOV!AV30</f>
        <v>0</v>
      </c>
      <c r="CS441" s="448">
        <f>NOV!AW30</f>
        <v>0</v>
      </c>
      <c r="CT441" s="1100">
        <f>NOV!AY30</f>
        <v>0</v>
      </c>
      <c r="CU441" s="2"/>
    </row>
    <row r="442" spans="1:99" ht="14.25" hidden="1" customHeight="1" x14ac:dyDescent="0.2">
      <c r="A442" s="2"/>
      <c r="B442" s="151">
        <f t="shared" si="306"/>
        <v>45620</v>
      </c>
      <c r="C442" s="223">
        <f>IF(AND(E442&gt;(N$495-1),E442&lt;(R$495+1)),W$485,IF(ISERROR(HLOOKUP(E442,$N$488:$U$488,1,FALSE)),HLOOKUP(WEEKDAY(E442,2),IMPOSTAZIONI!$C$51:$P$56,6,FALSE),$W$484))</f>
        <v>0</v>
      </c>
      <c r="D442" s="103" t="str">
        <f t="shared" si="307"/>
        <v/>
      </c>
      <c r="E442" s="2380">
        <f t="shared" si="318"/>
        <v>45620</v>
      </c>
      <c r="F442" s="2381"/>
      <c r="G442" s="2325" t="str">
        <f>NOV!E31</f>
        <v xml:space="preserve">attiva trim.  </v>
      </c>
      <c r="H442" s="2326"/>
      <c r="I442" s="2327"/>
      <c r="J442" s="479" t="str">
        <f t="shared" si="303"/>
        <v/>
      </c>
      <c r="K442" s="480"/>
      <c r="L442" s="2321">
        <f t="shared" si="301"/>
        <v>47</v>
      </c>
      <c r="M442" s="2322"/>
      <c r="N442" s="478"/>
      <c r="O442" s="478"/>
      <c r="P442" s="478"/>
      <c r="Q442" s="2315">
        <f t="shared" si="308"/>
        <v>45620</v>
      </c>
      <c r="R442" s="2315"/>
      <c r="S442" s="478"/>
      <c r="T442" s="140">
        <f t="shared" si="309"/>
        <v>1</v>
      </c>
      <c r="U442" s="478"/>
      <c r="V442" s="478"/>
      <c r="W442" s="478"/>
      <c r="X442" s="478"/>
      <c r="Y442" s="478"/>
      <c r="Z442" s="478"/>
      <c r="AA442" s="478"/>
      <c r="AB442" s="478"/>
      <c r="AC442" s="478"/>
      <c r="AD442" s="478"/>
      <c r="AE442" s="478"/>
      <c r="AF442" s="478"/>
      <c r="AG442" s="140">
        <f t="shared" si="310"/>
        <v>0</v>
      </c>
      <c r="AH442" s="92" t="str">
        <f t="shared" si="311"/>
        <v/>
      </c>
      <c r="AI442" s="131">
        <f t="shared" si="312"/>
        <v>0</v>
      </c>
      <c r="AJ442" s="2"/>
      <c r="AK442" s="92">
        <f>IF(G442=G$481,0,IF(OR(G442&lt;&gt;0,CJ442&lt;&gt;0,C442="L"),COUNTIF(AK$114:AK441,"&gt;0")+1,0))</f>
        <v>0</v>
      </c>
      <c r="AL442" s="92" t="str">
        <f t="shared" si="313"/>
        <v/>
      </c>
      <c r="AM442" s="92" t="str">
        <f t="shared" si="314"/>
        <v/>
      </c>
      <c r="AN442" s="131">
        <f t="shared" si="304"/>
        <v>0</v>
      </c>
      <c r="AO442" s="447">
        <f>SUM(NOV!W31:Z31)</f>
        <v>0</v>
      </c>
      <c r="AP442" s="445">
        <f>SUMIF(NOV!$G$155:$J$155,AP$112,NOV!$R31:$U31)</f>
        <v>0</v>
      </c>
      <c r="AQ442" s="446">
        <f>SUMIF(NOV!$G$155:$J$155,AQ$112,NOV!$R31:$U31)</f>
        <v>0</v>
      </c>
      <c r="AR442" s="447">
        <f>SUMIF(NOV!$G$155:$J$155,AR$112,NOV!$R31:$U31)</f>
        <v>0</v>
      </c>
      <c r="AS442" s="448">
        <f>SUMIF(NOV!$G$155:$J$155,AS$112,NOV!$R31:$U31)</f>
        <v>0</v>
      </c>
      <c r="AT442" s="449">
        <f>NOV!AG31</f>
        <v>0</v>
      </c>
      <c r="AU442" s="445">
        <f>NOV!AH31</f>
        <v>0</v>
      </c>
      <c r="AV442" s="446">
        <f>NOV!AI31</f>
        <v>0</v>
      </c>
      <c r="AW442" s="447">
        <f>NOV!AJ31</f>
        <v>0</v>
      </c>
      <c r="AX442" s="448">
        <f>NOV!AK31</f>
        <v>0</v>
      </c>
      <c r="AY442" s="445">
        <f>SUMIF(NOV!$G$152:$J$152,"&gt;0",NOV!$W31:$Z31)</f>
        <v>0</v>
      </c>
      <c r="AZ442" s="1063">
        <f>SUM(NOV!AB31:AE31)</f>
        <v>0</v>
      </c>
      <c r="BA442" s="445">
        <f>SUMIF(NOV!$G$159:$J$159,BA$111,NOV!$R31:$U31)+SUMIF(NOV!$G$159:$J$159,BA$111,NOV!$W31:$Z31)</f>
        <v>0</v>
      </c>
      <c r="BB442" s="446">
        <f>SUMIF(NOV!$G$159:$J$159,BB$111,NOV!$R31:$U31)+SUMIF(NOV!$G$159:$J$159,BB$111,NOV!$W31:$Z31)</f>
        <v>0</v>
      </c>
      <c r="BC442" s="446">
        <f>SUMIF(NOV!$G$159:$J$159,BC$111,NOV!$R31:$U31)+SUMIF(NOV!$G$159:$J$159,BC$111,NOV!$W31:$Z31)</f>
        <v>0</v>
      </c>
      <c r="BD442" s="446">
        <f>SUMIF(NOV!$G$159:$J$159,BD$111,NOV!$R31:$U31)+SUMIF(NOV!$G$159:$J$159,BD$111,NOV!$W31:$Z31)</f>
        <v>0</v>
      </c>
      <c r="BE442" s="446">
        <f>SUMIF(NOV!$G$159:$J$159,BE$111,NOV!$R31:$U31)+SUMIF(NOV!$G$159:$J$159,BE$111,NOV!$W31:$Z31)</f>
        <v>0</v>
      </c>
      <c r="BF442" s="446">
        <f>SUMIF(NOV!$G$159:$J$159,BF$111,NOV!$R31:$U31)+SUMIF(NOV!$G$159:$J$159,BF$111,NOV!$W31:$Z31)</f>
        <v>0</v>
      </c>
      <c r="BG442" s="448">
        <f>SUMIF(NOV!$G$159:$J$159,BG$111,NOV!$R31:$U31)+SUMIF(NOV!$G$159:$J$159,BG$111,NOV!$W31:$Z31)</f>
        <v>0</v>
      </c>
      <c r="BH442" s="571"/>
      <c r="BI442" s="448"/>
      <c r="BJ442" s="470"/>
      <c r="BK442" s="445">
        <f>SUMIF(NOV!$G$157:$J$157,BK$111,NOV!$R31:$U31)+SUMIF(NOV!$G$157:$J$157,BK$111,NOV!$W31:$Z31)</f>
        <v>0</v>
      </c>
      <c r="BL442" s="446">
        <f>SUMIF(NOV!$G$157:$J$157,BL$111,NOV!$R31:$U31)+SUMIF(NOV!$G$157:$J$157,BL$111,NOV!$W31:$Z31)</f>
        <v>0</v>
      </c>
      <c r="BM442" s="446">
        <f>SUMIF(NOV!$G$157:$J$157,BM$111,NOV!$R31:$U31)+SUMIF(NOV!$G$157:$J$157,BM$111,NOV!$W31:$Z31)</f>
        <v>0</v>
      </c>
      <c r="BN442" s="446">
        <f>SUMIF(NOV!$G$157:$J$157,BN$111,NOV!$R31:$U31)+SUMIF(NOV!$G$157:$J$157,BN$111,NOV!$W31:$Z31)</f>
        <v>0</v>
      </c>
      <c r="BO442" s="446">
        <f>SUMIF(NOV!$G$157:$J$157,BO$111,NOV!$R31:$U31)+SUMIF(NOV!$G$157:$J$157,BO$111,NOV!$W31:$Z31)</f>
        <v>0</v>
      </c>
      <c r="BP442" s="446">
        <f>SUMIF(NOV!$G$157:$J$157,BP$111,NOV!$R31:$U31)+SUMIF(NOV!$G$157:$J$157,BP$111,NOV!$W31:$Z31)</f>
        <v>0</v>
      </c>
      <c r="BQ442" s="448">
        <f>SUMIF(NOV!$G$157:$J$157,BQ$111,NOV!$R31:$U31)+SUMIF(NOV!$G$157:$J$157,BQ$111,NOV!$W31:$Z31)</f>
        <v>0</v>
      </c>
      <c r="BR442" s="571"/>
      <c r="BS442" s="446"/>
      <c r="BT442" s="448"/>
      <c r="BU442" s="470"/>
      <c r="BV442" s="445">
        <f>SUMIF(NOV!$G$158:$J$158,BV$111,NOV!$R31:$U31)+SUMIF(NOV!$G$158:$J$158,BV$111,NOV!$W31:$Z31)</f>
        <v>0</v>
      </c>
      <c r="BW442" s="446">
        <f>SUMIF(NOV!$G$158:$J$158,BW$111,NOV!$R31:$U31)+SUMIF(NOV!$G$158:$J$158,BW$111,NOV!$W31:$Z31)</f>
        <v>0</v>
      </c>
      <c r="BX442" s="446">
        <f>SUMIF(NOV!$G$158:$J$158,BX$111,NOV!$R31:$U31)+SUMIF(NOV!$G$158:$J$158,BX$111,NOV!$W31:$Z31)</f>
        <v>0</v>
      </c>
      <c r="BY442" s="446">
        <f>SUMIF(NOV!$G$158:$J$158,BY$111,NOV!$R31:$U31)+SUMIF(NOV!$G$158:$J$158,BY$111,NOV!$W31:$Z31)</f>
        <v>0</v>
      </c>
      <c r="BZ442" s="446">
        <f>SUMIF(NOV!$G$158:$J$158,BZ$111,NOV!$R31:$U31)+SUMIF(NOV!$G$158:$J$158,BZ$111,NOV!$W31:$Z31)</f>
        <v>0</v>
      </c>
      <c r="CA442" s="446">
        <f>SUMIF(NOV!$G$158:$J$158,CA$111,NOV!$R31:$U31)+SUMIF(NOV!$G$158:$J$158,CA$111,NOV!$W31:$Z31)</f>
        <v>0</v>
      </c>
      <c r="CB442" s="448">
        <f>SUMIF(NOV!$G$158:$J$158,CB$111,NOV!$R31:$U31)+SUMIF(NOV!$G$158:$J$158,CB$111,NOV!$W31:$Z31)</f>
        <v>0</v>
      </c>
      <c r="CC442" s="571"/>
      <c r="CD442" s="448"/>
      <c r="CE442" s="92">
        <f t="shared" si="315"/>
        <v>0</v>
      </c>
      <c r="CF442" s="92">
        <f t="shared" si="316"/>
        <v>0</v>
      </c>
      <c r="CG442" s="151" t="str">
        <f t="shared" si="302"/>
        <v/>
      </c>
      <c r="CH442" s="92">
        <f t="shared" si="305"/>
        <v>0</v>
      </c>
      <c r="CI442" s="92" t="str">
        <f t="shared" si="317"/>
        <v/>
      </c>
      <c r="CJ442" s="1100">
        <f>NOV!AM31</f>
        <v>0</v>
      </c>
      <c r="CK442" s="445">
        <f>SUMIF(NOV!$G$155:$J$155,CK$112,NOV!$AN31:$AQ31)</f>
        <v>0</v>
      </c>
      <c r="CL442" s="446">
        <f>SUMIF(NOV!$G$155:$J$155,CL$112,NOV!$AN31:$AQ31)</f>
        <v>0</v>
      </c>
      <c r="CM442" s="447">
        <f>SUMIF(NOV!$G$155:$J$155,CM$112,NOV!$AN31:$AQ31)</f>
        <v>0</v>
      </c>
      <c r="CN442" s="448">
        <f>SUMIF(NOV!$G$155:$J$155,CN$112,NOV!$AN31:$AQ31)</f>
        <v>0</v>
      </c>
      <c r="CO442" s="1100">
        <f>NOV!AS31</f>
        <v>0</v>
      </c>
      <c r="CP442" s="445">
        <f>NOV!AT31</f>
        <v>0</v>
      </c>
      <c r="CQ442" s="446">
        <f>NOV!AU31</f>
        <v>0</v>
      </c>
      <c r="CR442" s="447">
        <f>NOV!AV31</f>
        <v>0</v>
      </c>
      <c r="CS442" s="448">
        <f>NOV!AW31</f>
        <v>0</v>
      </c>
      <c r="CT442" s="1100">
        <f>NOV!AY31</f>
        <v>0</v>
      </c>
      <c r="CU442" s="2"/>
    </row>
    <row r="443" spans="1:99" ht="14.25" hidden="1" customHeight="1" x14ac:dyDescent="0.2">
      <c r="A443" s="2"/>
      <c r="B443" s="151">
        <f t="shared" si="306"/>
        <v>45621</v>
      </c>
      <c r="C443" s="223">
        <f>IF(AND(E443&gt;(N$495-1),E443&lt;(R$495+1)),W$485,IF(ISERROR(HLOOKUP(E443,$N$488:$U$488,1,FALSE)),HLOOKUP(WEEKDAY(E443,2),IMPOSTAZIONI!$C$51:$P$56,6,FALSE),$W$484))</f>
        <v>0</v>
      </c>
      <c r="D443" s="103" t="str">
        <f t="shared" si="307"/>
        <v/>
      </c>
      <c r="E443" s="2380">
        <f t="shared" si="318"/>
        <v>45621</v>
      </c>
      <c r="F443" s="2381"/>
      <c r="G443" s="2325" t="str">
        <f>NOV!E32</f>
        <v xml:space="preserve">attiva trim.  </v>
      </c>
      <c r="H443" s="2326"/>
      <c r="I443" s="2327"/>
      <c r="J443" s="479" t="str">
        <f t="shared" si="303"/>
        <v/>
      </c>
      <c r="K443" s="480"/>
      <c r="L443" s="2323">
        <f t="shared" si="301"/>
        <v>48</v>
      </c>
      <c r="M443" s="2324"/>
      <c r="N443" s="478"/>
      <c r="O443" s="478"/>
      <c r="P443" s="478"/>
      <c r="Q443" s="2315">
        <f t="shared" si="308"/>
        <v>45621</v>
      </c>
      <c r="R443" s="2315"/>
      <c r="S443" s="478"/>
      <c r="T443" s="140">
        <f t="shared" si="309"/>
        <v>1</v>
      </c>
      <c r="U443" s="478"/>
      <c r="V443" s="478"/>
      <c r="W443" s="478"/>
      <c r="X443" s="478"/>
      <c r="Y443" s="478"/>
      <c r="Z443" s="478"/>
      <c r="AA443" s="478"/>
      <c r="AB443" s="478"/>
      <c r="AC443" s="478"/>
      <c r="AD443" s="478"/>
      <c r="AE443" s="478"/>
      <c r="AF443" s="478"/>
      <c r="AG443" s="140">
        <f t="shared" si="310"/>
        <v>0</v>
      </c>
      <c r="AH443" s="92" t="str">
        <f t="shared" si="311"/>
        <v/>
      </c>
      <c r="AI443" s="131">
        <f t="shared" si="312"/>
        <v>0</v>
      </c>
      <c r="AJ443" s="2"/>
      <c r="AK443" s="92">
        <f>IF(G443=G$481,0,IF(OR(G443&lt;&gt;0,CJ443&lt;&gt;0,C443="L"),COUNTIF(AK$114:AK442,"&gt;0")+1,0))</f>
        <v>0</v>
      </c>
      <c r="AL443" s="92" t="str">
        <f t="shared" si="313"/>
        <v/>
      </c>
      <c r="AM443" s="92" t="str">
        <f t="shared" si="314"/>
        <v/>
      </c>
      <c r="AN443" s="131">
        <f t="shared" si="304"/>
        <v>0</v>
      </c>
      <c r="AO443" s="447">
        <f>SUM(NOV!W32:Z32)</f>
        <v>0</v>
      </c>
      <c r="AP443" s="445">
        <f>SUMIF(NOV!$G$155:$J$155,AP$112,NOV!$R32:$U32)</f>
        <v>0</v>
      </c>
      <c r="AQ443" s="446">
        <f>SUMIF(NOV!$G$155:$J$155,AQ$112,NOV!$R32:$U32)</f>
        <v>0</v>
      </c>
      <c r="AR443" s="447">
        <f>SUMIF(NOV!$G$155:$J$155,AR$112,NOV!$R32:$U32)</f>
        <v>0</v>
      </c>
      <c r="AS443" s="448">
        <f>SUMIF(NOV!$G$155:$J$155,AS$112,NOV!$R32:$U32)</f>
        <v>0</v>
      </c>
      <c r="AT443" s="449">
        <f>NOV!AG32</f>
        <v>0</v>
      </c>
      <c r="AU443" s="445">
        <f>NOV!AH32</f>
        <v>0</v>
      </c>
      <c r="AV443" s="446">
        <f>NOV!AI32</f>
        <v>0</v>
      </c>
      <c r="AW443" s="447">
        <f>NOV!AJ32</f>
        <v>0</v>
      </c>
      <c r="AX443" s="448">
        <f>NOV!AK32</f>
        <v>0</v>
      </c>
      <c r="AY443" s="445">
        <f>SUMIF(NOV!$G$152:$J$152,"&gt;0",NOV!$W32:$Z32)</f>
        <v>0</v>
      </c>
      <c r="AZ443" s="1063">
        <f>SUM(NOV!AB32:AE32)</f>
        <v>0</v>
      </c>
      <c r="BA443" s="445">
        <f>SUMIF(NOV!$G$159:$J$159,BA$111,NOV!$R32:$U32)+SUMIF(NOV!$G$159:$J$159,BA$111,NOV!$W32:$Z32)</f>
        <v>0</v>
      </c>
      <c r="BB443" s="446">
        <f>SUMIF(NOV!$G$159:$J$159,BB$111,NOV!$R32:$U32)+SUMIF(NOV!$G$159:$J$159,BB$111,NOV!$W32:$Z32)</f>
        <v>0</v>
      </c>
      <c r="BC443" s="446">
        <f>SUMIF(NOV!$G$159:$J$159,BC$111,NOV!$R32:$U32)+SUMIF(NOV!$G$159:$J$159,BC$111,NOV!$W32:$Z32)</f>
        <v>0</v>
      </c>
      <c r="BD443" s="446">
        <f>SUMIF(NOV!$G$159:$J$159,BD$111,NOV!$R32:$U32)+SUMIF(NOV!$G$159:$J$159,BD$111,NOV!$W32:$Z32)</f>
        <v>0</v>
      </c>
      <c r="BE443" s="446">
        <f>SUMIF(NOV!$G$159:$J$159,BE$111,NOV!$R32:$U32)+SUMIF(NOV!$G$159:$J$159,BE$111,NOV!$W32:$Z32)</f>
        <v>0</v>
      </c>
      <c r="BF443" s="446">
        <f>SUMIF(NOV!$G$159:$J$159,BF$111,NOV!$R32:$U32)+SUMIF(NOV!$G$159:$J$159,BF$111,NOV!$W32:$Z32)</f>
        <v>0</v>
      </c>
      <c r="BG443" s="448">
        <f>SUMIF(NOV!$G$159:$J$159,BG$111,NOV!$R32:$U32)+SUMIF(NOV!$G$159:$J$159,BG$111,NOV!$W32:$Z32)</f>
        <v>0</v>
      </c>
      <c r="BH443" s="571"/>
      <c r="BI443" s="448"/>
      <c r="BJ443" s="470"/>
      <c r="BK443" s="445">
        <f>SUMIF(NOV!$G$157:$J$157,BK$111,NOV!$R32:$U32)+SUMIF(NOV!$G$157:$J$157,BK$111,NOV!$W32:$Z32)</f>
        <v>0</v>
      </c>
      <c r="BL443" s="446">
        <f>SUMIF(NOV!$G$157:$J$157,BL$111,NOV!$R32:$U32)+SUMIF(NOV!$G$157:$J$157,BL$111,NOV!$W32:$Z32)</f>
        <v>0</v>
      </c>
      <c r="BM443" s="446">
        <f>SUMIF(NOV!$G$157:$J$157,BM$111,NOV!$R32:$U32)+SUMIF(NOV!$G$157:$J$157,BM$111,NOV!$W32:$Z32)</f>
        <v>0</v>
      </c>
      <c r="BN443" s="446">
        <f>SUMIF(NOV!$G$157:$J$157,BN$111,NOV!$R32:$U32)+SUMIF(NOV!$G$157:$J$157,BN$111,NOV!$W32:$Z32)</f>
        <v>0</v>
      </c>
      <c r="BO443" s="446">
        <f>SUMIF(NOV!$G$157:$J$157,BO$111,NOV!$R32:$U32)+SUMIF(NOV!$G$157:$J$157,BO$111,NOV!$W32:$Z32)</f>
        <v>0</v>
      </c>
      <c r="BP443" s="446">
        <f>SUMIF(NOV!$G$157:$J$157,BP$111,NOV!$R32:$U32)+SUMIF(NOV!$G$157:$J$157,BP$111,NOV!$W32:$Z32)</f>
        <v>0</v>
      </c>
      <c r="BQ443" s="448">
        <f>SUMIF(NOV!$G$157:$J$157,BQ$111,NOV!$R32:$U32)+SUMIF(NOV!$G$157:$J$157,BQ$111,NOV!$W32:$Z32)</f>
        <v>0</v>
      </c>
      <c r="BR443" s="571"/>
      <c r="BS443" s="446"/>
      <c r="BT443" s="448"/>
      <c r="BU443" s="470"/>
      <c r="BV443" s="445">
        <f>SUMIF(NOV!$G$158:$J$158,BV$111,NOV!$R32:$U32)+SUMIF(NOV!$G$158:$J$158,BV$111,NOV!$W32:$Z32)</f>
        <v>0</v>
      </c>
      <c r="BW443" s="446">
        <f>SUMIF(NOV!$G$158:$J$158,BW$111,NOV!$R32:$U32)+SUMIF(NOV!$G$158:$J$158,BW$111,NOV!$W32:$Z32)</f>
        <v>0</v>
      </c>
      <c r="BX443" s="446">
        <f>SUMIF(NOV!$G$158:$J$158,BX$111,NOV!$R32:$U32)+SUMIF(NOV!$G$158:$J$158,BX$111,NOV!$W32:$Z32)</f>
        <v>0</v>
      </c>
      <c r="BY443" s="446">
        <f>SUMIF(NOV!$G$158:$J$158,BY$111,NOV!$R32:$U32)+SUMIF(NOV!$G$158:$J$158,BY$111,NOV!$W32:$Z32)</f>
        <v>0</v>
      </c>
      <c r="BZ443" s="446">
        <f>SUMIF(NOV!$G$158:$J$158,BZ$111,NOV!$R32:$U32)+SUMIF(NOV!$G$158:$J$158,BZ$111,NOV!$W32:$Z32)</f>
        <v>0</v>
      </c>
      <c r="CA443" s="446">
        <f>SUMIF(NOV!$G$158:$J$158,CA$111,NOV!$R32:$U32)+SUMIF(NOV!$G$158:$J$158,CA$111,NOV!$W32:$Z32)</f>
        <v>0</v>
      </c>
      <c r="CB443" s="448">
        <f>SUMIF(NOV!$G$158:$J$158,CB$111,NOV!$R32:$U32)+SUMIF(NOV!$G$158:$J$158,CB$111,NOV!$W32:$Z32)</f>
        <v>0</v>
      </c>
      <c r="CC443" s="571"/>
      <c r="CD443" s="448"/>
      <c r="CE443" s="92">
        <f t="shared" si="315"/>
        <v>0</v>
      </c>
      <c r="CF443" s="92">
        <f t="shared" si="316"/>
        <v>0</v>
      </c>
      <c r="CG443" s="151" t="str">
        <f t="shared" si="302"/>
        <v/>
      </c>
      <c r="CH443" s="92">
        <f t="shared" si="305"/>
        <v>0</v>
      </c>
      <c r="CI443" s="92" t="str">
        <f t="shared" si="317"/>
        <v/>
      </c>
      <c r="CJ443" s="1100">
        <f>NOV!AM32</f>
        <v>0</v>
      </c>
      <c r="CK443" s="445">
        <f>SUMIF(NOV!$G$155:$J$155,CK$112,NOV!$AN32:$AQ32)</f>
        <v>0</v>
      </c>
      <c r="CL443" s="446">
        <f>SUMIF(NOV!$G$155:$J$155,CL$112,NOV!$AN32:$AQ32)</f>
        <v>0</v>
      </c>
      <c r="CM443" s="447">
        <f>SUMIF(NOV!$G$155:$J$155,CM$112,NOV!$AN32:$AQ32)</f>
        <v>0</v>
      </c>
      <c r="CN443" s="448">
        <f>SUMIF(NOV!$G$155:$J$155,CN$112,NOV!$AN32:$AQ32)</f>
        <v>0</v>
      </c>
      <c r="CO443" s="1100">
        <f>NOV!AS32</f>
        <v>0</v>
      </c>
      <c r="CP443" s="445">
        <f>NOV!AT32</f>
        <v>0</v>
      </c>
      <c r="CQ443" s="446">
        <f>NOV!AU32</f>
        <v>0</v>
      </c>
      <c r="CR443" s="447">
        <f>NOV!AV32</f>
        <v>0</v>
      </c>
      <c r="CS443" s="448">
        <f>NOV!AW32</f>
        <v>0</v>
      </c>
      <c r="CT443" s="1100">
        <f>NOV!AY32</f>
        <v>0</v>
      </c>
      <c r="CU443" s="2"/>
    </row>
    <row r="444" spans="1:99" ht="14.25" hidden="1" customHeight="1" x14ac:dyDescent="0.2">
      <c r="A444" s="2"/>
      <c r="B444" s="151">
        <f t="shared" si="306"/>
        <v>45622</v>
      </c>
      <c r="C444" s="223">
        <f>IF(AND(E444&gt;(N$495-1),E444&lt;(R$495+1)),W$485,IF(ISERROR(HLOOKUP(E444,$N$488:$U$488,1,FALSE)),HLOOKUP(WEEKDAY(E444,2),IMPOSTAZIONI!$C$51:$P$56,6,FALSE),$W$484))</f>
        <v>0</v>
      </c>
      <c r="D444" s="103" t="str">
        <f t="shared" si="307"/>
        <v/>
      </c>
      <c r="E444" s="2380">
        <f t="shared" si="318"/>
        <v>45622</v>
      </c>
      <c r="F444" s="2381"/>
      <c r="G444" s="2325" t="str">
        <f>NOV!E33</f>
        <v xml:space="preserve">attiva trim.  </v>
      </c>
      <c r="H444" s="2326"/>
      <c r="I444" s="2327"/>
      <c r="J444" s="479" t="str">
        <f t="shared" si="303"/>
        <v/>
      </c>
      <c r="K444" s="480"/>
      <c r="L444" s="2319">
        <f t="shared" ref="L444:L479" si="319">L437+1</f>
        <v>48</v>
      </c>
      <c r="M444" s="2320"/>
      <c r="N444" s="478"/>
      <c r="O444" s="478"/>
      <c r="P444" s="478"/>
      <c r="Q444" s="2315">
        <f t="shared" si="308"/>
        <v>45622</v>
      </c>
      <c r="R444" s="2315"/>
      <c r="S444" s="478"/>
      <c r="T444" s="140">
        <f t="shared" si="309"/>
        <v>1</v>
      </c>
      <c r="U444" s="478"/>
      <c r="V444" s="478"/>
      <c r="W444" s="478"/>
      <c r="X444" s="478"/>
      <c r="Y444" s="478"/>
      <c r="Z444" s="478"/>
      <c r="AA444" s="478"/>
      <c r="AB444" s="478"/>
      <c r="AC444" s="478"/>
      <c r="AD444" s="478"/>
      <c r="AE444" s="478"/>
      <c r="AF444" s="478"/>
      <c r="AG444" s="140">
        <f t="shared" si="310"/>
        <v>0</v>
      </c>
      <c r="AH444" s="92" t="str">
        <f t="shared" si="311"/>
        <v/>
      </c>
      <c r="AI444" s="131">
        <f t="shared" si="312"/>
        <v>0</v>
      </c>
      <c r="AJ444" s="2"/>
      <c r="AK444" s="92">
        <f>IF(G444=G$481,0,IF(OR(G444&lt;&gt;0,CJ444&lt;&gt;0,C444="L"),COUNTIF(AK$114:AK443,"&gt;0")+1,0))</f>
        <v>0</v>
      </c>
      <c r="AL444" s="92" t="str">
        <f t="shared" si="313"/>
        <v/>
      </c>
      <c r="AM444" s="92" t="str">
        <f t="shared" si="314"/>
        <v/>
      </c>
      <c r="AN444" s="131">
        <f t="shared" si="304"/>
        <v>0</v>
      </c>
      <c r="AO444" s="447">
        <f>SUM(NOV!W33:Z33)</f>
        <v>0</v>
      </c>
      <c r="AP444" s="445">
        <f>SUMIF(NOV!$G$155:$J$155,AP$112,NOV!$R33:$U33)</f>
        <v>0</v>
      </c>
      <c r="AQ444" s="446">
        <f>SUMIF(NOV!$G$155:$J$155,AQ$112,NOV!$R33:$U33)</f>
        <v>0</v>
      </c>
      <c r="AR444" s="447">
        <f>SUMIF(NOV!$G$155:$J$155,AR$112,NOV!$R33:$U33)</f>
        <v>0</v>
      </c>
      <c r="AS444" s="448">
        <f>SUMIF(NOV!$G$155:$J$155,AS$112,NOV!$R33:$U33)</f>
        <v>0</v>
      </c>
      <c r="AT444" s="449">
        <f>NOV!AG33</f>
        <v>0</v>
      </c>
      <c r="AU444" s="445">
        <f>NOV!AH33</f>
        <v>0</v>
      </c>
      <c r="AV444" s="446">
        <f>NOV!AI33</f>
        <v>0</v>
      </c>
      <c r="AW444" s="447">
        <f>NOV!AJ33</f>
        <v>0</v>
      </c>
      <c r="AX444" s="448">
        <f>NOV!AK33</f>
        <v>0</v>
      </c>
      <c r="AY444" s="445">
        <f>SUMIF(NOV!$G$152:$J$152,"&gt;0",NOV!$W33:$Z33)</f>
        <v>0</v>
      </c>
      <c r="AZ444" s="1063">
        <f>SUM(NOV!AB33:AE33)</f>
        <v>0</v>
      </c>
      <c r="BA444" s="445">
        <f>SUMIF(NOV!$G$159:$J$159,BA$111,NOV!$R33:$U33)+SUMIF(NOV!$G$159:$J$159,BA$111,NOV!$W33:$Z33)</f>
        <v>0</v>
      </c>
      <c r="BB444" s="446">
        <f>SUMIF(NOV!$G$159:$J$159,BB$111,NOV!$R33:$U33)+SUMIF(NOV!$G$159:$J$159,BB$111,NOV!$W33:$Z33)</f>
        <v>0</v>
      </c>
      <c r="BC444" s="446">
        <f>SUMIF(NOV!$G$159:$J$159,BC$111,NOV!$R33:$U33)+SUMIF(NOV!$G$159:$J$159,BC$111,NOV!$W33:$Z33)</f>
        <v>0</v>
      </c>
      <c r="BD444" s="446">
        <f>SUMIF(NOV!$G$159:$J$159,BD$111,NOV!$R33:$U33)+SUMIF(NOV!$G$159:$J$159,BD$111,NOV!$W33:$Z33)</f>
        <v>0</v>
      </c>
      <c r="BE444" s="446">
        <f>SUMIF(NOV!$G$159:$J$159,BE$111,NOV!$R33:$U33)+SUMIF(NOV!$G$159:$J$159,BE$111,NOV!$W33:$Z33)</f>
        <v>0</v>
      </c>
      <c r="BF444" s="446">
        <f>SUMIF(NOV!$G$159:$J$159,BF$111,NOV!$R33:$U33)+SUMIF(NOV!$G$159:$J$159,BF$111,NOV!$W33:$Z33)</f>
        <v>0</v>
      </c>
      <c r="BG444" s="448">
        <f>SUMIF(NOV!$G$159:$J$159,BG$111,NOV!$R33:$U33)+SUMIF(NOV!$G$159:$J$159,BG$111,NOV!$W33:$Z33)</f>
        <v>0</v>
      </c>
      <c r="BH444" s="571"/>
      <c r="BI444" s="448"/>
      <c r="BJ444" s="470"/>
      <c r="BK444" s="445">
        <f>SUMIF(NOV!$G$157:$J$157,BK$111,NOV!$R33:$U33)+SUMIF(NOV!$G$157:$J$157,BK$111,NOV!$W33:$Z33)</f>
        <v>0</v>
      </c>
      <c r="BL444" s="446">
        <f>SUMIF(NOV!$G$157:$J$157,BL$111,NOV!$R33:$U33)+SUMIF(NOV!$G$157:$J$157,BL$111,NOV!$W33:$Z33)</f>
        <v>0</v>
      </c>
      <c r="BM444" s="446">
        <f>SUMIF(NOV!$G$157:$J$157,BM$111,NOV!$R33:$U33)+SUMIF(NOV!$G$157:$J$157,BM$111,NOV!$W33:$Z33)</f>
        <v>0</v>
      </c>
      <c r="BN444" s="446">
        <f>SUMIF(NOV!$G$157:$J$157,BN$111,NOV!$R33:$U33)+SUMIF(NOV!$G$157:$J$157,BN$111,NOV!$W33:$Z33)</f>
        <v>0</v>
      </c>
      <c r="BO444" s="446">
        <f>SUMIF(NOV!$G$157:$J$157,BO$111,NOV!$R33:$U33)+SUMIF(NOV!$G$157:$J$157,BO$111,NOV!$W33:$Z33)</f>
        <v>0</v>
      </c>
      <c r="BP444" s="446">
        <f>SUMIF(NOV!$G$157:$J$157,BP$111,NOV!$R33:$U33)+SUMIF(NOV!$G$157:$J$157,BP$111,NOV!$W33:$Z33)</f>
        <v>0</v>
      </c>
      <c r="BQ444" s="448">
        <f>SUMIF(NOV!$G$157:$J$157,BQ$111,NOV!$R33:$U33)+SUMIF(NOV!$G$157:$J$157,BQ$111,NOV!$W33:$Z33)</f>
        <v>0</v>
      </c>
      <c r="BR444" s="571"/>
      <c r="BS444" s="446"/>
      <c r="BT444" s="448"/>
      <c r="BU444" s="470"/>
      <c r="BV444" s="445">
        <f>SUMIF(NOV!$G$158:$J$158,BV$111,NOV!$R33:$U33)+SUMIF(NOV!$G$158:$J$158,BV$111,NOV!$W33:$Z33)</f>
        <v>0</v>
      </c>
      <c r="BW444" s="446">
        <f>SUMIF(NOV!$G$158:$J$158,BW$111,NOV!$R33:$U33)+SUMIF(NOV!$G$158:$J$158,BW$111,NOV!$W33:$Z33)</f>
        <v>0</v>
      </c>
      <c r="BX444" s="446">
        <f>SUMIF(NOV!$G$158:$J$158,BX$111,NOV!$R33:$U33)+SUMIF(NOV!$G$158:$J$158,BX$111,NOV!$W33:$Z33)</f>
        <v>0</v>
      </c>
      <c r="BY444" s="446">
        <f>SUMIF(NOV!$G$158:$J$158,BY$111,NOV!$R33:$U33)+SUMIF(NOV!$G$158:$J$158,BY$111,NOV!$W33:$Z33)</f>
        <v>0</v>
      </c>
      <c r="BZ444" s="446">
        <f>SUMIF(NOV!$G$158:$J$158,BZ$111,NOV!$R33:$U33)+SUMIF(NOV!$G$158:$J$158,BZ$111,NOV!$W33:$Z33)</f>
        <v>0</v>
      </c>
      <c r="CA444" s="446">
        <f>SUMIF(NOV!$G$158:$J$158,CA$111,NOV!$R33:$U33)+SUMIF(NOV!$G$158:$J$158,CA$111,NOV!$W33:$Z33)</f>
        <v>0</v>
      </c>
      <c r="CB444" s="448">
        <f>SUMIF(NOV!$G$158:$J$158,CB$111,NOV!$R33:$U33)+SUMIF(NOV!$G$158:$J$158,CB$111,NOV!$W33:$Z33)</f>
        <v>0</v>
      </c>
      <c r="CC444" s="571"/>
      <c r="CD444" s="448"/>
      <c r="CE444" s="92">
        <f t="shared" si="315"/>
        <v>0</v>
      </c>
      <c r="CF444" s="92">
        <f t="shared" si="316"/>
        <v>0</v>
      </c>
      <c r="CG444" s="151" t="str">
        <f t="shared" si="302"/>
        <v/>
      </c>
      <c r="CH444" s="92">
        <f t="shared" si="305"/>
        <v>0</v>
      </c>
      <c r="CI444" s="92" t="str">
        <f t="shared" si="317"/>
        <v/>
      </c>
      <c r="CJ444" s="1100">
        <f>NOV!AM33</f>
        <v>0</v>
      </c>
      <c r="CK444" s="445">
        <f>SUMIF(NOV!$G$155:$J$155,CK$112,NOV!$AN33:$AQ33)</f>
        <v>0</v>
      </c>
      <c r="CL444" s="446">
        <f>SUMIF(NOV!$G$155:$J$155,CL$112,NOV!$AN33:$AQ33)</f>
        <v>0</v>
      </c>
      <c r="CM444" s="447">
        <f>SUMIF(NOV!$G$155:$J$155,CM$112,NOV!$AN33:$AQ33)</f>
        <v>0</v>
      </c>
      <c r="CN444" s="448">
        <f>SUMIF(NOV!$G$155:$J$155,CN$112,NOV!$AN33:$AQ33)</f>
        <v>0</v>
      </c>
      <c r="CO444" s="1100">
        <f>NOV!AS33</f>
        <v>0</v>
      </c>
      <c r="CP444" s="445">
        <f>NOV!AT33</f>
        <v>0</v>
      </c>
      <c r="CQ444" s="446">
        <f>NOV!AU33</f>
        <v>0</v>
      </c>
      <c r="CR444" s="447">
        <f>NOV!AV33</f>
        <v>0</v>
      </c>
      <c r="CS444" s="448">
        <f>NOV!AW33</f>
        <v>0</v>
      </c>
      <c r="CT444" s="1100">
        <f>NOV!AY33</f>
        <v>0</v>
      </c>
      <c r="CU444" s="2"/>
    </row>
    <row r="445" spans="1:99" ht="14.25" hidden="1" customHeight="1" x14ac:dyDescent="0.2">
      <c r="A445" s="2"/>
      <c r="B445" s="151">
        <f t="shared" si="306"/>
        <v>45623</v>
      </c>
      <c r="C445" s="223">
        <f>IF(AND(E445&gt;(N$495-1),E445&lt;(R$495+1)),W$485,IF(ISERROR(HLOOKUP(E445,$N$488:$U$488,1,FALSE)),HLOOKUP(WEEKDAY(E445,2),IMPOSTAZIONI!$C$51:$P$56,6,FALSE),$W$484))</f>
        <v>0</v>
      </c>
      <c r="D445" s="103" t="str">
        <f t="shared" si="307"/>
        <v/>
      </c>
      <c r="E445" s="2380">
        <f t="shared" si="318"/>
        <v>45623</v>
      </c>
      <c r="F445" s="2381"/>
      <c r="G445" s="2325" t="str">
        <f>NOV!E34</f>
        <v xml:space="preserve">attiva trim.  </v>
      </c>
      <c r="H445" s="2326"/>
      <c r="I445" s="2327"/>
      <c r="J445" s="479" t="str">
        <f t="shared" si="303"/>
        <v/>
      </c>
      <c r="K445" s="480"/>
      <c r="L445" s="2319">
        <f t="shared" si="319"/>
        <v>48</v>
      </c>
      <c r="M445" s="2320"/>
      <c r="N445" s="478"/>
      <c r="O445" s="478"/>
      <c r="P445" s="478"/>
      <c r="Q445" s="2315">
        <f t="shared" si="308"/>
        <v>45623</v>
      </c>
      <c r="R445" s="2315"/>
      <c r="S445" s="478"/>
      <c r="T445" s="140">
        <f t="shared" si="309"/>
        <v>1</v>
      </c>
      <c r="U445" s="478"/>
      <c r="V445" s="478"/>
      <c r="W445" s="478"/>
      <c r="X445" s="478"/>
      <c r="Y445" s="478"/>
      <c r="Z445" s="478"/>
      <c r="AA445" s="478"/>
      <c r="AB445" s="478"/>
      <c r="AC445" s="478"/>
      <c r="AD445" s="478"/>
      <c r="AE445" s="478"/>
      <c r="AF445" s="478"/>
      <c r="AG445" s="140">
        <f t="shared" si="310"/>
        <v>0</v>
      </c>
      <c r="AH445" s="92" t="str">
        <f t="shared" si="311"/>
        <v/>
      </c>
      <c r="AI445" s="131">
        <f t="shared" si="312"/>
        <v>0</v>
      </c>
      <c r="AJ445" s="2"/>
      <c r="AK445" s="92">
        <f>IF(G445=G$481,0,IF(OR(G445&lt;&gt;0,CJ445&lt;&gt;0,C445="L"),COUNTIF(AK$114:AK444,"&gt;0")+1,0))</f>
        <v>0</v>
      </c>
      <c r="AL445" s="92" t="str">
        <f t="shared" si="313"/>
        <v/>
      </c>
      <c r="AM445" s="92" t="str">
        <f t="shared" si="314"/>
        <v/>
      </c>
      <c r="AN445" s="131">
        <f t="shared" si="304"/>
        <v>0</v>
      </c>
      <c r="AO445" s="447">
        <f>SUM(NOV!W34:Z34)</f>
        <v>0</v>
      </c>
      <c r="AP445" s="445">
        <f>SUMIF(NOV!$G$155:$J$155,AP$112,NOV!$R34:$U34)</f>
        <v>0</v>
      </c>
      <c r="AQ445" s="446">
        <f>SUMIF(NOV!$G$155:$J$155,AQ$112,NOV!$R34:$U34)</f>
        <v>0</v>
      </c>
      <c r="AR445" s="447">
        <f>SUMIF(NOV!$G$155:$J$155,AR$112,NOV!$R34:$U34)</f>
        <v>0</v>
      </c>
      <c r="AS445" s="448">
        <f>SUMIF(NOV!$G$155:$J$155,AS$112,NOV!$R34:$U34)</f>
        <v>0</v>
      </c>
      <c r="AT445" s="449">
        <f>NOV!AG34</f>
        <v>0</v>
      </c>
      <c r="AU445" s="445">
        <f>NOV!AH34</f>
        <v>0</v>
      </c>
      <c r="AV445" s="446">
        <f>NOV!AI34</f>
        <v>0</v>
      </c>
      <c r="AW445" s="447">
        <f>NOV!AJ34</f>
        <v>0</v>
      </c>
      <c r="AX445" s="448">
        <f>NOV!AK34</f>
        <v>0</v>
      </c>
      <c r="AY445" s="445">
        <f>SUMIF(NOV!$G$152:$J$152,"&gt;0",NOV!$W34:$Z34)</f>
        <v>0</v>
      </c>
      <c r="AZ445" s="1063">
        <f>SUM(NOV!AB34:AE34)</f>
        <v>0</v>
      </c>
      <c r="BA445" s="445">
        <f>SUMIF(NOV!$G$159:$J$159,BA$111,NOV!$R34:$U34)+SUMIF(NOV!$G$159:$J$159,BA$111,NOV!$W34:$Z34)</f>
        <v>0</v>
      </c>
      <c r="BB445" s="446">
        <f>SUMIF(NOV!$G$159:$J$159,BB$111,NOV!$R34:$U34)+SUMIF(NOV!$G$159:$J$159,BB$111,NOV!$W34:$Z34)</f>
        <v>0</v>
      </c>
      <c r="BC445" s="446">
        <f>SUMIF(NOV!$G$159:$J$159,BC$111,NOV!$R34:$U34)+SUMIF(NOV!$G$159:$J$159,BC$111,NOV!$W34:$Z34)</f>
        <v>0</v>
      </c>
      <c r="BD445" s="446">
        <f>SUMIF(NOV!$G$159:$J$159,BD$111,NOV!$R34:$U34)+SUMIF(NOV!$G$159:$J$159,BD$111,NOV!$W34:$Z34)</f>
        <v>0</v>
      </c>
      <c r="BE445" s="446">
        <f>SUMIF(NOV!$G$159:$J$159,BE$111,NOV!$R34:$U34)+SUMIF(NOV!$G$159:$J$159,BE$111,NOV!$W34:$Z34)</f>
        <v>0</v>
      </c>
      <c r="BF445" s="446">
        <f>SUMIF(NOV!$G$159:$J$159,BF$111,NOV!$R34:$U34)+SUMIF(NOV!$G$159:$J$159,BF$111,NOV!$W34:$Z34)</f>
        <v>0</v>
      </c>
      <c r="BG445" s="448">
        <f>SUMIF(NOV!$G$159:$J$159,BG$111,NOV!$R34:$U34)+SUMIF(NOV!$G$159:$J$159,BG$111,NOV!$W34:$Z34)</f>
        <v>0</v>
      </c>
      <c r="BH445" s="571"/>
      <c r="BI445" s="448"/>
      <c r="BJ445" s="470"/>
      <c r="BK445" s="445">
        <f>SUMIF(NOV!$G$157:$J$157,BK$111,NOV!$R34:$U34)+SUMIF(NOV!$G$157:$J$157,BK$111,NOV!$W34:$Z34)</f>
        <v>0</v>
      </c>
      <c r="BL445" s="446">
        <f>SUMIF(NOV!$G$157:$J$157,BL$111,NOV!$R34:$U34)+SUMIF(NOV!$G$157:$J$157,BL$111,NOV!$W34:$Z34)</f>
        <v>0</v>
      </c>
      <c r="BM445" s="446">
        <f>SUMIF(NOV!$G$157:$J$157,BM$111,NOV!$R34:$U34)+SUMIF(NOV!$G$157:$J$157,BM$111,NOV!$W34:$Z34)</f>
        <v>0</v>
      </c>
      <c r="BN445" s="446">
        <f>SUMIF(NOV!$G$157:$J$157,BN$111,NOV!$R34:$U34)+SUMIF(NOV!$G$157:$J$157,BN$111,NOV!$W34:$Z34)</f>
        <v>0</v>
      </c>
      <c r="BO445" s="446">
        <f>SUMIF(NOV!$G$157:$J$157,BO$111,NOV!$R34:$U34)+SUMIF(NOV!$G$157:$J$157,BO$111,NOV!$W34:$Z34)</f>
        <v>0</v>
      </c>
      <c r="BP445" s="446">
        <f>SUMIF(NOV!$G$157:$J$157,BP$111,NOV!$R34:$U34)+SUMIF(NOV!$G$157:$J$157,BP$111,NOV!$W34:$Z34)</f>
        <v>0</v>
      </c>
      <c r="BQ445" s="448">
        <f>SUMIF(NOV!$G$157:$J$157,BQ$111,NOV!$R34:$U34)+SUMIF(NOV!$G$157:$J$157,BQ$111,NOV!$W34:$Z34)</f>
        <v>0</v>
      </c>
      <c r="BR445" s="571"/>
      <c r="BS445" s="446"/>
      <c r="BT445" s="448"/>
      <c r="BU445" s="470"/>
      <c r="BV445" s="445">
        <f>SUMIF(NOV!$G$158:$J$158,BV$111,NOV!$R34:$U34)+SUMIF(NOV!$G$158:$J$158,BV$111,NOV!$W34:$Z34)</f>
        <v>0</v>
      </c>
      <c r="BW445" s="446">
        <f>SUMIF(NOV!$G$158:$J$158,BW$111,NOV!$R34:$U34)+SUMIF(NOV!$G$158:$J$158,BW$111,NOV!$W34:$Z34)</f>
        <v>0</v>
      </c>
      <c r="BX445" s="446">
        <f>SUMIF(NOV!$G$158:$J$158,BX$111,NOV!$R34:$U34)+SUMIF(NOV!$G$158:$J$158,BX$111,NOV!$W34:$Z34)</f>
        <v>0</v>
      </c>
      <c r="BY445" s="446">
        <f>SUMIF(NOV!$G$158:$J$158,BY$111,NOV!$R34:$U34)+SUMIF(NOV!$G$158:$J$158,BY$111,NOV!$W34:$Z34)</f>
        <v>0</v>
      </c>
      <c r="BZ445" s="446">
        <f>SUMIF(NOV!$G$158:$J$158,BZ$111,NOV!$R34:$U34)+SUMIF(NOV!$G$158:$J$158,BZ$111,NOV!$W34:$Z34)</f>
        <v>0</v>
      </c>
      <c r="CA445" s="446">
        <f>SUMIF(NOV!$G$158:$J$158,CA$111,NOV!$R34:$U34)+SUMIF(NOV!$G$158:$J$158,CA$111,NOV!$W34:$Z34)</f>
        <v>0</v>
      </c>
      <c r="CB445" s="448">
        <f>SUMIF(NOV!$G$158:$J$158,CB$111,NOV!$R34:$U34)+SUMIF(NOV!$G$158:$J$158,CB$111,NOV!$W34:$Z34)</f>
        <v>0</v>
      </c>
      <c r="CC445" s="571"/>
      <c r="CD445" s="448"/>
      <c r="CE445" s="92">
        <f t="shared" si="315"/>
        <v>0</v>
      </c>
      <c r="CF445" s="92">
        <f t="shared" si="316"/>
        <v>0</v>
      </c>
      <c r="CG445" s="151" t="str">
        <f t="shared" si="302"/>
        <v/>
      </c>
      <c r="CH445" s="92">
        <f t="shared" si="305"/>
        <v>0</v>
      </c>
      <c r="CI445" s="92" t="str">
        <f t="shared" si="317"/>
        <v/>
      </c>
      <c r="CJ445" s="1100">
        <f>NOV!AM34</f>
        <v>0</v>
      </c>
      <c r="CK445" s="445">
        <f>SUMIF(NOV!$G$155:$J$155,CK$112,NOV!$AN34:$AQ34)</f>
        <v>0</v>
      </c>
      <c r="CL445" s="446">
        <f>SUMIF(NOV!$G$155:$J$155,CL$112,NOV!$AN34:$AQ34)</f>
        <v>0</v>
      </c>
      <c r="CM445" s="447">
        <f>SUMIF(NOV!$G$155:$J$155,CM$112,NOV!$AN34:$AQ34)</f>
        <v>0</v>
      </c>
      <c r="CN445" s="448">
        <f>SUMIF(NOV!$G$155:$J$155,CN$112,NOV!$AN34:$AQ34)</f>
        <v>0</v>
      </c>
      <c r="CO445" s="1100">
        <f>NOV!AS34</f>
        <v>0</v>
      </c>
      <c r="CP445" s="445">
        <f>NOV!AT34</f>
        <v>0</v>
      </c>
      <c r="CQ445" s="446">
        <f>NOV!AU34</f>
        <v>0</v>
      </c>
      <c r="CR445" s="447">
        <f>NOV!AV34</f>
        <v>0</v>
      </c>
      <c r="CS445" s="448">
        <f>NOV!AW34</f>
        <v>0</v>
      </c>
      <c r="CT445" s="1100">
        <f>NOV!AY34</f>
        <v>0</v>
      </c>
      <c r="CU445" s="2"/>
    </row>
    <row r="446" spans="1:99" ht="14.25" hidden="1" customHeight="1" x14ac:dyDescent="0.2">
      <c r="A446" s="2"/>
      <c r="B446" s="151">
        <f t="shared" si="306"/>
        <v>45624</v>
      </c>
      <c r="C446" s="223">
        <f>IF(AND(E446&gt;(N$495-1),E446&lt;(R$495+1)),W$485,IF(ISERROR(HLOOKUP(E446,$N$488:$U$488,1,FALSE)),HLOOKUP(WEEKDAY(E446,2),IMPOSTAZIONI!$C$51:$P$56,6,FALSE),$W$484))</f>
        <v>0</v>
      </c>
      <c r="D446" s="103" t="str">
        <f t="shared" si="307"/>
        <v/>
      </c>
      <c r="E446" s="2380">
        <f t="shared" si="318"/>
        <v>45624</v>
      </c>
      <c r="F446" s="2381"/>
      <c r="G446" s="2325" t="str">
        <f>NOV!E35</f>
        <v xml:space="preserve">attiva trim.  </v>
      </c>
      <c r="H446" s="2326"/>
      <c r="I446" s="2327"/>
      <c r="J446" s="479" t="str">
        <f t="shared" si="303"/>
        <v/>
      </c>
      <c r="K446" s="480"/>
      <c r="L446" s="2319">
        <f t="shared" si="319"/>
        <v>48</v>
      </c>
      <c r="M446" s="2320"/>
      <c r="N446" s="478"/>
      <c r="O446" s="478"/>
      <c r="P446" s="478"/>
      <c r="Q446" s="2315">
        <f t="shared" si="308"/>
        <v>45624</v>
      </c>
      <c r="R446" s="2315"/>
      <c r="S446" s="478"/>
      <c r="T446" s="140">
        <f t="shared" si="309"/>
        <v>1</v>
      </c>
      <c r="U446" s="478"/>
      <c r="V446" s="478"/>
      <c r="W446" s="478"/>
      <c r="X446" s="478"/>
      <c r="Y446" s="478"/>
      <c r="Z446" s="478"/>
      <c r="AA446" s="478"/>
      <c r="AB446" s="478"/>
      <c r="AC446" s="478"/>
      <c r="AD446" s="478"/>
      <c r="AE446" s="478"/>
      <c r="AF446" s="478"/>
      <c r="AG446" s="140">
        <f t="shared" si="310"/>
        <v>0</v>
      </c>
      <c r="AH446" s="92" t="str">
        <f t="shared" si="311"/>
        <v/>
      </c>
      <c r="AI446" s="131">
        <f t="shared" si="312"/>
        <v>0</v>
      </c>
      <c r="AJ446" s="2"/>
      <c r="AK446" s="92">
        <f>IF(G446=G$481,0,IF(OR(G446&lt;&gt;0,CJ446&lt;&gt;0,C446="L"),COUNTIF(AK$114:AK445,"&gt;0")+1,0))</f>
        <v>0</v>
      </c>
      <c r="AL446" s="92" t="str">
        <f t="shared" si="313"/>
        <v/>
      </c>
      <c r="AM446" s="92" t="str">
        <f t="shared" si="314"/>
        <v/>
      </c>
      <c r="AN446" s="131">
        <f t="shared" si="304"/>
        <v>0</v>
      </c>
      <c r="AO446" s="447">
        <f>SUM(NOV!W35:Z35)</f>
        <v>0</v>
      </c>
      <c r="AP446" s="445">
        <f>SUMIF(NOV!$G$155:$J$155,AP$112,NOV!$R35:$U35)</f>
        <v>0</v>
      </c>
      <c r="AQ446" s="446">
        <f>SUMIF(NOV!$G$155:$J$155,AQ$112,NOV!$R35:$U35)</f>
        <v>0</v>
      </c>
      <c r="AR446" s="447">
        <f>SUMIF(NOV!$G$155:$J$155,AR$112,NOV!$R35:$U35)</f>
        <v>0</v>
      </c>
      <c r="AS446" s="448">
        <f>SUMIF(NOV!$G$155:$J$155,AS$112,NOV!$R35:$U35)</f>
        <v>0</v>
      </c>
      <c r="AT446" s="449">
        <f>NOV!AG35</f>
        <v>0</v>
      </c>
      <c r="AU446" s="445">
        <f>NOV!AH35</f>
        <v>0</v>
      </c>
      <c r="AV446" s="446">
        <f>NOV!AI35</f>
        <v>0</v>
      </c>
      <c r="AW446" s="447">
        <f>NOV!AJ35</f>
        <v>0</v>
      </c>
      <c r="AX446" s="448">
        <f>NOV!AK35</f>
        <v>0</v>
      </c>
      <c r="AY446" s="445">
        <f>SUMIF(NOV!$G$152:$J$152,"&gt;0",NOV!$W35:$Z35)</f>
        <v>0</v>
      </c>
      <c r="AZ446" s="1063">
        <f>SUM(NOV!AB35:AE35)</f>
        <v>0</v>
      </c>
      <c r="BA446" s="445">
        <f>SUMIF(NOV!$G$159:$J$159,BA$111,NOV!$R35:$U35)+SUMIF(NOV!$G$159:$J$159,BA$111,NOV!$W35:$Z35)</f>
        <v>0</v>
      </c>
      <c r="BB446" s="446">
        <f>SUMIF(NOV!$G$159:$J$159,BB$111,NOV!$R35:$U35)+SUMIF(NOV!$G$159:$J$159,BB$111,NOV!$W35:$Z35)</f>
        <v>0</v>
      </c>
      <c r="BC446" s="446">
        <f>SUMIF(NOV!$G$159:$J$159,BC$111,NOV!$R35:$U35)+SUMIF(NOV!$G$159:$J$159,BC$111,NOV!$W35:$Z35)</f>
        <v>0</v>
      </c>
      <c r="BD446" s="446">
        <f>SUMIF(NOV!$G$159:$J$159,BD$111,NOV!$R35:$U35)+SUMIF(NOV!$G$159:$J$159,BD$111,NOV!$W35:$Z35)</f>
        <v>0</v>
      </c>
      <c r="BE446" s="446">
        <f>SUMIF(NOV!$G$159:$J$159,BE$111,NOV!$R35:$U35)+SUMIF(NOV!$G$159:$J$159,BE$111,NOV!$W35:$Z35)</f>
        <v>0</v>
      </c>
      <c r="BF446" s="446">
        <f>SUMIF(NOV!$G$159:$J$159,BF$111,NOV!$R35:$U35)+SUMIF(NOV!$G$159:$J$159,BF$111,NOV!$W35:$Z35)</f>
        <v>0</v>
      </c>
      <c r="BG446" s="448">
        <f>SUMIF(NOV!$G$159:$J$159,BG$111,NOV!$R35:$U35)+SUMIF(NOV!$G$159:$J$159,BG$111,NOV!$W35:$Z35)</f>
        <v>0</v>
      </c>
      <c r="BH446" s="571"/>
      <c r="BI446" s="448"/>
      <c r="BJ446" s="470"/>
      <c r="BK446" s="445">
        <f>SUMIF(NOV!$G$157:$J$157,BK$111,NOV!$R35:$U35)+SUMIF(NOV!$G$157:$J$157,BK$111,NOV!$W35:$Z35)</f>
        <v>0</v>
      </c>
      <c r="BL446" s="446">
        <f>SUMIF(NOV!$G$157:$J$157,BL$111,NOV!$R35:$U35)+SUMIF(NOV!$G$157:$J$157,BL$111,NOV!$W35:$Z35)</f>
        <v>0</v>
      </c>
      <c r="BM446" s="446">
        <f>SUMIF(NOV!$G$157:$J$157,BM$111,NOV!$R35:$U35)+SUMIF(NOV!$G$157:$J$157,BM$111,NOV!$W35:$Z35)</f>
        <v>0</v>
      </c>
      <c r="BN446" s="446">
        <f>SUMIF(NOV!$G$157:$J$157,BN$111,NOV!$R35:$U35)+SUMIF(NOV!$G$157:$J$157,BN$111,NOV!$W35:$Z35)</f>
        <v>0</v>
      </c>
      <c r="BO446" s="446">
        <f>SUMIF(NOV!$G$157:$J$157,BO$111,NOV!$R35:$U35)+SUMIF(NOV!$G$157:$J$157,BO$111,NOV!$W35:$Z35)</f>
        <v>0</v>
      </c>
      <c r="BP446" s="446">
        <f>SUMIF(NOV!$G$157:$J$157,BP$111,NOV!$R35:$U35)+SUMIF(NOV!$G$157:$J$157,BP$111,NOV!$W35:$Z35)</f>
        <v>0</v>
      </c>
      <c r="BQ446" s="448">
        <f>SUMIF(NOV!$G$157:$J$157,BQ$111,NOV!$R35:$U35)+SUMIF(NOV!$G$157:$J$157,BQ$111,NOV!$W35:$Z35)</f>
        <v>0</v>
      </c>
      <c r="BR446" s="571"/>
      <c r="BS446" s="446"/>
      <c r="BT446" s="448"/>
      <c r="BU446" s="470"/>
      <c r="BV446" s="445">
        <f>SUMIF(NOV!$G$158:$J$158,BV$111,NOV!$R35:$U35)+SUMIF(NOV!$G$158:$J$158,BV$111,NOV!$W35:$Z35)</f>
        <v>0</v>
      </c>
      <c r="BW446" s="446">
        <f>SUMIF(NOV!$G$158:$J$158,BW$111,NOV!$R35:$U35)+SUMIF(NOV!$G$158:$J$158,BW$111,NOV!$W35:$Z35)</f>
        <v>0</v>
      </c>
      <c r="BX446" s="446">
        <f>SUMIF(NOV!$G$158:$J$158,BX$111,NOV!$R35:$U35)+SUMIF(NOV!$G$158:$J$158,BX$111,NOV!$W35:$Z35)</f>
        <v>0</v>
      </c>
      <c r="BY446" s="446">
        <f>SUMIF(NOV!$G$158:$J$158,BY$111,NOV!$R35:$U35)+SUMIF(NOV!$G$158:$J$158,BY$111,NOV!$W35:$Z35)</f>
        <v>0</v>
      </c>
      <c r="BZ446" s="446">
        <f>SUMIF(NOV!$G$158:$J$158,BZ$111,NOV!$R35:$U35)+SUMIF(NOV!$G$158:$J$158,BZ$111,NOV!$W35:$Z35)</f>
        <v>0</v>
      </c>
      <c r="CA446" s="446">
        <f>SUMIF(NOV!$G$158:$J$158,CA$111,NOV!$R35:$U35)+SUMIF(NOV!$G$158:$J$158,CA$111,NOV!$W35:$Z35)</f>
        <v>0</v>
      </c>
      <c r="CB446" s="448">
        <f>SUMIF(NOV!$G$158:$J$158,CB$111,NOV!$R35:$U35)+SUMIF(NOV!$G$158:$J$158,CB$111,NOV!$W35:$Z35)</f>
        <v>0</v>
      </c>
      <c r="CC446" s="571"/>
      <c r="CD446" s="448"/>
      <c r="CE446" s="92">
        <f t="shared" si="315"/>
        <v>0</v>
      </c>
      <c r="CF446" s="92">
        <f t="shared" si="316"/>
        <v>0</v>
      </c>
      <c r="CG446" s="151" t="str">
        <f t="shared" si="302"/>
        <v/>
      </c>
      <c r="CH446" s="92">
        <f t="shared" si="305"/>
        <v>0</v>
      </c>
      <c r="CI446" s="92" t="str">
        <f t="shared" si="317"/>
        <v/>
      </c>
      <c r="CJ446" s="1100">
        <f>NOV!AM35</f>
        <v>0</v>
      </c>
      <c r="CK446" s="445">
        <f>SUMIF(NOV!$G$155:$J$155,CK$112,NOV!$AN35:$AQ35)</f>
        <v>0</v>
      </c>
      <c r="CL446" s="446">
        <f>SUMIF(NOV!$G$155:$J$155,CL$112,NOV!$AN35:$AQ35)</f>
        <v>0</v>
      </c>
      <c r="CM446" s="447">
        <f>SUMIF(NOV!$G$155:$J$155,CM$112,NOV!$AN35:$AQ35)</f>
        <v>0</v>
      </c>
      <c r="CN446" s="448">
        <f>SUMIF(NOV!$G$155:$J$155,CN$112,NOV!$AN35:$AQ35)</f>
        <v>0</v>
      </c>
      <c r="CO446" s="1100">
        <f>NOV!AS35</f>
        <v>0</v>
      </c>
      <c r="CP446" s="445">
        <f>NOV!AT35</f>
        <v>0</v>
      </c>
      <c r="CQ446" s="446">
        <f>NOV!AU35</f>
        <v>0</v>
      </c>
      <c r="CR446" s="447">
        <f>NOV!AV35</f>
        <v>0</v>
      </c>
      <c r="CS446" s="448">
        <f>NOV!AW35</f>
        <v>0</v>
      </c>
      <c r="CT446" s="1100">
        <f>NOV!AY35</f>
        <v>0</v>
      </c>
      <c r="CU446" s="2"/>
    </row>
    <row r="447" spans="1:99" ht="14.25" hidden="1" customHeight="1" x14ac:dyDescent="0.2">
      <c r="A447" s="2"/>
      <c r="B447" s="151">
        <f t="shared" si="306"/>
        <v>45625</v>
      </c>
      <c r="C447" s="223">
        <f>IF(AND(E447&gt;(N$495-1),E447&lt;(R$495+1)),W$485,IF(ISERROR(HLOOKUP(E447,$N$488:$U$488,1,FALSE)),HLOOKUP(WEEKDAY(E447,2),IMPOSTAZIONI!$C$51:$P$56,6,FALSE),$W$484))</f>
        <v>0</v>
      </c>
      <c r="D447" s="103" t="str">
        <f t="shared" si="307"/>
        <v/>
      </c>
      <c r="E447" s="2380">
        <f t="shared" si="318"/>
        <v>45625</v>
      </c>
      <c r="F447" s="2381"/>
      <c r="G447" s="2325" t="str">
        <f>NOV!E36</f>
        <v xml:space="preserve">attiva trim.  </v>
      </c>
      <c r="H447" s="2326"/>
      <c r="I447" s="2327"/>
      <c r="J447" s="479" t="str">
        <f t="shared" si="303"/>
        <v/>
      </c>
      <c r="K447" s="480"/>
      <c r="L447" s="2319">
        <f t="shared" si="319"/>
        <v>48</v>
      </c>
      <c r="M447" s="2320"/>
      <c r="N447" s="478"/>
      <c r="O447" s="478"/>
      <c r="P447" s="478"/>
      <c r="Q447" s="2315">
        <f t="shared" si="308"/>
        <v>45625</v>
      </c>
      <c r="R447" s="2315"/>
      <c r="S447" s="478"/>
      <c r="T447" s="140">
        <f t="shared" si="309"/>
        <v>1</v>
      </c>
      <c r="U447" s="478"/>
      <c r="V447" s="478"/>
      <c r="W447" s="478"/>
      <c r="X447" s="478"/>
      <c r="Y447" s="478"/>
      <c r="Z447" s="478"/>
      <c r="AA447" s="478"/>
      <c r="AB447" s="478"/>
      <c r="AC447" s="478"/>
      <c r="AD447" s="478"/>
      <c r="AE447" s="478"/>
      <c r="AF447" s="478"/>
      <c r="AG447" s="140">
        <f t="shared" si="310"/>
        <v>0</v>
      </c>
      <c r="AH447" s="92" t="str">
        <f t="shared" si="311"/>
        <v/>
      </c>
      <c r="AI447" s="131">
        <f t="shared" si="312"/>
        <v>0</v>
      </c>
      <c r="AJ447" s="2"/>
      <c r="AK447" s="92">
        <f>IF(G447=G$481,0,IF(OR(G447&lt;&gt;0,CJ447&lt;&gt;0,C447="L"),COUNTIF(AK$114:AK446,"&gt;0")+1,0))</f>
        <v>0</v>
      </c>
      <c r="AL447" s="92" t="str">
        <f t="shared" si="313"/>
        <v/>
      </c>
      <c r="AM447" s="92" t="str">
        <f t="shared" si="314"/>
        <v/>
      </c>
      <c r="AN447" s="131">
        <f t="shared" si="304"/>
        <v>0</v>
      </c>
      <c r="AO447" s="447">
        <f>SUM(NOV!W36:Z36)</f>
        <v>0</v>
      </c>
      <c r="AP447" s="445">
        <f>SUMIF(NOV!$G$155:$J$155,AP$112,NOV!$R36:$U36)</f>
        <v>0</v>
      </c>
      <c r="AQ447" s="446">
        <f>SUMIF(NOV!$G$155:$J$155,AQ$112,NOV!$R36:$U36)</f>
        <v>0</v>
      </c>
      <c r="AR447" s="447">
        <f>SUMIF(NOV!$G$155:$J$155,AR$112,NOV!$R36:$U36)</f>
        <v>0</v>
      </c>
      <c r="AS447" s="448">
        <f>SUMIF(NOV!$G$155:$J$155,AS$112,NOV!$R36:$U36)</f>
        <v>0</v>
      </c>
      <c r="AT447" s="449">
        <f>NOV!AG36</f>
        <v>0</v>
      </c>
      <c r="AU447" s="445">
        <f>NOV!AH36</f>
        <v>0</v>
      </c>
      <c r="AV447" s="446">
        <f>NOV!AI36</f>
        <v>0</v>
      </c>
      <c r="AW447" s="447">
        <f>NOV!AJ36</f>
        <v>0</v>
      </c>
      <c r="AX447" s="448">
        <f>NOV!AK36</f>
        <v>0</v>
      </c>
      <c r="AY447" s="445">
        <f>SUMIF(NOV!$G$152:$J$152,"&gt;0",NOV!$W36:$Z36)</f>
        <v>0</v>
      </c>
      <c r="AZ447" s="1063">
        <f>SUM(NOV!AB36:AE36)</f>
        <v>0</v>
      </c>
      <c r="BA447" s="445">
        <f>SUMIF(NOV!$G$159:$J$159,BA$111,NOV!$R36:$U36)+SUMIF(NOV!$G$159:$J$159,BA$111,NOV!$W36:$Z36)</f>
        <v>0</v>
      </c>
      <c r="BB447" s="446">
        <f>SUMIF(NOV!$G$159:$J$159,BB$111,NOV!$R36:$U36)+SUMIF(NOV!$G$159:$J$159,BB$111,NOV!$W36:$Z36)</f>
        <v>0</v>
      </c>
      <c r="BC447" s="446">
        <f>SUMIF(NOV!$G$159:$J$159,BC$111,NOV!$R36:$U36)+SUMIF(NOV!$G$159:$J$159,BC$111,NOV!$W36:$Z36)</f>
        <v>0</v>
      </c>
      <c r="BD447" s="446">
        <f>SUMIF(NOV!$G$159:$J$159,BD$111,NOV!$R36:$U36)+SUMIF(NOV!$G$159:$J$159,BD$111,NOV!$W36:$Z36)</f>
        <v>0</v>
      </c>
      <c r="BE447" s="446">
        <f>SUMIF(NOV!$G$159:$J$159,BE$111,NOV!$R36:$U36)+SUMIF(NOV!$G$159:$J$159,BE$111,NOV!$W36:$Z36)</f>
        <v>0</v>
      </c>
      <c r="BF447" s="446">
        <f>SUMIF(NOV!$G$159:$J$159,BF$111,NOV!$R36:$U36)+SUMIF(NOV!$G$159:$J$159,BF$111,NOV!$W36:$Z36)</f>
        <v>0</v>
      </c>
      <c r="BG447" s="448">
        <f>SUMIF(NOV!$G$159:$J$159,BG$111,NOV!$R36:$U36)+SUMIF(NOV!$G$159:$J$159,BG$111,NOV!$W36:$Z36)</f>
        <v>0</v>
      </c>
      <c r="BH447" s="571"/>
      <c r="BI447" s="448"/>
      <c r="BJ447" s="470"/>
      <c r="BK447" s="445">
        <f>SUMIF(NOV!$G$157:$J$157,BK$111,NOV!$R36:$U36)+SUMIF(NOV!$G$157:$J$157,BK$111,NOV!$W36:$Z36)</f>
        <v>0</v>
      </c>
      <c r="BL447" s="446">
        <f>SUMIF(NOV!$G$157:$J$157,BL$111,NOV!$R36:$U36)+SUMIF(NOV!$G$157:$J$157,BL$111,NOV!$W36:$Z36)</f>
        <v>0</v>
      </c>
      <c r="BM447" s="446">
        <f>SUMIF(NOV!$G$157:$J$157,BM$111,NOV!$R36:$U36)+SUMIF(NOV!$G$157:$J$157,BM$111,NOV!$W36:$Z36)</f>
        <v>0</v>
      </c>
      <c r="BN447" s="446">
        <f>SUMIF(NOV!$G$157:$J$157,BN$111,NOV!$R36:$U36)+SUMIF(NOV!$G$157:$J$157,BN$111,NOV!$W36:$Z36)</f>
        <v>0</v>
      </c>
      <c r="BO447" s="446">
        <f>SUMIF(NOV!$G$157:$J$157,BO$111,NOV!$R36:$U36)+SUMIF(NOV!$G$157:$J$157,BO$111,NOV!$W36:$Z36)</f>
        <v>0</v>
      </c>
      <c r="BP447" s="446">
        <f>SUMIF(NOV!$G$157:$J$157,BP$111,NOV!$R36:$U36)+SUMIF(NOV!$G$157:$J$157,BP$111,NOV!$W36:$Z36)</f>
        <v>0</v>
      </c>
      <c r="BQ447" s="448">
        <f>SUMIF(NOV!$G$157:$J$157,BQ$111,NOV!$R36:$U36)+SUMIF(NOV!$G$157:$J$157,BQ$111,NOV!$W36:$Z36)</f>
        <v>0</v>
      </c>
      <c r="BR447" s="571"/>
      <c r="BS447" s="446"/>
      <c r="BT447" s="448"/>
      <c r="BU447" s="470"/>
      <c r="BV447" s="445">
        <f>SUMIF(NOV!$G$158:$J$158,BV$111,NOV!$R36:$U36)+SUMIF(NOV!$G$158:$J$158,BV$111,NOV!$W36:$Z36)</f>
        <v>0</v>
      </c>
      <c r="BW447" s="446">
        <f>SUMIF(NOV!$G$158:$J$158,BW$111,NOV!$R36:$U36)+SUMIF(NOV!$G$158:$J$158,BW$111,NOV!$W36:$Z36)</f>
        <v>0</v>
      </c>
      <c r="BX447" s="446">
        <f>SUMIF(NOV!$G$158:$J$158,BX$111,NOV!$R36:$U36)+SUMIF(NOV!$G$158:$J$158,BX$111,NOV!$W36:$Z36)</f>
        <v>0</v>
      </c>
      <c r="BY447" s="446">
        <f>SUMIF(NOV!$G$158:$J$158,BY$111,NOV!$R36:$U36)+SUMIF(NOV!$G$158:$J$158,BY$111,NOV!$W36:$Z36)</f>
        <v>0</v>
      </c>
      <c r="BZ447" s="446">
        <f>SUMIF(NOV!$G$158:$J$158,BZ$111,NOV!$R36:$U36)+SUMIF(NOV!$G$158:$J$158,BZ$111,NOV!$W36:$Z36)</f>
        <v>0</v>
      </c>
      <c r="CA447" s="446">
        <f>SUMIF(NOV!$G$158:$J$158,CA$111,NOV!$R36:$U36)+SUMIF(NOV!$G$158:$J$158,CA$111,NOV!$W36:$Z36)</f>
        <v>0</v>
      </c>
      <c r="CB447" s="448">
        <f>SUMIF(NOV!$G$158:$J$158,CB$111,NOV!$R36:$U36)+SUMIF(NOV!$G$158:$J$158,CB$111,NOV!$W36:$Z36)</f>
        <v>0</v>
      </c>
      <c r="CC447" s="571"/>
      <c r="CD447" s="448"/>
      <c r="CE447" s="92">
        <f t="shared" si="315"/>
        <v>0</v>
      </c>
      <c r="CF447" s="92">
        <f t="shared" si="316"/>
        <v>0</v>
      </c>
      <c r="CG447" s="151" t="str">
        <f t="shared" si="302"/>
        <v/>
      </c>
      <c r="CH447" s="92">
        <f t="shared" si="305"/>
        <v>0</v>
      </c>
      <c r="CI447" s="92" t="str">
        <f t="shared" si="317"/>
        <v/>
      </c>
      <c r="CJ447" s="1100">
        <f>NOV!AM36</f>
        <v>0</v>
      </c>
      <c r="CK447" s="445">
        <f>SUMIF(NOV!$G$155:$J$155,CK$112,NOV!$AN36:$AQ36)</f>
        <v>0</v>
      </c>
      <c r="CL447" s="446">
        <f>SUMIF(NOV!$G$155:$J$155,CL$112,NOV!$AN36:$AQ36)</f>
        <v>0</v>
      </c>
      <c r="CM447" s="447">
        <f>SUMIF(NOV!$G$155:$J$155,CM$112,NOV!$AN36:$AQ36)</f>
        <v>0</v>
      </c>
      <c r="CN447" s="448">
        <f>SUMIF(NOV!$G$155:$J$155,CN$112,NOV!$AN36:$AQ36)</f>
        <v>0</v>
      </c>
      <c r="CO447" s="1100">
        <f>NOV!AS36</f>
        <v>0</v>
      </c>
      <c r="CP447" s="445">
        <f>NOV!AT36</f>
        <v>0</v>
      </c>
      <c r="CQ447" s="446">
        <f>NOV!AU36</f>
        <v>0</v>
      </c>
      <c r="CR447" s="447">
        <f>NOV!AV36</f>
        <v>0</v>
      </c>
      <c r="CS447" s="448">
        <f>NOV!AW36</f>
        <v>0</v>
      </c>
      <c r="CT447" s="1100">
        <f>NOV!AY36</f>
        <v>0</v>
      </c>
      <c r="CU447" s="2"/>
    </row>
    <row r="448" spans="1:99" ht="14.25" hidden="1" customHeight="1" x14ac:dyDescent="0.2">
      <c r="A448" s="2"/>
      <c r="B448" s="151">
        <f t="shared" si="306"/>
        <v>45626</v>
      </c>
      <c r="C448" s="223">
        <f>IF(AND(E448&gt;(N$495-1),E448&lt;(R$495+1)),W$485,IF(ISERROR(HLOOKUP(E448,$N$488:$U$488,1,FALSE)),HLOOKUP(WEEKDAY(E448,2),IMPOSTAZIONI!$C$51:$P$56,6,FALSE),$W$484))</f>
        <v>0</v>
      </c>
      <c r="D448" s="103" t="str">
        <f t="shared" si="307"/>
        <v/>
      </c>
      <c r="E448" s="2380">
        <f t="shared" si="318"/>
        <v>45626</v>
      </c>
      <c r="F448" s="2381"/>
      <c r="G448" s="2325" t="str">
        <f>NOV!E37</f>
        <v xml:space="preserve">attiva trim.  </v>
      </c>
      <c r="H448" s="2326"/>
      <c r="I448" s="2327"/>
      <c r="J448" s="479" t="str">
        <f t="shared" si="303"/>
        <v/>
      </c>
      <c r="K448" s="480"/>
      <c r="L448" s="2319">
        <f t="shared" si="319"/>
        <v>48</v>
      </c>
      <c r="M448" s="2320"/>
      <c r="N448" s="478"/>
      <c r="O448" s="478"/>
      <c r="P448" s="478"/>
      <c r="Q448" s="2315">
        <f t="shared" si="308"/>
        <v>45626</v>
      </c>
      <c r="R448" s="2315"/>
      <c r="S448" s="478"/>
      <c r="T448" s="140">
        <f t="shared" si="309"/>
        <v>1</v>
      </c>
      <c r="U448" s="478"/>
      <c r="V448" s="478"/>
      <c r="W448" s="478"/>
      <c r="X448" s="478"/>
      <c r="Y448" s="478"/>
      <c r="Z448" s="478"/>
      <c r="AA448" s="478"/>
      <c r="AB448" s="478"/>
      <c r="AC448" s="478"/>
      <c r="AD448" s="478"/>
      <c r="AE448" s="478"/>
      <c r="AF448" s="478"/>
      <c r="AG448" s="140">
        <f t="shared" si="310"/>
        <v>0</v>
      </c>
      <c r="AH448" s="92" t="str">
        <f t="shared" si="311"/>
        <v/>
      </c>
      <c r="AI448" s="131">
        <f t="shared" si="312"/>
        <v>0</v>
      </c>
      <c r="AJ448" s="2"/>
      <c r="AK448" s="92">
        <f>IF(G448=G$481,0,IF(OR(G448&lt;&gt;0,CJ448&lt;&gt;0,C448="L"),COUNTIF(AK$114:AK447,"&gt;0")+1,0))</f>
        <v>0</v>
      </c>
      <c r="AL448" s="92" t="str">
        <f t="shared" si="313"/>
        <v/>
      </c>
      <c r="AM448" s="92" t="str">
        <f t="shared" si="314"/>
        <v/>
      </c>
      <c r="AN448" s="131">
        <f t="shared" si="304"/>
        <v>0</v>
      </c>
      <c r="AO448" s="452">
        <f>SUM(NOV!W37:Z37)</f>
        <v>0</v>
      </c>
      <c r="AP448" s="450">
        <f>SUMIF(NOV!$G$155:$J$155,AP$112,NOV!$R37:$U37)</f>
        <v>0</v>
      </c>
      <c r="AQ448" s="451">
        <f>SUMIF(NOV!$G$155:$J$155,AQ$112,NOV!$R37:$U37)</f>
        <v>0</v>
      </c>
      <c r="AR448" s="452">
        <f>SUMIF(NOV!$G$155:$J$155,AR$112,NOV!$R37:$U37)</f>
        <v>0</v>
      </c>
      <c r="AS448" s="453">
        <f>SUMIF(NOV!$G$155:$J$155,AS$112,NOV!$R37:$U37)</f>
        <v>0</v>
      </c>
      <c r="AT448" s="454">
        <f>NOV!AG37</f>
        <v>0</v>
      </c>
      <c r="AU448" s="450">
        <f>NOV!AH37</f>
        <v>0</v>
      </c>
      <c r="AV448" s="451">
        <f>NOV!AI37</f>
        <v>0</v>
      </c>
      <c r="AW448" s="452">
        <f>NOV!AJ37</f>
        <v>0</v>
      </c>
      <c r="AX448" s="453">
        <f>NOV!AK37</f>
        <v>0</v>
      </c>
      <c r="AY448" s="450">
        <f>SUMIF(NOV!$G$152:$J$152,"&gt;0",NOV!$W37:$Z37)</f>
        <v>0</v>
      </c>
      <c r="AZ448" s="1064">
        <f>SUM(NOV!AB37:AE37)</f>
        <v>0</v>
      </c>
      <c r="BA448" s="450">
        <f>SUMIF(NOV!$G$159:$J$159,BA$111,NOV!$R37:$U37)+SUMIF(NOV!$G$159:$J$159,BA$111,NOV!$W37:$Z37)</f>
        <v>0</v>
      </c>
      <c r="BB448" s="451">
        <f>SUMIF(NOV!$G$159:$J$159,BB$111,NOV!$R37:$U37)+SUMIF(NOV!$G$159:$J$159,BB$111,NOV!$W37:$Z37)</f>
        <v>0</v>
      </c>
      <c r="BC448" s="451">
        <f>SUMIF(NOV!$G$159:$J$159,BC$111,NOV!$R37:$U37)+SUMIF(NOV!$G$159:$J$159,BC$111,NOV!$W37:$Z37)</f>
        <v>0</v>
      </c>
      <c r="BD448" s="451">
        <f>SUMIF(NOV!$G$159:$J$159,BD$111,NOV!$R37:$U37)+SUMIF(NOV!$G$159:$J$159,BD$111,NOV!$W37:$Z37)</f>
        <v>0</v>
      </c>
      <c r="BE448" s="451">
        <f>SUMIF(NOV!$G$159:$J$159,BE$111,NOV!$R37:$U37)+SUMIF(NOV!$G$159:$J$159,BE$111,NOV!$W37:$Z37)</f>
        <v>0</v>
      </c>
      <c r="BF448" s="451">
        <f>SUMIF(NOV!$G$159:$J$159,BF$111,NOV!$R37:$U37)+SUMIF(NOV!$G$159:$J$159,BF$111,NOV!$W37:$Z37)</f>
        <v>0</v>
      </c>
      <c r="BG448" s="453">
        <f>SUMIF(NOV!$G$159:$J$159,BG$111,NOV!$R37:$U37)+SUMIF(NOV!$G$159:$J$159,BG$111,NOV!$W37:$Z37)</f>
        <v>0</v>
      </c>
      <c r="BH448" s="572"/>
      <c r="BI448" s="453"/>
      <c r="BJ448" s="470"/>
      <c r="BK448" s="450">
        <f>SUMIF(NOV!$G$157:$J$157,BK$111,NOV!$R37:$U37)+SUMIF(NOV!$G$157:$J$157,BK$111,NOV!$W37:$Z37)</f>
        <v>0</v>
      </c>
      <c r="BL448" s="451">
        <f>SUMIF(NOV!$G$157:$J$157,BL$111,NOV!$R37:$U37)+SUMIF(NOV!$G$157:$J$157,BL$111,NOV!$W37:$Z37)</f>
        <v>0</v>
      </c>
      <c r="BM448" s="451">
        <f>SUMIF(NOV!$G$157:$J$157,BM$111,NOV!$R37:$U37)+SUMIF(NOV!$G$157:$J$157,BM$111,NOV!$W37:$Z37)</f>
        <v>0</v>
      </c>
      <c r="BN448" s="451">
        <f>SUMIF(NOV!$G$157:$J$157,BN$111,NOV!$R37:$U37)+SUMIF(NOV!$G$157:$J$157,BN$111,NOV!$W37:$Z37)</f>
        <v>0</v>
      </c>
      <c r="BO448" s="451">
        <f>SUMIF(NOV!$G$157:$J$157,BO$111,NOV!$R37:$U37)+SUMIF(NOV!$G$157:$J$157,BO$111,NOV!$W37:$Z37)</f>
        <v>0</v>
      </c>
      <c r="BP448" s="451">
        <f>SUMIF(NOV!$G$157:$J$157,BP$111,NOV!$R37:$U37)+SUMIF(NOV!$G$157:$J$157,BP$111,NOV!$W37:$Z37)</f>
        <v>0</v>
      </c>
      <c r="BQ448" s="453">
        <f>SUMIF(NOV!$G$157:$J$157,BQ$111,NOV!$R37:$U37)+SUMIF(NOV!$G$157:$J$157,BQ$111,NOV!$W37:$Z37)</f>
        <v>0</v>
      </c>
      <c r="BR448" s="572"/>
      <c r="BS448" s="451"/>
      <c r="BT448" s="453"/>
      <c r="BU448" s="470"/>
      <c r="BV448" s="450">
        <f>SUMIF(NOV!$G$158:$J$158,BV$111,NOV!$R37:$U37)+SUMIF(NOV!$G$158:$J$158,BV$111,NOV!$W37:$Z37)</f>
        <v>0</v>
      </c>
      <c r="BW448" s="451">
        <f>SUMIF(NOV!$G$158:$J$158,BW$111,NOV!$R37:$U37)+SUMIF(NOV!$G$158:$J$158,BW$111,NOV!$W37:$Z37)</f>
        <v>0</v>
      </c>
      <c r="BX448" s="451">
        <f>SUMIF(NOV!$G$158:$J$158,BX$111,NOV!$R37:$U37)+SUMIF(NOV!$G$158:$J$158,BX$111,NOV!$W37:$Z37)</f>
        <v>0</v>
      </c>
      <c r="BY448" s="451">
        <f>SUMIF(NOV!$G$158:$J$158,BY$111,NOV!$R37:$U37)+SUMIF(NOV!$G$158:$J$158,BY$111,NOV!$W37:$Z37)</f>
        <v>0</v>
      </c>
      <c r="BZ448" s="451">
        <f>SUMIF(NOV!$G$158:$J$158,BZ$111,NOV!$R37:$U37)+SUMIF(NOV!$G$158:$J$158,BZ$111,NOV!$W37:$Z37)</f>
        <v>0</v>
      </c>
      <c r="CA448" s="451">
        <f>SUMIF(NOV!$G$158:$J$158,CA$111,NOV!$R37:$U37)+SUMIF(NOV!$G$158:$J$158,CA$111,NOV!$W37:$Z37)</f>
        <v>0</v>
      </c>
      <c r="CB448" s="453">
        <f>SUMIF(NOV!$G$158:$J$158,CB$111,NOV!$R37:$U37)+SUMIF(NOV!$G$158:$J$158,CB$111,NOV!$W37:$Z37)</f>
        <v>0</v>
      </c>
      <c r="CC448" s="572"/>
      <c r="CD448" s="453"/>
      <c r="CE448" s="92">
        <f t="shared" si="315"/>
        <v>0</v>
      </c>
      <c r="CF448" s="92">
        <f t="shared" si="316"/>
        <v>0</v>
      </c>
      <c r="CG448" s="151" t="str">
        <f t="shared" si="302"/>
        <v/>
      </c>
      <c r="CH448" s="92">
        <f t="shared" si="305"/>
        <v>0</v>
      </c>
      <c r="CI448" s="92" t="str">
        <f t="shared" si="317"/>
        <v/>
      </c>
      <c r="CJ448" s="1101">
        <f>NOV!AM37</f>
        <v>0</v>
      </c>
      <c r="CK448" s="450">
        <f>SUMIF(NOV!$G$155:$J$155,CK$112,NOV!$AN37:$AQ37)</f>
        <v>0</v>
      </c>
      <c r="CL448" s="451">
        <f>SUMIF(NOV!$G$155:$J$155,CL$112,NOV!$AN37:$AQ37)</f>
        <v>0</v>
      </c>
      <c r="CM448" s="452">
        <f>SUMIF(NOV!$G$155:$J$155,CM$112,NOV!$AN37:$AQ37)</f>
        <v>0</v>
      </c>
      <c r="CN448" s="453">
        <f>SUMIF(NOV!$G$155:$J$155,CN$112,NOV!$AN37:$AQ37)</f>
        <v>0</v>
      </c>
      <c r="CO448" s="1101">
        <f>NOV!AS37</f>
        <v>0</v>
      </c>
      <c r="CP448" s="450">
        <f>NOV!AT37</f>
        <v>0</v>
      </c>
      <c r="CQ448" s="451">
        <f>NOV!AU37</f>
        <v>0</v>
      </c>
      <c r="CR448" s="452">
        <f>NOV!AV37</f>
        <v>0</v>
      </c>
      <c r="CS448" s="453">
        <f>NOV!AW37</f>
        <v>0</v>
      </c>
      <c r="CT448" s="1101">
        <f>NOV!AY37</f>
        <v>0</v>
      </c>
      <c r="CU448" s="2"/>
    </row>
    <row r="449" spans="1:99" ht="14.25" hidden="1" customHeight="1" x14ac:dyDescent="0.2">
      <c r="A449" s="2"/>
      <c r="B449" s="151">
        <f t="shared" si="306"/>
        <v>45627</v>
      </c>
      <c r="C449" s="223">
        <f>IF(AND(E449&gt;(N$496-1),E449&lt;(R$496+1)),W$485,IF(ISERROR(HLOOKUP(E449,$N$489:$U$489,1,FALSE)),HLOOKUP(WEEKDAY(E449,2),IMPOSTAZIONI!$C$51:$P$56,6,FALSE),$W$484))</f>
        <v>0</v>
      </c>
      <c r="D449" s="103" t="str">
        <f t="shared" si="307"/>
        <v/>
      </c>
      <c r="E449" s="2447">
        <f t="shared" si="318"/>
        <v>45627</v>
      </c>
      <c r="F449" s="2448"/>
      <c r="G449" s="2449" t="str">
        <f>DIC!E8</f>
        <v xml:space="preserve">attiva trim.  </v>
      </c>
      <c r="H449" s="2450"/>
      <c r="I449" s="2451"/>
      <c r="J449" s="479" t="str">
        <f t="shared" si="303"/>
        <v/>
      </c>
      <c r="K449" s="480"/>
      <c r="L449" s="2321">
        <f t="shared" si="319"/>
        <v>48</v>
      </c>
      <c r="M449" s="2322"/>
      <c r="N449" s="478"/>
      <c r="O449" s="478"/>
      <c r="P449" s="478"/>
      <c r="Q449" s="2315">
        <f t="shared" si="308"/>
        <v>45627</v>
      </c>
      <c r="R449" s="2315"/>
      <c r="S449" s="478"/>
      <c r="T449" s="140">
        <f t="shared" si="309"/>
        <v>1</v>
      </c>
      <c r="U449" s="478"/>
      <c r="V449" s="478"/>
      <c r="W449" s="478"/>
      <c r="X449" s="478"/>
      <c r="Y449" s="478"/>
      <c r="Z449" s="478"/>
      <c r="AA449" s="478"/>
      <c r="AB449" s="478"/>
      <c r="AC449" s="478"/>
      <c r="AD449" s="478"/>
      <c r="AE449" s="478"/>
      <c r="AF449" s="478"/>
      <c r="AG449" s="140">
        <f t="shared" si="310"/>
        <v>0</v>
      </c>
      <c r="AH449" s="92" t="str">
        <f t="shared" si="311"/>
        <v/>
      </c>
      <c r="AI449" s="131">
        <f t="shared" si="312"/>
        <v>0</v>
      </c>
      <c r="AJ449" s="131">
        <f>IF(G449=G481,0,COUNTIF(T449:T479,"&gt;0"))</f>
        <v>0</v>
      </c>
      <c r="AK449" s="92">
        <f>IF(G449=G$481,0,IF(OR(G449&lt;&gt;0,CJ449&lt;&gt;0,C449="L"),COUNTIF(AK$114:AK448,"&gt;0")+1,0))</f>
        <v>0</v>
      </c>
      <c r="AL449" s="92" t="str">
        <f t="shared" si="313"/>
        <v/>
      </c>
      <c r="AM449" s="92" t="str">
        <f t="shared" si="314"/>
        <v/>
      </c>
      <c r="AN449" s="131">
        <f t="shared" si="304"/>
        <v>0</v>
      </c>
      <c r="AO449" s="447">
        <f>SUM(DIC!W8:Z8)</f>
        <v>0</v>
      </c>
      <c r="AP449" s="445">
        <f>SUMIF(DIC!$G$155:$J$155,AP$112,DIC!$R8:$U8)</f>
        <v>0</v>
      </c>
      <c r="AQ449" s="446">
        <f>SUMIF(DIC!$G$155:$J$155,AQ$112,DIC!$R8:$U8)</f>
        <v>0</v>
      </c>
      <c r="AR449" s="447">
        <f>SUMIF(DIC!$G$155:$J$155,AR$112,DIC!$R8:$U8)</f>
        <v>0</v>
      </c>
      <c r="AS449" s="448">
        <f>SUMIF(DIC!$G$155:$J$155,AS$112,DIC!$R8:$U8)</f>
        <v>0</v>
      </c>
      <c r="AT449" s="449">
        <f>DIC!AG8</f>
        <v>0</v>
      </c>
      <c r="AU449" s="445">
        <f>DIC!AH8</f>
        <v>0</v>
      </c>
      <c r="AV449" s="446">
        <f>DIC!AI8</f>
        <v>0</v>
      </c>
      <c r="AW449" s="447">
        <f>DIC!AJ8</f>
        <v>0</v>
      </c>
      <c r="AX449" s="448">
        <f>DIC!AK8</f>
        <v>0</v>
      </c>
      <c r="AY449" s="445">
        <f>SUMIF(DIC!$G$152:$J$152,"&gt;0",DIC!$W8:$Z8)</f>
        <v>0</v>
      </c>
      <c r="AZ449" s="1062">
        <f>SUM(DIC!AB8:AE8)</f>
        <v>0</v>
      </c>
      <c r="BA449" s="472">
        <f>SUMIF(DIC!$G$159:$J$159,BA$111,DIC!$R8:$U8)+SUMIF(DIC!$G$159:$J$159,BA$111,DIC!$W8:$Z8)</f>
        <v>0</v>
      </c>
      <c r="BB449" s="473">
        <f>SUMIF(DIC!$G$159:$J$159,BB$111,DIC!$R8:$U8)+SUMIF(DIC!$G$159:$J$159,BB$111,DIC!$W8:$Z8)</f>
        <v>0</v>
      </c>
      <c r="BC449" s="473">
        <f>SUMIF(DIC!$G$159:$J$159,BC$111,DIC!$R8:$U8)+SUMIF(DIC!$G$159:$J$159,BC$111,DIC!$W8:$Z8)</f>
        <v>0</v>
      </c>
      <c r="BD449" s="473">
        <f>SUMIF(DIC!$G$159:$J$159,BD$111,DIC!$R8:$U8)+SUMIF(DIC!$G$159:$J$159,BD$111,DIC!$W8:$Z8)</f>
        <v>0</v>
      </c>
      <c r="BE449" s="473">
        <f>SUMIF(DIC!$G$159:$J$159,BE$111,DIC!$R8:$U8)+SUMIF(DIC!$G$159:$J$159,BE$111,DIC!$W8:$Z8)</f>
        <v>0</v>
      </c>
      <c r="BF449" s="473">
        <f>SUMIF(DIC!$G$159:$J$159,BF$111,DIC!$R8:$U8)+SUMIF(DIC!$G$159:$J$159,BF$111,DIC!$W8:$Z8)</f>
        <v>0</v>
      </c>
      <c r="BG449" s="474">
        <f>SUMIF(DIC!$G$159:$J$159,BG$111,DIC!$R8:$U8)+SUMIF(DIC!$G$159:$J$159,BG$111,DIC!$W8:$Z8)</f>
        <v>0</v>
      </c>
      <c r="BH449" s="570"/>
      <c r="BI449" s="474"/>
      <c r="BJ449" s="470"/>
      <c r="BK449" s="472">
        <f>SUMIF(DIC!$G$157:$J$157,BK$111,DIC!$R8:$U8)+SUMIF(DIC!$G$157:$J$157,BK$111,DIC!$W8:$Z8)</f>
        <v>0</v>
      </c>
      <c r="BL449" s="473">
        <f>SUMIF(DIC!$G$157:$J$157,BL$111,DIC!$R8:$U8)+SUMIF(DIC!$G$157:$J$157,BL$111,DIC!$W8:$Z8)</f>
        <v>0</v>
      </c>
      <c r="BM449" s="473">
        <f>SUMIF(DIC!$G$157:$J$157,BM$111,DIC!$R8:$U8)+SUMIF(DIC!$G$157:$J$157,BM$111,DIC!$W8:$Z8)</f>
        <v>0</v>
      </c>
      <c r="BN449" s="473">
        <f>SUMIF(DIC!$G$157:$J$157,BN$111,DIC!$R8:$U8)+SUMIF(DIC!$G$157:$J$157,BN$111,DIC!$W8:$Z8)</f>
        <v>0</v>
      </c>
      <c r="BO449" s="473">
        <f>SUMIF(DIC!$G$157:$J$157,BO$111,DIC!$R8:$U8)+SUMIF(DIC!$G$157:$J$157,BO$111,DIC!$W8:$Z8)</f>
        <v>0</v>
      </c>
      <c r="BP449" s="473">
        <f>SUMIF(DIC!$G$157:$J$157,BP$111,DIC!$R8:$U8)+SUMIF(DIC!$G$157:$J$157,BP$111,DIC!$W8:$Z8)</f>
        <v>0</v>
      </c>
      <c r="BQ449" s="474">
        <f>SUMIF(DIC!$G$157:$J$157,BQ$111,DIC!$R8:$U8)+SUMIF(DIC!$G$157:$J$157,BQ$111,DIC!$W8:$Z8)</f>
        <v>0</v>
      </c>
      <c r="BR449" s="570"/>
      <c r="BS449" s="473"/>
      <c r="BT449" s="474"/>
      <c r="BU449" s="470"/>
      <c r="BV449" s="472">
        <f>SUMIF(DIC!$G$158:$J$158,BV$111,DIC!$R8:$U8)+SUMIF(DIC!$G$158:$J$158,BV$111,DIC!$W8:$Z8)</f>
        <v>0</v>
      </c>
      <c r="BW449" s="473">
        <f>SUMIF(DIC!$G$158:$J$158,BW$111,DIC!$R8:$U8)+SUMIF(DIC!$G$158:$J$158,BW$111,DIC!$W8:$Z8)</f>
        <v>0</v>
      </c>
      <c r="BX449" s="473">
        <f>SUMIF(DIC!$G$158:$J$158,BX$111,DIC!$R8:$U8)+SUMIF(DIC!$G$158:$J$158,BX$111,DIC!$W8:$Z8)</f>
        <v>0</v>
      </c>
      <c r="BY449" s="473">
        <f>SUMIF(DIC!$G$158:$J$158,BY$111,DIC!$R8:$U8)+SUMIF(DIC!$G$158:$J$158,BY$111,DIC!$W8:$Z8)</f>
        <v>0</v>
      </c>
      <c r="BZ449" s="473">
        <f>SUMIF(DIC!$G$158:$J$158,BZ$111,DIC!$R8:$U8)+SUMIF(DIC!$G$158:$J$158,BZ$111,DIC!$W8:$Z8)</f>
        <v>0</v>
      </c>
      <c r="CA449" s="473">
        <f>SUMIF(DIC!$G$158:$J$158,CA$111,DIC!$R8:$U8)+SUMIF(DIC!$G$158:$J$158,CA$111,DIC!$W8:$Z8)</f>
        <v>0</v>
      </c>
      <c r="CB449" s="474">
        <f>SUMIF(DIC!$G$158:$J$158,CB$111,DIC!$R8:$U8)+SUMIF(DIC!$G$158:$J$158,CB$111,DIC!$W8:$Z8)</f>
        <v>0</v>
      </c>
      <c r="CC449" s="570"/>
      <c r="CD449" s="474"/>
      <c r="CE449" s="92">
        <f t="shared" si="315"/>
        <v>0</v>
      </c>
      <c r="CF449" s="92">
        <f t="shared" si="316"/>
        <v>0</v>
      </c>
      <c r="CG449" s="151" t="str">
        <f t="shared" si="302"/>
        <v/>
      </c>
      <c r="CH449" s="92">
        <f t="shared" si="305"/>
        <v>0</v>
      </c>
      <c r="CI449" s="92" t="str">
        <f t="shared" si="317"/>
        <v/>
      </c>
      <c r="CJ449" s="1102">
        <f>DIC!AM8</f>
        <v>0</v>
      </c>
      <c r="CK449" s="445">
        <f>SUMIF(DIC!$G$155:$J$155,CK$112,DIC!$AN8:$AQ8)</f>
        <v>0</v>
      </c>
      <c r="CL449" s="446">
        <f>SUMIF(DIC!$G$155:$J$155,CL$112,DIC!$AN8:$AQ8)</f>
        <v>0</v>
      </c>
      <c r="CM449" s="447">
        <f>SUMIF(DIC!$G$155:$J$155,CM$112,DIC!$AN8:$AQ8)</f>
        <v>0</v>
      </c>
      <c r="CN449" s="448">
        <f>SUMIF(DIC!$G$155:$J$155,CN$112,DIC!$AN8:$AQ8)</f>
        <v>0</v>
      </c>
      <c r="CO449" s="1102">
        <f>DIC!AS8</f>
        <v>0</v>
      </c>
      <c r="CP449" s="445">
        <f>DIC!AT8</f>
        <v>0</v>
      </c>
      <c r="CQ449" s="446">
        <f>DIC!AU8</f>
        <v>0</v>
      </c>
      <c r="CR449" s="447">
        <f>DIC!AV8</f>
        <v>0</v>
      </c>
      <c r="CS449" s="448">
        <f>DIC!AW8</f>
        <v>0</v>
      </c>
      <c r="CT449" s="1102">
        <f>DIC!AY8</f>
        <v>0</v>
      </c>
      <c r="CU449" s="2"/>
    </row>
    <row r="450" spans="1:99" ht="14.25" hidden="1" customHeight="1" x14ac:dyDescent="0.2">
      <c r="A450" s="2"/>
      <c r="B450" s="151">
        <f t="shared" si="306"/>
        <v>45628</v>
      </c>
      <c r="C450" s="223">
        <f>IF(AND(E450&gt;(N$496-1),E450&lt;(R$496+1)),W$485,IF(ISERROR(HLOOKUP(E450,$N$489:$U$489,1,FALSE)),HLOOKUP(WEEKDAY(E450,2),IMPOSTAZIONI!$C$51:$P$56,6,FALSE),$W$484))</f>
        <v>0</v>
      </c>
      <c r="D450" s="103" t="str">
        <f t="shared" si="307"/>
        <v/>
      </c>
      <c r="E450" s="2380">
        <f t="shared" si="318"/>
        <v>45628</v>
      </c>
      <c r="F450" s="2381"/>
      <c r="G450" s="2325" t="str">
        <f>DIC!E9</f>
        <v xml:space="preserve">attiva trim.  </v>
      </c>
      <c r="H450" s="2326"/>
      <c r="I450" s="2327"/>
      <c r="J450" s="479" t="str">
        <f t="shared" si="303"/>
        <v/>
      </c>
      <c r="K450" s="480"/>
      <c r="L450" s="2323">
        <f t="shared" si="319"/>
        <v>49</v>
      </c>
      <c r="M450" s="2324"/>
      <c r="N450" s="478"/>
      <c r="O450" s="478"/>
      <c r="P450" s="478"/>
      <c r="Q450" s="2315">
        <f t="shared" si="308"/>
        <v>45628</v>
      </c>
      <c r="R450" s="2315"/>
      <c r="S450" s="478"/>
      <c r="T450" s="140">
        <f t="shared" si="309"/>
        <v>1</v>
      </c>
      <c r="U450" s="478"/>
      <c r="V450" s="478"/>
      <c r="W450" s="478"/>
      <c r="X450" s="478"/>
      <c r="Y450" s="478"/>
      <c r="Z450" s="478"/>
      <c r="AA450" s="478"/>
      <c r="AB450" s="478"/>
      <c r="AC450" s="478"/>
      <c r="AD450" s="478"/>
      <c r="AE450" s="478"/>
      <c r="AF450" s="478"/>
      <c r="AG450" s="140">
        <f t="shared" si="310"/>
        <v>0</v>
      </c>
      <c r="AH450" s="92" t="str">
        <f t="shared" si="311"/>
        <v/>
      </c>
      <c r="AI450" s="131">
        <f t="shared" si="312"/>
        <v>0</v>
      </c>
      <c r="AJ450" s="2"/>
      <c r="AK450" s="92">
        <f>IF(G450=G$481,0,IF(OR(G450&lt;&gt;0,CJ450&lt;&gt;0,C450="L"),COUNTIF(AK$114:AK449,"&gt;0")+1,0))</f>
        <v>0</v>
      </c>
      <c r="AL450" s="92" t="str">
        <f t="shared" si="313"/>
        <v/>
      </c>
      <c r="AM450" s="92" t="str">
        <f t="shared" si="314"/>
        <v/>
      </c>
      <c r="AN450" s="131">
        <f t="shared" si="304"/>
        <v>0</v>
      </c>
      <c r="AO450" s="447">
        <f>SUM(DIC!W9:Z9)</f>
        <v>0</v>
      </c>
      <c r="AP450" s="445">
        <f>SUMIF(DIC!$G$155:$J$155,AP$112,DIC!$R9:$U9)</f>
        <v>0</v>
      </c>
      <c r="AQ450" s="446">
        <f>SUMIF(DIC!$G$155:$J$155,AQ$112,DIC!$R9:$U9)</f>
        <v>0</v>
      </c>
      <c r="AR450" s="447">
        <f>SUMIF(DIC!$G$155:$J$155,AR$112,DIC!$R9:$U9)</f>
        <v>0</v>
      </c>
      <c r="AS450" s="448">
        <f>SUMIF(DIC!$G$155:$J$155,AS$112,DIC!$R9:$U9)</f>
        <v>0</v>
      </c>
      <c r="AT450" s="449">
        <f>DIC!AG9</f>
        <v>0</v>
      </c>
      <c r="AU450" s="445">
        <f>DIC!AH9</f>
        <v>0</v>
      </c>
      <c r="AV450" s="446">
        <f>DIC!AI9</f>
        <v>0</v>
      </c>
      <c r="AW450" s="447">
        <f>DIC!AJ9</f>
        <v>0</v>
      </c>
      <c r="AX450" s="448">
        <f>DIC!AK9</f>
        <v>0</v>
      </c>
      <c r="AY450" s="445">
        <f>SUMIF(DIC!$G$152:$J$152,"&gt;0",DIC!$W9:$Z9)</f>
        <v>0</v>
      </c>
      <c r="AZ450" s="1063">
        <f>SUM(DIC!AB9:AE9)</f>
        <v>0</v>
      </c>
      <c r="BA450" s="445">
        <f>SUMIF(DIC!$G$159:$J$159,BA$111,DIC!$R9:$U9)+SUMIF(DIC!$G$159:$J$159,BA$111,DIC!$W9:$Z9)</f>
        <v>0</v>
      </c>
      <c r="BB450" s="446">
        <f>SUMIF(DIC!$G$159:$J$159,BB$111,DIC!$R9:$U9)+SUMIF(DIC!$G$159:$J$159,BB$111,DIC!$W9:$Z9)</f>
        <v>0</v>
      </c>
      <c r="BC450" s="446">
        <f>SUMIF(DIC!$G$159:$J$159,BC$111,DIC!$R9:$U9)+SUMIF(DIC!$G$159:$J$159,BC$111,DIC!$W9:$Z9)</f>
        <v>0</v>
      </c>
      <c r="BD450" s="446">
        <f>SUMIF(DIC!$G$159:$J$159,BD$111,DIC!$R9:$U9)+SUMIF(DIC!$G$159:$J$159,BD$111,DIC!$W9:$Z9)</f>
        <v>0</v>
      </c>
      <c r="BE450" s="446">
        <f>SUMIF(DIC!$G$159:$J$159,BE$111,DIC!$R9:$U9)+SUMIF(DIC!$G$159:$J$159,BE$111,DIC!$W9:$Z9)</f>
        <v>0</v>
      </c>
      <c r="BF450" s="446">
        <f>SUMIF(DIC!$G$159:$J$159,BF$111,DIC!$R9:$U9)+SUMIF(DIC!$G$159:$J$159,BF$111,DIC!$W9:$Z9)</f>
        <v>0</v>
      </c>
      <c r="BG450" s="448">
        <f>SUMIF(DIC!$G$159:$J$159,BG$111,DIC!$R9:$U9)+SUMIF(DIC!$G$159:$J$159,BG$111,DIC!$W9:$Z9)</f>
        <v>0</v>
      </c>
      <c r="BH450" s="571"/>
      <c r="BI450" s="448"/>
      <c r="BJ450" s="470"/>
      <c r="BK450" s="445">
        <f>SUMIF(DIC!$G$157:$J$157,BK$111,DIC!$R9:$U9)+SUMIF(DIC!$G$157:$J$157,BK$111,DIC!$W9:$Z9)</f>
        <v>0</v>
      </c>
      <c r="BL450" s="446">
        <f>SUMIF(DIC!$G$157:$J$157,BL$111,DIC!$R9:$U9)+SUMIF(DIC!$G$157:$J$157,BL$111,DIC!$W9:$Z9)</f>
        <v>0</v>
      </c>
      <c r="BM450" s="446">
        <f>SUMIF(DIC!$G$157:$J$157,BM$111,DIC!$R9:$U9)+SUMIF(DIC!$G$157:$J$157,BM$111,DIC!$W9:$Z9)</f>
        <v>0</v>
      </c>
      <c r="BN450" s="446">
        <f>SUMIF(DIC!$G$157:$J$157,BN$111,DIC!$R9:$U9)+SUMIF(DIC!$G$157:$J$157,BN$111,DIC!$W9:$Z9)</f>
        <v>0</v>
      </c>
      <c r="BO450" s="446">
        <f>SUMIF(DIC!$G$157:$J$157,BO$111,DIC!$R9:$U9)+SUMIF(DIC!$G$157:$J$157,BO$111,DIC!$W9:$Z9)</f>
        <v>0</v>
      </c>
      <c r="BP450" s="446">
        <f>SUMIF(DIC!$G$157:$J$157,BP$111,DIC!$R9:$U9)+SUMIF(DIC!$G$157:$J$157,BP$111,DIC!$W9:$Z9)</f>
        <v>0</v>
      </c>
      <c r="BQ450" s="448">
        <f>SUMIF(DIC!$G$157:$J$157,BQ$111,DIC!$R9:$U9)+SUMIF(DIC!$G$157:$J$157,BQ$111,DIC!$W9:$Z9)</f>
        <v>0</v>
      </c>
      <c r="BR450" s="571"/>
      <c r="BS450" s="446"/>
      <c r="BT450" s="448"/>
      <c r="BU450" s="470"/>
      <c r="BV450" s="445">
        <f>SUMIF(DIC!$G$158:$J$158,BV$111,DIC!$R9:$U9)+SUMIF(DIC!$G$158:$J$158,BV$111,DIC!$W9:$Z9)</f>
        <v>0</v>
      </c>
      <c r="BW450" s="446">
        <f>SUMIF(DIC!$G$158:$J$158,BW$111,DIC!$R9:$U9)+SUMIF(DIC!$G$158:$J$158,BW$111,DIC!$W9:$Z9)</f>
        <v>0</v>
      </c>
      <c r="BX450" s="446">
        <f>SUMIF(DIC!$G$158:$J$158,BX$111,DIC!$R9:$U9)+SUMIF(DIC!$G$158:$J$158,BX$111,DIC!$W9:$Z9)</f>
        <v>0</v>
      </c>
      <c r="BY450" s="446">
        <f>SUMIF(DIC!$G$158:$J$158,BY$111,DIC!$R9:$U9)+SUMIF(DIC!$G$158:$J$158,BY$111,DIC!$W9:$Z9)</f>
        <v>0</v>
      </c>
      <c r="BZ450" s="446">
        <f>SUMIF(DIC!$G$158:$J$158,BZ$111,DIC!$R9:$U9)+SUMIF(DIC!$G$158:$J$158,BZ$111,DIC!$W9:$Z9)</f>
        <v>0</v>
      </c>
      <c r="CA450" s="446">
        <f>SUMIF(DIC!$G$158:$J$158,CA$111,DIC!$R9:$U9)+SUMIF(DIC!$G$158:$J$158,CA$111,DIC!$W9:$Z9)</f>
        <v>0</v>
      </c>
      <c r="CB450" s="448">
        <f>SUMIF(DIC!$G$158:$J$158,CB$111,DIC!$R9:$U9)+SUMIF(DIC!$G$158:$J$158,CB$111,DIC!$W9:$Z9)</f>
        <v>0</v>
      </c>
      <c r="CC450" s="571"/>
      <c r="CD450" s="448"/>
      <c r="CE450" s="92">
        <f t="shared" si="315"/>
        <v>0</v>
      </c>
      <c r="CF450" s="92">
        <f t="shared" si="316"/>
        <v>0</v>
      </c>
      <c r="CG450" s="151" t="str">
        <f t="shared" si="302"/>
        <v/>
      </c>
      <c r="CH450" s="92">
        <f t="shared" si="305"/>
        <v>0</v>
      </c>
      <c r="CI450" s="92" t="str">
        <f t="shared" si="317"/>
        <v/>
      </c>
      <c r="CJ450" s="1100">
        <f>DIC!AM9</f>
        <v>0</v>
      </c>
      <c r="CK450" s="445">
        <f>SUMIF(DIC!$G$155:$J$155,CK$112,DIC!$AN9:$AQ9)</f>
        <v>0</v>
      </c>
      <c r="CL450" s="446">
        <f>SUMIF(DIC!$G$155:$J$155,CL$112,DIC!$AN9:$AQ9)</f>
        <v>0</v>
      </c>
      <c r="CM450" s="447">
        <f>SUMIF(DIC!$G$155:$J$155,CM$112,DIC!$AN9:$AQ9)</f>
        <v>0</v>
      </c>
      <c r="CN450" s="448">
        <f>SUMIF(DIC!$G$155:$J$155,CN$112,DIC!$AN9:$AQ9)</f>
        <v>0</v>
      </c>
      <c r="CO450" s="1100">
        <f>DIC!AS9</f>
        <v>0</v>
      </c>
      <c r="CP450" s="445">
        <f>DIC!AT9</f>
        <v>0</v>
      </c>
      <c r="CQ450" s="446">
        <f>DIC!AU9</f>
        <v>0</v>
      </c>
      <c r="CR450" s="447">
        <f>DIC!AV9</f>
        <v>0</v>
      </c>
      <c r="CS450" s="448">
        <f>DIC!AW9</f>
        <v>0</v>
      </c>
      <c r="CT450" s="1100">
        <f>DIC!AY9</f>
        <v>0</v>
      </c>
      <c r="CU450" s="2"/>
    </row>
    <row r="451" spans="1:99" ht="14.25" hidden="1" customHeight="1" x14ac:dyDescent="0.2">
      <c r="A451" s="2"/>
      <c r="B451" s="151">
        <f t="shared" si="306"/>
        <v>45629</v>
      </c>
      <c r="C451" s="223">
        <f>IF(AND(E451&gt;(N$496-1),E451&lt;(R$496+1)),W$485,IF(ISERROR(HLOOKUP(E451,$N$489:$U$489,1,FALSE)),HLOOKUP(WEEKDAY(E451,2),IMPOSTAZIONI!$C$51:$P$56,6,FALSE),$W$484))</f>
        <v>0</v>
      </c>
      <c r="D451" s="103" t="str">
        <f t="shared" si="307"/>
        <v/>
      </c>
      <c r="E451" s="2380">
        <f t="shared" si="318"/>
        <v>45629</v>
      </c>
      <c r="F451" s="2381"/>
      <c r="G451" s="2325" t="str">
        <f>DIC!E10</f>
        <v xml:space="preserve">attiva trim.  </v>
      </c>
      <c r="H451" s="2326"/>
      <c r="I451" s="2327"/>
      <c r="J451" s="479" t="str">
        <f t="shared" si="303"/>
        <v/>
      </c>
      <c r="K451" s="480"/>
      <c r="L451" s="2319">
        <f t="shared" si="319"/>
        <v>49</v>
      </c>
      <c r="M451" s="2320"/>
      <c r="N451" s="478"/>
      <c r="O451" s="478"/>
      <c r="P451" s="478"/>
      <c r="Q451" s="2315">
        <f t="shared" si="308"/>
        <v>45629</v>
      </c>
      <c r="R451" s="2315"/>
      <c r="S451" s="478"/>
      <c r="T451" s="140">
        <f t="shared" si="309"/>
        <v>1</v>
      </c>
      <c r="U451" s="478"/>
      <c r="V451" s="478"/>
      <c r="W451" s="478"/>
      <c r="X451" s="478"/>
      <c r="Y451" s="478"/>
      <c r="Z451" s="478"/>
      <c r="AA451" s="478"/>
      <c r="AB451" s="478"/>
      <c r="AC451" s="478"/>
      <c r="AD451" s="478"/>
      <c r="AE451" s="478"/>
      <c r="AF451" s="478"/>
      <c r="AG451" s="140">
        <f t="shared" si="310"/>
        <v>0</v>
      </c>
      <c r="AH451" s="92" t="str">
        <f t="shared" si="311"/>
        <v/>
      </c>
      <c r="AI451" s="131">
        <f t="shared" si="312"/>
        <v>0</v>
      </c>
      <c r="AJ451" s="2"/>
      <c r="AK451" s="92">
        <f>IF(G451=G$481,0,IF(OR(G451&lt;&gt;0,CJ451&lt;&gt;0,C451="L"),COUNTIF(AK$114:AK450,"&gt;0")+1,0))</f>
        <v>0</v>
      </c>
      <c r="AL451" s="92" t="str">
        <f t="shared" si="313"/>
        <v/>
      </c>
      <c r="AM451" s="92" t="str">
        <f t="shared" si="314"/>
        <v/>
      </c>
      <c r="AN451" s="131">
        <f t="shared" si="304"/>
        <v>0</v>
      </c>
      <c r="AO451" s="447">
        <f>SUM(DIC!W10:Z10)</f>
        <v>0</v>
      </c>
      <c r="AP451" s="445">
        <f>SUMIF(DIC!$G$155:$J$155,AP$112,DIC!$R10:$U10)</f>
        <v>0</v>
      </c>
      <c r="AQ451" s="446">
        <f>SUMIF(DIC!$G$155:$J$155,AQ$112,DIC!$R10:$U10)</f>
        <v>0</v>
      </c>
      <c r="AR451" s="447">
        <f>SUMIF(DIC!$G$155:$J$155,AR$112,DIC!$R10:$U10)</f>
        <v>0</v>
      </c>
      <c r="AS451" s="448">
        <f>SUMIF(DIC!$G$155:$J$155,AS$112,DIC!$R10:$U10)</f>
        <v>0</v>
      </c>
      <c r="AT451" s="449">
        <f>DIC!AG10</f>
        <v>0</v>
      </c>
      <c r="AU451" s="445">
        <f>DIC!AH10</f>
        <v>0</v>
      </c>
      <c r="AV451" s="446">
        <f>DIC!AI10</f>
        <v>0</v>
      </c>
      <c r="AW451" s="447">
        <f>DIC!AJ10</f>
        <v>0</v>
      </c>
      <c r="AX451" s="448">
        <f>DIC!AK10</f>
        <v>0</v>
      </c>
      <c r="AY451" s="445">
        <f>SUMIF(DIC!$G$152:$J$152,"&gt;0",DIC!$W10:$Z10)</f>
        <v>0</v>
      </c>
      <c r="AZ451" s="1063">
        <f>SUM(DIC!AB10:AE10)</f>
        <v>0</v>
      </c>
      <c r="BA451" s="445">
        <f>SUMIF(DIC!$G$159:$J$159,BA$111,DIC!$R10:$U10)+SUMIF(DIC!$G$159:$J$159,BA$111,DIC!$W10:$Z10)</f>
        <v>0</v>
      </c>
      <c r="BB451" s="446">
        <f>SUMIF(DIC!$G$159:$J$159,BB$111,DIC!$R10:$U10)+SUMIF(DIC!$G$159:$J$159,BB$111,DIC!$W10:$Z10)</f>
        <v>0</v>
      </c>
      <c r="BC451" s="446">
        <f>SUMIF(DIC!$G$159:$J$159,BC$111,DIC!$R10:$U10)+SUMIF(DIC!$G$159:$J$159,BC$111,DIC!$W10:$Z10)</f>
        <v>0</v>
      </c>
      <c r="BD451" s="446">
        <f>SUMIF(DIC!$G$159:$J$159,BD$111,DIC!$R10:$U10)+SUMIF(DIC!$G$159:$J$159,BD$111,DIC!$W10:$Z10)</f>
        <v>0</v>
      </c>
      <c r="BE451" s="446">
        <f>SUMIF(DIC!$G$159:$J$159,BE$111,DIC!$R10:$U10)+SUMIF(DIC!$G$159:$J$159,BE$111,DIC!$W10:$Z10)</f>
        <v>0</v>
      </c>
      <c r="BF451" s="446">
        <f>SUMIF(DIC!$G$159:$J$159,BF$111,DIC!$R10:$U10)+SUMIF(DIC!$G$159:$J$159,BF$111,DIC!$W10:$Z10)</f>
        <v>0</v>
      </c>
      <c r="BG451" s="448">
        <f>SUMIF(DIC!$G$159:$J$159,BG$111,DIC!$R10:$U10)+SUMIF(DIC!$G$159:$J$159,BG$111,DIC!$W10:$Z10)</f>
        <v>0</v>
      </c>
      <c r="BH451" s="571"/>
      <c r="BI451" s="448"/>
      <c r="BJ451" s="470"/>
      <c r="BK451" s="445">
        <f>SUMIF(DIC!$G$157:$J$157,BK$111,DIC!$R10:$U10)+SUMIF(DIC!$G$157:$J$157,BK$111,DIC!$W10:$Z10)</f>
        <v>0</v>
      </c>
      <c r="BL451" s="446">
        <f>SUMIF(DIC!$G$157:$J$157,BL$111,DIC!$R10:$U10)+SUMIF(DIC!$G$157:$J$157,BL$111,DIC!$W10:$Z10)</f>
        <v>0</v>
      </c>
      <c r="BM451" s="446">
        <f>SUMIF(DIC!$G$157:$J$157,BM$111,DIC!$R10:$U10)+SUMIF(DIC!$G$157:$J$157,BM$111,DIC!$W10:$Z10)</f>
        <v>0</v>
      </c>
      <c r="BN451" s="446">
        <f>SUMIF(DIC!$G$157:$J$157,BN$111,DIC!$R10:$U10)+SUMIF(DIC!$G$157:$J$157,BN$111,DIC!$W10:$Z10)</f>
        <v>0</v>
      </c>
      <c r="BO451" s="446">
        <f>SUMIF(DIC!$G$157:$J$157,BO$111,DIC!$R10:$U10)+SUMIF(DIC!$G$157:$J$157,BO$111,DIC!$W10:$Z10)</f>
        <v>0</v>
      </c>
      <c r="BP451" s="446">
        <f>SUMIF(DIC!$G$157:$J$157,BP$111,DIC!$R10:$U10)+SUMIF(DIC!$G$157:$J$157,BP$111,DIC!$W10:$Z10)</f>
        <v>0</v>
      </c>
      <c r="BQ451" s="448">
        <f>SUMIF(DIC!$G$157:$J$157,BQ$111,DIC!$R10:$U10)+SUMIF(DIC!$G$157:$J$157,BQ$111,DIC!$W10:$Z10)</f>
        <v>0</v>
      </c>
      <c r="BR451" s="571"/>
      <c r="BS451" s="446"/>
      <c r="BT451" s="448"/>
      <c r="BU451" s="470"/>
      <c r="BV451" s="445">
        <f>SUMIF(DIC!$G$158:$J$158,BV$111,DIC!$R10:$U10)+SUMIF(DIC!$G$158:$J$158,BV$111,DIC!$W10:$Z10)</f>
        <v>0</v>
      </c>
      <c r="BW451" s="446">
        <f>SUMIF(DIC!$G$158:$J$158,BW$111,DIC!$R10:$U10)+SUMIF(DIC!$G$158:$J$158,BW$111,DIC!$W10:$Z10)</f>
        <v>0</v>
      </c>
      <c r="BX451" s="446">
        <f>SUMIF(DIC!$G$158:$J$158,BX$111,DIC!$R10:$U10)+SUMIF(DIC!$G$158:$J$158,BX$111,DIC!$W10:$Z10)</f>
        <v>0</v>
      </c>
      <c r="BY451" s="446">
        <f>SUMIF(DIC!$G$158:$J$158,BY$111,DIC!$R10:$U10)+SUMIF(DIC!$G$158:$J$158,BY$111,DIC!$W10:$Z10)</f>
        <v>0</v>
      </c>
      <c r="BZ451" s="446">
        <f>SUMIF(DIC!$G$158:$J$158,BZ$111,DIC!$R10:$U10)+SUMIF(DIC!$G$158:$J$158,BZ$111,DIC!$W10:$Z10)</f>
        <v>0</v>
      </c>
      <c r="CA451" s="446">
        <f>SUMIF(DIC!$G$158:$J$158,CA$111,DIC!$R10:$U10)+SUMIF(DIC!$G$158:$J$158,CA$111,DIC!$W10:$Z10)</f>
        <v>0</v>
      </c>
      <c r="CB451" s="448">
        <f>SUMIF(DIC!$G$158:$J$158,CB$111,DIC!$R10:$U10)+SUMIF(DIC!$G$158:$J$158,CB$111,DIC!$W10:$Z10)</f>
        <v>0</v>
      </c>
      <c r="CC451" s="571"/>
      <c r="CD451" s="448"/>
      <c r="CE451" s="92">
        <f t="shared" si="315"/>
        <v>0</v>
      </c>
      <c r="CF451" s="92">
        <f t="shared" si="316"/>
        <v>0</v>
      </c>
      <c r="CG451" s="151" t="str">
        <f t="shared" si="302"/>
        <v/>
      </c>
      <c r="CH451" s="92">
        <f t="shared" si="305"/>
        <v>0</v>
      </c>
      <c r="CI451" s="92" t="str">
        <f t="shared" si="317"/>
        <v/>
      </c>
      <c r="CJ451" s="1100">
        <f>DIC!AM10</f>
        <v>0</v>
      </c>
      <c r="CK451" s="445">
        <f>SUMIF(DIC!$G$155:$J$155,CK$112,DIC!$AN10:$AQ10)</f>
        <v>0</v>
      </c>
      <c r="CL451" s="446">
        <f>SUMIF(DIC!$G$155:$J$155,CL$112,DIC!$AN10:$AQ10)</f>
        <v>0</v>
      </c>
      <c r="CM451" s="447">
        <f>SUMIF(DIC!$G$155:$J$155,CM$112,DIC!$AN10:$AQ10)</f>
        <v>0</v>
      </c>
      <c r="CN451" s="448">
        <f>SUMIF(DIC!$G$155:$J$155,CN$112,DIC!$AN10:$AQ10)</f>
        <v>0</v>
      </c>
      <c r="CO451" s="1100">
        <f>DIC!AS10</f>
        <v>0</v>
      </c>
      <c r="CP451" s="445">
        <f>DIC!AT10</f>
        <v>0</v>
      </c>
      <c r="CQ451" s="446">
        <f>DIC!AU10</f>
        <v>0</v>
      </c>
      <c r="CR451" s="447">
        <f>DIC!AV10</f>
        <v>0</v>
      </c>
      <c r="CS451" s="448">
        <f>DIC!AW10</f>
        <v>0</v>
      </c>
      <c r="CT451" s="1100">
        <f>DIC!AY10</f>
        <v>0</v>
      </c>
      <c r="CU451" s="2"/>
    </row>
    <row r="452" spans="1:99" ht="14.25" hidden="1" customHeight="1" x14ac:dyDescent="0.2">
      <c r="A452" s="2"/>
      <c r="B452" s="151">
        <f t="shared" si="306"/>
        <v>45630</v>
      </c>
      <c r="C452" s="223">
        <f>IF(AND(E452&gt;(N$496-1),E452&lt;(R$496+1)),W$485,IF(ISERROR(HLOOKUP(E452,$N$489:$U$489,1,FALSE)),HLOOKUP(WEEKDAY(E452,2),IMPOSTAZIONI!$C$51:$P$56,6,FALSE),$W$484))</f>
        <v>0</v>
      </c>
      <c r="D452" s="103" t="str">
        <f t="shared" si="307"/>
        <v/>
      </c>
      <c r="E452" s="2380">
        <f t="shared" si="318"/>
        <v>45630</v>
      </c>
      <c r="F452" s="2381"/>
      <c r="G452" s="2325" t="str">
        <f>DIC!E11</f>
        <v xml:space="preserve">attiva trim.  </v>
      </c>
      <c r="H452" s="2326"/>
      <c r="I452" s="2327"/>
      <c r="J452" s="479" t="str">
        <f t="shared" si="303"/>
        <v/>
      </c>
      <c r="K452" s="480"/>
      <c r="L452" s="2319">
        <f t="shared" si="319"/>
        <v>49</v>
      </c>
      <c r="M452" s="2320"/>
      <c r="N452" s="478"/>
      <c r="O452" s="478"/>
      <c r="P452" s="478"/>
      <c r="Q452" s="2315">
        <f t="shared" si="308"/>
        <v>45630</v>
      </c>
      <c r="R452" s="2315"/>
      <c r="S452" s="478"/>
      <c r="T452" s="140">
        <f t="shared" si="309"/>
        <v>1</v>
      </c>
      <c r="U452" s="478"/>
      <c r="V452" s="478"/>
      <c r="W452" s="478"/>
      <c r="X452" s="478"/>
      <c r="Y452" s="478"/>
      <c r="Z452" s="478"/>
      <c r="AA452" s="478"/>
      <c r="AB452" s="478"/>
      <c r="AC452" s="478"/>
      <c r="AD452" s="478"/>
      <c r="AE452" s="478"/>
      <c r="AF452" s="478"/>
      <c r="AG452" s="140">
        <f t="shared" si="310"/>
        <v>0</v>
      </c>
      <c r="AH452" s="92" t="str">
        <f t="shared" si="311"/>
        <v/>
      </c>
      <c r="AI452" s="131">
        <f t="shared" si="312"/>
        <v>0</v>
      </c>
      <c r="AJ452" s="2"/>
      <c r="AK452" s="92">
        <f>IF(G452=G$481,0,IF(OR(G452&lt;&gt;0,CJ452&lt;&gt;0,C452="L"),COUNTIF(AK$114:AK451,"&gt;0")+1,0))</f>
        <v>0</v>
      </c>
      <c r="AL452" s="92" t="str">
        <f t="shared" si="313"/>
        <v/>
      </c>
      <c r="AM452" s="92" t="str">
        <f t="shared" si="314"/>
        <v/>
      </c>
      <c r="AN452" s="131">
        <f t="shared" si="304"/>
        <v>0</v>
      </c>
      <c r="AO452" s="447">
        <f>SUM(DIC!W11:Z11)</f>
        <v>0</v>
      </c>
      <c r="AP452" s="445">
        <f>SUMIF(DIC!$G$155:$J$155,AP$112,DIC!$R11:$U11)</f>
        <v>0</v>
      </c>
      <c r="AQ452" s="446">
        <f>SUMIF(DIC!$G$155:$J$155,AQ$112,DIC!$R11:$U11)</f>
        <v>0</v>
      </c>
      <c r="AR452" s="447">
        <f>SUMIF(DIC!$G$155:$J$155,AR$112,DIC!$R11:$U11)</f>
        <v>0</v>
      </c>
      <c r="AS452" s="448">
        <f>SUMIF(DIC!$G$155:$J$155,AS$112,DIC!$R11:$U11)</f>
        <v>0</v>
      </c>
      <c r="AT452" s="449">
        <f>DIC!AG11</f>
        <v>0</v>
      </c>
      <c r="AU452" s="445">
        <f>DIC!AH11</f>
        <v>0</v>
      </c>
      <c r="AV452" s="446">
        <f>DIC!AI11</f>
        <v>0</v>
      </c>
      <c r="AW452" s="447">
        <f>DIC!AJ11</f>
        <v>0</v>
      </c>
      <c r="AX452" s="448">
        <f>DIC!AK11</f>
        <v>0</v>
      </c>
      <c r="AY452" s="445">
        <f>SUMIF(DIC!$G$152:$J$152,"&gt;0",DIC!$W11:$Z11)</f>
        <v>0</v>
      </c>
      <c r="AZ452" s="1063">
        <f>SUM(DIC!AB11:AE11)</f>
        <v>0</v>
      </c>
      <c r="BA452" s="445">
        <f>SUMIF(DIC!$G$159:$J$159,BA$111,DIC!$R11:$U11)+SUMIF(DIC!$G$159:$J$159,BA$111,DIC!$W11:$Z11)</f>
        <v>0</v>
      </c>
      <c r="BB452" s="446">
        <f>SUMIF(DIC!$G$159:$J$159,BB$111,DIC!$R11:$U11)+SUMIF(DIC!$G$159:$J$159,BB$111,DIC!$W11:$Z11)</f>
        <v>0</v>
      </c>
      <c r="BC452" s="446">
        <f>SUMIF(DIC!$G$159:$J$159,BC$111,DIC!$R11:$U11)+SUMIF(DIC!$G$159:$J$159,BC$111,DIC!$W11:$Z11)</f>
        <v>0</v>
      </c>
      <c r="BD452" s="446">
        <f>SUMIF(DIC!$G$159:$J$159,BD$111,DIC!$R11:$U11)+SUMIF(DIC!$G$159:$J$159,BD$111,DIC!$W11:$Z11)</f>
        <v>0</v>
      </c>
      <c r="BE452" s="446">
        <f>SUMIF(DIC!$G$159:$J$159,BE$111,DIC!$R11:$U11)+SUMIF(DIC!$G$159:$J$159,BE$111,DIC!$W11:$Z11)</f>
        <v>0</v>
      </c>
      <c r="BF452" s="446">
        <f>SUMIF(DIC!$G$159:$J$159,BF$111,DIC!$R11:$U11)+SUMIF(DIC!$G$159:$J$159,BF$111,DIC!$W11:$Z11)</f>
        <v>0</v>
      </c>
      <c r="BG452" s="448">
        <f>SUMIF(DIC!$G$159:$J$159,BG$111,DIC!$R11:$U11)+SUMIF(DIC!$G$159:$J$159,BG$111,DIC!$W11:$Z11)</f>
        <v>0</v>
      </c>
      <c r="BH452" s="571"/>
      <c r="BI452" s="448"/>
      <c r="BJ452" s="470"/>
      <c r="BK452" s="445">
        <f>SUMIF(DIC!$G$157:$J$157,BK$111,DIC!$R11:$U11)+SUMIF(DIC!$G$157:$J$157,BK$111,DIC!$W11:$Z11)</f>
        <v>0</v>
      </c>
      <c r="BL452" s="446">
        <f>SUMIF(DIC!$G$157:$J$157,BL$111,DIC!$R11:$U11)+SUMIF(DIC!$G$157:$J$157,BL$111,DIC!$W11:$Z11)</f>
        <v>0</v>
      </c>
      <c r="BM452" s="446">
        <f>SUMIF(DIC!$G$157:$J$157,BM$111,DIC!$R11:$U11)+SUMIF(DIC!$G$157:$J$157,BM$111,DIC!$W11:$Z11)</f>
        <v>0</v>
      </c>
      <c r="BN452" s="446">
        <f>SUMIF(DIC!$G$157:$J$157,BN$111,DIC!$R11:$U11)+SUMIF(DIC!$G$157:$J$157,BN$111,DIC!$W11:$Z11)</f>
        <v>0</v>
      </c>
      <c r="BO452" s="446">
        <f>SUMIF(DIC!$G$157:$J$157,BO$111,DIC!$R11:$U11)+SUMIF(DIC!$G$157:$J$157,BO$111,DIC!$W11:$Z11)</f>
        <v>0</v>
      </c>
      <c r="BP452" s="446">
        <f>SUMIF(DIC!$G$157:$J$157,BP$111,DIC!$R11:$U11)+SUMIF(DIC!$G$157:$J$157,BP$111,DIC!$W11:$Z11)</f>
        <v>0</v>
      </c>
      <c r="BQ452" s="448">
        <f>SUMIF(DIC!$G$157:$J$157,BQ$111,DIC!$R11:$U11)+SUMIF(DIC!$G$157:$J$157,BQ$111,DIC!$W11:$Z11)</f>
        <v>0</v>
      </c>
      <c r="BR452" s="571"/>
      <c r="BS452" s="446"/>
      <c r="BT452" s="448"/>
      <c r="BU452" s="470"/>
      <c r="BV452" s="445">
        <f>SUMIF(DIC!$G$158:$J$158,BV$111,DIC!$R11:$U11)+SUMIF(DIC!$G$158:$J$158,BV$111,DIC!$W11:$Z11)</f>
        <v>0</v>
      </c>
      <c r="BW452" s="446">
        <f>SUMIF(DIC!$G$158:$J$158,BW$111,DIC!$R11:$U11)+SUMIF(DIC!$G$158:$J$158,BW$111,DIC!$W11:$Z11)</f>
        <v>0</v>
      </c>
      <c r="BX452" s="446">
        <f>SUMIF(DIC!$G$158:$J$158,BX$111,DIC!$R11:$U11)+SUMIF(DIC!$G$158:$J$158,BX$111,DIC!$W11:$Z11)</f>
        <v>0</v>
      </c>
      <c r="BY452" s="446">
        <f>SUMIF(DIC!$G$158:$J$158,BY$111,DIC!$R11:$U11)+SUMIF(DIC!$G$158:$J$158,BY$111,DIC!$W11:$Z11)</f>
        <v>0</v>
      </c>
      <c r="BZ452" s="446">
        <f>SUMIF(DIC!$G$158:$J$158,BZ$111,DIC!$R11:$U11)+SUMIF(DIC!$G$158:$J$158,BZ$111,DIC!$W11:$Z11)</f>
        <v>0</v>
      </c>
      <c r="CA452" s="446">
        <f>SUMIF(DIC!$G$158:$J$158,CA$111,DIC!$R11:$U11)+SUMIF(DIC!$G$158:$J$158,CA$111,DIC!$W11:$Z11)</f>
        <v>0</v>
      </c>
      <c r="CB452" s="448">
        <f>SUMIF(DIC!$G$158:$J$158,CB$111,DIC!$R11:$U11)+SUMIF(DIC!$G$158:$J$158,CB$111,DIC!$W11:$Z11)</f>
        <v>0</v>
      </c>
      <c r="CC452" s="571"/>
      <c r="CD452" s="448"/>
      <c r="CE452" s="92">
        <f t="shared" si="315"/>
        <v>0</v>
      </c>
      <c r="CF452" s="92">
        <f t="shared" si="316"/>
        <v>0</v>
      </c>
      <c r="CG452" s="151" t="str">
        <f t="shared" si="302"/>
        <v/>
      </c>
      <c r="CH452" s="92">
        <f t="shared" si="305"/>
        <v>0</v>
      </c>
      <c r="CI452" s="92" t="str">
        <f t="shared" si="317"/>
        <v/>
      </c>
      <c r="CJ452" s="1100">
        <f>DIC!AM11</f>
        <v>0</v>
      </c>
      <c r="CK452" s="445">
        <f>SUMIF(DIC!$G$155:$J$155,CK$112,DIC!$AN11:$AQ11)</f>
        <v>0</v>
      </c>
      <c r="CL452" s="446">
        <f>SUMIF(DIC!$G$155:$J$155,CL$112,DIC!$AN11:$AQ11)</f>
        <v>0</v>
      </c>
      <c r="CM452" s="447">
        <f>SUMIF(DIC!$G$155:$J$155,CM$112,DIC!$AN11:$AQ11)</f>
        <v>0</v>
      </c>
      <c r="CN452" s="448">
        <f>SUMIF(DIC!$G$155:$J$155,CN$112,DIC!$AN11:$AQ11)</f>
        <v>0</v>
      </c>
      <c r="CO452" s="1100">
        <f>DIC!AS11</f>
        <v>0</v>
      </c>
      <c r="CP452" s="445">
        <f>DIC!AT11</f>
        <v>0</v>
      </c>
      <c r="CQ452" s="446">
        <f>DIC!AU11</f>
        <v>0</v>
      </c>
      <c r="CR452" s="447">
        <f>DIC!AV11</f>
        <v>0</v>
      </c>
      <c r="CS452" s="448">
        <f>DIC!AW11</f>
        <v>0</v>
      </c>
      <c r="CT452" s="1100">
        <f>DIC!AY11</f>
        <v>0</v>
      </c>
      <c r="CU452" s="2"/>
    </row>
    <row r="453" spans="1:99" ht="14.25" hidden="1" customHeight="1" x14ac:dyDescent="0.2">
      <c r="A453" s="2"/>
      <c r="B453" s="151">
        <f t="shared" si="306"/>
        <v>45631</v>
      </c>
      <c r="C453" s="223">
        <f>IF(AND(E453&gt;(N$496-1),E453&lt;(R$496+1)),W$485,IF(ISERROR(HLOOKUP(E453,$N$489:$U$489,1,FALSE)),HLOOKUP(WEEKDAY(E453,2),IMPOSTAZIONI!$C$51:$P$56,6,FALSE),$W$484))</f>
        <v>0</v>
      </c>
      <c r="D453" s="103" t="str">
        <f t="shared" si="307"/>
        <v/>
      </c>
      <c r="E453" s="2380">
        <f t="shared" si="318"/>
        <v>45631</v>
      </c>
      <c r="F453" s="2381"/>
      <c r="G453" s="2325" t="str">
        <f>DIC!E12</f>
        <v xml:space="preserve">attiva trim.  </v>
      </c>
      <c r="H453" s="2326"/>
      <c r="I453" s="2327"/>
      <c r="J453" s="479" t="str">
        <f t="shared" si="303"/>
        <v/>
      </c>
      <c r="K453" s="480"/>
      <c r="L453" s="2319">
        <f t="shared" si="319"/>
        <v>49</v>
      </c>
      <c r="M453" s="2320"/>
      <c r="N453" s="478"/>
      <c r="O453" s="478"/>
      <c r="P453" s="478"/>
      <c r="Q453" s="2315">
        <f t="shared" si="308"/>
        <v>45631</v>
      </c>
      <c r="R453" s="2315"/>
      <c r="S453" s="478"/>
      <c r="T453" s="140">
        <f t="shared" si="309"/>
        <v>1</v>
      </c>
      <c r="U453" s="478"/>
      <c r="V453" s="478"/>
      <c r="W453" s="478"/>
      <c r="X453" s="478"/>
      <c r="Y453" s="478"/>
      <c r="Z453" s="478"/>
      <c r="AA453" s="478"/>
      <c r="AB453" s="478"/>
      <c r="AC453" s="478"/>
      <c r="AD453" s="478"/>
      <c r="AE453" s="478"/>
      <c r="AF453" s="478"/>
      <c r="AG453" s="140">
        <f t="shared" si="310"/>
        <v>0</v>
      </c>
      <c r="AH453" s="92" t="str">
        <f t="shared" si="311"/>
        <v/>
      </c>
      <c r="AI453" s="131">
        <f t="shared" si="312"/>
        <v>0</v>
      </c>
      <c r="AJ453" s="2"/>
      <c r="AK453" s="92">
        <f>IF(G453=G$481,0,IF(OR(G453&lt;&gt;0,CJ453&lt;&gt;0,C453="L"),COUNTIF(AK$114:AK452,"&gt;0")+1,0))</f>
        <v>0</v>
      </c>
      <c r="AL453" s="92" t="str">
        <f t="shared" si="313"/>
        <v/>
      </c>
      <c r="AM453" s="92" t="str">
        <f t="shared" si="314"/>
        <v/>
      </c>
      <c r="AN453" s="131">
        <f t="shared" si="304"/>
        <v>0</v>
      </c>
      <c r="AO453" s="447">
        <f>SUM(DIC!W12:Z12)</f>
        <v>0</v>
      </c>
      <c r="AP453" s="445">
        <f>SUMIF(DIC!$G$155:$J$155,AP$112,DIC!$R12:$U12)</f>
        <v>0</v>
      </c>
      <c r="AQ453" s="446">
        <f>SUMIF(DIC!$G$155:$J$155,AQ$112,DIC!$R12:$U12)</f>
        <v>0</v>
      </c>
      <c r="AR453" s="447">
        <f>SUMIF(DIC!$G$155:$J$155,AR$112,DIC!$R12:$U12)</f>
        <v>0</v>
      </c>
      <c r="AS453" s="448">
        <f>SUMIF(DIC!$G$155:$J$155,AS$112,DIC!$R12:$U12)</f>
        <v>0</v>
      </c>
      <c r="AT453" s="449">
        <f>DIC!AG12</f>
        <v>0</v>
      </c>
      <c r="AU453" s="445">
        <f>DIC!AH12</f>
        <v>0</v>
      </c>
      <c r="AV453" s="446">
        <f>DIC!AI12</f>
        <v>0</v>
      </c>
      <c r="AW453" s="447">
        <f>DIC!AJ12</f>
        <v>0</v>
      </c>
      <c r="AX453" s="448">
        <f>DIC!AK12</f>
        <v>0</v>
      </c>
      <c r="AY453" s="445">
        <f>SUMIF(DIC!$G$152:$J$152,"&gt;0",DIC!$W12:$Z12)</f>
        <v>0</v>
      </c>
      <c r="AZ453" s="1063">
        <f>SUM(DIC!AB12:AE12)</f>
        <v>0</v>
      </c>
      <c r="BA453" s="445">
        <f>SUMIF(DIC!$G$159:$J$159,BA$111,DIC!$R12:$U12)+SUMIF(DIC!$G$159:$J$159,BA$111,DIC!$W12:$Z12)</f>
        <v>0</v>
      </c>
      <c r="BB453" s="446">
        <f>SUMIF(DIC!$G$159:$J$159,BB$111,DIC!$R12:$U12)+SUMIF(DIC!$G$159:$J$159,BB$111,DIC!$W12:$Z12)</f>
        <v>0</v>
      </c>
      <c r="BC453" s="446">
        <f>SUMIF(DIC!$G$159:$J$159,BC$111,DIC!$R12:$U12)+SUMIF(DIC!$G$159:$J$159,BC$111,DIC!$W12:$Z12)</f>
        <v>0</v>
      </c>
      <c r="BD453" s="446">
        <f>SUMIF(DIC!$G$159:$J$159,BD$111,DIC!$R12:$U12)+SUMIF(DIC!$G$159:$J$159,BD$111,DIC!$W12:$Z12)</f>
        <v>0</v>
      </c>
      <c r="BE453" s="446">
        <f>SUMIF(DIC!$G$159:$J$159,BE$111,DIC!$R12:$U12)+SUMIF(DIC!$G$159:$J$159,BE$111,DIC!$W12:$Z12)</f>
        <v>0</v>
      </c>
      <c r="BF453" s="446">
        <f>SUMIF(DIC!$G$159:$J$159,BF$111,DIC!$R12:$U12)+SUMIF(DIC!$G$159:$J$159,BF$111,DIC!$W12:$Z12)</f>
        <v>0</v>
      </c>
      <c r="BG453" s="448">
        <f>SUMIF(DIC!$G$159:$J$159,BG$111,DIC!$R12:$U12)+SUMIF(DIC!$G$159:$J$159,BG$111,DIC!$W12:$Z12)</f>
        <v>0</v>
      </c>
      <c r="BH453" s="571"/>
      <c r="BI453" s="448"/>
      <c r="BJ453" s="470"/>
      <c r="BK453" s="445">
        <f>SUMIF(DIC!$G$157:$J$157,BK$111,DIC!$R12:$U12)+SUMIF(DIC!$G$157:$J$157,BK$111,DIC!$W12:$Z12)</f>
        <v>0</v>
      </c>
      <c r="BL453" s="446">
        <f>SUMIF(DIC!$G$157:$J$157,BL$111,DIC!$R12:$U12)+SUMIF(DIC!$G$157:$J$157,BL$111,DIC!$W12:$Z12)</f>
        <v>0</v>
      </c>
      <c r="BM453" s="446">
        <f>SUMIF(DIC!$G$157:$J$157,BM$111,DIC!$R12:$U12)+SUMIF(DIC!$G$157:$J$157,BM$111,DIC!$W12:$Z12)</f>
        <v>0</v>
      </c>
      <c r="BN453" s="446">
        <f>SUMIF(DIC!$G$157:$J$157,BN$111,DIC!$R12:$U12)+SUMIF(DIC!$G$157:$J$157,BN$111,DIC!$W12:$Z12)</f>
        <v>0</v>
      </c>
      <c r="BO453" s="446">
        <f>SUMIF(DIC!$G$157:$J$157,BO$111,DIC!$R12:$U12)+SUMIF(DIC!$G$157:$J$157,BO$111,DIC!$W12:$Z12)</f>
        <v>0</v>
      </c>
      <c r="BP453" s="446">
        <f>SUMIF(DIC!$G$157:$J$157,BP$111,DIC!$R12:$U12)+SUMIF(DIC!$G$157:$J$157,BP$111,DIC!$W12:$Z12)</f>
        <v>0</v>
      </c>
      <c r="BQ453" s="448">
        <f>SUMIF(DIC!$G$157:$J$157,BQ$111,DIC!$R12:$U12)+SUMIF(DIC!$G$157:$J$157,BQ$111,DIC!$W12:$Z12)</f>
        <v>0</v>
      </c>
      <c r="BR453" s="571"/>
      <c r="BS453" s="446"/>
      <c r="BT453" s="448"/>
      <c r="BU453" s="470"/>
      <c r="BV453" s="445">
        <f>SUMIF(DIC!$G$158:$J$158,BV$111,DIC!$R12:$U12)+SUMIF(DIC!$G$158:$J$158,BV$111,DIC!$W12:$Z12)</f>
        <v>0</v>
      </c>
      <c r="BW453" s="446">
        <f>SUMIF(DIC!$G$158:$J$158,BW$111,DIC!$R12:$U12)+SUMIF(DIC!$G$158:$J$158,BW$111,DIC!$W12:$Z12)</f>
        <v>0</v>
      </c>
      <c r="BX453" s="446">
        <f>SUMIF(DIC!$G$158:$J$158,BX$111,DIC!$R12:$U12)+SUMIF(DIC!$G$158:$J$158,BX$111,DIC!$W12:$Z12)</f>
        <v>0</v>
      </c>
      <c r="BY453" s="446">
        <f>SUMIF(DIC!$G$158:$J$158,BY$111,DIC!$R12:$U12)+SUMIF(DIC!$G$158:$J$158,BY$111,DIC!$W12:$Z12)</f>
        <v>0</v>
      </c>
      <c r="BZ453" s="446">
        <f>SUMIF(DIC!$G$158:$J$158,BZ$111,DIC!$R12:$U12)+SUMIF(DIC!$G$158:$J$158,BZ$111,DIC!$W12:$Z12)</f>
        <v>0</v>
      </c>
      <c r="CA453" s="446">
        <f>SUMIF(DIC!$G$158:$J$158,CA$111,DIC!$R12:$U12)+SUMIF(DIC!$G$158:$J$158,CA$111,DIC!$W12:$Z12)</f>
        <v>0</v>
      </c>
      <c r="CB453" s="448">
        <f>SUMIF(DIC!$G$158:$J$158,CB$111,DIC!$R12:$U12)+SUMIF(DIC!$G$158:$J$158,CB$111,DIC!$W12:$Z12)</f>
        <v>0</v>
      </c>
      <c r="CC453" s="571"/>
      <c r="CD453" s="448"/>
      <c r="CE453" s="92">
        <f t="shared" si="315"/>
        <v>0</v>
      </c>
      <c r="CF453" s="92">
        <f t="shared" si="316"/>
        <v>0</v>
      </c>
      <c r="CG453" s="151" t="str">
        <f t="shared" si="302"/>
        <v/>
      </c>
      <c r="CH453" s="92">
        <f t="shared" si="305"/>
        <v>0</v>
      </c>
      <c r="CI453" s="92" t="str">
        <f t="shared" si="317"/>
        <v/>
      </c>
      <c r="CJ453" s="1100">
        <f>DIC!AM12</f>
        <v>0</v>
      </c>
      <c r="CK453" s="445">
        <f>SUMIF(DIC!$G$155:$J$155,CK$112,DIC!$AN12:$AQ12)</f>
        <v>0</v>
      </c>
      <c r="CL453" s="446">
        <f>SUMIF(DIC!$G$155:$J$155,CL$112,DIC!$AN12:$AQ12)</f>
        <v>0</v>
      </c>
      <c r="CM453" s="447">
        <f>SUMIF(DIC!$G$155:$J$155,CM$112,DIC!$AN12:$AQ12)</f>
        <v>0</v>
      </c>
      <c r="CN453" s="448">
        <f>SUMIF(DIC!$G$155:$J$155,CN$112,DIC!$AN12:$AQ12)</f>
        <v>0</v>
      </c>
      <c r="CO453" s="1100">
        <f>DIC!AS12</f>
        <v>0</v>
      </c>
      <c r="CP453" s="445">
        <f>DIC!AT12</f>
        <v>0</v>
      </c>
      <c r="CQ453" s="446">
        <f>DIC!AU12</f>
        <v>0</v>
      </c>
      <c r="CR453" s="447">
        <f>DIC!AV12</f>
        <v>0</v>
      </c>
      <c r="CS453" s="448">
        <f>DIC!AW12</f>
        <v>0</v>
      </c>
      <c r="CT453" s="1100">
        <f>DIC!AY12</f>
        <v>0</v>
      </c>
      <c r="CU453" s="2"/>
    </row>
    <row r="454" spans="1:99" ht="14.25" hidden="1" customHeight="1" x14ac:dyDescent="0.2">
      <c r="A454" s="2"/>
      <c r="B454" s="151">
        <f t="shared" si="306"/>
        <v>45632</v>
      </c>
      <c r="C454" s="223">
        <f>IF(AND(E454&gt;(N$496-1),E454&lt;(R$496+1)),W$485,IF(ISERROR(HLOOKUP(E454,$N$489:$U$489,1,FALSE)),HLOOKUP(WEEKDAY(E454,2),IMPOSTAZIONI!$C$51:$P$56,6,FALSE),$W$484))</f>
        <v>0</v>
      </c>
      <c r="D454" s="103" t="str">
        <f t="shared" si="307"/>
        <v/>
      </c>
      <c r="E454" s="2380">
        <f t="shared" si="318"/>
        <v>45632</v>
      </c>
      <c r="F454" s="2381"/>
      <c r="G454" s="2325" t="str">
        <f>DIC!E13</f>
        <v xml:space="preserve">attiva trim.  </v>
      </c>
      <c r="H454" s="2326"/>
      <c r="I454" s="2327"/>
      <c r="J454" s="479" t="str">
        <f t="shared" si="303"/>
        <v/>
      </c>
      <c r="K454" s="480"/>
      <c r="L454" s="2319">
        <f t="shared" si="319"/>
        <v>49</v>
      </c>
      <c r="M454" s="2320"/>
      <c r="N454" s="478"/>
      <c r="O454" s="478"/>
      <c r="P454" s="478"/>
      <c r="Q454" s="2315">
        <f t="shared" si="308"/>
        <v>45632</v>
      </c>
      <c r="R454" s="2315"/>
      <c r="S454" s="478"/>
      <c r="T454" s="140">
        <f t="shared" si="309"/>
        <v>1</v>
      </c>
      <c r="U454" s="478"/>
      <c r="V454" s="478"/>
      <c r="W454" s="478"/>
      <c r="X454" s="478"/>
      <c r="Y454" s="478"/>
      <c r="Z454" s="478"/>
      <c r="AA454" s="478"/>
      <c r="AB454" s="478"/>
      <c r="AC454" s="478"/>
      <c r="AD454" s="478"/>
      <c r="AE454" s="478"/>
      <c r="AF454" s="478"/>
      <c r="AG454" s="140">
        <f t="shared" si="310"/>
        <v>0</v>
      </c>
      <c r="AH454" s="92" t="str">
        <f t="shared" si="311"/>
        <v/>
      </c>
      <c r="AI454" s="131">
        <f t="shared" si="312"/>
        <v>0</v>
      </c>
      <c r="AJ454" s="2"/>
      <c r="AK454" s="92">
        <f>IF(G454=G$481,0,IF(OR(G454&lt;&gt;0,CJ454&lt;&gt;0,C454="L"),COUNTIF(AK$114:AK453,"&gt;0")+1,0))</f>
        <v>0</v>
      </c>
      <c r="AL454" s="92" t="str">
        <f t="shared" si="313"/>
        <v/>
      </c>
      <c r="AM454" s="92" t="str">
        <f t="shared" si="314"/>
        <v/>
      </c>
      <c r="AN454" s="131">
        <f t="shared" si="304"/>
        <v>0</v>
      </c>
      <c r="AO454" s="447">
        <f>SUM(DIC!W13:Z13)</f>
        <v>0</v>
      </c>
      <c r="AP454" s="445">
        <f>SUMIF(DIC!$G$155:$J$155,AP$112,DIC!$R13:$U13)</f>
        <v>0</v>
      </c>
      <c r="AQ454" s="446">
        <f>SUMIF(DIC!$G$155:$J$155,AQ$112,DIC!$R13:$U13)</f>
        <v>0</v>
      </c>
      <c r="AR454" s="447">
        <f>SUMIF(DIC!$G$155:$J$155,AR$112,DIC!$R13:$U13)</f>
        <v>0</v>
      </c>
      <c r="AS454" s="448">
        <f>SUMIF(DIC!$G$155:$J$155,AS$112,DIC!$R13:$U13)</f>
        <v>0</v>
      </c>
      <c r="AT454" s="449">
        <f>DIC!AG13</f>
        <v>0</v>
      </c>
      <c r="AU454" s="445">
        <f>DIC!AH13</f>
        <v>0</v>
      </c>
      <c r="AV454" s="446">
        <f>DIC!AI13</f>
        <v>0</v>
      </c>
      <c r="AW454" s="447">
        <f>DIC!AJ13</f>
        <v>0</v>
      </c>
      <c r="AX454" s="448">
        <f>DIC!AK13</f>
        <v>0</v>
      </c>
      <c r="AY454" s="445">
        <f>SUMIF(DIC!$G$152:$J$152,"&gt;0",DIC!$W13:$Z13)</f>
        <v>0</v>
      </c>
      <c r="AZ454" s="1063">
        <f>SUM(DIC!AB13:AE13)</f>
        <v>0</v>
      </c>
      <c r="BA454" s="445">
        <f>SUMIF(DIC!$G$159:$J$159,BA$111,DIC!$R13:$U13)+SUMIF(DIC!$G$159:$J$159,BA$111,DIC!$W13:$Z13)</f>
        <v>0</v>
      </c>
      <c r="BB454" s="446">
        <f>SUMIF(DIC!$G$159:$J$159,BB$111,DIC!$R13:$U13)+SUMIF(DIC!$G$159:$J$159,BB$111,DIC!$W13:$Z13)</f>
        <v>0</v>
      </c>
      <c r="BC454" s="446">
        <f>SUMIF(DIC!$G$159:$J$159,BC$111,DIC!$R13:$U13)+SUMIF(DIC!$G$159:$J$159,BC$111,DIC!$W13:$Z13)</f>
        <v>0</v>
      </c>
      <c r="BD454" s="446">
        <f>SUMIF(DIC!$G$159:$J$159,BD$111,DIC!$R13:$U13)+SUMIF(DIC!$G$159:$J$159,BD$111,DIC!$W13:$Z13)</f>
        <v>0</v>
      </c>
      <c r="BE454" s="446">
        <f>SUMIF(DIC!$G$159:$J$159,BE$111,DIC!$R13:$U13)+SUMIF(DIC!$G$159:$J$159,BE$111,DIC!$W13:$Z13)</f>
        <v>0</v>
      </c>
      <c r="BF454" s="446">
        <f>SUMIF(DIC!$G$159:$J$159,BF$111,DIC!$R13:$U13)+SUMIF(DIC!$G$159:$J$159,BF$111,DIC!$W13:$Z13)</f>
        <v>0</v>
      </c>
      <c r="BG454" s="448">
        <f>SUMIF(DIC!$G$159:$J$159,BG$111,DIC!$R13:$U13)+SUMIF(DIC!$G$159:$J$159,BG$111,DIC!$W13:$Z13)</f>
        <v>0</v>
      </c>
      <c r="BH454" s="571"/>
      <c r="BI454" s="448"/>
      <c r="BJ454" s="470"/>
      <c r="BK454" s="445">
        <f>SUMIF(DIC!$G$157:$J$157,BK$111,DIC!$R13:$U13)+SUMIF(DIC!$G$157:$J$157,BK$111,DIC!$W13:$Z13)</f>
        <v>0</v>
      </c>
      <c r="BL454" s="446">
        <f>SUMIF(DIC!$G$157:$J$157,BL$111,DIC!$R13:$U13)+SUMIF(DIC!$G$157:$J$157,BL$111,DIC!$W13:$Z13)</f>
        <v>0</v>
      </c>
      <c r="BM454" s="446">
        <f>SUMIF(DIC!$G$157:$J$157,BM$111,DIC!$R13:$U13)+SUMIF(DIC!$G$157:$J$157,BM$111,DIC!$W13:$Z13)</f>
        <v>0</v>
      </c>
      <c r="BN454" s="446">
        <f>SUMIF(DIC!$G$157:$J$157,BN$111,DIC!$R13:$U13)+SUMIF(DIC!$G$157:$J$157,BN$111,DIC!$W13:$Z13)</f>
        <v>0</v>
      </c>
      <c r="BO454" s="446">
        <f>SUMIF(DIC!$G$157:$J$157,BO$111,DIC!$R13:$U13)+SUMIF(DIC!$G$157:$J$157,BO$111,DIC!$W13:$Z13)</f>
        <v>0</v>
      </c>
      <c r="BP454" s="446">
        <f>SUMIF(DIC!$G$157:$J$157,BP$111,DIC!$R13:$U13)+SUMIF(DIC!$G$157:$J$157,BP$111,DIC!$W13:$Z13)</f>
        <v>0</v>
      </c>
      <c r="BQ454" s="448">
        <f>SUMIF(DIC!$G$157:$J$157,BQ$111,DIC!$R13:$U13)+SUMIF(DIC!$G$157:$J$157,BQ$111,DIC!$W13:$Z13)</f>
        <v>0</v>
      </c>
      <c r="BR454" s="571"/>
      <c r="BS454" s="446"/>
      <c r="BT454" s="448"/>
      <c r="BU454" s="470"/>
      <c r="BV454" s="445">
        <f>SUMIF(DIC!$G$158:$J$158,BV$111,DIC!$R13:$U13)+SUMIF(DIC!$G$158:$J$158,BV$111,DIC!$W13:$Z13)</f>
        <v>0</v>
      </c>
      <c r="BW454" s="446">
        <f>SUMIF(DIC!$G$158:$J$158,BW$111,DIC!$R13:$U13)+SUMIF(DIC!$G$158:$J$158,BW$111,DIC!$W13:$Z13)</f>
        <v>0</v>
      </c>
      <c r="BX454" s="446">
        <f>SUMIF(DIC!$G$158:$J$158,BX$111,DIC!$R13:$U13)+SUMIF(DIC!$G$158:$J$158,BX$111,DIC!$W13:$Z13)</f>
        <v>0</v>
      </c>
      <c r="BY454" s="446">
        <f>SUMIF(DIC!$G$158:$J$158,BY$111,DIC!$R13:$U13)+SUMIF(DIC!$G$158:$J$158,BY$111,DIC!$W13:$Z13)</f>
        <v>0</v>
      </c>
      <c r="BZ454" s="446">
        <f>SUMIF(DIC!$G$158:$J$158,BZ$111,DIC!$R13:$U13)+SUMIF(DIC!$G$158:$J$158,BZ$111,DIC!$W13:$Z13)</f>
        <v>0</v>
      </c>
      <c r="CA454" s="446">
        <f>SUMIF(DIC!$G$158:$J$158,CA$111,DIC!$R13:$U13)+SUMIF(DIC!$G$158:$J$158,CA$111,DIC!$W13:$Z13)</f>
        <v>0</v>
      </c>
      <c r="CB454" s="448">
        <f>SUMIF(DIC!$G$158:$J$158,CB$111,DIC!$R13:$U13)+SUMIF(DIC!$G$158:$J$158,CB$111,DIC!$W13:$Z13)</f>
        <v>0</v>
      </c>
      <c r="CC454" s="571"/>
      <c r="CD454" s="448"/>
      <c r="CE454" s="92">
        <f t="shared" si="315"/>
        <v>0</v>
      </c>
      <c r="CF454" s="92">
        <f t="shared" si="316"/>
        <v>0</v>
      </c>
      <c r="CG454" s="151" t="str">
        <f t="shared" si="302"/>
        <v/>
      </c>
      <c r="CH454" s="92">
        <f t="shared" si="305"/>
        <v>0</v>
      </c>
      <c r="CI454" s="92" t="str">
        <f t="shared" si="317"/>
        <v/>
      </c>
      <c r="CJ454" s="1100">
        <f>DIC!AM13</f>
        <v>0</v>
      </c>
      <c r="CK454" s="445">
        <f>SUMIF(DIC!$G$155:$J$155,CK$112,DIC!$AN13:$AQ13)</f>
        <v>0</v>
      </c>
      <c r="CL454" s="446">
        <f>SUMIF(DIC!$G$155:$J$155,CL$112,DIC!$AN13:$AQ13)</f>
        <v>0</v>
      </c>
      <c r="CM454" s="447">
        <f>SUMIF(DIC!$G$155:$J$155,CM$112,DIC!$AN13:$AQ13)</f>
        <v>0</v>
      </c>
      <c r="CN454" s="448">
        <f>SUMIF(DIC!$G$155:$J$155,CN$112,DIC!$AN13:$AQ13)</f>
        <v>0</v>
      </c>
      <c r="CO454" s="1100">
        <f>DIC!AS13</f>
        <v>0</v>
      </c>
      <c r="CP454" s="445">
        <f>DIC!AT13</f>
        <v>0</v>
      </c>
      <c r="CQ454" s="446">
        <f>DIC!AU13</f>
        <v>0</v>
      </c>
      <c r="CR454" s="447">
        <f>DIC!AV13</f>
        <v>0</v>
      </c>
      <c r="CS454" s="448">
        <f>DIC!AW13</f>
        <v>0</v>
      </c>
      <c r="CT454" s="1100">
        <f>DIC!AY13</f>
        <v>0</v>
      </c>
      <c r="CU454" s="2"/>
    </row>
    <row r="455" spans="1:99" ht="14.25" hidden="1" customHeight="1" x14ac:dyDescent="0.2">
      <c r="A455" s="2"/>
      <c r="B455" s="151">
        <f t="shared" si="306"/>
        <v>45633</v>
      </c>
      <c r="C455" s="223">
        <f>IF(AND(E455&gt;(N$496-1),E455&lt;(R$496+1)),W$485,IF(ISERROR(HLOOKUP(E455,$N$489:$U$489,1,FALSE)),HLOOKUP(WEEKDAY(E455,2),IMPOSTAZIONI!$C$51:$P$56,6,FALSE),$W$484))</f>
        <v>0</v>
      </c>
      <c r="D455" s="103" t="str">
        <f t="shared" si="307"/>
        <v/>
      </c>
      <c r="E455" s="2380">
        <f t="shared" si="318"/>
        <v>45633</v>
      </c>
      <c r="F455" s="2381"/>
      <c r="G455" s="2325" t="str">
        <f>DIC!E14</f>
        <v xml:space="preserve">attiva trim.  </v>
      </c>
      <c r="H455" s="2326"/>
      <c r="I455" s="2327"/>
      <c r="J455" s="479" t="str">
        <f t="shared" si="303"/>
        <v/>
      </c>
      <c r="K455" s="480"/>
      <c r="L455" s="2319">
        <f t="shared" si="319"/>
        <v>49</v>
      </c>
      <c r="M455" s="2320"/>
      <c r="N455" s="478"/>
      <c r="O455" s="478"/>
      <c r="P455" s="478"/>
      <c r="Q455" s="2315">
        <f t="shared" si="308"/>
        <v>45633</v>
      </c>
      <c r="R455" s="2315"/>
      <c r="S455" s="478"/>
      <c r="T455" s="140">
        <f t="shared" si="309"/>
        <v>1</v>
      </c>
      <c r="U455" s="478"/>
      <c r="V455" s="478"/>
      <c r="W455" s="478"/>
      <c r="X455" s="478"/>
      <c r="Y455" s="478"/>
      <c r="Z455" s="478"/>
      <c r="AA455" s="478"/>
      <c r="AB455" s="478"/>
      <c r="AC455" s="478"/>
      <c r="AD455" s="478"/>
      <c r="AE455" s="478"/>
      <c r="AF455" s="478"/>
      <c r="AG455" s="140">
        <f t="shared" si="310"/>
        <v>0</v>
      </c>
      <c r="AH455" s="92" t="str">
        <f t="shared" si="311"/>
        <v/>
      </c>
      <c r="AI455" s="131">
        <f t="shared" si="312"/>
        <v>0</v>
      </c>
      <c r="AJ455" s="2"/>
      <c r="AK455" s="92">
        <f>IF(G455=G$481,0,IF(OR(G455&lt;&gt;0,CJ455&lt;&gt;0,C455="L"),COUNTIF(AK$114:AK454,"&gt;0")+1,0))</f>
        <v>0</v>
      </c>
      <c r="AL455" s="92" t="str">
        <f t="shared" si="313"/>
        <v/>
      </c>
      <c r="AM455" s="92" t="str">
        <f t="shared" si="314"/>
        <v/>
      </c>
      <c r="AN455" s="131">
        <f t="shared" si="304"/>
        <v>0</v>
      </c>
      <c r="AO455" s="447">
        <f>SUM(DIC!W14:Z14)</f>
        <v>0</v>
      </c>
      <c r="AP455" s="445">
        <f>SUMIF(DIC!$G$155:$J$155,AP$112,DIC!$R14:$U14)</f>
        <v>0</v>
      </c>
      <c r="AQ455" s="446">
        <f>SUMIF(DIC!$G$155:$J$155,AQ$112,DIC!$R14:$U14)</f>
        <v>0</v>
      </c>
      <c r="AR455" s="447">
        <f>SUMIF(DIC!$G$155:$J$155,AR$112,DIC!$R14:$U14)</f>
        <v>0</v>
      </c>
      <c r="AS455" s="448">
        <f>SUMIF(DIC!$G$155:$J$155,AS$112,DIC!$R14:$U14)</f>
        <v>0</v>
      </c>
      <c r="AT455" s="449">
        <f>DIC!AG14</f>
        <v>0</v>
      </c>
      <c r="AU455" s="445">
        <f>DIC!AH14</f>
        <v>0</v>
      </c>
      <c r="AV455" s="446">
        <f>DIC!AI14</f>
        <v>0</v>
      </c>
      <c r="AW455" s="447">
        <f>DIC!AJ14</f>
        <v>0</v>
      </c>
      <c r="AX455" s="448">
        <f>DIC!AK14</f>
        <v>0</v>
      </c>
      <c r="AY455" s="445">
        <f>SUMIF(DIC!$G$152:$J$152,"&gt;0",DIC!$W14:$Z14)</f>
        <v>0</v>
      </c>
      <c r="AZ455" s="1063">
        <f>SUM(DIC!AB14:AE14)</f>
        <v>0</v>
      </c>
      <c r="BA455" s="445">
        <f>SUMIF(DIC!$G$159:$J$159,BA$111,DIC!$R14:$U14)+SUMIF(DIC!$G$159:$J$159,BA$111,DIC!$W14:$Z14)</f>
        <v>0</v>
      </c>
      <c r="BB455" s="446">
        <f>SUMIF(DIC!$G$159:$J$159,BB$111,DIC!$R14:$U14)+SUMIF(DIC!$G$159:$J$159,BB$111,DIC!$W14:$Z14)</f>
        <v>0</v>
      </c>
      <c r="BC455" s="446">
        <f>SUMIF(DIC!$G$159:$J$159,BC$111,DIC!$R14:$U14)+SUMIF(DIC!$G$159:$J$159,BC$111,DIC!$W14:$Z14)</f>
        <v>0</v>
      </c>
      <c r="BD455" s="446">
        <f>SUMIF(DIC!$G$159:$J$159,BD$111,DIC!$R14:$U14)+SUMIF(DIC!$G$159:$J$159,BD$111,DIC!$W14:$Z14)</f>
        <v>0</v>
      </c>
      <c r="BE455" s="446">
        <f>SUMIF(DIC!$G$159:$J$159,BE$111,DIC!$R14:$U14)+SUMIF(DIC!$G$159:$J$159,BE$111,DIC!$W14:$Z14)</f>
        <v>0</v>
      </c>
      <c r="BF455" s="446">
        <f>SUMIF(DIC!$G$159:$J$159,BF$111,DIC!$R14:$U14)+SUMIF(DIC!$G$159:$J$159,BF$111,DIC!$W14:$Z14)</f>
        <v>0</v>
      </c>
      <c r="BG455" s="448">
        <f>SUMIF(DIC!$G$159:$J$159,BG$111,DIC!$R14:$U14)+SUMIF(DIC!$G$159:$J$159,BG$111,DIC!$W14:$Z14)</f>
        <v>0</v>
      </c>
      <c r="BH455" s="571"/>
      <c r="BI455" s="448"/>
      <c r="BJ455" s="470"/>
      <c r="BK455" s="445">
        <f>SUMIF(DIC!$G$157:$J$157,BK$111,DIC!$R14:$U14)+SUMIF(DIC!$G$157:$J$157,BK$111,DIC!$W14:$Z14)</f>
        <v>0</v>
      </c>
      <c r="BL455" s="446">
        <f>SUMIF(DIC!$G$157:$J$157,BL$111,DIC!$R14:$U14)+SUMIF(DIC!$G$157:$J$157,BL$111,DIC!$W14:$Z14)</f>
        <v>0</v>
      </c>
      <c r="BM455" s="446">
        <f>SUMIF(DIC!$G$157:$J$157,BM$111,DIC!$R14:$U14)+SUMIF(DIC!$G$157:$J$157,BM$111,DIC!$W14:$Z14)</f>
        <v>0</v>
      </c>
      <c r="BN455" s="446">
        <f>SUMIF(DIC!$G$157:$J$157,BN$111,DIC!$R14:$U14)+SUMIF(DIC!$G$157:$J$157,BN$111,DIC!$W14:$Z14)</f>
        <v>0</v>
      </c>
      <c r="BO455" s="446">
        <f>SUMIF(DIC!$G$157:$J$157,BO$111,DIC!$R14:$U14)+SUMIF(DIC!$G$157:$J$157,BO$111,DIC!$W14:$Z14)</f>
        <v>0</v>
      </c>
      <c r="BP455" s="446">
        <f>SUMIF(DIC!$G$157:$J$157,BP$111,DIC!$R14:$U14)+SUMIF(DIC!$G$157:$J$157,BP$111,DIC!$W14:$Z14)</f>
        <v>0</v>
      </c>
      <c r="BQ455" s="448">
        <f>SUMIF(DIC!$G$157:$J$157,BQ$111,DIC!$R14:$U14)+SUMIF(DIC!$G$157:$J$157,BQ$111,DIC!$W14:$Z14)</f>
        <v>0</v>
      </c>
      <c r="BR455" s="571"/>
      <c r="BS455" s="446"/>
      <c r="BT455" s="448"/>
      <c r="BU455" s="470"/>
      <c r="BV455" s="445">
        <f>SUMIF(DIC!$G$158:$J$158,BV$111,DIC!$R14:$U14)+SUMIF(DIC!$G$158:$J$158,BV$111,DIC!$W14:$Z14)</f>
        <v>0</v>
      </c>
      <c r="BW455" s="446">
        <f>SUMIF(DIC!$G$158:$J$158,BW$111,DIC!$R14:$U14)+SUMIF(DIC!$G$158:$J$158,BW$111,DIC!$W14:$Z14)</f>
        <v>0</v>
      </c>
      <c r="BX455" s="446">
        <f>SUMIF(DIC!$G$158:$J$158,BX$111,DIC!$R14:$U14)+SUMIF(DIC!$G$158:$J$158,BX$111,DIC!$W14:$Z14)</f>
        <v>0</v>
      </c>
      <c r="BY455" s="446">
        <f>SUMIF(DIC!$G$158:$J$158,BY$111,DIC!$R14:$U14)+SUMIF(DIC!$G$158:$J$158,BY$111,DIC!$W14:$Z14)</f>
        <v>0</v>
      </c>
      <c r="BZ455" s="446">
        <f>SUMIF(DIC!$G$158:$J$158,BZ$111,DIC!$R14:$U14)+SUMIF(DIC!$G$158:$J$158,BZ$111,DIC!$W14:$Z14)</f>
        <v>0</v>
      </c>
      <c r="CA455" s="446">
        <f>SUMIF(DIC!$G$158:$J$158,CA$111,DIC!$R14:$U14)+SUMIF(DIC!$G$158:$J$158,CA$111,DIC!$W14:$Z14)</f>
        <v>0</v>
      </c>
      <c r="CB455" s="448">
        <f>SUMIF(DIC!$G$158:$J$158,CB$111,DIC!$R14:$U14)+SUMIF(DIC!$G$158:$J$158,CB$111,DIC!$W14:$Z14)</f>
        <v>0</v>
      </c>
      <c r="CC455" s="571"/>
      <c r="CD455" s="448"/>
      <c r="CE455" s="92">
        <f t="shared" si="315"/>
        <v>0</v>
      </c>
      <c r="CF455" s="92">
        <f t="shared" si="316"/>
        <v>0</v>
      </c>
      <c r="CG455" s="151" t="str">
        <f t="shared" si="302"/>
        <v/>
      </c>
      <c r="CH455" s="92">
        <f t="shared" si="305"/>
        <v>0</v>
      </c>
      <c r="CI455" s="92" t="str">
        <f t="shared" si="317"/>
        <v/>
      </c>
      <c r="CJ455" s="1100">
        <f>DIC!AM14</f>
        <v>0</v>
      </c>
      <c r="CK455" s="445">
        <f>SUMIF(DIC!$G$155:$J$155,CK$112,DIC!$AN14:$AQ14)</f>
        <v>0</v>
      </c>
      <c r="CL455" s="446">
        <f>SUMIF(DIC!$G$155:$J$155,CL$112,DIC!$AN14:$AQ14)</f>
        <v>0</v>
      </c>
      <c r="CM455" s="447">
        <f>SUMIF(DIC!$G$155:$J$155,CM$112,DIC!$AN14:$AQ14)</f>
        <v>0</v>
      </c>
      <c r="CN455" s="448">
        <f>SUMIF(DIC!$G$155:$J$155,CN$112,DIC!$AN14:$AQ14)</f>
        <v>0</v>
      </c>
      <c r="CO455" s="1100">
        <f>DIC!AS14</f>
        <v>0</v>
      </c>
      <c r="CP455" s="445">
        <f>DIC!AT14</f>
        <v>0</v>
      </c>
      <c r="CQ455" s="446">
        <f>DIC!AU14</f>
        <v>0</v>
      </c>
      <c r="CR455" s="447">
        <f>DIC!AV14</f>
        <v>0</v>
      </c>
      <c r="CS455" s="448">
        <f>DIC!AW14</f>
        <v>0</v>
      </c>
      <c r="CT455" s="1100">
        <f>DIC!AY14</f>
        <v>0</v>
      </c>
      <c r="CU455" s="2"/>
    </row>
    <row r="456" spans="1:99" ht="14.25" hidden="1" customHeight="1" x14ac:dyDescent="0.2">
      <c r="A456" s="2"/>
      <c r="B456" s="151">
        <f t="shared" si="306"/>
        <v>45634</v>
      </c>
      <c r="C456" s="223">
        <f>IF(AND(E456&gt;(N$496-1),E456&lt;(R$496+1)),W$485,IF(ISERROR(HLOOKUP(E456,$N$489:$U$489,1,FALSE)),HLOOKUP(WEEKDAY(E456,2),IMPOSTAZIONI!$C$51:$P$56,6,FALSE),$W$484))</f>
        <v>0</v>
      </c>
      <c r="D456" s="103" t="str">
        <f t="shared" si="307"/>
        <v/>
      </c>
      <c r="E456" s="2380">
        <f t="shared" si="318"/>
        <v>45634</v>
      </c>
      <c r="F456" s="2381"/>
      <c r="G456" s="2325" t="str">
        <f>DIC!E15</f>
        <v xml:space="preserve">attiva trim.  </v>
      </c>
      <c r="H456" s="2326"/>
      <c r="I456" s="2327"/>
      <c r="J456" s="479" t="str">
        <f t="shared" si="303"/>
        <v/>
      </c>
      <c r="K456" s="480"/>
      <c r="L456" s="2321">
        <f t="shared" si="319"/>
        <v>49</v>
      </c>
      <c r="M456" s="2322"/>
      <c r="N456" s="478"/>
      <c r="O456" s="478"/>
      <c r="P456" s="478"/>
      <c r="Q456" s="2315">
        <f t="shared" si="308"/>
        <v>45634</v>
      </c>
      <c r="R456" s="2315"/>
      <c r="S456" s="478"/>
      <c r="T456" s="140">
        <f t="shared" si="309"/>
        <v>1</v>
      </c>
      <c r="U456" s="478"/>
      <c r="V456" s="478"/>
      <c r="W456" s="478"/>
      <c r="X456" s="478"/>
      <c r="Y456" s="478"/>
      <c r="Z456" s="478"/>
      <c r="AA456" s="478"/>
      <c r="AB456" s="478"/>
      <c r="AC456" s="478"/>
      <c r="AD456" s="478"/>
      <c r="AE456" s="478"/>
      <c r="AF456" s="478"/>
      <c r="AG456" s="140">
        <f t="shared" si="310"/>
        <v>0</v>
      </c>
      <c r="AH456" s="92" t="str">
        <f t="shared" si="311"/>
        <v/>
      </c>
      <c r="AI456" s="131">
        <f t="shared" si="312"/>
        <v>0</v>
      </c>
      <c r="AJ456" s="2"/>
      <c r="AK456" s="92">
        <f>IF(G456=G$481,0,IF(OR(G456&lt;&gt;0,CJ456&lt;&gt;0,C456="L"),COUNTIF(AK$114:AK455,"&gt;0")+1,0))</f>
        <v>0</v>
      </c>
      <c r="AL456" s="92" t="str">
        <f t="shared" si="313"/>
        <v/>
      </c>
      <c r="AM456" s="92" t="str">
        <f t="shared" si="314"/>
        <v/>
      </c>
      <c r="AN456" s="131">
        <f t="shared" si="304"/>
        <v>0</v>
      </c>
      <c r="AO456" s="447">
        <f>SUM(DIC!W15:Z15)</f>
        <v>0</v>
      </c>
      <c r="AP456" s="445">
        <f>SUMIF(DIC!$G$155:$J$155,AP$112,DIC!$R15:$U15)</f>
        <v>0</v>
      </c>
      <c r="AQ456" s="446">
        <f>SUMIF(DIC!$G$155:$J$155,AQ$112,DIC!$R15:$U15)</f>
        <v>0</v>
      </c>
      <c r="AR456" s="447">
        <f>SUMIF(DIC!$G$155:$J$155,AR$112,DIC!$R15:$U15)</f>
        <v>0</v>
      </c>
      <c r="AS456" s="448">
        <f>SUMIF(DIC!$G$155:$J$155,AS$112,DIC!$R15:$U15)</f>
        <v>0</v>
      </c>
      <c r="AT456" s="449">
        <f>DIC!AG15</f>
        <v>0</v>
      </c>
      <c r="AU456" s="445">
        <f>DIC!AH15</f>
        <v>0</v>
      </c>
      <c r="AV456" s="446">
        <f>DIC!AI15</f>
        <v>0</v>
      </c>
      <c r="AW456" s="447">
        <f>DIC!AJ15</f>
        <v>0</v>
      </c>
      <c r="AX456" s="448">
        <f>DIC!AK15</f>
        <v>0</v>
      </c>
      <c r="AY456" s="445">
        <f>SUMIF(DIC!$G$152:$J$152,"&gt;0",DIC!$W15:$Z15)</f>
        <v>0</v>
      </c>
      <c r="AZ456" s="1063">
        <f>SUM(DIC!AB15:AE15)</f>
        <v>0</v>
      </c>
      <c r="BA456" s="445">
        <f>SUMIF(DIC!$G$159:$J$159,BA$111,DIC!$R15:$U15)+SUMIF(DIC!$G$159:$J$159,BA$111,DIC!$W15:$Z15)</f>
        <v>0</v>
      </c>
      <c r="BB456" s="446">
        <f>SUMIF(DIC!$G$159:$J$159,BB$111,DIC!$R15:$U15)+SUMIF(DIC!$G$159:$J$159,BB$111,DIC!$W15:$Z15)</f>
        <v>0</v>
      </c>
      <c r="BC456" s="446">
        <f>SUMIF(DIC!$G$159:$J$159,BC$111,DIC!$R15:$U15)+SUMIF(DIC!$G$159:$J$159,BC$111,DIC!$W15:$Z15)</f>
        <v>0</v>
      </c>
      <c r="BD456" s="446">
        <f>SUMIF(DIC!$G$159:$J$159,BD$111,DIC!$R15:$U15)+SUMIF(DIC!$G$159:$J$159,BD$111,DIC!$W15:$Z15)</f>
        <v>0</v>
      </c>
      <c r="BE456" s="446">
        <f>SUMIF(DIC!$G$159:$J$159,BE$111,DIC!$R15:$U15)+SUMIF(DIC!$G$159:$J$159,BE$111,DIC!$W15:$Z15)</f>
        <v>0</v>
      </c>
      <c r="BF456" s="446">
        <f>SUMIF(DIC!$G$159:$J$159,BF$111,DIC!$R15:$U15)+SUMIF(DIC!$G$159:$J$159,BF$111,DIC!$W15:$Z15)</f>
        <v>0</v>
      </c>
      <c r="BG456" s="448">
        <f>SUMIF(DIC!$G$159:$J$159,BG$111,DIC!$R15:$U15)+SUMIF(DIC!$G$159:$J$159,BG$111,DIC!$W15:$Z15)</f>
        <v>0</v>
      </c>
      <c r="BH456" s="571"/>
      <c r="BI456" s="448"/>
      <c r="BJ456" s="470"/>
      <c r="BK456" s="445">
        <f>SUMIF(DIC!$G$157:$J$157,BK$111,DIC!$R15:$U15)+SUMIF(DIC!$G$157:$J$157,BK$111,DIC!$W15:$Z15)</f>
        <v>0</v>
      </c>
      <c r="BL456" s="446">
        <f>SUMIF(DIC!$G$157:$J$157,BL$111,DIC!$R15:$U15)+SUMIF(DIC!$G$157:$J$157,BL$111,DIC!$W15:$Z15)</f>
        <v>0</v>
      </c>
      <c r="BM456" s="446">
        <f>SUMIF(DIC!$G$157:$J$157,BM$111,DIC!$R15:$U15)+SUMIF(DIC!$G$157:$J$157,BM$111,DIC!$W15:$Z15)</f>
        <v>0</v>
      </c>
      <c r="BN456" s="446">
        <f>SUMIF(DIC!$G$157:$J$157,BN$111,DIC!$R15:$U15)+SUMIF(DIC!$G$157:$J$157,BN$111,DIC!$W15:$Z15)</f>
        <v>0</v>
      </c>
      <c r="BO456" s="446">
        <f>SUMIF(DIC!$G$157:$J$157,BO$111,DIC!$R15:$U15)+SUMIF(DIC!$G$157:$J$157,BO$111,DIC!$W15:$Z15)</f>
        <v>0</v>
      </c>
      <c r="BP456" s="446">
        <f>SUMIF(DIC!$G$157:$J$157,BP$111,DIC!$R15:$U15)+SUMIF(DIC!$G$157:$J$157,BP$111,DIC!$W15:$Z15)</f>
        <v>0</v>
      </c>
      <c r="BQ456" s="448">
        <f>SUMIF(DIC!$G$157:$J$157,BQ$111,DIC!$R15:$U15)+SUMIF(DIC!$G$157:$J$157,BQ$111,DIC!$W15:$Z15)</f>
        <v>0</v>
      </c>
      <c r="BR456" s="571"/>
      <c r="BS456" s="446"/>
      <c r="BT456" s="448"/>
      <c r="BU456" s="470"/>
      <c r="BV456" s="445">
        <f>SUMIF(DIC!$G$158:$J$158,BV$111,DIC!$R15:$U15)+SUMIF(DIC!$G$158:$J$158,BV$111,DIC!$W15:$Z15)</f>
        <v>0</v>
      </c>
      <c r="BW456" s="446">
        <f>SUMIF(DIC!$G$158:$J$158,BW$111,DIC!$R15:$U15)+SUMIF(DIC!$G$158:$J$158,BW$111,DIC!$W15:$Z15)</f>
        <v>0</v>
      </c>
      <c r="BX456" s="446">
        <f>SUMIF(DIC!$G$158:$J$158,BX$111,DIC!$R15:$U15)+SUMIF(DIC!$G$158:$J$158,BX$111,DIC!$W15:$Z15)</f>
        <v>0</v>
      </c>
      <c r="BY456" s="446">
        <f>SUMIF(DIC!$G$158:$J$158,BY$111,DIC!$R15:$U15)+SUMIF(DIC!$G$158:$J$158,BY$111,DIC!$W15:$Z15)</f>
        <v>0</v>
      </c>
      <c r="BZ456" s="446">
        <f>SUMIF(DIC!$G$158:$J$158,BZ$111,DIC!$R15:$U15)+SUMIF(DIC!$G$158:$J$158,BZ$111,DIC!$W15:$Z15)</f>
        <v>0</v>
      </c>
      <c r="CA456" s="446">
        <f>SUMIF(DIC!$G$158:$J$158,CA$111,DIC!$R15:$U15)+SUMIF(DIC!$G$158:$J$158,CA$111,DIC!$W15:$Z15)</f>
        <v>0</v>
      </c>
      <c r="CB456" s="448">
        <f>SUMIF(DIC!$G$158:$J$158,CB$111,DIC!$R15:$U15)+SUMIF(DIC!$G$158:$J$158,CB$111,DIC!$W15:$Z15)</f>
        <v>0</v>
      </c>
      <c r="CC456" s="571"/>
      <c r="CD456" s="448"/>
      <c r="CE456" s="92">
        <f t="shared" si="315"/>
        <v>0</v>
      </c>
      <c r="CF456" s="92">
        <f t="shared" si="316"/>
        <v>0</v>
      </c>
      <c r="CG456" s="151" t="str">
        <f t="shared" si="302"/>
        <v/>
      </c>
      <c r="CH456" s="92">
        <f t="shared" si="305"/>
        <v>0</v>
      </c>
      <c r="CI456" s="92" t="str">
        <f t="shared" si="317"/>
        <v/>
      </c>
      <c r="CJ456" s="1100">
        <f>DIC!AM15</f>
        <v>0</v>
      </c>
      <c r="CK456" s="445">
        <f>SUMIF(DIC!$G$155:$J$155,CK$112,DIC!$AN15:$AQ15)</f>
        <v>0</v>
      </c>
      <c r="CL456" s="446">
        <f>SUMIF(DIC!$G$155:$J$155,CL$112,DIC!$AN15:$AQ15)</f>
        <v>0</v>
      </c>
      <c r="CM456" s="447">
        <f>SUMIF(DIC!$G$155:$J$155,CM$112,DIC!$AN15:$AQ15)</f>
        <v>0</v>
      </c>
      <c r="CN456" s="448">
        <f>SUMIF(DIC!$G$155:$J$155,CN$112,DIC!$AN15:$AQ15)</f>
        <v>0</v>
      </c>
      <c r="CO456" s="1100">
        <f>DIC!AS15</f>
        <v>0</v>
      </c>
      <c r="CP456" s="445">
        <f>DIC!AT15</f>
        <v>0</v>
      </c>
      <c r="CQ456" s="446">
        <f>DIC!AU15</f>
        <v>0</v>
      </c>
      <c r="CR456" s="447">
        <f>DIC!AV15</f>
        <v>0</v>
      </c>
      <c r="CS456" s="448">
        <f>DIC!AW15</f>
        <v>0</v>
      </c>
      <c r="CT456" s="1100">
        <f>DIC!AY15</f>
        <v>0</v>
      </c>
      <c r="CU456" s="2"/>
    </row>
    <row r="457" spans="1:99" ht="14.25" hidden="1" customHeight="1" x14ac:dyDescent="0.2">
      <c r="A457" s="2"/>
      <c r="B457" s="151">
        <f t="shared" si="306"/>
        <v>45635</v>
      </c>
      <c r="C457" s="223">
        <f>IF(AND(E457&gt;(N$496-1),E457&lt;(R$496+1)),W$485,IF(ISERROR(HLOOKUP(E457,$N$489:$U$489,1,FALSE)),HLOOKUP(WEEKDAY(E457,2),IMPOSTAZIONI!$C$51:$P$56,6,FALSE),$W$484))</f>
        <v>0</v>
      </c>
      <c r="D457" s="103" t="str">
        <f t="shared" si="307"/>
        <v/>
      </c>
      <c r="E457" s="2380">
        <f t="shared" si="318"/>
        <v>45635</v>
      </c>
      <c r="F457" s="2381"/>
      <c r="G457" s="2325" t="str">
        <f>DIC!E16</f>
        <v xml:space="preserve">attiva trim.  </v>
      </c>
      <c r="H457" s="2326"/>
      <c r="I457" s="2327"/>
      <c r="J457" s="479" t="str">
        <f t="shared" si="303"/>
        <v/>
      </c>
      <c r="K457" s="480"/>
      <c r="L457" s="2323">
        <f t="shared" si="319"/>
        <v>50</v>
      </c>
      <c r="M457" s="2324"/>
      <c r="N457" s="478"/>
      <c r="O457" s="478"/>
      <c r="P457" s="478"/>
      <c r="Q457" s="2315">
        <f t="shared" si="308"/>
        <v>45635</v>
      </c>
      <c r="R457" s="2315"/>
      <c r="S457" s="478"/>
      <c r="T457" s="140">
        <f t="shared" si="309"/>
        <v>1</v>
      </c>
      <c r="U457" s="478"/>
      <c r="V457" s="478"/>
      <c r="W457" s="478"/>
      <c r="X457" s="478"/>
      <c r="Y457" s="478"/>
      <c r="Z457" s="478"/>
      <c r="AA457" s="478"/>
      <c r="AB457" s="478"/>
      <c r="AC457" s="478"/>
      <c r="AD457" s="478"/>
      <c r="AE457" s="478"/>
      <c r="AF457" s="478"/>
      <c r="AG457" s="140">
        <f t="shared" si="310"/>
        <v>0</v>
      </c>
      <c r="AH457" s="92" t="str">
        <f t="shared" si="311"/>
        <v/>
      </c>
      <c r="AI457" s="131">
        <f t="shared" si="312"/>
        <v>0</v>
      </c>
      <c r="AJ457" s="2"/>
      <c r="AK457" s="92">
        <f>IF(G457=G$481,0,IF(OR(G457&lt;&gt;0,CJ457&lt;&gt;0,C457="L"),COUNTIF(AK$114:AK456,"&gt;0")+1,0))</f>
        <v>0</v>
      </c>
      <c r="AL457" s="92" t="str">
        <f t="shared" si="313"/>
        <v/>
      </c>
      <c r="AM457" s="92" t="str">
        <f t="shared" si="314"/>
        <v/>
      </c>
      <c r="AN457" s="131">
        <f t="shared" si="304"/>
        <v>0</v>
      </c>
      <c r="AO457" s="447">
        <f>SUM(DIC!W16:Z16)</f>
        <v>0</v>
      </c>
      <c r="AP457" s="445">
        <f>SUMIF(DIC!$G$155:$J$155,AP$112,DIC!$R16:$U16)</f>
        <v>0</v>
      </c>
      <c r="AQ457" s="446">
        <f>SUMIF(DIC!$G$155:$J$155,AQ$112,DIC!$R16:$U16)</f>
        <v>0</v>
      </c>
      <c r="AR457" s="447">
        <f>SUMIF(DIC!$G$155:$J$155,AR$112,DIC!$R16:$U16)</f>
        <v>0</v>
      </c>
      <c r="AS457" s="448">
        <f>SUMIF(DIC!$G$155:$J$155,AS$112,DIC!$R16:$U16)</f>
        <v>0</v>
      </c>
      <c r="AT457" s="449">
        <f>DIC!AG16</f>
        <v>0</v>
      </c>
      <c r="AU457" s="445">
        <f>DIC!AH16</f>
        <v>0</v>
      </c>
      <c r="AV457" s="446">
        <f>DIC!AI16</f>
        <v>0</v>
      </c>
      <c r="AW457" s="447">
        <f>DIC!AJ16</f>
        <v>0</v>
      </c>
      <c r="AX457" s="448">
        <f>DIC!AK16</f>
        <v>0</v>
      </c>
      <c r="AY457" s="445">
        <f>SUMIF(DIC!$G$152:$J$152,"&gt;0",DIC!$W16:$Z16)</f>
        <v>0</v>
      </c>
      <c r="AZ457" s="1063">
        <f>SUM(DIC!AB16:AE16)</f>
        <v>0</v>
      </c>
      <c r="BA457" s="445">
        <f>SUMIF(DIC!$G$159:$J$159,BA$111,DIC!$R16:$U16)+SUMIF(DIC!$G$159:$J$159,BA$111,DIC!$W16:$Z16)</f>
        <v>0</v>
      </c>
      <c r="BB457" s="446">
        <f>SUMIF(DIC!$G$159:$J$159,BB$111,DIC!$R16:$U16)+SUMIF(DIC!$G$159:$J$159,BB$111,DIC!$W16:$Z16)</f>
        <v>0</v>
      </c>
      <c r="BC457" s="446">
        <f>SUMIF(DIC!$G$159:$J$159,BC$111,DIC!$R16:$U16)+SUMIF(DIC!$G$159:$J$159,BC$111,DIC!$W16:$Z16)</f>
        <v>0</v>
      </c>
      <c r="BD457" s="446">
        <f>SUMIF(DIC!$G$159:$J$159,BD$111,DIC!$R16:$U16)+SUMIF(DIC!$G$159:$J$159,BD$111,DIC!$W16:$Z16)</f>
        <v>0</v>
      </c>
      <c r="BE457" s="446">
        <f>SUMIF(DIC!$G$159:$J$159,BE$111,DIC!$R16:$U16)+SUMIF(DIC!$G$159:$J$159,BE$111,DIC!$W16:$Z16)</f>
        <v>0</v>
      </c>
      <c r="BF457" s="446">
        <f>SUMIF(DIC!$G$159:$J$159,BF$111,DIC!$R16:$U16)+SUMIF(DIC!$G$159:$J$159,BF$111,DIC!$W16:$Z16)</f>
        <v>0</v>
      </c>
      <c r="BG457" s="448">
        <f>SUMIF(DIC!$G$159:$J$159,BG$111,DIC!$R16:$U16)+SUMIF(DIC!$G$159:$J$159,BG$111,DIC!$W16:$Z16)</f>
        <v>0</v>
      </c>
      <c r="BH457" s="571"/>
      <c r="BI457" s="448"/>
      <c r="BJ457" s="470"/>
      <c r="BK457" s="445">
        <f>SUMIF(DIC!$G$157:$J$157,BK$111,DIC!$R16:$U16)+SUMIF(DIC!$G$157:$J$157,BK$111,DIC!$W16:$Z16)</f>
        <v>0</v>
      </c>
      <c r="BL457" s="446">
        <f>SUMIF(DIC!$G$157:$J$157,BL$111,DIC!$R16:$U16)+SUMIF(DIC!$G$157:$J$157,BL$111,DIC!$W16:$Z16)</f>
        <v>0</v>
      </c>
      <c r="BM457" s="446">
        <f>SUMIF(DIC!$G$157:$J$157,BM$111,DIC!$R16:$U16)+SUMIF(DIC!$G$157:$J$157,BM$111,DIC!$W16:$Z16)</f>
        <v>0</v>
      </c>
      <c r="BN457" s="446">
        <f>SUMIF(DIC!$G$157:$J$157,BN$111,DIC!$R16:$U16)+SUMIF(DIC!$G$157:$J$157,BN$111,DIC!$W16:$Z16)</f>
        <v>0</v>
      </c>
      <c r="BO457" s="446">
        <f>SUMIF(DIC!$G$157:$J$157,BO$111,DIC!$R16:$U16)+SUMIF(DIC!$G$157:$J$157,BO$111,DIC!$W16:$Z16)</f>
        <v>0</v>
      </c>
      <c r="BP457" s="446">
        <f>SUMIF(DIC!$G$157:$J$157,BP$111,DIC!$R16:$U16)+SUMIF(DIC!$G$157:$J$157,BP$111,DIC!$W16:$Z16)</f>
        <v>0</v>
      </c>
      <c r="BQ457" s="448">
        <f>SUMIF(DIC!$G$157:$J$157,BQ$111,DIC!$R16:$U16)+SUMIF(DIC!$G$157:$J$157,BQ$111,DIC!$W16:$Z16)</f>
        <v>0</v>
      </c>
      <c r="BR457" s="571"/>
      <c r="BS457" s="446"/>
      <c r="BT457" s="448"/>
      <c r="BU457" s="470"/>
      <c r="BV457" s="445">
        <f>SUMIF(DIC!$G$158:$J$158,BV$111,DIC!$R16:$U16)+SUMIF(DIC!$G$158:$J$158,BV$111,DIC!$W16:$Z16)</f>
        <v>0</v>
      </c>
      <c r="BW457" s="446">
        <f>SUMIF(DIC!$G$158:$J$158,BW$111,DIC!$R16:$U16)+SUMIF(DIC!$G$158:$J$158,BW$111,DIC!$W16:$Z16)</f>
        <v>0</v>
      </c>
      <c r="BX457" s="446">
        <f>SUMIF(DIC!$G$158:$J$158,BX$111,DIC!$R16:$U16)+SUMIF(DIC!$G$158:$J$158,BX$111,DIC!$W16:$Z16)</f>
        <v>0</v>
      </c>
      <c r="BY457" s="446">
        <f>SUMIF(DIC!$G$158:$J$158,BY$111,DIC!$R16:$U16)+SUMIF(DIC!$G$158:$J$158,BY$111,DIC!$W16:$Z16)</f>
        <v>0</v>
      </c>
      <c r="BZ457" s="446">
        <f>SUMIF(DIC!$G$158:$J$158,BZ$111,DIC!$R16:$U16)+SUMIF(DIC!$G$158:$J$158,BZ$111,DIC!$W16:$Z16)</f>
        <v>0</v>
      </c>
      <c r="CA457" s="446">
        <f>SUMIF(DIC!$G$158:$J$158,CA$111,DIC!$R16:$U16)+SUMIF(DIC!$G$158:$J$158,CA$111,DIC!$W16:$Z16)</f>
        <v>0</v>
      </c>
      <c r="CB457" s="448">
        <f>SUMIF(DIC!$G$158:$J$158,CB$111,DIC!$R16:$U16)+SUMIF(DIC!$G$158:$J$158,CB$111,DIC!$W16:$Z16)</f>
        <v>0</v>
      </c>
      <c r="CC457" s="571"/>
      <c r="CD457" s="448"/>
      <c r="CE457" s="92">
        <f t="shared" si="315"/>
        <v>0</v>
      </c>
      <c r="CF457" s="92">
        <f t="shared" si="316"/>
        <v>0</v>
      </c>
      <c r="CG457" s="151" t="str">
        <f t="shared" si="302"/>
        <v/>
      </c>
      <c r="CH457" s="92">
        <f t="shared" si="305"/>
        <v>0</v>
      </c>
      <c r="CI457" s="92" t="str">
        <f t="shared" si="317"/>
        <v/>
      </c>
      <c r="CJ457" s="1100">
        <f>DIC!AM16</f>
        <v>0</v>
      </c>
      <c r="CK457" s="445">
        <f>SUMIF(DIC!$G$155:$J$155,CK$112,DIC!$AN16:$AQ16)</f>
        <v>0</v>
      </c>
      <c r="CL457" s="446">
        <f>SUMIF(DIC!$G$155:$J$155,CL$112,DIC!$AN16:$AQ16)</f>
        <v>0</v>
      </c>
      <c r="CM457" s="447">
        <f>SUMIF(DIC!$G$155:$J$155,CM$112,DIC!$AN16:$AQ16)</f>
        <v>0</v>
      </c>
      <c r="CN457" s="448">
        <f>SUMIF(DIC!$G$155:$J$155,CN$112,DIC!$AN16:$AQ16)</f>
        <v>0</v>
      </c>
      <c r="CO457" s="1100">
        <f>DIC!AS16</f>
        <v>0</v>
      </c>
      <c r="CP457" s="445">
        <f>DIC!AT16</f>
        <v>0</v>
      </c>
      <c r="CQ457" s="446">
        <f>DIC!AU16</f>
        <v>0</v>
      </c>
      <c r="CR457" s="447">
        <f>DIC!AV16</f>
        <v>0</v>
      </c>
      <c r="CS457" s="448">
        <f>DIC!AW16</f>
        <v>0</v>
      </c>
      <c r="CT457" s="1100">
        <f>DIC!AY16</f>
        <v>0</v>
      </c>
      <c r="CU457" s="2"/>
    </row>
    <row r="458" spans="1:99" ht="14.25" hidden="1" customHeight="1" x14ac:dyDescent="0.2">
      <c r="A458" s="2"/>
      <c r="B458" s="151">
        <f t="shared" si="306"/>
        <v>45636</v>
      </c>
      <c r="C458" s="223">
        <f>IF(AND(E458&gt;(N$496-1),E458&lt;(R$496+1)),W$485,IF(ISERROR(HLOOKUP(E458,$N$489:$U$489,1,FALSE)),HLOOKUP(WEEKDAY(E458,2),IMPOSTAZIONI!$C$51:$P$56,6,FALSE),$W$484))</f>
        <v>0</v>
      </c>
      <c r="D458" s="103" t="str">
        <f t="shared" si="307"/>
        <v/>
      </c>
      <c r="E458" s="2380">
        <f t="shared" si="318"/>
        <v>45636</v>
      </c>
      <c r="F458" s="2381"/>
      <c r="G458" s="2325" t="str">
        <f>DIC!E17</f>
        <v xml:space="preserve">attiva trim.  </v>
      </c>
      <c r="H458" s="2326"/>
      <c r="I458" s="2327"/>
      <c r="J458" s="479" t="str">
        <f t="shared" si="303"/>
        <v/>
      </c>
      <c r="K458" s="480"/>
      <c r="L458" s="2319">
        <f t="shared" si="319"/>
        <v>50</v>
      </c>
      <c r="M458" s="2320"/>
      <c r="N458" s="478"/>
      <c r="O458" s="478"/>
      <c r="P458" s="478"/>
      <c r="Q458" s="2315">
        <f t="shared" si="308"/>
        <v>45636</v>
      </c>
      <c r="R458" s="2315"/>
      <c r="S458" s="478"/>
      <c r="T458" s="140">
        <f t="shared" si="309"/>
        <v>1</v>
      </c>
      <c r="U458" s="478"/>
      <c r="V458" s="478"/>
      <c r="W458" s="478"/>
      <c r="X458" s="478"/>
      <c r="Y458" s="478"/>
      <c r="Z458" s="478"/>
      <c r="AA458" s="478"/>
      <c r="AB458" s="478"/>
      <c r="AC458" s="478"/>
      <c r="AD458" s="478"/>
      <c r="AE458" s="478"/>
      <c r="AF458" s="478"/>
      <c r="AG458" s="140">
        <f t="shared" si="310"/>
        <v>0</v>
      </c>
      <c r="AH458" s="92" t="str">
        <f t="shared" si="311"/>
        <v/>
      </c>
      <c r="AI458" s="131">
        <f t="shared" si="312"/>
        <v>0</v>
      </c>
      <c r="AJ458" s="2"/>
      <c r="AK458" s="92">
        <f>IF(G458=G$481,0,IF(OR(G458&lt;&gt;0,CJ458&lt;&gt;0,C458="L"),COUNTIF(AK$114:AK457,"&gt;0")+1,0))</f>
        <v>0</v>
      </c>
      <c r="AL458" s="92" t="str">
        <f t="shared" si="313"/>
        <v/>
      </c>
      <c r="AM458" s="92" t="str">
        <f t="shared" si="314"/>
        <v/>
      </c>
      <c r="AN458" s="131">
        <f t="shared" si="304"/>
        <v>0</v>
      </c>
      <c r="AO458" s="447">
        <f>SUM(DIC!W17:Z17)</f>
        <v>0</v>
      </c>
      <c r="AP458" s="445">
        <f>SUMIF(DIC!$G$155:$J$155,AP$112,DIC!$R17:$U17)</f>
        <v>0</v>
      </c>
      <c r="AQ458" s="446">
        <f>SUMIF(DIC!$G$155:$J$155,AQ$112,DIC!$R17:$U17)</f>
        <v>0</v>
      </c>
      <c r="AR458" s="447">
        <f>SUMIF(DIC!$G$155:$J$155,AR$112,DIC!$R17:$U17)</f>
        <v>0</v>
      </c>
      <c r="AS458" s="448">
        <f>SUMIF(DIC!$G$155:$J$155,AS$112,DIC!$R17:$U17)</f>
        <v>0</v>
      </c>
      <c r="AT458" s="449">
        <f>DIC!AG17</f>
        <v>0</v>
      </c>
      <c r="AU458" s="445">
        <f>DIC!AH17</f>
        <v>0</v>
      </c>
      <c r="AV458" s="446">
        <f>DIC!AI17</f>
        <v>0</v>
      </c>
      <c r="AW458" s="447">
        <f>DIC!AJ17</f>
        <v>0</v>
      </c>
      <c r="AX458" s="448">
        <f>DIC!AK17</f>
        <v>0</v>
      </c>
      <c r="AY458" s="445">
        <f>SUMIF(DIC!$G$152:$J$152,"&gt;0",DIC!$W17:$Z17)</f>
        <v>0</v>
      </c>
      <c r="AZ458" s="1063">
        <f>SUM(DIC!AB17:AE17)</f>
        <v>0</v>
      </c>
      <c r="BA458" s="445">
        <f>SUMIF(DIC!$G$159:$J$159,BA$111,DIC!$R17:$U17)+SUMIF(DIC!$G$159:$J$159,BA$111,DIC!$W17:$Z17)</f>
        <v>0</v>
      </c>
      <c r="BB458" s="446">
        <f>SUMIF(DIC!$G$159:$J$159,BB$111,DIC!$R17:$U17)+SUMIF(DIC!$G$159:$J$159,BB$111,DIC!$W17:$Z17)</f>
        <v>0</v>
      </c>
      <c r="BC458" s="446">
        <f>SUMIF(DIC!$G$159:$J$159,BC$111,DIC!$R17:$U17)+SUMIF(DIC!$G$159:$J$159,BC$111,DIC!$W17:$Z17)</f>
        <v>0</v>
      </c>
      <c r="BD458" s="446">
        <f>SUMIF(DIC!$G$159:$J$159,BD$111,DIC!$R17:$U17)+SUMIF(DIC!$G$159:$J$159,BD$111,DIC!$W17:$Z17)</f>
        <v>0</v>
      </c>
      <c r="BE458" s="446">
        <f>SUMIF(DIC!$G$159:$J$159,BE$111,DIC!$R17:$U17)+SUMIF(DIC!$G$159:$J$159,BE$111,DIC!$W17:$Z17)</f>
        <v>0</v>
      </c>
      <c r="BF458" s="446">
        <f>SUMIF(DIC!$G$159:$J$159,BF$111,DIC!$R17:$U17)+SUMIF(DIC!$G$159:$J$159,BF$111,DIC!$W17:$Z17)</f>
        <v>0</v>
      </c>
      <c r="BG458" s="448">
        <f>SUMIF(DIC!$G$159:$J$159,BG$111,DIC!$R17:$U17)+SUMIF(DIC!$G$159:$J$159,BG$111,DIC!$W17:$Z17)</f>
        <v>0</v>
      </c>
      <c r="BH458" s="571"/>
      <c r="BI458" s="448"/>
      <c r="BJ458" s="470"/>
      <c r="BK458" s="445">
        <f>SUMIF(DIC!$G$157:$J$157,BK$111,DIC!$R17:$U17)+SUMIF(DIC!$G$157:$J$157,BK$111,DIC!$W17:$Z17)</f>
        <v>0</v>
      </c>
      <c r="BL458" s="446">
        <f>SUMIF(DIC!$G$157:$J$157,BL$111,DIC!$R17:$U17)+SUMIF(DIC!$G$157:$J$157,BL$111,DIC!$W17:$Z17)</f>
        <v>0</v>
      </c>
      <c r="BM458" s="446">
        <f>SUMIF(DIC!$G$157:$J$157,BM$111,DIC!$R17:$U17)+SUMIF(DIC!$G$157:$J$157,BM$111,DIC!$W17:$Z17)</f>
        <v>0</v>
      </c>
      <c r="BN458" s="446">
        <f>SUMIF(DIC!$G$157:$J$157,BN$111,DIC!$R17:$U17)+SUMIF(DIC!$G$157:$J$157,BN$111,DIC!$W17:$Z17)</f>
        <v>0</v>
      </c>
      <c r="BO458" s="446">
        <f>SUMIF(DIC!$G$157:$J$157,BO$111,DIC!$R17:$U17)+SUMIF(DIC!$G$157:$J$157,BO$111,DIC!$W17:$Z17)</f>
        <v>0</v>
      </c>
      <c r="BP458" s="446">
        <f>SUMIF(DIC!$G$157:$J$157,BP$111,DIC!$R17:$U17)+SUMIF(DIC!$G$157:$J$157,BP$111,DIC!$W17:$Z17)</f>
        <v>0</v>
      </c>
      <c r="BQ458" s="448">
        <f>SUMIF(DIC!$G$157:$J$157,BQ$111,DIC!$R17:$U17)+SUMIF(DIC!$G$157:$J$157,BQ$111,DIC!$W17:$Z17)</f>
        <v>0</v>
      </c>
      <c r="BR458" s="571"/>
      <c r="BS458" s="446"/>
      <c r="BT458" s="448"/>
      <c r="BU458" s="470"/>
      <c r="BV458" s="445">
        <f>SUMIF(DIC!$G$158:$J$158,BV$111,DIC!$R17:$U17)+SUMIF(DIC!$G$158:$J$158,BV$111,DIC!$W17:$Z17)</f>
        <v>0</v>
      </c>
      <c r="BW458" s="446">
        <f>SUMIF(DIC!$G$158:$J$158,BW$111,DIC!$R17:$U17)+SUMIF(DIC!$G$158:$J$158,BW$111,DIC!$W17:$Z17)</f>
        <v>0</v>
      </c>
      <c r="BX458" s="446">
        <f>SUMIF(DIC!$G$158:$J$158,BX$111,DIC!$R17:$U17)+SUMIF(DIC!$G$158:$J$158,BX$111,DIC!$W17:$Z17)</f>
        <v>0</v>
      </c>
      <c r="BY458" s="446">
        <f>SUMIF(DIC!$G$158:$J$158,BY$111,DIC!$R17:$U17)+SUMIF(DIC!$G$158:$J$158,BY$111,DIC!$W17:$Z17)</f>
        <v>0</v>
      </c>
      <c r="BZ458" s="446">
        <f>SUMIF(DIC!$G$158:$J$158,BZ$111,DIC!$R17:$U17)+SUMIF(DIC!$G$158:$J$158,BZ$111,DIC!$W17:$Z17)</f>
        <v>0</v>
      </c>
      <c r="CA458" s="446">
        <f>SUMIF(DIC!$G$158:$J$158,CA$111,DIC!$R17:$U17)+SUMIF(DIC!$G$158:$J$158,CA$111,DIC!$W17:$Z17)</f>
        <v>0</v>
      </c>
      <c r="CB458" s="448">
        <f>SUMIF(DIC!$G$158:$J$158,CB$111,DIC!$R17:$U17)+SUMIF(DIC!$G$158:$J$158,CB$111,DIC!$W17:$Z17)</f>
        <v>0</v>
      </c>
      <c r="CC458" s="571"/>
      <c r="CD458" s="448"/>
      <c r="CE458" s="92">
        <f t="shared" si="315"/>
        <v>0</v>
      </c>
      <c r="CF458" s="92">
        <f t="shared" si="316"/>
        <v>0</v>
      </c>
      <c r="CG458" s="151" t="str">
        <f t="shared" si="302"/>
        <v/>
      </c>
      <c r="CH458" s="92">
        <f t="shared" si="305"/>
        <v>0</v>
      </c>
      <c r="CI458" s="92" t="str">
        <f t="shared" si="317"/>
        <v/>
      </c>
      <c r="CJ458" s="1100">
        <f>DIC!AM17</f>
        <v>0</v>
      </c>
      <c r="CK458" s="445">
        <f>SUMIF(DIC!$G$155:$J$155,CK$112,DIC!$AN17:$AQ17)</f>
        <v>0</v>
      </c>
      <c r="CL458" s="446">
        <f>SUMIF(DIC!$G$155:$J$155,CL$112,DIC!$AN17:$AQ17)</f>
        <v>0</v>
      </c>
      <c r="CM458" s="447">
        <f>SUMIF(DIC!$G$155:$J$155,CM$112,DIC!$AN17:$AQ17)</f>
        <v>0</v>
      </c>
      <c r="CN458" s="448">
        <f>SUMIF(DIC!$G$155:$J$155,CN$112,DIC!$AN17:$AQ17)</f>
        <v>0</v>
      </c>
      <c r="CO458" s="1100">
        <f>DIC!AS17</f>
        <v>0</v>
      </c>
      <c r="CP458" s="445">
        <f>DIC!AT17</f>
        <v>0</v>
      </c>
      <c r="CQ458" s="446">
        <f>DIC!AU17</f>
        <v>0</v>
      </c>
      <c r="CR458" s="447">
        <f>DIC!AV17</f>
        <v>0</v>
      </c>
      <c r="CS458" s="448">
        <f>DIC!AW17</f>
        <v>0</v>
      </c>
      <c r="CT458" s="1100">
        <f>DIC!AY17</f>
        <v>0</v>
      </c>
      <c r="CU458" s="2"/>
    </row>
    <row r="459" spans="1:99" ht="14.25" hidden="1" customHeight="1" x14ac:dyDescent="0.2">
      <c r="A459" s="2"/>
      <c r="B459" s="151">
        <f t="shared" si="306"/>
        <v>45637</v>
      </c>
      <c r="C459" s="223">
        <f>IF(AND(E459&gt;(N$496-1),E459&lt;(R$496+1)),W$485,IF(ISERROR(HLOOKUP(E459,$N$489:$U$489,1,FALSE)),HLOOKUP(WEEKDAY(E459,2),IMPOSTAZIONI!$C$51:$P$56,6,FALSE),$W$484))</f>
        <v>0</v>
      </c>
      <c r="D459" s="103" t="str">
        <f t="shared" si="307"/>
        <v/>
      </c>
      <c r="E459" s="2380">
        <f t="shared" si="318"/>
        <v>45637</v>
      </c>
      <c r="F459" s="2381"/>
      <c r="G459" s="2325" t="str">
        <f>DIC!E18</f>
        <v xml:space="preserve">attiva trim.  </v>
      </c>
      <c r="H459" s="2326"/>
      <c r="I459" s="2327"/>
      <c r="J459" s="479" t="str">
        <f t="shared" si="303"/>
        <v/>
      </c>
      <c r="K459" s="480"/>
      <c r="L459" s="2319">
        <f t="shared" si="319"/>
        <v>50</v>
      </c>
      <c r="M459" s="2320"/>
      <c r="N459" s="478"/>
      <c r="O459" s="478"/>
      <c r="P459" s="478"/>
      <c r="Q459" s="2315">
        <f t="shared" si="308"/>
        <v>45637</v>
      </c>
      <c r="R459" s="2315"/>
      <c r="S459" s="478"/>
      <c r="T459" s="140">
        <f t="shared" si="309"/>
        <v>1</v>
      </c>
      <c r="U459" s="478"/>
      <c r="V459" s="478"/>
      <c r="W459" s="478"/>
      <c r="X459" s="478"/>
      <c r="Y459" s="478"/>
      <c r="Z459" s="478"/>
      <c r="AA459" s="478"/>
      <c r="AB459" s="478"/>
      <c r="AC459" s="478"/>
      <c r="AD459" s="478"/>
      <c r="AE459" s="478"/>
      <c r="AF459" s="478"/>
      <c r="AG459" s="140">
        <f t="shared" si="310"/>
        <v>0</v>
      </c>
      <c r="AH459" s="92" t="str">
        <f t="shared" si="311"/>
        <v/>
      </c>
      <c r="AI459" s="131">
        <f t="shared" si="312"/>
        <v>0</v>
      </c>
      <c r="AJ459" s="2"/>
      <c r="AK459" s="92">
        <f>IF(G459=G$481,0,IF(OR(G459&lt;&gt;0,CJ459&lt;&gt;0,C459="L"),COUNTIF(AK$114:AK458,"&gt;0")+1,0))</f>
        <v>0</v>
      </c>
      <c r="AL459" s="92" t="str">
        <f t="shared" si="313"/>
        <v/>
      </c>
      <c r="AM459" s="92" t="str">
        <f t="shared" si="314"/>
        <v/>
      </c>
      <c r="AN459" s="131">
        <f t="shared" si="304"/>
        <v>0</v>
      </c>
      <c r="AO459" s="447">
        <f>SUM(DIC!W18:Z18)</f>
        <v>0</v>
      </c>
      <c r="AP459" s="445">
        <f>SUMIF(DIC!$G$155:$J$155,AP$112,DIC!$R18:$U18)</f>
        <v>0</v>
      </c>
      <c r="AQ459" s="446">
        <f>SUMIF(DIC!$G$155:$J$155,AQ$112,DIC!$R18:$U18)</f>
        <v>0</v>
      </c>
      <c r="AR459" s="447">
        <f>SUMIF(DIC!$G$155:$J$155,AR$112,DIC!$R18:$U18)</f>
        <v>0</v>
      </c>
      <c r="AS459" s="448">
        <f>SUMIF(DIC!$G$155:$J$155,AS$112,DIC!$R18:$U18)</f>
        <v>0</v>
      </c>
      <c r="AT459" s="449">
        <f>DIC!AG18</f>
        <v>0</v>
      </c>
      <c r="AU459" s="445">
        <f>DIC!AH18</f>
        <v>0</v>
      </c>
      <c r="AV459" s="446">
        <f>DIC!AI18</f>
        <v>0</v>
      </c>
      <c r="AW459" s="447">
        <f>DIC!AJ18</f>
        <v>0</v>
      </c>
      <c r="AX459" s="448">
        <f>DIC!AK18</f>
        <v>0</v>
      </c>
      <c r="AY459" s="445">
        <f>SUMIF(DIC!$G$152:$J$152,"&gt;0",DIC!$W18:$Z18)</f>
        <v>0</v>
      </c>
      <c r="AZ459" s="1063">
        <f>SUM(DIC!AB18:AE18)</f>
        <v>0</v>
      </c>
      <c r="BA459" s="445">
        <f>SUMIF(DIC!$G$159:$J$159,BA$111,DIC!$R18:$U18)+SUMIF(DIC!$G$159:$J$159,BA$111,DIC!$W18:$Z18)</f>
        <v>0</v>
      </c>
      <c r="BB459" s="446">
        <f>SUMIF(DIC!$G$159:$J$159,BB$111,DIC!$R18:$U18)+SUMIF(DIC!$G$159:$J$159,BB$111,DIC!$W18:$Z18)</f>
        <v>0</v>
      </c>
      <c r="BC459" s="446">
        <f>SUMIF(DIC!$G$159:$J$159,BC$111,DIC!$R18:$U18)+SUMIF(DIC!$G$159:$J$159,BC$111,DIC!$W18:$Z18)</f>
        <v>0</v>
      </c>
      <c r="BD459" s="446">
        <f>SUMIF(DIC!$G$159:$J$159,BD$111,DIC!$R18:$U18)+SUMIF(DIC!$G$159:$J$159,BD$111,DIC!$W18:$Z18)</f>
        <v>0</v>
      </c>
      <c r="BE459" s="446">
        <f>SUMIF(DIC!$G$159:$J$159,BE$111,DIC!$R18:$U18)+SUMIF(DIC!$G$159:$J$159,BE$111,DIC!$W18:$Z18)</f>
        <v>0</v>
      </c>
      <c r="BF459" s="446">
        <f>SUMIF(DIC!$G$159:$J$159,BF$111,DIC!$R18:$U18)+SUMIF(DIC!$G$159:$J$159,BF$111,DIC!$W18:$Z18)</f>
        <v>0</v>
      </c>
      <c r="BG459" s="448">
        <f>SUMIF(DIC!$G$159:$J$159,BG$111,DIC!$R18:$U18)+SUMIF(DIC!$G$159:$J$159,BG$111,DIC!$W18:$Z18)</f>
        <v>0</v>
      </c>
      <c r="BH459" s="571"/>
      <c r="BI459" s="448"/>
      <c r="BJ459" s="470"/>
      <c r="BK459" s="445">
        <f>SUMIF(DIC!$G$157:$J$157,BK$111,DIC!$R18:$U18)+SUMIF(DIC!$G$157:$J$157,BK$111,DIC!$W18:$Z18)</f>
        <v>0</v>
      </c>
      <c r="BL459" s="446">
        <f>SUMIF(DIC!$G$157:$J$157,BL$111,DIC!$R18:$U18)+SUMIF(DIC!$G$157:$J$157,BL$111,DIC!$W18:$Z18)</f>
        <v>0</v>
      </c>
      <c r="BM459" s="446">
        <f>SUMIF(DIC!$G$157:$J$157,BM$111,DIC!$R18:$U18)+SUMIF(DIC!$G$157:$J$157,BM$111,DIC!$W18:$Z18)</f>
        <v>0</v>
      </c>
      <c r="BN459" s="446">
        <f>SUMIF(DIC!$G$157:$J$157,BN$111,DIC!$R18:$U18)+SUMIF(DIC!$G$157:$J$157,BN$111,DIC!$W18:$Z18)</f>
        <v>0</v>
      </c>
      <c r="BO459" s="446">
        <f>SUMIF(DIC!$G$157:$J$157,BO$111,DIC!$R18:$U18)+SUMIF(DIC!$G$157:$J$157,BO$111,DIC!$W18:$Z18)</f>
        <v>0</v>
      </c>
      <c r="BP459" s="446">
        <f>SUMIF(DIC!$G$157:$J$157,BP$111,DIC!$R18:$U18)+SUMIF(DIC!$G$157:$J$157,BP$111,DIC!$W18:$Z18)</f>
        <v>0</v>
      </c>
      <c r="BQ459" s="448">
        <f>SUMIF(DIC!$G$157:$J$157,BQ$111,DIC!$R18:$U18)+SUMIF(DIC!$G$157:$J$157,BQ$111,DIC!$W18:$Z18)</f>
        <v>0</v>
      </c>
      <c r="BR459" s="571"/>
      <c r="BS459" s="446"/>
      <c r="BT459" s="448"/>
      <c r="BU459" s="470"/>
      <c r="BV459" s="445">
        <f>SUMIF(DIC!$G$158:$J$158,BV$111,DIC!$R18:$U18)+SUMIF(DIC!$G$158:$J$158,BV$111,DIC!$W18:$Z18)</f>
        <v>0</v>
      </c>
      <c r="BW459" s="446">
        <f>SUMIF(DIC!$G$158:$J$158,BW$111,DIC!$R18:$U18)+SUMIF(DIC!$G$158:$J$158,BW$111,DIC!$W18:$Z18)</f>
        <v>0</v>
      </c>
      <c r="BX459" s="446">
        <f>SUMIF(DIC!$G$158:$J$158,BX$111,DIC!$R18:$U18)+SUMIF(DIC!$G$158:$J$158,BX$111,DIC!$W18:$Z18)</f>
        <v>0</v>
      </c>
      <c r="BY459" s="446">
        <f>SUMIF(DIC!$G$158:$J$158,BY$111,DIC!$R18:$U18)+SUMIF(DIC!$G$158:$J$158,BY$111,DIC!$W18:$Z18)</f>
        <v>0</v>
      </c>
      <c r="BZ459" s="446">
        <f>SUMIF(DIC!$G$158:$J$158,BZ$111,DIC!$R18:$U18)+SUMIF(DIC!$G$158:$J$158,BZ$111,DIC!$W18:$Z18)</f>
        <v>0</v>
      </c>
      <c r="CA459" s="446">
        <f>SUMIF(DIC!$G$158:$J$158,CA$111,DIC!$R18:$U18)+SUMIF(DIC!$G$158:$J$158,CA$111,DIC!$W18:$Z18)</f>
        <v>0</v>
      </c>
      <c r="CB459" s="448">
        <f>SUMIF(DIC!$G$158:$J$158,CB$111,DIC!$R18:$U18)+SUMIF(DIC!$G$158:$J$158,CB$111,DIC!$W18:$Z18)</f>
        <v>0</v>
      </c>
      <c r="CC459" s="571"/>
      <c r="CD459" s="448"/>
      <c r="CE459" s="92">
        <f t="shared" si="315"/>
        <v>0</v>
      </c>
      <c r="CF459" s="92">
        <f t="shared" si="316"/>
        <v>0</v>
      </c>
      <c r="CG459" s="151" t="str">
        <f t="shared" si="302"/>
        <v/>
      </c>
      <c r="CH459" s="92">
        <f t="shared" si="305"/>
        <v>0</v>
      </c>
      <c r="CI459" s="92" t="str">
        <f t="shared" si="317"/>
        <v/>
      </c>
      <c r="CJ459" s="1100">
        <f>DIC!AM18</f>
        <v>0</v>
      </c>
      <c r="CK459" s="445">
        <f>SUMIF(DIC!$G$155:$J$155,CK$112,DIC!$AN18:$AQ18)</f>
        <v>0</v>
      </c>
      <c r="CL459" s="446">
        <f>SUMIF(DIC!$G$155:$J$155,CL$112,DIC!$AN18:$AQ18)</f>
        <v>0</v>
      </c>
      <c r="CM459" s="447">
        <f>SUMIF(DIC!$G$155:$J$155,CM$112,DIC!$AN18:$AQ18)</f>
        <v>0</v>
      </c>
      <c r="CN459" s="448">
        <f>SUMIF(DIC!$G$155:$J$155,CN$112,DIC!$AN18:$AQ18)</f>
        <v>0</v>
      </c>
      <c r="CO459" s="1100">
        <f>DIC!AS18</f>
        <v>0</v>
      </c>
      <c r="CP459" s="445">
        <f>DIC!AT18</f>
        <v>0</v>
      </c>
      <c r="CQ459" s="446">
        <f>DIC!AU18</f>
        <v>0</v>
      </c>
      <c r="CR459" s="447">
        <f>DIC!AV18</f>
        <v>0</v>
      </c>
      <c r="CS459" s="448">
        <f>DIC!AW18</f>
        <v>0</v>
      </c>
      <c r="CT459" s="1100">
        <f>DIC!AY18</f>
        <v>0</v>
      </c>
      <c r="CU459" s="2"/>
    </row>
    <row r="460" spans="1:99" ht="14.25" hidden="1" customHeight="1" x14ac:dyDescent="0.2">
      <c r="A460" s="2"/>
      <c r="B460" s="151">
        <f t="shared" si="306"/>
        <v>45638</v>
      </c>
      <c r="C460" s="223">
        <f>IF(AND(E460&gt;(N$496-1),E460&lt;(R$496+1)),W$485,IF(ISERROR(HLOOKUP(E460,$N$489:$U$489,1,FALSE)),HLOOKUP(WEEKDAY(E460,2),IMPOSTAZIONI!$C$51:$P$56,6,FALSE),$W$484))</f>
        <v>0</v>
      </c>
      <c r="D460" s="103" t="str">
        <f t="shared" si="307"/>
        <v/>
      </c>
      <c r="E460" s="2380">
        <f t="shared" si="318"/>
        <v>45638</v>
      </c>
      <c r="F460" s="2381"/>
      <c r="G460" s="2325" t="str">
        <f>DIC!E19</f>
        <v xml:space="preserve">attiva trim.  </v>
      </c>
      <c r="H460" s="2326"/>
      <c r="I460" s="2327"/>
      <c r="J460" s="479" t="str">
        <f t="shared" si="303"/>
        <v/>
      </c>
      <c r="K460" s="480"/>
      <c r="L460" s="2319">
        <f t="shared" si="319"/>
        <v>50</v>
      </c>
      <c r="M460" s="2320"/>
      <c r="N460" s="478"/>
      <c r="O460" s="478"/>
      <c r="P460" s="478"/>
      <c r="Q460" s="2315">
        <f t="shared" si="308"/>
        <v>45638</v>
      </c>
      <c r="R460" s="2315"/>
      <c r="S460" s="478"/>
      <c r="T460" s="140">
        <f t="shared" si="309"/>
        <v>1</v>
      </c>
      <c r="U460" s="478"/>
      <c r="V460" s="478"/>
      <c r="W460" s="478"/>
      <c r="X460" s="478"/>
      <c r="Y460" s="478"/>
      <c r="Z460" s="478"/>
      <c r="AA460" s="478"/>
      <c r="AB460" s="478"/>
      <c r="AC460" s="478"/>
      <c r="AD460" s="478"/>
      <c r="AE460" s="478"/>
      <c r="AF460" s="478"/>
      <c r="AG460" s="140">
        <f t="shared" si="310"/>
        <v>0</v>
      </c>
      <c r="AH460" s="92" t="str">
        <f t="shared" si="311"/>
        <v/>
      </c>
      <c r="AI460" s="131">
        <f t="shared" si="312"/>
        <v>0</v>
      </c>
      <c r="AJ460" s="2"/>
      <c r="AK460" s="92">
        <f>IF(G460=G$481,0,IF(OR(G460&lt;&gt;0,CJ460&lt;&gt;0,C460="L"),COUNTIF(AK$114:AK459,"&gt;0")+1,0))</f>
        <v>0</v>
      </c>
      <c r="AL460" s="92" t="str">
        <f t="shared" si="313"/>
        <v/>
      </c>
      <c r="AM460" s="92" t="str">
        <f t="shared" si="314"/>
        <v/>
      </c>
      <c r="AN460" s="131">
        <f t="shared" si="304"/>
        <v>0</v>
      </c>
      <c r="AO460" s="447">
        <f>SUM(DIC!W19:Z19)</f>
        <v>0</v>
      </c>
      <c r="AP460" s="445">
        <f>SUMIF(DIC!$G$155:$J$155,AP$112,DIC!$R19:$U19)</f>
        <v>0</v>
      </c>
      <c r="AQ460" s="446">
        <f>SUMIF(DIC!$G$155:$J$155,AQ$112,DIC!$R19:$U19)</f>
        <v>0</v>
      </c>
      <c r="AR460" s="447">
        <f>SUMIF(DIC!$G$155:$J$155,AR$112,DIC!$R19:$U19)</f>
        <v>0</v>
      </c>
      <c r="AS460" s="448">
        <f>SUMIF(DIC!$G$155:$J$155,AS$112,DIC!$R19:$U19)</f>
        <v>0</v>
      </c>
      <c r="AT460" s="449">
        <f>DIC!AG19</f>
        <v>0</v>
      </c>
      <c r="AU460" s="445">
        <f>DIC!AH19</f>
        <v>0</v>
      </c>
      <c r="AV460" s="446">
        <f>DIC!AI19</f>
        <v>0</v>
      </c>
      <c r="AW460" s="447">
        <f>DIC!AJ19</f>
        <v>0</v>
      </c>
      <c r="AX460" s="448">
        <f>DIC!AK19</f>
        <v>0</v>
      </c>
      <c r="AY460" s="445">
        <f>SUMIF(DIC!$G$152:$J$152,"&gt;0",DIC!$W19:$Z19)</f>
        <v>0</v>
      </c>
      <c r="AZ460" s="1063">
        <f>SUM(DIC!AB19:AE19)</f>
        <v>0</v>
      </c>
      <c r="BA460" s="445">
        <f>SUMIF(DIC!$G$159:$J$159,BA$111,DIC!$R19:$U19)+SUMIF(DIC!$G$159:$J$159,BA$111,DIC!$W19:$Z19)</f>
        <v>0</v>
      </c>
      <c r="BB460" s="446">
        <f>SUMIF(DIC!$G$159:$J$159,BB$111,DIC!$R19:$U19)+SUMIF(DIC!$G$159:$J$159,BB$111,DIC!$W19:$Z19)</f>
        <v>0</v>
      </c>
      <c r="BC460" s="446">
        <f>SUMIF(DIC!$G$159:$J$159,BC$111,DIC!$R19:$U19)+SUMIF(DIC!$G$159:$J$159,BC$111,DIC!$W19:$Z19)</f>
        <v>0</v>
      </c>
      <c r="BD460" s="446">
        <f>SUMIF(DIC!$G$159:$J$159,BD$111,DIC!$R19:$U19)+SUMIF(DIC!$G$159:$J$159,BD$111,DIC!$W19:$Z19)</f>
        <v>0</v>
      </c>
      <c r="BE460" s="446">
        <f>SUMIF(DIC!$G$159:$J$159,BE$111,DIC!$R19:$U19)+SUMIF(DIC!$G$159:$J$159,BE$111,DIC!$W19:$Z19)</f>
        <v>0</v>
      </c>
      <c r="BF460" s="446">
        <f>SUMIF(DIC!$G$159:$J$159,BF$111,DIC!$R19:$U19)+SUMIF(DIC!$G$159:$J$159,BF$111,DIC!$W19:$Z19)</f>
        <v>0</v>
      </c>
      <c r="BG460" s="448">
        <f>SUMIF(DIC!$G$159:$J$159,BG$111,DIC!$R19:$U19)+SUMIF(DIC!$G$159:$J$159,BG$111,DIC!$W19:$Z19)</f>
        <v>0</v>
      </c>
      <c r="BH460" s="571"/>
      <c r="BI460" s="448"/>
      <c r="BJ460" s="470"/>
      <c r="BK460" s="445">
        <f>SUMIF(DIC!$G$157:$J$157,BK$111,DIC!$R19:$U19)+SUMIF(DIC!$G$157:$J$157,BK$111,DIC!$W19:$Z19)</f>
        <v>0</v>
      </c>
      <c r="BL460" s="446">
        <f>SUMIF(DIC!$G$157:$J$157,BL$111,DIC!$R19:$U19)+SUMIF(DIC!$G$157:$J$157,BL$111,DIC!$W19:$Z19)</f>
        <v>0</v>
      </c>
      <c r="BM460" s="446">
        <f>SUMIF(DIC!$G$157:$J$157,BM$111,DIC!$R19:$U19)+SUMIF(DIC!$G$157:$J$157,BM$111,DIC!$W19:$Z19)</f>
        <v>0</v>
      </c>
      <c r="BN460" s="446">
        <f>SUMIF(DIC!$G$157:$J$157,BN$111,DIC!$R19:$U19)+SUMIF(DIC!$G$157:$J$157,BN$111,DIC!$W19:$Z19)</f>
        <v>0</v>
      </c>
      <c r="BO460" s="446">
        <f>SUMIF(DIC!$G$157:$J$157,BO$111,DIC!$R19:$U19)+SUMIF(DIC!$G$157:$J$157,BO$111,DIC!$W19:$Z19)</f>
        <v>0</v>
      </c>
      <c r="BP460" s="446">
        <f>SUMIF(DIC!$G$157:$J$157,BP$111,DIC!$R19:$U19)+SUMIF(DIC!$G$157:$J$157,BP$111,DIC!$W19:$Z19)</f>
        <v>0</v>
      </c>
      <c r="BQ460" s="448">
        <f>SUMIF(DIC!$G$157:$J$157,BQ$111,DIC!$R19:$U19)+SUMIF(DIC!$G$157:$J$157,BQ$111,DIC!$W19:$Z19)</f>
        <v>0</v>
      </c>
      <c r="BR460" s="571"/>
      <c r="BS460" s="446"/>
      <c r="BT460" s="448"/>
      <c r="BU460" s="470"/>
      <c r="BV460" s="445">
        <f>SUMIF(DIC!$G$158:$J$158,BV$111,DIC!$R19:$U19)+SUMIF(DIC!$G$158:$J$158,BV$111,DIC!$W19:$Z19)</f>
        <v>0</v>
      </c>
      <c r="BW460" s="446">
        <f>SUMIF(DIC!$G$158:$J$158,BW$111,DIC!$R19:$U19)+SUMIF(DIC!$G$158:$J$158,BW$111,DIC!$W19:$Z19)</f>
        <v>0</v>
      </c>
      <c r="BX460" s="446">
        <f>SUMIF(DIC!$G$158:$J$158,BX$111,DIC!$R19:$U19)+SUMIF(DIC!$G$158:$J$158,BX$111,DIC!$W19:$Z19)</f>
        <v>0</v>
      </c>
      <c r="BY460" s="446">
        <f>SUMIF(DIC!$G$158:$J$158,BY$111,DIC!$R19:$U19)+SUMIF(DIC!$G$158:$J$158,BY$111,DIC!$W19:$Z19)</f>
        <v>0</v>
      </c>
      <c r="BZ460" s="446">
        <f>SUMIF(DIC!$G$158:$J$158,BZ$111,DIC!$R19:$U19)+SUMIF(DIC!$G$158:$J$158,BZ$111,DIC!$W19:$Z19)</f>
        <v>0</v>
      </c>
      <c r="CA460" s="446">
        <f>SUMIF(DIC!$G$158:$J$158,CA$111,DIC!$R19:$U19)+SUMIF(DIC!$G$158:$J$158,CA$111,DIC!$W19:$Z19)</f>
        <v>0</v>
      </c>
      <c r="CB460" s="448">
        <f>SUMIF(DIC!$G$158:$J$158,CB$111,DIC!$R19:$U19)+SUMIF(DIC!$G$158:$J$158,CB$111,DIC!$W19:$Z19)</f>
        <v>0</v>
      </c>
      <c r="CC460" s="571"/>
      <c r="CD460" s="448"/>
      <c r="CE460" s="92">
        <f t="shared" si="315"/>
        <v>0</v>
      </c>
      <c r="CF460" s="92">
        <f t="shared" si="316"/>
        <v>0</v>
      </c>
      <c r="CG460" s="151" t="str">
        <f t="shared" si="302"/>
        <v/>
      </c>
      <c r="CH460" s="92">
        <f t="shared" si="305"/>
        <v>0</v>
      </c>
      <c r="CI460" s="92" t="str">
        <f t="shared" si="317"/>
        <v/>
      </c>
      <c r="CJ460" s="1100">
        <f>DIC!AM19</f>
        <v>0</v>
      </c>
      <c r="CK460" s="445">
        <f>SUMIF(DIC!$G$155:$J$155,CK$112,DIC!$AN19:$AQ19)</f>
        <v>0</v>
      </c>
      <c r="CL460" s="446">
        <f>SUMIF(DIC!$G$155:$J$155,CL$112,DIC!$AN19:$AQ19)</f>
        <v>0</v>
      </c>
      <c r="CM460" s="447">
        <f>SUMIF(DIC!$G$155:$J$155,CM$112,DIC!$AN19:$AQ19)</f>
        <v>0</v>
      </c>
      <c r="CN460" s="448">
        <f>SUMIF(DIC!$G$155:$J$155,CN$112,DIC!$AN19:$AQ19)</f>
        <v>0</v>
      </c>
      <c r="CO460" s="1100">
        <f>DIC!AS19</f>
        <v>0</v>
      </c>
      <c r="CP460" s="445">
        <f>DIC!AT19</f>
        <v>0</v>
      </c>
      <c r="CQ460" s="446">
        <f>DIC!AU19</f>
        <v>0</v>
      </c>
      <c r="CR460" s="447">
        <f>DIC!AV19</f>
        <v>0</v>
      </c>
      <c r="CS460" s="448">
        <f>DIC!AW19</f>
        <v>0</v>
      </c>
      <c r="CT460" s="1100">
        <f>DIC!AY19</f>
        <v>0</v>
      </c>
      <c r="CU460" s="2"/>
    </row>
    <row r="461" spans="1:99" ht="14.25" hidden="1" customHeight="1" x14ac:dyDescent="0.2">
      <c r="A461" s="2"/>
      <c r="B461" s="151">
        <f t="shared" si="306"/>
        <v>45639</v>
      </c>
      <c r="C461" s="223">
        <f>IF(AND(E461&gt;(N$496-1),E461&lt;(R$496+1)),W$485,IF(ISERROR(HLOOKUP(E461,$N$489:$U$489,1,FALSE)),HLOOKUP(WEEKDAY(E461,2),IMPOSTAZIONI!$C$51:$P$56,6,FALSE),$W$484))</f>
        <v>0</v>
      </c>
      <c r="D461" s="103" t="str">
        <f t="shared" si="307"/>
        <v/>
      </c>
      <c r="E461" s="2380">
        <f t="shared" si="318"/>
        <v>45639</v>
      </c>
      <c r="F461" s="2381"/>
      <c r="G461" s="2325" t="str">
        <f>DIC!E20</f>
        <v xml:space="preserve">attiva trim.  </v>
      </c>
      <c r="H461" s="2326"/>
      <c r="I461" s="2327"/>
      <c r="J461" s="479" t="str">
        <f t="shared" si="303"/>
        <v/>
      </c>
      <c r="K461" s="480"/>
      <c r="L461" s="2319">
        <f t="shared" si="319"/>
        <v>50</v>
      </c>
      <c r="M461" s="2320"/>
      <c r="N461" s="478"/>
      <c r="O461" s="478"/>
      <c r="P461" s="478"/>
      <c r="Q461" s="2315">
        <f t="shared" si="308"/>
        <v>45639</v>
      </c>
      <c r="R461" s="2315"/>
      <c r="S461" s="478"/>
      <c r="T461" s="140">
        <f t="shared" si="309"/>
        <v>1</v>
      </c>
      <c r="U461" s="478"/>
      <c r="V461" s="478"/>
      <c r="W461" s="478"/>
      <c r="X461" s="478"/>
      <c r="Y461" s="478"/>
      <c r="Z461" s="478"/>
      <c r="AA461" s="478"/>
      <c r="AB461" s="478"/>
      <c r="AC461" s="478"/>
      <c r="AD461" s="478"/>
      <c r="AE461" s="478"/>
      <c r="AF461" s="478"/>
      <c r="AG461" s="140">
        <f t="shared" si="310"/>
        <v>0</v>
      </c>
      <c r="AH461" s="92" t="str">
        <f t="shared" si="311"/>
        <v/>
      </c>
      <c r="AI461" s="131">
        <f t="shared" si="312"/>
        <v>0</v>
      </c>
      <c r="AJ461" s="2"/>
      <c r="AK461" s="92">
        <f>IF(G461=G$481,0,IF(OR(G461&lt;&gt;0,CJ461&lt;&gt;0,C461="L"),COUNTIF(AK$114:AK460,"&gt;0")+1,0))</f>
        <v>0</v>
      </c>
      <c r="AL461" s="92" t="str">
        <f t="shared" si="313"/>
        <v/>
      </c>
      <c r="AM461" s="92" t="str">
        <f t="shared" si="314"/>
        <v/>
      </c>
      <c r="AN461" s="131">
        <f t="shared" si="304"/>
        <v>0</v>
      </c>
      <c r="AO461" s="447">
        <f>SUM(DIC!W20:Z20)</f>
        <v>0</v>
      </c>
      <c r="AP461" s="445">
        <f>SUMIF(DIC!$G$155:$J$155,AP$112,DIC!$R20:$U20)</f>
        <v>0</v>
      </c>
      <c r="AQ461" s="446">
        <f>SUMIF(DIC!$G$155:$J$155,AQ$112,DIC!$R20:$U20)</f>
        <v>0</v>
      </c>
      <c r="AR461" s="447">
        <f>SUMIF(DIC!$G$155:$J$155,AR$112,DIC!$R20:$U20)</f>
        <v>0</v>
      </c>
      <c r="AS461" s="448">
        <f>SUMIF(DIC!$G$155:$J$155,AS$112,DIC!$R20:$U20)</f>
        <v>0</v>
      </c>
      <c r="AT461" s="449">
        <f>DIC!AG20</f>
        <v>0</v>
      </c>
      <c r="AU461" s="445">
        <f>DIC!AH20</f>
        <v>0</v>
      </c>
      <c r="AV461" s="446">
        <f>DIC!AI20</f>
        <v>0</v>
      </c>
      <c r="AW461" s="447">
        <f>DIC!AJ20</f>
        <v>0</v>
      </c>
      <c r="AX461" s="448">
        <f>DIC!AK20</f>
        <v>0</v>
      </c>
      <c r="AY461" s="445">
        <f>SUMIF(DIC!$G$152:$J$152,"&gt;0",DIC!$W20:$Z20)</f>
        <v>0</v>
      </c>
      <c r="AZ461" s="1063">
        <f>SUM(DIC!AB20:AE20)</f>
        <v>0</v>
      </c>
      <c r="BA461" s="445">
        <f>SUMIF(DIC!$G$159:$J$159,BA$111,DIC!$R20:$U20)+SUMIF(DIC!$G$159:$J$159,BA$111,DIC!$W20:$Z20)</f>
        <v>0</v>
      </c>
      <c r="BB461" s="446">
        <f>SUMIF(DIC!$G$159:$J$159,BB$111,DIC!$R20:$U20)+SUMIF(DIC!$G$159:$J$159,BB$111,DIC!$W20:$Z20)</f>
        <v>0</v>
      </c>
      <c r="BC461" s="446">
        <f>SUMIF(DIC!$G$159:$J$159,BC$111,DIC!$R20:$U20)+SUMIF(DIC!$G$159:$J$159,BC$111,DIC!$W20:$Z20)</f>
        <v>0</v>
      </c>
      <c r="BD461" s="446">
        <f>SUMIF(DIC!$G$159:$J$159,BD$111,DIC!$R20:$U20)+SUMIF(DIC!$G$159:$J$159,BD$111,DIC!$W20:$Z20)</f>
        <v>0</v>
      </c>
      <c r="BE461" s="446">
        <f>SUMIF(DIC!$G$159:$J$159,BE$111,DIC!$R20:$U20)+SUMIF(DIC!$G$159:$J$159,BE$111,DIC!$W20:$Z20)</f>
        <v>0</v>
      </c>
      <c r="BF461" s="446">
        <f>SUMIF(DIC!$G$159:$J$159,BF$111,DIC!$R20:$U20)+SUMIF(DIC!$G$159:$J$159,BF$111,DIC!$W20:$Z20)</f>
        <v>0</v>
      </c>
      <c r="BG461" s="448">
        <f>SUMIF(DIC!$G$159:$J$159,BG$111,DIC!$R20:$U20)+SUMIF(DIC!$G$159:$J$159,BG$111,DIC!$W20:$Z20)</f>
        <v>0</v>
      </c>
      <c r="BH461" s="571"/>
      <c r="BI461" s="448"/>
      <c r="BJ461" s="470"/>
      <c r="BK461" s="445">
        <f>SUMIF(DIC!$G$157:$J$157,BK$111,DIC!$R20:$U20)+SUMIF(DIC!$G$157:$J$157,BK$111,DIC!$W20:$Z20)</f>
        <v>0</v>
      </c>
      <c r="BL461" s="446">
        <f>SUMIF(DIC!$G$157:$J$157,BL$111,DIC!$R20:$U20)+SUMIF(DIC!$G$157:$J$157,BL$111,DIC!$W20:$Z20)</f>
        <v>0</v>
      </c>
      <c r="BM461" s="446">
        <f>SUMIF(DIC!$G$157:$J$157,BM$111,DIC!$R20:$U20)+SUMIF(DIC!$G$157:$J$157,BM$111,DIC!$W20:$Z20)</f>
        <v>0</v>
      </c>
      <c r="BN461" s="446">
        <f>SUMIF(DIC!$G$157:$J$157,BN$111,DIC!$R20:$U20)+SUMIF(DIC!$G$157:$J$157,BN$111,DIC!$W20:$Z20)</f>
        <v>0</v>
      </c>
      <c r="BO461" s="446">
        <f>SUMIF(DIC!$G$157:$J$157,BO$111,DIC!$R20:$U20)+SUMIF(DIC!$G$157:$J$157,BO$111,DIC!$W20:$Z20)</f>
        <v>0</v>
      </c>
      <c r="BP461" s="446">
        <f>SUMIF(DIC!$G$157:$J$157,BP$111,DIC!$R20:$U20)+SUMIF(DIC!$G$157:$J$157,BP$111,DIC!$W20:$Z20)</f>
        <v>0</v>
      </c>
      <c r="BQ461" s="448">
        <f>SUMIF(DIC!$G$157:$J$157,BQ$111,DIC!$R20:$U20)+SUMIF(DIC!$G$157:$J$157,BQ$111,DIC!$W20:$Z20)</f>
        <v>0</v>
      </c>
      <c r="BR461" s="571"/>
      <c r="BS461" s="446"/>
      <c r="BT461" s="448"/>
      <c r="BU461" s="470"/>
      <c r="BV461" s="445">
        <f>SUMIF(DIC!$G$158:$J$158,BV$111,DIC!$R20:$U20)+SUMIF(DIC!$G$158:$J$158,BV$111,DIC!$W20:$Z20)</f>
        <v>0</v>
      </c>
      <c r="BW461" s="446">
        <f>SUMIF(DIC!$G$158:$J$158,BW$111,DIC!$R20:$U20)+SUMIF(DIC!$G$158:$J$158,BW$111,DIC!$W20:$Z20)</f>
        <v>0</v>
      </c>
      <c r="BX461" s="446">
        <f>SUMIF(DIC!$G$158:$J$158,BX$111,DIC!$R20:$U20)+SUMIF(DIC!$G$158:$J$158,BX$111,DIC!$W20:$Z20)</f>
        <v>0</v>
      </c>
      <c r="BY461" s="446">
        <f>SUMIF(DIC!$G$158:$J$158,BY$111,DIC!$R20:$U20)+SUMIF(DIC!$G$158:$J$158,BY$111,DIC!$W20:$Z20)</f>
        <v>0</v>
      </c>
      <c r="BZ461" s="446">
        <f>SUMIF(DIC!$G$158:$J$158,BZ$111,DIC!$R20:$U20)+SUMIF(DIC!$G$158:$J$158,BZ$111,DIC!$W20:$Z20)</f>
        <v>0</v>
      </c>
      <c r="CA461" s="446">
        <f>SUMIF(DIC!$G$158:$J$158,CA$111,DIC!$R20:$U20)+SUMIF(DIC!$G$158:$J$158,CA$111,DIC!$W20:$Z20)</f>
        <v>0</v>
      </c>
      <c r="CB461" s="448">
        <f>SUMIF(DIC!$G$158:$J$158,CB$111,DIC!$R20:$U20)+SUMIF(DIC!$G$158:$J$158,CB$111,DIC!$W20:$Z20)</f>
        <v>0</v>
      </c>
      <c r="CC461" s="571"/>
      <c r="CD461" s="448"/>
      <c r="CE461" s="92">
        <f t="shared" si="315"/>
        <v>0</v>
      </c>
      <c r="CF461" s="92">
        <f t="shared" si="316"/>
        <v>0</v>
      </c>
      <c r="CG461" s="151" t="str">
        <f t="shared" si="302"/>
        <v/>
      </c>
      <c r="CH461" s="92">
        <f t="shared" si="305"/>
        <v>0</v>
      </c>
      <c r="CI461" s="92" t="str">
        <f t="shared" si="317"/>
        <v/>
      </c>
      <c r="CJ461" s="1100">
        <f>DIC!AM20</f>
        <v>0</v>
      </c>
      <c r="CK461" s="445">
        <f>SUMIF(DIC!$G$155:$J$155,CK$112,DIC!$AN20:$AQ20)</f>
        <v>0</v>
      </c>
      <c r="CL461" s="446">
        <f>SUMIF(DIC!$G$155:$J$155,CL$112,DIC!$AN20:$AQ20)</f>
        <v>0</v>
      </c>
      <c r="CM461" s="447">
        <f>SUMIF(DIC!$G$155:$J$155,CM$112,DIC!$AN20:$AQ20)</f>
        <v>0</v>
      </c>
      <c r="CN461" s="448">
        <f>SUMIF(DIC!$G$155:$J$155,CN$112,DIC!$AN20:$AQ20)</f>
        <v>0</v>
      </c>
      <c r="CO461" s="1100">
        <f>DIC!AS20</f>
        <v>0</v>
      </c>
      <c r="CP461" s="445">
        <f>DIC!AT20</f>
        <v>0</v>
      </c>
      <c r="CQ461" s="446">
        <f>DIC!AU20</f>
        <v>0</v>
      </c>
      <c r="CR461" s="447">
        <f>DIC!AV20</f>
        <v>0</v>
      </c>
      <c r="CS461" s="448">
        <f>DIC!AW20</f>
        <v>0</v>
      </c>
      <c r="CT461" s="1100">
        <f>DIC!AY20</f>
        <v>0</v>
      </c>
      <c r="CU461" s="2"/>
    </row>
    <row r="462" spans="1:99" ht="14.25" hidden="1" customHeight="1" x14ac:dyDescent="0.2">
      <c r="A462" s="2"/>
      <c r="B462" s="151">
        <f t="shared" si="306"/>
        <v>45640</v>
      </c>
      <c r="C462" s="223">
        <f>IF(AND(E462&gt;(N$496-1),E462&lt;(R$496+1)),W$485,IF(ISERROR(HLOOKUP(E462,$N$489:$U$489,1,FALSE)),HLOOKUP(WEEKDAY(E462,2),IMPOSTAZIONI!$C$51:$P$56,6,FALSE),$W$484))</f>
        <v>0</v>
      </c>
      <c r="D462" s="103" t="str">
        <f t="shared" si="307"/>
        <v/>
      </c>
      <c r="E462" s="2380">
        <f t="shared" si="318"/>
        <v>45640</v>
      </c>
      <c r="F462" s="2381"/>
      <c r="G462" s="2325" t="str">
        <f>DIC!E21</f>
        <v xml:space="preserve">attiva trim.  </v>
      </c>
      <c r="H462" s="2326"/>
      <c r="I462" s="2327"/>
      <c r="J462" s="479" t="str">
        <f t="shared" si="303"/>
        <v/>
      </c>
      <c r="K462" s="480"/>
      <c r="L462" s="2319">
        <f t="shared" si="319"/>
        <v>50</v>
      </c>
      <c r="M462" s="2320"/>
      <c r="N462" s="478"/>
      <c r="O462" s="478"/>
      <c r="P462" s="478"/>
      <c r="Q462" s="2315">
        <f t="shared" si="308"/>
        <v>45640</v>
      </c>
      <c r="R462" s="2315"/>
      <c r="S462" s="478"/>
      <c r="T462" s="140">
        <f t="shared" si="309"/>
        <v>1</v>
      </c>
      <c r="U462" s="478"/>
      <c r="V462" s="478"/>
      <c r="W462" s="478"/>
      <c r="X462" s="478"/>
      <c r="Y462" s="478"/>
      <c r="Z462" s="478"/>
      <c r="AA462" s="478"/>
      <c r="AB462" s="478"/>
      <c r="AC462" s="478"/>
      <c r="AD462" s="478"/>
      <c r="AE462" s="478"/>
      <c r="AF462" s="478"/>
      <c r="AG462" s="140">
        <f t="shared" si="310"/>
        <v>0</v>
      </c>
      <c r="AH462" s="92" t="str">
        <f t="shared" si="311"/>
        <v/>
      </c>
      <c r="AI462" s="131">
        <f t="shared" si="312"/>
        <v>0</v>
      </c>
      <c r="AJ462" s="2"/>
      <c r="AK462" s="92">
        <f>IF(G462=G$481,0,IF(OR(G462&lt;&gt;0,CJ462&lt;&gt;0,C462="L"),COUNTIF(AK$114:AK461,"&gt;0")+1,0))</f>
        <v>0</v>
      </c>
      <c r="AL462" s="92" t="str">
        <f t="shared" si="313"/>
        <v/>
      </c>
      <c r="AM462" s="92" t="str">
        <f t="shared" si="314"/>
        <v/>
      </c>
      <c r="AN462" s="131">
        <f t="shared" si="304"/>
        <v>0</v>
      </c>
      <c r="AO462" s="447">
        <f>SUM(DIC!W21:Z21)</f>
        <v>0</v>
      </c>
      <c r="AP462" s="445">
        <f>SUMIF(DIC!$G$155:$J$155,AP$112,DIC!$R21:$U21)</f>
        <v>0</v>
      </c>
      <c r="AQ462" s="446">
        <f>SUMIF(DIC!$G$155:$J$155,AQ$112,DIC!$R21:$U21)</f>
        <v>0</v>
      </c>
      <c r="AR462" s="447">
        <f>SUMIF(DIC!$G$155:$J$155,AR$112,DIC!$R21:$U21)</f>
        <v>0</v>
      </c>
      <c r="AS462" s="448">
        <f>SUMIF(DIC!$G$155:$J$155,AS$112,DIC!$R21:$U21)</f>
        <v>0</v>
      </c>
      <c r="AT462" s="449">
        <f>DIC!AG21</f>
        <v>0</v>
      </c>
      <c r="AU462" s="445">
        <f>DIC!AH21</f>
        <v>0</v>
      </c>
      <c r="AV462" s="446">
        <f>DIC!AI21</f>
        <v>0</v>
      </c>
      <c r="AW462" s="447">
        <f>DIC!AJ21</f>
        <v>0</v>
      </c>
      <c r="AX462" s="448">
        <f>DIC!AK21</f>
        <v>0</v>
      </c>
      <c r="AY462" s="445">
        <f>SUMIF(DIC!$G$152:$J$152,"&gt;0",DIC!$W21:$Z21)</f>
        <v>0</v>
      </c>
      <c r="AZ462" s="1063">
        <f>SUM(DIC!AB21:AE21)</f>
        <v>0</v>
      </c>
      <c r="BA462" s="445">
        <f>SUMIF(DIC!$G$159:$J$159,BA$111,DIC!$R21:$U21)+SUMIF(DIC!$G$159:$J$159,BA$111,DIC!$W21:$Z21)</f>
        <v>0</v>
      </c>
      <c r="BB462" s="446">
        <f>SUMIF(DIC!$G$159:$J$159,BB$111,DIC!$R21:$U21)+SUMIF(DIC!$G$159:$J$159,BB$111,DIC!$W21:$Z21)</f>
        <v>0</v>
      </c>
      <c r="BC462" s="446">
        <f>SUMIF(DIC!$G$159:$J$159,BC$111,DIC!$R21:$U21)+SUMIF(DIC!$G$159:$J$159,BC$111,DIC!$W21:$Z21)</f>
        <v>0</v>
      </c>
      <c r="BD462" s="446">
        <f>SUMIF(DIC!$G$159:$J$159,BD$111,DIC!$R21:$U21)+SUMIF(DIC!$G$159:$J$159,BD$111,DIC!$W21:$Z21)</f>
        <v>0</v>
      </c>
      <c r="BE462" s="446">
        <f>SUMIF(DIC!$G$159:$J$159,BE$111,DIC!$R21:$U21)+SUMIF(DIC!$G$159:$J$159,BE$111,DIC!$W21:$Z21)</f>
        <v>0</v>
      </c>
      <c r="BF462" s="446">
        <f>SUMIF(DIC!$G$159:$J$159,BF$111,DIC!$R21:$U21)+SUMIF(DIC!$G$159:$J$159,BF$111,DIC!$W21:$Z21)</f>
        <v>0</v>
      </c>
      <c r="BG462" s="448">
        <f>SUMIF(DIC!$G$159:$J$159,BG$111,DIC!$R21:$U21)+SUMIF(DIC!$G$159:$J$159,BG$111,DIC!$W21:$Z21)</f>
        <v>0</v>
      </c>
      <c r="BH462" s="571"/>
      <c r="BI462" s="448"/>
      <c r="BJ462" s="470"/>
      <c r="BK462" s="445">
        <f>SUMIF(DIC!$G$157:$J$157,BK$111,DIC!$R21:$U21)+SUMIF(DIC!$G$157:$J$157,BK$111,DIC!$W21:$Z21)</f>
        <v>0</v>
      </c>
      <c r="BL462" s="446">
        <f>SUMIF(DIC!$G$157:$J$157,BL$111,DIC!$R21:$U21)+SUMIF(DIC!$G$157:$J$157,BL$111,DIC!$W21:$Z21)</f>
        <v>0</v>
      </c>
      <c r="BM462" s="446">
        <f>SUMIF(DIC!$G$157:$J$157,BM$111,DIC!$R21:$U21)+SUMIF(DIC!$G$157:$J$157,BM$111,DIC!$W21:$Z21)</f>
        <v>0</v>
      </c>
      <c r="BN462" s="446">
        <f>SUMIF(DIC!$G$157:$J$157,BN$111,DIC!$R21:$U21)+SUMIF(DIC!$G$157:$J$157,BN$111,DIC!$W21:$Z21)</f>
        <v>0</v>
      </c>
      <c r="BO462" s="446">
        <f>SUMIF(DIC!$G$157:$J$157,BO$111,DIC!$R21:$U21)+SUMIF(DIC!$G$157:$J$157,BO$111,DIC!$W21:$Z21)</f>
        <v>0</v>
      </c>
      <c r="BP462" s="446">
        <f>SUMIF(DIC!$G$157:$J$157,BP$111,DIC!$R21:$U21)+SUMIF(DIC!$G$157:$J$157,BP$111,DIC!$W21:$Z21)</f>
        <v>0</v>
      </c>
      <c r="BQ462" s="448">
        <f>SUMIF(DIC!$G$157:$J$157,BQ$111,DIC!$R21:$U21)+SUMIF(DIC!$G$157:$J$157,BQ$111,DIC!$W21:$Z21)</f>
        <v>0</v>
      </c>
      <c r="BR462" s="571"/>
      <c r="BS462" s="446"/>
      <c r="BT462" s="448"/>
      <c r="BU462" s="470"/>
      <c r="BV462" s="445">
        <f>SUMIF(DIC!$G$158:$J$158,BV$111,DIC!$R21:$U21)+SUMIF(DIC!$G$158:$J$158,BV$111,DIC!$W21:$Z21)</f>
        <v>0</v>
      </c>
      <c r="BW462" s="446">
        <f>SUMIF(DIC!$G$158:$J$158,BW$111,DIC!$R21:$U21)+SUMIF(DIC!$G$158:$J$158,BW$111,DIC!$W21:$Z21)</f>
        <v>0</v>
      </c>
      <c r="BX462" s="446">
        <f>SUMIF(DIC!$G$158:$J$158,BX$111,DIC!$R21:$U21)+SUMIF(DIC!$G$158:$J$158,BX$111,DIC!$W21:$Z21)</f>
        <v>0</v>
      </c>
      <c r="BY462" s="446">
        <f>SUMIF(DIC!$G$158:$J$158,BY$111,DIC!$R21:$U21)+SUMIF(DIC!$G$158:$J$158,BY$111,DIC!$W21:$Z21)</f>
        <v>0</v>
      </c>
      <c r="BZ462" s="446">
        <f>SUMIF(DIC!$G$158:$J$158,BZ$111,DIC!$R21:$U21)+SUMIF(DIC!$G$158:$J$158,BZ$111,DIC!$W21:$Z21)</f>
        <v>0</v>
      </c>
      <c r="CA462" s="446">
        <f>SUMIF(DIC!$G$158:$J$158,CA$111,DIC!$R21:$U21)+SUMIF(DIC!$G$158:$J$158,CA$111,DIC!$W21:$Z21)</f>
        <v>0</v>
      </c>
      <c r="CB462" s="448">
        <f>SUMIF(DIC!$G$158:$J$158,CB$111,DIC!$R21:$U21)+SUMIF(DIC!$G$158:$J$158,CB$111,DIC!$W21:$Z21)</f>
        <v>0</v>
      </c>
      <c r="CC462" s="571"/>
      <c r="CD462" s="448"/>
      <c r="CE462" s="92">
        <f t="shared" si="315"/>
        <v>0</v>
      </c>
      <c r="CF462" s="92">
        <f t="shared" si="316"/>
        <v>0</v>
      </c>
      <c r="CG462" s="151" t="str">
        <f t="shared" si="302"/>
        <v/>
      </c>
      <c r="CH462" s="92">
        <f t="shared" si="305"/>
        <v>0</v>
      </c>
      <c r="CI462" s="92" t="str">
        <f t="shared" si="317"/>
        <v/>
      </c>
      <c r="CJ462" s="1100">
        <f>DIC!AM21</f>
        <v>0</v>
      </c>
      <c r="CK462" s="445">
        <f>SUMIF(DIC!$G$155:$J$155,CK$112,DIC!$AN21:$AQ21)</f>
        <v>0</v>
      </c>
      <c r="CL462" s="446">
        <f>SUMIF(DIC!$G$155:$J$155,CL$112,DIC!$AN21:$AQ21)</f>
        <v>0</v>
      </c>
      <c r="CM462" s="447">
        <f>SUMIF(DIC!$G$155:$J$155,CM$112,DIC!$AN21:$AQ21)</f>
        <v>0</v>
      </c>
      <c r="CN462" s="448">
        <f>SUMIF(DIC!$G$155:$J$155,CN$112,DIC!$AN21:$AQ21)</f>
        <v>0</v>
      </c>
      <c r="CO462" s="1100">
        <f>DIC!AS21</f>
        <v>0</v>
      </c>
      <c r="CP462" s="445">
        <f>DIC!AT21</f>
        <v>0</v>
      </c>
      <c r="CQ462" s="446">
        <f>DIC!AU21</f>
        <v>0</v>
      </c>
      <c r="CR462" s="447">
        <f>DIC!AV21</f>
        <v>0</v>
      </c>
      <c r="CS462" s="448">
        <f>DIC!AW21</f>
        <v>0</v>
      </c>
      <c r="CT462" s="1100">
        <f>DIC!AY21</f>
        <v>0</v>
      </c>
      <c r="CU462" s="2"/>
    </row>
    <row r="463" spans="1:99" ht="14.25" hidden="1" customHeight="1" x14ac:dyDescent="0.2">
      <c r="A463" s="2"/>
      <c r="B463" s="151">
        <f t="shared" si="306"/>
        <v>45641</v>
      </c>
      <c r="C463" s="223">
        <f>IF(AND(E463&gt;(N$496-1),E463&lt;(R$496+1)),W$485,IF(ISERROR(HLOOKUP(E463,$N$489:$U$489,1,FALSE)),HLOOKUP(WEEKDAY(E463,2),IMPOSTAZIONI!$C$51:$P$56,6,FALSE),$W$484))</f>
        <v>0</v>
      </c>
      <c r="D463" s="103" t="str">
        <f t="shared" si="307"/>
        <v/>
      </c>
      <c r="E463" s="2380">
        <f t="shared" si="318"/>
        <v>45641</v>
      </c>
      <c r="F463" s="2381"/>
      <c r="G463" s="2325" t="str">
        <f>DIC!E22</f>
        <v xml:space="preserve">attiva trim.  </v>
      </c>
      <c r="H463" s="2326"/>
      <c r="I463" s="2327"/>
      <c r="J463" s="479" t="str">
        <f t="shared" si="303"/>
        <v/>
      </c>
      <c r="K463" s="480"/>
      <c r="L463" s="2321">
        <f t="shared" si="319"/>
        <v>50</v>
      </c>
      <c r="M463" s="2322"/>
      <c r="N463" s="478"/>
      <c r="O463" s="478"/>
      <c r="P463" s="478"/>
      <c r="Q463" s="2315">
        <f t="shared" si="308"/>
        <v>45641</v>
      </c>
      <c r="R463" s="2315"/>
      <c r="S463" s="478"/>
      <c r="T463" s="140">
        <f t="shared" si="309"/>
        <v>1</v>
      </c>
      <c r="U463" s="478"/>
      <c r="V463" s="478"/>
      <c r="W463" s="478"/>
      <c r="X463" s="478"/>
      <c r="Y463" s="478"/>
      <c r="Z463" s="478"/>
      <c r="AA463" s="478"/>
      <c r="AB463" s="478"/>
      <c r="AC463" s="478"/>
      <c r="AD463" s="478"/>
      <c r="AE463" s="478"/>
      <c r="AF463" s="478"/>
      <c r="AG463" s="140">
        <f t="shared" si="310"/>
        <v>0</v>
      </c>
      <c r="AH463" s="92" t="str">
        <f t="shared" si="311"/>
        <v/>
      </c>
      <c r="AI463" s="131">
        <f t="shared" si="312"/>
        <v>0</v>
      </c>
      <c r="AJ463" s="2"/>
      <c r="AK463" s="92">
        <f>IF(G463=G$481,0,IF(OR(G463&lt;&gt;0,CJ463&lt;&gt;0,C463="L"),COUNTIF(AK$114:AK462,"&gt;0")+1,0))</f>
        <v>0</v>
      </c>
      <c r="AL463" s="92" t="str">
        <f t="shared" si="313"/>
        <v/>
      </c>
      <c r="AM463" s="92" t="str">
        <f t="shared" si="314"/>
        <v/>
      </c>
      <c r="AN463" s="131">
        <f t="shared" si="304"/>
        <v>0</v>
      </c>
      <c r="AO463" s="447">
        <f>SUM(DIC!W22:Z22)</f>
        <v>0</v>
      </c>
      <c r="AP463" s="445">
        <f>SUMIF(DIC!$G$155:$J$155,AP$112,DIC!$R22:$U22)</f>
        <v>0</v>
      </c>
      <c r="AQ463" s="446">
        <f>SUMIF(DIC!$G$155:$J$155,AQ$112,DIC!$R22:$U22)</f>
        <v>0</v>
      </c>
      <c r="AR463" s="447">
        <f>SUMIF(DIC!$G$155:$J$155,AR$112,DIC!$R22:$U22)</f>
        <v>0</v>
      </c>
      <c r="AS463" s="448">
        <f>SUMIF(DIC!$G$155:$J$155,AS$112,DIC!$R22:$U22)</f>
        <v>0</v>
      </c>
      <c r="AT463" s="449">
        <f>DIC!AG22</f>
        <v>0</v>
      </c>
      <c r="AU463" s="445">
        <f>DIC!AH22</f>
        <v>0</v>
      </c>
      <c r="AV463" s="446">
        <f>DIC!AI22</f>
        <v>0</v>
      </c>
      <c r="AW463" s="447">
        <f>DIC!AJ22</f>
        <v>0</v>
      </c>
      <c r="AX463" s="448">
        <f>DIC!AK22</f>
        <v>0</v>
      </c>
      <c r="AY463" s="445">
        <f>SUMIF(DIC!$G$152:$J$152,"&gt;0",DIC!$W22:$Z22)</f>
        <v>0</v>
      </c>
      <c r="AZ463" s="1063">
        <f>SUM(DIC!AB22:AE22)</f>
        <v>0</v>
      </c>
      <c r="BA463" s="445">
        <f>SUMIF(DIC!$G$159:$J$159,BA$111,DIC!$R22:$U22)+SUMIF(DIC!$G$159:$J$159,BA$111,DIC!$W22:$Z22)</f>
        <v>0</v>
      </c>
      <c r="BB463" s="446">
        <f>SUMIF(DIC!$G$159:$J$159,BB$111,DIC!$R22:$U22)+SUMIF(DIC!$G$159:$J$159,BB$111,DIC!$W22:$Z22)</f>
        <v>0</v>
      </c>
      <c r="BC463" s="446">
        <f>SUMIF(DIC!$G$159:$J$159,BC$111,DIC!$R22:$U22)+SUMIF(DIC!$G$159:$J$159,BC$111,DIC!$W22:$Z22)</f>
        <v>0</v>
      </c>
      <c r="BD463" s="446">
        <f>SUMIF(DIC!$G$159:$J$159,BD$111,DIC!$R22:$U22)+SUMIF(DIC!$G$159:$J$159,BD$111,DIC!$W22:$Z22)</f>
        <v>0</v>
      </c>
      <c r="BE463" s="446">
        <f>SUMIF(DIC!$G$159:$J$159,BE$111,DIC!$R22:$U22)+SUMIF(DIC!$G$159:$J$159,BE$111,DIC!$W22:$Z22)</f>
        <v>0</v>
      </c>
      <c r="BF463" s="446">
        <f>SUMIF(DIC!$G$159:$J$159,BF$111,DIC!$R22:$U22)+SUMIF(DIC!$G$159:$J$159,BF$111,DIC!$W22:$Z22)</f>
        <v>0</v>
      </c>
      <c r="BG463" s="448">
        <f>SUMIF(DIC!$G$159:$J$159,BG$111,DIC!$R22:$U22)+SUMIF(DIC!$G$159:$J$159,BG$111,DIC!$W22:$Z22)</f>
        <v>0</v>
      </c>
      <c r="BH463" s="571"/>
      <c r="BI463" s="448"/>
      <c r="BJ463" s="470"/>
      <c r="BK463" s="445">
        <f>SUMIF(DIC!$G$157:$J$157,BK$111,DIC!$R22:$U22)+SUMIF(DIC!$G$157:$J$157,BK$111,DIC!$W22:$Z22)</f>
        <v>0</v>
      </c>
      <c r="BL463" s="446">
        <f>SUMIF(DIC!$G$157:$J$157,BL$111,DIC!$R22:$U22)+SUMIF(DIC!$G$157:$J$157,BL$111,DIC!$W22:$Z22)</f>
        <v>0</v>
      </c>
      <c r="BM463" s="446">
        <f>SUMIF(DIC!$G$157:$J$157,BM$111,DIC!$R22:$U22)+SUMIF(DIC!$G$157:$J$157,BM$111,DIC!$W22:$Z22)</f>
        <v>0</v>
      </c>
      <c r="BN463" s="446">
        <f>SUMIF(DIC!$G$157:$J$157,BN$111,DIC!$R22:$U22)+SUMIF(DIC!$G$157:$J$157,BN$111,DIC!$W22:$Z22)</f>
        <v>0</v>
      </c>
      <c r="BO463" s="446">
        <f>SUMIF(DIC!$G$157:$J$157,BO$111,DIC!$R22:$U22)+SUMIF(DIC!$G$157:$J$157,BO$111,DIC!$W22:$Z22)</f>
        <v>0</v>
      </c>
      <c r="BP463" s="446">
        <f>SUMIF(DIC!$G$157:$J$157,BP$111,DIC!$R22:$U22)+SUMIF(DIC!$G$157:$J$157,BP$111,DIC!$W22:$Z22)</f>
        <v>0</v>
      </c>
      <c r="BQ463" s="448">
        <f>SUMIF(DIC!$G$157:$J$157,BQ$111,DIC!$R22:$U22)+SUMIF(DIC!$G$157:$J$157,BQ$111,DIC!$W22:$Z22)</f>
        <v>0</v>
      </c>
      <c r="BR463" s="571"/>
      <c r="BS463" s="446"/>
      <c r="BT463" s="448"/>
      <c r="BU463" s="470"/>
      <c r="BV463" s="445">
        <f>SUMIF(DIC!$G$158:$J$158,BV$111,DIC!$R22:$U22)+SUMIF(DIC!$G$158:$J$158,BV$111,DIC!$W22:$Z22)</f>
        <v>0</v>
      </c>
      <c r="BW463" s="446">
        <f>SUMIF(DIC!$G$158:$J$158,BW$111,DIC!$R22:$U22)+SUMIF(DIC!$G$158:$J$158,BW$111,DIC!$W22:$Z22)</f>
        <v>0</v>
      </c>
      <c r="BX463" s="446">
        <f>SUMIF(DIC!$G$158:$J$158,BX$111,DIC!$R22:$U22)+SUMIF(DIC!$G$158:$J$158,BX$111,DIC!$W22:$Z22)</f>
        <v>0</v>
      </c>
      <c r="BY463" s="446">
        <f>SUMIF(DIC!$G$158:$J$158,BY$111,DIC!$R22:$U22)+SUMIF(DIC!$G$158:$J$158,BY$111,DIC!$W22:$Z22)</f>
        <v>0</v>
      </c>
      <c r="BZ463" s="446">
        <f>SUMIF(DIC!$G$158:$J$158,BZ$111,DIC!$R22:$U22)+SUMIF(DIC!$G$158:$J$158,BZ$111,DIC!$W22:$Z22)</f>
        <v>0</v>
      </c>
      <c r="CA463" s="446">
        <f>SUMIF(DIC!$G$158:$J$158,CA$111,DIC!$R22:$U22)+SUMIF(DIC!$G$158:$J$158,CA$111,DIC!$W22:$Z22)</f>
        <v>0</v>
      </c>
      <c r="CB463" s="448">
        <f>SUMIF(DIC!$G$158:$J$158,CB$111,DIC!$R22:$U22)+SUMIF(DIC!$G$158:$J$158,CB$111,DIC!$W22:$Z22)</f>
        <v>0</v>
      </c>
      <c r="CC463" s="571"/>
      <c r="CD463" s="448"/>
      <c r="CE463" s="92">
        <f t="shared" si="315"/>
        <v>0</v>
      </c>
      <c r="CF463" s="92">
        <f t="shared" si="316"/>
        <v>0</v>
      </c>
      <c r="CG463" s="151" t="str">
        <f t="shared" si="302"/>
        <v/>
      </c>
      <c r="CH463" s="92">
        <f t="shared" si="305"/>
        <v>0</v>
      </c>
      <c r="CI463" s="92" t="str">
        <f t="shared" si="317"/>
        <v/>
      </c>
      <c r="CJ463" s="1100">
        <f>DIC!AM22</f>
        <v>0</v>
      </c>
      <c r="CK463" s="445">
        <f>SUMIF(DIC!$G$155:$J$155,CK$112,DIC!$AN22:$AQ22)</f>
        <v>0</v>
      </c>
      <c r="CL463" s="446">
        <f>SUMIF(DIC!$G$155:$J$155,CL$112,DIC!$AN22:$AQ22)</f>
        <v>0</v>
      </c>
      <c r="CM463" s="447">
        <f>SUMIF(DIC!$G$155:$J$155,CM$112,DIC!$AN22:$AQ22)</f>
        <v>0</v>
      </c>
      <c r="CN463" s="448">
        <f>SUMIF(DIC!$G$155:$J$155,CN$112,DIC!$AN22:$AQ22)</f>
        <v>0</v>
      </c>
      <c r="CO463" s="1100">
        <f>DIC!AS22</f>
        <v>0</v>
      </c>
      <c r="CP463" s="445">
        <f>DIC!AT22</f>
        <v>0</v>
      </c>
      <c r="CQ463" s="446">
        <f>DIC!AU22</f>
        <v>0</v>
      </c>
      <c r="CR463" s="447">
        <f>DIC!AV22</f>
        <v>0</v>
      </c>
      <c r="CS463" s="448">
        <f>DIC!AW22</f>
        <v>0</v>
      </c>
      <c r="CT463" s="1100">
        <f>DIC!AY22</f>
        <v>0</v>
      </c>
      <c r="CU463" s="2"/>
    </row>
    <row r="464" spans="1:99" ht="14.25" hidden="1" customHeight="1" x14ac:dyDescent="0.2">
      <c r="A464" s="2"/>
      <c r="B464" s="151">
        <f t="shared" si="306"/>
        <v>45642</v>
      </c>
      <c r="C464" s="223">
        <f>IF(AND(E464&gt;(N$496-1),E464&lt;(R$496+1)),W$485,IF(ISERROR(HLOOKUP(E464,$N$489:$U$489,1,FALSE)),HLOOKUP(WEEKDAY(E464,2),IMPOSTAZIONI!$C$51:$P$56,6,FALSE),$W$484))</f>
        <v>0</v>
      </c>
      <c r="D464" s="103" t="str">
        <f t="shared" si="307"/>
        <v/>
      </c>
      <c r="E464" s="2380">
        <f t="shared" si="318"/>
        <v>45642</v>
      </c>
      <c r="F464" s="2381"/>
      <c r="G464" s="2325" t="str">
        <f>DIC!E23</f>
        <v xml:space="preserve">attiva trim.  </v>
      </c>
      <c r="H464" s="2326"/>
      <c r="I464" s="2327"/>
      <c r="J464" s="479" t="str">
        <f t="shared" si="303"/>
        <v/>
      </c>
      <c r="K464" s="480"/>
      <c r="L464" s="2323">
        <f t="shared" si="319"/>
        <v>51</v>
      </c>
      <c r="M464" s="2324"/>
      <c r="N464" s="478"/>
      <c r="O464" s="478"/>
      <c r="P464" s="478"/>
      <c r="Q464" s="2315">
        <f t="shared" si="308"/>
        <v>45642</v>
      </c>
      <c r="R464" s="2315"/>
      <c r="S464" s="478"/>
      <c r="T464" s="140">
        <f t="shared" si="309"/>
        <v>1</v>
      </c>
      <c r="U464" s="478"/>
      <c r="V464" s="478"/>
      <c r="W464" s="478"/>
      <c r="X464" s="478"/>
      <c r="Y464" s="478"/>
      <c r="Z464" s="478"/>
      <c r="AA464" s="478"/>
      <c r="AB464" s="478"/>
      <c r="AC464" s="478"/>
      <c r="AD464" s="478"/>
      <c r="AE464" s="478"/>
      <c r="AF464" s="478"/>
      <c r="AG464" s="140">
        <f t="shared" si="310"/>
        <v>0</v>
      </c>
      <c r="AH464" s="92" t="str">
        <f t="shared" si="311"/>
        <v/>
      </c>
      <c r="AI464" s="131">
        <f t="shared" si="312"/>
        <v>0</v>
      </c>
      <c r="AJ464" s="2"/>
      <c r="AK464" s="92">
        <f>IF(G464=G$481,0,IF(OR(G464&lt;&gt;0,CJ464&lt;&gt;0,C464="L"),COUNTIF(AK$114:AK463,"&gt;0")+1,0))</f>
        <v>0</v>
      </c>
      <c r="AL464" s="92" t="str">
        <f t="shared" si="313"/>
        <v/>
      </c>
      <c r="AM464" s="92" t="str">
        <f t="shared" si="314"/>
        <v/>
      </c>
      <c r="AN464" s="131">
        <f t="shared" si="304"/>
        <v>0</v>
      </c>
      <c r="AO464" s="447">
        <f>SUM(DIC!W23:Z23)</f>
        <v>0</v>
      </c>
      <c r="AP464" s="445">
        <f>SUMIF(DIC!$G$155:$J$155,AP$112,DIC!$R23:$U23)</f>
        <v>0</v>
      </c>
      <c r="AQ464" s="446">
        <f>SUMIF(DIC!$G$155:$J$155,AQ$112,DIC!$R23:$U23)</f>
        <v>0</v>
      </c>
      <c r="AR464" s="447">
        <f>SUMIF(DIC!$G$155:$J$155,AR$112,DIC!$R23:$U23)</f>
        <v>0</v>
      </c>
      <c r="AS464" s="448">
        <f>SUMIF(DIC!$G$155:$J$155,AS$112,DIC!$R23:$U23)</f>
        <v>0</v>
      </c>
      <c r="AT464" s="449">
        <f>DIC!AG23</f>
        <v>0</v>
      </c>
      <c r="AU464" s="445">
        <f>DIC!AH23</f>
        <v>0</v>
      </c>
      <c r="AV464" s="446">
        <f>DIC!AI23</f>
        <v>0</v>
      </c>
      <c r="AW464" s="447">
        <f>DIC!AJ23</f>
        <v>0</v>
      </c>
      <c r="AX464" s="448">
        <f>DIC!AK23</f>
        <v>0</v>
      </c>
      <c r="AY464" s="445">
        <f>SUMIF(DIC!$G$152:$J$152,"&gt;0",DIC!$W23:$Z23)</f>
        <v>0</v>
      </c>
      <c r="AZ464" s="1063">
        <f>SUM(DIC!AB23:AE23)</f>
        <v>0</v>
      </c>
      <c r="BA464" s="445">
        <f>SUMIF(DIC!$G$159:$J$159,BA$111,DIC!$R23:$U23)+SUMIF(DIC!$G$159:$J$159,BA$111,DIC!$W23:$Z23)</f>
        <v>0</v>
      </c>
      <c r="BB464" s="446">
        <f>SUMIF(DIC!$G$159:$J$159,BB$111,DIC!$R23:$U23)+SUMIF(DIC!$G$159:$J$159,BB$111,DIC!$W23:$Z23)</f>
        <v>0</v>
      </c>
      <c r="BC464" s="446">
        <f>SUMIF(DIC!$G$159:$J$159,BC$111,DIC!$R23:$U23)+SUMIF(DIC!$G$159:$J$159,BC$111,DIC!$W23:$Z23)</f>
        <v>0</v>
      </c>
      <c r="BD464" s="446">
        <f>SUMIF(DIC!$G$159:$J$159,BD$111,DIC!$R23:$U23)+SUMIF(DIC!$G$159:$J$159,BD$111,DIC!$W23:$Z23)</f>
        <v>0</v>
      </c>
      <c r="BE464" s="446">
        <f>SUMIF(DIC!$G$159:$J$159,BE$111,DIC!$R23:$U23)+SUMIF(DIC!$G$159:$J$159,BE$111,DIC!$W23:$Z23)</f>
        <v>0</v>
      </c>
      <c r="BF464" s="446">
        <f>SUMIF(DIC!$G$159:$J$159,BF$111,DIC!$R23:$U23)+SUMIF(DIC!$G$159:$J$159,BF$111,DIC!$W23:$Z23)</f>
        <v>0</v>
      </c>
      <c r="BG464" s="448">
        <f>SUMIF(DIC!$G$159:$J$159,BG$111,DIC!$R23:$U23)+SUMIF(DIC!$G$159:$J$159,BG$111,DIC!$W23:$Z23)</f>
        <v>0</v>
      </c>
      <c r="BH464" s="571"/>
      <c r="BI464" s="448"/>
      <c r="BJ464" s="470"/>
      <c r="BK464" s="445">
        <f>SUMIF(DIC!$G$157:$J$157,BK$111,DIC!$R23:$U23)+SUMIF(DIC!$G$157:$J$157,BK$111,DIC!$W23:$Z23)</f>
        <v>0</v>
      </c>
      <c r="BL464" s="446">
        <f>SUMIF(DIC!$G$157:$J$157,BL$111,DIC!$R23:$U23)+SUMIF(DIC!$G$157:$J$157,BL$111,DIC!$W23:$Z23)</f>
        <v>0</v>
      </c>
      <c r="BM464" s="446">
        <f>SUMIF(DIC!$G$157:$J$157,BM$111,DIC!$R23:$U23)+SUMIF(DIC!$G$157:$J$157,BM$111,DIC!$W23:$Z23)</f>
        <v>0</v>
      </c>
      <c r="BN464" s="446">
        <f>SUMIF(DIC!$G$157:$J$157,BN$111,DIC!$R23:$U23)+SUMIF(DIC!$G$157:$J$157,BN$111,DIC!$W23:$Z23)</f>
        <v>0</v>
      </c>
      <c r="BO464" s="446">
        <f>SUMIF(DIC!$G$157:$J$157,BO$111,DIC!$R23:$U23)+SUMIF(DIC!$G$157:$J$157,BO$111,DIC!$W23:$Z23)</f>
        <v>0</v>
      </c>
      <c r="BP464" s="446">
        <f>SUMIF(DIC!$G$157:$J$157,BP$111,DIC!$R23:$U23)+SUMIF(DIC!$G$157:$J$157,BP$111,DIC!$W23:$Z23)</f>
        <v>0</v>
      </c>
      <c r="BQ464" s="448">
        <f>SUMIF(DIC!$G$157:$J$157,BQ$111,DIC!$R23:$U23)+SUMIF(DIC!$G$157:$J$157,BQ$111,DIC!$W23:$Z23)</f>
        <v>0</v>
      </c>
      <c r="BR464" s="571"/>
      <c r="BS464" s="446"/>
      <c r="BT464" s="448"/>
      <c r="BU464" s="470"/>
      <c r="BV464" s="445">
        <f>SUMIF(DIC!$G$158:$J$158,BV$111,DIC!$R23:$U23)+SUMIF(DIC!$G$158:$J$158,BV$111,DIC!$W23:$Z23)</f>
        <v>0</v>
      </c>
      <c r="BW464" s="446">
        <f>SUMIF(DIC!$G$158:$J$158,BW$111,DIC!$R23:$U23)+SUMIF(DIC!$G$158:$J$158,BW$111,DIC!$W23:$Z23)</f>
        <v>0</v>
      </c>
      <c r="BX464" s="446">
        <f>SUMIF(DIC!$G$158:$J$158,BX$111,DIC!$R23:$U23)+SUMIF(DIC!$G$158:$J$158,BX$111,DIC!$W23:$Z23)</f>
        <v>0</v>
      </c>
      <c r="BY464" s="446">
        <f>SUMIF(DIC!$G$158:$J$158,BY$111,DIC!$R23:$U23)+SUMIF(DIC!$G$158:$J$158,BY$111,DIC!$W23:$Z23)</f>
        <v>0</v>
      </c>
      <c r="BZ464" s="446">
        <f>SUMIF(DIC!$G$158:$J$158,BZ$111,DIC!$R23:$U23)+SUMIF(DIC!$G$158:$J$158,BZ$111,DIC!$W23:$Z23)</f>
        <v>0</v>
      </c>
      <c r="CA464" s="446">
        <f>SUMIF(DIC!$G$158:$J$158,CA$111,DIC!$R23:$U23)+SUMIF(DIC!$G$158:$J$158,CA$111,DIC!$W23:$Z23)</f>
        <v>0</v>
      </c>
      <c r="CB464" s="448">
        <f>SUMIF(DIC!$G$158:$J$158,CB$111,DIC!$R23:$U23)+SUMIF(DIC!$G$158:$J$158,CB$111,DIC!$W23:$Z23)</f>
        <v>0</v>
      </c>
      <c r="CC464" s="571"/>
      <c r="CD464" s="448"/>
      <c r="CE464" s="92">
        <f t="shared" si="315"/>
        <v>0</v>
      </c>
      <c r="CF464" s="92">
        <f t="shared" si="316"/>
        <v>0</v>
      </c>
      <c r="CG464" s="151" t="str">
        <f t="shared" si="302"/>
        <v/>
      </c>
      <c r="CH464" s="92">
        <f t="shared" si="305"/>
        <v>0</v>
      </c>
      <c r="CI464" s="92" t="str">
        <f t="shared" si="317"/>
        <v/>
      </c>
      <c r="CJ464" s="1100">
        <f>DIC!AM23</f>
        <v>0</v>
      </c>
      <c r="CK464" s="445">
        <f>SUMIF(DIC!$G$155:$J$155,CK$112,DIC!$AN23:$AQ23)</f>
        <v>0</v>
      </c>
      <c r="CL464" s="446">
        <f>SUMIF(DIC!$G$155:$J$155,CL$112,DIC!$AN23:$AQ23)</f>
        <v>0</v>
      </c>
      <c r="CM464" s="447">
        <f>SUMIF(DIC!$G$155:$J$155,CM$112,DIC!$AN23:$AQ23)</f>
        <v>0</v>
      </c>
      <c r="CN464" s="448">
        <f>SUMIF(DIC!$G$155:$J$155,CN$112,DIC!$AN23:$AQ23)</f>
        <v>0</v>
      </c>
      <c r="CO464" s="1100">
        <f>DIC!AS23</f>
        <v>0</v>
      </c>
      <c r="CP464" s="445">
        <f>DIC!AT23</f>
        <v>0</v>
      </c>
      <c r="CQ464" s="446">
        <f>DIC!AU23</f>
        <v>0</v>
      </c>
      <c r="CR464" s="447">
        <f>DIC!AV23</f>
        <v>0</v>
      </c>
      <c r="CS464" s="448">
        <f>DIC!AW23</f>
        <v>0</v>
      </c>
      <c r="CT464" s="1100">
        <f>DIC!AY23</f>
        <v>0</v>
      </c>
      <c r="CU464" s="2"/>
    </row>
    <row r="465" spans="1:99" ht="14.25" hidden="1" customHeight="1" x14ac:dyDescent="0.2">
      <c r="A465" s="2"/>
      <c r="B465" s="151">
        <f t="shared" si="306"/>
        <v>45643</v>
      </c>
      <c r="C465" s="223">
        <f>IF(AND(E465&gt;(N$496-1),E465&lt;(R$496+1)),W$485,IF(ISERROR(HLOOKUP(E465,$N$489:$U$489,1,FALSE)),HLOOKUP(WEEKDAY(E465,2),IMPOSTAZIONI!$C$51:$P$56,6,FALSE),$W$484))</f>
        <v>0</v>
      </c>
      <c r="D465" s="103" t="str">
        <f t="shared" si="307"/>
        <v/>
      </c>
      <c r="E465" s="2380">
        <f t="shared" si="318"/>
        <v>45643</v>
      </c>
      <c r="F465" s="2381"/>
      <c r="G465" s="2325" t="str">
        <f>DIC!E24</f>
        <v xml:space="preserve">attiva trim.  </v>
      </c>
      <c r="H465" s="2326"/>
      <c r="I465" s="2327"/>
      <c r="J465" s="479" t="str">
        <f t="shared" si="303"/>
        <v/>
      </c>
      <c r="K465" s="480"/>
      <c r="L465" s="2319">
        <f t="shared" si="319"/>
        <v>51</v>
      </c>
      <c r="M465" s="2320"/>
      <c r="N465" s="478"/>
      <c r="O465" s="478"/>
      <c r="P465" s="478"/>
      <c r="Q465" s="2315">
        <f t="shared" si="308"/>
        <v>45643</v>
      </c>
      <c r="R465" s="2315"/>
      <c r="S465" s="478"/>
      <c r="T465" s="140">
        <f t="shared" si="309"/>
        <v>1</v>
      </c>
      <c r="U465" s="478"/>
      <c r="V465" s="478"/>
      <c r="W465" s="478"/>
      <c r="X465" s="478"/>
      <c r="Y465" s="478"/>
      <c r="Z465" s="478"/>
      <c r="AA465" s="478"/>
      <c r="AB465" s="478"/>
      <c r="AC465" s="478"/>
      <c r="AD465" s="478"/>
      <c r="AE465" s="478"/>
      <c r="AF465" s="478"/>
      <c r="AG465" s="140">
        <f t="shared" si="310"/>
        <v>0</v>
      </c>
      <c r="AH465" s="92" t="str">
        <f t="shared" si="311"/>
        <v/>
      </c>
      <c r="AI465" s="131">
        <f t="shared" si="312"/>
        <v>0</v>
      </c>
      <c r="AJ465" s="2"/>
      <c r="AK465" s="92">
        <f>IF(G465=G$481,0,IF(OR(G465&lt;&gt;0,CJ465&lt;&gt;0,C465="L"),COUNTIF(AK$114:AK464,"&gt;0")+1,0))</f>
        <v>0</v>
      </c>
      <c r="AL465" s="92" t="str">
        <f t="shared" si="313"/>
        <v/>
      </c>
      <c r="AM465" s="92" t="str">
        <f t="shared" si="314"/>
        <v/>
      </c>
      <c r="AN465" s="131">
        <f t="shared" si="304"/>
        <v>0</v>
      </c>
      <c r="AO465" s="447">
        <f>SUM(DIC!W24:Z24)</f>
        <v>0</v>
      </c>
      <c r="AP465" s="445">
        <f>SUMIF(DIC!$G$155:$J$155,AP$112,DIC!$R24:$U24)</f>
        <v>0</v>
      </c>
      <c r="AQ465" s="446">
        <f>SUMIF(DIC!$G$155:$J$155,AQ$112,DIC!$R24:$U24)</f>
        <v>0</v>
      </c>
      <c r="AR465" s="447">
        <f>SUMIF(DIC!$G$155:$J$155,AR$112,DIC!$R24:$U24)</f>
        <v>0</v>
      </c>
      <c r="AS465" s="448">
        <f>SUMIF(DIC!$G$155:$J$155,AS$112,DIC!$R24:$U24)</f>
        <v>0</v>
      </c>
      <c r="AT465" s="449">
        <f>DIC!AG24</f>
        <v>0</v>
      </c>
      <c r="AU465" s="445">
        <f>DIC!AH24</f>
        <v>0</v>
      </c>
      <c r="AV465" s="446">
        <f>DIC!AI24</f>
        <v>0</v>
      </c>
      <c r="AW465" s="447">
        <f>DIC!AJ24</f>
        <v>0</v>
      </c>
      <c r="AX465" s="448">
        <f>DIC!AK24</f>
        <v>0</v>
      </c>
      <c r="AY465" s="445">
        <f>SUMIF(DIC!$G$152:$J$152,"&gt;0",DIC!$W24:$Z24)</f>
        <v>0</v>
      </c>
      <c r="AZ465" s="1063">
        <f>SUM(DIC!AB24:AE24)</f>
        <v>0</v>
      </c>
      <c r="BA465" s="445">
        <f>SUMIF(DIC!$G$159:$J$159,BA$111,DIC!$R24:$U24)+SUMIF(DIC!$G$159:$J$159,BA$111,DIC!$W24:$Z24)</f>
        <v>0</v>
      </c>
      <c r="BB465" s="446">
        <f>SUMIF(DIC!$G$159:$J$159,BB$111,DIC!$R24:$U24)+SUMIF(DIC!$G$159:$J$159,BB$111,DIC!$W24:$Z24)</f>
        <v>0</v>
      </c>
      <c r="BC465" s="446">
        <f>SUMIF(DIC!$G$159:$J$159,BC$111,DIC!$R24:$U24)+SUMIF(DIC!$G$159:$J$159,BC$111,DIC!$W24:$Z24)</f>
        <v>0</v>
      </c>
      <c r="BD465" s="446">
        <f>SUMIF(DIC!$G$159:$J$159,BD$111,DIC!$R24:$U24)+SUMIF(DIC!$G$159:$J$159,BD$111,DIC!$W24:$Z24)</f>
        <v>0</v>
      </c>
      <c r="BE465" s="446">
        <f>SUMIF(DIC!$G$159:$J$159,BE$111,DIC!$R24:$U24)+SUMIF(DIC!$G$159:$J$159,BE$111,DIC!$W24:$Z24)</f>
        <v>0</v>
      </c>
      <c r="BF465" s="446">
        <f>SUMIF(DIC!$G$159:$J$159,BF$111,DIC!$R24:$U24)+SUMIF(DIC!$G$159:$J$159,BF$111,DIC!$W24:$Z24)</f>
        <v>0</v>
      </c>
      <c r="BG465" s="448">
        <f>SUMIF(DIC!$G$159:$J$159,BG$111,DIC!$R24:$U24)+SUMIF(DIC!$G$159:$J$159,BG$111,DIC!$W24:$Z24)</f>
        <v>0</v>
      </c>
      <c r="BH465" s="571"/>
      <c r="BI465" s="448"/>
      <c r="BJ465" s="470"/>
      <c r="BK465" s="445">
        <f>SUMIF(DIC!$G$157:$J$157,BK$111,DIC!$R24:$U24)+SUMIF(DIC!$G$157:$J$157,BK$111,DIC!$W24:$Z24)</f>
        <v>0</v>
      </c>
      <c r="BL465" s="446">
        <f>SUMIF(DIC!$G$157:$J$157,BL$111,DIC!$R24:$U24)+SUMIF(DIC!$G$157:$J$157,BL$111,DIC!$W24:$Z24)</f>
        <v>0</v>
      </c>
      <c r="BM465" s="446">
        <f>SUMIF(DIC!$G$157:$J$157,BM$111,DIC!$R24:$U24)+SUMIF(DIC!$G$157:$J$157,BM$111,DIC!$W24:$Z24)</f>
        <v>0</v>
      </c>
      <c r="BN465" s="446">
        <f>SUMIF(DIC!$G$157:$J$157,BN$111,DIC!$R24:$U24)+SUMIF(DIC!$G$157:$J$157,BN$111,DIC!$W24:$Z24)</f>
        <v>0</v>
      </c>
      <c r="BO465" s="446">
        <f>SUMIF(DIC!$G$157:$J$157,BO$111,DIC!$R24:$U24)+SUMIF(DIC!$G$157:$J$157,BO$111,DIC!$W24:$Z24)</f>
        <v>0</v>
      </c>
      <c r="BP465" s="446">
        <f>SUMIF(DIC!$G$157:$J$157,BP$111,DIC!$R24:$U24)+SUMIF(DIC!$G$157:$J$157,BP$111,DIC!$W24:$Z24)</f>
        <v>0</v>
      </c>
      <c r="BQ465" s="448">
        <f>SUMIF(DIC!$G$157:$J$157,BQ$111,DIC!$R24:$U24)+SUMIF(DIC!$G$157:$J$157,BQ$111,DIC!$W24:$Z24)</f>
        <v>0</v>
      </c>
      <c r="BR465" s="571"/>
      <c r="BS465" s="446"/>
      <c r="BT465" s="448"/>
      <c r="BU465" s="470"/>
      <c r="BV465" s="445">
        <f>SUMIF(DIC!$G$158:$J$158,BV$111,DIC!$R24:$U24)+SUMIF(DIC!$G$158:$J$158,BV$111,DIC!$W24:$Z24)</f>
        <v>0</v>
      </c>
      <c r="BW465" s="446">
        <f>SUMIF(DIC!$G$158:$J$158,BW$111,DIC!$R24:$U24)+SUMIF(DIC!$G$158:$J$158,BW$111,DIC!$W24:$Z24)</f>
        <v>0</v>
      </c>
      <c r="BX465" s="446">
        <f>SUMIF(DIC!$G$158:$J$158,BX$111,DIC!$R24:$U24)+SUMIF(DIC!$G$158:$J$158,BX$111,DIC!$W24:$Z24)</f>
        <v>0</v>
      </c>
      <c r="BY465" s="446">
        <f>SUMIF(DIC!$G$158:$J$158,BY$111,DIC!$R24:$U24)+SUMIF(DIC!$G$158:$J$158,BY$111,DIC!$W24:$Z24)</f>
        <v>0</v>
      </c>
      <c r="BZ465" s="446">
        <f>SUMIF(DIC!$G$158:$J$158,BZ$111,DIC!$R24:$U24)+SUMIF(DIC!$G$158:$J$158,BZ$111,DIC!$W24:$Z24)</f>
        <v>0</v>
      </c>
      <c r="CA465" s="446">
        <f>SUMIF(DIC!$G$158:$J$158,CA$111,DIC!$R24:$U24)+SUMIF(DIC!$G$158:$J$158,CA$111,DIC!$W24:$Z24)</f>
        <v>0</v>
      </c>
      <c r="CB465" s="448">
        <f>SUMIF(DIC!$G$158:$J$158,CB$111,DIC!$R24:$U24)+SUMIF(DIC!$G$158:$J$158,CB$111,DIC!$W24:$Z24)</f>
        <v>0</v>
      </c>
      <c r="CC465" s="571"/>
      <c r="CD465" s="448"/>
      <c r="CE465" s="92">
        <f t="shared" si="315"/>
        <v>0</v>
      </c>
      <c r="CF465" s="92">
        <f t="shared" si="316"/>
        <v>0</v>
      </c>
      <c r="CG465" s="151" t="str">
        <f t="shared" si="302"/>
        <v/>
      </c>
      <c r="CH465" s="92">
        <f t="shared" si="305"/>
        <v>0</v>
      </c>
      <c r="CI465" s="92" t="str">
        <f t="shared" si="317"/>
        <v/>
      </c>
      <c r="CJ465" s="1100">
        <f>DIC!AM24</f>
        <v>0</v>
      </c>
      <c r="CK465" s="445">
        <f>SUMIF(DIC!$G$155:$J$155,CK$112,DIC!$AN24:$AQ24)</f>
        <v>0</v>
      </c>
      <c r="CL465" s="446">
        <f>SUMIF(DIC!$G$155:$J$155,CL$112,DIC!$AN24:$AQ24)</f>
        <v>0</v>
      </c>
      <c r="CM465" s="447">
        <f>SUMIF(DIC!$G$155:$J$155,CM$112,DIC!$AN24:$AQ24)</f>
        <v>0</v>
      </c>
      <c r="CN465" s="448">
        <f>SUMIF(DIC!$G$155:$J$155,CN$112,DIC!$AN24:$AQ24)</f>
        <v>0</v>
      </c>
      <c r="CO465" s="1100">
        <f>DIC!AS24</f>
        <v>0</v>
      </c>
      <c r="CP465" s="445">
        <f>DIC!AT24</f>
        <v>0</v>
      </c>
      <c r="CQ465" s="446">
        <f>DIC!AU24</f>
        <v>0</v>
      </c>
      <c r="CR465" s="447">
        <f>DIC!AV24</f>
        <v>0</v>
      </c>
      <c r="CS465" s="448">
        <f>DIC!AW24</f>
        <v>0</v>
      </c>
      <c r="CT465" s="1100">
        <f>DIC!AY24</f>
        <v>0</v>
      </c>
      <c r="CU465" s="2"/>
    </row>
    <row r="466" spans="1:99" ht="14.25" hidden="1" customHeight="1" x14ac:dyDescent="0.2">
      <c r="A466" s="2"/>
      <c r="B466" s="151">
        <f t="shared" si="306"/>
        <v>45644</v>
      </c>
      <c r="C466" s="223">
        <f>IF(AND(E466&gt;(N$496-1),E466&lt;(R$496+1)),W$485,IF(ISERROR(HLOOKUP(E466,$N$489:$U$489,1,FALSE)),HLOOKUP(WEEKDAY(E466,2),IMPOSTAZIONI!$C$51:$P$56,6,FALSE),$W$484))</f>
        <v>0</v>
      </c>
      <c r="D466" s="103" t="str">
        <f t="shared" si="307"/>
        <v/>
      </c>
      <c r="E466" s="2380">
        <f t="shared" si="318"/>
        <v>45644</v>
      </c>
      <c r="F466" s="2381"/>
      <c r="G466" s="2325" t="str">
        <f>DIC!E25</f>
        <v xml:space="preserve">attiva trim.  </v>
      </c>
      <c r="H466" s="2326"/>
      <c r="I466" s="2327"/>
      <c r="J466" s="479" t="str">
        <f t="shared" si="303"/>
        <v/>
      </c>
      <c r="K466" s="480"/>
      <c r="L466" s="2319">
        <f t="shared" si="319"/>
        <v>51</v>
      </c>
      <c r="M466" s="2320"/>
      <c r="N466" s="478"/>
      <c r="O466" s="478"/>
      <c r="P466" s="478"/>
      <c r="Q466" s="2315">
        <f t="shared" si="308"/>
        <v>45644</v>
      </c>
      <c r="R466" s="2315"/>
      <c r="S466" s="478"/>
      <c r="T466" s="140">
        <f t="shared" si="309"/>
        <v>1</v>
      </c>
      <c r="U466" s="478"/>
      <c r="V466" s="478"/>
      <c r="W466" s="478"/>
      <c r="X466" s="478"/>
      <c r="Y466" s="478"/>
      <c r="Z466" s="478"/>
      <c r="AA466" s="478"/>
      <c r="AB466" s="478"/>
      <c r="AC466" s="478"/>
      <c r="AD466" s="478"/>
      <c r="AE466" s="478"/>
      <c r="AF466" s="478"/>
      <c r="AG466" s="140">
        <f t="shared" si="310"/>
        <v>0</v>
      </c>
      <c r="AH466" s="92" t="str">
        <f t="shared" si="311"/>
        <v/>
      </c>
      <c r="AI466" s="131">
        <f t="shared" si="312"/>
        <v>0</v>
      </c>
      <c r="AJ466" s="2"/>
      <c r="AK466" s="92">
        <f>IF(G466=G$481,0,IF(OR(G466&lt;&gt;0,CJ466&lt;&gt;0,C466="L"),COUNTIF(AK$114:AK465,"&gt;0")+1,0))</f>
        <v>0</v>
      </c>
      <c r="AL466" s="92" t="str">
        <f t="shared" si="313"/>
        <v/>
      </c>
      <c r="AM466" s="92" t="str">
        <f t="shared" si="314"/>
        <v/>
      </c>
      <c r="AN466" s="131">
        <f t="shared" si="304"/>
        <v>0</v>
      </c>
      <c r="AO466" s="447">
        <f>SUM(DIC!W25:Z25)</f>
        <v>0</v>
      </c>
      <c r="AP466" s="445">
        <f>SUMIF(DIC!$G$155:$J$155,AP$112,DIC!$R25:$U25)</f>
        <v>0</v>
      </c>
      <c r="AQ466" s="446">
        <f>SUMIF(DIC!$G$155:$J$155,AQ$112,DIC!$R25:$U25)</f>
        <v>0</v>
      </c>
      <c r="AR466" s="447">
        <f>SUMIF(DIC!$G$155:$J$155,AR$112,DIC!$R25:$U25)</f>
        <v>0</v>
      </c>
      <c r="AS466" s="448">
        <f>SUMIF(DIC!$G$155:$J$155,AS$112,DIC!$R25:$U25)</f>
        <v>0</v>
      </c>
      <c r="AT466" s="449">
        <f>DIC!AG25</f>
        <v>0</v>
      </c>
      <c r="AU466" s="445">
        <f>DIC!AH25</f>
        <v>0</v>
      </c>
      <c r="AV466" s="446">
        <f>DIC!AI25</f>
        <v>0</v>
      </c>
      <c r="AW466" s="447">
        <f>DIC!AJ25</f>
        <v>0</v>
      </c>
      <c r="AX466" s="448">
        <f>DIC!AK25</f>
        <v>0</v>
      </c>
      <c r="AY466" s="445">
        <f>SUMIF(DIC!$G$152:$J$152,"&gt;0",DIC!$W25:$Z25)</f>
        <v>0</v>
      </c>
      <c r="AZ466" s="1063">
        <f>SUM(DIC!AB25:AE25)</f>
        <v>0</v>
      </c>
      <c r="BA466" s="445">
        <f>SUMIF(DIC!$G$159:$J$159,BA$111,DIC!$R25:$U25)+SUMIF(DIC!$G$159:$J$159,BA$111,DIC!$W25:$Z25)</f>
        <v>0</v>
      </c>
      <c r="BB466" s="446">
        <f>SUMIF(DIC!$G$159:$J$159,BB$111,DIC!$R25:$U25)+SUMIF(DIC!$G$159:$J$159,BB$111,DIC!$W25:$Z25)</f>
        <v>0</v>
      </c>
      <c r="BC466" s="446">
        <f>SUMIF(DIC!$G$159:$J$159,BC$111,DIC!$R25:$U25)+SUMIF(DIC!$G$159:$J$159,BC$111,DIC!$W25:$Z25)</f>
        <v>0</v>
      </c>
      <c r="BD466" s="446">
        <f>SUMIF(DIC!$G$159:$J$159,BD$111,DIC!$R25:$U25)+SUMIF(DIC!$G$159:$J$159,BD$111,DIC!$W25:$Z25)</f>
        <v>0</v>
      </c>
      <c r="BE466" s="446">
        <f>SUMIF(DIC!$G$159:$J$159,BE$111,DIC!$R25:$U25)+SUMIF(DIC!$G$159:$J$159,BE$111,DIC!$W25:$Z25)</f>
        <v>0</v>
      </c>
      <c r="BF466" s="446">
        <f>SUMIF(DIC!$G$159:$J$159,BF$111,DIC!$R25:$U25)+SUMIF(DIC!$G$159:$J$159,BF$111,DIC!$W25:$Z25)</f>
        <v>0</v>
      </c>
      <c r="BG466" s="448">
        <f>SUMIF(DIC!$G$159:$J$159,BG$111,DIC!$R25:$U25)+SUMIF(DIC!$G$159:$J$159,BG$111,DIC!$W25:$Z25)</f>
        <v>0</v>
      </c>
      <c r="BH466" s="571"/>
      <c r="BI466" s="448"/>
      <c r="BJ466" s="470"/>
      <c r="BK466" s="445">
        <f>SUMIF(DIC!$G$157:$J$157,BK$111,DIC!$R25:$U25)+SUMIF(DIC!$G$157:$J$157,BK$111,DIC!$W25:$Z25)</f>
        <v>0</v>
      </c>
      <c r="BL466" s="446">
        <f>SUMIF(DIC!$G$157:$J$157,BL$111,DIC!$R25:$U25)+SUMIF(DIC!$G$157:$J$157,BL$111,DIC!$W25:$Z25)</f>
        <v>0</v>
      </c>
      <c r="BM466" s="446">
        <f>SUMIF(DIC!$G$157:$J$157,BM$111,DIC!$R25:$U25)+SUMIF(DIC!$G$157:$J$157,BM$111,DIC!$W25:$Z25)</f>
        <v>0</v>
      </c>
      <c r="BN466" s="446">
        <f>SUMIF(DIC!$G$157:$J$157,BN$111,DIC!$R25:$U25)+SUMIF(DIC!$G$157:$J$157,BN$111,DIC!$W25:$Z25)</f>
        <v>0</v>
      </c>
      <c r="BO466" s="446">
        <f>SUMIF(DIC!$G$157:$J$157,BO$111,DIC!$R25:$U25)+SUMIF(DIC!$G$157:$J$157,BO$111,DIC!$W25:$Z25)</f>
        <v>0</v>
      </c>
      <c r="BP466" s="446">
        <f>SUMIF(DIC!$G$157:$J$157,BP$111,DIC!$R25:$U25)+SUMIF(DIC!$G$157:$J$157,BP$111,DIC!$W25:$Z25)</f>
        <v>0</v>
      </c>
      <c r="BQ466" s="448">
        <f>SUMIF(DIC!$G$157:$J$157,BQ$111,DIC!$R25:$U25)+SUMIF(DIC!$G$157:$J$157,BQ$111,DIC!$W25:$Z25)</f>
        <v>0</v>
      </c>
      <c r="BR466" s="571"/>
      <c r="BS466" s="446"/>
      <c r="BT466" s="448"/>
      <c r="BU466" s="470"/>
      <c r="BV466" s="445">
        <f>SUMIF(DIC!$G$158:$J$158,BV$111,DIC!$R25:$U25)+SUMIF(DIC!$G$158:$J$158,BV$111,DIC!$W25:$Z25)</f>
        <v>0</v>
      </c>
      <c r="BW466" s="446">
        <f>SUMIF(DIC!$G$158:$J$158,BW$111,DIC!$R25:$U25)+SUMIF(DIC!$G$158:$J$158,BW$111,DIC!$W25:$Z25)</f>
        <v>0</v>
      </c>
      <c r="BX466" s="446">
        <f>SUMIF(DIC!$G$158:$J$158,BX$111,DIC!$R25:$U25)+SUMIF(DIC!$G$158:$J$158,BX$111,DIC!$W25:$Z25)</f>
        <v>0</v>
      </c>
      <c r="BY466" s="446">
        <f>SUMIF(DIC!$G$158:$J$158,BY$111,DIC!$R25:$U25)+SUMIF(DIC!$G$158:$J$158,BY$111,DIC!$W25:$Z25)</f>
        <v>0</v>
      </c>
      <c r="BZ466" s="446">
        <f>SUMIF(DIC!$G$158:$J$158,BZ$111,DIC!$R25:$U25)+SUMIF(DIC!$G$158:$J$158,BZ$111,DIC!$W25:$Z25)</f>
        <v>0</v>
      </c>
      <c r="CA466" s="446">
        <f>SUMIF(DIC!$G$158:$J$158,CA$111,DIC!$R25:$U25)+SUMIF(DIC!$G$158:$J$158,CA$111,DIC!$W25:$Z25)</f>
        <v>0</v>
      </c>
      <c r="CB466" s="448">
        <f>SUMIF(DIC!$G$158:$J$158,CB$111,DIC!$R25:$U25)+SUMIF(DIC!$G$158:$J$158,CB$111,DIC!$W25:$Z25)</f>
        <v>0</v>
      </c>
      <c r="CC466" s="571"/>
      <c r="CD466" s="448"/>
      <c r="CE466" s="92">
        <f t="shared" si="315"/>
        <v>0</v>
      </c>
      <c r="CF466" s="92">
        <f t="shared" si="316"/>
        <v>0</v>
      </c>
      <c r="CG466" s="151" t="str">
        <f t="shared" si="302"/>
        <v/>
      </c>
      <c r="CH466" s="92">
        <f t="shared" si="305"/>
        <v>0</v>
      </c>
      <c r="CI466" s="92" t="str">
        <f t="shared" si="317"/>
        <v/>
      </c>
      <c r="CJ466" s="1100">
        <f>DIC!AM25</f>
        <v>0</v>
      </c>
      <c r="CK466" s="445">
        <f>SUMIF(DIC!$G$155:$J$155,CK$112,DIC!$AN25:$AQ25)</f>
        <v>0</v>
      </c>
      <c r="CL466" s="446">
        <f>SUMIF(DIC!$G$155:$J$155,CL$112,DIC!$AN25:$AQ25)</f>
        <v>0</v>
      </c>
      <c r="CM466" s="447">
        <f>SUMIF(DIC!$G$155:$J$155,CM$112,DIC!$AN25:$AQ25)</f>
        <v>0</v>
      </c>
      <c r="CN466" s="448">
        <f>SUMIF(DIC!$G$155:$J$155,CN$112,DIC!$AN25:$AQ25)</f>
        <v>0</v>
      </c>
      <c r="CO466" s="1100">
        <f>DIC!AS25</f>
        <v>0</v>
      </c>
      <c r="CP466" s="445">
        <f>DIC!AT25</f>
        <v>0</v>
      </c>
      <c r="CQ466" s="446">
        <f>DIC!AU25</f>
        <v>0</v>
      </c>
      <c r="CR466" s="447">
        <f>DIC!AV25</f>
        <v>0</v>
      </c>
      <c r="CS466" s="448">
        <f>DIC!AW25</f>
        <v>0</v>
      </c>
      <c r="CT466" s="1100">
        <f>DIC!AY25</f>
        <v>0</v>
      </c>
      <c r="CU466" s="2"/>
    </row>
    <row r="467" spans="1:99" ht="14.25" hidden="1" customHeight="1" x14ac:dyDescent="0.2">
      <c r="A467" s="2"/>
      <c r="B467" s="151">
        <f t="shared" si="306"/>
        <v>45645</v>
      </c>
      <c r="C467" s="223">
        <f>IF(AND(E467&gt;(N$496-1),E467&lt;(R$496+1)),W$485,IF(ISERROR(HLOOKUP(E467,$N$489:$U$489,1,FALSE)),HLOOKUP(WEEKDAY(E467,2),IMPOSTAZIONI!$C$51:$P$56,6,FALSE),$W$484))</f>
        <v>0</v>
      </c>
      <c r="D467" s="103" t="str">
        <f t="shared" si="307"/>
        <v/>
      </c>
      <c r="E467" s="2380">
        <f t="shared" si="318"/>
        <v>45645</v>
      </c>
      <c r="F467" s="2381"/>
      <c r="G467" s="2325" t="str">
        <f>DIC!E26</f>
        <v xml:space="preserve">attiva trim.  </v>
      </c>
      <c r="H467" s="2326"/>
      <c r="I467" s="2327"/>
      <c r="J467" s="479" t="str">
        <f t="shared" si="303"/>
        <v/>
      </c>
      <c r="K467" s="480"/>
      <c r="L467" s="2319">
        <f t="shared" si="319"/>
        <v>51</v>
      </c>
      <c r="M467" s="2320"/>
      <c r="N467" s="478"/>
      <c r="O467" s="478"/>
      <c r="P467" s="478"/>
      <c r="Q467" s="2315">
        <f t="shared" si="308"/>
        <v>45645</v>
      </c>
      <c r="R467" s="2315"/>
      <c r="S467" s="478"/>
      <c r="T467" s="140">
        <f t="shared" si="309"/>
        <v>1</v>
      </c>
      <c r="U467" s="478"/>
      <c r="V467" s="478"/>
      <c r="W467" s="478"/>
      <c r="X467" s="478"/>
      <c r="Y467" s="478"/>
      <c r="Z467" s="478"/>
      <c r="AA467" s="478"/>
      <c r="AB467" s="478"/>
      <c r="AC467" s="478"/>
      <c r="AD467" s="478"/>
      <c r="AE467" s="478"/>
      <c r="AF467" s="478"/>
      <c r="AG467" s="140">
        <f t="shared" si="310"/>
        <v>0</v>
      </c>
      <c r="AH467" s="92" t="str">
        <f t="shared" si="311"/>
        <v/>
      </c>
      <c r="AI467" s="131">
        <f t="shared" si="312"/>
        <v>0</v>
      </c>
      <c r="AJ467" s="2"/>
      <c r="AK467" s="92">
        <f>IF(G467=G$481,0,IF(OR(G467&lt;&gt;0,CJ467&lt;&gt;0,C467="L"),COUNTIF(AK$114:AK466,"&gt;0")+1,0))</f>
        <v>0</v>
      </c>
      <c r="AL467" s="92" t="str">
        <f t="shared" si="313"/>
        <v/>
      </c>
      <c r="AM467" s="92" t="str">
        <f t="shared" si="314"/>
        <v/>
      </c>
      <c r="AN467" s="131">
        <f t="shared" si="304"/>
        <v>0</v>
      </c>
      <c r="AO467" s="447">
        <f>SUM(DIC!W26:Z26)</f>
        <v>0</v>
      </c>
      <c r="AP467" s="445">
        <f>SUMIF(DIC!$G$155:$J$155,AP$112,DIC!$R26:$U26)</f>
        <v>0</v>
      </c>
      <c r="AQ467" s="446">
        <f>SUMIF(DIC!$G$155:$J$155,AQ$112,DIC!$R26:$U26)</f>
        <v>0</v>
      </c>
      <c r="AR467" s="447">
        <f>SUMIF(DIC!$G$155:$J$155,AR$112,DIC!$R26:$U26)</f>
        <v>0</v>
      </c>
      <c r="AS467" s="448">
        <f>SUMIF(DIC!$G$155:$J$155,AS$112,DIC!$R26:$U26)</f>
        <v>0</v>
      </c>
      <c r="AT467" s="449">
        <f>DIC!AG26</f>
        <v>0</v>
      </c>
      <c r="AU467" s="445">
        <f>DIC!AH26</f>
        <v>0</v>
      </c>
      <c r="AV467" s="446">
        <f>DIC!AI26</f>
        <v>0</v>
      </c>
      <c r="AW467" s="447">
        <f>DIC!AJ26</f>
        <v>0</v>
      </c>
      <c r="AX467" s="448">
        <f>DIC!AK26</f>
        <v>0</v>
      </c>
      <c r="AY467" s="445">
        <f>SUMIF(DIC!$G$152:$J$152,"&gt;0",DIC!$W26:$Z26)</f>
        <v>0</v>
      </c>
      <c r="AZ467" s="1063">
        <f>SUM(DIC!AB26:AE26)</f>
        <v>0</v>
      </c>
      <c r="BA467" s="445">
        <f>SUMIF(DIC!$G$159:$J$159,BA$111,DIC!$R26:$U26)+SUMIF(DIC!$G$159:$J$159,BA$111,DIC!$W26:$Z26)</f>
        <v>0</v>
      </c>
      <c r="BB467" s="446">
        <f>SUMIF(DIC!$G$159:$J$159,BB$111,DIC!$R26:$U26)+SUMIF(DIC!$G$159:$J$159,BB$111,DIC!$W26:$Z26)</f>
        <v>0</v>
      </c>
      <c r="BC467" s="446">
        <f>SUMIF(DIC!$G$159:$J$159,BC$111,DIC!$R26:$U26)+SUMIF(DIC!$G$159:$J$159,BC$111,DIC!$W26:$Z26)</f>
        <v>0</v>
      </c>
      <c r="BD467" s="446">
        <f>SUMIF(DIC!$G$159:$J$159,BD$111,DIC!$R26:$U26)+SUMIF(DIC!$G$159:$J$159,BD$111,DIC!$W26:$Z26)</f>
        <v>0</v>
      </c>
      <c r="BE467" s="446">
        <f>SUMIF(DIC!$G$159:$J$159,BE$111,DIC!$R26:$U26)+SUMIF(DIC!$G$159:$J$159,BE$111,DIC!$W26:$Z26)</f>
        <v>0</v>
      </c>
      <c r="BF467" s="446">
        <f>SUMIF(DIC!$G$159:$J$159,BF$111,DIC!$R26:$U26)+SUMIF(DIC!$G$159:$J$159,BF$111,DIC!$W26:$Z26)</f>
        <v>0</v>
      </c>
      <c r="BG467" s="448">
        <f>SUMIF(DIC!$G$159:$J$159,BG$111,DIC!$R26:$U26)+SUMIF(DIC!$G$159:$J$159,BG$111,DIC!$W26:$Z26)</f>
        <v>0</v>
      </c>
      <c r="BH467" s="571"/>
      <c r="BI467" s="448"/>
      <c r="BJ467" s="470"/>
      <c r="BK467" s="445">
        <f>SUMIF(DIC!$G$157:$J$157,BK$111,DIC!$R26:$U26)+SUMIF(DIC!$G$157:$J$157,BK$111,DIC!$W26:$Z26)</f>
        <v>0</v>
      </c>
      <c r="BL467" s="446">
        <f>SUMIF(DIC!$G$157:$J$157,BL$111,DIC!$R26:$U26)+SUMIF(DIC!$G$157:$J$157,BL$111,DIC!$W26:$Z26)</f>
        <v>0</v>
      </c>
      <c r="BM467" s="446">
        <f>SUMIF(DIC!$G$157:$J$157,BM$111,DIC!$R26:$U26)+SUMIF(DIC!$G$157:$J$157,BM$111,DIC!$W26:$Z26)</f>
        <v>0</v>
      </c>
      <c r="BN467" s="446">
        <f>SUMIF(DIC!$G$157:$J$157,BN$111,DIC!$R26:$U26)+SUMIF(DIC!$G$157:$J$157,BN$111,DIC!$W26:$Z26)</f>
        <v>0</v>
      </c>
      <c r="BO467" s="446">
        <f>SUMIF(DIC!$G$157:$J$157,BO$111,DIC!$R26:$U26)+SUMIF(DIC!$G$157:$J$157,BO$111,DIC!$W26:$Z26)</f>
        <v>0</v>
      </c>
      <c r="BP467" s="446">
        <f>SUMIF(DIC!$G$157:$J$157,BP$111,DIC!$R26:$U26)+SUMIF(DIC!$G$157:$J$157,BP$111,DIC!$W26:$Z26)</f>
        <v>0</v>
      </c>
      <c r="BQ467" s="448">
        <f>SUMIF(DIC!$G$157:$J$157,BQ$111,DIC!$R26:$U26)+SUMIF(DIC!$G$157:$J$157,BQ$111,DIC!$W26:$Z26)</f>
        <v>0</v>
      </c>
      <c r="BR467" s="571"/>
      <c r="BS467" s="446"/>
      <c r="BT467" s="448"/>
      <c r="BU467" s="470"/>
      <c r="BV467" s="445">
        <f>SUMIF(DIC!$G$158:$J$158,BV$111,DIC!$R26:$U26)+SUMIF(DIC!$G$158:$J$158,BV$111,DIC!$W26:$Z26)</f>
        <v>0</v>
      </c>
      <c r="BW467" s="446">
        <f>SUMIF(DIC!$G$158:$J$158,BW$111,DIC!$R26:$U26)+SUMIF(DIC!$G$158:$J$158,BW$111,DIC!$W26:$Z26)</f>
        <v>0</v>
      </c>
      <c r="BX467" s="446">
        <f>SUMIF(DIC!$G$158:$J$158,BX$111,DIC!$R26:$U26)+SUMIF(DIC!$G$158:$J$158,BX$111,DIC!$W26:$Z26)</f>
        <v>0</v>
      </c>
      <c r="BY467" s="446">
        <f>SUMIF(DIC!$G$158:$J$158,BY$111,DIC!$R26:$U26)+SUMIF(DIC!$G$158:$J$158,BY$111,DIC!$W26:$Z26)</f>
        <v>0</v>
      </c>
      <c r="BZ467" s="446">
        <f>SUMIF(DIC!$G$158:$J$158,BZ$111,DIC!$R26:$U26)+SUMIF(DIC!$G$158:$J$158,BZ$111,DIC!$W26:$Z26)</f>
        <v>0</v>
      </c>
      <c r="CA467" s="446">
        <f>SUMIF(DIC!$G$158:$J$158,CA$111,DIC!$R26:$U26)+SUMIF(DIC!$G$158:$J$158,CA$111,DIC!$W26:$Z26)</f>
        <v>0</v>
      </c>
      <c r="CB467" s="448">
        <f>SUMIF(DIC!$G$158:$J$158,CB$111,DIC!$R26:$U26)+SUMIF(DIC!$G$158:$J$158,CB$111,DIC!$W26:$Z26)</f>
        <v>0</v>
      </c>
      <c r="CC467" s="571"/>
      <c r="CD467" s="448"/>
      <c r="CE467" s="92">
        <f t="shared" si="315"/>
        <v>0</v>
      </c>
      <c r="CF467" s="92">
        <f t="shared" si="316"/>
        <v>0</v>
      </c>
      <c r="CG467" s="151" t="str">
        <f t="shared" si="302"/>
        <v/>
      </c>
      <c r="CH467" s="92">
        <f t="shared" si="305"/>
        <v>0</v>
      </c>
      <c r="CI467" s="92" t="str">
        <f t="shared" si="317"/>
        <v/>
      </c>
      <c r="CJ467" s="1100">
        <f>DIC!AM26</f>
        <v>0</v>
      </c>
      <c r="CK467" s="445">
        <f>SUMIF(DIC!$G$155:$J$155,CK$112,DIC!$AN26:$AQ26)</f>
        <v>0</v>
      </c>
      <c r="CL467" s="446">
        <f>SUMIF(DIC!$G$155:$J$155,CL$112,DIC!$AN26:$AQ26)</f>
        <v>0</v>
      </c>
      <c r="CM467" s="447">
        <f>SUMIF(DIC!$G$155:$J$155,CM$112,DIC!$AN26:$AQ26)</f>
        <v>0</v>
      </c>
      <c r="CN467" s="448">
        <f>SUMIF(DIC!$G$155:$J$155,CN$112,DIC!$AN26:$AQ26)</f>
        <v>0</v>
      </c>
      <c r="CO467" s="1100">
        <f>DIC!AS26</f>
        <v>0</v>
      </c>
      <c r="CP467" s="445">
        <f>DIC!AT26</f>
        <v>0</v>
      </c>
      <c r="CQ467" s="446">
        <f>DIC!AU26</f>
        <v>0</v>
      </c>
      <c r="CR467" s="447">
        <f>DIC!AV26</f>
        <v>0</v>
      </c>
      <c r="CS467" s="448">
        <f>DIC!AW26</f>
        <v>0</v>
      </c>
      <c r="CT467" s="1100">
        <f>DIC!AY26</f>
        <v>0</v>
      </c>
      <c r="CU467" s="2"/>
    </row>
    <row r="468" spans="1:99" ht="14.25" hidden="1" customHeight="1" x14ac:dyDescent="0.2">
      <c r="A468" s="2"/>
      <c r="B468" s="151">
        <f t="shared" si="306"/>
        <v>45646</v>
      </c>
      <c r="C468" s="223">
        <f>IF(AND(E468&gt;(N$496-1),E468&lt;(R$496+1)),W$485,IF(ISERROR(HLOOKUP(E468,$N$489:$U$489,1,FALSE)),HLOOKUP(WEEKDAY(E468,2),IMPOSTAZIONI!$C$51:$P$56,6,FALSE),$W$484))</f>
        <v>0</v>
      </c>
      <c r="D468" s="103" t="str">
        <f t="shared" si="307"/>
        <v/>
      </c>
      <c r="E468" s="2380">
        <f t="shared" si="318"/>
        <v>45646</v>
      </c>
      <c r="F468" s="2381"/>
      <c r="G468" s="2325" t="str">
        <f>DIC!E27</f>
        <v xml:space="preserve">attiva trim.  </v>
      </c>
      <c r="H468" s="2326"/>
      <c r="I468" s="2327"/>
      <c r="J468" s="479" t="str">
        <f t="shared" si="303"/>
        <v/>
      </c>
      <c r="K468" s="480"/>
      <c r="L468" s="2319">
        <f t="shared" si="319"/>
        <v>51</v>
      </c>
      <c r="M468" s="2320"/>
      <c r="N468" s="478"/>
      <c r="O468" s="478"/>
      <c r="P468" s="478"/>
      <c r="Q468" s="2315">
        <f t="shared" si="308"/>
        <v>45646</v>
      </c>
      <c r="R468" s="2315"/>
      <c r="S468" s="478"/>
      <c r="T468" s="140">
        <f t="shared" si="309"/>
        <v>1</v>
      </c>
      <c r="U468" s="478"/>
      <c r="V468" s="478"/>
      <c r="W468" s="478"/>
      <c r="X468" s="478"/>
      <c r="Y468" s="478"/>
      <c r="Z468" s="478"/>
      <c r="AA468" s="478"/>
      <c r="AB468" s="478"/>
      <c r="AC468" s="478"/>
      <c r="AD468" s="478"/>
      <c r="AE468" s="478"/>
      <c r="AF468" s="478"/>
      <c r="AG468" s="140">
        <f t="shared" si="310"/>
        <v>0</v>
      </c>
      <c r="AH468" s="92" t="str">
        <f t="shared" si="311"/>
        <v/>
      </c>
      <c r="AI468" s="131">
        <f t="shared" si="312"/>
        <v>0</v>
      </c>
      <c r="AJ468" s="2"/>
      <c r="AK468" s="92">
        <f>IF(G468=G$481,0,IF(OR(G468&lt;&gt;0,CJ468&lt;&gt;0,C468="L"),COUNTIF(AK$114:AK467,"&gt;0")+1,0))</f>
        <v>0</v>
      </c>
      <c r="AL468" s="92" t="str">
        <f t="shared" si="313"/>
        <v/>
      </c>
      <c r="AM468" s="92" t="str">
        <f t="shared" si="314"/>
        <v/>
      </c>
      <c r="AN468" s="131">
        <f t="shared" si="304"/>
        <v>0</v>
      </c>
      <c r="AO468" s="447">
        <f>SUM(DIC!W27:Z27)</f>
        <v>0</v>
      </c>
      <c r="AP468" s="445">
        <f>SUMIF(DIC!$G$155:$J$155,AP$112,DIC!$R27:$U27)</f>
        <v>0</v>
      </c>
      <c r="AQ468" s="446">
        <f>SUMIF(DIC!$G$155:$J$155,AQ$112,DIC!$R27:$U27)</f>
        <v>0</v>
      </c>
      <c r="AR468" s="447">
        <f>SUMIF(DIC!$G$155:$J$155,AR$112,DIC!$R27:$U27)</f>
        <v>0</v>
      </c>
      <c r="AS468" s="448">
        <f>SUMIF(DIC!$G$155:$J$155,AS$112,DIC!$R27:$U27)</f>
        <v>0</v>
      </c>
      <c r="AT468" s="449">
        <f>DIC!AG27</f>
        <v>0</v>
      </c>
      <c r="AU468" s="445">
        <f>DIC!AH27</f>
        <v>0</v>
      </c>
      <c r="AV468" s="446">
        <f>DIC!AI27</f>
        <v>0</v>
      </c>
      <c r="AW468" s="447">
        <f>DIC!AJ27</f>
        <v>0</v>
      </c>
      <c r="AX468" s="448">
        <f>DIC!AK27</f>
        <v>0</v>
      </c>
      <c r="AY468" s="445">
        <f>SUMIF(DIC!$G$152:$J$152,"&gt;0",DIC!$W27:$Z27)</f>
        <v>0</v>
      </c>
      <c r="AZ468" s="1063">
        <f>SUM(DIC!AB27:AE27)</f>
        <v>0</v>
      </c>
      <c r="BA468" s="445">
        <f>SUMIF(DIC!$G$159:$J$159,BA$111,DIC!$R27:$U27)+SUMIF(DIC!$G$159:$J$159,BA$111,DIC!$W27:$Z27)</f>
        <v>0</v>
      </c>
      <c r="BB468" s="446">
        <f>SUMIF(DIC!$G$159:$J$159,BB$111,DIC!$R27:$U27)+SUMIF(DIC!$G$159:$J$159,BB$111,DIC!$W27:$Z27)</f>
        <v>0</v>
      </c>
      <c r="BC468" s="446">
        <f>SUMIF(DIC!$G$159:$J$159,BC$111,DIC!$R27:$U27)+SUMIF(DIC!$G$159:$J$159,BC$111,DIC!$W27:$Z27)</f>
        <v>0</v>
      </c>
      <c r="BD468" s="446">
        <f>SUMIF(DIC!$G$159:$J$159,BD$111,DIC!$R27:$U27)+SUMIF(DIC!$G$159:$J$159,BD$111,DIC!$W27:$Z27)</f>
        <v>0</v>
      </c>
      <c r="BE468" s="446">
        <f>SUMIF(DIC!$G$159:$J$159,BE$111,DIC!$R27:$U27)+SUMIF(DIC!$G$159:$J$159,BE$111,DIC!$W27:$Z27)</f>
        <v>0</v>
      </c>
      <c r="BF468" s="446">
        <f>SUMIF(DIC!$G$159:$J$159,BF$111,DIC!$R27:$U27)+SUMIF(DIC!$G$159:$J$159,BF$111,DIC!$W27:$Z27)</f>
        <v>0</v>
      </c>
      <c r="BG468" s="448">
        <f>SUMIF(DIC!$G$159:$J$159,BG$111,DIC!$R27:$U27)+SUMIF(DIC!$G$159:$J$159,BG$111,DIC!$W27:$Z27)</f>
        <v>0</v>
      </c>
      <c r="BH468" s="571"/>
      <c r="BI468" s="448"/>
      <c r="BJ468" s="470"/>
      <c r="BK468" s="445">
        <f>SUMIF(DIC!$G$157:$J$157,BK$111,DIC!$R27:$U27)+SUMIF(DIC!$G$157:$J$157,BK$111,DIC!$W27:$Z27)</f>
        <v>0</v>
      </c>
      <c r="BL468" s="446">
        <f>SUMIF(DIC!$G$157:$J$157,BL$111,DIC!$R27:$U27)+SUMIF(DIC!$G$157:$J$157,BL$111,DIC!$W27:$Z27)</f>
        <v>0</v>
      </c>
      <c r="BM468" s="446">
        <f>SUMIF(DIC!$G$157:$J$157,BM$111,DIC!$R27:$U27)+SUMIF(DIC!$G$157:$J$157,BM$111,DIC!$W27:$Z27)</f>
        <v>0</v>
      </c>
      <c r="BN468" s="446">
        <f>SUMIF(DIC!$G$157:$J$157,BN$111,DIC!$R27:$U27)+SUMIF(DIC!$G$157:$J$157,BN$111,DIC!$W27:$Z27)</f>
        <v>0</v>
      </c>
      <c r="BO468" s="446">
        <f>SUMIF(DIC!$G$157:$J$157,BO$111,DIC!$R27:$U27)+SUMIF(DIC!$G$157:$J$157,BO$111,DIC!$W27:$Z27)</f>
        <v>0</v>
      </c>
      <c r="BP468" s="446">
        <f>SUMIF(DIC!$G$157:$J$157,BP$111,DIC!$R27:$U27)+SUMIF(DIC!$G$157:$J$157,BP$111,DIC!$W27:$Z27)</f>
        <v>0</v>
      </c>
      <c r="BQ468" s="448">
        <f>SUMIF(DIC!$G$157:$J$157,BQ$111,DIC!$R27:$U27)+SUMIF(DIC!$G$157:$J$157,BQ$111,DIC!$W27:$Z27)</f>
        <v>0</v>
      </c>
      <c r="BR468" s="571"/>
      <c r="BS468" s="446"/>
      <c r="BT468" s="448"/>
      <c r="BU468" s="470"/>
      <c r="BV468" s="445">
        <f>SUMIF(DIC!$G$158:$J$158,BV$111,DIC!$R27:$U27)+SUMIF(DIC!$G$158:$J$158,BV$111,DIC!$W27:$Z27)</f>
        <v>0</v>
      </c>
      <c r="BW468" s="446">
        <f>SUMIF(DIC!$G$158:$J$158,BW$111,DIC!$R27:$U27)+SUMIF(DIC!$G$158:$J$158,BW$111,DIC!$W27:$Z27)</f>
        <v>0</v>
      </c>
      <c r="BX468" s="446">
        <f>SUMIF(DIC!$G$158:$J$158,BX$111,DIC!$R27:$U27)+SUMIF(DIC!$G$158:$J$158,BX$111,DIC!$W27:$Z27)</f>
        <v>0</v>
      </c>
      <c r="BY468" s="446">
        <f>SUMIF(DIC!$G$158:$J$158,BY$111,DIC!$R27:$U27)+SUMIF(DIC!$G$158:$J$158,BY$111,DIC!$W27:$Z27)</f>
        <v>0</v>
      </c>
      <c r="BZ468" s="446">
        <f>SUMIF(DIC!$G$158:$J$158,BZ$111,DIC!$R27:$U27)+SUMIF(DIC!$G$158:$J$158,BZ$111,DIC!$W27:$Z27)</f>
        <v>0</v>
      </c>
      <c r="CA468" s="446">
        <f>SUMIF(DIC!$G$158:$J$158,CA$111,DIC!$R27:$U27)+SUMIF(DIC!$G$158:$J$158,CA$111,DIC!$W27:$Z27)</f>
        <v>0</v>
      </c>
      <c r="CB468" s="448">
        <f>SUMIF(DIC!$G$158:$J$158,CB$111,DIC!$R27:$U27)+SUMIF(DIC!$G$158:$J$158,CB$111,DIC!$W27:$Z27)</f>
        <v>0</v>
      </c>
      <c r="CC468" s="571"/>
      <c r="CD468" s="448"/>
      <c r="CE468" s="92">
        <f t="shared" si="315"/>
        <v>0</v>
      </c>
      <c r="CF468" s="92">
        <f t="shared" si="316"/>
        <v>0</v>
      </c>
      <c r="CG468" s="151" t="str">
        <f t="shared" si="302"/>
        <v/>
      </c>
      <c r="CH468" s="92">
        <f t="shared" si="305"/>
        <v>0</v>
      </c>
      <c r="CI468" s="92" t="str">
        <f t="shared" si="317"/>
        <v/>
      </c>
      <c r="CJ468" s="1100">
        <f>DIC!AM27</f>
        <v>0</v>
      </c>
      <c r="CK468" s="445">
        <f>SUMIF(DIC!$G$155:$J$155,CK$112,DIC!$AN27:$AQ27)</f>
        <v>0</v>
      </c>
      <c r="CL468" s="446">
        <f>SUMIF(DIC!$G$155:$J$155,CL$112,DIC!$AN27:$AQ27)</f>
        <v>0</v>
      </c>
      <c r="CM468" s="447">
        <f>SUMIF(DIC!$G$155:$J$155,CM$112,DIC!$AN27:$AQ27)</f>
        <v>0</v>
      </c>
      <c r="CN468" s="448">
        <f>SUMIF(DIC!$G$155:$J$155,CN$112,DIC!$AN27:$AQ27)</f>
        <v>0</v>
      </c>
      <c r="CO468" s="1100">
        <f>DIC!AS27</f>
        <v>0</v>
      </c>
      <c r="CP468" s="445">
        <f>DIC!AT27</f>
        <v>0</v>
      </c>
      <c r="CQ468" s="446">
        <f>DIC!AU27</f>
        <v>0</v>
      </c>
      <c r="CR468" s="447">
        <f>DIC!AV27</f>
        <v>0</v>
      </c>
      <c r="CS468" s="448">
        <f>DIC!AW27</f>
        <v>0</v>
      </c>
      <c r="CT468" s="1100">
        <f>DIC!AY27</f>
        <v>0</v>
      </c>
      <c r="CU468" s="2"/>
    </row>
    <row r="469" spans="1:99" ht="14.25" hidden="1" customHeight="1" x14ac:dyDescent="0.2">
      <c r="A469" s="2"/>
      <c r="B469" s="151">
        <f t="shared" si="306"/>
        <v>45647</v>
      </c>
      <c r="C469" s="223">
        <f>IF(AND(E469&gt;(N$496-1),E469&lt;(R$496+1)),W$485,IF(ISERROR(HLOOKUP(E469,$N$489:$U$489,1,FALSE)),HLOOKUP(WEEKDAY(E469,2),IMPOSTAZIONI!$C$51:$P$56,6,FALSE),$W$484))</f>
        <v>0</v>
      </c>
      <c r="D469" s="103" t="str">
        <f t="shared" si="307"/>
        <v/>
      </c>
      <c r="E469" s="2380">
        <f t="shared" si="318"/>
        <v>45647</v>
      </c>
      <c r="F469" s="2381"/>
      <c r="G469" s="2325" t="str">
        <f>DIC!E28</f>
        <v xml:space="preserve">attiva trim.  </v>
      </c>
      <c r="H469" s="2326"/>
      <c r="I469" s="2327"/>
      <c r="J469" s="479" t="str">
        <f t="shared" si="303"/>
        <v/>
      </c>
      <c r="K469" s="480"/>
      <c r="L469" s="2319">
        <f t="shared" si="319"/>
        <v>51</v>
      </c>
      <c r="M469" s="2320"/>
      <c r="N469" s="478"/>
      <c r="O469" s="478"/>
      <c r="P469" s="478"/>
      <c r="Q469" s="2315">
        <f t="shared" si="308"/>
        <v>45647</v>
      </c>
      <c r="R469" s="2315"/>
      <c r="S469" s="478"/>
      <c r="T469" s="140">
        <f t="shared" si="309"/>
        <v>1</v>
      </c>
      <c r="U469" s="478"/>
      <c r="V469" s="478"/>
      <c r="W469" s="478"/>
      <c r="X469" s="478"/>
      <c r="Y469" s="478"/>
      <c r="Z469" s="478"/>
      <c r="AA469" s="478"/>
      <c r="AB469" s="478"/>
      <c r="AC469" s="478"/>
      <c r="AD469" s="478"/>
      <c r="AE469" s="478"/>
      <c r="AF469" s="478"/>
      <c r="AG469" s="140">
        <f t="shared" si="310"/>
        <v>0</v>
      </c>
      <c r="AH469" s="92" t="str">
        <f t="shared" si="311"/>
        <v/>
      </c>
      <c r="AI469" s="131">
        <f t="shared" si="312"/>
        <v>0</v>
      </c>
      <c r="AJ469" s="2"/>
      <c r="AK469" s="92">
        <f>IF(G469=G$481,0,IF(OR(G469&lt;&gt;0,CJ469&lt;&gt;0,C469="L"),COUNTIF(AK$114:AK468,"&gt;0")+1,0))</f>
        <v>0</v>
      </c>
      <c r="AL469" s="92" t="str">
        <f t="shared" si="313"/>
        <v/>
      </c>
      <c r="AM469" s="92" t="str">
        <f t="shared" si="314"/>
        <v/>
      </c>
      <c r="AN469" s="131">
        <f t="shared" si="304"/>
        <v>0</v>
      </c>
      <c r="AO469" s="447">
        <f>SUM(DIC!W28:Z28)</f>
        <v>0</v>
      </c>
      <c r="AP469" s="445">
        <f>SUMIF(DIC!$G$155:$J$155,AP$112,DIC!$R28:$U28)</f>
        <v>0</v>
      </c>
      <c r="AQ469" s="446">
        <f>SUMIF(DIC!$G$155:$J$155,AQ$112,DIC!$R28:$U28)</f>
        <v>0</v>
      </c>
      <c r="AR469" s="447">
        <f>SUMIF(DIC!$G$155:$J$155,AR$112,DIC!$R28:$U28)</f>
        <v>0</v>
      </c>
      <c r="AS469" s="448">
        <f>SUMIF(DIC!$G$155:$J$155,AS$112,DIC!$R28:$U28)</f>
        <v>0</v>
      </c>
      <c r="AT469" s="449">
        <f>DIC!AG28</f>
        <v>0</v>
      </c>
      <c r="AU469" s="445">
        <f>DIC!AH28</f>
        <v>0</v>
      </c>
      <c r="AV469" s="446">
        <f>DIC!AI28</f>
        <v>0</v>
      </c>
      <c r="AW469" s="447">
        <f>DIC!AJ28</f>
        <v>0</v>
      </c>
      <c r="AX469" s="448">
        <f>DIC!AK28</f>
        <v>0</v>
      </c>
      <c r="AY469" s="445">
        <f>SUMIF(DIC!$G$152:$J$152,"&gt;0",DIC!$W28:$Z28)</f>
        <v>0</v>
      </c>
      <c r="AZ469" s="1063">
        <f>SUM(DIC!AB28:AE28)</f>
        <v>0</v>
      </c>
      <c r="BA469" s="445">
        <f>SUMIF(DIC!$G$159:$J$159,BA$111,DIC!$R28:$U28)+SUMIF(DIC!$G$159:$J$159,BA$111,DIC!$W28:$Z28)</f>
        <v>0</v>
      </c>
      <c r="BB469" s="446">
        <f>SUMIF(DIC!$G$159:$J$159,BB$111,DIC!$R28:$U28)+SUMIF(DIC!$G$159:$J$159,BB$111,DIC!$W28:$Z28)</f>
        <v>0</v>
      </c>
      <c r="BC469" s="446">
        <f>SUMIF(DIC!$G$159:$J$159,BC$111,DIC!$R28:$U28)+SUMIF(DIC!$G$159:$J$159,BC$111,DIC!$W28:$Z28)</f>
        <v>0</v>
      </c>
      <c r="BD469" s="446">
        <f>SUMIF(DIC!$G$159:$J$159,BD$111,DIC!$R28:$U28)+SUMIF(DIC!$G$159:$J$159,BD$111,DIC!$W28:$Z28)</f>
        <v>0</v>
      </c>
      <c r="BE469" s="446">
        <f>SUMIF(DIC!$G$159:$J$159,BE$111,DIC!$R28:$U28)+SUMIF(DIC!$G$159:$J$159,BE$111,DIC!$W28:$Z28)</f>
        <v>0</v>
      </c>
      <c r="BF469" s="446">
        <f>SUMIF(DIC!$G$159:$J$159,BF$111,DIC!$R28:$U28)+SUMIF(DIC!$G$159:$J$159,BF$111,DIC!$W28:$Z28)</f>
        <v>0</v>
      </c>
      <c r="BG469" s="448">
        <f>SUMIF(DIC!$G$159:$J$159,BG$111,DIC!$R28:$U28)+SUMIF(DIC!$G$159:$J$159,BG$111,DIC!$W28:$Z28)</f>
        <v>0</v>
      </c>
      <c r="BH469" s="571"/>
      <c r="BI469" s="448"/>
      <c r="BJ469" s="470"/>
      <c r="BK469" s="445">
        <f>SUMIF(DIC!$G$157:$J$157,BK$111,DIC!$R28:$U28)+SUMIF(DIC!$G$157:$J$157,BK$111,DIC!$W28:$Z28)</f>
        <v>0</v>
      </c>
      <c r="BL469" s="446">
        <f>SUMIF(DIC!$G$157:$J$157,BL$111,DIC!$R28:$U28)+SUMIF(DIC!$G$157:$J$157,BL$111,DIC!$W28:$Z28)</f>
        <v>0</v>
      </c>
      <c r="BM469" s="446">
        <f>SUMIF(DIC!$G$157:$J$157,BM$111,DIC!$R28:$U28)+SUMIF(DIC!$G$157:$J$157,BM$111,DIC!$W28:$Z28)</f>
        <v>0</v>
      </c>
      <c r="BN469" s="446">
        <f>SUMIF(DIC!$G$157:$J$157,BN$111,DIC!$R28:$U28)+SUMIF(DIC!$G$157:$J$157,BN$111,DIC!$W28:$Z28)</f>
        <v>0</v>
      </c>
      <c r="BO469" s="446">
        <f>SUMIF(DIC!$G$157:$J$157,BO$111,DIC!$R28:$U28)+SUMIF(DIC!$G$157:$J$157,BO$111,DIC!$W28:$Z28)</f>
        <v>0</v>
      </c>
      <c r="BP469" s="446">
        <f>SUMIF(DIC!$G$157:$J$157,BP$111,DIC!$R28:$U28)+SUMIF(DIC!$G$157:$J$157,BP$111,DIC!$W28:$Z28)</f>
        <v>0</v>
      </c>
      <c r="BQ469" s="448">
        <f>SUMIF(DIC!$G$157:$J$157,BQ$111,DIC!$R28:$U28)+SUMIF(DIC!$G$157:$J$157,BQ$111,DIC!$W28:$Z28)</f>
        <v>0</v>
      </c>
      <c r="BR469" s="571"/>
      <c r="BS469" s="446"/>
      <c r="BT469" s="448"/>
      <c r="BU469" s="470"/>
      <c r="BV469" s="445">
        <f>SUMIF(DIC!$G$158:$J$158,BV$111,DIC!$R28:$U28)+SUMIF(DIC!$G$158:$J$158,BV$111,DIC!$W28:$Z28)</f>
        <v>0</v>
      </c>
      <c r="BW469" s="446">
        <f>SUMIF(DIC!$G$158:$J$158,BW$111,DIC!$R28:$U28)+SUMIF(DIC!$G$158:$J$158,BW$111,DIC!$W28:$Z28)</f>
        <v>0</v>
      </c>
      <c r="BX469" s="446">
        <f>SUMIF(DIC!$G$158:$J$158,BX$111,DIC!$R28:$U28)+SUMIF(DIC!$G$158:$J$158,BX$111,DIC!$W28:$Z28)</f>
        <v>0</v>
      </c>
      <c r="BY469" s="446">
        <f>SUMIF(DIC!$G$158:$J$158,BY$111,DIC!$R28:$U28)+SUMIF(DIC!$G$158:$J$158,BY$111,DIC!$W28:$Z28)</f>
        <v>0</v>
      </c>
      <c r="BZ469" s="446">
        <f>SUMIF(DIC!$G$158:$J$158,BZ$111,DIC!$R28:$U28)+SUMIF(DIC!$G$158:$J$158,BZ$111,DIC!$W28:$Z28)</f>
        <v>0</v>
      </c>
      <c r="CA469" s="446">
        <f>SUMIF(DIC!$G$158:$J$158,CA$111,DIC!$R28:$U28)+SUMIF(DIC!$G$158:$J$158,CA$111,DIC!$W28:$Z28)</f>
        <v>0</v>
      </c>
      <c r="CB469" s="448">
        <f>SUMIF(DIC!$G$158:$J$158,CB$111,DIC!$R28:$U28)+SUMIF(DIC!$G$158:$J$158,CB$111,DIC!$W28:$Z28)</f>
        <v>0</v>
      </c>
      <c r="CC469" s="571"/>
      <c r="CD469" s="448"/>
      <c r="CE469" s="92">
        <f t="shared" si="315"/>
        <v>0</v>
      </c>
      <c r="CF469" s="92">
        <f t="shared" si="316"/>
        <v>0</v>
      </c>
      <c r="CG469" s="151" t="str">
        <f t="shared" si="302"/>
        <v/>
      </c>
      <c r="CH469" s="92">
        <f t="shared" si="305"/>
        <v>0</v>
      </c>
      <c r="CI469" s="92" t="str">
        <f t="shared" si="317"/>
        <v/>
      </c>
      <c r="CJ469" s="1100">
        <f>DIC!AM28</f>
        <v>0</v>
      </c>
      <c r="CK469" s="445">
        <f>SUMIF(DIC!$G$155:$J$155,CK$112,DIC!$AN28:$AQ28)</f>
        <v>0</v>
      </c>
      <c r="CL469" s="446">
        <f>SUMIF(DIC!$G$155:$J$155,CL$112,DIC!$AN28:$AQ28)</f>
        <v>0</v>
      </c>
      <c r="CM469" s="447">
        <f>SUMIF(DIC!$G$155:$J$155,CM$112,DIC!$AN28:$AQ28)</f>
        <v>0</v>
      </c>
      <c r="CN469" s="448">
        <f>SUMIF(DIC!$G$155:$J$155,CN$112,DIC!$AN28:$AQ28)</f>
        <v>0</v>
      </c>
      <c r="CO469" s="1100">
        <f>DIC!AS28</f>
        <v>0</v>
      </c>
      <c r="CP469" s="445">
        <f>DIC!AT28</f>
        <v>0</v>
      </c>
      <c r="CQ469" s="446">
        <f>DIC!AU28</f>
        <v>0</v>
      </c>
      <c r="CR469" s="447">
        <f>DIC!AV28</f>
        <v>0</v>
      </c>
      <c r="CS469" s="448">
        <f>DIC!AW28</f>
        <v>0</v>
      </c>
      <c r="CT469" s="1100">
        <f>DIC!AY28</f>
        <v>0</v>
      </c>
      <c r="CU469" s="2"/>
    </row>
    <row r="470" spans="1:99" ht="14.25" hidden="1" customHeight="1" x14ac:dyDescent="0.2">
      <c r="A470" s="2"/>
      <c r="B470" s="151">
        <f t="shared" si="306"/>
        <v>45648</v>
      </c>
      <c r="C470" s="223">
        <f>IF(AND(E470&gt;(N$496-1),E470&lt;(R$496+1)),W$485,IF(ISERROR(HLOOKUP(E470,$N$489:$U$489,1,FALSE)),HLOOKUP(WEEKDAY(E470,2),IMPOSTAZIONI!$C$51:$P$56,6,FALSE),$W$484))</f>
        <v>0</v>
      </c>
      <c r="D470" s="103" t="str">
        <f t="shared" si="307"/>
        <v/>
      </c>
      <c r="E470" s="2380">
        <f t="shared" si="318"/>
        <v>45648</v>
      </c>
      <c r="F470" s="2381"/>
      <c r="G470" s="2325" t="str">
        <f>DIC!E29</f>
        <v xml:space="preserve">attiva trim.  </v>
      </c>
      <c r="H470" s="2326"/>
      <c r="I470" s="2327"/>
      <c r="J470" s="479" t="str">
        <f t="shared" si="303"/>
        <v/>
      </c>
      <c r="K470" s="480"/>
      <c r="L470" s="2321">
        <f t="shared" si="319"/>
        <v>51</v>
      </c>
      <c r="M470" s="2322"/>
      <c r="N470" s="478"/>
      <c r="O470" s="478"/>
      <c r="P470" s="478"/>
      <c r="Q470" s="2315">
        <f t="shared" si="308"/>
        <v>45648</v>
      </c>
      <c r="R470" s="2315"/>
      <c r="S470" s="478"/>
      <c r="T470" s="140">
        <f t="shared" si="309"/>
        <v>1</v>
      </c>
      <c r="U470" s="478"/>
      <c r="V470" s="478"/>
      <c r="W470" s="478"/>
      <c r="X470" s="478"/>
      <c r="Y470" s="478"/>
      <c r="Z470" s="478"/>
      <c r="AA470" s="478"/>
      <c r="AB470" s="478"/>
      <c r="AC470" s="478"/>
      <c r="AD470" s="478"/>
      <c r="AE470" s="478"/>
      <c r="AF470" s="478"/>
      <c r="AG470" s="140">
        <f t="shared" si="310"/>
        <v>0</v>
      </c>
      <c r="AH470" s="92" t="str">
        <f t="shared" si="311"/>
        <v/>
      </c>
      <c r="AI470" s="131">
        <f t="shared" si="312"/>
        <v>0</v>
      </c>
      <c r="AJ470" s="2"/>
      <c r="AK470" s="92">
        <f>IF(G470=G$481,0,IF(OR(G470&lt;&gt;0,CJ470&lt;&gt;0,C470="L"),COUNTIF(AK$114:AK469,"&gt;0")+1,0))</f>
        <v>0</v>
      </c>
      <c r="AL470" s="92" t="str">
        <f t="shared" si="313"/>
        <v/>
      </c>
      <c r="AM470" s="92" t="str">
        <f t="shared" si="314"/>
        <v/>
      </c>
      <c r="AN470" s="131">
        <f t="shared" si="304"/>
        <v>0</v>
      </c>
      <c r="AO470" s="447">
        <f>SUM(DIC!W29:Z29)</f>
        <v>0</v>
      </c>
      <c r="AP470" s="445">
        <f>SUMIF(DIC!$G$155:$J$155,AP$112,DIC!$R29:$U29)</f>
        <v>0</v>
      </c>
      <c r="AQ470" s="446">
        <f>SUMIF(DIC!$G$155:$J$155,AQ$112,DIC!$R29:$U29)</f>
        <v>0</v>
      </c>
      <c r="AR470" s="447">
        <f>SUMIF(DIC!$G$155:$J$155,AR$112,DIC!$R29:$U29)</f>
        <v>0</v>
      </c>
      <c r="AS470" s="448">
        <f>SUMIF(DIC!$G$155:$J$155,AS$112,DIC!$R29:$U29)</f>
        <v>0</v>
      </c>
      <c r="AT470" s="449">
        <f>DIC!AG29</f>
        <v>0</v>
      </c>
      <c r="AU470" s="445">
        <f>DIC!AH29</f>
        <v>0</v>
      </c>
      <c r="AV470" s="446">
        <f>DIC!AI29</f>
        <v>0</v>
      </c>
      <c r="AW470" s="447">
        <f>DIC!AJ29</f>
        <v>0</v>
      </c>
      <c r="AX470" s="448">
        <f>DIC!AK29</f>
        <v>0</v>
      </c>
      <c r="AY470" s="445">
        <f>SUMIF(DIC!$G$152:$J$152,"&gt;0",DIC!$W29:$Z29)</f>
        <v>0</v>
      </c>
      <c r="AZ470" s="1063">
        <f>SUM(DIC!AB29:AE29)</f>
        <v>0</v>
      </c>
      <c r="BA470" s="445">
        <f>SUMIF(DIC!$G$159:$J$159,BA$111,DIC!$R29:$U29)+SUMIF(DIC!$G$159:$J$159,BA$111,DIC!$W29:$Z29)</f>
        <v>0</v>
      </c>
      <c r="BB470" s="446">
        <f>SUMIF(DIC!$G$159:$J$159,BB$111,DIC!$R29:$U29)+SUMIF(DIC!$G$159:$J$159,BB$111,DIC!$W29:$Z29)</f>
        <v>0</v>
      </c>
      <c r="BC470" s="446">
        <f>SUMIF(DIC!$G$159:$J$159,BC$111,DIC!$R29:$U29)+SUMIF(DIC!$G$159:$J$159,BC$111,DIC!$W29:$Z29)</f>
        <v>0</v>
      </c>
      <c r="BD470" s="446">
        <f>SUMIF(DIC!$G$159:$J$159,BD$111,DIC!$R29:$U29)+SUMIF(DIC!$G$159:$J$159,BD$111,DIC!$W29:$Z29)</f>
        <v>0</v>
      </c>
      <c r="BE470" s="446">
        <f>SUMIF(DIC!$G$159:$J$159,BE$111,DIC!$R29:$U29)+SUMIF(DIC!$G$159:$J$159,BE$111,DIC!$W29:$Z29)</f>
        <v>0</v>
      </c>
      <c r="BF470" s="446">
        <f>SUMIF(DIC!$G$159:$J$159,BF$111,DIC!$R29:$U29)+SUMIF(DIC!$G$159:$J$159,BF$111,DIC!$W29:$Z29)</f>
        <v>0</v>
      </c>
      <c r="BG470" s="448">
        <f>SUMIF(DIC!$G$159:$J$159,BG$111,DIC!$R29:$U29)+SUMIF(DIC!$G$159:$J$159,BG$111,DIC!$W29:$Z29)</f>
        <v>0</v>
      </c>
      <c r="BH470" s="571"/>
      <c r="BI470" s="448"/>
      <c r="BJ470" s="470"/>
      <c r="BK470" s="445">
        <f>SUMIF(DIC!$G$157:$J$157,BK$111,DIC!$R29:$U29)+SUMIF(DIC!$G$157:$J$157,BK$111,DIC!$W29:$Z29)</f>
        <v>0</v>
      </c>
      <c r="BL470" s="446">
        <f>SUMIF(DIC!$G$157:$J$157,BL$111,DIC!$R29:$U29)+SUMIF(DIC!$G$157:$J$157,BL$111,DIC!$W29:$Z29)</f>
        <v>0</v>
      </c>
      <c r="BM470" s="446">
        <f>SUMIF(DIC!$G$157:$J$157,BM$111,DIC!$R29:$U29)+SUMIF(DIC!$G$157:$J$157,BM$111,DIC!$W29:$Z29)</f>
        <v>0</v>
      </c>
      <c r="BN470" s="446">
        <f>SUMIF(DIC!$G$157:$J$157,BN$111,DIC!$R29:$U29)+SUMIF(DIC!$G$157:$J$157,BN$111,DIC!$W29:$Z29)</f>
        <v>0</v>
      </c>
      <c r="BO470" s="446">
        <f>SUMIF(DIC!$G$157:$J$157,BO$111,DIC!$R29:$U29)+SUMIF(DIC!$G$157:$J$157,BO$111,DIC!$W29:$Z29)</f>
        <v>0</v>
      </c>
      <c r="BP470" s="446">
        <f>SUMIF(DIC!$G$157:$J$157,BP$111,DIC!$R29:$U29)+SUMIF(DIC!$G$157:$J$157,BP$111,DIC!$W29:$Z29)</f>
        <v>0</v>
      </c>
      <c r="BQ470" s="448">
        <f>SUMIF(DIC!$G$157:$J$157,BQ$111,DIC!$R29:$U29)+SUMIF(DIC!$G$157:$J$157,BQ$111,DIC!$W29:$Z29)</f>
        <v>0</v>
      </c>
      <c r="BR470" s="571"/>
      <c r="BS470" s="446"/>
      <c r="BT470" s="448"/>
      <c r="BU470" s="470"/>
      <c r="BV470" s="445">
        <f>SUMIF(DIC!$G$158:$J$158,BV$111,DIC!$R29:$U29)+SUMIF(DIC!$G$158:$J$158,BV$111,DIC!$W29:$Z29)</f>
        <v>0</v>
      </c>
      <c r="BW470" s="446">
        <f>SUMIF(DIC!$G$158:$J$158,BW$111,DIC!$R29:$U29)+SUMIF(DIC!$G$158:$J$158,BW$111,DIC!$W29:$Z29)</f>
        <v>0</v>
      </c>
      <c r="BX470" s="446">
        <f>SUMIF(DIC!$G$158:$J$158,BX$111,DIC!$R29:$U29)+SUMIF(DIC!$G$158:$J$158,BX$111,DIC!$W29:$Z29)</f>
        <v>0</v>
      </c>
      <c r="BY470" s="446">
        <f>SUMIF(DIC!$G$158:$J$158,BY$111,DIC!$R29:$U29)+SUMIF(DIC!$G$158:$J$158,BY$111,DIC!$W29:$Z29)</f>
        <v>0</v>
      </c>
      <c r="BZ470" s="446">
        <f>SUMIF(DIC!$G$158:$J$158,BZ$111,DIC!$R29:$U29)+SUMIF(DIC!$G$158:$J$158,BZ$111,DIC!$W29:$Z29)</f>
        <v>0</v>
      </c>
      <c r="CA470" s="446">
        <f>SUMIF(DIC!$G$158:$J$158,CA$111,DIC!$R29:$U29)+SUMIF(DIC!$G$158:$J$158,CA$111,DIC!$W29:$Z29)</f>
        <v>0</v>
      </c>
      <c r="CB470" s="448">
        <f>SUMIF(DIC!$G$158:$J$158,CB$111,DIC!$R29:$U29)+SUMIF(DIC!$G$158:$J$158,CB$111,DIC!$W29:$Z29)</f>
        <v>0</v>
      </c>
      <c r="CC470" s="571"/>
      <c r="CD470" s="448"/>
      <c r="CE470" s="92">
        <f t="shared" si="315"/>
        <v>0</v>
      </c>
      <c r="CF470" s="92">
        <f t="shared" si="316"/>
        <v>0</v>
      </c>
      <c r="CG470" s="151" t="str">
        <f t="shared" si="302"/>
        <v/>
      </c>
      <c r="CH470" s="92">
        <f t="shared" si="305"/>
        <v>0</v>
      </c>
      <c r="CI470" s="92" t="str">
        <f t="shared" si="317"/>
        <v/>
      </c>
      <c r="CJ470" s="1100">
        <f>DIC!AM29</f>
        <v>0</v>
      </c>
      <c r="CK470" s="445">
        <f>SUMIF(DIC!$G$155:$J$155,CK$112,DIC!$AN29:$AQ29)</f>
        <v>0</v>
      </c>
      <c r="CL470" s="446">
        <f>SUMIF(DIC!$G$155:$J$155,CL$112,DIC!$AN29:$AQ29)</f>
        <v>0</v>
      </c>
      <c r="CM470" s="447">
        <f>SUMIF(DIC!$G$155:$J$155,CM$112,DIC!$AN29:$AQ29)</f>
        <v>0</v>
      </c>
      <c r="CN470" s="448">
        <f>SUMIF(DIC!$G$155:$J$155,CN$112,DIC!$AN29:$AQ29)</f>
        <v>0</v>
      </c>
      <c r="CO470" s="1100">
        <f>DIC!AS29</f>
        <v>0</v>
      </c>
      <c r="CP470" s="445">
        <f>DIC!AT29</f>
        <v>0</v>
      </c>
      <c r="CQ470" s="446">
        <f>DIC!AU29</f>
        <v>0</v>
      </c>
      <c r="CR470" s="447">
        <f>DIC!AV29</f>
        <v>0</v>
      </c>
      <c r="CS470" s="448">
        <f>DIC!AW29</f>
        <v>0</v>
      </c>
      <c r="CT470" s="1100">
        <f>DIC!AY29</f>
        <v>0</v>
      </c>
      <c r="CU470" s="2"/>
    </row>
    <row r="471" spans="1:99" ht="14.25" hidden="1" customHeight="1" x14ac:dyDescent="0.2">
      <c r="A471" s="2"/>
      <c r="B471" s="151">
        <f t="shared" si="306"/>
        <v>45649</v>
      </c>
      <c r="C471" s="223">
        <f>IF(AND(E471&gt;(N$496-1),E471&lt;(R$496+1)),W$485,IF(ISERROR(HLOOKUP(E471,$N$489:$U$489,1,FALSE)),HLOOKUP(WEEKDAY(E471,2),IMPOSTAZIONI!$C$51:$P$56,6,FALSE),$W$484))</f>
        <v>0</v>
      </c>
      <c r="D471" s="103" t="str">
        <f t="shared" si="307"/>
        <v/>
      </c>
      <c r="E471" s="2380">
        <f t="shared" si="318"/>
        <v>45649</v>
      </c>
      <c r="F471" s="2381"/>
      <c r="G471" s="2325" t="str">
        <f>DIC!E30</f>
        <v xml:space="preserve">attiva trim.  </v>
      </c>
      <c r="H471" s="2326"/>
      <c r="I471" s="2327"/>
      <c r="J471" s="479" t="str">
        <f t="shared" si="303"/>
        <v/>
      </c>
      <c r="K471" s="480"/>
      <c r="L471" s="2323">
        <f t="shared" si="319"/>
        <v>52</v>
      </c>
      <c r="M471" s="2324"/>
      <c r="N471" s="478"/>
      <c r="O471" s="478"/>
      <c r="P471" s="478"/>
      <c r="Q471" s="2315">
        <f t="shared" si="308"/>
        <v>45649</v>
      </c>
      <c r="R471" s="2315"/>
      <c r="S471" s="478"/>
      <c r="T471" s="140">
        <f t="shared" si="309"/>
        <v>1</v>
      </c>
      <c r="U471" s="478"/>
      <c r="V471" s="478"/>
      <c r="W471" s="478"/>
      <c r="X471" s="478"/>
      <c r="Y471" s="478"/>
      <c r="Z471" s="478"/>
      <c r="AA471" s="478"/>
      <c r="AB471" s="478"/>
      <c r="AC471" s="478"/>
      <c r="AD471" s="478"/>
      <c r="AE471" s="478"/>
      <c r="AF471" s="478"/>
      <c r="AG471" s="140">
        <f t="shared" si="310"/>
        <v>0</v>
      </c>
      <c r="AH471" s="92" t="str">
        <f t="shared" si="311"/>
        <v/>
      </c>
      <c r="AI471" s="131">
        <f t="shared" si="312"/>
        <v>0</v>
      </c>
      <c r="AJ471" s="2"/>
      <c r="AK471" s="92">
        <f>IF(G471=G$481,0,IF(OR(G471&lt;&gt;0,CJ471&lt;&gt;0,C471="L"),COUNTIF(AK$114:AK470,"&gt;0")+1,0))</f>
        <v>0</v>
      </c>
      <c r="AL471" s="92" t="str">
        <f t="shared" si="313"/>
        <v/>
      </c>
      <c r="AM471" s="92" t="str">
        <f t="shared" si="314"/>
        <v/>
      </c>
      <c r="AN471" s="131">
        <f t="shared" si="304"/>
        <v>0</v>
      </c>
      <c r="AO471" s="447">
        <f>SUM(DIC!W30:Z30)</f>
        <v>0</v>
      </c>
      <c r="AP471" s="445">
        <f>SUMIF(DIC!$G$155:$J$155,AP$112,DIC!$R30:$U30)</f>
        <v>0</v>
      </c>
      <c r="AQ471" s="446">
        <f>SUMIF(DIC!$G$155:$J$155,AQ$112,DIC!$R30:$U30)</f>
        <v>0</v>
      </c>
      <c r="AR471" s="447">
        <f>SUMIF(DIC!$G$155:$J$155,AR$112,DIC!$R30:$U30)</f>
        <v>0</v>
      </c>
      <c r="AS471" s="448">
        <f>SUMIF(DIC!$G$155:$J$155,AS$112,DIC!$R30:$U30)</f>
        <v>0</v>
      </c>
      <c r="AT471" s="449">
        <f>DIC!AG30</f>
        <v>0</v>
      </c>
      <c r="AU471" s="445">
        <f>DIC!AH30</f>
        <v>0</v>
      </c>
      <c r="AV471" s="446">
        <f>DIC!AI30</f>
        <v>0</v>
      </c>
      <c r="AW471" s="447">
        <f>DIC!AJ30</f>
        <v>0</v>
      </c>
      <c r="AX471" s="448">
        <f>DIC!AK30</f>
        <v>0</v>
      </c>
      <c r="AY471" s="445">
        <f>SUMIF(DIC!$G$152:$J$152,"&gt;0",DIC!$W30:$Z30)</f>
        <v>0</v>
      </c>
      <c r="AZ471" s="1063">
        <f>SUM(DIC!AB30:AE30)</f>
        <v>0</v>
      </c>
      <c r="BA471" s="445">
        <f>SUMIF(DIC!$G$159:$J$159,BA$111,DIC!$R30:$U30)+SUMIF(DIC!$G$159:$J$159,BA$111,DIC!$W30:$Z30)</f>
        <v>0</v>
      </c>
      <c r="BB471" s="446">
        <f>SUMIF(DIC!$G$159:$J$159,BB$111,DIC!$R30:$U30)+SUMIF(DIC!$G$159:$J$159,BB$111,DIC!$W30:$Z30)</f>
        <v>0</v>
      </c>
      <c r="BC471" s="446">
        <f>SUMIF(DIC!$G$159:$J$159,BC$111,DIC!$R30:$U30)+SUMIF(DIC!$G$159:$J$159,BC$111,DIC!$W30:$Z30)</f>
        <v>0</v>
      </c>
      <c r="BD471" s="446">
        <f>SUMIF(DIC!$G$159:$J$159,BD$111,DIC!$R30:$U30)+SUMIF(DIC!$G$159:$J$159,BD$111,DIC!$W30:$Z30)</f>
        <v>0</v>
      </c>
      <c r="BE471" s="446">
        <f>SUMIF(DIC!$G$159:$J$159,BE$111,DIC!$R30:$U30)+SUMIF(DIC!$G$159:$J$159,BE$111,DIC!$W30:$Z30)</f>
        <v>0</v>
      </c>
      <c r="BF471" s="446">
        <f>SUMIF(DIC!$G$159:$J$159,BF$111,DIC!$R30:$U30)+SUMIF(DIC!$G$159:$J$159,BF$111,DIC!$W30:$Z30)</f>
        <v>0</v>
      </c>
      <c r="BG471" s="448">
        <f>SUMIF(DIC!$G$159:$J$159,BG$111,DIC!$R30:$U30)+SUMIF(DIC!$G$159:$J$159,BG$111,DIC!$W30:$Z30)</f>
        <v>0</v>
      </c>
      <c r="BH471" s="571"/>
      <c r="BI471" s="448"/>
      <c r="BJ471" s="470"/>
      <c r="BK471" s="445">
        <f>SUMIF(DIC!$G$157:$J$157,BK$111,DIC!$R30:$U30)+SUMIF(DIC!$G$157:$J$157,BK$111,DIC!$W30:$Z30)</f>
        <v>0</v>
      </c>
      <c r="BL471" s="446">
        <f>SUMIF(DIC!$G$157:$J$157,BL$111,DIC!$R30:$U30)+SUMIF(DIC!$G$157:$J$157,BL$111,DIC!$W30:$Z30)</f>
        <v>0</v>
      </c>
      <c r="BM471" s="446">
        <f>SUMIF(DIC!$G$157:$J$157,BM$111,DIC!$R30:$U30)+SUMIF(DIC!$G$157:$J$157,BM$111,DIC!$W30:$Z30)</f>
        <v>0</v>
      </c>
      <c r="BN471" s="446">
        <f>SUMIF(DIC!$G$157:$J$157,BN$111,DIC!$R30:$U30)+SUMIF(DIC!$G$157:$J$157,BN$111,DIC!$W30:$Z30)</f>
        <v>0</v>
      </c>
      <c r="BO471" s="446">
        <f>SUMIF(DIC!$G$157:$J$157,BO$111,DIC!$R30:$U30)+SUMIF(DIC!$G$157:$J$157,BO$111,DIC!$W30:$Z30)</f>
        <v>0</v>
      </c>
      <c r="BP471" s="446">
        <f>SUMIF(DIC!$G$157:$J$157,BP$111,DIC!$R30:$U30)+SUMIF(DIC!$G$157:$J$157,BP$111,DIC!$W30:$Z30)</f>
        <v>0</v>
      </c>
      <c r="BQ471" s="448">
        <f>SUMIF(DIC!$G$157:$J$157,BQ$111,DIC!$R30:$U30)+SUMIF(DIC!$G$157:$J$157,BQ$111,DIC!$W30:$Z30)</f>
        <v>0</v>
      </c>
      <c r="BR471" s="571"/>
      <c r="BS471" s="446"/>
      <c r="BT471" s="448"/>
      <c r="BU471" s="470"/>
      <c r="BV471" s="445">
        <f>SUMIF(DIC!$G$158:$J$158,BV$111,DIC!$R30:$U30)+SUMIF(DIC!$G$158:$J$158,BV$111,DIC!$W30:$Z30)</f>
        <v>0</v>
      </c>
      <c r="BW471" s="446">
        <f>SUMIF(DIC!$G$158:$J$158,BW$111,DIC!$R30:$U30)+SUMIF(DIC!$G$158:$J$158,BW$111,DIC!$W30:$Z30)</f>
        <v>0</v>
      </c>
      <c r="BX471" s="446">
        <f>SUMIF(DIC!$G$158:$J$158,BX$111,DIC!$R30:$U30)+SUMIF(DIC!$G$158:$J$158,BX$111,DIC!$W30:$Z30)</f>
        <v>0</v>
      </c>
      <c r="BY471" s="446">
        <f>SUMIF(DIC!$G$158:$J$158,BY$111,DIC!$R30:$U30)+SUMIF(DIC!$G$158:$J$158,BY$111,DIC!$W30:$Z30)</f>
        <v>0</v>
      </c>
      <c r="BZ471" s="446">
        <f>SUMIF(DIC!$G$158:$J$158,BZ$111,DIC!$R30:$U30)+SUMIF(DIC!$G$158:$J$158,BZ$111,DIC!$W30:$Z30)</f>
        <v>0</v>
      </c>
      <c r="CA471" s="446">
        <f>SUMIF(DIC!$G$158:$J$158,CA$111,DIC!$R30:$U30)+SUMIF(DIC!$G$158:$J$158,CA$111,DIC!$W30:$Z30)</f>
        <v>0</v>
      </c>
      <c r="CB471" s="448">
        <f>SUMIF(DIC!$G$158:$J$158,CB$111,DIC!$R30:$U30)+SUMIF(DIC!$G$158:$J$158,CB$111,DIC!$W30:$Z30)</f>
        <v>0</v>
      </c>
      <c r="CC471" s="571"/>
      <c r="CD471" s="448"/>
      <c r="CE471" s="92">
        <f t="shared" si="315"/>
        <v>0</v>
      </c>
      <c r="CF471" s="92">
        <f t="shared" si="316"/>
        <v>0</v>
      </c>
      <c r="CG471" s="151" t="str">
        <f t="shared" si="302"/>
        <v/>
      </c>
      <c r="CH471" s="92">
        <f t="shared" si="305"/>
        <v>0</v>
      </c>
      <c r="CI471" s="92" t="str">
        <f t="shared" si="317"/>
        <v/>
      </c>
      <c r="CJ471" s="1100">
        <f>DIC!AM30</f>
        <v>0</v>
      </c>
      <c r="CK471" s="445">
        <f>SUMIF(DIC!$G$155:$J$155,CK$112,DIC!$AN30:$AQ30)</f>
        <v>0</v>
      </c>
      <c r="CL471" s="446">
        <f>SUMIF(DIC!$G$155:$J$155,CL$112,DIC!$AN30:$AQ30)</f>
        <v>0</v>
      </c>
      <c r="CM471" s="447">
        <f>SUMIF(DIC!$G$155:$J$155,CM$112,DIC!$AN30:$AQ30)</f>
        <v>0</v>
      </c>
      <c r="CN471" s="448">
        <f>SUMIF(DIC!$G$155:$J$155,CN$112,DIC!$AN30:$AQ30)</f>
        <v>0</v>
      </c>
      <c r="CO471" s="1100">
        <f>DIC!AS30</f>
        <v>0</v>
      </c>
      <c r="CP471" s="445">
        <f>DIC!AT30</f>
        <v>0</v>
      </c>
      <c r="CQ471" s="446">
        <f>DIC!AU30</f>
        <v>0</v>
      </c>
      <c r="CR471" s="447">
        <f>DIC!AV30</f>
        <v>0</v>
      </c>
      <c r="CS471" s="448">
        <f>DIC!AW30</f>
        <v>0</v>
      </c>
      <c r="CT471" s="1100">
        <f>DIC!AY30</f>
        <v>0</v>
      </c>
      <c r="CU471" s="2"/>
    </row>
    <row r="472" spans="1:99" ht="14.25" hidden="1" customHeight="1" x14ac:dyDescent="0.2">
      <c r="A472" s="2"/>
      <c r="B472" s="151">
        <f t="shared" si="306"/>
        <v>45650</v>
      </c>
      <c r="C472" s="223">
        <f>IF(AND(E472&gt;(N$496-1),E472&lt;(R$496+1)),W$485,IF(ISERROR(HLOOKUP(E472,$N$489:$U$489,1,FALSE)),HLOOKUP(WEEKDAY(E472,2),IMPOSTAZIONI!$C$51:$P$56,6,FALSE),$W$484))</f>
        <v>0</v>
      </c>
      <c r="D472" s="103" t="str">
        <f t="shared" si="307"/>
        <v/>
      </c>
      <c r="E472" s="2380">
        <f t="shared" si="318"/>
        <v>45650</v>
      </c>
      <c r="F472" s="2381"/>
      <c r="G472" s="2325" t="str">
        <f>DIC!E31</f>
        <v xml:space="preserve">attiva trim.  </v>
      </c>
      <c r="H472" s="2326"/>
      <c r="I472" s="2327"/>
      <c r="J472" s="479" t="str">
        <f t="shared" si="303"/>
        <v/>
      </c>
      <c r="K472" s="480"/>
      <c r="L472" s="2319">
        <f t="shared" si="319"/>
        <v>52</v>
      </c>
      <c r="M472" s="2320"/>
      <c r="N472" s="478"/>
      <c r="O472" s="478"/>
      <c r="P472" s="478"/>
      <c r="Q472" s="2315">
        <f t="shared" si="308"/>
        <v>45650</v>
      </c>
      <c r="R472" s="2315"/>
      <c r="S472" s="478"/>
      <c r="T472" s="140">
        <f t="shared" si="309"/>
        <v>1</v>
      </c>
      <c r="U472" s="478"/>
      <c r="V472" s="478"/>
      <c r="W472" s="478"/>
      <c r="X472" s="478"/>
      <c r="Y472" s="478"/>
      <c r="Z472" s="478"/>
      <c r="AA472" s="478"/>
      <c r="AB472" s="478"/>
      <c r="AC472" s="478"/>
      <c r="AD472" s="478"/>
      <c r="AE472" s="478"/>
      <c r="AF472" s="478"/>
      <c r="AG472" s="140">
        <f t="shared" si="310"/>
        <v>0</v>
      </c>
      <c r="AH472" s="92" t="str">
        <f t="shared" si="311"/>
        <v/>
      </c>
      <c r="AI472" s="131">
        <f t="shared" si="312"/>
        <v>0</v>
      </c>
      <c r="AJ472" s="2"/>
      <c r="AK472" s="92">
        <f>IF(G472=G$481,0,IF(OR(G472&lt;&gt;0,CJ472&lt;&gt;0,C472="L"),COUNTIF(AK$114:AK471,"&gt;0")+1,0))</f>
        <v>0</v>
      </c>
      <c r="AL472" s="92" t="str">
        <f t="shared" si="313"/>
        <v/>
      </c>
      <c r="AM472" s="92" t="str">
        <f t="shared" si="314"/>
        <v/>
      </c>
      <c r="AN472" s="131">
        <f t="shared" si="304"/>
        <v>0</v>
      </c>
      <c r="AO472" s="447">
        <f>SUM(DIC!W31:Z31)</f>
        <v>0</v>
      </c>
      <c r="AP472" s="445">
        <f>SUMIF(DIC!$G$155:$J$155,AP$112,DIC!$R31:$U31)</f>
        <v>0</v>
      </c>
      <c r="AQ472" s="446">
        <f>SUMIF(DIC!$G$155:$J$155,AQ$112,DIC!$R31:$U31)</f>
        <v>0</v>
      </c>
      <c r="AR472" s="447">
        <f>SUMIF(DIC!$G$155:$J$155,AR$112,DIC!$R31:$U31)</f>
        <v>0</v>
      </c>
      <c r="AS472" s="448">
        <f>SUMIF(DIC!$G$155:$J$155,AS$112,DIC!$R31:$U31)</f>
        <v>0</v>
      </c>
      <c r="AT472" s="449">
        <f>DIC!AG31</f>
        <v>0</v>
      </c>
      <c r="AU472" s="445">
        <f>DIC!AH31</f>
        <v>0</v>
      </c>
      <c r="AV472" s="446">
        <f>DIC!AI31</f>
        <v>0</v>
      </c>
      <c r="AW472" s="447">
        <f>DIC!AJ31</f>
        <v>0</v>
      </c>
      <c r="AX472" s="448">
        <f>DIC!AK31</f>
        <v>0</v>
      </c>
      <c r="AY472" s="445">
        <f>SUMIF(DIC!$G$152:$J$152,"&gt;0",DIC!$W31:$Z31)</f>
        <v>0</v>
      </c>
      <c r="AZ472" s="1063">
        <f>SUM(DIC!AB31:AE31)</f>
        <v>0</v>
      </c>
      <c r="BA472" s="445">
        <f>SUMIF(DIC!$G$159:$J$159,BA$111,DIC!$R31:$U31)+SUMIF(DIC!$G$159:$J$159,BA$111,DIC!$W31:$Z31)</f>
        <v>0</v>
      </c>
      <c r="BB472" s="446">
        <f>SUMIF(DIC!$G$159:$J$159,BB$111,DIC!$R31:$U31)+SUMIF(DIC!$G$159:$J$159,BB$111,DIC!$W31:$Z31)</f>
        <v>0</v>
      </c>
      <c r="BC472" s="446">
        <f>SUMIF(DIC!$G$159:$J$159,BC$111,DIC!$R31:$U31)+SUMIF(DIC!$G$159:$J$159,BC$111,DIC!$W31:$Z31)</f>
        <v>0</v>
      </c>
      <c r="BD472" s="446">
        <f>SUMIF(DIC!$G$159:$J$159,BD$111,DIC!$R31:$U31)+SUMIF(DIC!$G$159:$J$159,BD$111,DIC!$W31:$Z31)</f>
        <v>0</v>
      </c>
      <c r="BE472" s="446">
        <f>SUMIF(DIC!$G$159:$J$159,BE$111,DIC!$R31:$U31)+SUMIF(DIC!$G$159:$J$159,BE$111,DIC!$W31:$Z31)</f>
        <v>0</v>
      </c>
      <c r="BF472" s="446">
        <f>SUMIF(DIC!$G$159:$J$159,BF$111,DIC!$R31:$U31)+SUMIF(DIC!$G$159:$J$159,BF$111,DIC!$W31:$Z31)</f>
        <v>0</v>
      </c>
      <c r="BG472" s="448">
        <f>SUMIF(DIC!$G$159:$J$159,BG$111,DIC!$R31:$U31)+SUMIF(DIC!$G$159:$J$159,BG$111,DIC!$W31:$Z31)</f>
        <v>0</v>
      </c>
      <c r="BH472" s="571"/>
      <c r="BI472" s="448"/>
      <c r="BJ472" s="470"/>
      <c r="BK472" s="445">
        <f>SUMIF(DIC!$G$157:$J$157,BK$111,DIC!$R31:$U31)+SUMIF(DIC!$G$157:$J$157,BK$111,DIC!$W31:$Z31)</f>
        <v>0</v>
      </c>
      <c r="BL472" s="446">
        <f>SUMIF(DIC!$G$157:$J$157,BL$111,DIC!$R31:$U31)+SUMIF(DIC!$G$157:$J$157,BL$111,DIC!$W31:$Z31)</f>
        <v>0</v>
      </c>
      <c r="BM472" s="446">
        <f>SUMIF(DIC!$G$157:$J$157,BM$111,DIC!$R31:$U31)+SUMIF(DIC!$G$157:$J$157,BM$111,DIC!$W31:$Z31)</f>
        <v>0</v>
      </c>
      <c r="BN472" s="446">
        <f>SUMIF(DIC!$G$157:$J$157,BN$111,DIC!$R31:$U31)+SUMIF(DIC!$G$157:$J$157,BN$111,DIC!$W31:$Z31)</f>
        <v>0</v>
      </c>
      <c r="BO472" s="446">
        <f>SUMIF(DIC!$G$157:$J$157,BO$111,DIC!$R31:$U31)+SUMIF(DIC!$G$157:$J$157,BO$111,DIC!$W31:$Z31)</f>
        <v>0</v>
      </c>
      <c r="BP472" s="446">
        <f>SUMIF(DIC!$G$157:$J$157,BP$111,DIC!$R31:$U31)+SUMIF(DIC!$G$157:$J$157,BP$111,DIC!$W31:$Z31)</f>
        <v>0</v>
      </c>
      <c r="BQ472" s="448">
        <f>SUMIF(DIC!$G$157:$J$157,BQ$111,DIC!$R31:$U31)+SUMIF(DIC!$G$157:$J$157,BQ$111,DIC!$W31:$Z31)</f>
        <v>0</v>
      </c>
      <c r="BR472" s="571"/>
      <c r="BS472" s="446"/>
      <c r="BT472" s="448"/>
      <c r="BU472" s="470"/>
      <c r="BV472" s="445">
        <f>SUMIF(DIC!$G$158:$J$158,BV$111,DIC!$R31:$U31)+SUMIF(DIC!$G$158:$J$158,BV$111,DIC!$W31:$Z31)</f>
        <v>0</v>
      </c>
      <c r="BW472" s="446">
        <f>SUMIF(DIC!$G$158:$J$158,BW$111,DIC!$R31:$U31)+SUMIF(DIC!$G$158:$J$158,BW$111,DIC!$W31:$Z31)</f>
        <v>0</v>
      </c>
      <c r="BX472" s="446">
        <f>SUMIF(DIC!$G$158:$J$158,BX$111,DIC!$R31:$U31)+SUMIF(DIC!$G$158:$J$158,BX$111,DIC!$W31:$Z31)</f>
        <v>0</v>
      </c>
      <c r="BY472" s="446">
        <f>SUMIF(DIC!$G$158:$J$158,BY$111,DIC!$R31:$U31)+SUMIF(DIC!$G$158:$J$158,BY$111,DIC!$W31:$Z31)</f>
        <v>0</v>
      </c>
      <c r="BZ472" s="446">
        <f>SUMIF(DIC!$G$158:$J$158,BZ$111,DIC!$R31:$U31)+SUMIF(DIC!$G$158:$J$158,BZ$111,DIC!$W31:$Z31)</f>
        <v>0</v>
      </c>
      <c r="CA472" s="446">
        <f>SUMIF(DIC!$G$158:$J$158,CA$111,DIC!$R31:$U31)+SUMIF(DIC!$G$158:$J$158,CA$111,DIC!$W31:$Z31)</f>
        <v>0</v>
      </c>
      <c r="CB472" s="448">
        <f>SUMIF(DIC!$G$158:$J$158,CB$111,DIC!$R31:$U31)+SUMIF(DIC!$G$158:$J$158,CB$111,DIC!$W31:$Z31)</f>
        <v>0</v>
      </c>
      <c r="CC472" s="571"/>
      <c r="CD472" s="448"/>
      <c r="CE472" s="92">
        <f t="shared" si="315"/>
        <v>0</v>
      </c>
      <c r="CF472" s="92">
        <f t="shared" si="316"/>
        <v>0</v>
      </c>
      <c r="CG472" s="151" t="str">
        <f t="shared" si="302"/>
        <v/>
      </c>
      <c r="CH472" s="92">
        <f t="shared" si="305"/>
        <v>0</v>
      </c>
      <c r="CI472" s="92" t="str">
        <f t="shared" si="317"/>
        <v/>
      </c>
      <c r="CJ472" s="1100">
        <f>DIC!AM31</f>
        <v>0</v>
      </c>
      <c r="CK472" s="445">
        <f>SUMIF(DIC!$G$155:$J$155,CK$112,DIC!$AN31:$AQ31)</f>
        <v>0</v>
      </c>
      <c r="CL472" s="446">
        <f>SUMIF(DIC!$G$155:$J$155,CL$112,DIC!$AN31:$AQ31)</f>
        <v>0</v>
      </c>
      <c r="CM472" s="447">
        <f>SUMIF(DIC!$G$155:$J$155,CM$112,DIC!$AN31:$AQ31)</f>
        <v>0</v>
      </c>
      <c r="CN472" s="448">
        <f>SUMIF(DIC!$G$155:$J$155,CN$112,DIC!$AN31:$AQ31)</f>
        <v>0</v>
      </c>
      <c r="CO472" s="1100">
        <f>DIC!AS31</f>
        <v>0</v>
      </c>
      <c r="CP472" s="445">
        <f>DIC!AT31</f>
        <v>0</v>
      </c>
      <c r="CQ472" s="446">
        <f>DIC!AU31</f>
        <v>0</v>
      </c>
      <c r="CR472" s="447">
        <f>DIC!AV31</f>
        <v>0</v>
      </c>
      <c r="CS472" s="448">
        <f>DIC!AW31</f>
        <v>0</v>
      </c>
      <c r="CT472" s="1100">
        <f>DIC!AY31</f>
        <v>0</v>
      </c>
      <c r="CU472" s="2"/>
    </row>
    <row r="473" spans="1:99" ht="14.25" hidden="1" customHeight="1" x14ac:dyDescent="0.2">
      <c r="A473" s="2"/>
      <c r="B473" s="151">
        <f t="shared" si="306"/>
        <v>45651</v>
      </c>
      <c r="C473" s="223">
        <f>IF(AND(E473&gt;(N$496-1),E473&lt;(R$496+1)),W$485,IF(ISERROR(HLOOKUP(E473,$N$489:$U$489,1,FALSE)),HLOOKUP(WEEKDAY(E473,2),IMPOSTAZIONI!$C$51:$P$56,6,FALSE),$W$484))</f>
        <v>0</v>
      </c>
      <c r="D473" s="103" t="str">
        <f t="shared" si="307"/>
        <v/>
      </c>
      <c r="E473" s="2380">
        <f t="shared" si="318"/>
        <v>45651</v>
      </c>
      <c r="F473" s="2381"/>
      <c r="G473" s="2325" t="str">
        <f>DIC!E32</f>
        <v xml:space="preserve">attiva trim.  </v>
      </c>
      <c r="H473" s="2326"/>
      <c r="I473" s="2327"/>
      <c r="J473" s="479" t="str">
        <f t="shared" si="303"/>
        <v/>
      </c>
      <c r="K473" s="480"/>
      <c r="L473" s="2330">
        <f t="shared" si="319"/>
        <v>52</v>
      </c>
      <c r="M473" s="2331"/>
      <c r="N473" s="478"/>
      <c r="O473" s="478"/>
      <c r="P473" s="478"/>
      <c r="Q473" s="2315">
        <f t="shared" si="308"/>
        <v>45651</v>
      </c>
      <c r="R473" s="2315"/>
      <c r="S473" s="478"/>
      <c r="T473" s="140">
        <f t="shared" si="309"/>
        <v>1</v>
      </c>
      <c r="U473" s="478"/>
      <c r="V473" s="478"/>
      <c r="W473" s="478"/>
      <c r="X473" s="478"/>
      <c r="Y473" s="478"/>
      <c r="Z473" s="478"/>
      <c r="AA473" s="478"/>
      <c r="AB473" s="478"/>
      <c r="AC473" s="478"/>
      <c r="AD473" s="478"/>
      <c r="AE473" s="478"/>
      <c r="AF473" s="478"/>
      <c r="AG473" s="140">
        <f t="shared" si="310"/>
        <v>0</v>
      </c>
      <c r="AH473" s="92" t="str">
        <f t="shared" si="311"/>
        <v/>
      </c>
      <c r="AI473" s="131">
        <f t="shared" si="312"/>
        <v>0</v>
      </c>
      <c r="AJ473" s="2"/>
      <c r="AK473" s="92">
        <f>IF(G473=G$481,0,IF(OR(G473&lt;&gt;0,CJ473&lt;&gt;0,C473="L"),COUNTIF(AK$114:AK472,"&gt;0")+1,0))</f>
        <v>0</v>
      </c>
      <c r="AL473" s="92" t="str">
        <f t="shared" si="313"/>
        <v/>
      </c>
      <c r="AM473" s="92" t="str">
        <f t="shared" si="314"/>
        <v/>
      </c>
      <c r="AN473" s="131">
        <f t="shared" si="304"/>
        <v>0</v>
      </c>
      <c r="AO473" s="447">
        <f>SUM(DIC!W32:Z32)</f>
        <v>0</v>
      </c>
      <c r="AP473" s="445">
        <f>SUMIF(DIC!$G$155:$J$155,AP$112,DIC!$R32:$U32)</f>
        <v>0</v>
      </c>
      <c r="AQ473" s="446">
        <f>SUMIF(DIC!$G$155:$J$155,AQ$112,DIC!$R32:$U32)</f>
        <v>0</v>
      </c>
      <c r="AR473" s="447">
        <f>SUMIF(DIC!$G$155:$J$155,AR$112,DIC!$R32:$U32)</f>
        <v>0</v>
      </c>
      <c r="AS473" s="448">
        <f>SUMIF(DIC!$G$155:$J$155,AS$112,DIC!$R32:$U32)</f>
        <v>0</v>
      </c>
      <c r="AT473" s="449">
        <f>DIC!AG32</f>
        <v>0</v>
      </c>
      <c r="AU473" s="445">
        <f>DIC!AH32</f>
        <v>0</v>
      </c>
      <c r="AV473" s="446">
        <f>DIC!AI32</f>
        <v>0</v>
      </c>
      <c r="AW473" s="447">
        <f>DIC!AJ32</f>
        <v>0</v>
      </c>
      <c r="AX473" s="448">
        <f>DIC!AK32</f>
        <v>0</v>
      </c>
      <c r="AY473" s="445">
        <f>SUMIF(DIC!$G$152:$J$152,"&gt;0",DIC!$W32:$Z32)</f>
        <v>0</v>
      </c>
      <c r="AZ473" s="1063">
        <f>SUM(DIC!AB32:AE32)</f>
        <v>0</v>
      </c>
      <c r="BA473" s="445">
        <f>SUMIF(DIC!$G$159:$J$159,BA$111,DIC!$R32:$U32)+SUMIF(DIC!$G$159:$J$159,BA$111,DIC!$W32:$Z32)</f>
        <v>0</v>
      </c>
      <c r="BB473" s="446">
        <f>SUMIF(DIC!$G$159:$J$159,BB$111,DIC!$R32:$U32)+SUMIF(DIC!$G$159:$J$159,BB$111,DIC!$W32:$Z32)</f>
        <v>0</v>
      </c>
      <c r="BC473" s="446">
        <f>SUMIF(DIC!$G$159:$J$159,BC$111,DIC!$R32:$U32)+SUMIF(DIC!$G$159:$J$159,BC$111,DIC!$W32:$Z32)</f>
        <v>0</v>
      </c>
      <c r="BD473" s="446">
        <f>SUMIF(DIC!$G$159:$J$159,BD$111,DIC!$R32:$U32)+SUMIF(DIC!$G$159:$J$159,BD$111,DIC!$W32:$Z32)</f>
        <v>0</v>
      </c>
      <c r="BE473" s="446">
        <f>SUMIF(DIC!$G$159:$J$159,BE$111,DIC!$R32:$U32)+SUMIF(DIC!$G$159:$J$159,BE$111,DIC!$W32:$Z32)</f>
        <v>0</v>
      </c>
      <c r="BF473" s="446">
        <f>SUMIF(DIC!$G$159:$J$159,BF$111,DIC!$R32:$U32)+SUMIF(DIC!$G$159:$J$159,BF$111,DIC!$W32:$Z32)</f>
        <v>0</v>
      </c>
      <c r="BG473" s="448">
        <f>SUMIF(DIC!$G$159:$J$159,BG$111,DIC!$R32:$U32)+SUMIF(DIC!$G$159:$J$159,BG$111,DIC!$W32:$Z32)</f>
        <v>0</v>
      </c>
      <c r="BH473" s="571"/>
      <c r="BI473" s="448"/>
      <c r="BJ473" s="470"/>
      <c r="BK473" s="445">
        <f>SUMIF(DIC!$G$157:$J$157,BK$111,DIC!$R32:$U32)+SUMIF(DIC!$G$157:$J$157,BK$111,DIC!$W32:$Z32)</f>
        <v>0</v>
      </c>
      <c r="BL473" s="446">
        <f>SUMIF(DIC!$G$157:$J$157,BL$111,DIC!$R32:$U32)+SUMIF(DIC!$G$157:$J$157,BL$111,DIC!$W32:$Z32)</f>
        <v>0</v>
      </c>
      <c r="BM473" s="446">
        <f>SUMIF(DIC!$G$157:$J$157,BM$111,DIC!$R32:$U32)+SUMIF(DIC!$G$157:$J$157,BM$111,DIC!$W32:$Z32)</f>
        <v>0</v>
      </c>
      <c r="BN473" s="446">
        <f>SUMIF(DIC!$G$157:$J$157,BN$111,DIC!$R32:$U32)+SUMIF(DIC!$G$157:$J$157,BN$111,DIC!$W32:$Z32)</f>
        <v>0</v>
      </c>
      <c r="BO473" s="446">
        <f>SUMIF(DIC!$G$157:$J$157,BO$111,DIC!$R32:$U32)+SUMIF(DIC!$G$157:$J$157,BO$111,DIC!$W32:$Z32)</f>
        <v>0</v>
      </c>
      <c r="BP473" s="446">
        <f>SUMIF(DIC!$G$157:$J$157,BP$111,DIC!$R32:$U32)+SUMIF(DIC!$G$157:$J$157,BP$111,DIC!$W32:$Z32)</f>
        <v>0</v>
      </c>
      <c r="BQ473" s="448">
        <f>SUMIF(DIC!$G$157:$J$157,BQ$111,DIC!$R32:$U32)+SUMIF(DIC!$G$157:$J$157,BQ$111,DIC!$W32:$Z32)</f>
        <v>0</v>
      </c>
      <c r="BR473" s="571"/>
      <c r="BS473" s="446"/>
      <c r="BT473" s="448"/>
      <c r="BU473" s="470"/>
      <c r="BV473" s="445">
        <f>SUMIF(DIC!$G$158:$J$158,BV$111,DIC!$R32:$U32)+SUMIF(DIC!$G$158:$J$158,BV$111,DIC!$W32:$Z32)</f>
        <v>0</v>
      </c>
      <c r="BW473" s="446">
        <f>SUMIF(DIC!$G$158:$J$158,BW$111,DIC!$R32:$U32)+SUMIF(DIC!$G$158:$J$158,BW$111,DIC!$W32:$Z32)</f>
        <v>0</v>
      </c>
      <c r="BX473" s="446">
        <f>SUMIF(DIC!$G$158:$J$158,BX$111,DIC!$R32:$U32)+SUMIF(DIC!$G$158:$J$158,BX$111,DIC!$W32:$Z32)</f>
        <v>0</v>
      </c>
      <c r="BY473" s="446">
        <f>SUMIF(DIC!$G$158:$J$158,BY$111,DIC!$R32:$U32)+SUMIF(DIC!$G$158:$J$158,BY$111,DIC!$W32:$Z32)</f>
        <v>0</v>
      </c>
      <c r="BZ473" s="446">
        <f>SUMIF(DIC!$G$158:$J$158,BZ$111,DIC!$R32:$U32)+SUMIF(DIC!$G$158:$J$158,BZ$111,DIC!$W32:$Z32)</f>
        <v>0</v>
      </c>
      <c r="CA473" s="446">
        <f>SUMIF(DIC!$G$158:$J$158,CA$111,DIC!$R32:$U32)+SUMIF(DIC!$G$158:$J$158,CA$111,DIC!$W32:$Z32)</f>
        <v>0</v>
      </c>
      <c r="CB473" s="448">
        <f>SUMIF(DIC!$G$158:$J$158,CB$111,DIC!$R32:$U32)+SUMIF(DIC!$G$158:$J$158,CB$111,DIC!$W32:$Z32)</f>
        <v>0</v>
      </c>
      <c r="CC473" s="571"/>
      <c r="CD473" s="448"/>
      <c r="CE473" s="92">
        <f t="shared" si="315"/>
        <v>0</v>
      </c>
      <c r="CF473" s="92">
        <f t="shared" si="316"/>
        <v>0</v>
      </c>
      <c r="CG473" s="151" t="str">
        <f t="shared" si="302"/>
        <v/>
      </c>
      <c r="CH473" s="92">
        <f t="shared" si="305"/>
        <v>0</v>
      </c>
      <c r="CI473" s="92" t="str">
        <f t="shared" si="317"/>
        <v/>
      </c>
      <c r="CJ473" s="1100">
        <f>DIC!AM32</f>
        <v>0</v>
      </c>
      <c r="CK473" s="445">
        <f>SUMIF(DIC!$G$155:$J$155,CK$112,DIC!$AN32:$AQ32)</f>
        <v>0</v>
      </c>
      <c r="CL473" s="446">
        <f>SUMIF(DIC!$G$155:$J$155,CL$112,DIC!$AN32:$AQ32)</f>
        <v>0</v>
      </c>
      <c r="CM473" s="447">
        <f>SUMIF(DIC!$G$155:$J$155,CM$112,DIC!$AN32:$AQ32)</f>
        <v>0</v>
      </c>
      <c r="CN473" s="448">
        <f>SUMIF(DIC!$G$155:$J$155,CN$112,DIC!$AN32:$AQ32)</f>
        <v>0</v>
      </c>
      <c r="CO473" s="1100">
        <f>DIC!AS32</f>
        <v>0</v>
      </c>
      <c r="CP473" s="445">
        <f>DIC!AT32</f>
        <v>0</v>
      </c>
      <c r="CQ473" s="446">
        <f>DIC!AU32</f>
        <v>0</v>
      </c>
      <c r="CR473" s="447">
        <f>DIC!AV32</f>
        <v>0</v>
      </c>
      <c r="CS473" s="448">
        <f>DIC!AW32</f>
        <v>0</v>
      </c>
      <c r="CT473" s="1100">
        <f>DIC!AY32</f>
        <v>0</v>
      </c>
      <c r="CU473" s="2"/>
    </row>
    <row r="474" spans="1:99" ht="14.25" hidden="1" customHeight="1" x14ac:dyDescent="0.2">
      <c r="A474" s="2"/>
      <c r="B474" s="151">
        <f t="shared" si="306"/>
        <v>45652</v>
      </c>
      <c r="C474" s="223">
        <f>IF(AND(E474&gt;(N$496-1),E474&lt;(R$496+1)),W$485,IF(ISERROR(HLOOKUP(E474,$N$489:$U$489,1,FALSE)),HLOOKUP(WEEKDAY(E474,2),IMPOSTAZIONI!$C$51:$P$56,6,FALSE),$W$484))</f>
        <v>0</v>
      </c>
      <c r="D474" s="103" t="str">
        <f t="shared" si="307"/>
        <v/>
      </c>
      <c r="E474" s="2380">
        <f t="shared" si="318"/>
        <v>45652</v>
      </c>
      <c r="F474" s="2381"/>
      <c r="G474" s="2325" t="str">
        <f>DIC!E33</f>
        <v xml:space="preserve">attiva trim.  </v>
      </c>
      <c r="H474" s="2326"/>
      <c r="I474" s="2327"/>
      <c r="J474" s="479" t="str">
        <f t="shared" si="303"/>
        <v/>
      </c>
      <c r="K474" s="480"/>
      <c r="L474" s="2559">
        <f t="shared" si="319"/>
        <v>52</v>
      </c>
      <c r="M474" s="2560"/>
      <c r="N474" s="478"/>
      <c r="O474" s="478"/>
      <c r="P474" s="478"/>
      <c r="Q474" s="2315">
        <f t="shared" si="308"/>
        <v>45652</v>
      </c>
      <c r="R474" s="2315"/>
      <c r="S474" s="478"/>
      <c r="T474" s="140">
        <f t="shared" si="309"/>
        <v>1</v>
      </c>
      <c r="U474" s="478"/>
      <c r="V474" s="478"/>
      <c r="W474" s="478"/>
      <c r="X474" s="478"/>
      <c r="Y474" s="478"/>
      <c r="Z474" s="478"/>
      <c r="AA474" s="478"/>
      <c r="AB474" s="478"/>
      <c r="AC474" s="478"/>
      <c r="AD474" s="478"/>
      <c r="AE474" s="478"/>
      <c r="AF474" s="478"/>
      <c r="AG474" s="140">
        <f t="shared" si="310"/>
        <v>0</v>
      </c>
      <c r="AH474" s="92" t="str">
        <f t="shared" si="311"/>
        <v/>
      </c>
      <c r="AI474" s="131">
        <f t="shared" si="312"/>
        <v>0</v>
      </c>
      <c r="AJ474" s="2"/>
      <c r="AK474" s="92">
        <f>IF(G474=G$481,0,IF(OR(G474&lt;&gt;0,CJ474&lt;&gt;0,C474="L"),COUNTIF(AK$114:AK473,"&gt;0")+1,0))</f>
        <v>0</v>
      </c>
      <c r="AL474" s="92" t="str">
        <f t="shared" si="313"/>
        <v/>
      </c>
      <c r="AM474" s="92" t="str">
        <f t="shared" si="314"/>
        <v/>
      </c>
      <c r="AN474" s="131">
        <f t="shared" si="304"/>
        <v>0</v>
      </c>
      <c r="AO474" s="447">
        <f>SUM(DIC!W33:Z33)</f>
        <v>0</v>
      </c>
      <c r="AP474" s="445">
        <f>SUMIF(DIC!$G$155:$J$155,AP$112,DIC!$R33:$U33)</f>
        <v>0</v>
      </c>
      <c r="AQ474" s="446">
        <f>SUMIF(DIC!$G$155:$J$155,AQ$112,DIC!$R33:$U33)</f>
        <v>0</v>
      </c>
      <c r="AR474" s="447">
        <f>SUMIF(DIC!$G$155:$J$155,AR$112,DIC!$R33:$U33)</f>
        <v>0</v>
      </c>
      <c r="AS474" s="448">
        <f>SUMIF(DIC!$G$155:$J$155,AS$112,DIC!$R33:$U33)</f>
        <v>0</v>
      </c>
      <c r="AT474" s="449">
        <f>DIC!AG33</f>
        <v>0</v>
      </c>
      <c r="AU474" s="445">
        <f>DIC!AH33</f>
        <v>0</v>
      </c>
      <c r="AV474" s="446">
        <f>DIC!AI33</f>
        <v>0</v>
      </c>
      <c r="AW474" s="447">
        <f>DIC!AJ33</f>
        <v>0</v>
      </c>
      <c r="AX474" s="448">
        <f>DIC!AK33</f>
        <v>0</v>
      </c>
      <c r="AY474" s="445">
        <f>SUMIF(DIC!$G$152:$J$152,"&gt;0",DIC!$W33:$Z33)</f>
        <v>0</v>
      </c>
      <c r="AZ474" s="1063">
        <f>SUM(DIC!AB33:AE33)</f>
        <v>0</v>
      </c>
      <c r="BA474" s="445">
        <f>SUMIF(DIC!$G$159:$J$159,BA$111,DIC!$R33:$U33)+SUMIF(DIC!$G$159:$J$159,BA$111,DIC!$W33:$Z33)</f>
        <v>0</v>
      </c>
      <c r="BB474" s="446">
        <f>SUMIF(DIC!$G$159:$J$159,BB$111,DIC!$R33:$U33)+SUMIF(DIC!$G$159:$J$159,BB$111,DIC!$W33:$Z33)</f>
        <v>0</v>
      </c>
      <c r="BC474" s="446">
        <f>SUMIF(DIC!$G$159:$J$159,BC$111,DIC!$R33:$U33)+SUMIF(DIC!$G$159:$J$159,BC$111,DIC!$W33:$Z33)</f>
        <v>0</v>
      </c>
      <c r="BD474" s="446">
        <f>SUMIF(DIC!$G$159:$J$159,BD$111,DIC!$R33:$U33)+SUMIF(DIC!$G$159:$J$159,BD$111,DIC!$W33:$Z33)</f>
        <v>0</v>
      </c>
      <c r="BE474" s="446">
        <f>SUMIF(DIC!$G$159:$J$159,BE$111,DIC!$R33:$U33)+SUMIF(DIC!$G$159:$J$159,BE$111,DIC!$W33:$Z33)</f>
        <v>0</v>
      </c>
      <c r="BF474" s="446">
        <f>SUMIF(DIC!$G$159:$J$159,BF$111,DIC!$R33:$U33)+SUMIF(DIC!$G$159:$J$159,BF$111,DIC!$W33:$Z33)</f>
        <v>0</v>
      </c>
      <c r="BG474" s="448">
        <f>SUMIF(DIC!$G$159:$J$159,BG$111,DIC!$R33:$U33)+SUMIF(DIC!$G$159:$J$159,BG$111,DIC!$W33:$Z33)</f>
        <v>0</v>
      </c>
      <c r="BH474" s="571"/>
      <c r="BI474" s="448"/>
      <c r="BJ474" s="470"/>
      <c r="BK474" s="445">
        <f>SUMIF(DIC!$G$157:$J$157,BK$111,DIC!$R33:$U33)+SUMIF(DIC!$G$157:$J$157,BK$111,DIC!$W33:$Z33)</f>
        <v>0</v>
      </c>
      <c r="BL474" s="446">
        <f>SUMIF(DIC!$G$157:$J$157,BL$111,DIC!$R33:$U33)+SUMIF(DIC!$G$157:$J$157,BL$111,DIC!$W33:$Z33)</f>
        <v>0</v>
      </c>
      <c r="BM474" s="446">
        <f>SUMIF(DIC!$G$157:$J$157,BM$111,DIC!$R33:$U33)+SUMIF(DIC!$G$157:$J$157,BM$111,DIC!$W33:$Z33)</f>
        <v>0</v>
      </c>
      <c r="BN474" s="446">
        <f>SUMIF(DIC!$G$157:$J$157,BN$111,DIC!$R33:$U33)+SUMIF(DIC!$G$157:$J$157,BN$111,DIC!$W33:$Z33)</f>
        <v>0</v>
      </c>
      <c r="BO474" s="446">
        <f>SUMIF(DIC!$G$157:$J$157,BO$111,DIC!$R33:$U33)+SUMIF(DIC!$G$157:$J$157,BO$111,DIC!$W33:$Z33)</f>
        <v>0</v>
      </c>
      <c r="BP474" s="446">
        <f>SUMIF(DIC!$G$157:$J$157,BP$111,DIC!$R33:$U33)+SUMIF(DIC!$G$157:$J$157,BP$111,DIC!$W33:$Z33)</f>
        <v>0</v>
      </c>
      <c r="BQ474" s="448">
        <f>SUMIF(DIC!$G$157:$J$157,BQ$111,DIC!$R33:$U33)+SUMIF(DIC!$G$157:$J$157,BQ$111,DIC!$W33:$Z33)</f>
        <v>0</v>
      </c>
      <c r="BR474" s="571"/>
      <c r="BS474" s="446"/>
      <c r="BT474" s="448"/>
      <c r="BU474" s="470"/>
      <c r="BV474" s="445">
        <f>SUMIF(DIC!$G$158:$J$158,BV$111,DIC!$R33:$U33)+SUMIF(DIC!$G$158:$J$158,BV$111,DIC!$W33:$Z33)</f>
        <v>0</v>
      </c>
      <c r="BW474" s="446">
        <f>SUMIF(DIC!$G$158:$J$158,BW$111,DIC!$R33:$U33)+SUMIF(DIC!$G$158:$J$158,BW$111,DIC!$W33:$Z33)</f>
        <v>0</v>
      </c>
      <c r="BX474" s="446">
        <f>SUMIF(DIC!$G$158:$J$158,BX$111,DIC!$R33:$U33)+SUMIF(DIC!$G$158:$J$158,BX$111,DIC!$W33:$Z33)</f>
        <v>0</v>
      </c>
      <c r="BY474" s="446">
        <f>SUMIF(DIC!$G$158:$J$158,BY$111,DIC!$R33:$U33)+SUMIF(DIC!$G$158:$J$158,BY$111,DIC!$W33:$Z33)</f>
        <v>0</v>
      </c>
      <c r="BZ474" s="446">
        <f>SUMIF(DIC!$G$158:$J$158,BZ$111,DIC!$R33:$U33)+SUMIF(DIC!$G$158:$J$158,BZ$111,DIC!$W33:$Z33)</f>
        <v>0</v>
      </c>
      <c r="CA474" s="446">
        <f>SUMIF(DIC!$G$158:$J$158,CA$111,DIC!$R33:$U33)+SUMIF(DIC!$G$158:$J$158,CA$111,DIC!$W33:$Z33)</f>
        <v>0</v>
      </c>
      <c r="CB474" s="448">
        <f>SUMIF(DIC!$G$158:$J$158,CB$111,DIC!$R33:$U33)+SUMIF(DIC!$G$158:$J$158,CB$111,DIC!$W33:$Z33)</f>
        <v>0</v>
      </c>
      <c r="CC474" s="571"/>
      <c r="CD474" s="448"/>
      <c r="CE474" s="92">
        <f t="shared" si="315"/>
        <v>0</v>
      </c>
      <c r="CF474" s="92">
        <f t="shared" si="316"/>
        <v>0</v>
      </c>
      <c r="CG474" s="151" t="str">
        <f t="shared" si="302"/>
        <v/>
      </c>
      <c r="CH474" s="92">
        <f t="shared" si="305"/>
        <v>0</v>
      </c>
      <c r="CI474" s="92" t="str">
        <f t="shared" si="317"/>
        <v/>
      </c>
      <c r="CJ474" s="1100">
        <f>DIC!AM33</f>
        <v>0</v>
      </c>
      <c r="CK474" s="445">
        <f>SUMIF(DIC!$G$155:$J$155,CK$112,DIC!$AN33:$AQ33)</f>
        <v>0</v>
      </c>
      <c r="CL474" s="446">
        <f>SUMIF(DIC!$G$155:$J$155,CL$112,DIC!$AN33:$AQ33)</f>
        <v>0</v>
      </c>
      <c r="CM474" s="447">
        <f>SUMIF(DIC!$G$155:$J$155,CM$112,DIC!$AN33:$AQ33)</f>
        <v>0</v>
      </c>
      <c r="CN474" s="448">
        <f>SUMIF(DIC!$G$155:$J$155,CN$112,DIC!$AN33:$AQ33)</f>
        <v>0</v>
      </c>
      <c r="CO474" s="1100">
        <f>DIC!AS33</f>
        <v>0</v>
      </c>
      <c r="CP474" s="445">
        <f>DIC!AT33</f>
        <v>0</v>
      </c>
      <c r="CQ474" s="446">
        <f>DIC!AU33</f>
        <v>0</v>
      </c>
      <c r="CR474" s="447">
        <f>DIC!AV33</f>
        <v>0</v>
      </c>
      <c r="CS474" s="448">
        <f>DIC!AW33</f>
        <v>0</v>
      </c>
      <c r="CT474" s="1100">
        <f>DIC!AY33</f>
        <v>0</v>
      </c>
      <c r="CU474" s="2"/>
    </row>
    <row r="475" spans="1:99" ht="14.25" hidden="1" customHeight="1" x14ac:dyDescent="0.2">
      <c r="A475" s="2"/>
      <c r="B475" s="151">
        <f t="shared" si="306"/>
        <v>45653</v>
      </c>
      <c r="C475" s="223">
        <f>IF(AND(E475&gt;(N$496-1),E475&lt;(R$496+1)),W$485,IF(ISERROR(HLOOKUP(E475,$N$489:$U$489,1,FALSE)),HLOOKUP(WEEKDAY(E475,2),IMPOSTAZIONI!$C$51:$P$56,6,FALSE),$W$484))</f>
        <v>0</v>
      </c>
      <c r="D475" s="103" t="str">
        <f t="shared" si="307"/>
        <v/>
      </c>
      <c r="E475" s="2380">
        <f t="shared" si="318"/>
        <v>45653</v>
      </c>
      <c r="F475" s="2381"/>
      <c r="G475" s="2325" t="str">
        <f>DIC!E34</f>
        <v xml:space="preserve">attiva trim.  </v>
      </c>
      <c r="H475" s="2326"/>
      <c r="I475" s="2327"/>
      <c r="J475" s="479" t="str">
        <f t="shared" si="303"/>
        <v/>
      </c>
      <c r="K475" s="480"/>
      <c r="L475" s="2559">
        <f t="shared" si="319"/>
        <v>52</v>
      </c>
      <c r="M475" s="2560"/>
      <c r="N475" s="478"/>
      <c r="O475" s="478"/>
      <c r="P475" s="478"/>
      <c r="Q475" s="2315">
        <f t="shared" si="308"/>
        <v>45653</v>
      </c>
      <c r="R475" s="2315"/>
      <c r="S475" s="478"/>
      <c r="T475" s="140">
        <f t="shared" si="309"/>
        <v>1</v>
      </c>
      <c r="U475" s="478"/>
      <c r="V475" s="478"/>
      <c r="W475" s="478"/>
      <c r="X475" s="478"/>
      <c r="Y475" s="478"/>
      <c r="Z475" s="478"/>
      <c r="AA475" s="478"/>
      <c r="AB475" s="478"/>
      <c r="AC475" s="478"/>
      <c r="AD475" s="478"/>
      <c r="AE475" s="478"/>
      <c r="AF475" s="478"/>
      <c r="AG475" s="140">
        <f t="shared" si="310"/>
        <v>0</v>
      </c>
      <c r="AH475" s="92" t="str">
        <f t="shared" si="311"/>
        <v/>
      </c>
      <c r="AI475" s="131">
        <f t="shared" si="312"/>
        <v>0</v>
      </c>
      <c r="AJ475" s="2"/>
      <c r="AK475" s="92">
        <f>IF(G475=G$481,0,IF(OR(G475&lt;&gt;0,CJ475&lt;&gt;0,C475="L"),COUNTIF(AK$114:AK474,"&gt;0")+1,0))</f>
        <v>0</v>
      </c>
      <c r="AL475" s="92" t="str">
        <f t="shared" si="313"/>
        <v/>
      </c>
      <c r="AM475" s="92" t="str">
        <f t="shared" si="314"/>
        <v/>
      </c>
      <c r="AN475" s="131">
        <f t="shared" si="304"/>
        <v>0</v>
      </c>
      <c r="AO475" s="447">
        <f>SUM(DIC!W34:Z34)</f>
        <v>0</v>
      </c>
      <c r="AP475" s="445">
        <f>SUMIF(DIC!$G$155:$J$155,AP$112,DIC!$R34:$U34)</f>
        <v>0</v>
      </c>
      <c r="AQ475" s="446">
        <f>SUMIF(DIC!$G$155:$J$155,AQ$112,DIC!$R34:$U34)</f>
        <v>0</v>
      </c>
      <c r="AR475" s="447">
        <f>SUMIF(DIC!$G$155:$J$155,AR$112,DIC!$R34:$U34)</f>
        <v>0</v>
      </c>
      <c r="AS475" s="448">
        <f>SUMIF(DIC!$G$155:$J$155,AS$112,DIC!$R34:$U34)</f>
        <v>0</v>
      </c>
      <c r="AT475" s="449">
        <f>DIC!AG34</f>
        <v>0</v>
      </c>
      <c r="AU475" s="445">
        <f>DIC!AH34</f>
        <v>0</v>
      </c>
      <c r="AV475" s="446">
        <f>DIC!AI34</f>
        <v>0</v>
      </c>
      <c r="AW475" s="447">
        <f>DIC!AJ34</f>
        <v>0</v>
      </c>
      <c r="AX475" s="448">
        <f>DIC!AK34</f>
        <v>0</v>
      </c>
      <c r="AY475" s="445">
        <f>SUMIF(DIC!$G$152:$J$152,"&gt;0",DIC!$W34:$Z34)</f>
        <v>0</v>
      </c>
      <c r="AZ475" s="1063">
        <f>SUM(DIC!AB34:AE34)</f>
        <v>0</v>
      </c>
      <c r="BA475" s="445">
        <f>SUMIF(DIC!$G$159:$J$159,BA$111,DIC!$R34:$U34)+SUMIF(DIC!$G$159:$J$159,BA$111,DIC!$W34:$Z34)</f>
        <v>0</v>
      </c>
      <c r="BB475" s="446">
        <f>SUMIF(DIC!$G$159:$J$159,BB$111,DIC!$R34:$U34)+SUMIF(DIC!$G$159:$J$159,BB$111,DIC!$W34:$Z34)</f>
        <v>0</v>
      </c>
      <c r="BC475" s="446">
        <f>SUMIF(DIC!$G$159:$J$159,BC$111,DIC!$R34:$U34)+SUMIF(DIC!$G$159:$J$159,BC$111,DIC!$W34:$Z34)</f>
        <v>0</v>
      </c>
      <c r="BD475" s="446">
        <f>SUMIF(DIC!$G$159:$J$159,BD$111,DIC!$R34:$U34)+SUMIF(DIC!$G$159:$J$159,BD$111,DIC!$W34:$Z34)</f>
        <v>0</v>
      </c>
      <c r="BE475" s="446">
        <f>SUMIF(DIC!$G$159:$J$159,BE$111,DIC!$R34:$U34)+SUMIF(DIC!$G$159:$J$159,BE$111,DIC!$W34:$Z34)</f>
        <v>0</v>
      </c>
      <c r="BF475" s="446">
        <f>SUMIF(DIC!$G$159:$J$159,BF$111,DIC!$R34:$U34)+SUMIF(DIC!$G$159:$J$159,BF$111,DIC!$W34:$Z34)</f>
        <v>0</v>
      </c>
      <c r="BG475" s="448">
        <f>SUMIF(DIC!$G$159:$J$159,BG$111,DIC!$R34:$U34)+SUMIF(DIC!$G$159:$J$159,BG$111,DIC!$W34:$Z34)</f>
        <v>0</v>
      </c>
      <c r="BH475" s="571"/>
      <c r="BI475" s="448"/>
      <c r="BJ475" s="470"/>
      <c r="BK475" s="445">
        <f>SUMIF(DIC!$G$157:$J$157,BK$111,DIC!$R34:$U34)+SUMIF(DIC!$G$157:$J$157,BK$111,DIC!$W34:$Z34)</f>
        <v>0</v>
      </c>
      <c r="BL475" s="446">
        <f>SUMIF(DIC!$G$157:$J$157,BL$111,DIC!$R34:$U34)+SUMIF(DIC!$G$157:$J$157,BL$111,DIC!$W34:$Z34)</f>
        <v>0</v>
      </c>
      <c r="BM475" s="446">
        <f>SUMIF(DIC!$G$157:$J$157,BM$111,DIC!$R34:$U34)+SUMIF(DIC!$G$157:$J$157,BM$111,DIC!$W34:$Z34)</f>
        <v>0</v>
      </c>
      <c r="BN475" s="446">
        <f>SUMIF(DIC!$G$157:$J$157,BN$111,DIC!$R34:$U34)+SUMIF(DIC!$G$157:$J$157,BN$111,DIC!$W34:$Z34)</f>
        <v>0</v>
      </c>
      <c r="BO475" s="446">
        <f>SUMIF(DIC!$G$157:$J$157,BO$111,DIC!$R34:$U34)+SUMIF(DIC!$G$157:$J$157,BO$111,DIC!$W34:$Z34)</f>
        <v>0</v>
      </c>
      <c r="BP475" s="446">
        <f>SUMIF(DIC!$G$157:$J$157,BP$111,DIC!$R34:$U34)+SUMIF(DIC!$G$157:$J$157,BP$111,DIC!$W34:$Z34)</f>
        <v>0</v>
      </c>
      <c r="BQ475" s="448">
        <f>SUMIF(DIC!$G$157:$J$157,BQ$111,DIC!$R34:$U34)+SUMIF(DIC!$G$157:$J$157,BQ$111,DIC!$W34:$Z34)</f>
        <v>0</v>
      </c>
      <c r="BR475" s="571"/>
      <c r="BS475" s="446"/>
      <c r="BT475" s="448"/>
      <c r="BU475" s="470"/>
      <c r="BV475" s="445">
        <f>SUMIF(DIC!$G$158:$J$158,BV$111,DIC!$R34:$U34)+SUMIF(DIC!$G$158:$J$158,BV$111,DIC!$W34:$Z34)</f>
        <v>0</v>
      </c>
      <c r="BW475" s="446">
        <f>SUMIF(DIC!$G$158:$J$158,BW$111,DIC!$R34:$U34)+SUMIF(DIC!$G$158:$J$158,BW$111,DIC!$W34:$Z34)</f>
        <v>0</v>
      </c>
      <c r="BX475" s="446">
        <f>SUMIF(DIC!$G$158:$J$158,BX$111,DIC!$R34:$U34)+SUMIF(DIC!$G$158:$J$158,BX$111,DIC!$W34:$Z34)</f>
        <v>0</v>
      </c>
      <c r="BY475" s="446">
        <f>SUMIF(DIC!$G$158:$J$158,BY$111,DIC!$R34:$U34)+SUMIF(DIC!$G$158:$J$158,BY$111,DIC!$W34:$Z34)</f>
        <v>0</v>
      </c>
      <c r="BZ475" s="446">
        <f>SUMIF(DIC!$G$158:$J$158,BZ$111,DIC!$R34:$U34)+SUMIF(DIC!$G$158:$J$158,BZ$111,DIC!$W34:$Z34)</f>
        <v>0</v>
      </c>
      <c r="CA475" s="446">
        <f>SUMIF(DIC!$G$158:$J$158,CA$111,DIC!$R34:$U34)+SUMIF(DIC!$G$158:$J$158,CA$111,DIC!$W34:$Z34)</f>
        <v>0</v>
      </c>
      <c r="CB475" s="448">
        <f>SUMIF(DIC!$G$158:$J$158,CB$111,DIC!$R34:$U34)+SUMIF(DIC!$G$158:$J$158,CB$111,DIC!$W34:$Z34)</f>
        <v>0</v>
      </c>
      <c r="CC475" s="571"/>
      <c r="CD475" s="448"/>
      <c r="CE475" s="92">
        <f t="shared" si="315"/>
        <v>0</v>
      </c>
      <c r="CF475" s="92">
        <f t="shared" si="316"/>
        <v>0</v>
      </c>
      <c r="CG475" s="151" t="str">
        <f t="shared" si="302"/>
        <v/>
      </c>
      <c r="CH475" s="92">
        <f t="shared" si="305"/>
        <v>0</v>
      </c>
      <c r="CI475" s="92" t="str">
        <f t="shared" si="317"/>
        <v/>
      </c>
      <c r="CJ475" s="1100">
        <f>DIC!AM34</f>
        <v>0</v>
      </c>
      <c r="CK475" s="445">
        <f>SUMIF(DIC!$G$155:$J$155,CK$112,DIC!$AN34:$AQ34)</f>
        <v>0</v>
      </c>
      <c r="CL475" s="446">
        <f>SUMIF(DIC!$G$155:$J$155,CL$112,DIC!$AN34:$AQ34)</f>
        <v>0</v>
      </c>
      <c r="CM475" s="447">
        <f>SUMIF(DIC!$G$155:$J$155,CM$112,DIC!$AN34:$AQ34)</f>
        <v>0</v>
      </c>
      <c r="CN475" s="448">
        <f>SUMIF(DIC!$G$155:$J$155,CN$112,DIC!$AN34:$AQ34)</f>
        <v>0</v>
      </c>
      <c r="CO475" s="1100">
        <f>DIC!AS34</f>
        <v>0</v>
      </c>
      <c r="CP475" s="445">
        <f>DIC!AT34</f>
        <v>0</v>
      </c>
      <c r="CQ475" s="446">
        <f>DIC!AU34</f>
        <v>0</v>
      </c>
      <c r="CR475" s="447">
        <f>DIC!AV34</f>
        <v>0</v>
      </c>
      <c r="CS475" s="448">
        <f>DIC!AW34</f>
        <v>0</v>
      </c>
      <c r="CT475" s="1100">
        <f>DIC!AY34</f>
        <v>0</v>
      </c>
      <c r="CU475" s="2"/>
    </row>
    <row r="476" spans="1:99" ht="14.25" hidden="1" customHeight="1" x14ac:dyDescent="0.2">
      <c r="A476" s="2"/>
      <c r="B476" s="151">
        <f t="shared" si="306"/>
        <v>45654</v>
      </c>
      <c r="C476" s="223">
        <f>IF(AND(E476&gt;(N$496-1),E476&lt;(R$496+1)),W$485,IF(ISERROR(HLOOKUP(E476,$N$489:$U$489,1,FALSE)),HLOOKUP(WEEKDAY(E476,2),IMPOSTAZIONI!$C$51:$P$56,6,FALSE),$W$484))</f>
        <v>0</v>
      </c>
      <c r="D476" s="103" t="str">
        <f t="shared" si="307"/>
        <v/>
      </c>
      <c r="E476" s="2380">
        <f t="shared" si="318"/>
        <v>45654</v>
      </c>
      <c r="F476" s="2381"/>
      <c r="G476" s="2325" t="str">
        <f>DIC!E35</f>
        <v xml:space="preserve">attiva trim.  </v>
      </c>
      <c r="H476" s="2326"/>
      <c r="I476" s="2327"/>
      <c r="J476" s="479" t="str">
        <f t="shared" si="303"/>
        <v/>
      </c>
      <c r="K476" s="480"/>
      <c r="L476" s="2559">
        <f t="shared" si="319"/>
        <v>52</v>
      </c>
      <c r="M476" s="2560"/>
      <c r="N476" s="478"/>
      <c r="O476" s="478"/>
      <c r="P476" s="478"/>
      <c r="Q476" s="2315">
        <f t="shared" si="308"/>
        <v>45654</v>
      </c>
      <c r="R476" s="2315"/>
      <c r="S476" s="478"/>
      <c r="T476" s="140">
        <f t="shared" si="309"/>
        <v>1</v>
      </c>
      <c r="U476" s="478"/>
      <c r="V476" s="478"/>
      <c r="W476" s="478"/>
      <c r="X476" s="478"/>
      <c r="Y476" s="478"/>
      <c r="Z476" s="478"/>
      <c r="AA476" s="478"/>
      <c r="AB476" s="478"/>
      <c r="AC476" s="478"/>
      <c r="AD476" s="478"/>
      <c r="AE476" s="478"/>
      <c r="AF476" s="478"/>
      <c r="AG476" s="140">
        <f t="shared" si="310"/>
        <v>0</v>
      </c>
      <c r="AH476" s="92" t="str">
        <f t="shared" si="311"/>
        <v/>
      </c>
      <c r="AI476" s="131">
        <f t="shared" si="312"/>
        <v>0</v>
      </c>
      <c r="AJ476" s="2"/>
      <c r="AK476" s="92">
        <f>IF(G476=G$481,0,IF(OR(G476&lt;&gt;0,CJ476&lt;&gt;0,C476="L"),COUNTIF(AK$114:AK475,"&gt;0")+1,0))</f>
        <v>0</v>
      </c>
      <c r="AL476" s="92" t="str">
        <f t="shared" si="313"/>
        <v/>
      </c>
      <c r="AM476" s="92" t="str">
        <f t="shared" si="314"/>
        <v/>
      </c>
      <c r="AN476" s="131">
        <f t="shared" si="304"/>
        <v>0</v>
      </c>
      <c r="AO476" s="447">
        <f>SUM(DIC!W35:Z35)</f>
        <v>0</v>
      </c>
      <c r="AP476" s="445">
        <f>SUMIF(DIC!$G$155:$J$155,AP$112,DIC!$R35:$U35)</f>
        <v>0</v>
      </c>
      <c r="AQ476" s="446">
        <f>SUMIF(DIC!$G$155:$J$155,AQ$112,DIC!$R35:$U35)</f>
        <v>0</v>
      </c>
      <c r="AR476" s="447">
        <f>SUMIF(DIC!$G$155:$J$155,AR$112,DIC!$R35:$U35)</f>
        <v>0</v>
      </c>
      <c r="AS476" s="448">
        <f>SUMIF(DIC!$G$155:$J$155,AS$112,DIC!$R35:$U35)</f>
        <v>0</v>
      </c>
      <c r="AT476" s="449">
        <f>DIC!AG35</f>
        <v>0</v>
      </c>
      <c r="AU476" s="445">
        <f>DIC!AH35</f>
        <v>0</v>
      </c>
      <c r="AV476" s="446">
        <f>DIC!AI35</f>
        <v>0</v>
      </c>
      <c r="AW476" s="447">
        <f>DIC!AJ35</f>
        <v>0</v>
      </c>
      <c r="AX476" s="448">
        <f>DIC!AK35</f>
        <v>0</v>
      </c>
      <c r="AY476" s="445">
        <f>SUMIF(DIC!$G$152:$J$152,"&gt;0",DIC!$W35:$Z35)</f>
        <v>0</v>
      </c>
      <c r="AZ476" s="1063">
        <f>SUM(DIC!AB35:AE35)</f>
        <v>0</v>
      </c>
      <c r="BA476" s="445">
        <f>SUMIF(DIC!$G$159:$J$159,BA$111,DIC!$R35:$U35)+SUMIF(DIC!$G$159:$J$159,BA$111,DIC!$W35:$Z35)</f>
        <v>0</v>
      </c>
      <c r="BB476" s="446">
        <f>SUMIF(DIC!$G$159:$J$159,BB$111,DIC!$R35:$U35)+SUMIF(DIC!$G$159:$J$159,BB$111,DIC!$W35:$Z35)</f>
        <v>0</v>
      </c>
      <c r="BC476" s="446">
        <f>SUMIF(DIC!$G$159:$J$159,BC$111,DIC!$R35:$U35)+SUMIF(DIC!$G$159:$J$159,BC$111,DIC!$W35:$Z35)</f>
        <v>0</v>
      </c>
      <c r="BD476" s="446">
        <f>SUMIF(DIC!$G$159:$J$159,BD$111,DIC!$R35:$U35)+SUMIF(DIC!$G$159:$J$159,BD$111,DIC!$W35:$Z35)</f>
        <v>0</v>
      </c>
      <c r="BE476" s="446">
        <f>SUMIF(DIC!$G$159:$J$159,BE$111,DIC!$R35:$U35)+SUMIF(DIC!$G$159:$J$159,BE$111,DIC!$W35:$Z35)</f>
        <v>0</v>
      </c>
      <c r="BF476" s="446">
        <f>SUMIF(DIC!$G$159:$J$159,BF$111,DIC!$R35:$U35)+SUMIF(DIC!$G$159:$J$159,BF$111,DIC!$W35:$Z35)</f>
        <v>0</v>
      </c>
      <c r="BG476" s="448">
        <f>SUMIF(DIC!$G$159:$J$159,BG$111,DIC!$R35:$U35)+SUMIF(DIC!$G$159:$J$159,BG$111,DIC!$W35:$Z35)</f>
        <v>0</v>
      </c>
      <c r="BH476" s="571"/>
      <c r="BI476" s="448"/>
      <c r="BJ476" s="470"/>
      <c r="BK476" s="445">
        <f>SUMIF(DIC!$G$157:$J$157,BK$111,DIC!$R35:$U35)+SUMIF(DIC!$G$157:$J$157,BK$111,DIC!$W35:$Z35)</f>
        <v>0</v>
      </c>
      <c r="BL476" s="446">
        <f>SUMIF(DIC!$G$157:$J$157,BL$111,DIC!$R35:$U35)+SUMIF(DIC!$G$157:$J$157,BL$111,DIC!$W35:$Z35)</f>
        <v>0</v>
      </c>
      <c r="BM476" s="446">
        <f>SUMIF(DIC!$G$157:$J$157,BM$111,DIC!$R35:$U35)+SUMIF(DIC!$G$157:$J$157,BM$111,DIC!$W35:$Z35)</f>
        <v>0</v>
      </c>
      <c r="BN476" s="446">
        <f>SUMIF(DIC!$G$157:$J$157,BN$111,DIC!$R35:$U35)+SUMIF(DIC!$G$157:$J$157,BN$111,DIC!$W35:$Z35)</f>
        <v>0</v>
      </c>
      <c r="BO476" s="446">
        <f>SUMIF(DIC!$G$157:$J$157,BO$111,DIC!$R35:$U35)+SUMIF(DIC!$G$157:$J$157,BO$111,DIC!$W35:$Z35)</f>
        <v>0</v>
      </c>
      <c r="BP476" s="446">
        <f>SUMIF(DIC!$G$157:$J$157,BP$111,DIC!$R35:$U35)+SUMIF(DIC!$G$157:$J$157,BP$111,DIC!$W35:$Z35)</f>
        <v>0</v>
      </c>
      <c r="BQ476" s="448">
        <f>SUMIF(DIC!$G$157:$J$157,BQ$111,DIC!$R35:$U35)+SUMIF(DIC!$G$157:$J$157,BQ$111,DIC!$W35:$Z35)</f>
        <v>0</v>
      </c>
      <c r="BR476" s="571"/>
      <c r="BS476" s="446"/>
      <c r="BT476" s="448"/>
      <c r="BU476" s="470"/>
      <c r="BV476" s="445">
        <f>SUMIF(DIC!$G$158:$J$158,BV$111,DIC!$R35:$U35)+SUMIF(DIC!$G$158:$J$158,BV$111,DIC!$W35:$Z35)</f>
        <v>0</v>
      </c>
      <c r="BW476" s="446">
        <f>SUMIF(DIC!$G$158:$J$158,BW$111,DIC!$R35:$U35)+SUMIF(DIC!$G$158:$J$158,BW$111,DIC!$W35:$Z35)</f>
        <v>0</v>
      </c>
      <c r="BX476" s="446">
        <f>SUMIF(DIC!$G$158:$J$158,BX$111,DIC!$R35:$U35)+SUMIF(DIC!$G$158:$J$158,BX$111,DIC!$W35:$Z35)</f>
        <v>0</v>
      </c>
      <c r="BY476" s="446">
        <f>SUMIF(DIC!$G$158:$J$158,BY$111,DIC!$R35:$U35)+SUMIF(DIC!$G$158:$J$158,BY$111,DIC!$W35:$Z35)</f>
        <v>0</v>
      </c>
      <c r="BZ476" s="446">
        <f>SUMIF(DIC!$G$158:$J$158,BZ$111,DIC!$R35:$U35)+SUMIF(DIC!$G$158:$J$158,BZ$111,DIC!$W35:$Z35)</f>
        <v>0</v>
      </c>
      <c r="CA476" s="446">
        <f>SUMIF(DIC!$G$158:$J$158,CA$111,DIC!$R35:$U35)+SUMIF(DIC!$G$158:$J$158,CA$111,DIC!$W35:$Z35)</f>
        <v>0</v>
      </c>
      <c r="CB476" s="448">
        <f>SUMIF(DIC!$G$158:$J$158,CB$111,DIC!$R35:$U35)+SUMIF(DIC!$G$158:$J$158,CB$111,DIC!$W35:$Z35)</f>
        <v>0</v>
      </c>
      <c r="CC476" s="571"/>
      <c r="CD476" s="448"/>
      <c r="CE476" s="92">
        <f t="shared" si="315"/>
        <v>0</v>
      </c>
      <c r="CF476" s="92">
        <f t="shared" si="316"/>
        <v>0</v>
      </c>
      <c r="CG476" s="151" t="str">
        <f t="shared" si="302"/>
        <v/>
      </c>
      <c r="CH476" s="92">
        <f t="shared" si="305"/>
        <v>0</v>
      </c>
      <c r="CI476" s="92" t="str">
        <f t="shared" si="317"/>
        <v/>
      </c>
      <c r="CJ476" s="1100">
        <f>DIC!AM35</f>
        <v>0</v>
      </c>
      <c r="CK476" s="445">
        <f>SUMIF(DIC!$G$155:$J$155,CK$112,DIC!$AN35:$AQ35)</f>
        <v>0</v>
      </c>
      <c r="CL476" s="446">
        <f>SUMIF(DIC!$G$155:$J$155,CL$112,DIC!$AN35:$AQ35)</f>
        <v>0</v>
      </c>
      <c r="CM476" s="447">
        <f>SUMIF(DIC!$G$155:$J$155,CM$112,DIC!$AN35:$AQ35)</f>
        <v>0</v>
      </c>
      <c r="CN476" s="448">
        <f>SUMIF(DIC!$G$155:$J$155,CN$112,DIC!$AN35:$AQ35)</f>
        <v>0</v>
      </c>
      <c r="CO476" s="1100">
        <f>DIC!AS35</f>
        <v>0</v>
      </c>
      <c r="CP476" s="445">
        <f>DIC!AT35</f>
        <v>0</v>
      </c>
      <c r="CQ476" s="446">
        <f>DIC!AU35</f>
        <v>0</v>
      </c>
      <c r="CR476" s="447">
        <f>DIC!AV35</f>
        <v>0</v>
      </c>
      <c r="CS476" s="448">
        <f>DIC!AW35</f>
        <v>0</v>
      </c>
      <c r="CT476" s="1100">
        <f>DIC!AY35</f>
        <v>0</v>
      </c>
      <c r="CU476" s="2"/>
    </row>
    <row r="477" spans="1:99" ht="14.25" hidden="1" customHeight="1" x14ac:dyDescent="0.2">
      <c r="A477" s="2"/>
      <c r="B477" s="151">
        <f t="shared" si="306"/>
        <v>45655</v>
      </c>
      <c r="C477" s="223">
        <f>IF(AND(E477&gt;(N$496-1),E477&lt;(R$496+1)),W$485,IF(ISERROR(HLOOKUP(E477,$N$489:$U$489,1,FALSE)),HLOOKUP(WEEKDAY(E477,2),IMPOSTAZIONI!$C$51:$P$56,6,FALSE),$W$484))</f>
        <v>0</v>
      </c>
      <c r="D477" s="103" t="str">
        <f t="shared" si="307"/>
        <v/>
      </c>
      <c r="E477" s="2380">
        <f t="shared" si="318"/>
        <v>45655</v>
      </c>
      <c r="F477" s="2381"/>
      <c r="G477" s="2325" t="str">
        <f>DIC!E36</f>
        <v xml:space="preserve">attiva trim.  </v>
      </c>
      <c r="H477" s="2326"/>
      <c r="I477" s="2327"/>
      <c r="J477" s="479" t="str">
        <f t="shared" si="303"/>
        <v/>
      </c>
      <c r="K477" s="480"/>
      <c r="L477" s="2332">
        <f t="shared" si="319"/>
        <v>52</v>
      </c>
      <c r="M477" s="2561"/>
      <c r="N477" s="478"/>
      <c r="O477" s="478"/>
      <c r="P477" s="478"/>
      <c r="Q477" s="2315">
        <f t="shared" si="308"/>
        <v>45655</v>
      </c>
      <c r="R477" s="2315"/>
      <c r="S477" s="478"/>
      <c r="T477" s="140">
        <f t="shared" si="309"/>
        <v>1</v>
      </c>
      <c r="U477" s="478"/>
      <c r="V477" s="478"/>
      <c r="W477" s="478"/>
      <c r="X477" s="478"/>
      <c r="Y477" s="478"/>
      <c r="Z477" s="478"/>
      <c r="AA477" s="478"/>
      <c r="AB477" s="478"/>
      <c r="AC477" s="478"/>
      <c r="AD477" s="478"/>
      <c r="AE477" s="478"/>
      <c r="AF477" s="478"/>
      <c r="AG477" s="140">
        <f t="shared" si="310"/>
        <v>0</v>
      </c>
      <c r="AH477" s="92" t="str">
        <f t="shared" si="311"/>
        <v/>
      </c>
      <c r="AI477" s="131">
        <f t="shared" si="312"/>
        <v>0</v>
      </c>
      <c r="AJ477" s="2"/>
      <c r="AK477" s="92">
        <f>IF(G477=G$481,0,IF(OR(G477&lt;&gt;0,CJ477&lt;&gt;0,C477="L"),COUNTIF(AK$114:AK476,"&gt;0")+1,0))</f>
        <v>0</v>
      </c>
      <c r="AL477" s="92" t="str">
        <f t="shared" si="313"/>
        <v/>
      </c>
      <c r="AM477" s="92" t="str">
        <f t="shared" si="314"/>
        <v/>
      </c>
      <c r="AN477" s="131">
        <f t="shared" si="304"/>
        <v>0</v>
      </c>
      <c r="AO477" s="447">
        <f>SUM(DIC!W36:Z36)</f>
        <v>0</v>
      </c>
      <c r="AP477" s="445">
        <f>SUMIF(DIC!$G$155:$J$155,AP$112,DIC!$R36:$U36)</f>
        <v>0</v>
      </c>
      <c r="AQ477" s="446">
        <f>SUMIF(DIC!$G$155:$J$155,AQ$112,DIC!$R36:$U36)</f>
        <v>0</v>
      </c>
      <c r="AR477" s="447">
        <f>SUMIF(DIC!$G$155:$J$155,AR$112,DIC!$R36:$U36)</f>
        <v>0</v>
      </c>
      <c r="AS477" s="448">
        <f>SUMIF(DIC!$G$155:$J$155,AS$112,DIC!$R36:$U36)</f>
        <v>0</v>
      </c>
      <c r="AT477" s="449">
        <f>DIC!AG36</f>
        <v>0</v>
      </c>
      <c r="AU477" s="445">
        <f>DIC!AH36</f>
        <v>0</v>
      </c>
      <c r="AV477" s="446">
        <f>DIC!AI36</f>
        <v>0</v>
      </c>
      <c r="AW477" s="447">
        <f>DIC!AJ36</f>
        <v>0</v>
      </c>
      <c r="AX477" s="448">
        <f>DIC!AK36</f>
        <v>0</v>
      </c>
      <c r="AY477" s="445">
        <f>SUMIF(DIC!$G$152:$J$152,"&gt;0",DIC!$W36:$Z36)</f>
        <v>0</v>
      </c>
      <c r="AZ477" s="1063">
        <f>SUM(DIC!AB36:AE36)</f>
        <v>0</v>
      </c>
      <c r="BA477" s="445">
        <f>SUMIF(DIC!$G$159:$J$159,BA$111,DIC!$R36:$U36)+SUMIF(DIC!$G$159:$J$159,BA$111,DIC!$W36:$Z36)</f>
        <v>0</v>
      </c>
      <c r="BB477" s="446">
        <f>SUMIF(DIC!$G$159:$J$159,BB$111,DIC!$R36:$U36)+SUMIF(DIC!$G$159:$J$159,BB$111,DIC!$W36:$Z36)</f>
        <v>0</v>
      </c>
      <c r="BC477" s="446">
        <f>SUMIF(DIC!$G$159:$J$159,BC$111,DIC!$R36:$U36)+SUMIF(DIC!$G$159:$J$159,BC$111,DIC!$W36:$Z36)</f>
        <v>0</v>
      </c>
      <c r="BD477" s="446">
        <f>SUMIF(DIC!$G$159:$J$159,BD$111,DIC!$R36:$U36)+SUMIF(DIC!$G$159:$J$159,BD$111,DIC!$W36:$Z36)</f>
        <v>0</v>
      </c>
      <c r="BE477" s="446">
        <f>SUMIF(DIC!$G$159:$J$159,BE$111,DIC!$R36:$U36)+SUMIF(DIC!$G$159:$J$159,BE$111,DIC!$W36:$Z36)</f>
        <v>0</v>
      </c>
      <c r="BF477" s="446">
        <f>SUMIF(DIC!$G$159:$J$159,BF$111,DIC!$R36:$U36)+SUMIF(DIC!$G$159:$J$159,BF$111,DIC!$W36:$Z36)</f>
        <v>0</v>
      </c>
      <c r="BG477" s="448">
        <f>SUMIF(DIC!$G$159:$J$159,BG$111,DIC!$R36:$U36)+SUMIF(DIC!$G$159:$J$159,BG$111,DIC!$W36:$Z36)</f>
        <v>0</v>
      </c>
      <c r="BH477" s="571"/>
      <c r="BI477" s="448"/>
      <c r="BJ477" s="470"/>
      <c r="BK477" s="445">
        <f>SUMIF(DIC!$G$157:$J$157,BK$111,DIC!$R36:$U36)+SUMIF(DIC!$G$157:$J$157,BK$111,DIC!$W36:$Z36)</f>
        <v>0</v>
      </c>
      <c r="BL477" s="446">
        <f>SUMIF(DIC!$G$157:$J$157,BL$111,DIC!$R36:$U36)+SUMIF(DIC!$G$157:$J$157,BL$111,DIC!$W36:$Z36)</f>
        <v>0</v>
      </c>
      <c r="BM477" s="446">
        <f>SUMIF(DIC!$G$157:$J$157,BM$111,DIC!$R36:$U36)+SUMIF(DIC!$G$157:$J$157,BM$111,DIC!$W36:$Z36)</f>
        <v>0</v>
      </c>
      <c r="BN477" s="446">
        <f>SUMIF(DIC!$G$157:$J$157,BN$111,DIC!$R36:$U36)+SUMIF(DIC!$G$157:$J$157,BN$111,DIC!$W36:$Z36)</f>
        <v>0</v>
      </c>
      <c r="BO477" s="446">
        <f>SUMIF(DIC!$G$157:$J$157,BO$111,DIC!$R36:$U36)+SUMIF(DIC!$G$157:$J$157,BO$111,DIC!$W36:$Z36)</f>
        <v>0</v>
      </c>
      <c r="BP477" s="446">
        <f>SUMIF(DIC!$G$157:$J$157,BP$111,DIC!$R36:$U36)+SUMIF(DIC!$G$157:$J$157,BP$111,DIC!$W36:$Z36)</f>
        <v>0</v>
      </c>
      <c r="BQ477" s="448">
        <f>SUMIF(DIC!$G$157:$J$157,BQ$111,DIC!$R36:$U36)+SUMIF(DIC!$G$157:$J$157,BQ$111,DIC!$W36:$Z36)</f>
        <v>0</v>
      </c>
      <c r="BR477" s="571"/>
      <c r="BS477" s="446"/>
      <c r="BT477" s="448"/>
      <c r="BU477" s="470"/>
      <c r="BV477" s="445">
        <f>SUMIF(DIC!$G$158:$J$158,BV$111,DIC!$R36:$U36)+SUMIF(DIC!$G$158:$J$158,BV$111,DIC!$W36:$Z36)</f>
        <v>0</v>
      </c>
      <c r="BW477" s="446">
        <f>SUMIF(DIC!$G$158:$J$158,BW$111,DIC!$R36:$U36)+SUMIF(DIC!$G$158:$J$158,BW$111,DIC!$W36:$Z36)</f>
        <v>0</v>
      </c>
      <c r="BX477" s="446">
        <f>SUMIF(DIC!$G$158:$J$158,BX$111,DIC!$R36:$U36)+SUMIF(DIC!$G$158:$J$158,BX$111,DIC!$W36:$Z36)</f>
        <v>0</v>
      </c>
      <c r="BY477" s="446">
        <f>SUMIF(DIC!$G$158:$J$158,BY$111,DIC!$R36:$U36)+SUMIF(DIC!$G$158:$J$158,BY$111,DIC!$W36:$Z36)</f>
        <v>0</v>
      </c>
      <c r="BZ477" s="446">
        <f>SUMIF(DIC!$G$158:$J$158,BZ$111,DIC!$R36:$U36)+SUMIF(DIC!$G$158:$J$158,BZ$111,DIC!$W36:$Z36)</f>
        <v>0</v>
      </c>
      <c r="CA477" s="446">
        <f>SUMIF(DIC!$G$158:$J$158,CA$111,DIC!$R36:$U36)+SUMIF(DIC!$G$158:$J$158,CA$111,DIC!$W36:$Z36)</f>
        <v>0</v>
      </c>
      <c r="CB477" s="448">
        <f>SUMIF(DIC!$G$158:$J$158,CB$111,DIC!$R36:$U36)+SUMIF(DIC!$G$158:$J$158,CB$111,DIC!$W36:$Z36)</f>
        <v>0</v>
      </c>
      <c r="CC477" s="571"/>
      <c r="CD477" s="448"/>
      <c r="CE477" s="92">
        <f t="shared" si="315"/>
        <v>0</v>
      </c>
      <c r="CF477" s="92">
        <f t="shared" si="316"/>
        <v>0</v>
      </c>
      <c r="CG477" s="151" t="str">
        <f t="shared" si="302"/>
        <v/>
      </c>
      <c r="CH477" s="92">
        <f t="shared" si="305"/>
        <v>0</v>
      </c>
      <c r="CI477" s="92" t="str">
        <f t="shared" si="317"/>
        <v/>
      </c>
      <c r="CJ477" s="1100">
        <f>DIC!AM36</f>
        <v>0</v>
      </c>
      <c r="CK477" s="445">
        <f>SUMIF(DIC!$G$155:$J$155,CK$112,DIC!$AN36:$AQ36)</f>
        <v>0</v>
      </c>
      <c r="CL477" s="446">
        <f>SUMIF(DIC!$G$155:$J$155,CL$112,DIC!$AN36:$AQ36)</f>
        <v>0</v>
      </c>
      <c r="CM477" s="447">
        <f>SUMIF(DIC!$G$155:$J$155,CM$112,DIC!$AN36:$AQ36)</f>
        <v>0</v>
      </c>
      <c r="CN477" s="448">
        <f>SUMIF(DIC!$G$155:$J$155,CN$112,DIC!$AN36:$AQ36)</f>
        <v>0</v>
      </c>
      <c r="CO477" s="1100">
        <f>DIC!AS36</f>
        <v>0</v>
      </c>
      <c r="CP477" s="445">
        <f>DIC!AT36</f>
        <v>0</v>
      </c>
      <c r="CQ477" s="446">
        <f>DIC!AU36</f>
        <v>0</v>
      </c>
      <c r="CR477" s="447">
        <f>DIC!AV36</f>
        <v>0</v>
      </c>
      <c r="CS477" s="448">
        <f>DIC!AW36</f>
        <v>0</v>
      </c>
      <c r="CT477" s="1100">
        <f>DIC!AY36</f>
        <v>0</v>
      </c>
      <c r="CU477" s="2"/>
    </row>
    <row r="478" spans="1:99" ht="14.25" hidden="1" customHeight="1" x14ac:dyDescent="0.2">
      <c r="A478" s="2"/>
      <c r="B478" s="151">
        <f t="shared" si="306"/>
        <v>45656</v>
      </c>
      <c r="C478" s="223">
        <f>IF(AND(E478&gt;(N$496-1),E478&lt;(R$496+1)),W$485,IF(ISERROR(HLOOKUP(E478,$N$489:$U$489,1,FALSE)),HLOOKUP(WEEKDAY(E478,2),IMPOSTAZIONI!$C$51:$P$56,6,FALSE),$W$484))</f>
        <v>0</v>
      </c>
      <c r="D478" s="103" t="str">
        <f t="shared" si="307"/>
        <v/>
      </c>
      <c r="E478" s="2380">
        <f t="shared" si="318"/>
        <v>45656</v>
      </c>
      <c r="F478" s="2381"/>
      <c r="G478" s="2325" t="str">
        <f>DIC!E37</f>
        <v xml:space="preserve">attiva trim.  </v>
      </c>
      <c r="H478" s="2326"/>
      <c r="I478" s="2327"/>
      <c r="J478" s="479" t="str">
        <f t="shared" si="303"/>
        <v/>
      </c>
      <c r="K478" s="480"/>
      <c r="L478" s="2330">
        <f t="shared" si="319"/>
        <v>53</v>
      </c>
      <c r="M478" s="2331"/>
      <c r="N478" s="2567">
        <v>52</v>
      </c>
      <c r="O478" s="2568"/>
      <c r="P478" s="478"/>
      <c r="Q478" s="2315">
        <f t="shared" si="308"/>
        <v>45656</v>
      </c>
      <c r="R478" s="2315"/>
      <c r="S478" s="478"/>
      <c r="T478" s="140">
        <f t="shared" si="309"/>
        <v>1</v>
      </c>
      <c r="U478" s="478"/>
      <c r="V478" s="478"/>
      <c r="W478" s="478"/>
      <c r="X478" s="478"/>
      <c r="Y478" s="478"/>
      <c r="Z478" s="478"/>
      <c r="AA478" s="478"/>
      <c r="AB478" s="478"/>
      <c r="AC478" s="478"/>
      <c r="AD478" s="478"/>
      <c r="AE478" s="478"/>
      <c r="AF478" s="478"/>
      <c r="AG478" s="140">
        <f t="shared" si="310"/>
        <v>0</v>
      </c>
      <c r="AH478" s="92" t="str">
        <f t="shared" si="311"/>
        <v/>
      </c>
      <c r="AI478" s="131">
        <f t="shared" si="312"/>
        <v>0</v>
      </c>
      <c r="AJ478" s="2"/>
      <c r="AK478" s="92">
        <f>IF(G478=G$481,0,IF(OR(G478&lt;&gt;0,CJ478&lt;&gt;0,C478="L"),COUNTIF(AK$114:AK477,"&gt;0")+1,0))</f>
        <v>0</v>
      </c>
      <c r="AL478" s="92" t="str">
        <f t="shared" si="313"/>
        <v/>
      </c>
      <c r="AM478" s="92" t="str">
        <f t="shared" si="314"/>
        <v/>
      </c>
      <c r="AN478" s="131">
        <f t="shared" si="304"/>
        <v>0</v>
      </c>
      <c r="AO478" s="447">
        <f>SUM(DIC!W37:Z37)</f>
        <v>0</v>
      </c>
      <c r="AP478" s="445">
        <f>SUMIF(DIC!$G$155:$J$155,AP$112,DIC!$R37:$U37)</f>
        <v>0</v>
      </c>
      <c r="AQ478" s="446">
        <f>SUMIF(DIC!$G$155:$J$155,AQ$112,DIC!$R37:$U37)</f>
        <v>0</v>
      </c>
      <c r="AR478" s="447">
        <f>SUMIF(DIC!$G$155:$J$155,AR$112,DIC!$R37:$U37)</f>
        <v>0</v>
      </c>
      <c r="AS478" s="448">
        <f>SUMIF(DIC!$G$155:$J$155,AS$112,DIC!$R37:$U37)</f>
        <v>0</v>
      </c>
      <c r="AT478" s="449">
        <f>DIC!AG37</f>
        <v>0</v>
      </c>
      <c r="AU478" s="445">
        <f>DIC!AH37</f>
        <v>0</v>
      </c>
      <c r="AV478" s="446">
        <f>DIC!AI37</f>
        <v>0</v>
      </c>
      <c r="AW478" s="447">
        <f>DIC!AJ37</f>
        <v>0</v>
      </c>
      <c r="AX478" s="448">
        <f>DIC!AK37</f>
        <v>0</v>
      </c>
      <c r="AY478" s="445">
        <f>SUMIF(DIC!$G$152:$J$152,"&gt;0",DIC!$W37:$Z37)</f>
        <v>0</v>
      </c>
      <c r="AZ478" s="1063">
        <f>SUM(DIC!AB37:AE37)</f>
        <v>0</v>
      </c>
      <c r="BA478" s="445">
        <f>SUMIF(DIC!$G$159:$J$159,BA$111,DIC!$R37:$U37)+SUMIF(DIC!$G$159:$J$159,BA$111,DIC!$W37:$Z37)</f>
        <v>0</v>
      </c>
      <c r="BB478" s="446">
        <f>SUMIF(DIC!$G$159:$J$159,BB$111,DIC!$R37:$U37)+SUMIF(DIC!$G$159:$J$159,BB$111,DIC!$W37:$Z37)</f>
        <v>0</v>
      </c>
      <c r="BC478" s="446">
        <f>SUMIF(DIC!$G$159:$J$159,BC$111,DIC!$R37:$U37)+SUMIF(DIC!$G$159:$J$159,BC$111,DIC!$W37:$Z37)</f>
        <v>0</v>
      </c>
      <c r="BD478" s="446">
        <f>SUMIF(DIC!$G$159:$J$159,BD$111,DIC!$R37:$U37)+SUMIF(DIC!$G$159:$J$159,BD$111,DIC!$W37:$Z37)</f>
        <v>0</v>
      </c>
      <c r="BE478" s="446">
        <f>SUMIF(DIC!$G$159:$J$159,BE$111,DIC!$R37:$U37)+SUMIF(DIC!$G$159:$J$159,BE$111,DIC!$W37:$Z37)</f>
        <v>0</v>
      </c>
      <c r="BF478" s="446">
        <f>SUMIF(DIC!$G$159:$J$159,BF$111,DIC!$R37:$U37)+SUMIF(DIC!$G$159:$J$159,BF$111,DIC!$W37:$Z37)</f>
        <v>0</v>
      </c>
      <c r="BG478" s="448">
        <f>SUMIF(DIC!$G$159:$J$159,BG$111,DIC!$R37:$U37)+SUMIF(DIC!$G$159:$J$159,BG$111,DIC!$W37:$Z37)</f>
        <v>0</v>
      </c>
      <c r="BH478" s="571"/>
      <c r="BI478" s="448"/>
      <c r="BJ478" s="470"/>
      <c r="BK478" s="445">
        <f>SUMIF(DIC!$G$157:$J$157,BK$111,DIC!$R37:$U37)+SUMIF(DIC!$G$157:$J$157,BK$111,DIC!$W37:$Z37)</f>
        <v>0</v>
      </c>
      <c r="BL478" s="446">
        <f>SUMIF(DIC!$G$157:$J$157,BL$111,DIC!$R37:$U37)+SUMIF(DIC!$G$157:$J$157,BL$111,DIC!$W37:$Z37)</f>
        <v>0</v>
      </c>
      <c r="BM478" s="446">
        <f>SUMIF(DIC!$G$157:$J$157,BM$111,DIC!$R37:$U37)+SUMIF(DIC!$G$157:$J$157,BM$111,DIC!$W37:$Z37)</f>
        <v>0</v>
      </c>
      <c r="BN478" s="446">
        <f>SUMIF(DIC!$G$157:$J$157,BN$111,DIC!$R37:$U37)+SUMIF(DIC!$G$157:$J$157,BN$111,DIC!$W37:$Z37)</f>
        <v>0</v>
      </c>
      <c r="BO478" s="446">
        <f>SUMIF(DIC!$G$157:$J$157,BO$111,DIC!$R37:$U37)+SUMIF(DIC!$G$157:$J$157,BO$111,DIC!$W37:$Z37)</f>
        <v>0</v>
      </c>
      <c r="BP478" s="446">
        <f>SUMIF(DIC!$G$157:$J$157,BP$111,DIC!$R37:$U37)+SUMIF(DIC!$G$157:$J$157,BP$111,DIC!$W37:$Z37)</f>
        <v>0</v>
      </c>
      <c r="BQ478" s="448">
        <f>SUMIF(DIC!$G$157:$J$157,BQ$111,DIC!$R37:$U37)+SUMIF(DIC!$G$157:$J$157,BQ$111,DIC!$W37:$Z37)</f>
        <v>0</v>
      </c>
      <c r="BR478" s="571"/>
      <c r="BS478" s="446"/>
      <c r="BT478" s="448"/>
      <c r="BU478" s="470"/>
      <c r="BV478" s="445">
        <f>SUMIF(DIC!$G$158:$J$158,BV$111,DIC!$R37:$U37)+SUMIF(DIC!$G$158:$J$158,BV$111,DIC!$W37:$Z37)</f>
        <v>0</v>
      </c>
      <c r="BW478" s="446">
        <f>SUMIF(DIC!$G$158:$J$158,BW$111,DIC!$R37:$U37)+SUMIF(DIC!$G$158:$J$158,BW$111,DIC!$W37:$Z37)</f>
        <v>0</v>
      </c>
      <c r="BX478" s="446">
        <f>SUMIF(DIC!$G$158:$J$158,BX$111,DIC!$R37:$U37)+SUMIF(DIC!$G$158:$J$158,BX$111,DIC!$W37:$Z37)</f>
        <v>0</v>
      </c>
      <c r="BY478" s="446">
        <f>SUMIF(DIC!$G$158:$J$158,BY$111,DIC!$R37:$U37)+SUMIF(DIC!$G$158:$J$158,BY$111,DIC!$W37:$Z37)</f>
        <v>0</v>
      </c>
      <c r="BZ478" s="446">
        <f>SUMIF(DIC!$G$158:$J$158,BZ$111,DIC!$R37:$U37)+SUMIF(DIC!$G$158:$J$158,BZ$111,DIC!$W37:$Z37)</f>
        <v>0</v>
      </c>
      <c r="CA478" s="446">
        <f>SUMIF(DIC!$G$158:$J$158,CA$111,DIC!$R37:$U37)+SUMIF(DIC!$G$158:$J$158,CA$111,DIC!$W37:$Z37)</f>
        <v>0</v>
      </c>
      <c r="CB478" s="448">
        <f>SUMIF(DIC!$G$158:$J$158,CB$111,DIC!$R37:$U37)+SUMIF(DIC!$G$158:$J$158,CB$111,DIC!$W37:$Z37)</f>
        <v>0</v>
      </c>
      <c r="CC478" s="571"/>
      <c r="CD478" s="448"/>
      <c r="CE478" s="92">
        <f t="shared" si="315"/>
        <v>0</v>
      </c>
      <c r="CF478" s="92">
        <f t="shared" si="316"/>
        <v>0</v>
      </c>
      <c r="CG478" s="151" t="str">
        <f t="shared" si="302"/>
        <v/>
      </c>
      <c r="CH478" s="92">
        <f t="shared" si="305"/>
        <v>0</v>
      </c>
      <c r="CI478" s="92" t="str">
        <f t="shared" si="317"/>
        <v/>
      </c>
      <c r="CJ478" s="1100">
        <f>DIC!AM37</f>
        <v>0</v>
      </c>
      <c r="CK478" s="445">
        <f>SUMIF(DIC!$G$155:$J$155,CK$112,DIC!$AN37:$AQ37)</f>
        <v>0</v>
      </c>
      <c r="CL478" s="446">
        <f>SUMIF(DIC!$G$155:$J$155,CL$112,DIC!$AN37:$AQ37)</f>
        <v>0</v>
      </c>
      <c r="CM478" s="447">
        <f>SUMIF(DIC!$G$155:$J$155,CM$112,DIC!$AN37:$AQ37)</f>
        <v>0</v>
      </c>
      <c r="CN478" s="448">
        <f>SUMIF(DIC!$G$155:$J$155,CN$112,DIC!$AN37:$AQ37)</f>
        <v>0</v>
      </c>
      <c r="CO478" s="1100">
        <f>DIC!AS37</f>
        <v>0</v>
      </c>
      <c r="CP478" s="445">
        <f>DIC!AT37</f>
        <v>0</v>
      </c>
      <c r="CQ478" s="446">
        <f>DIC!AU37</f>
        <v>0</v>
      </c>
      <c r="CR478" s="447">
        <f>DIC!AV37</f>
        <v>0</v>
      </c>
      <c r="CS478" s="448">
        <f>DIC!AW37</f>
        <v>0</v>
      </c>
      <c r="CT478" s="1100">
        <f>DIC!AY37</f>
        <v>0</v>
      </c>
      <c r="CU478" s="2"/>
    </row>
    <row r="479" spans="1:99" ht="14.25" hidden="1" customHeight="1" thickBot="1" x14ac:dyDescent="0.25">
      <c r="A479" s="2"/>
      <c r="B479" s="151">
        <f t="shared" si="306"/>
        <v>45657</v>
      </c>
      <c r="C479" s="223">
        <f>IF(AND(E479&gt;(N$496-1),E479&lt;(R$496+1)),W$485,IF(ISERROR(HLOOKUP(E479,$N$489:$U$489,1,FALSE)),HLOOKUP(WEEKDAY(E479,2),IMPOSTAZIONI!$C$51:$P$56,6,FALSE),$W$484))</f>
        <v>0</v>
      </c>
      <c r="D479" s="103" t="str">
        <f t="shared" si="307"/>
        <v/>
      </c>
      <c r="E479" s="2445">
        <f t="shared" si="318"/>
        <v>45657</v>
      </c>
      <c r="F479" s="2446"/>
      <c r="G479" s="2316" t="str">
        <f>DIC!E38</f>
        <v xml:space="preserve">attiva trim.  </v>
      </c>
      <c r="H479" s="2317"/>
      <c r="I479" s="2318"/>
      <c r="J479" s="479" t="str">
        <f t="shared" si="303"/>
        <v/>
      </c>
      <c r="K479" s="480"/>
      <c r="L479" s="2332">
        <f t="shared" si="319"/>
        <v>53</v>
      </c>
      <c r="M479" s="2333"/>
      <c r="N479" s="2328">
        <f>COUNTIF(L473:M479,N478)</f>
        <v>5</v>
      </c>
      <c r="O479" s="2329"/>
      <c r="P479" s="478"/>
      <c r="Q479" s="2315">
        <f t="shared" si="308"/>
        <v>45657</v>
      </c>
      <c r="R479" s="2315"/>
      <c r="S479" s="478"/>
      <c r="T479" s="140">
        <f t="shared" si="309"/>
        <v>1</v>
      </c>
      <c r="U479" s="478"/>
      <c r="V479" s="478"/>
      <c r="W479" s="478"/>
      <c r="X479" s="478"/>
      <c r="Y479" s="478"/>
      <c r="Z479" s="478"/>
      <c r="AA479" s="478"/>
      <c r="AB479" s="478"/>
      <c r="AC479" s="478"/>
      <c r="AD479" s="478"/>
      <c r="AE479" s="478"/>
      <c r="AF479" s="478"/>
      <c r="AG479" s="140">
        <f t="shared" si="310"/>
        <v>0</v>
      </c>
      <c r="AH479" s="92" t="str">
        <f t="shared" si="311"/>
        <v/>
      </c>
      <c r="AI479" s="131">
        <f t="shared" si="312"/>
        <v>0</v>
      </c>
      <c r="AJ479" s="2"/>
      <c r="AK479" s="92">
        <f>IF(G479=G$481,0,IF(OR(G479&lt;&gt;0,CJ479&lt;&gt;0,C479="L"),COUNTIF(AK$114:AK478,"&gt;0")+1,0))</f>
        <v>0</v>
      </c>
      <c r="AL479" s="92" t="str">
        <f t="shared" si="313"/>
        <v/>
      </c>
      <c r="AM479" s="92" t="str">
        <f t="shared" si="314"/>
        <v/>
      </c>
      <c r="AN479" s="131">
        <f t="shared" si="304"/>
        <v>0</v>
      </c>
      <c r="AO479" s="452">
        <f>SUM(DIC!W38:Z38)</f>
        <v>0</v>
      </c>
      <c r="AP479" s="450">
        <f>SUMIF(DIC!$G$155:$J$155,AP$112,DIC!$R38:$U38)</f>
        <v>0</v>
      </c>
      <c r="AQ479" s="451">
        <f>SUMIF(DIC!$G$155:$J$155,AQ$112,DIC!$R38:$U38)</f>
        <v>0</v>
      </c>
      <c r="AR479" s="452">
        <f>SUMIF(DIC!$G$155:$J$155,AR$112,DIC!$R38:$U38)</f>
        <v>0</v>
      </c>
      <c r="AS479" s="453">
        <f>SUMIF(DIC!$G$155:$J$155,AS$112,DIC!$R38:$U38)</f>
        <v>0</v>
      </c>
      <c r="AT479" s="454">
        <f>DIC!AG38</f>
        <v>0</v>
      </c>
      <c r="AU479" s="450">
        <f>DIC!AH38</f>
        <v>0</v>
      </c>
      <c r="AV479" s="451">
        <f>DIC!AI38</f>
        <v>0</v>
      </c>
      <c r="AW479" s="452">
        <f>DIC!AJ38</f>
        <v>0</v>
      </c>
      <c r="AX479" s="453">
        <f>DIC!AK38</f>
        <v>0</v>
      </c>
      <c r="AY479" s="450">
        <f>SUMIF(DIC!$G$152:$J$152,"&gt;0",DIC!$W38:$Z38)</f>
        <v>0</v>
      </c>
      <c r="AZ479" s="1065">
        <f>SUM(DIC!AB38:AE38)</f>
        <v>0</v>
      </c>
      <c r="BA479" s="450">
        <f>SUMIF(DIC!$G$159:$J$159,BA$111,DIC!$R38:$U38)+SUMIF(DIC!$G$159:$J$159,BA$111,DIC!$W38:$Z38)</f>
        <v>0</v>
      </c>
      <c r="BB479" s="451">
        <f>SUMIF(DIC!$G$159:$J$159,BB$111,DIC!$R38:$U38)+SUMIF(DIC!$G$159:$J$159,BB$111,DIC!$W38:$Z38)</f>
        <v>0</v>
      </c>
      <c r="BC479" s="451">
        <f>SUMIF(DIC!$G$159:$J$159,BC$111,DIC!$R38:$U38)+SUMIF(DIC!$G$159:$J$159,BC$111,DIC!$W38:$Z38)</f>
        <v>0</v>
      </c>
      <c r="BD479" s="451">
        <f>SUMIF(DIC!$G$159:$J$159,BD$111,DIC!$R38:$U38)+SUMIF(DIC!$G$159:$J$159,BD$111,DIC!$W38:$Z38)</f>
        <v>0</v>
      </c>
      <c r="BE479" s="451">
        <f>SUMIF(DIC!$G$159:$J$159,BE$111,DIC!$R38:$U38)+SUMIF(DIC!$G$159:$J$159,BE$111,DIC!$W38:$Z38)</f>
        <v>0</v>
      </c>
      <c r="BF479" s="451">
        <f>SUMIF(DIC!$G$159:$J$159,BF$111,DIC!$R38:$U38)+SUMIF(DIC!$G$159:$J$159,BF$111,DIC!$W38:$Z38)</f>
        <v>0</v>
      </c>
      <c r="BG479" s="453">
        <f>SUMIF(DIC!$G$159:$J$159,BG$111,DIC!$R38:$U38)+SUMIF(DIC!$G$159:$J$159,BG$111,DIC!$W38:$Z38)</f>
        <v>0</v>
      </c>
      <c r="BH479" s="572"/>
      <c r="BI479" s="453"/>
      <c r="BJ479" s="470"/>
      <c r="BK479" s="450">
        <f>SUMIF(DIC!$G$157:$J$157,BK$111,DIC!$R38:$U38)+SUMIF(DIC!$G$157:$J$157,BK$111,DIC!$W38:$Z38)</f>
        <v>0</v>
      </c>
      <c r="BL479" s="451">
        <f>SUMIF(DIC!$G$157:$J$157,BL$111,DIC!$R38:$U38)+SUMIF(DIC!$G$157:$J$157,BL$111,DIC!$W38:$Z38)</f>
        <v>0</v>
      </c>
      <c r="BM479" s="451">
        <f>SUMIF(DIC!$G$157:$J$157,BM$111,DIC!$R38:$U38)+SUMIF(DIC!$G$157:$J$157,BM$111,DIC!$W38:$Z38)</f>
        <v>0</v>
      </c>
      <c r="BN479" s="451">
        <f>SUMIF(DIC!$G$157:$J$157,BN$111,DIC!$R38:$U38)+SUMIF(DIC!$G$157:$J$157,BN$111,DIC!$W38:$Z38)</f>
        <v>0</v>
      </c>
      <c r="BO479" s="451">
        <f>SUMIF(DIC!$G$157:$J$157,BO$111,DIC!$R38:$U38)+SUMIF(DIC!$G$157:$J$157,BO$111,DIC!$W38:$Z38)</f>
        <v>0</v>
      </c>
      <c r="BP479" s="451">
        <f>SUMIF(DIC!$G$157:$J$157,BP$111,DIC!$R38:$U38)+SUMIF(DIC!$G$157:$J$157,BP$111,DIC!$W38:$Z38)</f>
        <v>0</v>
      </c>
      <c r="BQ479" s="453">
        <f>SUMIF(DIC!$G$157:$J$157,BQ$111,DIC!$R38:$U38)+SUMIF(DIC!$G$157:$J$157,BQ$111,DIC!$W38:$Z38)</f>
        <v>0</v>
      </c>
      <c r="BR479" s="572"/>
      <c r="BS479" s="451"/>
      <c r="BT479" s="453"/>
      <c r="BU479" s="470"/>
      <c r="BV479" s="450">
        <f>SUMIF(DIC!$G$158:$J$158,BV$111,DIC!$R38:$U38)+SUMIF(DIC!$G$158:$J$158,BV$111,DIC!$W38:$Z38)</f>
        <v>0</v>
      </c>
      <c r="BW479" s="451">
        <f>SUMIF(DIC!$G$158:$J$158,BW$111,DIC!$R38:$U38)+SUMIF(DIC!$G$158:$J$158,BW$111,DIC!$W38:$Z38)</f>
        <v>0</v>
      </c>
      <c r="BX479" s="451">
        <f>SUMIF(DIC!$G$158:$J$158,BX$111,DIC!$R38:$U38)+SUMIF(DIC!$G$158:$J$158,BX$111,DIC!$W38:$Z38)</f>
        <v>0</v>
      </c>
      <c r="BY479" s="451">
        <f>SUMIF(DIC!$G$158:$J$158,BY$111,DIC!$R38:$U38)+SUMIF(DIC!$G$158:$J$158,BY$111,DIC!$W38:$Z38)</f>
        <v>0</v>
      </c>
      <c r="BZ479" s="451">
        <f>SUMIF(DIC!$G$158:$J$158,BZ$111,DIC!$R38:$U38)+SUMIF(DIC!$G$158:$J$158,BZ$111,DIC!$W38:$Z38)</f>
        <v>0</v>
      </c>
      <c r="CA479" s="451">
        <f>SUMIF(DIC!$G$158:$J$158,CA$111,DIC!$R38:$U38)+SUMIF(DIC!$G$158:$J$158,CA$111,DIC!$W38:$Z38)</f>
        <v>0</v>
      </c>
      <c r="CB479" s="453">
        <f>SUMIF(DIC!$G$158:$J$158,CB$111,DIC!$R38:$U38)+SUMIF(DIC!$G$158:$J$158,CB$111,DIC!$W38:$Z38)</f>
        <v>0</v>
      </c>
      <c r="CC479" s="572"/>
      <c r="CD479" s="453"/>
      <c r="CE479" s="92">
        <f t="shared" si="315"/>
        <v>0</v>
      </c>
      <c r="CF479" s="92">
        <f t="shared" si="316"/>
        <v>0</v>
      </c>
      <c r="CG479" s="151" t="str">
        <f t="shared" si="302"/>
        <v/>
      </c>
      <c r="CH479" s="92">
        <f t="shared" si="305"/>
        <v>0</v>
      </c>
      <c r="CI479" s="92" t="str">
        <f t="shared" si="317"/>
        <v/>
      </c>
      <c r="CJ479" s="1103">
        <f>DIC!AM38</f>
        <v>0</v>
      </c>
      <c r="CK479" s="450">
        <f>SUMIF(DIC!$G$155:$J$155,CK$112,DIC!$AN38:$AQ38)</f>
        <v>0</v>
      </c>
      <c r="CL479" s="451">
        <f>SUMIF(DIC!$G$155:$J$155,CL$112,DIC!$AN38:$AQ38)</f>
        <v>0</v>
      </c>
      <c r="CM479" s="452">
        <f>SUMIF(DIC!$G$155:$J$155,CM$112,DIC!$AN38:$AQ38)</f>
        <v>0</v>
      </c>
      <c r="CN479" s="453">
        <f>SUMIF(DIC!$G$155:$J$155,CN$112,DIC!$AN38:$AQ38)</f>
        <v>0</v>
      </c>
      <c r="CO479" s="1103">
        <f>DIC!AS38</f>
        <v>0</v>
      </c>
      <c r="CP479" s="450">
        <f>DIC!AT38</f>
        <v>0</v>
      </c>
      <c r="CQ479" s="451">
        <f>DIC!AU38</f>
        <v>0</v>
      </c>
      <c r="CR479" s="452">
        <f>DIC!AV38</f>
        <v>0</v>
      </c>
      <c r="CS479" s="453">
        <f>DIC!AW38</f>
        <v>0</v>
      </c>
      <c r="CT479" s="1103">
        <f>DIC!AY38</f>
        <v>0</v>
      </c>
      <c r="CU479" s="2"/>
    </row>
    <row r="480" spans="1:99" ht="13.5" hidden="1" thickTop="1" x14ac:dyDescent="0.2">
      <c r="A480" s="2"/>
      <c r="B480" s="2"/>
      <c r="C480" s="104"/>
      <c r="D480" s="104"/>
      <c r="E480" s="104"/>
      <c r="F480" s="104"/>
      <c r="G480" s="104"/>
      <c r="H480" s="104"/>
      <c r="I480" s="104"/>
      <c r="J480" s="104"/>
      <c r="K480" s="104"/>
      <c r="L480" s="101"/>
      <c r="M480" s="101"/>
      <c r="N480" s="101"/>
      <c r="O480" s="101"/>
      <c r="P480" s="101"/>
      <c r="Q480" s="101"/>
      <c r="R480" s="101"/>
      <c r="S480" s="101"/>
      <c r="T480" s="101"/>
      <c r="U480" s="101"/>
      <c r="V480" s="101"/>
      <c r="W480" s="101"/>
      <c r="X480" s="101"/>
      <c r="Y480" s="101"/>
      <c r="Z480" s="101"/>
      <c r="AA480" s="101"/>
      <c r="AB480" s="101"/>
      <c r="AC480" s="101"/>
      <c r="AD480" s="101"/>
      <c r="AE480" s="101"/>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row>
    <row r="481" spans="1:99" ht="15" hidden="1" customHeight="1" x14ac:dyDescent="0.2">
      <c r="A481" s="2"/>
      <c r="B481" s="2"/>
      <c r="C481" s="104"/>
      <c r="D481" s="104"/>
      <c r="E481" s="104"/>
      <c r="F481" s="104"/>
      <c r="G481" s="2334" t="str">
        <f>CONCATENATE(Presentazione!K150,"  ")</f>
        <v xml:space="preserve">attiva trim.  </v>
      </c>
      <c r="H481" s="2335"/>
      <c r="I481" s="2336"/>
      <c r="J481" s="104"/>
      <c r="K481" s="104"/>
      <c r="L481" s="101"/>
      <c r="M481" s="101"/>
      <c r="N481" s="101"/>
      <c r="O481" s="101"/>
      <c r="P481" s="101"/>
      <c r="Q481" s="101"/>
      <c r="R481" s="101"/>
      <c r="S481" s="101"/>
      <c r="T481" s="101"/>
      <c r="U481" s="101"/>
      <c r="V481" s="101"/>
      <c r="W481" s="101"/>
      <c r="X481" s="101"/>
      <c r="Y481" s="101"/>
      <c r="Z481" s="101"/>
      <c r="AA481" s="101"/>
      <c r="AB481" s="101"/>
      <c r="AC481" s="101"/>
      <c r="AD481" s="101"/>
      <c r="AE481" s="101"/>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144" t="s">
        <v>388</v>
      </c>
      <c r="CF481" s="141">
        <f>MAX(CE114:CE479)</f>
        <v>0</v>
      </c>
      <c r="CG481" s="154" t="s">
        <v>280</v>
      </c>
      <c r="CH481" s="152">
        <f>MAX(CG114:CG479)</f>
        <v>0</v>
      </c>
      <c r="CI481" s="2"/>
      <c r="CJ481" s="2"/>
      <c r="CK481" s="2"/>
      <c r="CL481" s="2"/>
      <c r="CM481" s="2"/>
      <c r="CN481" s="2"/>
      <c r="CO481" s="2"/>
      <c r="CP481" s="2"/>
      <c r="CQ481" s="2"/>
      <c r="CR481" s="2"/>
      <c r="CS481" s="2"/>
      <c r="CT481" s="2"/>
      <c r="CU481" s="2"/>
    </row>
    <row r="482" spans="1:99" ht="15" hidden="1" customHeight="1" x14ac:dyDescent="0.2">
      <c r="A482" s="2"/>
      <c r="B482" s="2"/>
      <c r="C482" s="104"/>
      <c r="D482" s="104"/>
      <c r="E482" s="104"/>
      <c r="F482" s="104"/>
      <c r="G482" s="104"/>
      <c r="H482" s="104"/>
      <c r="I482" s="104"/>
      <c r="J482" s="104"/>
      <c r="K482" s="104"/>
      <c r="L482" s="101"/>
      <c r="M482" s="101"/>
      <c r="N482" s="101"/>
      <c r="O482" s="101"/>
      <c r="P482" s="101"/>
      <c r="Q482" s="101"/>
      <c r="R482" s="101"/>
      <c r="S482" s="101"/>
      <c r="T482" s="101"/>
      <c r="U482" s="101"/>
      <c r="V482" s="101"/>
      <c r="W482" s="101"/>
      <c r="X482" s="101"/>
      <c r="Y482" s="101"/>
      <c r="Z482" s="101"/>
      <c r="AA482" s="101"/>
      <c r="AB482" s="101"/>
      <c r="AC482" s="101"/>
      <c r="AD482" s="101"/>
      <c r="AE482" s="101"/>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143" t="s">
        <v>389</v>
      </c>
      <c r="CF482" s="142" t="e">
        <f>SMALL(CE114:CE479,CG483+1)</f>
        <v>#NUM!</v>
      </c>
      <c r="CG482" s="142">
        <f>COUNTIF(CF114:CF479,"&gt;0")</f>
        <v>0</v>
      </c>
      <c r="CH482" s="153">
        <f>MIN(CG114:CG479)</f>
        <v>0</v>
      </c>
      <c r="CI482" s="2"/>
      <c r="CJ482" s="2"/>
      <c r="CK482" s="2"/>
      <c r="CL482" s="2"/>
      <c r="CM482" s="2"/>
      <c r="CN482" s="2"/>
      <c r="CO482" s="2"/>
      <c r="CP482" s="2"/>
      <c r="CQ482" s="2"/>
      <c r="CR482" s="2"/>
      <c r="CS482" s="2"/>
      <c r="CT482" s="2"/>
      <c r="CU482" s="2"/>
    </row>
    <row r="483" spans="1:99" ht="15" hidden="1" customHeight="1" x14ac:dyDescent="0.2">
      <c r="A483" s="2"/>
      <c r="B483" s="2"/>
      <c r="C483" s="104"/>
      <c r="D483" s="104"/>
      <c r="E483" s="104"/>
      <c r="F483" s="104"/>
      <c r="G483" s="104"/>
      <c r="H483" s="104"/>
      <c r="I483" s="104"/>
      <c r="J483" s="104"/>
      <c r="K483" s="104"/>
      <c r="L483" s="101"/>
      <c r="M483" s="101"/>
      <c r="N483" s="101"/>
      <c r="O483" s="101"/>
      <c r="P483" s="101"/>
      <c r="Q483" s="101"/>
      <c r="R483" s="101"/>
      <c r="S483" s="101"/>
      <c r="T483" s="101"/>
      <c r="U483" s="101"/>
      <c r="V483" s="101"/>
      <c r="W483" s="101"/>
      <c r="X483" s="101"/>
      <c r="Y483" s="101"/>
      <c r="Z483" s="101"/>
      <c r="AA483" s="101"/>
      <c r="AB483" s="101"/>
      <c r="AC483" s="101"/>
      <c r="AD483" s="101"/>
      <c r="AE483" s="101"/>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144" t="s">
        <v>390</v>
      </c>
      <c r="CF483" s="141" t="e">
        <f>IF(CF482-VERIFICA!G5&lt;0,0,CF482-VERIFICA!G5)</f>
        <v>#NUM!</v>
      </c>
      <c r="CG483" s="92">
        <f>COUNTIF(CE114:CE479,0)</f>
        <v>366</v>
      </c>
      <c r="CH483" s="2"/>
      <c r="CI483" s="2"/>
      <c r="CJ483" s="2"/>
      <c r="CK483" s="2"/>
      <c r="CL483" s="2"/>
      <c r="CM483" s="2"/>
      <c r="CN483" s="2"/>
      <c r="CO483" s="2"/>
      <c r="CP483" s="2"/>
      <c r="CQ483" s="2"/>
      <c r="CR483" s="2"/>
      <c r="CS483" s="2"/>
      <c r="CT483" s="2"/>
      <c r="CU483" s="2"/>
    </row>
    <row r="484" spans="1:99" ht="15" hidden="1" customHeight="1" x14ac:dyDescent="0.2">
      <c r="A484" s="2"/>
      <c r="B484" s="2"/>
      <c r="C484" s="104"/>
      <c r="D484" s="104"/>
      <c r="E484" s="2370">
        <f>IF(ISBLANK(IMPOSTAZIONI!J60),0,DATE($E$112,IMPOSTAZIONI!$B60,IMPOSTAZIONI!J60))</f>
        <v>0</v>
      </c>
      <c r="F484" s="2371"/>
      <c r="G484" s="2370">
        <f>IF(ISBLANK(IMPOSTAZIONI!K60),0,DATE($E$112,IMPOSTAZIONI!$B60,IMPOSTAZIONI!K60))</f>
        <v>0</v>
      </c>
      <c r="H484" s="2371"/>
      <c r="I484" s="2370">
        <f>IF(ISBLANK(IMPOSTAZIONI!L60),0,DATE($E$112,IMPOSTAZIONI!$B60,IMPOSTAZIONI!L60))</f>
        <v>0</v>
      </c>
      <c r="J484" s="2371"/>
      <c r="K484" s="2370">
        <f>IF(ISBLANK(IMPOSTAZIONI!M60),0,DATE($E$112,IMPOSTAZIONI!$B60,IMPOSTAZIONI!M60))</f>
        <v>0</v>
      </c>
      <c r="L484" s="2371"/>
      <c r="M484" s="104"/>
      <c r="N484" s="2370">
        <f>IF(ISBLANK(IMPOSTAZIONI!AB60),0,DATE($E$112,IMPOSTAZIONI!$T60,IMPOSTAZIONI!AB60))</f>
        <v>0</v>
      </c>
      <c r="O484" s="2371"/>
      <c r="P484" s="2370">
        <f>IF(ISBLANK(IMPOSTAZIONI!AC60),0,DATE($E$112,IMPOSTAZIONI!$T60,IMPOSTAZIONI!AC60))</f>
        <v>0</v>
      </c>
      <c r="Q484" s="2371"/>
      <c r="R484" s="2370">
        <f>IF(ISBLANK(IMPOSTAZIONI!AD60),0,DATE($E$112,IMPOSTAZIONI!$T60,IMPOSTAZIONI!AD60))</f>
        <v>0</v>
      </c>
      <c r="S484" s="2371"/>
      <c r="T484" s="2370">
        <f>IF(ISBLANK(IMPOSTAZIONI!AE60),0,DATE($E$112,IMPOSTAZIONI!$T60,IMPOSTAZIONI!AE60))</f>
        <v>0</v>
      </c>
      <c r="U484" s="2371"/>
      <c r="V484" s="101"/>
      <c r="W484" s="504" t="s">
        <v>190</v>
      </c>
      <c r="X484" s="503" t="s">
        <v>548</v>
      </c>
      <c r="Y484" s="101"/>
      <c r="Z484" s="101"/>
      <c r="AA484" s="101"/>
      <c r="AB484" s="101"/>
      <c r="AC484" s="101"/>
      <c r="AD484" s="101"/>
      <c r="AE484" s="101"/>
      <c r="AF484" s="101"/>
      <c r="AG484" s="101"/>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143" t="s">
        <v>391</v>
      </c>
      <c r="CF484" s="142" t="e">
        <f>CF482-1</f>
        <v>#NUM!</v>
      </c>
      <c r="CG484" s="140"/>
      <c r="CH484" s="2"/>
      <c r="CI484" s="2"/>
      <c r="CJ484" s="2"/>
      <c r="CK484" s="2"/>
      <c r="CL484" s="2"/>
      <c r="CM484" s="2"/>
      <c r="CN484" s="2"/>
      <c r="CO484" s="2"/>
      <c r="CP484" s="2"/>
      <c r="CQ484" s="2"/>
      <c r="CR484" s="2"/>
      <c r="CS484" s="2"/>
      <c r="CT484" s="2"/>
      <c r="CU484" s="2"/>
    </row>
    <row r="485" spans="1:99" ht="15" hidden="1" customHeight="1" x14ac:dyDescent="0.2">
      <c r="A485" s="2"/>
      <c r="B485" s="2"/>
      <c r="C485" s="104"/>
      <c r="D485" s="104"/>
      <c r="E485" s="2370">
        <f>IF(ISBLANK(IMPOSTAZIONI!J61),0,DATE($E$112,IMPOSTAZIONI!$B61,IMPOSTAZIONI!J61))</f>
        <v>0</v>
      </c>
      <c r="F485" s="2371"/>
      <c r="G485" s="2370">
        <f>IF(ISBLANK(IMPOSTAZIONI!K61),0,DATE($E$112,IMPOSTAZIONI!$B61,IMPOSTAZIONI!K61))</f>
        <v>0</v>
      </c>
      <c r="H485" s="2371"/>
      <c r="I485" s="2370">
        <f>IF(ISBLANK(IMPOSTAZIONI!L61),0,DATE($E$112,IMPOSTAZIONI!$B61,IMPOSTAZIONI!L61))</f>
        <v>0</v>
      </c>
      <c r="J485" s="2371"/>
      <c r="K485" s="2370">
        <f>IF(ISBLANK(IMPOSTAZIONI!M61),0,DATE($E$112,IMPOSTAZIONI!$B61,IMPOSTAZIONI!M61))</f>
        <v>0</v>
      </c>
      <c r="L485" s="2371"/>
      <c r="M485" s="101"/>
      <c r="N485" s="2370">
        <f>IF(ISBLANK(IMPOSTAZIONI!AB61),0,DATE($E$112,IMPOSTAZIONI!$T61,IMPOSTAZIONI!AB61))</f>
        <v>45519</v>
      </c>
      <c r="O485" s="2371"/>
      <c r="P485" s="2370">
        <f>IF(ISBLANK(IMPOSTAZIONI!AC61),0,DATE($E$112,IMPOSTAZIONI!$T61,IMPOSTAZIONI!AC61))</f>
        <v>0</v>
      </c>
      <c r="Q485" s="2371"/>
      <c r="R485" s="2370">
        <f>IF(ISBLANK(IMPOSTAZIONI!AD61),0,DATE($E$112,IMPOSTAZIONI!$T61,IMPOSTAZIONI!AD61))</f>
        <v>0</v>
      </c>
      <c r="S485" s="2371"/>
      <c r="T485" s="2370">
        <f>IF(ISBLANK(IMPOSTAZIONI!AE61),0,DATE($E$112,IMPOSTAZIONI!$T61,IMPOSTAZIONI!AE61))</f>
        <v>0</v>
      </c>
      <c r="U485" s="2371"/>
      <c r="V485" s="101"/>
      <c r="W485" s="505" t="s">
        <v>261</v>
      </c>
      <c r="X485" s="733" t="str">
        <f>IMPOSTAZIONI!$X$54</f>
        <v>Chiuso</v>
      </c>
      <c r="Y485" s="101"/>
      <c r="Z485" s="101"/>
      <c r="AA485" s="101"/>
      <c r="AB485" s="101"/>
      <c r="AC485" s="101"/>
      <c r="AD485" s="101"/>
      <c r="AE485" s="101"/>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row>
    <row r="486" spans="1:99" ht="15" hidden="1" customHeight="1" x14ac:dyDescent="0.2">
      <c r="A486" s="2"/>
      <c r="B486" s="2"/>
      <c r="C486" s="104"/>
      <c r="D486" s="104"/>
      <c r="E486" s="2370">
        <f>IF(ISBLANK(IMPOSTAZIONI!J62),0,DATE($E$112,IMPOSTAZIONI!$B62,IMPOSTAZIONI!J62))</f>
        <v>0</v>
      </c>
      <c r="F486" s="2371"/>
      <c r="G486" s="2370">
        <f>IF(ISBLANK(IMPOSTAZIONI!K62),0,DATE($E$112,IMPOSTAZIONI!$B62,IMPOSTAZIONI!K62))</f>
        <v>0</v>
      </c>
      <c r="H486" s="2371"/>
      <c r="I486" s="2370">
        <f>IF(ISBLANK(IMPOSTAZIONI!L62),0,DATE($E$112,IMPOSTAZIONI!$B62,IMPOSTAZIONI!L62))</f>
        <v>0</v>
      </c>
      <c r="J486" s="2371"/>
      <c r="K486" s="2370">
        <f>IF(ISBLANK(IMPOSTAZIONI!M62),0,DATE($E$112,IMPOSTAZIONI!$B62,IMPOSTAZIONI!M62))</f>
        <v>0</v>
      </c>
      <c r="L486" s="2371"/>
      <c r="M486" s="101"/>
      <c r="N486" s="2370">
        <f>IF(ISBLANK(IMPOSTAZIONI!AB62),0,DATE($E$112,IMPOSTAZIONI!$T62,IMPOSTAZIONI!AB62))</f>
        <v>0</v>
      </c>
      <c r="O486" s="2371"/>
      <c r="P486" s="2370">
        <f>IF(ISBLANK(IMPOSTAZIONI!AC62),0,DATE($E$112,IMPOSTAZIONI!$T62,IMPOSTAZIONI!AC62))</f>
        <v>0</v>
      </c>
      <c r="Q486" s="2371"/>
      <c r="R486" s="2370">
        <f>IF(ISBLANK(IMPOSTAZIONI!AD62),0,DATE($E$112,IMPOSTAZIONI!$T62,IMPOSTAZIONI!AD62))</f>
        <v>0</v>
      </c>
      <c r="S486" s="2371"/>
      <c r="T486" s="2370">
        <f>IF(ISBLANK(IMPOSTAZIONI!AE62),0,DATE($E$112,IMPOSTAZIONI!$T62,IMPOSTAZIONI!AE62))</f>
        <v>0</v>
      </c>
      <c r="U486" s="2371"/>
      <c r="V486" s="101"/>
      <c r="W486" s="101"/>
      <c r="X486" s="101"/>
      <c r="Y486" s="101"/>
      <c r="Z486" s="101"/>
      <c r="AA486" s="101"/>
      <c r="AB486" s="101"/>
      <c r="AC486" s="101"/>
      <c r="AD486" s="101"/>
      <c r="AE486" s="101"/>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144" t="s">
        <v>388</v>
      </c>
      <c r="CF486" s="141">
        <f>MAX(CH114:CH479)</f>
        <v>0</v>
      </c>
      <c r="CG486" s="2"/>
      <c r="CH486" s="2"/>
      <c r="CI486" s="2"/>
      <c r="CJ486" s="2"/>
      <c r="CK486" s="2"/>
      <c r="CL486" s="2"/>
      <c r="CM486" s="2"/>
      <c r="CN486" s="2"/>
      <c r="CO486" s="2"/>
      <c r="CP486" s="2"/>
      <c r="CQ486" s="2"/>
      <c r="CR486" s="2"/>
      <c r="CS486" s="2"/>
      <c r="CT486" s="2"/>
      <c r="CU486" s="2"/>
    </row>
    <row r="487" spans="1:99" ht="15" hidden="1" customHeight="1" x14ac:dyDescent="0.2">
      <c r="A487" s="2"/>
      <c r="B487" s="2"/>
      <c r="C487" s="104"/>
      <c r="D487" s="104"/>
      <c r="E487" s="2370">
        <f>IF(ISBLANK(IMPOSTAZIONI!J63),0,DATE($E$112,IMPOSTAZIONI!$B63,IMPOSTAZIONI!J63))</f>
        <v>0</v>
      </c>
      <c r="F487" s="2371"/>
      <c r="G487" s="2370">
        <f>IF(ISBLANK(IMPOSTAZIONI!K63),0,DATE($E$112,IMPOSTAZIONI!$B63,IMPOSTAZIONI!K63))</f>
        <v>0</v>
      </c>
      <c r="H487" s="2371"/>
      <c r="I487" s="2370">
        <f>IF(ISBLANK(IMPOSTAZIONI!L63),0,DATE($E$112,IMPOSTAZIONI!$B63,IMPOSTAZIONI!L63))</f>
        <v>0</v>
      </c>
      <c r="J487" s="2371"/>
      <c r="K487" s="2370">
        <f>IF(ISBLANK(IMPOSTAZIONI!M63),0,DATE($E$112,IMPOSTAZIONI!$B63,IMPOSTAZIONI!M63))</f>
        <v>0</v>
      </c>
      <c r="L487" s="2371"/>
      <c r="M487" s="101"/>
      <c r="N487" s="2370">
        <f>IF(ISBLANK(IMPOSTAZIONI!AB63),0,DATE($E$112,IMPOSTAZIONI!$T63,IMPOSTAZIONI!AB63))</f>
        <v>0</v>
      </c>
      <c r="O487" s="2371"/>
      <c r="P487" s="2370">
        <f>IF(ISBLANK(IMPOSTAZIONI!AC63),0,DATE($E$112,IMPOSTAZIONI!$T63,IMPOSTAZIONI!AC63))</f>
        <v>0</v>
      </c>
      <c r="Q487" s="2371"/>
      <c r="R487" s="2370">
        <f>IF(ISBLANK(IMPOSTAZIONI!AD63),0,DATE($E$112,IMPOSTAZIONI!$T63,IMPOSTAZIONI!AD63))</f>
        <v>0</v>
      </c>
      <c r="S487" s="2371"/>
      <c r="T487" s="2370">
        <f>IF(ISBLANK(IMPOSTAZIONI!AE63),0,DATE($E$112,IMPOSTAZIONI!$T63,IMPOSTAZIONI!AE63))</f>
        <v>0</v>
      </c>
      <c r="U487" s="2371"/>
      <c r="V487" s="101"/>
      <c r="W487" s="101"/>
      <c r="X487" s="101"/>
      <c r="Y487" s="101"/>
      <c r="Z487" s="101"/>
      <c r="AA487" s="101"/>
      <c r="AB487" s="101"/>
      <c r="AC487" s="101"/>
      <c r="AD487" s="101"/>
      <c r="AE487" s="101"/>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143" t="s">
        <v>389</v>
      </c>
      <c r="CF487" s="142" t="e">
        <f>SMALL(CH114:CH479,CG487+1)</f>
        <v>#NUM!</v>
      </c>
      <c r="CG487" s="92">
        <f>COUNTIF(CH114:CH479,0)</f>
        <v>366</v>
      </c>
      <c r="CH487" s="2"/>
      <c r="CI487" s="2"/>
      <c r="CJ487" s="2"/>
      <c r="CK487" s="2"/>
      <c r="CL487" s="2"/>
      <c r="CM487" s="2"/>
      <c r="CN487" s="2"/>
      <c r="CO487" s="2"/>
      <c r="CP487" s="2"/>
      <c r="CQ487" s="2"/>
      <c r="CR487" s="2"/>
      <c r="CS487" s="2"/>
      <c r="CT487" s="2"/>
      <c r="CU487" s="2"/>
    </row>
    <row r="488" spans="1:99" ht="15" hidden="1" customHeight="1" x14ac:dyDescent="0.2">
      <c r="A488" s="2"/>
      <c r="B488" s="2"/>
      <c r="C488" s="104"/>
      <c r="D488" s="104"/>
      <c r="E488" s="2370">
        <f>IF(ISBLANK(IMPOSTAZIONI!J64),0,DATE($E$112,IMPOSTAZIONI!$B64,IMPOSTAZIONI!J64))</f>
        <v>0</v>
      </c>
      <c r="F488" s="2371"/>
      <c r="G488" s="2370">
        <f>IF(ISBLANK(IMPOSTAZIONI!K64),0,DATE($E$112,IMPOSTAZIONI!$B64,IMPOSTAZIONI!K64))</f>
        <v>0</v>
      </c>
      <c r="H488" s="2371"/>
      <c r="I488" s="2370">
        <f>IF(ISBLANK(IMPOSTAZIONI!L64),0,DATE($E$112,IMPOSTAZIONI!$B64,IMPOSTAZIONI!L64))</f>
        <v>0</v>
      </c>
      <c r="J488" s="2371"/>
      <c r="K488" s="2370">
        <f>IF(ISBLANK(IMPOSTAZIONI!M64),0,DATE($E$112,IMPOSTAZIONI!$B64,IMPOSTAZIONI!M64))</f>
        <v>0</v>
      </c>
      <c r="L488" s="2371"/>
      <c r="M488" s="101"/>
      <c r="N488" s="2370">
        <f>IF(ISBLANK(IMPOSTAZIONI!AB64),0,DATE($E$112,IMPOSTAZIONI!$T64,IMPOSTAZIONI!AB64))</f>
        <v>0</v>
      </c>
      <c r="O488" s="2371"/>
      <c r="P488" s="2370">
        <f>IF(ISBLANK(IMPOSTAZIONI!AC64),0,DATE($E$112,IMPOSTAZIONI!$T64,IMPOSTAZIONI!AC64))</f>
        <v>0</v>
      </c>
      <c r="Q488" s="2371"/>
      <c r="R488" s="2370">
        <f>IF(ISBLANK(IMPOSTAZIONI!AD64),0,DATE($E$112,IMPOSTAZIONI!$T64,IMPOSTAZIONI!AD64))</f>
        <v>0</v>
      </c>
      <c r="S488" s="2371"/>
      <c r="T488" s="2370">
        <f>IF(ISBLANK(IMPOSTAZIONI!AE64),0,DATE($E$112,IMPOSTAZIONI!$T64,IMPOSTAZIONI!AE64))</f>
        <v>0</v>
      </c>
      <c r="U488" s="2371"/>
      <c r="V488" s="101"/>
      <c r="W488" s="101"/>
      <c r="X488" s="101"/>
      <c r="Y488" s="101"/>
      <c r="Z488" s="101"/>
      <c r="AA488" s="101"/>
      <c r="AB488" s="101"/>
      <c r="AC488" s="101"/>
      <c r="AD488" s="101"/>
      <c r="AE488" s="101"/>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144" t="s">
        <v>390</v>
      </c>
      <c r="CF488" s="141" t="e">
        <f>IF(CF487-VERIFICA!G7&lt;0,0,CF487-VERIFICA!G7)</f>
        <v>#NUM!</v>
      </c>
      <c r="CG488" s="2"/>
      <c r="CH488" s="2"/>
      <c r="CI488" s="2"/>
      <c r="CJ488" s="2"/>
      <c r="CK488" s="2"/>
      <c r="CL488" s="2"/>
      <c r="CM488" s="2"/>
      <c r="CN488" s="2"/>
      <c r="CO488" s="2"/>
      <c r="CP488" s="2"/>
      <c r="CQ488" s="2"/>
      <c r="CR488" s="2"/>
      <c r="CS488" s="2"/>
      <c r="CT488" s="2"/>
      <c r="CU488" s="2"/>
    </row>
    <row r="489" spans="1:99" ht="15" hidden="1" customHeight="1" x14ac:dyDescent="0.2">
      <c r="A489" s="2"/>
      <c r="B489" s="2"/>
      <c r="C489" s="104"/>
      <c r="D489" s="104"/>
      <c r="E489" s="2370">
        <f>IF(ISBLANK(IMPOSTAZIONI!J65),0,DATE($E$112,IMPOSTAZIONI!$B65,IMPOSTAZIONI!J65))</f>
        <v>0</v>
      </c>
      <c r="F489" s="2371"/>
      <c r="G489" s="2370">
        <f>IF(ISBLANK(IMPOSTAZIONI!K65),0,DATE($E$112,IMPOSTAZIONI!$B65,IMPOSTAZIONI!K65))</f>
        <v>0</v>
      </c>
      <c r="H489" s="2371"/>
      <c r="I489" s="2370">
        <f>IF(ISBLANK(IMPOSTAZIONI!L65),0,DATE($E$112,IMPOSTAZIONI!$B65,IMPOSTAZIONI!L65))</f>
        <v>0</v>
      </c>
      <c r="J489" s="2371"/>
      <c r="K489" s="2370">
        <f>IF(ISBLANK(IMPOSTAZIONI!M65),0,DATE($E$112,IMPOSTAZIONI!$B65,IMPOSTAZIONI!M65))</f>
        <v>0</v>
      </c>
      <c r="L489" s="2371"/>
      <c r="M489" s="101"/>
      <c r="N489" s="2370">
        <f>IF(ISBLANK(IMPOSTAZIONI!AB65),0,DATE($E$112,IMPOSTAZIONI!$T65,IMPOSTAZIONI!AB65))</f>
        <v>0</v>
      </c>
      <c r="O489" s="2371"/>
      <c r="P489" s="2370">
        <f>IF(ISBLANK(IMPOSTAZIONI!AC65),0,DATE($E$112,IMPOSTAZIONI!$T65,IMPOSTAZIONI!AC65))</f>
        <v>0</v>
      </c>
      <c r="Q489" s="2371"/>
      <c r="R489" s="2370">
        <f>IF(ISBLANK(IMPOSTAZIONI!AD65),0,DATE($E$112,IMPOSTAZIONI!$T65,IMPOSTAZIONI!AD65))</f>
        <v>0</v>
      </c>
      <c r="S489" s="2371"/>
      <c r="T489" s="2370">
        <f>IF(ISBLANK(IMPOSTAZIONI!AE65),0,DATE($E$112,IMPOSTAZIONI!$T65,IMPOSTAZIONI!AE65))</f>
        <v>0</v>
      </c>
      <c r="U489" s="2371"/>
      <c r="V489" s="101"/>
      <c r="W489" s="101"/>
      <c r="X489" s="101"/>
      <c r="Y489" s="101"/>
      <c r="Z489" s="101"/>
      <c r="AA489" s="101"/>
      <c r="AB489" s="101"/>
      <c r="AC489" s="101"/>
      <c r="AD489" s="101"/>
      <c r="AE489" s="101"/>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143" t="s">
        <v>391</v>
      </c>
      <c r="CF489" s="142" t="e">
        <f>CF487-1</f>
        <v>#NUM!</v>
      </c>
      <c r="CG489" s="2"/>
      <c r="CH489" s="2"/>
      <c r="CI489" s="2"/>
      <c r="CJ489" s="2"/>
      <c r="CK489" s="2"/>
      <c r="CL489" s="2"/>
      <c r="CM489" s="2"/>
      <c r="CN489" s="2"/>
      <c r="CO489" s="2"/>
      <c r="CP489" s="2"/>
      <c r="CQ489" s="2"/>
      <c r="CR489" s="2"/>
      <c r="CS489" s="2"/>
      <c r="CT489" s="2"/>
      <c r="CU489" s="2"/>
    </row>
    <row r="490" spans="1:99" ht="15" hidden="1" customHeight="1" x14ac:dyDescent="0.2">
      <c r="A490" s="2"/>
      <c r="B490" s="2"/>
      <c r="C490" s="104"/>
      <c r="D490" s="104"/>
      <c r="E490" s="104"/>
      <c r="F490" s="104"/>
      <c r="G490" s="104"/>
      <c r="H490" s="104"/>
      <c r="I490" s="104"/>
      <c r="J490" s="104"/>
      <c r="K490" s="104"/>
      <c r="L490" s="101"/>
      <c r="M490" s="101"/>
      <c r="N490" s="101"/>
      <c r="O490" s="101"/>
      <c r="P490" s="101"/>
      <c r="Q490" s="101"/>
      <c r="R490" s="101"/>
      <c r="S490" s="101"/>
      <c r="T490" s="101"/>
      <c r="U490" s="101"/>
      <c r="V490" s="101"/>
      <c r="W490" s="101"/>
      <c r="X490" s="101"/>
      <c r="Y490" s="101"/>
      <c r="Z490" s="101"/>
      <c r="AA490" s="101"/>
      <c r="AB490" s="101"/>
      <c r="AC490" s="101"/>
      <c r="AD490" s="101"/>
      <c r="AE490" s="101"/>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row>
    <row r="491" spans="1:99" ht="15" hidden="1" customHeight="1" x14ac:dyDescent="0.2">
      <c r="A491" s="2"/>
      <c r="B491" s="2"/>
      <c r="C491" s="104"/>
      <c r="D491" s="104"/>
      <c r="E491" s="2350">
        <f>IMPOSTAZIONI!N60</f>
        <v>0</v>
      </c>
      <c r="F491" s="2351"/>
      <c r="G491" s="2351"/>
      <c r="H491" s="2352"/>
      <c r="I491" s="2350">
        <f>IMPOSTAZIONI!Q60</f>
        <v>0</v>
      </c>
      <c r="J491" s="2351"/>
      <c r="K491" s="2351"/>
      <c r="L491" s="2352"/>
      <c r="M491" s="101"/>
      <c r="N491" s="2350">
        <f>IMPOSTAZIONI!AF60</f>
        <v>0</v>
      </c>
      <c r="O491" s="2351"/>
      <c r="P491" s="2351"/>
      <c r="Q491" s="2352"/>
      <c r="R491" s="2350">
        <f>IMPOSTAZIONI!AI60</f>
        <v>0</v>
      </c>
      <c r="S491" s="2351"/>
      <c r="T491" s="2351"/>
      <c r="U491" s="2352"/>
      <c r="V491" s="101"/>
      <c r="W491" s="101"/>
      <c r="X491" s="101"/>
      <c r="Y491" s="101"/>
      <c r="Z491" s="101"/>
      <c r="AA491" s="101"/>
      <c r="AB491" s="101"/>
      <c r="AC491" s="101"/>
      <c r="AD491" s="101"/>
      <c r="AE491" s="101"/>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row>
    <row r="492" spans="1:99" ht="15" hidden="1" customHeight="1" x14ac:dyDescent="0.2">
      <c r="A492" s="2"/>
      <c r="B492" s="2"/>
      <c r="C492" s="104"/>
      <c r="D492" s="104"/>
      <c r="E492" s="2350">
        <f>IMPOSTAZIONI!N61</f>
        <v>0</v>
      </c>
      <c r="F492" s="2351"/>
      <c r="G492" s="2351"/>
      <c r="H492" s="2352"/>
      <c r="I492" s="2350">
        <f>IMPOSTAZIONI!Q61</f>
        <v>0</v>
      </c>
      <c r="J492" s="2351"/>
      <c r="K492" s="2351"/>
      <c r="L492" s="2352"/>
      <c r="M492" s="101"/>
      <c r="N492" s="2350">
        <f>IMPOSTAZIONI!AF61</f>
        <v>0</v>
      </c>
      <c r="O492" s="2351"/>
      <c r="P492" s="2351"/>
      <c r="Q492" s="2352"/>
      <c r="R492" s="2350">
        <f>IMPOSTAZIONI!AI61</f>
        <v>0</v>
      </c>
      <c r="S492" s="2351"/>
      <c r="T492" s="2351"/>
      <c r="U492" s="2352"/>
      <c r="V492" s="101"/>
      <c r="W492" s="101"/>
      <c r="X492" s="101"/>
      <c r="Y492" s="101"/>
      <c r="Z492" s="101"/>
      <c r="AA492" s="101"/>
      <c r="AB492" s="101"/>
      <c r="AC492" s="101"/>
      <c r="AD492" s="101"/>
      <c r="AE492" s="101"/>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row>
    <row r="493" spans="1:99" ht="15" hidden="1" customHeight="1" x14ac:dyDescent="0.2">
      <c r="A493" s="2"/>
      <c r="B493" s="2"/>
      <c r="C493" s="104"/>
      <c r="D493" s="104"/>
      <c r="E493" s="2350">
        <f>IMPOSTAZIONI!N62</f>
        <v>0</v>
      </c>
      <c r="F493" s="2351"/>
      <c r="G493" s="2351"/>
      <c r="H493" s="2352"/>
      <c r="I493" s="2350">
        <f>IMPOSTAZIONI!Q62</f>
        <v>0</v>
      </c>
      <c r="J493" s="2351"/>
      <c r="K493" s="2351"/>
      <c r="L493" s="2352"/>
      <c r="M493" s="101"/>
      <c r="N493" s="2350">
        <f>IMPOSTAZIONI!AF62</f>
        <v>0</v>
      </c>
      <c r="O493" s="2351"/>
      <c r="P493" s="2351"/>
      <c r="Q493" s="2352"/>
      <c r="R493" s="2350">
        <f>IMPOSTAZIONI!AI62</f>
        <v>0</v>
      </c>
      <c r="S493" s="2351"/>
      <c r="T493" s="2351"/>
      <c r="U493" s="2352"/>
      <c r="V493" s="101"/>
      <c r="W493" s="101"/>
      <c r="X493" s="101"/>
      <c r="Y493" s="101"/>
      <c r="Z493" s="101"/>
      <c r="AA493" s="101"/>
      <c r="AB493" s="101"/>
      <c r="AC493" s="101"/>
      <c r="AD493" s="101"/>
      <c r="AE493" s="101"/>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row>
    <row r="494" spans="1:99" ht="15" hidden="1" customHeight="1" x14ac:dyDescent="0.2">
      <c r="A494" s="2"/>
      <c r="B494" s="2"/>
      <c r="C494" s="104"/>
      <c r="D494" s="104"/>
      <c r="E494" s="2350">
        <f>IMPOSTAZIONI!N63</f>
        <v>0</v>
      </c>
      <c r="F494" s="2351"/>
      <c r="G494" s="2351"/>
      <c r="H494" s="2352"/>
      <c r="I494" s="2350">
        <f>IMPOSTAZIONI!Q63</f>
        <v>0</v>
      </c>
      <c r="J494" s="2351"/>
      <c r="K494" s="2351"/>
      <c r="L494" s="2352"/>
      <c r="M494" s="101"/>
      <c r="N494" s="2350">
        <f>IMPOSTAZIONI!AF63</f>
        <v>0</v>
      </c>
      <c r="O494" s="2351"/>
      <c r="P494" s="2351"/>
      <c r="Q494" s="2352"/>
      <c r="R494" s="2350">
        <f>IMPOSTAZIONI!AI63</f>
        <v>0</v>
      </c>
      <c r="S494" s="2351"/>
      <c r="T494" s="2351"/>
      <c r="U494" s="2352"/>
      <c r="V494" s="101"/>
      <c r="W494" s="101"/>
      <c r="X494" s="101"/>
      <c r="Y494" s="101"/>
      <c r="Z494" s="101"/>
      <c r="AA494" s="101"/>
      <c r="AB494" s="101"/>
      <c r="AC494" s="101"/>
      <c r="AD494" s="101"/>
      <c r="AE494" s="101"/>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row>
    <row r="495" spans="1:99" ht="15" hidden="1" customHeight="1" x14ac:dyDescent="0.2">
      <c r="A495" s="2"/>
      <c r="B495" s="2"/>
      <c r="C495" s="104"/>
      <c r="D495" s="104"/>
      <c r="E495" s="2350">
        <f>IMPOSTAZIONI!N64</f>
        <v>0</v>
      </c>
      <c r="F495" s="2351"/>
      <c r="G495" s="2351"/>
      <c r="H495" s="2352"/>
      <c r="I495" s="2350">
        <f>IMPOSTAZIONI!Q64</f>
        <v>0</v>
      </c>
      <c r="J495" s="2351"/>
      <c r="K495" s="2351"/>
      <c r="L495" s="2352"/>
      <c r="M495" s="101"/>
      <c r="N495" s="2350">
        <f>IMPOSTAZIONI!AF64</f>
        <v>0</v>
      </c>
      <c r="O495" s="2351"/>
      <c r="P495" s="2351"/>
      <c r="Q495" s="2352"/>
      <c r="R495" s="2350">
        <f>IMPOSTAZIONI!AI64</f>
        <v>0</v>
      </c>
      <c r="S495" s="2351"/>
      <c r="T495" s="2351"/>
      <c r="U495" s="2352"/>
      <c r="V495" s="101"/>
      <c r="W495" s="101"/>
      <c r="X495" s="101"/>
      <c r="Y495" s="101"/>
      <c r="Z495" s="101"/>
      <c r="AA495" s="101"/>
      <c r="AB495" s="101"/>
      <c r="AC495" s="101"/>
      <c r="AD495" s="101"/>
      <c r="AE495" s="101"/>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row>
    <row r="496" spans="1:99" ht="15" hidden="1" customHeight="1" x14ac:dyDescent="0.2">
      <c r="A496" s="2"/>
      <c r="B496" s="2"/>
      <c r="C496" s="104"/>
      <c r="D496" s="104"/>
      <c r="E496" s="2350">
        <f>IMPOSTAZIONI!N65</f>
        <v>0</v>
      </c>
      <c r="F496" s="2351"/>
      <c r="G496" s="2351"/>
      <c r="H496" s="2352"/>
      <c r="I496" s="2350">
        <f>IMPOSTAZIONI!Q65</f>
        <v>0</v>
      </c>
      <c r="J496" s="2351"/>
      <c r="K496" s="2351"/>
      <c r="L496" s="2352"/>
      <c r="M496" s="101"/>
      <c r="N496" s="2350">
        <f>IMPOSTAZIONI!AF65</f>
        <v>0</v>
      </c>
      <c r="O496" s="2351"/>
      <c r="P496" s="2351"/>
      <c r="Q496" s="2352"/>
      <c r="R496" s="2350">
        <f>IMPOSTAZIONI!AI65</f>
        <v>0</v>
      </c>
      <c r="S496" s="2351"/>
      <c r="T496" s="2351"/>
      <c r="U496" s="2352"/>
      <c r="V496" s="101"/>
      <c r="W496" s="101"/>
      <c r="X496" s="101"/>
      <c r="Y496" s="101"/>
      <c r="Z496" s="101"/>
      <c r="AA496" s="101"/>
      <c r="AB496" s="101"/>
      <c r="AC496" s="101"/>
      <c r="AD496" s="101"/>
      <c r="AE496" s="101"/>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row>
    <row r="497" spans="1:99" ht="15" hidden="1" customHeight="1" x14ac:dyDescent="0.2">
      <c r="A497" s="2"/>
      <c r="B497" s="2"/>
      <c r="C497" s="104"/>
      <c r="D497" s="104"/>
      <c r="E497" s="104"/>
      <c r="F497" s="104"/>
      <c r="G497" s="104"/>
      <c r="H497" s="104"/>
      <c r="I497" s="104"/>
      <c r="J497" s="104"/>
      <c r="K497" s="104"/>
      <c r="L497" s="101"/>
      <c r="M497" s="101"/>
      <c r="N497" s="101"/>
      <c r="O497" s="101"/>
      <c r="P497" s="101"/>
      <c r="Q497" s="101"/>
      <c r="R497" s="101"/>
      <c r="S497" s="101"/>
      <c r="T497" s="101"/>
      <c r="U497" s="101"/>
      <c r="V497" s="101"/>
      <c r="W497" s="101"/>
      <c r="X497" s="101"/>
      <c r="Y497" s="101"/>
      <c r="Z497" s="101"/>
      <c r="AA497" s="101"/>
      <c r="AB497" s="101"/>
      <c r="AC497" s="101"/>
      <c r="AD497" s="101"/>
      <c r="AE497" s="101"/>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row>
    <row r="498" spans="1:99" ht="15" hidden="1" customHeight="1" x14ac:dyDescent="0.2">
      <c r="A498" s="2"/>
      <c r="B498" s="2"/>
      <c r="C498" s="2"/>
      <c r="D498" s="2"/>
      <c r="E498" s="2"/>
      <c r="F498" s="2"/>
      <c r="G498" s="2"/>
      <c r="H498" s="2"/>
      <c r="I498" s="2"/>
      <c r="J498" s="2"/>
      <c r="K498" s="2"/>
      <c r="L498" s="105"/>
      <c r="M498" s="105"/>
      <c r="N498" s="28" t="s">
        <v>322</v>
      </c>
      <c r="O498" s="106"/>
      <c r="P498" s="29"/>
      <c r="Q498" s="29"/>
      <c r="R498" s="29"/>
      <c r="S498" s="29"/>
      <c r="T498" s="30"/>
      <c r="U498" s="105"/>
      <c r="V498" s="105"/>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row>
    <row r="499" spans="1:99" ht="15" hidden="1" customHeight="1" x14ac:dyDescent="0.2">
      <c r="A499" s="2"/>
      <c r="B499" s="2"/>
      <c r="C499" s="2"/>
      <c r="D499" s="2"/>
      <c r="E499" s="2"/>
      <c r="F499" s="2"/>
      <c r="G499" s="2"/>
      <c r="H499" s="2"/>
      <c r="I499" s="2"/>
      <c r="J499" s="2"/>
      <c r="K499" s="2"/>
      <c r="L499" s="105"/>
      <c r="M499" s="105"/>
      <c r="N499" s="28" t="s">
        <v>323</v>
      </c>
      <c r="O499" s="106"/>
      <c r="P499" s="29"/>
      <c r="Q499" s="29"/>
      <c r="R499" s="29"/>
      <c r="S499" s="29"/>
      <c r="T499" s="30"/>
      <c r="U499" s="105"/>
      <c r="V499" s="105"/>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row>
    <row r="500" spans="1:99" ht="15" hidden="1" customHeight="1" x14ac:dyDescent="0.2">
      <c r="A500" s="2"/>
      <c r="B500" s="2"/>
      <c r="C500" s="2"/>
      <c r="D500" s="2"/>
      <c r="E500" s="2"/>
      <c r="F500" s="2"/>
      <c r="G500" s="2"/>
      <c r="H500" s="2"/>
      <c r="I500" s="2"/>
      <c r="J500" s="2"/>
      <c r="K500" s="2"/>
      <c r="L500" s="105"/>
      <c r="M500" s="105"/>
      <c r="N500" s="28" t="s">
        <v>227</v>
      </c>
      <c r="O500" s="106"/>
      <c r="P500" s="29"/>
      <c r="Q500" s="29"/>
      <c r="R500" s="29"/>
      <c r="S500" s="29"/>
      <c r="T500" s="30"/>
      <c r="U500" s="105"/>
      <c r="V500" s="105"/>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row>
    <row r="501" spans="1:99" hidden="1" x14ac:dyDescent="0.2">
      <c r="A501" s="2"/>
      <c r="B501" s="2"/>
      <c r="C501" s="2"/>
      <c r="D501" s="2"/>
      <c r="E501" s="2"/>
      <c r="F501" s="2"/>
      <c r="G501" s="2"/>
      <c r="H501" s="2"/>
      <c r="I501" s="2"/>
      <c r="J501" s="2"/>
      <c r="K501" s="2"/>
      <c r="L501" s="105"/>
      <c r="M501" s="105"/>
      <c r="N501" s="31"/>
      <c r="O501" s="14"/>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row>
    <row r="502" spans="1:99" hidden="1" x14ac:dyDescent="0.2">
      <c r="A502" s="2"/>
      <c r="B502" s="2"/>
      <c r="C502" s="2"/>
      <c r="D502" s="2"/>
      <c r="E502" s="2"/>
      <c r="F502" s="2"/>
      <c r="G502" s="2"/>
      <c r="H502" s="2"/>
      <c r="I502" s="2"/>
      <c r="J502" s="2"/>
      <c r="K502" s="2"/>
      <c r="L502" s="105"/>
      <c r="M502" s="105"/>
      <c r="N502" s="14"/>
      <c r="O502" s="14"/>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row>
    <row r="503" spans="1:99" hidden="1" x14ac:dyDescent="0.2">
      <c r="A503" s="2"/>
      <c r="B503" s="2"/>
      <c r="C503" s="2"/>
      <c r="D503" s="2"/>
      <c r="E503" s="2"/>
      <c r="F503" s="2"/>
      <c r="G503" s="2"/>
      <c r="H503" s="2"/>
      <c r="I503" s="2"/>
      <c r="J503" s="144" t="s">
        <v>289</v>
      </c>
      <c r="K503" s="2391">
        <f>Presentazione!R13</f>
        <v>45382</v>
      </c>
      <c r="L503" s="2392"/>
      <c r="M503" s="2392"/>
      <c r="N503" s="2393"/>
      <c r="O503" s="506">
        <f>Presentazione!E159</f>
        <v>0</v>
      </c>
      <c r="P503" s="2390" t="s">
        <v>549</v>
      </c>
      <c r="Q503" s="2390"/>
      <c r="R503" s="2344"/>
      <c r="S503" s="103"/>
      <c r="T503" s="2"/>
      <c r="U503" s="2"/>
      <c r="V503" s="51">
        <v>1</v>
      </c>
      <c r="W503" s="170" t="s">
        <v>398</v>
      </c>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row>
    <row r="504" spans="1:99" hidden="1" x14ac:dyDescent="0.2">
      <c r="A504" s="2"/>
      <c r="B504" s="2"/>
      <c r="C504" s="2"/>
      <c r="D504" s="2"/>
      <c r="E504" s="2"/>
      <c r="F504" s="2"/>
      <c r="G504" s="2"/>
      <c r="H504" s="2"/>
      <c r="I504" s="2"/>
      <c r="J504" s="2"/>
      <c r="K504" s="2"/>
      <c r="L504" s="105"/>
      <c r="M504" s="105"/>
      <c r="N504" s="14"/>
      <c r="O504" s="14"/>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row>
    <row r="505" spans="1:99" hidden="1" x14ac:dyDescent="0.2">
      <c r="A505" s="2"/>
      <c r="B505" s="2"/>
      <c r="C505" s="2"/>
      <c r="D505" s="2"/>
      <c r="E505" s="2"/>
      <c r="F505" s="2"/>
      <c r="G505" s="2"/>
      <c r="H505" s="2"/>
      <c r="I505" s="2"/>
      <c r="J505" s="2"/>
      <c r="K505" s="2"/>
      <c r="L505" s="105"/>
      <c r="M505" s="105"/>
      <c r="N505" s="14"/>
      <c r="O505" s="14"/>
      <c r="P505" s="14"/>
      <c r="Q505" s="14"/>
      <c r="R505" s="14"/>
      <c r="S505" s="14"/>
      <c r="T505" s="14"/>
      <c r="U505" s="14"/>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row>
    <row r="506" spans="1:99" x14ac:dyDescent="0.2">
      <c r="A506" s="2"/>
      <c r="B506" s="2"/>
      <c r="C506" s="2"/>
      <c r="D506" s="2"/>
      <c r="E506" s="2"/>
      <c r="F506" s="2"/>
      <c r="G506" s="2"/>
      <c r="H506" s="2"/>
      <c r="I506" s="2"/>
      <c r="J506" s="2"/>
      <c r="K506" s="2"/>
      <c r="L506" s="105"/>
      <c r="M506" s="105"/>
      <c r="N506" s="14"/>
      <c r="O506" s="14"/>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row>
  </sheetData>
  <sheetProtection algorithmName="SHA-512" hashValue="UrTe5zWkOSkZ8zVPl2pC4cNM/1R0ZyfW2KlNeN+0IUUKivyUsKqLoehTyeOH6BZ90fv5qy7eYkMFBxwlcZRh/Q==" saltValue="0hR2OnHmpqx81bpglhzVXQ==" spinCount="100000" sheet="1" objects="1" scenarios="1" selectLockedCells="1"/>
  <autoFilter ref="AY113:BC113"/>
  <mergeCells count="1952">
    <mergeCell ref="T34:W34"/>
    <mergeCell ref="D32:E32"/>
    <mergeCell ref="T18:W18"/>
    <mergeCell ref="D31:AE31"/>
    <mergeCell ref="D29:E29"/>
    <mergeCell ref="F29:G29"/>
    <mergeCell ref="L30:M30"/>
    <mergeCell ref="N478:O478"/>
    <mergeCell ref="X61:Y61"/>
    <mergeCell ref="Z61:AC61"/>
    <mergeCell ref="O62:P62"/>
    <mergeCell ref="Q62:R62"/>
    <mergeCell ref="S62:V62"/>
    <mergeCell ref="X62:Y62"/>
    <mergeCell ref="Z62:AC62"/>
    <mergeCell ref="S63:V63"/>
    <mergeCell ref="X63:Y63"/>
    <mergeCell ref="L456:M456"/>
    <mergeCell ref="L445:M445"/>
    <mergeCell ref="L446:M446"/>
    <mergeCell ref="L447:M447"/>
    <mergeCell ref="L448:M448"/>
    <mergeCell ref="L449:M449"/>
    <mergeCell ref="L450:M450"/>
    <mergeCell ref="L439:M439"/>
    <mergeCell ref="L440:M440"/>
    <mergeCell ref="L441:M441"/>
    <mergeCell ref="L442:M442"/>
    <mergeCell ref="L474:M474"/>
    <mergeCell ref="L475:M475"/>
    <mergeCell ref="L476:M476"/>
    <mergeCell ref="L477:M477"/>
    <mergeCell ref="L457:M457"/>
    <mergeCell ref="L458:M458"/>
    <mergeCell ref="L459:M459"/>
    <mergeCell ref="L460:M460"/>
    <mergeCell ref="L461:M461"/>
    <mergeCell ref="L472:M472"/>
    <mergeCell ref="L462:M462"/>
    <mergeCell ref="L463:M463"/>
    <mergeCell ref="L464:M464"/>
    <mergeCell ref="L465:M465"/>
    <mergeCell ref="L451:M451"/>
    <mergeCell ref="L452:M452"/>
    <mergeCell ref="L453:M453"/>
    <mergeCell ref="L454:M454"/>
    <mergeCell ref="L455:M455"/>
    <mergeCell ref="L443:M443"/>
    <mergeCell ref="L444:M444"/>
    <mergeCell ref="L436:M436"/>
    <mergeCell ref="L437:M437"/>
    <mergeCell ref="L438:M438"/>
    <mergeCell ref="L427:M427"/>
    <mergeCell ref="L428:M428"/>
    <mergeCell ref="L429:M429"/>
    <mergeCell ref="L430:M430"/>
    <mergeCell ref="L431:M431"/>
    <mergeCell ref="L432:M432"/>
    <mergeCell ref="L421:M421"/>
    <mergeCell ref="L422:M422"/>
    <mergeCell ref="L423:M423"/>
    <mergeCell ref="L424:M424"/>
    <mergeCell ref="L425:M425"/>
    <mergeCell ref="L426:M426"/>
    <mergeCell ref="L415:M415"/>
    <mergeCell ref="L416:M416"/>
    <mergeCell ref="L417:M417"/>
    <mergeCell ref="L418:M418"/>
    <mergeCell ref="L419:M419"/>
    <mergeCell ref="L420:M420"/>
    <mergeCell ref="L433:M433"/>
    <mergeCell ref="L434:M434"/>
    <mergeCell ref="L435:M435"/>
    <mergeCell ref="L409:M409"/>
    <mergeCell ref="L410:M410"/>
    <mergeCell ref="L411:M411"/>
    <mergeCell ref="L412:M412"/>
    <mergeCell ref="L413:M413"/>
    <mergeCell ref="L414:M414"/>
    <mergeCell ref="L403:M403"/>
    <mergeCell ref="L404:M404"/>
    <mergeCell ref="L405:M405"/>
    <mergeCell ref="L406:M406"/>
    <mergeCell ref="L407:M407"/>
    <mergeCell ref="L408:M408"/>
    <mergeCell ref="L397:M397"/>
    <mergeCell ref="L398:M398"/>
    <mergeCell ref="L399:M399"/>
    <mergeCell ref="L400:M400"/>
    <mergeCell ref="L401:M401"/>
    <mergeCell ref="L402:M402"/>
    <mergeCell ref="L391:M391"/>
    <mergeCell ref="L392:M392"/>
    <mergeCell ref="L393:M393"/>
    <mergeCell ref="L394:M394"/>
    <mergeCell ref="L395:M395"/>
    <mergeCell ref="L396:M396"/>
    <mergeCell ref="L385:M385"/>
    <mergeCell ref="L386:M386"/>
    <mergeCell ref="L387:M387"/>
    <mergeCell ref="L388:M388"/>
    <mergeCell ref="L389:M389"/>
    <mergeCell ref="L390:M390"/>
    <mergeCell ref="L379:M379"/>
    <mergeCell ref="L380:M380"/>
    <mergeCell ref="L381:M381"/>
    <mergeCell ref="L382:M382"/>
    <mergeCell ref="L383:M383"/>
    <mergeCell ref="L384:M384"/>
    <mergeCell ref="L373:M373"/>
    <mergeCell ref="L374:M374"/>
    <mergeCell ref="L375:M375"/>
    <mergeCell ref="L376:M376"/>
    <mergeCell ref="L377:M377"/>
    <mergeCell ref="L378:M378"/>
    <mergeCell ref="L367:M367"/>
    <mergeCell ref="L368:M368"/>
    <mergeCell ref="L369:M369"/>
    <mergeCell ref="L370:M370"/>
    <mergeCell ref="L371:M371"/>
    <mergeCell ref="L372:M372"/>
    <mergeCell ref="L361:M361"/>
    <mergeCell ref="L362:M362"/>
    <mergeCell ref="L363:M363"/>
    <mergeCell ref="L364:M364"/>
    <mergeCell ref="L365:M365"/>
    <mergeCell ref="L366:M366"/>
    <mergeCell ref="L355:M355"/>
    <mergeCell ref="L356:M356"/>
    <mergeCell ref="L357:M357"/>
    <mergeCell ref="L358:M358"/>
    <mergeCell ref="L359:M359"/>
    <mergeCell ref="L360:M360"/>
    <mergeCell ref="L349:M349"/>
    <mergeCell ref="L350:M350"/>
    <mergeCell ref="L351:M351"/>
    <mergeCell ref="L352:M352"/>
    <mergeCell ref="L353:M353"/>
    <mergeCell ref="L354:M354"/>
    <mergeCell ref="L343:M343"/>
    <mergeCell ref="L344:M344"/>
    <mergeCell ref="L345:M345"/>
    <mergeCell ref="L346:M346"/>
    <mergeCell ref="L347:M347"/>
    <mergeCell ref="L348:M348"/>
    <mergeCell ref="L337:M337"/>
    <mergeCell ref="L338:M338"/>
    <mergeCell ref="L339:M339"/>
    <mergeCell ref="L340:M340"/>
    <mergeCell ref="L341:M341"/>
    <mergeCell ref="L342:M342"/>
    <mergeCell ref="L331:M331"/>
    <mergeCell ref="L332:M332"/>
    <mergeCell ref="L333:M333"/>
    <mergeCell ref="L334:M334"/>
    <mergeCell ref="L335:M335"/>
    <mergeCell ref="L336:M336"/>
    <mergeCell ref="L325:M325"/>
    <mergeCell ref="L326:M326"/>
    <mergeCell ref="L327:M327"/>
    <mergeCell ref="L328:M328"/>
    <mergeCell ref="L329:M329"/>
    <mergeCell ref="L330:M330"/>
    <mergeCell ref="L319:M319"/>
    <mergeCell ref="L320:M320"/>
    <mergeCell ref="L321:M321"/>
    <mergeCell ref="L322:M322"/>
    <mergeCell ref="L323:M323"/>
    <mergeCell ref="L324:M324"/>
    <mergeCell ref="L313:M313"/>
    <mergeCell ref="L314:M314"/>
    <mergeCell ref="L315:M315"/>
    <mergeCell ref="L316:M316"/>
    <mergeCell ref="L317:M317"/>
    <mergeCell ref="L318:M318"/>
    <mergeCell ref="L307:M307"/>
    <mergeCell ref="L308:M308"/>
    <mergeCell ref="L309:M309"/>
    <mergeCell ref="L310:M310"/>
    <mergeCell ref="L311:M311"/>
    <mergeCell ref="L312:M312"/>
    <mergeCell ref="L301:M301"/>
    <mergeCell ref="L302:M302"/>
    <mergeCell ref="L303:M303"/>
    <mergeCell ref="L304:M304"/>
    <mergeCell ref="L305:M305"/>
    <mergeCell ref="L306:M306"/>
    <mergeCell ref="L295:M295"/>
    <mergeCell ref="L296:M296"/>
    <mergeCell ref="L297:M297"/>
    <mergeCell ref="L298:M298"/>
    <mergeCell ref="L299:M299"/>
    <mergeCell ref="L300:M300"/>
    <mergeCell ref="L289:M289"/>
    <mergeCell ref="L290:M290"/>
    <mergeCell ref="L291:M291"/>
    <mergeCell ref="L292:M292"/>
    <mergeCell ref="L293:M293"/>
    <mergeCell ref="L294:M294"/>
    <mergeCell ref="L283:M283"/>
    <mergeCell ref="L284:M284"/>
    <mergeCell ref="L285:M285"/>
    <mergeCell ref="L286:M286"/>
    <mergeCell ref="L287:M287"/>
    <mergeCell ref="L288:M288"/>
    <mergeCell ref="L277:M277"/>
    <mergeCell ref="L278:M278"/>
    <mergeCell ref="L279:M279"/>
    <mergeCell ref="L280:M280"/>
    <mergeCell ref="L281:M281"/>
    <mergeCell ref="L282:M282"/>
    <mergeCell ref="L271:M271"/>
    <mergeCell ref="L272:M272"/>
    <mergeCell ref="L273:M273"/>
    <mergeCell ref="L274:M274"/>
    <mergeCell ref="L275:M275"/>
    <mergeCell ref="L276:M276"/>
    <mergeCell ref="L265:M265"/>
    <mergeCell ref="L266:M266"/>
    <mergeCell ref="L267:M267"/>
    <mergeCell ref="L268:M268"/>
    <mergeCell ref="L269:M269"/>
    <mergeCell ref="L270:M270"/>
    <mergeCell ref="L259:M259"/>
    <mergeCell ref="L260:M260"/>
    <mergeCell ref="L261:M261"/>
    <mergeCell ref="L262:M262"/>
    <mergeCell ref="L263:M263"/>
    <mergeCell ref="L264:M264"/>
    <mergeCell ref="L253:M253"/>
    <mergeCell ref="L254:M254"/>
    <mergeCell ref="L255:M255"/>
    <mergeCell ref="L256:M256"/>
    <mergeCell ref="L257:M257"/>
    <mergeCell ref="L258:M258"/>
    <mergeCell ref="L247:M247"/>
    <mergeCell ref="L248:M248"/>
    <mergeCell ref="L249:M249"/>
    <mergeCell ref="L250:M250"/>
    <mergeCell ref="L251:M251"/>
    <mergeCell ref="L252:M252"/>
    <mergeCell ref="L241:M241"/>
    <mergeCell ref="L242:M242"/>
    <mergeCell ref="L243:M243"/>
    <mergeCell ref="L244:M244"/>
    <mergeCell ref="L245:M245"/>
    <mergeCell ref="L246:M246"/>
    <mergeCell ref="L235:M235"/>
    <mergeCell ref="L236:M236"/>
    <mergeCell ref="L237:M237"/>
    <mergeCell ref="L238:M238"/>
    <mergeCell ref="L239:M239"/>
    <mergeCell ref="L240:M240"/>
    <mergeCell ref="L230:M230"/>
    <mergeCell ref="L231:M231"/>
    <mergeCell ref="L232:M232"/>
    <mergeCell ref="L233:M233"/>
    <mergeCell ref="L234:M234"/>
    <mergeCell ref="L223:M223"/>
    <mergeCell ref="L224:M224"/>
    <mergeCell ref="L225:M225"/>
    <mergeCell ref="L226:M226"/>
    <mergeCell ref="L227:M227"/>
    <mergeCell ref="L228:M228"/>
    <mergeCell ref="L217:M217"/>
    <mergeCell ref="L218:M218"/>
    <mergeCell ref="L219:M219"/>
    <mergeCell ref="L220:M220"/>
    <mergeCell ref="L221:M221"/>
    <mergeCell ref="L222:M222"/>
    <mergeCell ref="L213:M213"/>
    <mergeCell ref="L214:M214"/>
    <mergeCell ref="L215:M215"/>
    <mergeCell ref="L216:M216"/>
    <mergeCell ref="L205:M205"/>
    <mergeCell ref="L206:M206"/>
    <mergeCell ref="L207:M207"/>
    <mergeCell ref="L208:M208"/>
    <mergeCell ref="L209:M209"/>
    <mergeCell ref="L210:M210"/>
    <mergeCell ref="L199:M199"/>
    <mergeCell ref="L200:M200"/>
    <mergeCell ref="L201:M201"/>
    <mergeCell ref="L202:M202"/>
    <mergeCell ref="L203:M203"/>
    <mergeCell ref="L204:M204"/>
    <mergeCell ref="L229:M229"/>
    <mergeCell ref="L196:M196"/>
    <mergeCell ref="L197:M197"/>
    <mergeCell ref="L198:M198"/>
    <mergeCell ref="L187:M187"/>
    <mergeCell ref="L188:M188"/>
    <mergeCell ref="L189:M189"/>
    <mergeCell ref="L190:M190"/>
    <mergeCell ref="L191:M191"/>
    <mergeCell ref="L192:M192"/>
    <mergeCell ref="L181:M181"/>
    <mergeCell ref="L182:M182"/>
    <mergeCell ref="L183:M183"/>
    <mergeCell ref="L184:M184"/>
    <mergeCell ref="L185:M185"/>
    <mergeCell ref="L186:M186"/>
    <mergeCell ref="L211:M211"/>
    <mergeCell ref="L212:M212"/>
    <mergeCell ref="L178:M178"/>
    <mergeCell ref="L179:M179"/>
    <mergeCell ref="L180:M180"/>
    <mergeCell ref="L169:M169"/>
    <mergeCell ref="L170:M170"/>
    <mergeCell ref="L171:M171"/>
    <mergeCell ref="L172:M172"/>
    <mergeCell ref="L173:M173"/>
    <mergeCell ref="L174:M174"/>
    <mergeCell ref="L164:M164"/>
    <mergeCell ref="L165:M165"/>
    <mergeCell ref="L166:M166"/>
    <mergeCell ref="L167:M167"/>
    <mergeCell ref="L168:M168"/>
    <mergeCell ref="L193:M193"/>
    <mergeCell ref="L194:M194"/>
    <mergeCell ref="L195:M195"/>
    <mergeCell ref="L153:M153"/>
    <mergeCell ref="L154:M154"/>
    <mergeCell ref="L155:M155"/>
    <mergeCell ref="L156:M156"/>
    <mergeCell ref="L147:M147"/>
    <mergeCell ref="L148:M148"/>
    <mergeCell ref="L149:M149"/>
    <mergeCell ref="L150:M150"/>
    <mergeCell ref="L139:M139"/>
    <mergeCell ref="L140:M140"/>
    <mergeCell ref="L141:M141"/>
    <mergeCell ref="L142:M142"/>
    <mergeCell ref="L143:M143"/>
    <mergeCell ref="L144:M144"/>
    <mergeCell ref="L175:M175"/>
    <mergeCell ref="L176:M176"/>
    <mergeCell ref="L177:M177"/>
    <mergeCell ref="L133:M133"/>
    <mergeCell ref="L134:M134"/>
    <mergeCell ref="L135:M135"/>
    <mergeCell ref="L136:M136"/>
    <mergeCell ref="L137:M137"/>
    <mergeCell ref="L138:M138"/>
    <mergeCell ref="L163:M163"/>
    <mergeCell ref="L130:M130"/>
    <mergeCell ref="L131:M131"/>
    <mergeCell ref="L132:M132"/>
    <mergeCell ref="L121:M121"/>
    <mergeCell ref="L122:M122"/>
    <mergeCell ref="L123:M123"/>
    <mergeCell ref="L124:M124"/>
    <mergeCell ref="L125:M125"/>
    <mergeCell ref="L126:M126"/>
    <mergeCell ref="L115:M115"/>
    <mergeCell ref="L116:M116"/>
    <mergeCell ref="L117:M117"/>
    <mergeCell ref="L118:M118"/>
    <mergeCell ref="L119:M119"/>
    <mergeCell ref="L120:M120"/>
    <mergeCell ref="L145:M145"/>
    <mergeCell ref="L146:M146"/>
    <mergeCell ref="L157:M157"/>
    <mergeCell ref="L158:M158"/>
    <mergeCell ref="L159:M159"/>
    <mergeCell ref="L160:M160"/>
    <mergeCell ref="L161:M161"/>
    <mergeCell ref="L162:M162"/>
    <mergeCell ref="L151:M151"/>
    <mergeCell ref="L152:M152"/>
    <mergeCell ref="BL110:BM110"/>
    <mergeCell ref="AP110:AS110"/>
    <mergeCell ref="AU110:AX110"/>
    <mergeCell ref="AA58:AC58"/>
    <mergeCell ref="X73:AC73"/>
    <mergeCell ref="Z74:AC74"/>
    <mergeCell ref="AD74:AE74"/>
    <mergeCell ref="Z75:AC75"/>
    <mergeCell ref="AM108:AN108"/>
    <mergeCell ref="AM109:AN109"/>
    <mergeCell ref="AU111:AX111"/>
    <mergeCell ref="Z63:AC63"/>
    <mergeCell ref="Z64:AC64"/>
    <mergeCell ref="X65:Y65"/>
    <mergeCell ref="Z65:AC65"/>
    <mergeCell ref="X64:Y64"/>
    <mergeCell ref="X66:Y66"/>
    <mergeCell ref="Z66:AC66"/>
    <mergeCell ref="X67:Y67"/>
    <mergeCell ref="Z67:AC67"/>
    <mergeCell ref="X71:AC71"/>
    <mergeCell ref="Z69:AC69"/>
    <mergeCell ref="X70:Y70"/>
    <mergeCell ref="Z70:AC70"/>
    <mergeCell ref="Z76:AC76"/>
    <mergeCell ref="AD76:AE76"/>
    <mergeCell ref="Z77:AC77"/>
    <mergeCell ref="AD77:AE77"/>
    <mergeCell ref="Z78:AC78"/>
    <mergeCell ref="AD78:AE78"/>
    <mergeCell ref="AD79:AE79"/>
    <mergeCell ref="X105:Y105"/>
    <mergeCell ref="D33:E33"/>
    <mergeCell ref="L33:M33"/>
    <mergeCell ref="N33:O33"/>
    <mergeCell ref="P33:Q33"/>
    <mergeCell ref="R33:S33"/>
    <mergeCell ref="T33:W33"/>
    <mergeCell ref="C53:AE53"/>
    <mergeCell ref="D40:AC40"/>
    <mergeCell ref="G57:I57"/>
    <mergeCell ref="P30:Q30"/>
    <mergeCell ref="AP111:AS111"/>
    <mergeCell ref="D39:AC39"/>
    <mergeCell ref="F47:W47"/>
    <mergeCell ref="X47:Y47"/>
    <mergeCell ref="C45:AE45"/>
    <mergeCell ref="C46:D48"/>
    <mergeCell ref="F46:W46"/>
    <mergeCell ref="X46:Y46"/>
    <mergeCell ref="Z46:AE48"/>
    <mergeCell ref="R30:S30"/>
    <mergeCell ref="F30:G30"/>
    <mergeCell ref="H30:I30"/>
    <mergeCell ref="J35:M35"/>
    <mergeCell ref="D35:I35"/>
    <mergeCell ref="D37:AC37"/>
    <mergeCell ref="D38:AC38"/>
    <mergeCell ref="D36:Z36"/>
    <mergeCell ref="Z35:AC35"/>
    <mergeCell ref="Z33:AC33"/>
    <mergeCell ref="Z32:AC32"/>
    <mergeCell ref="J30:K30"/>
    <mergeCell ref="R32:S32"/>
    <mergeCell ref="X24:Y24"/>
    <mergeCell ref="AA21:AB24"/>
    <mergeCell ref="X18:AE18"/>
    <mergeCell ref="H21:S21"/>
    <mergeCell ref="X19:AE19"/>
    <mergeCell ref="T7:W7"/>
    <mergeCell ref="D7:N7"/>
    <mergeCell ref="O7:S7"/>
    <mergeCell ref="T8:W8"/>
    <mergeCell ref="C18:D18"/>
    <mergeCell ref="C19:D19"/>
    <mergeCell ref="L29:M29"/>
    <mergeCell ref="L27:X27"/>
    <mergeCell ref="H24:S24"/>
    <mergeCell ref="L28:AE28"/>
    <mergeCell ref="Z27:AC27"/>
    <mergeCell ref="N29:O29"/>
    <mergeCell ref="J29:K29"/>
    <mergeCell ref="D27:K28"/>
    <mergeCell ref="T24:W24"/>
    <mergeCell ref="P29:Q29"/>
    <mergeCell ref="Z11:AC11"/>
    <mergeCell ref="D12:W12"/>
    <mergeCell ref="Z12:AC12"/>
    <mergeCell ref="D41:G41"/>
    <mergeCell ref="Y41:AC41"/>
    <mergeCell ref="H41:S41"/>
    <mergeCell ref="Z44:AE44"/>
    <mergeCell ref="E44:M44"/>
    <mergeCell ref="N44:U44"/>
    <mergeCell ref="G465:I465"/>
    <mergeCell ref="G466:I466"/>
    <mergeCell ref="G467:I467"/>
    <mergeCell ref="G468:I468"/>
    <mergeCell ref="G445:I445"/>
    <mergeCell ref="G446:I446"/>
    <mergeCell ref="G447:I447"/>
    <mergeCell ref="G448:I448"/>
    <mergeCell ref="G439:I439"/>
    <mergeCell ref="G440:I440"/>
    <mergeCell ref="G427:I427"/>
    <mergeCell ref="G428:I428"/>
    <mergeCell ref="G429:I429"/>
    <mergeCell ref="G430:I430"/>
    <mergeCell ref="L114:M114"/>
    <mergeCell ref="C49:AE51"/>
    <mergeCell ref="Q56:V56"/>
    <mergeCell ref="Q60:V60"/>
    <mergeCell ref="X60:AC60"/>
    <mergeCell ref="AD75:AE75"/>
    <mergeCell ref="S57:V57"/>
    <mergeCell ref="E114:F114"/>
    <mergeCell ref="O61:P61"/>
    <mergeCell ref="L127:M127"/>
    <mergeCell ref="L128:M128"/>
    <mergeCell ref="L129:M129"/>
    <mergeCell ref="X30:AE30"/>
    <mergeCell ref="L32:M32"/>
    <mergeCell ref="J32:K32"/>
    <mergeCell ref="T32:W32"/>
    <mergeCell ref="N30:O30"/>
    <mergeCell ref="H15:S15"/>
    <mergeCell ref="E16:G16"/>
    <mergeCell ref="H16:S16"/>
    <mergeCell ref="F33:G33"/>
    <mergeCell ref="H33:I33"/>
    <mergeCell ref="J33:K33"/>
    <mergeCell ref="N32:O32"/>
    <mergeCell ref="F32:G32"/>
    <mergeCell ref="H32:I32"/>
    <mergeCell ref="D30:E30"/>
    <mergeCell ref="C15:D15"/>
    <mergeCell ref="T17:W17"/>
    <mergeCell ref="E18:G18"/>
    <mergeCell ref="E19:G19"/>
    <mergeCell ref="H18:S18"/>
    <mergeCell ref="E15:G15"/>
    <mergeCell ref="X21:Y21"/>
    <mergeCell ref="C20:AE20"/>
    <mergeCell ref="T29:W29"/>
    <mergeCell ref="D26:S26"/>
    <mergeCell ref="T30:W30"/>
    <mergeCell ref="X22:Y22"/>
    <mergeCell ref="T26:W26"/>
    <mergeCell ref="Z26:AC26"/>
    <mergeCell ref="H29:I29"/>
    <mergeCell ref="H22:S22"/>
    <mergeCell ref="C25:AE25"/>
    <mergeCell ref="C1:AE1"/>
    <mergeCell ref="H19:S19"/>
    <mergeCell ref="T5:W5"/>
    <mergeCell ref="D5:J5"/>
    <mergeCell ref="C4:S4"/>
    <mergeCell ref="K5:S5"/>
    <mergeCell ref="G456:I456"/>
    <mergeCell ref="G449:I449"/>
    <mergeCell ref="G450:I450"/>
    <mergeCell ref="G451:I451"/>
    <mergeCell ref="G452:I452"/>
    <mergeCell ref="G453:I453"/>
    <mergeCell ref="G454:I454"/>
    <mergeCell ref="G455:I455"/>
    <mergeCell ref="G441:I441"/>
    <mergeCell ref="G442:I442"/>
    <mergeCell ref="G464:I464"/>
    <mergeCell ref="G457:I457"/>
    <mergeCell ref="G458:I458"/>
    <mergeCell ref="G459:I459"/>
    <mergeCell ref="G460:I460"/>
    <mergeCell ref="G461:I461"/>
    <mergeCell ref="G462:I462"/>
    <mergeCell ref="G463:I463"/>
    <mergeCell ref="G433:I433"/>
    <mergeCell ref="G434:I434"/>
    <mergeCell ref="G435:I435"/>
    <mergeCell ref="G436:I436"/>
    <mergeCell ref="G443:I443"/>
    <mergeCell ref="G444:I444"/>
    <mergeCell ref="G437:I437"/>
    <mergeCell ref="G438:I438"/>
    <mergeCell ref="G421:I421"/>
    <mergeCell ref="G422:I422"/>
    <mergeCell ref="G423:I423"/>
    <mergeCell ref="G424:I424"/>
    <mergeCell ref="G425:I425"/>
    <mergeCell ref="G426:I426"/>
    <mergeCell ref="G415:I415"/>
    <mergeCell ref="G416:I416"/>
    <mergeCell ref="G417:I417"/>
    <mergeCell ref="G418:I418"/>
    <mergeCell ref="G419:I419"/>
    <mergeCell ref="G420:I420"/>
    <mergeCell ref="G409:I409"/>
    <mergeCell ref="G410:I410"/>
    <mergeCell ref="G411:I411"/>
    <mergeCell ref="G412:I412"/>
    <mergeCell ref="G413:I413"/>
    <mergeCell ref="G414:I414"/>
    <mergeCell ref="G403:I403"/>
    <mergeCell ref="G404:I404"/>
    <mergeCell ref="G405:I405"/>
    <mergeCell ref="G406:I406"/>
    <mergeCell ref="G407:I407"/>
    <mergeCell ref="G408:I408"/>
    <mergeCell ref="G397:I397"/>
    <mergeCell ref="G398:I398"/>
    <mergeCell ref="G399:I399"/>
    <mergeCell ref="G400:I400"/>
    <mergeCell ref="G401:I401"/>
    <mergeCell ref="G402:I402"/>
    <mergeCell ref="G391:I391"/>
    <mergeCell ref="G392:I392"/>
    <mergeCell ref="G393:I393"/>
    <mergeCell ref="G394:I394"/>
    <mergeCell ref="G395:I395"/>
    <mergeCell ref="G396:I396"/>
    <mergeCell ref="G385:I385"/>
    <mergeCell ref="G386:I386"/>
    <mergeCell ref="G387:I387"/>
    <mergeCell ref="G388:I388"/>
    <mergeCell ref="G389:I389"/>
    <mergeCell ref="G390:I390"/>
    <mergeCell ref="G379:I379"/>
    <mergeCell ref="G380:I380"/>
    <mergeCell ref="G381:I381"/>
    <mergeCell ref="G382:I382"/>
    <mergeCell ref="G383:I383"/>
    <mergeCell ref="G384:I384"/>
    <mergeCell ref="G373:I373"/>
    <mergeCell ref="G374:I374"/>
    <mergeCell ref="G375:I375"/>
    <mergeCell ref="G376:I376"/>
    <mergeCell ref="G377:I377"/>
    <mergeCell ref="G378:I378"/>
    <mergeCell ref="G367:I367"/>
    <mergeCell ref="G368:I368"/>
    <mergeCell ref="G369:I369"/>
    <mergeCell ref="G370:I370"/>
    <mergeCell ref="G371:I371"/>
    <mergeCell ref="G372:I372"/>
    <mergeCell ref="G361:I361"/>
    <mergeCell ref="G362:I362"/>
    <mergeCell ref="G363:I363"/>
    <mergeCell ref="G364:I364"/>
    <mergeCell ref="G365:I365"/>
    <mergeCell ref="G366:I366"/>
    <mergeCell ref="G355:I355"/>
    <mergeCell ref="G356:I356"/>
    <mergeCell ref="G357:I357"/>
    <mergeCell ref="G358:I358"/>
    <mergeCell ref="G359:I359"/>
    <mergeCell ref="G360:I360"/>
    <mergeCell ref="G349:I349"/>
    <mergeCell ref="G350:I350"/>
    <mergeCell ref="G351:I351"/>
    <mergeCell ref="G352:I352"/>
    <mergeCell ref="G353:I353"/>
    <mergeCell ref="G354:I354"/>
    <mergeCell ref="G343:I343"/>
    <mergeCell ref="G344:I344"/>
    <mergeCell ref="G345:I345"/>
    <mergeCell ref="G346:I346"/>
    <mergeCell ref="G347:I347"/>
    <mergeCell ref="G348:I348"/>
    <mergeCell ref="G337:I337"/>
    <mergeCell ref="G338:I338"/>
    <mergeCell ref="G339:I339"/>
    <mergeCell ref="G340:I340"/>
    <mergeCell ref="G341:I341"/>
    <mergeCell ref="G342:I342"/>
    <mergeCell ref="G331:I331"/>
    <mergeCell ref="G332:I332"/>
    <mergeCell ref="G333:I333"/>
    <mergeCell ref="G334:I334"/>
    <mergeCell ref="G335:I335"/>
    <mergeCell ref="G336:I336"/>
    <mergeCell ref="G325:I325"/>
    <mergeCell ref="G326:I326"/>
    <mergeCell ref="G327:I327"/>
    <mergeCell ref="G328:I328"/>
    <mergeCell ref="G329:I329"/>
    <mergeCell ref="G330:I330"/>
    <mergeCell ref="G319:I319"/>
    <mergeCell ref="G320:I320"/>
    <mergeCell ref="G321:I321"/>
    <mergeCell ref="G322:I322"/>
    <mergeCell ref="G323:I323"/>
    <mergeCell ref="G324:I324"/>
    <mergeCell ref="G313:I313"/>
    <mergeCell ref="G314:I314"/>
    <mergeCell ref="G315:I315"/>
    <mergeCell ref="G316:I316"/>
    <mergeCell ref="G317:I317"/>
    <mergeCell ref="G318:I318"/>
    <mergeCell ref="G307:I307"/>
    <mergeCell ref="G308:I308"/>
    <mergeCell ref="G309:I309"/>
    <mergeCell ref="G310:I310"/>
    <mergeCell ref="G311:I311"/>
    <mergeCell ref="G312:I312"/>
    <mergeCell ref="G301:I301"/>
    <mergeCell ref="G302:I302"/>
    <mergeCell ref="G303:I303"/>
    <mergeCell ref="G304:I304"/>
    <mergeCell ref="G305:I305"/>
    <mergeCell ref="G306:I306"/>
    <mergeCell ref="G295:I295"/>
    <mergeCell ref="G296:I296"/>
    <mergeCell ref="G297:I297"/>
    <mergeCell ref="G298:I298"/>
    <mergeCell ref="G299:I299"/>
    <mergeCell ref="G300:I300"/>
    <mergeCell ref="G289:I289"/>
    <mergeCell ref="G290:I290"/>
    <mergeCell ref="G291:I291"/>
    <mergeCell ref="G292:I292"/>
    <mergeCell ref="G293:I293"/>
    <mergeCell ref="G294:I294"/>
    <mergeCell ref="G283:I283"/>
    <mergeCell ref="G284:I284"/>
    <mergeCell ref="G285:I285"/>
    <mergeCell ref="G286:I286"/>
    <mergeCell ref="G287:I287"/>
    <mergeCell ref="G288:I288"/>
    <mergeCell ref="G277:I277"/>
    <mergeCell ref="G278:I278"/>
    <mergeCell ref="G279:I279"/>
    <mergeCell ref="G280:I280"/>
    <mergeCell ref="G281:I281"/>
    <mergeCell ref="G282:I282"/>
    <mergeCell ref="G271:I271"/>
    <mergeCell ref="G272:I272"/>
    <mergeCell ref="G273:I273"/>
    <mergeCell ref="G274:I274"/>
    <mergeCell ref="G275:I275"/>
    <mergeCell ref="G276:I276"/>
    <mergeCell ref="G265:I265"/>
    <mergeCell ref="G266:I266"/>
    <mergeCell ref="G267:I267"/>
    <mergeCell ref="G268:I268"/>
    <mergeCell ref="G269:I269"/>
    <mergeCell ref="G270:I270"/>
    <mergeCell ref="G259:I259"/>
    <mergeCell ref="G260:I260"/>
    <mergeCell ref="G261:I261"/>
    <mergeCell ref="G262:I262"/>
    <mergeCell ref="G263:I263"/>
    <mergeCell ref="G264:I264"/>
    <mergeCell ref="G253:I253"/>
    <mergeCell ref="G254:I254"/>
    <mergeCell ref="G255:I255"/>
    <mergeCell ref="G256:I256"/>
    <mergeCell ref="G257:I257"/>
    <mergeCell ref="G258:I258"/>
    <mergeCell ref="G247:I247"/>
    <mergeCell ref="G248:I248"/>
    <mergeCell ref="G249:I249"/>
    <mergeCell ref="G250:I250"/>
    <mergeCell ref="G251:I251"/>
    <mergeCell ref="G252:I252"/>
    <mergeCell ref="G241:I241"/>
    <mergeCell ref="G242:I242"/>
    <mergeCell ref="G243:I243"/>
    <mergeCell ref="G244:I244"/>
    <mergeCell ref="G245:I245"/>
    <mergeCell ref="G246:I246"/>
    <mergeCell ref="G235:I235"/>
    <mergeCell ref="G236:I236"/>
    <mergeCell ref="G237:I237"/>
    <mergeCell ref="G238:I238"/>
    <mergeCell ref="G239:I239"/>
    <mergeCell ref="G240:I240"/>
    <mergeCell ref="G229:I229"/>
    <mergeCell ref="G230:I230"/>
    <mergeCell ref="G231:I231"/>
    <mergeCell ref="G232:I232"/>
    <mergeCell ref="G233:I233"/>
    <mergeCell ref="G234:I234"/>
    <mergeCell ref="G223:I223"/>
    <mergeCell ref="G224:I224"/>
    <mergeCell ref="G225:I225"/>
    <mergeCell ref="G226:I226"/>
    <mergeCell ref="G227:I227"/>
    <mergeCell ref="G228:I228"/>
    <mergeCell ref="G217:I217"/>
    <mergeCell ref="G218:I218"/>
    <mergeCell ref="G219:I219"/>
    <mergeCell ref="G220:I220"/>
    <mergeCell ref="G221:I221"/>
    <mergeCell ref="G222:I222"/>
    <mergeCell ref="G211:I211"/>
    <mergeCell ref="G212:I212"/>
    <mergeCell ref="G213:I213"/>
    <mergeCell ref="G214:I214"/>
    <mergeCell ref="G215:I215"/>
    <mergeCell ref="G216:I216"/>
    <mergeCell ref="G205:I205"/>
    <mergeCell ref="G206:I206"/>
    <mergeCell ref="G207:I207"/>
    <mergeCell ref="G208:I208"/>
    <mergeCell ref="G209:I209"/>
    <mergeCell ref="G210:I210"/>
    <mergeCell ref="G199:I199"/>
    <mergeCell ref="G200:I200"/>
    <mergeCell ref="G201:I201"/>
    <mergeCell ref="G202:I202"/>
    <mergeCell ref="G203:I203"/>
    <mergeCell ref="G204:I204"/>
    <mergeCell ref="G193:I193"/>
    <mergeCell ref="G194:I194"/>
    <mergeCell ref="G195:I195"/>
    <mergeCell ref="G196:I196"/>
    <mergeCell ref="G197:I197"/>
    <mergeCell ref="G198:I198"/>
    <mergeCell ref="G187:I187"/>
    <mergeCell ref="G188:I188"/>
    <mergeCell ref="G189:I189"/>
    <mergeCell ref="G190:I190"/>
    <mergeCell ref="G191:I191"/>
    <mergeCell ref="G192:I192"/>
    <mergeCell ref="G181:I181"/>
    <mergeCell ref="G182:I182"/>
    <mergeCell ref="G183:I183"/>
    <mergeCell ref="G184:I184"/>
    <mergeCell ref="G185:I185"/>
    <mergeCell ref="G186:I186"/>
    <mergeCell ref="G175:I175"/>
    <mergeCell ref="G176:I176"/>
    <mergeCell ref="G177:I177"/>
    <mergeCell ref="G178:I178"/>
    <mergeCell ref="G179:I179"/>
    <mergeCell ref="G180:I180"/>
    <mergeCell ref="G169:I169"/>
    <mergeCell ref="G170:I170"/>
    <mergeCell ref="G171:I171"/>
    <mergeCell ref="G172:I172"/>
    <mergeCell ref="G173:I173"/>
    <mergeCell ref="G174:I174"/>
    <mergeCell ref="G163:I163"/>
    <mergeCell ref="G164:I164"/>
    <mergeCell ref="G165:I165"/>
    <mergeCell ref="G166:I166"/>
    <mergeCell ref="G167:I167"/>
    <mergeCell ref="G168:I168"/>
    <mergeCell ref="G157:I157"/>
    <mergeCell ref="G158:I158"/>
    <mergeCell ref="G159:I159"/>
    <mergeCell ref="G160:I160"/>
    <mergeCell ref="G161:I161"/>
    <mergeCell ref="G162:I162"/>
    <mergeCell ref="G151:I151"/>
    <mergeCell ref="G152:I152"/>
    <mergeCell ref="G153:I153"/>
    <mergeCell ref="G154:I154"/>
    <mergeCell ref="G155:I155"/>
    <mergeCell ref="G156:I156"/>
    <mergeCell ref="G145:I145"/>
    <mergeCell ref="G146:I146"/>
    <mergeCell ref="G147:I147"/>
    <mergeCell ref="G148:I148"/>
    <mergeCell ref="G149:I149"/>
    <mergeCell ref="G150:I150"/>
    <mergeCell ref="G139:I139"/>
    <mergeCell ref="G140:I140"/>
    <mergeCell ref="G141:I141"/>
    <mergeCell ref="G142:I142"/>
    <mergeCell ref="G143:I143"/>
    <mergeCell ref="G144:I144"/>
    <mergeCell ref="G133:I133"/>
    <mergeCell ref="G134:I134"/>
    <mergeCell ref="G135:I135"/>
    <mergeCell ref="G136:I136"/>
    <mergeCell ref="G137:I137"/>
    <mergeCell ref="G138:I138"/>
    <mergeCell ref="G127:I127"/>
    <mergeCell ref="G128:I128"/>
    <mergeCell ref="G129:I129"/>
    <mergeCell ref="G130:I130"/>
    <mergeCell ref="G131:I131"/>
    <mergeCell ref="G132:I132"/>
    <mergeCell ref="E479:F479"/>
    <mergeCell ref="G114:I114"/>
    <mergeCell ref="G115:I115"/>
    <mergeCell ref="G116:I116"/>
    <mergeCell ref="G117:I117"/>
    <mergeCell ref="G118:I118"/>
    <mergeCell ref="G119:I119"/>
    <mergeCell ref="G120:I120"/>
    <mergeCell ref="G125:I125"/>
    <mergeCell ref="G126:I126"/>
    <mergeCell ref="E473:F473"/>
    <mergeCell ref="E474:F474"/>
    <mergeCell ref="E475:F475"/>
    <mergeCell ref="E476:F476"/>
    <mergeCell ref="E477:F477"/>
    <mergeCell ref="E478:F478"/>
    <mergeCell ref="E467:F467"/>
    <mergeCell ref="E468:F468"/>
    <mergeCell ref="E469:F469"/>
    <mergeCell ref="E470:F470"/>
    <mergeCell ref="E471:F471"/>
    <mergeCell ref="E472:F472"/>
    <mergeCell ref="E461:F461"/>
    <mergeCell ref="E462:F462"/>
    <mergeCell ref="E463:F463"/>
    <mergeCell ref="E464:F464"/>
    <mergeCell ref="E465:F465"/>
    <mergeCell ref="E466:F466"/>
    <mergeCell ref="E455:F455"/>
    <mergeCell ref="E456:F456"/>
    <mergeCell ref="E457:F457"/>
    <mergeCell ref="E458:F458"/>
    <mergeCell ref="E459:F459"/>
    <mergeCell ref="E460:F460"/>
    <mergeCell ref="E449:F449"/>
    <mergeCell ref="E450:F450"/>
    <mergeCell ref="E451:F451"/>
    <mergeCell ref="E452:F452"/>
    <mergeCell ref="E453:F453"/>
    <mergeCell ref="E454:F454"/>
    <mergeCell ref="E443:F443"/>
    <mergeCell ref="E444:F444"/>
    <mergeCell ref="E445:F445"/>
    <mergeCell ref="E446:F446"/>
    <mergeCell ref="E447:F447"/>
    <mergeCell ref="E448:F448"/>
    <mergeCell ref="E437:F437"/>
    <mergeCell ref="E438:F438"/>
    <mergeCell ref="E439:F439"/>
    <mergeCell ref="E440:F440"/>
    <mergeCell ref="E441:F441"/>
    <mergeCell ref="E442:F442"/>
    <mergeCell ref="E431:F431"/>
    <mergeCell ref="E432:F432"/>
    <mergeCell ref="E433:F433"/>
    <mergeCell ref="E434:F434"/>
    <mergeCell ref="E435:F435"/>
    <mergeCell ref="E436:F436"/>
    <mergeCell ref="E425:F425"/>
    <mergeCell ref="E426:F426"/>
    <mergeCell ref="E427:F427"/>
    <mergeCell ref="E428:F428"/>
    <mergeCell ref="E429:F429"/>
    <mergeCell ref="E430:F430"/>
    <mergeCell ref="E419:F419"/>
    <mergeCell ref="E420:F420"/>
    <mergeCell ref="E421:F421"/>
    <mergeCell ref="E422:F422"/>
    <mergeCell ref="E423:F423"/>
    <mergeCell ref="E424:F424"/>
    <mergeCell ref="E413:F413"/>
    <mergeCell ref="E414:F414"/>
    <mergeCell ref="E415:F415"/>
    <mergeCell ref="E416:F416"/>
    <mergeCell ref="E417:F417"/>
    <mergeCell ref="E418:F418"/>
    <mergeCell ref="E407:F407"/>
    <mergeCell ref="E408:F408"/>
    <mergeCell ref="E409:F409"/>
    <mergeCell ref="E410:F410"/>
    <mergeCell ref="E411:F411"/>
    <mergeCell ref="E412:F412"/>
    <mergeCell ref="E401:F401"/>
    <mergeCell ref="E402:F402"/>
    <mergeCell ref="E403:F403"/>
    <mergeCell ref="E404:F404"/>
    <mergeCell ref="E405:F405"/>
    <mergeCell ref="E406:F406"/>
    <mergeCell ref="E395:F395"/>
    <mergeCell ref="E396:F396"/>
    <mergeCell ref="E397:F397"/>
    <mergeCell ref="E398:F398"/>
    <mergeCell ref="E399:F399"/>
    <mergeCell ref="E400:F400"/>
    <mergeCell ref="E389:F389"/>
    <mergeCell ref="E390:F390"/>
    <mergeCell ref="E391:F391"/>
    <mergeCell ref="E392:F392"/>
    <mergeCell ref="E393:F393"/>
    <mergeCell ref="E394:F394"/>
    <mergeCell ref="E383:F383"/>
    <mergeCell ref="E384:F384"/>
    <mergeCell ref="E385:F385"/>
    <mergeCell ref="E386:F386"/>
    <mergeCell ref="E387:F387"/>
    <mergeCell ref="E388:F388"/>
    <mergeCell ref="E377:F377"/>
    <mergeCell ref="E378:F378"/>
    <mergeCell ref="E379:F379"/>
    <mergeCell ref="E380:F380"/>
    <mergeCell ref="E381:F381"/>
    <mergeCell ref="E382:F382"/>
    <mergeCell ref="E371:F371"/>
    <mergeCell ref="E372:F372"/>
    <mergeCell ref="E373:F373"/>
    <mergeCell ref="E374:F374"/>
    <mergeCell ref="E375:F375"/>
    <mergeCell ref="E376:F376"/>
    <mergeCell ref="E365:F365"/>
    <mergeCell ref="E366:F366"/>
    <mergeCell ref="E367:F367"/>
    <mergeCell ref="E368:F368"/>
    <mergeCell ref="E369:F369"/>
    <mergeCell ref="E370:F370"/>
    <mergeCell ref="E359:F359"/>
    <mergeCell ref="E360:F360"/>
    <mergeCell ref="E361:F361"/>
    <mergeCell ref="E362:F362"/>
    <mergeCell ref="E363:F363"/>
    <mergeCell ref="E364:F364"/>
    <mergeCell ref="E353:F353"/>
    <mergeCell ref="E354:F354"/>
    <mergeCell ref="E355:F355"/>
    <mergeCell ref="E356:F356"/>
    <mergeCell ref="E357:F357"/>
    <mergeCell ref="E358:F358"/>
    <mergeCell ref="E347:F347"/>
    <mergeCell ref="E348:F348"/>
    <mergeCell ref="E349:F349"/>
    <mergeCell ref="E350:F350"/>
    <mergeCell ref="E351:F351"/>
    <mergeCell ref="E352:F352"/>
    <mergeCell ref="E341:F341"/>
    <mergeCell ref="E342:F342"/>
    <mergeCell ref="E343:F343"/>
    <mergeCell ref="E344:F344"/>
    <mergeCell ref="E345:F345"/>
    <mergeCell ref="E346:F346"/>
    <mergeCell ref="E335:F335"/>
    <mergeCell ref="E336:F336"/>
    <mergeCell ref="E337:F337"/>
    <mergeCell ref="E338:F338"/>
    <mergeCell ref="E339:F339"/>
    <mergeCell ref="E340:F340"/>
    <mergeCell ref="E329:F329"/>
    <mergeCell ref="E330:F330"/>
    <mergeCell ref="E331:F331"/>
    <mergeCell ref="E332:F332"/>
    <mergeCell ref="E333:F333"/>
    <mergeCell ref="E334:F334"/>
    <mergeCell ref="E323:F323"/>
    <mergeCell ref="E324:F324"/>
    <mergeCell ref="E325:F325"/>
    <mergeCell ref="E326:F326"/>
    <mergeCell ref="E327:F327"/>
    <mergeCell ref="E328:F328"/>
    <mergeCell ref="E317:F317"/>
    <mergeCell ref="E318:F318"/>
    <mergeCell ref="E319:F319"/>
    <mergeCell ref="E320:F320"/>
    <mergeCell ref="E321:F321"/>
    <mergeCell ref="E322:F322"/>
    <mergeCell ref="E311:F311"/>
    <mergeCell ref="E312:F312"/>
    <mergeCell ref="E313:F313"/>
    <mergeCell ref="E314:F314"/>
    <mergeCell ref="E315:F315"/>
    <mergeCell ref="E316:F316"/>
    <mergeCell ref="E305:F305"/>
    <mergeCell ref="E306:F306"/>
    <mergeCell ref="E307:F307"/>
    <mergeCell ref="E308:F308"/>
    <mergeCell ref="E309:F309"/>
    <mergeCell ref="E310:F310"/>
    <mergeCell ref="E299:F299"/>
    <mergeCell ref="E300:F300"/>
    <mergeCell ref="E301:F301"/>
    <mergeCell ref="E302:F302"/>
    <mergeCell ref="E303:F303"/>
    <mergeCell ref="E304:F304"/>
    <mergeCell ref="E293:F293"/>
    <mergeCell ref="E294:F294"/>
    <mergeCell ref="E295:F295"/>
    <mergeCell ref="E296:F296"/>
    <mergeCell ref="E297:F297"/>
    <mergeCell ref="E298:F298"/>
    <mergeCell ref="E287:F287"/>
    <mergeCell ref="E288:F288"/>
    <mergeCell ref="E289:F289"/>
    <mergeCell ref="E290:F290"/>
    <mergeCell ref="E291:F291"/>
    <mergeCell ref="E292:F292"/>
    <mergeCell ref="E281:F281"/>
    <mergeCell ref="E282:F282"/>
    <mergeCell ref="E283:F283"/>
    <mergeCell ref="E284:F284"/>
    <mergeCell ref="E285:F285"/>
    <mergeCell ref="E286:F286"/>
    <mergeCell ref="E275:F275"/>
    <mergeCell ref="E276:F276"/>
    <mergeCell ref="E277:F277"/>
    <mergeCell ref="E278:F278"/>
    <mergeCell ref="E279:F279"/>
    <mergeCell ref="E280:F280"/>
    <mergeCell ref="E269:F269"/>
    <mergeCell ref="E270:F270"/>
    <mergeCell ref="E271:F271"/>
    <mergeCell ref="E272:F272"/>
    <mergeCell ref="E273:F273"/>
    <mergeCell ref="E274:F274"/>
    <mergeCell ref="E263:F263"/>
    <mergeCell ref="E264:F264"/>
    <mergeCell ref="E265:F265"/>
    <mergeCell ref="E266:F266"/>
    <mergeCell ref="E267:F267"/>
    <mergeCell ref="E268:F268"/>
    <mergeCell ref="E257:F257"/>
    <mergeCell ref="E258:F258"/>
    <mergeCell ref="E259:F259"/>
    <mergeCell ref="E260:F260"/>
    <mergeCell ref="E261:F261"/>
    <mergeCell ref="E262:F262"/>
    <mergeCell ref="E251:F251"/>
    <mergeCell ref="E252:F252"/>
    <mergeCell ref="E253:F253"/>
    <mergeCell ref="E254:F254"/>
    <mergeCell ref="E255:F255"/>
    <mergeCell ref="E256:F256"/>
    <mergeCell ref="E245:F245"/>
    <mergeCell ref="E246:F246"/>
    <mergeCell ref="E247:F247"/>
    <mergeCell ref="E248:F248"/>
    <mergeCell ref="E249:F249"/>
    <mergeCell ref="E250:F250"/>
    <mergeCell ref="E239:F239"/>
    <mergeCell ref="E240:F240"/>
    <mergeCell ref="E241:F241"/>
    <mergeCell ref="E242:F242"/>
    <mergeCell ref="E243:F243"/>
    <mergeCell ref="E244:F244"/>
    <mergeCell ref="E233:F233"/>
    <mergeCell ref="E234:F234"/>
    <mergeCell ref="E235:F235"/>
    <mergeCell ref="E236:F236"/>
    <mergeCell ref="E237:F237"/>
    <mergeCell ref="E238:F238"/>
    <mergeCell ref="E227:F227"/>
    <mergeCell ref="E228:F228"/>
    <mergeCell ref="E229:F229"/>
    <mergeCell ref="E230:F230"/>
    <mergeCell ref="E231:F231"/>
    <mergeCell ref="E232:F232"/>
    <mergeCell ref="E221:F221"/>
    <mergeCell ref="E222:F222"/>
    <mergeCell ref="E223:F223"/>
    <mergeCell ref="E224:F224"/>
    <mergeCell ref="E225:F225"/>
    <mergeCell ref="E226:F226"/>
    <mergeCell ref="E215:F215"/>
    <mergeCell ref="E216:F216"/>
    <mergeCell ref="E217:F217"/>
    <mergeCell ref="E218:F218"/>
    <mergeCell ref="E219:F219"/>
    <mergeCell ref="E220:F220"/>
    <mergeCell ref="E209:F209"/>
    <mergeCell ref="E210:F210"/>
    <mergeCell ref="E211:F211"/>
    <mergeCell ref="E212:F212"/>
    <mergeCell ref="E213:F213"/>
    <mergeCell ref="E214:F214"/>
    <mergeCell ref="E203:F203"/>
    <mergeCell ref="E204:F204"/>
    <mergeCell ref="E205:F205"/>
    <mergeCell ref="E206:F206"/>
    <mergeCell ref="E207:F207"/>
    <mergeCell ref="E208:F208"/>
    <mergeCell ref="E197:F197"/>
    <mergeCell ref="E198:F198"/>
    <mergeCell ref="E199:F199"/>
    <mergeCell ref="E200:F200"/>
    <mergeCell ref="E201:F201"/>
    <mergeCell ref="E202:F202"/>
    <mergeCell ref="E191:F191"/>
    <mergeCell ref="E192:F192"/>
    <mergeCell ref="E193:F193"/>
    <mergeCell ref="E194:F194"/>
    <mergeCell ref="E195:F195"/>
    <mergeCell ref="E196:F196"/>
    <mergeCell ref="E185:F185"/>
    <mergeCell ref="E186:F186"/>
    <mergeCell ref="E187:F187"/>
    <mergeCell ref="E188:F188"/>
    <mergeCell ref="E189:F189"/>
    <mergeCell ref="E190:F190"/>
    <mergeCell ref="E179:F179"/>
    <mergeCell ref="E180:F180"/>
    <mergeCell ref="E181:F181"/>
    <mergeCell ref="E182:F182"/>
    <mergeCell ref="E183:F183"/>
    <mergeCell ref="E184:F184"/>
    <mergeCell ref="E173:F173"/>
    <mergeCell ref="E174:F174"/>
    <mergeCell ref="E175:F175"/>
    <mergeCell ref="E176:F176"/>
    <mergeCell ref="E177:F177"/>
    <mergeCell ref="E178:F178"/>
    <mergeCell ref="E167:F167"/>
    <mergeCell ref="E168:F168"/>
    <mergeCell ref="E169:F169"/>
    <mergeCell ref="E170:F170"/>
    <mergeCell ref="E171:F171"/>
    <mergeCell ref="E172:F172"/>
    <mergeCell ref="E161:F161"/>
    <mergeCell ref="E162:F162"/>
    <mergeCell ref="E163:F163"/>
    <mergeCell ref="E164:F164"/>
    <mergeCell ref="E165:F165"/>
    <mergeCell ref="E166:F166"/>
    <mergeCell ref="E155:F155"/>
    <mergeCell ref="E156:F156"/>
    <mergeCell ref="E157:F157"/>
    <mergeCell ref="E158:F158"/>
    <mergeCell ref="E159:F159"/>
    <mergeCell ref="E160:F160"/>
    <mergeCell ref="E149:F149"/>
    <mergeCell ref="E150:F150"/>
    <mergeCell ref="E151:F151"/>
    <mergeCell ref="E152:F152"/>
    <mergeCell ref="E153:F153"/>
    <mergeCell ref="E154:F154"/>
    <mergeCell ref="E143:F143"/>
    <mergeCell ref="E144:F144"/>
    <mergeCell ref="E145:F145"/>
    <mergeCell ref="E146:F146"/>
    <mergeCell ref="E147:F147"/>
    <mergeCell ref="E148:F148"/>
    <mergeCell ref="E137:F137"/>
    <mergeCell ref="E138:F138"/>
    <mergeCell ref="E139:F139"/>
    <mergeCell ref="E140:F140"/>
    <mergeCell ref="E141:F141"/>
    <mergeCell ref="E142:F142"/>
    <mergeCell ref="E131:F131"/>
    <mergeCell ref="E132:F132"/>
    <mergeCell ref="E133:F133"/>
    <mergeCell ref="E134:F134"/>
    <mergeCell ref="E135:F135"/>
    <mergeCell ref="E136:F136"/>
    <mergeCell ref="E125:F125"/>
    <mergeCell ref="E126:F126"/>
    <mergeCell ref="E127:F127"/>
    <mergeCell ref="E128:F128"/>
    <mergeCell ref="E129:F129"/>
    <mergeCell ref="E130:F130"/>
    <mergeCell ref="E124:F124"/>
    <mergeCell ref="G121:I121"/>
    <mergeCell ref="G122:I122"/>
    <mergeCell ref="G123:I123"/>
    <mergeCell ref="G124:I124"/>
    <mergeCell ref="E121:F121"/>
    <mergeCell ref="E122:F122"/>
    <mergeCell ref="E123:F123"/>
    <mergeCell ref="D13:S13"/>
    <mergeCell ref="D58:G58"/>
    <mergeCell ref="H58:J58"/>
    <mergeCell ref="K58:M58"/>
    <mergeCell ref="S58:V58"/>
    <mergeCell ref="F61:G61"/>
    <mergeCell ref="H61:I61"/>
    <mergeCell ref="T16:W16"/>
    <mergeCell ref="E17:G17"/>
    <mergeCell ref="H17:S17"/>
    <mergeCell ref="S66:V66"/>
    <mergeCell ref="O67:P67"/>
    <mergeCell ref="Q67:R67"/>
    <mergeCell ref="S67:V67"/>
    <mergeCell ref="O66:P66"/>
    <mergeCell ref="S69:V69"/>
    <mergeCell ref="Q70:R70"/>
    <mergeCell ref="S70:V70"/>
    <mergeCell ref="N85:S85"/>
    <mergeCell ref="T85:V85"/>
    <mergeCell ref="N84:S84"/>
    <mergeCell ref="T84:V84"/>
    <mergeCell ref="P32:Q32"/>
    <mergeCell ref="F48:Y48"/>
    <mergeCell ref="P503:R503"/>
    <mergeCell ref="E485:F485"/>
    <mergeCell ref="G485:H485"/>
    <mergeCell ref="I485:J485"/>
    <mergeCell ref="K485:L485"/>
    <mergeCell ref="E486:F486"/>
    <mergeCell ref="G486:H486"/>
    <mergeCell ref="K503:N503"/>
    <mergeCell ref="E487:F487"/>
    <mergeCell ref="I487:J487"/>
    <mergeCell ref="T21:W21"/>
    <mergeCell ref="T22:W22"/>
    <mergeCell ref="T10:W10"/>
    <mergeCell ref="T13:W13"/>
    <mergeCell ref="T15:W15"/>
    <mergeCell ref="T19:W19"/>
    <mergeCell ref="C14:AE14"/>
    <mergeCell ref="X13:AE13"/>
    <mergeCell ref="D10:S10"/>
    <mergeCell ref="X15:AE15"/>
    <mergeCell ref="K484:L484"/>
    <mergeCell ref="N484:O484"/>
    <mergeCell ref="P484:Q484"/>
    <mergeCell ref="I486:J486"/>
    <mergeCell ref="K486:L486"/>
    <mergeCell ref="E484:F484"/>
    <mergeCell ref="G484:H484"/>
    <mergeCell ref="I484:J484"/>
    <mergeCell ref="K487:L487"/>
    <mergeCell ref="E488:F488"/>
    <mergeCell ref="G488:H488"/>
    <mergeCell ref="I488:J488"/>
    <mergeCell ref="B3:B24"/>
    <mergeCell ref="B112:C112"/>
    <mergeCell ref="B26:B41"/>
    <mergeCell ref="B57:F57"/>
    <mergeCell ref="F62:G62"/>
    <mergeCell ref="F64:G64"/>
    <mergeCell ref="F66:G66"/>
    <mergeCell ref="D73:F73"/>
    <mergeCell ref="D75:F75"/>
    <mergeCell ref="D80:F80"/>
    <mergeCell ref="E112:F112"/>
    <mergeCell ref="G112:I112"/>
    <mergeCell ref="E113:F113"/>
    <mergeCell ref="G113:I113"/>
    <mergeCell ref="E120:F120"/>
    <mergeCell ref="E118:F118"/>
    <mergeCell ref="E119:F119"/>
    <mergeCell ref="E115:F115"/>
    <mergeCell ref="E116:F116"/>
    <mergeCell ref="E117:F117"/>
    <mergeCell ref="F67:G67"/>
    <mergeCell ref="H67:I67"/>
    <mergeCell ref="H66:I66"/>
    <mergeCell ref="D85:F85"/>
    <mergeCell ref="G85:M85"/>
    <mergeCell ref="D84:F84"/>
    <mergeCell ref="G84:M84"/>
    <mergeCell ref="D3:W3"/>
    <mergeCell ref="C43:AE43"/>
    <mergeCell ref="C44:D44"/>
    <mergeCell ref="V44:Y44"/>
    <mergeCell ref="T41:X41"/>
    <mergeCell ref="K488:L488"/>
    <mergeCell ref="G487:H487"/>
    <mergeCell ref="T484:U484"/>
    <mergeCell ref="N485:O485"/>
    <mergeCell ref="P485:Q485"/>
    <mergeCell ref="R485:S485"/>
    <mergeCell ref="T485:U485"/>
    <mergeCell ref="R484:S484"/>
    <mergeCell ref="T486:U486"/>
    <mergeCell ref="N487:O487"/>
    <mergeCell ref="P487:Q487"/>
    <mergeCell ref="R487:S487"/>
    <mergeCell ref="T487:U487"/>
    <mergeCell ref="N486:O486"/>
    <mergeCell ref="P486:Q486"/>
    <mergeCell ref="R486:S486"/>
    <mergeCell ref="R489:S489"/>
    <mergeCell ref="T489:U489"/>
    <mergeCell ref="N488:O488"/>
    <mergeCell ref="P488:Q488"/>
    <mergeCell ref="R488:S488"/>
    <mergeCell ref="T488:U488"/>
    <mergeCell ref="E491:H491"/>
    <mergeCell ref="I491:L491"/>
    <mergeCell ref="N489:O489"/>
    <mergeCell ref="P489:Q489"/>
    <mergeCell ref="E489:F489"/>
    <mergeCell ref="G489:H489"/>
    <mergeCell ref="I489:J489"/>
    <mergeCell ref="K489:L489"/>
    <mergeCell ref="N491:Q491"/>
    <mergeCell ref="I495:L495"/>
    <mergeCell ref="N495:Q495"/>
    <mergeCell ref="R495:U495"/>
    <mergeCell ref="E492:H492"/>
    <mergeCell ref="I492:L492"/>
    <mergeCell ref="E493:H493"/>
    <mergeCell ref="I493:L493"/>
    <mergeCell ref="R492:U492"/>
    <mergeCell ref="N493:Q493"/>
    <mergeCell ref="R493:U493"/>
    <mergeCell ref="E494:H494"/>
    <mergeCell ref="I494:L494"/>
    <mergeCell ref="N496:Q496"/>
    <mergeCell ref="R496:U496"/>
    <mergeCell ref="E496:H496"/>
    <mergeCell ref="I496:L496"/>
    <mergeCell ref="E495:H495"/>
    <mergeCell ref="Q61:R61"/>
    <mergeCell ref="S61:V61"/>
    <mergeCell ref="Q71:V71"/>
    <mergeCell ref="N105:V105"/>
    <mergeCell ref="Q123:R123"/>
    <mergeCell ref="Q124:R124"/>
    <mergeCell ref="F63:G63"/>
    <mergeCell ref="H63:I63"/>
    <mergeCell ref="O63:P63"/>
    <mergeCell ref="Q63:R63"/>
    <mergeCell ref="N494:Q494"/>
    <mergeCell ref="R494:U494"/>
    <mergeCell ref="Q125:R125"/>
    <mergeCell ref="Q126:R126"/>
    <mergeCell ref="R491:U491"/>
    <mergeCell ref="N492:Q492"/>
    <mergeCell ref="H62:I62"/>
    <mergeCell ref="F65:G65"/>
    <mergeCell ref="H65:I65"/>
    <mergeCell ref="O65:P65"/>
    <mergeCell ref="Q65:R65"/>
    <mergeCell ref="S65:V65"/>
    <mergeCell ref="Q64:R64"/>
    <mergeCell ref="S64:V64"/>
    <mergeCell ref="H64:I64"/>
    <mergeCell ref="O64:P64"/>
    <mergeCell ref="Q66:R66"/>
    <mergeCell ref="T76:V76"/>
    <mergeCell ref="G73:M73"/>
    <mergeCell ref="N73:S73"/>
    <mergeCell ref="T73:V73"/>
    <mergeCell ref="D74:F74"/>
    <mergeCell ref="G74:M74"/>
    <mergeCell ref="N74:S74"/>
    <mergeCell ref="T74:V74"/>
    <mergeCell ref="D77:F77"/>
    <mergeCell ref="G77:M77"/>
    <mergeCell ref="N77:S77"/>
    <mergeCell ref="T77:V77"/>
    <mergeCell ref="G75:M75"/>
    <mergeCell ref="N75:S75"/>
    <mergeCell ref="T75:V75"/>
    <mergeCell ref="D76:F76"/>
    <mergeCell ref="G76:M76"/>
    <mergeCell ref="N76:S76"/>
    <mergeCell ref="D78:F78"/>
    <mergeCell ref="G78:M78"/>
    <mergeCell ref="D79:F79"/>
    <mergeCell ref="G79:M79"/>
    <mergeCell ref="N79:S79"/>
    <mergeCell ref="T79:V79"/>
    <mergeCell ref="N78:S78"/>
    <mergeCell ref="T78:V78"/>
    <mergeCell ref="G80:M80"/>
    <mergeCell ref="N80:S80"/>
    <mergeCell ref="T80:V80"/>
    <mergeCell ref="Z82:AC82"/>
    <mergeCell ref="Z80:AC80"/>
    <mergeCell ref="Z79:AC79"/>
    <mergeCell ref="D81:F81"/>
    <mergeCell ref="G81:M81"/>
    <mergeCell ref="N81:S81"/>
    <mergeCell ref="T81:V81"/>
    <mergeCell ref="D82:F82"/>
    <mergeCell ref="G82:M82"/>
    <mergeCell ref="N82:S82"/>
    <mergeCell ref="T82:V82"/>
    <mergeCell ref="D83:F83"/>
    <mergeCell ref="G83:M83"/>
    <mergeCell ref="N83:S83"/>
    <mergeCell ref="T83:V83"/>
    <mergeCell ref="AD80:AE80"/>
    <mergeCell ref="Z81:AC81"/>
    <mergeCell ref="AD81:AE81"/>
    <mergeCell ref="Z83:AC83"/>
    <mergeCell ref="AD83:AE83"/>
    <mergeCell ref="AD82:AE82"/>
    <mergeCell ref="Z84:AC84"/>
    <mergeCell ref="AD84:AE84"/>
    <mergeCell ref="Z85:AC85"/>
    <mergeCell ref="AD85:AE85"/>
    <mergeCell ref="Z86:AC86"/>
    <mergeCell ref="AD86:AE86"/>
    <mergeCell ref="Z87:AC87"/>
    <mergeCell ref="AD87:AE87"/>
    <mergeCell ref="D86:F86"/>
    <mergeCell ref="G86:M86"/>
    <mergeCell ref="D87:F87"/>
    <mergeCell ref="G87:M87"/>
    <mergeCell ref="N87:S87"/>
    <mergeCell ref="T87:V87"/>
    <mergeCell ref="N86:S86"/>
    <mergeCell ref="T86:V86"/>
    <mergeCell ref="D89:F89"/>
    <mergeCell ref="G89:M89"/>
    <mergeCell ref="N89:S89"/>
    <mergeCell ref="T89:V89"/>
    <mergeCell ref="D88:F88"/>
    <mergeCell ref="G88:M88"/>
    <mergeCell ref="N88:S88"/>
    <mergeCell ref="T88:V88"/>
    <mergeCell ref="Z88:AC88"/>
    <mergeCell ref="AD88:AE88"/>
    <mergeCell ref="Z89:AC89"/>
    <mergeCell ref="AD89:AE89"/>
    <mergeCell ref="Z90:AC90"/>
    <mergeCell ref="AD90:AE90"/>
    <mergeCell ref="Z91:AC91"/>
    <mergeCell ref="AD91:AE91"/>
    <mergeCell ref="D90:F90"/>
    <mergeCell ref="G90:M90"/>
    <mergeCell ref="D91:F91"/>
    <mergeCell ref="G91:M91"/>
    <mergeCell ref="N91:S91"/>
    <mergeCell ref="T91:V91"/>
    <mergeCell ref="N90:S90"/>
    <mergeCell ref="T90:V90"/>
    <mergeCell ref="D93:F93"/>
    <mergeCell ref="G93:M93"/>
    <mergeCell ref="N93:S93"/>
    <mergeCell ref="T93:V93"/>
    <mergeCell ref="D92:F92"/>
    <mergeCell ref="G92:M92"/>
    <mergeCell ref="N92:S92"/>
    <mergeCell ref="T92:V92"/>
    <mergeCell ref="Z92:AC92"/>
    <mergeCell ref="AD92:AE92"/>
    <mergeCell ref="Z93:AC93"/>
    <mergeCell ref="AD93:AE93"/>
    <mergeCell ref="Z94:AC94"/>
    <mergeCell ref="AD94:AE94"/>
    <mergeCell ref="Z95:AC95"/>
    <mergeCell ref="AD95:AE95"/>
    <mergeCell ref="D94:F94"/>
    <mergeCell ref="G94:M94"/>
    <mergeCell ref="D95:F95"/>
    <mergeCell ref="G95:M95"/>
    <mergeCell ref="N95:S95"/>
    <mergeCell ref="T95:V95"/>
    <mergeCell ref="N94:S94"/>
    <mergeCell ref="T94:V94"/>
    <mergeCell ref="D97:F97"/>
    <mergeCell ref="G97:M97"/>
    <mergeCell ref="N97:S97"/>
    <mergeCell ref="T97:V97"/>
    <mergeCell ref="D96:F96"/>
    <mergeCell ref="G96:M96"/>
    <mergeCell ref="N96:S96"/>
    <mergeCell ref="T96:V96"/>
    <mergeCell ref="Z96:AC96"/>
    <mergeCell ref="AD96:AE96"/>
    <mergeCell ref="Z97:AC97"/>
    <mergeCell ref="AD97:AE97"/>
    <mergeCell ref="Z98:AC98"/>
    <mergeCell ref="AD98:AE98"/>
    <mergeCell ref="Z99:AC99"/>
    <mergeCell ref="AD99:AE99"/>
    <mergeCell ref="D98:F98"/>
    <mergeCell ref="G98:M98"/>
    <mergeCell ref="D99:F99"/>
    <mergeCell ref="G99:M99"/>
    <mergeCell ref="N99:S99"/>
    <mergeCell ref="T99:V99"/>
    <mergeCell ref="N98:S98"/>
    <mergeCell ref="T98:V98"/>
    <mergeCell ref="D101:F101"/>
    <mergeCell ref="G101:M101"/>
    <mergeCell ref="N101:S101"/>
    <mergeCell ref="T101:V101"/>
    <mergeCell ref="D100:F100"/>
    <mergeCell ref="G100:M100"/>
    <mergeCell ref="N100:S100"/>
    <mergeCell ref="T100:V100"/>
    <mergeCell ref="Z100:AC100"/>
    <mergeCell ref="AD100:AE100"/>
    <mergeCell ref="Z101:AC101"/>
    <mergeCell ref="AD101:AE101"/>
    <mergeCell ref="Z102:AC102"/>
    <mergeCell ref="AD102:AE102"/>
    <mergeCell ref="AD103:AE103"/>
    <mergeCell ref="D102:F102"/>
    <mergeCell ref="G102:M102"/>
    <mergeCell ref="D103:F103"/>
    <mergeCell ref="G103:M103"/>
    <mergeCell ref="N103:S103"/>
    <mergeCell ref="T103:V103"/>
    <mergeCell ref="N102:S102"/>
    <mergeCell ref="T102:V102"/>
    <mergeCell ref="Z105:AC105"/>
    <mergeCell ref="N107:V107"/>
    <mergeCell ref="X107:Y107"/>
    <mergeCell ref="Z107:AC107"/>
    <mergeCell ref="Z103:AC103"/>
    <mergeCell ref="Q131:R131"/>
    <mergeCell ref="Q132:R132"/>
    <mergeCell ref="Q133:R133"/>
    <mergeCell ref="Q134:R134"/>
    <mergeCell ref="Q127:R127"/>
    <mergeCell ref="Q128:R128"/>
    <mergeCell ref="Q129:R129"/>
    <mergeCell ref="Q130:R130"/>
    <mergeCell ref="Q139:R139"/>
    <mergeCell ref="Q140:R140"/>
    <mergeCell ref="Q141:R141"/>
    <mergeCell ref="Q142:R142"/>
    <mergeCell ref="Q135:R135"/>
    <mergeCell ref="Q136:R136"/>
    <mergeCell ref="Q137:R137"/>
    <mergeCell ref="Q138:R138"/>
    <mergeCell ref="Q117:R117"/>
    <mergeCell ref="Q118:R118"/>
    <mergeCell ref="Q119:R119"/>
    <mergeCell ref="Q120:R120"/>
    <mergeCell ref="Q121:R121"/>
    <mergeCell ref="Q122:R122"/>
    <mergeCell ref="Q114:R114"/>
    <mergeCell ref="Q115:R115"/>
    <mergeCell ref="Q116:R116"/>
    <mergeCell ref="Q147:R147"/>
    <mergeCell ref="Q148:R148"/>
    <mergeCell ref="Q149:R149"/>
    <mergeCell ref="Q150:R150"/>
    <mergeCell ref="Q143:R143"/>
    <mergeCell ref="Q144:R144"/>
    <mergeCell ref="Q145:R145"/>
    <mergeCell ref="Q146:R146"/>
    <mergeCell ref="Q155:R155"/>
    <mergeCell ref="Q156:R156"/>
    <mergeCell ref="Q157:R157"/>
    <mergeCell ref="Q158:R158"/>
    <mergeCell ref="Q151:R151"/>
    <mergeCell ref="Q152:R152"/>
    <mergeCell ref="Q153:R153"/>
    <mergeCell ref="Q154:R154"/>
    <mergeCell ref="Q163:R163"/>
    <mergeCell ref="Q164:R164"/>
    <mergeCell ref="Q165:R165"/>
    <mergeCell ref="Q166:R166"/>
    <mergeCell ref="Q159:R159"/>
    <mergeCell ref="Q160:R160"/>
    <mergeCell ref="Q161:R161"/>
    <mergeCell ref="Q162:R162"/>
    <mergeCell ref="Q171:R171"/>
    <mergeCell ref="Q172:R172"/>
    <mergeCell ref="Q173:R173"/>
    <mergeCell ref="Q174:R174"/>
    <mergeCell ref="Q167:R167"/>
    <mergeCell ref="Q168:R168"/>
    <mergeCell ref="Q169:R169"/>
    <mergeCell ref="Q170:R170"/>
    <mergeCell ref="Q179:R179"/>
    <mergeCell ref="Q180:R180"/>
    <mergeCell ref="Q181:R181"/>
    <mergeCell ref="Q182:R182"/>
    <mergeCell ref="Q175:R175"/>
    <mergeCell ref="Q176:R176"/>
    <mergeCell ref="Q177:R177"/>
    <mergeCell ref="Q178:R178"/>
    <mergeCell ref="Q187:R187"/>
    <mergeCell ref="Q188:R188"/>
    <mergeCell ref="Q189:R189"/>
    <mergeCell ref="Q190:R190"/>
    <mergeCell ref="Q183:R183"/>
    <mergeCell ref="Q184:R184"/>
    <mergeCell ref="Q185:R185"/>
    <mergeCell ref="Q186:R186"/>
    <mergeCell ref="Q195:R195"/>
    <mergeCell ref="Q196:R196"/>
    <mergeCell ref="Q197:R197"/>
    <mergeCell ref="Q198:R198"/>
    <mergeCell ref="Q191:R191"/>
    <mergeCell ref="Q192:R192"/>
    <mergeCell ref="Q193:R193"/>
    <mergeCell ref="Q194:R194"/>
    <mergeCell ref="Q203:R203"/>
    <mergeCell ref="Q204:R204"/>
    <mergeCell ref="Q205:R205"/>
    <mergeCell ref="Q206:R206"/>
    <mergeCell ref="Q199:R199"/>
    <mergeCell ref="Q200:R200"/>
    <mergeCell ref="Q201:R201"/>
    <mergeCell ref="Q202:R202"/>
    <mergeCell ref="Q211:R211"/>
    <mergeCell ref="Q212:R212"/>
    <mergeCell ref="Q213:R213"/>
    <mergeCell ref="Q214:R214"/>
    <mergeCell ref="Q207:R207"/>
    <mergeCell ref="Q208:R208"/>
    <mergeCell ref="Q209:R209"/>
    <mergeCell ref="Q210:R210"/>
    <mergeCell ref="Q219:R219"/>
    <mergeCell ref="Q220:R220"/>
    <mergeCell ref="Q221:R221"/>
    <mergeCell ref="Q222:R222"/>
    <mergeCell ref="Q215:R215"/>
    <mergeCell ref="Q216:R216"/>
    <mergeCell ref="Q217:R217"/>
    <mergeCell ref="Q218:R218"/>
    <mergeCell ref="Q227:R227"/>
    <mergeCell ref="Q228:R228"/>
    <mergeCell ref="Q229:R229"/>
    <mergeCell ref="Q230:R230"/>
    <mergeCell ref="Q223:R223"/>
    <mergeCell ref="Q224:R224"/>
    <mergeCell ref="Q225:R225"/>
    <mergeCell ref="Q226:R226"/>
    <mergeCell ref="Q235:R235"/>
    <mergeCell ref="Q236:R236"/>
    <mergeCell ref="Q237:R237"/>
    <mergeCell ref="Q238:R238"/>
    <mergeCell ref="Q231:R231"/>
    <mergeCell ref="Q232:R232"/>
    <mergeCell ref="Q233:R233"/>
    <mergeCell ref="Q234:R234"/>
    <mergeCell ref="Q243:R243"/>
    <mergeCell ref="Q244:R244"/>
    <mergeCell ref="Q245:R245"/>
    <mergeCell ref="Q246:R246"/>
    <mergeCell ref="Q239:R239"/>
    <mergeCell ref="Q240:R240"/>
    <mergeCell ref="Q241:R241"/>
    <mergeCell ref="Q242:R242"/>
    <mergeCell ref="Q251:R251"/>
    <mergeCell ref="Q252:R252"/>
    <mergeCell ref="Q253:R253"/>
    <mergeCell ref="Q254:R254"/>
    <mergeCell ref="Q247:R247"/>
    <mergeCell ref="Q248:R248"/>
    <mergeCell ref="Q249:R249"/>
    <mergeCell ref="Q250:R250"/>
    <mergeCell ref="Q259:R259"/>
    <mergeCell ref="Q260:R260"/>
    <mergeCell ref="Q261:R261"/>
    <mergeCell ref="Q262:R262"/>
    <mergeCell ref="Q255:R255"/>
    <mergeCell ref="Q256:R256"/>
    <mergeCell ref="Q257:R257"/>
    <mergeCell ref="Q258:R258"/>
    <mergeCell ref="Q267:R267"/>
    <mergeCell ref="Q268:R268"/>
    <mergeCell ref="Q269:R269"/>
    <mergeCell ref="Q270:R270"/>
    <mergeCell ref="Q263:R263"/>
    <mergeCell ref="Q264:R264"/>
    <mergeCell ref="Q265:R265"/>
    <mergeCell ref="Q266:R266"/>
    <mergeCell ref="Q275:R275"/>
    <mergeCell ref="Q276:R276"/>
    <mergeCell ref="Q277:R277"/>
    <mergeCell ref="Q278:R278"/>
    <mergeCell ref="Q271:R271"/>
    <mergeCell ref="Q272:R272"/>
    <mergeCell ref="Q273:R273"/>
    <mergeCell ref="Q274:R274"/>
    <mergeCell ref="Q283:R283"/>
    <mergeCell ref="Q284:R284"/>
    <mergeCell ref="Q285:R285"/>
    <mergeCell ref="Q286:R286"/>
    <mergeCell ref="Q279:R279"/>
    <mergeCell ref="Q280:R280"/>
    <mergeCell ref="Q281:R281"/>
    <mergeCell ref="Q282:R282"/>
    <mergeCell ref="Q291:R291"/>
    <mergeCell ref="Q292:R292"/>
    <mergeCell ref="Q293:R293"/>
    <mergeCell ref="Q294:R294"/>
    <mergeCell ref="Q287:R287"/>
    <mergeCell ref="Q288:R288"/>
    <mergeCell ref="Q289:R289"/>
    <mergeCell ref="Q290:R290"/>
    <mergeCell ref="Q299:R299"/>
    <mergeCell ref="Q300:R300"/>
    <mergeCell ref="Q301:R301"/>
    <mergeCell ref="Q302:R302"/>
    <mergeCell ref="Q295:R295"/>
    <mergeCell ref="Q296:R296"/>
    <mergeCell ref="Q297:R297"/>
    <mergeCell ref="Q298:R298"/>
    <mergeCell ref="Q307:R307"/>
    <mergeCell ref="Q308:R308"/>
    <mergeCell ref="Q309:R309"/>
    <mergeCell ref="Q310:R310"/>
    <mergeCell ref="Q303:R303"/>
    <mergeCell ref="Q304:R304"/>
    <mergeCell ref="Q305:R305"/>
    <mergeCell ref="Q306:R306"/>
    <mergeCell ref="Q315:R315"/>
    <mergeCell ref="Q316:R316"/>
    <mergeCell ref="Q317:R317"/>
    <mergeCell ref="Q318:R318"/>
    <mergeCell ref="Q311:R311"/>
    <mergeCell ref="Q312:R312"/>
    <mergeCell ref="Q313:R313"/>
    <mergeCell ref="Q314:R314"/>
    <mergeCell ref="Q323:R323"/>
    <mergeCell ref="Q324:R324"/>
    <mergeCell ref="Q325:R325"/>
    <mergeCell ref="Q326:R326"/>
    <mergeCell ref="Q319:R319"/>
    <mergeCell ref="Q320:R320"/>
    <mergeCell ref="Q321:R321"/>
    <mergeCell ref="Q322:R322"/>
    <mergeCell ref="Q331:R331"/>
    <mergeCell ref="Q332:R332"/>
    <mergeCell ref="Q333:R333"/>
    <mergeCell ref="Q334:R334"/>
    <mergeCell ref="Q327:R327"/>
    <mergeCell ref="Q328:R328"/>
    <mergeCell ref="Q329:R329"/>
    <mergeCell ref="Q330:R330"/>
    <mergeCell ref="Q339:R339"/>
    <mergeCell ref="Q340:R340"/>
    <mergeCell ref="Q341:R341"/>
    <mergeCell ref="Q342:R342"/>
    <mergeCell ref="Q335:R335"/>
    <mergeCell ref="Q336:R336"/>
    <mergeCell ref="Q337:R337"/>
    <mergeCell ref="Q338:R338"/>
    <mergeCell ref="Q347:R347"/>
    <mergeCell ref="Q348:R348"/>
    <mergeCell ref="Q349:R349"/>
    <mergeCell ref="Q350:R350"/>
    <mergeCell ref="Q343:R343"/>
    <mergeCell ref="Q344:R344"/>
    <mergeCell ref="Q345:R345"/>
    <mergeCell ref="Q346:R346"/>
    <mergeCell ref="Q355:R355"/>
    <mergeCell ref="Q356:R356"/>
    <mergeCell ref="Q357:R357"/>
    <mergeCell ref="Q358:R358"/>
    <mergeCell ref="Q351:R351"/>
    <mergeCell ref="Q352:R352"/>
    <mergeCell ref="Q353:R353"/>
    <mergeCell ref="Q354:R354"/>
    <mergeCell ref="Q363:R363"/>
    <mergeCell ref="Q364:R364"/>
    <mergeCell ref="Q365:R365"/>
    <mergeCell ref="Q366:R366"/>
    <mergeCell ref="Q359:R359"/>
    <mergeCell ref="Q360:R360"/>
    <mergeCell ref="Q361:R361"/>
    <mergeCell ref="Q362:R362"/>
    <mergeCell ref="Q371:R371"/>
    <mergeCell ref="Q372:R372"/>
    <mergeCell ref="Q373:R373"/>
    <mergeCell ref="Q374:R374"/>
    <mergeCell ref="Q367:R367"/>
    <mergeCell ref="Q368:R368"/>
    <mergeCell ref="Q369:R369"/>
    <mergeCell ref="Q370:R370"/>
    <mergeCell ref="Q379:R379"/>
    <mergeCell ref="Q380:R380"/>
    <mergeCell ref="Q381:R381"/>
    <mergeCell ref="Q382:R382"/>
    <mergeCell ref="Q375:R375"/>
    <mergeCell ref="Q376:R376"/>
    <mergeCell ref="Q377:R377"/>
    <mergeCell ref="Q378:R378"/>
    <mergeCell ref="Q387:R387"/>
    <mergeCell ref="Q388:R388"/>
    <mergeCell ref="Q389:R389"/>
    <mergeCell ref="Q390:R390"/>
    <mergeCell ref="Q383:R383"/>
    <mergeCell ref="Q384:R384"/>
    <mergeCell ref="Q385:R385"/>
    <mergeCell ref="Q386:R386"/>
    <mergeCell ref="Q395:R395"/>
    <mergeCell ref="Q396:R396"/>
    <mergeCell ref="Q397:R397"/>
    <mergeCell ref="Q424:R424"/>
    <mergeCell ref="Q425:R425"/>
    <mergeCell ref="Q426:R426"/>
    <mergeCell ref="Q435:R435"/>
    <mergeCell ref="Q398:R398"/>
    <mergeCell ref="Q391:R391"/>
    <mergeCell ref="Q392:R392"/>
    <mergeCell ref="Q393:R393"/>
    <mergeCell ref="Q394:R394"/>
    <mergeCell ref="Q403:R403"/>
    <mergeCell ref="Q404:R404"/>
    <mergeCell ref="Q405:R405"/>
    <mergeCell ref="Q406:R406"/>
    <mergeCell ref="Q399:R399"/>
    <mergeCell ref="Q400:R400"/>
    <mergeCell ref="Q401:R401"/>
    <mergeCell ref="Q402:R402"/>
    <mergeCell ref="Q411:R411"/>
    <mergeCell ref="Q412:R412"/>
    <mergeCell ref="Q413:R413"/>
    <mergeCell ref="Q414:R414"/>
    <mergeCell ref="Q407:R407"/>
    <mergeCell ref="Q408:R408"/>
    <mergeCell ref="Q409:R409"/>
    <mergeCell ref="Q410:R410"/>
    <mergeCell ref="G481:I481"/>
    <mergeCell ref="Q472:R472"/>
    <mergeCell ref="Q473:R473"/>
    <mergeCell ref="Q478:R478"/>
    <mergeCell ref="Q479:R479"/>
    <mergeCell ref="Q474:R474"/>
    <mergeCell ref="Q475:R475"/>
    <mergeCell ref="Q476:R476"/>
    <mergeCell ref="Q477:R477"/>
    <mergeCell ref="G474:I474"/>
    <mergeCell ref="Q436:R436"/>
    <mergeCell ref="Q437:R437"/>
    <mergeCell ref="Q438:R438"/>
    <mergeCell ref="Q431:R431"/>
    <mergeCell ref="Q432:R432"/>
    <mergeCell ref="Q433:R433"/>
    <mergeCell ref="Q434:R434"/>
    <mergeCell ref="Q443:R443"/>
    <mergeCell ref="Q444:R444"/>
    <mergeCell ref="Q445:R445"/>
    <mergeCell ref="Q446:R446"/>
    <mergeCell ref="Q439:R439"/>
    <mergeCell ref="Q440:R440"/>
    <mergeCell ref="Q441:R441"/>
    <mergeCell ref="Q442:R442"/>
    <mergeCell ref="Q451:R451"/>
    <mergeCell ref="Q452:R452"/>
    <mergeCell ref="G431:I431"/>
    <mergeCell ref="G432:I432"/>
    <mergeCell ref="G478:I478"/>
    <mergeCell ref="G471:I471"/>
    <mergeCell ref="G472:I472"/>
    <mergeCell ref="G479:I479"/>
    <mergeCell ref="Q466:R466"/>
    <mergeCell ref="L466:M466"/>
    <mergeCell ref="L467:M467"/>
    <mergeCell ref="L468:M468"/>
    <mergeCell ref="L469:M469"/>
    <mergeCell ref="L470:M470"/>
    <mergeCell ref="L471:M471"/>
    <mergeCell ref="G470:I470"/>
    <mergeCell ref="G469:I469"/>
    <mergeCell ref="Q453:R453"/>
    <mergeCell ref="Q454:R454"/>
    <mergeCell ref="Q447:R447"/>
    <mergeCell ref="Q448:R448"/>
    <mergeCell ref="Q449:R449"/>
    <mergeCell ref="Q450:R450"/>
    <mergeCell ref="Q459:R459"/>
    <mergeCell ref="Q460:R460"/>
    <mergeCell ref="Q461:R461"/>
    <mergeCell ref="Q462:R462"/>
    <mergeCell ref="Q455:R455"/>
    <mergeCell ref="Q456:R456"/>
    <mergeCell ref="Q457:R457"/>
    <mergeCell ref="Q458:R458"/>
    <mergeCell ref="G473:I473"/>
    <mergeCell ref="G476:I476"/>
    <mergeCell ref="G477:I477"/>
    <mergeCell ref="G475:I475"/>
    <mergeCell ref="N479:O479"/>
    <mergeCell ref="L473:M473"/>
    <mergeCell ref="L478:M478"/>
    <mergeCell ref="L479:M479"/>
    <mergeCell ref="X2:AF2"/>
    <mergeCell ref="Z8:AC9"/>
    <mergeCell ref="Z10:AC10"/>
    <mergeCell ref="D2:W2"/>
    <mergeCell ref="C6:AD6"/>
    <mergeCell ref="T4:W4"/>
    <mergeCell ref="X7:Y7"/>
    <mergeCell ref="X8:Y8"/>
    <mergeCell ref="D8:S8"/>
    <mergeCell ref="AG55:AH55"/>
    <mergeCell ref="AG56:AH56"/>
    <mergeCell ref="Q471:R471"/>
    <mergeCell ref="Q467:R467"/>
    <mergeCell ref="Q468:R468"/>
    <mergeCell ref="Q469:R469"/>
    <mergeCell ref="Q470:R470"/>
    <mergeCell ref="Q463:R463"/>
    <mergeCell ref="Q464:R464"/>
    <mergeCell ref="Q465:R465"/>
    <mergeCell ref="Q419:R419"/>
    <mergeCell ref="Q420:R420"/>
    <mergeCell ref="Q421:R421"/>
    <mergeCell ref="Q422:R422"/>
    <mergeCell ref="Q415:R415"/>
    <mergeCell ref="Q416:R416"/>
    <mergeCell ref="Q417:R417"/>
    <mergeCell ref="Q418:R418"/>
    <mergeCell ref="Q427:R427"/>
    <mergeCell ref="Q428:R428"/>
    <mergeCell ref="Q429:R429"/>
    <mergeCell ref="Q430:R430"/>
    <mergeCell ref="Q423:R423"/>
  </mergeCells>
  <phoneticPr fontId="24" type="noConversion"/>
  <conditionalFormatting sqref="O61:P67">
    <cfRule type="cellIs" dxfId="1441" priority="1" stopIfTrue="1" operator="equal">
      <formula>0</formula>
    </cfRule>
    <cfRule type="expression" dxfId="1440" priority="2" stopIfTrue="1">
      <formula>$O61=$H61</formula>
    </cfRule>
    <cfRule type="expression" dxfId="1439" priority="3" stopIfTrue="1">
      <formula>ISERROR($O61)</formula>
    </cfRule>
  </conditionalFormatting>
  <conditionalFormatting sqref="S61:V67">
    <cfRule type="expression" dxfId="1438" priority="4" stopIfTrue="1">
      <formula>$Q61=0</formula>
    </cfRule>
    <cfRule type="expression" dxfId="1437" priority="5" stopIfTrue="1">
      <formula>ISERROR($S61)</formula>
    </cfRule>
  </conditionalFormatting>
  <conditionalFormatting sqref="Z61:AC67">
    <cfRule type="expression" dxfId="1436" priority="6" stopIfTrue="1">
      <formula>$X61=0</formula>
    </cfRule>
    <cfRule type="expression" dxfId="1435" priority="7" stopIfTrue="1">
      <formula>ISERROR($Z61)</formula>
    </cfRule>
  </conditionalFormatting>
  <conditionalFormatting sqref="W74:Y103">
    <cfRule type="expression" dxfId="1434" priority="8" stopIfTrue="1">
      <formula>$D74&lt;&gt;$D75</formula>
    </cfRule>
  </conditionalFormatting>
  <conditionalFormatting sqref="Z74:AC103">
    <cfRule type="expression" dxfId="1433" priority="9" stopIfTrue="1">
      <formula>AND($Z74=0,$D74=$D75)</formula>
    </cfRule>
    <cfRule type="expression" dxfId="1432" priority="10" stopIfTrue="1">
      <formula>$D74&lt;&gt;$D75</formula>
    </cfRule>
  </conditionalFormatting>
  <conditionalFormatting sqref="D75:F103">
    <cfRule type="expression" dxfId="1431" priority="11" stopIfTrue="1">
      <formula>AND($D75&lt;&gt;$D76,$D75&lt;&gt;$D74)</formula>
    </cfRule>
    <cfRule type="expression" dxfId="1430" priority="12" stopIfTrue="1">
      <formula>$D75&lt;&gt;$D76</formula>
    </cfRule>
    <cfRule type="expression" dxfId="1429" priority="13" stopIfTrue="1">
      <formula>$D75=""</formula>
    </cfRule>
  </conditionalFormatting>
  <conditionalFormatting sqref="C75:C103">
    <cfRule type="expression" dxfId="1428" priority="14" stopIfTrue="1">
      <formula>$D75&lt;&gt;$D76</formula>
    </cfRule>
    <cfRule type="expression" dxfId="1427" priority="15" stopIfTrue="1">
      <formula>$AJ$87=0</formula>
    </cfRule>
    <cfRule type="expression" dxfId="1426" priority="16" stopIfTrue="1">
      <formula>$D75=""</formula>
    </cfRule>
  </conditionalFormatting>
  <conditionalFormatting sqref="G75:V103">
    <cfRule type="expression" dxfId="1425" priority="17" stopIfTrue="1">
      <formula>$D75&lt;&gt;$D76</formula>
    </cfRule>
    <cfRule type="expression" dxfId="1424" priority="18" stopIfTrue="1">
      <formula>$AJ$87=0</formula>
    </cfRule>
    <cfRule type="expression" dxfId="1423" priority="19" stopIfTrue="1">
      <formula>AND($D75="",$T75=0)</formula>
    </cfRule>
  </conditionalFormatting>
  <conditionalFormatting sqref="D74:F74">
    <cfRule type="expression" dxfId="1422" priority="20" stopIfTrue="1">
      <formula>AND($D74&lt;&gt;$D75,$D74&lt;&gt;$D73)</formula>
    </cfRule>
    <cfRule type="expression" dxfId="1421" priority="21" stopIfTrue="1">
      <formula>$D74&lt;&gt;$D75</formula>
    </cfRule>
    <cfRule type="expression" dxfId="1420" priority="22" stopIfTrue="1">
      <formula>$D74=""</formula>
    </cfRule>
  </conditionalFormatting>
  <conditionalFormatting sqref="C74">
    <cfRule type="expression" dxfId="1419" priority="23" stopIfTrue="1">
      <formula>$D74&lt;&gt;$D75</formula>
    </cfRule>
    <cfRule type="expression" dxfId="1418" priority="24" stopIfTrue="1">
      <formula>$AJ$87=0</formula>
    </cfRule>
    <cfRule type="expression" dxfId="1417" priority="25" stopIfTrue="1">
      <formula>$D74=""</formula>
    </cfRule>
  </conditionalFormatting>
  <conditionalFormatting sqref="G74:V74">
    <cfRule type="expression" dxfId="1416" priority="26" stopIfTrue="1">
      <formula>$D74&lt;&gt;$D75</formula>
    </cfRule>
    <cfRule type="expression" dxfId="1415" priority="27" stopIfTrue="1">
      <formula>$AJ$87=0</formula>
    </cfRule>
    <cfRule type="expression" dxfId="1414" priority="28" stopIfTrue="1">
      <formula>AND($D74="",$T74=0)</formula>
    </cfRule>
  </conditionalFormatting>
  <conditionalFormatting sqref="K61:K67">
    <cfRule type="expression" dxfId="1413" priority="29" stopIfTrue="1">
      <formula>$Q61=$H61</formula>
    </cfRule>
    <cfRule type="expression" dxfId="1412" priority="30" stopIfTrue="1">
      <formula>$X61=$H61</formula>
    </cfRule>
    <cfRule type="expression" dxfId="1411" priority="31" stopIfTrue="1">
      <formula>ISERROR($K61)</formula>
    </cfRule>
  </conditionalFormatting>
  <conditionalFormatting sqref="CP114:CS479 BU114:BU479 BJ114:BJ479 AG114:AG479 AL73:AL79 AN73:AN79 AP73:AP79 AR73:AR79 AT73:AT79 AV73:AV79 AX73:AX79 AZ73:AZ79 BB73:BB79 BD73:BD79 BF73:BF79 BH73:BH79 BJ73:BJ79 BL73:BL79 BN73:BN79 BP73:BP79 BR73:BR79 BT73:BT79 BV73:BV79 BX73:BX79 BZ73:BZ79 CB73:CB79 CD73:CD79 CF73:CF79 CH73:CH79 CJ73:CJ79 CL73:CL79 CN73:CN79 CP73:CP79 CR73:CR79 CT73:CT79 CV73:CV79 CX73:CX79 CZ73:CZ79 DB73:DB79 DD73:DD79 DF73:DF79 DH73:DH79 DJ73:DJ79 DL73:DL79 DN73:DN79 DP73:DP79 DR73:DR79 DT73:DT79 DV73:DV79 DX73:DX79 DZ73:DZ79 EB73:EB79 ED73:ED79 EF73:EF79 AO114:AY479 T114:T479 CK114:CN479">
    <cfRule type="cellIs" dxfId="1410" priority="32" stopIfTrue="1" operator="equal">
      <formula>0</formula>
    </cfRule>
  </conditionalFormatting>
  <conditionalFormatting sqref="CO114:CO479 K503 BK114:BT479 R491:R496 E484:L489 N484:U489 E491:E496 I491:I496 N491:N496 BV114:CD479 AZ114:BI479 CJ114:CJ479 CT114:CT479">
    <cfRule type="cellIs" dxfId="1409" priority="33" stopIfTrue="1" operator="equal">
      <formula>0</formula>
    </cfRule>
  </conditionalFormatting>
  <conditionalFormatting sqref="Q61:R67">
    <cfRule type="cellIs" dxfId="1408" priority="34" stopIfTrue="1" operator="equal">
      <formula>0</formula>
    </cfRule>
    <cfRule type="expression" dxfId="1407" priority="35" stopIfTrue="1">
      <formula>$Q61&lt;&gt;$H61</formula>
    </cfRule>
    <cfRule type="expression" dxfId="1406" priority="36" stopIfTrue="1">
      <formula>ISERROR($Q61)</formula>
    </cfRule>
  </conditionalFormatting>
  <conditionalFormatting sqref="X61:Y67">
    <cfRule type="cellIs" dxfId="1405" priority="37" stopIfTrue="1" operator="equal">
      <formula>0</formula>
    </cfRule>
    <cfRule type="expression" dxfId="1404" priority="38" stopIfTrue="1">
      <formula>$X61&lt;&gt;$H61</formula>
    </cfRule>
    <cfRule type="expression" dxfId="1403" priority="39" stopIfTrue="1">
      <formula>ISERROR($X61)</formula>
    </cfRule>
  </conditionalFormatting>
  <conditionalFormatting sqref="H61:I67">
    <cfRule type="cellIs" dxfId="1402" priority="40" stopIfTrue="1" operator="equal">
      <formula>0</formula>
    </cfRule>
    <cfRule type="expression" dxfId="1401" priority="41" stopIfTrue="1">
      <formula>ISERROR($H61)</formula>
    </cfRule>
  </conditionalFormatting>
  <conditionalFormatting sqref="Z8:AC9">
    <cfRule type="expression" dxfId="1400" priority="42" stopIfTrue="1">
      <formula>Z10&lt;&gt;0</formula>
    </cfRule>
  </conditionalFormatting>
  <conditionalFormatting sqref="CE114:CH479 G114:J479 C114:C479 G481:I481 D2 V44 H58:J58 AK114:AK479">
    <cfRule type="cellIs" dxfId="1399" priority="43" stopIfTrue="1" operator="equal">
      <formula>0</formula>
    </cfRule>
  </conditionalFormatting>
  <conditionalFormatting sqref="AN114:AN479 AI114:AI479">
    <cfRule type="cellIs" dxfId="1398" priority="44" stopIfTrue="1" operator="equal">
      <formula>0</formula>
    </cfRule>
  </conditionalFormatting>
  <conditionalFormatting sqref="S70:V70 Z70:AC70 AA58:AC58 S58:V58 Z107:AC107">
    <cfRule type="expression" dxfId="1397" priority="45" stopIfTrue="1">
      <formula>ISERROR(S58)</formula>
    </cfRule>
  </conditionalFormatting>
  <conditionalFormatting sqref="AK92 AM92 AO92 AQ92 AS92 AU92 AW92 AY92 BA92 BC92 BE92 BG92 BI92 BK92 BM92 BO92 BQ92 BS92 BU92 BW92 BY92 CA92 CC92 CE92 CG92 CI92 CK92 CM92 CO92 CQ92 CS92 CU92 CW92 CY92 DA92 DC92 DE92 DG92 DI92 DK92 DM92 DO92 DQ92 DS92 DU92 DW92 DY92 EA92 EC92 EE92 AK70 AM70 AO70 AQ70 AS70 AU70 AW70 AY70 BA70 BC70 BE70 BG70 BI70 BK70 BM70 BO70 BQ70 BS70 BU70 BW70 BY70 CA70 CC70 CE70 CG70 CI70 CK70 CM70 CO70 CQ70 CS70 CU70 CW70 CY70 DA70 DC70 DE70 DG70 DI70 DK70 DM70 DO70 DQ70 DS70 DU70 DW70 DY70 EA70 EC70 EE70">
    <cfRule type="expression" dxfId="1396" priority="46" stopIfTrue="1">
      <formula>AK70=$Q$56</formula>
    </cfRule>
  </conditionalFormatting>
  <conditionalFormatting sqref="B70:B72">
    <cfRule type="expression" dxfId="1395" priority="47" stopIfTrue="1">
      <formula>$B$69=""</formula>
    </cfRule>
  </conditionalFormatting>
  <conditionalFormatting sqref="AD74:AE103">
    <cfRule type="cellIs" dxfId="1394" priority="48" stopIfTrue="1" operator="equal">
      <formula>"OK"</formula>
    </cfRule>
  </conditionalFormatting>
  <conditionalFormatting sqref="N105:V105">
    <cfRule type="expression" dxfId="1393" priority="49" stopIfTrue="1">
      <formula>$AJ$87=0</formula>
    </cfRule>
  </conditionalFormatting>
  <conditionalFormatting sqref="Z27 AD27">
    <cfRule type="expression" dxfId="1392" priority="50" stopIfTrue="1">
      <formula>ISERROR($Z$27)</formula>
    </cfRule>
  </conditionalFormatting>
  <conditionalFormatting sqref="Z33 AD33">
    <cfRule type="expression" dxfId="1391" priority="51" stopIfTrue="1">
      <formula>ISERROR($Z$33)</formula>
    </cfRule>
  </conditionalFormatting>
  <conditionalFormatting sqref="T5:W5 T13:W13 T24:W24 T21:W22 T15:W19">
    <cfRule type="expression" dxfId="1390" priority="52" stopIfTrue="1">
      <formula>ISERROR($O$503)</formula>
    </cfRule>
  </conditionalFormatting>
  <conditionalFormatting sqref="AD35">
    <cfRule type="expression" dxfId="1389" priority="53" stopIfTrue="1">
      <formula>ISERROR($Z$35)</formula>
    </cfRule>
  </conditionalFormatting>
  <conditionalFormatting sqref="Y35">
    <cfRule type="expression" dxfId="1388" priority="54" stopIfTrue="1">
      <formula>ROUND($Z$35,2)&lt;0</formula>
    </cfRule>
    <cfRule type="expression" dxfId="1387" priority="55" stopIfTrue="1">
      <formula>ISERROR($Y$35)</formula>
    </cfRule>
  </conditionalFormatting>
  <conditionalFormatting sqref="Z35:AC35">
    <cfRule type="expression" dxfId="1386" priority="56" stopIfTrue="1">
      <formula>ISERROR($Z$35)</formula>
    </cfRule>
    <cfRule type="expression" dxfId="1385" priority="57" stopIfTrue="1">
      <formula>ROUND($Z$35,2)=0</formula>
    </cfRule>
  </conditionalFormatting>
  <conditionalFormatting sqref="T10:W10">
    <cfRule type="expression" dxfId="1384" priority="58" stopIfTrue="1">
      <formula>ISERROR($T$10)</formula>
    </cfRule>
    <cfRule type="expression" dxfId="1383" priority="59" stopIfTrue="1">
      <formula>ISERROR($O$503)</formula>
    </cfRule>
  </conditionalFormatting>
  <conditionalFormatting sqref="P29:Q29">
    <cfRule type="expression" dxfId="1382" priority="60" stopIfTrue="1">
      <formula>$Q$61&lt;0</formula>
    </cfRule>
  </conditionalFormatting>
  <conditionalFormatting sqref="P30:Q30">
    <cfRule type="expression" dxfId="1381" priority="61" stopIfTrue="1">
      <formula>$Q$61&lt;0</formula>
    </cfRule>
  </conditionalFormatting>
  <conditionalFormatting sqref="N29:O29">
    <cfRule type="expression" dxfId="1380" priority="62" stopIfTrue="1">
      <formula>$Q$62&lt;0</formula>
    </cfRule>
  </conditionalFormatting>
  <conditionalFormatting sqref="N30:O30">
    <cfRule type="expression" dxfId="1379" priority="63" stopIfTrue="1">
      <formula>$Q$62&lt;0</formula>
    </cfRule>
  </conditionalFormatting>
  <conditionalFormatting sqref="L29:M29">
    <cfRule type="expression" dxfId="1378" priority="64" stopIfTrue="1">
      <formula>$Q$63&lt;0</formula>
    </cfRule>
  </conditionalFormatting>
  <conditionalFormatting sqref="L30:M30">
    <cfRule type="expression" dxfId="1377" priority="65" stopIfTrue="1">
      <formula>$Q$63&lt;0</formula>
    </cfRule>
  </conditionalFormatting>
  <conditionalFormatting sqref="J29:K29">
    <cfRule type="expression" dxfId="1376" priority="66" stopIfTrue="1">
      <formula>$Q$64&lt;0</formula>
    </cfRule>
  </conditionalFormatting>
  <conditionalFormatting sqref="J30:K30">
    <cfRule type="expression" dxfId="1375" priority="67" stopIfTrue="1">
      <formula>$Q$64&lt;0</formula>
    </cfRule>
  </conditionalFormatting>
  <conditionalFormatting sqref="H29:I29">
    <cfRule type="expression" dxfId="1374" priority="68" stopIfTrue="1">
      <formula>$Q$65&lt;0</formula>
    </cfRule>
  </conditionalFormatting>
  <conditionalFormatting sqref="H30:I30">
    <cfRule type="expression" dxfId="1373" priority="69" stopIfTrue="1">
      <formula>$Q$65&lt;0</formula>
    </cfRule>
  </conditionalFormatting>
  <conditionalFormatting sqref="G57:I57">
    <cfRule type="cellIs" dxfId="1372" priority="70" stopIfTrue="1" operator="equal">
      <formula>1</formula>
    </cfRule>
  </conditionalFormatting>
  <conditionalFormatting sqref="Z105:AC105">
    <cfRule type="expression" dxfId="1371" priority="71" stopIfTrue="1">
      <formula>ISERROR(Z105)</formula>
    </cfRule>
    <cfRule type="cellIs" dxfId="1370" priority="72" stopIfTrue="1" operator="equal">
      <formula>0</formula>
    </cfRule>
  </conditionalFormatting>
  <conditionalFormatting sqref="T26:W26">
    <cfRule type="expression" dxfId="1369" priority="73" stopIfTrue="1">
      <formula>ISERROR($O$503)</formula>
    </cfRule>
    <cfRule type="expression" dxfId="1368" priority="74" stopIfTrue="1">
      <formula>ISERROR($T$26)</formula>
    </cfRule>
  </conditionalFormatting>
  <conditionalFormatting sqref="T30:W30">
    <cfRule type="expression" dxfId="1367" priority="75" stopIfTrue="1">
      <formula>ISERROR($O$503)</formula>
    </cfRule>
    <cfRule type="expression" dxfId="1366" priority="76" stopIfTrue="1">
      <formula>ISERROR($T$30)</formula>
    </cfRule>
  </conditionalFormatting>
  <conditionalFormatting sqref="T33:W33">
    <cfRule type="expression" dxfId="1365" priority="77" stopIfTrue="1">
      <formula>ISERROR($O$503)</formula>
    </cfRule>
    <cfRule type="expression" dxfId="1364" priority="78" stopIfTrue="1">
      <formula>ISERROR($T$33)</formula>
    </cfRule>
  </conditionalFormatting>
  <conditionalFormatting sqref="T34:W34">
    <cfRule type="expression" dxfId="1363" priority="79" stopIfTrue="1">
      <formula>ISERROR($T$34)</formula>
    </cfRule>
  </conditionalFormatting>
  <conditionalFormatting sqref="K58:M58">
    <cfRule type="expression" dxfId="1362" priority="80" stopIfTrue="1">
      <formula>ISERROR($K$58)</formula>
    </cfRule>
  </conditionalFormatting>
  <conditionalFormatting sqref="Q56:V56">
    <cfRule type="expression" dxfId="1361" priority="81" stopIfTrue="1">
      <formula>ISERROR($O$497)</formula>
    </cfRule>
    <cfRule type="expression" dxfId="1360" priority="82" stopIfTrue="1">
      <formula>$AG$56=$AI$55</formula>
    </cfRule>
  </conditionalFormatting>
  <conditionalFormatting sqref="S69:V69">
    <cfRule type="expression" dxfId="1359" priority="83" stopIfTrue="1">
      <formula>ISERROR(S69)</formula>
    </cfRule>
    <cfRule type="expression" dxfId="1358" priority="84" stopIfTrue="1">
      <formula>$AG$56=$AI$55</formula>
    </cfRule>
  </conditionalFormatting>
  <conditionalFormatting sqref="Z69:AC69">
    <cfRule type="expression" dxfId="1357" priority="85" stopIfTrue="1">
      <formula>ISERROR(Z69)</formula>
    </cfRule>
    <cfRule type="expression" dxfId="1356" priority="86" stopIfTrue="1">
      <formula>$AG$56=$AI$55</formula>
    </cfRule>
  </conditionalFormatting>
  <conditionalFormatting sqref="Z10:AC10">
    <cfRule type="expression" dxfId="1355" priority="87" stopIfTrue="1">
      <formula>ISERROR($T$10)</formula>
    </cfRule>
  </conditionalFormatting>
  <conditionalFormatting sqref="D10:S10">
    <cfRule type="expression" dxfId="1354" priority="88" stopIfTrue="1">
      <formula>ISERROR($T$10)</formula>
    </cfRule>
    <cfRule type="expression" dxfId="1353" priority="89" stopIfTrue="1">
      <formula>$D$10=$U$111</formula>
    </cfRule>
  </conditionalFormatting>
  <conditionalFormatting sqref="Z12:AC12">
    <cfRule type="expression" dxfId="1352" priority="90" stopIfTrue="1">
      <formula>ISERROR(Z12)</formula>
    </cfRule>
    <cfRule type="expression" dxfId="1351" priority="91" stopIfTrue="1">
      <formula>Z10&lt;&gt;0</formula>
    </cfRule>
  </conditionalFormatting>
  <conditionalFormatting sqref="Z11:AC11">
    <cfRule type="expression" dxfId="1350" priority="92" stopIfTrue="1">
      <formula>ISERROR(Z12)</formula>
    </cfRule>
    <cfRule type="expression" dxfId="1349" priority="93" stopIfTrue="1">
      <formula>Z10&lt;&gt;0</formula>
    </cfRule>
  </conditionalFormatting>
  <dataValidations count="2">
    <dataValidation type="list" allowBlank="1" showInputMessage="1" showErrorMessage="1" sqref="T5:W5">
      <formula1>$B$113:$B$479</formula1>
    </dataValidation>
    <dataValidation type="list" allowBlank="1" showInputMessage="1" showErrorMessage="1" sqref="AG56:AH56">
      <formula1>$AI$55:$AI$57</formula1>
    </dataValidation>
  </dataValidations>
  <pageMargins left="0.59055118110236227" right="0" top="0.39370078740157483" bottom="0.39370078740157483" header="0.31496062992125984" footer="0.31496062992125984"/>
  <pageSetup paperSize="9" scale="8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49" r:id="rId4" name="Button 29">
              <controlPr defaultSize="0" print="0" autoFill="0" autoPict="0" macro="[0]!Cancella_rapprtino_cassa">
                <anchor moveWithCells="1" sizeWithCells="1">
                  <from>
                    <xdr:col>26</xdr:col>
                    <xdr:colOff>114300</xdr:colOff>
                    <xdr:row>2</xdr:row>
                    <xdr:rowOff>285750</xdr:rowOff>
                  </from>
                  <to>
                    <xdr:col>29</xdr:col>
                    <xdr:colOff>200025</xdr:colOff>
                    <xdr:row>4</xdr:row>
                    <xdr:rowOff>266700</xdr:rowOff>
                  </to>
                </anchor>
              </controlPr>
            </control>
          </mc:Choice>
        </mc:AlternateContent>
        <mc:AlternateContent xmlns:mc="http://schemas.openxmlformats.org/markup-compatibility/2006">
          <mc:Choice Requires="x14">
            <control shapeId="53425" r:id="rId5" name="Button 7345">
              <controlPr defaultSize="0" print="0" autoFill="0" autoPict="0" macro="[0]!Cancella_Distinta">
                <anchor moveWithCells="1" sizeWithCells="1">
                  <from>
                    <xdr:col>2</xdr:col>
                    <xdr:colOff>95250</xdr:colOff>
                    <xdr:row>105</xdr:row>
                    <xdr:rowOff>85725</xdr:rowOff>
                  </from>
                  <to>
                    <xdr:col>8</xdr:col>
                    <xdr:colOff>47625</xdr:colOff>
                    <xdr:row>106</xdr:row>
                    <xdr:rowOff>228600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1">
    <pageSetUpPr autoPageBreaks="0"/>
  </sheetPr>
  <dimension ref="A1:U206"/>
  <sheetViews>
    <sheetView showGridLines="0" showRowColHeaders="0" workbookViewId="0"/>
  </sheetViews>
  <sheetFormatPr defaultRowHeight="12.75" x14ac:dyDescent="0.2"/>
  <cols>
    <col min="1" max="1" width="4.28515625" style="33" customWidth="1"/>
    <col min="2" max="2" width="17.28515625" style="33" customWidth="1"/>
    <col min="3" max="18" width="13.5703125" style="33" customWidth="1"/>
    <col min="19" max="19" width="0.85546875" style="33" customWidth="1"/>
    <col min="20" max="20" width="14.28515625" style="33" customWidth="1"/>
    <col min="21" max="21" width="4.28515625" style="33" customWidth="1"/>
    <col min="22" max="16384" width="9.140625" style="33"/>
  </cols>
  <sheetData>
    <row r="1" spans="1:21" ht="6.75" customHeight="1" x14ac:dyDescent="0.2">
      <c r="A1" s="487"/>
      <c r="B1" s="32"/>
      <c r="C1" s="32"/>
      <c r="D1" s="32"/>
      <c r="E1" s="32"/>
      <c r="F1" s="32"/>
      <c r="G1" s="32"/>
      <c r="H1" s="32"/>
      <c r="I1" s="32"/>
      <c r="J1" s="32"/>
      <c r="K1" s="32"/>
      <c r="L1" s="32"/>
      <c r="M1" s="32"/>
      <c r="N1" s="32"/>
      <c r="O1" s="32"/>
      <c r="P1" s="32"/>
      <c r="Q1" s="32"/>
      <c r="R1" s="32"/>
      <c r="S1" s="32"/>
      <c r="T1" s="32"/>
      <c r="U1" s="32"/>
    </row>
    <row r="2" spans="1:21" ht="16.5" customHeight="1" x14ac:dyDescent="0.2">
      <c r="A2" s="32"/>
      <c r="B2" s="123"/>
      <c r="C2" s="515" t="str">
        <f>IF(C194=0,"",$B194)</f>
        <v/>
      </c>
      <c r="D2" s="515" t="str">
        <f>IF(D194=0,"",$B194)</f>
        <v/>
      </c>
      <c r="E2" s="515" t="str">
        <f>IF(E194=0,"",$B194)</f>
        <v/>
      </c>
      <c r="F2" s="516"/>
      <c r="G2" s="515" t="str">
        <f>IF(G194=0,"",$B194)</f>
        <v/>
      </c>
      <c r="H2" s="515" t="str">
        <f>IF(H194=0,"",$B194)</f>
        <v/>
      </c>
      <c r="I2" s="515" t="str">
        <f>IF(I194=0,"",$B194)</f>
        <v/>
      </c>
      <c r="J2" s="516"/>
      <c r="K2" s="515" t="str">
        <f>IF(K194=0,"",$B194)</f>
        <v/>
      </c>
      <c r="L2" s="515" t="str">
        <f>IF(L194=0,"",$B194)</f>
        <v/>
      </c>
      <c r="M2" s="515" t="str">
        <f>IF(M194=0,"",$B194)</f>
        <v/>
      </c>
      <c r="N2" s="516"/>
      <c r="O2" s="515" t="str">
        <f>IF(O194=0,"",$B194)</f>
        <v/>
      </c>
      <c r="P2" s="515" t="str">
        <f>IF(P194=0,"",$B194)</f>
        <v/>
      </c>
      <c r="Q2" s="515" t="str">
        <f>IF(Q194=0,"",$B194)</f>
        <v/>
      </c>
      <c r="R2" s="514"/>
      <c r="S2" s="123"/>
      <c r="T2" s="123"/>
      <c r="U2" s="32"/>
    </row>
    <row r="3" spans="1:21" ht="21" customHeight="1" x14ac:dyDescent="0.2">
      <c r="A3" s="486"/>
      <c r="B3" s="486"/>
      <c r="C3" s="2574" t="s">
        <v>567</v>
      </c>
      <c r="D3" s="2574"/>
      <c r="E3" s="2574"/>
      <c r="F3" s="2574"/>
      <c r="G3" s="2574"/>
      <c r="H3" s="2576"/>
      <c r="I3" s="2576"/>
      <c r="J3" s="2576"/>
      <c r="K3" s="2574" t="str">
        <f>C3</f>
        <v>RIEPILOGO degli importi annotati nel sistema</v>
      </c>
      <c r="L3" s="2574"/>
      <c r="M3" s="2574"/>
      <c r="N3" s="2574"/>
      <c r="O3" s="2574"/>
      <c r="P3" s="2576"/>
      <c r="Q3" s="2576"/>
      <c r="R3" s="2576"/>
      <c r="S3" s="34"/>
      <c r="T3" s="409">
        <f>IMPOSTAZIONI!AH52</f>
        <v>2024</v>
      </c>
      <c r="U3" s="32"/>
    </row>
    <row r="4" spans="1:21" ht="22.5" customHeight="1" x14ac:dyDescent="0.2">
      <c r="A4" s="1"/>
      <c r="B4" s="159" t="s">
        <v>531</v>
      </c>
      <c r="C4" s="324" t="s">
        <v>228</v>
      </c>
      <c r="D4" s="325" t="s">
        <v>229</v>
      </c>
      <c r="E4" s="325" t="s">
        <v>230</v>
      </c>
      <c r="F4" s="321" t="s">
        <v>231</v>
      </c>
      <c r="G4" s="328" t="s">
        <v>232</v>
      </c>
      <c r="H4" s="325" t="s">
        <v>233</v>
      </c>
      <c r="I4" s="325" t="s">
        <v>234</v>
      </c>
      <c r="J4" s="321" t="s">
        <v>235</v>
      </c>
      <c r="K4" s="324" t="s">
        <v>236</v>
      </c>
      <c r="L4" s="325" t="s">
        <v>237</v>
      </c>
      <c r="M4" s="325" t="s">
        <v>238</v>
      </c>
      <c r="N4" s="321" t="s">
        <v>239</v>
      </c>
      <c r="O4" s="325" t="s">
        <v>240</v>
      </c>
      <c r="P4" s="325" t="s">
        <v>241</v>
      </c>
      <c r="Q4" s="329" t="s">
        <v>242</v>
      </c>
      <c r="R4" s="321" t="s">
        <v>243</v>
      </c>
      <c r="S4" s="34"/>
      <c r="T4" s="160" t="s">
        <v>175</v>
      </c>
      <c r="U4" s="32"/>
    </row>
    <row r="5" spans="1:21" ht="22.5" customHeight="1" x14ac:dyDescent="0.2">
      <c r="A5" s="1"/>
      <c r="B5" s="322" t="s">
        <v>193</v>
      </c>
      <c r="C5" s="318">
        <f>GEN!$E46</f>
        <v>1000</v>
      </c>
      <c r="D5" s="319">
        <f>FEB!$E46</f>
        <v>0</v>
      </c>
      <c r="E5" s="319">
        <f>MAR!$E46</f>
        <v>0</v>
      </c>
      <c r="F5" s="350">
        <f t="shared" ref="F5:F13" si="0">SUM(C5:E5)</f>
        <v>1000</v>
      </c>
      <c r="G5" s="318">
        <f>APR!$E46</f>
        <v>0</v>
      </c>
      <c r="H5" s="319">
        <f>MAG!$E46</f>
        <v>0</v>
      </c>
      <c r="I5" s="319">
        <f>GIU!$E46</f>
        <v>0</v>
      </c>
      <c r="J5" s="350">
        <f t="shared" ref="J5:J13" si="1">SUM(G5:I5)</f>
        <v>0</v>
      </c>
      <c r="K5" s="318">
        <f>LUG!$E46</f>
        <v>0</v>
      </c>
      <c r="L5" s="319">
        <f>AGO!$E46</f>
        <v>0</v>
      </c>
      <c r="M5" s="319">
        <f>SET!$E46</f>
        <v>0</v>
      </c>
      <c r="N5" s="350">
        <f t="shared" ref="N5:N13" si="2">SUM(K5:M5)</f>
        <v>0</v>
      </c>
      <c r="O5" s="318">
        <f>OTT!$E46</f>
        <v>0</v>
      </c>
      <c r="P5" s="319">
        <f>NOV!$E46</f>
        <v>0</v>
      </c>
      <c r="Q5" s="319">
        <f>DIC!$E46</f>
        <v>0</v>
      </c>
      <c r="R5" s="350">
        <f t="shared" ref="R5:R13" si="3">SUM(O5:Q5)</f>
        <v>0</v>
      </c>
      <c r="S5" s="35"/>
      <c r="T5" s="344">
        <f t="shared" ref="T5:T13" si="4">F5+J5+N5+R5</f>
        <v>1000</v>
      </c>
      <c r="U5" s="32"/>
    </row>
    <row r="6" spans="1:21" ht="22.5" customHeight="1" x14ac:dyDescent="0.2">
      <c r="A6" s="1"/>
      <c r="B6" s="1022" t="s">
        <v>194</v>
      </c>
      <c r="C6" s="1023">
        <f>C5-C13</f>
        <v>1000</v>
      </c>
      <c r="D6" s="1023">
        <f>D5-D13</f>
        <v>0</v>
      </c>
      <c r="E6" s="1023">
        <f>E5-E13</f>
        <v>0</v>
      </c>
      <c r="F6" s="1024">
        <f t="shared" si="0"/>
        <v>1000</v>
      </c>
      <c r="G6" s="1023">
        <f>G5-G13</f>
        <v>0</v>
      </c>
      <c r="H6" s="1023">
        <f>H5-H13</f>
        <v>0</v>
      </c>
      <c r="I6" s="1023">
        <f>I5-I13</f>
        <v>0</v>
      </c>
      <c r="J6" s="1024">
        <f t="shared" si="1"/>
        <v>0</v>
      </c>
      <c r="K6" s="1023">
        <f>K5-K13</f>
        <v>0</v>
      </c>
      <c r="L6" s="1023">
        <f>L5-L13</f>
        <v>0</v>
      </c>
      <c r="M6" s="1023">
        <f>M5-M13</f>
        <v>0</v>
      </c>
      <c r="N6" s="1024">
        <f t="shared" si="2"/>
        <v>0</v>
      </c>
      <c r="O6" s="1023">
        <f>O5-O13</f>
        <v>0</v>
      </c>
      <c r="P6" s="1023">
        <f>P5-P13</f>
        <v>0</v>
      </c>
      <c r="Q6" s="1023">
        <f>Q5-Q13</f>
        <v>0</v>
      </c>
      <c r="R6" s="1024">
        <f t="shared" si="3"/>
        <v>0</v>
      </c>
      <c r="S6" s="35"/>
      <c r="T6" s="1025">
        <f t="shared" si="4"/>
        <v>1000</v>
      </c>
      <c r="U6" s="32"/>
    </row>
    <row r="7" spans="1:21" ht="13.5" customHeight="1" x14ac:dyDescent="0.2">
      <c r="A7" s="1"/>
      <c r="B7" s="1026" t="s">
        <v>768</v>
      </c>
      <c r="C7" s="1027"/>
      <c r="D7" s="1028"/>
      <c r="E7" s="1028"/>
      <c r="F7" s="349"/>
      <c r="G7" s="1027"/>
      <c r="H7" s="1028"/>
      <c r="I7" s="1028"/>
      <c r="J7" s="349"/>
      <c r="K7" s="1027"/>
      <c r="L7" s="1028"/>
      <c r="M7" s="1028"/>
      <c r="N7" s="349"/>
      <c r="O7" s="1027"/>
      <c r="P7" s="1028"/>
      <c r="Q7" s="1028"/>
      <c r="R7" s="349"/>
      <c r="S7" s="35"/>
      <c r="T7" s="1029"/>
      <c r="U7" s="32"/>
    </row>
    <row r="8" spans="1:21" ht="18" customHeight="1" x14ac:dyDescent="0.2">
      <c r="A8" s="542">
        <f>HLOOKUP(1,IMPOSTAZIONI!$AF$146:$AI$147,2,FALSE)</f>
        <v>22</v>
      </c>
      <c r="B8" s="1035" t="str">
        <f>IF(A8="","",CONCATENATE("Aliquota ",A8," %"))</f>
        <v>Aliquota 22 %</v>
      </c>
      <c r="C8" s="1322">
        <f>IF($C$196=0,0,SUMIF(GEN!$G$155:$J$155,$A8,GEN!$G$162:$J$162)+GEN!$R$101-GEN!$S$101)</f>
        <v>0</v>
      </c>
      <c r="D8" s="1036">
        <f>IF($C$196=0,0,SUMIF(FEB!$G$155:$J$155,$A8,FEB!$G$162:$J$162)+FEB!$R$101-FEB!$S$101)</f>
        <v>0</v>
      </c>
      <c r="E8" s="1036">
        <f>IF($C$196=0,0,SUMIF(MAR!$G$155:$J$155,$A8,MAR!$G$162:$J$162)+MAR!$R$101-MAR!$S$101)</f>
        <v>0</v>
      </c>
      <c r="F8" s="1037">
        <f t="shared" si="0"/>
        <v>0</v>
      </c>
      <c r="G8" s="1322">
        <f>IF($C$196=0,0,SUMIF(APR!$G$155:$J$155,$A8,APR!$G$162:$J$162)+APR!$R$101-APR!$S$101)</f>
        <v>0</v>
      </c>
      <c r="H8" s="1036">
        <f>IF($C$196=0,0,SUMIF(MAG!$G$155:$J$155,$A8,MAG!$G$162:$J$162)+MAG!$R$101-MAG!$S$101)</f>
        <v>0</v>
      </c>
      <c r="I8" s="1036">
        <f>IF($C$196=0,0,SUMIF(GIU!$G$155:$J$155,$A8,GIU!$G$162:$J$162)+GIU!$R$101-GIU!$S$101)</f>
        <v>0</v>
      </c>
      <c r="J8" s="1037">
        <f t="shared" si="1"/>
        <v>0</v>
      </c>
      <c r="K8" s="1322">
        <f>IF($C$196=0,0,SUMIF(LUG!$G$155:$J$155,$A8,LUG!$G$162:$J$162)+LUG!$R$101-LUG!$S$101)</f>
        <v>0</v>
      </c>
      <c r="L8" s="1036">
        <f>IF($C$196=0,0,SUMIF(AGO!$G$155:$J$155,$A8,AGO!$G$162:$J$162)+AGO!$R$101-AGO!$S$101)</f>
        <v>0</v>
      </c>
      <c r="M8" s="1036">
        <f>IF($C$196=0,0,SUMIF(SET!$G$155:$J$155,$A8,SET!$G$162:$J$162)+SET!$R$101-SET!$S$101)</f>
        <v>0</v>
      </c>
      <c r="N8" s="1037">
        <f t="shared" si="2"/>
        <v>0</v>
      </c>
      <c r="O8" s="1322">
        <f>IF($C$196=0,0,SUMIF(OTT!$G$155:$J$155,$A8,OTT!$G$162:$J$162)+OTT!$R$101-OTT!$S$101)</f>
        <v>0</v>
      </c>
      <c r="P8" s="1036">
        <f>IF($C$196=0,0,SUMIF(NOV!$G$155:$J$155,$A8,NOV!$G$162:$J$162)+NOV!$R$101-NOV!$S$101)</f>
        <v>0</v>
      </c>
      <c r="Q8" s="1036">
        <f>IF($C$196=0,0,SUMIF(DIC!$G$155:$J$155,$A8,DIC!$G$162:$J$162)+DIC!$R$101-DIC!$S$101)</f>
        <v>0</v>
      </c>
      <c r="R8" s="1037">
        <f t="shared" si="3"/>
        <v>0</v>
      </c>
      <c r="S8" s="35"/>
      <c r="T8" s="1034">
        <f t="shared" si="4"/>
        <v>0</v>
      </c>
      <c r="U8" s="32"/>
    </row>
    <row r="9" spans="1:21" ht="14.25" x14ac:dyDescent="0.2">
      <c r="A9" s="542">
        <f>HLOOKUP(2,IMPOSTAZIONI!$AF$146:$AI$147,2,FALSE)</f>
        <v>10</v>
      </c>
      <c r="B9" s="323" t="str">
        <f>IF(A9="","",CONCATENATE("Aliquota ",A9," %"))</f>
        <v>Aliquota 10 %</v>
      </c>
      <c r="C9" s="1323">
        <f>IF($C$196=0,0,SUMIF(GEN!$G$155:$J$155,$A9,GEN!$G$162:$J$162)+GEN!$R$102-GEN!$S$102)</f>
        <v>0</v>
      </c>
      <c r="D9" s="320">
        <f>IF($C$196=0,0,SUMIF(FEB!$G$155:$J$155,$A9,FEB!$G$162:$J$162)+FEB!$R$102-FEB!$S$102)</f>
        <v>0</v>
      </c>
      <c r="E9" s="320">
        <f>IF($C$196=0,0,SUMIF(MAR!$G$155:$J$155,$A9,MAR!$G$162:$J$162)+MAR!$R$102-MAR!$S$102)</f>
        <v>0</v>
      </c>
      <c r="F9" s="745">
        <f t="shared" si="0"/>
        <v>0</v>
      </c>
      <c r="G9" s="1323">
        <f>IF($C$196=0,0,SUMIF(APR!$G$155:$J$155,$A9,APR!$G$162:$J$162)+APR!$R$102-APR!$S$102)</f>
        <v>0</v>
      </c>
      <c r="H9" s="320">
        <f>IF($C$196=0,0,SUMIF(MAG!$G$155:$J$155,$A9,MAG!$G$162:$J$162)+MAG!$R$102-MAG!$S$102)</f>
        <v>0</v>
      </c>
      <c r="I9" s="320">
        <f>IF($C$196=0,0,SUMIF(GIU!$G$155:$J$155,$A9,GIU!$G$162:$J$162)+GIU!$R$102-GIU!$S$102)</f>
        <v>0</v>
      </c>
      <c r="J9" s="745">
        <f t="shared" si="1"/>
        <v>0</v>
      </c>
      <c r="K9" s="1323">
        <f>IF($C$196=0,0,SUMIF(LUG!$G$155:$J$155,$A9,LUG!$G$162:$J$162)+LUG!$R$102-LUG!$S$102)</f>
        <v>0</v>
      </c>
      <c r="L9" s="320">
        <f>IF($C$196=0,0,SUMIF(AGO!$G$155:$J$155,$A9,AGO!$G$162:$J$162)+AGO!$R$102-AGO!$S$102)</f>
        <v>0</v>
      </c>
      <c r="M9" s="320">
        <f>IF($C$196=0,0,SUMIF(SET!$G$155:$J$155,$A9,SET!$G$162:$J$162)+SET!$R$102-SET!$S$102)</f>
        <v>0</v>
      </c>
      <c r="N9" s="745">
        <f t="shared" si="2"/>
        <v>0</v>
      </c>
      <c r="O9" s="1323">
        <f>IF($C$196=0,0,SUMIF(OTT!$G$155:$J$155,$A9,OTT!$G$162:$J$162)+OTT!$R$102-OTT!$S$102)</f>
        <v>0</v>
      </c>
      <c r="P9" s="320">
        <f>IF($C$196=0,0,SUMIF(NOV!$G$155:$J$155,$A9,NOV!$G$162:$J$162)+NOV!$R$102-NOV!$S$102)</f>
        <v>0</v>
      </c>
      <c r="Q9" s="320">
        <f>IF($C$196=0,0,SUMIF(DIC!$G$155:$J$155,$A9,DIC!$G$162:$J$162)+DIC!$R$102-DIC!$S$102)</f>
        <v>0</v>
      </c>
      <c r="R9" s="745">
        <f t="shared" si="3"/>
        <v>0</v>
      </c>
      <c r="S9" s="35"/>
      <c r="T9" s="747">
        <f t="shared" si="4"/>
        <v>0</v>
      </c>
      <c r="U9" s="32"/>
    </row>
    <row r="10" spans="1:21" ht="14.25" x14ac:dyDescent="0.2">
      <c r="A10" s="542">
        <f>HLOOKUP(3,IMPOSTAZIONI!$AF$146:$AI$147,2,FALSE)</f>
        <v>4</v>
      </c>
      <c r="B10" s="323" t="str">
        <f>IF(A10="","",CONCATENATE("Aliquota ",A10," %"))</f>
        <v>Aliquota 4 %</v>
      </c>
      <c r="C10" s="1323">
        <f>IF($C$196=0,0,SUMIF(GEN!$G$155:$J$155,$A10,GEN!$G$162:$J$162)+GEN!$R$103-GEN!$S$103)</f>
        <v>0</v>
      </c>
      <c r="D10" s="320">
        <f>IF($C$196=0,0,SUMIF(FEB!$G$155:$J$155,$A10,FEB!$G$162:$J$162)+FEB!$R$103-FEB!$S$103)</f>
        <v>0</v>
      </c>
      <c r="E10" s="320">
        <f>IF($C$196=0,0,SUMIF(MAR!$G$155:$J$155,$A10,MAR!$G$162:$J$162)+MAR!$R$103-MAR!$S$103)</f>
        <v>0</v>
      </c>
      <c r="F10" s="745">
        <f t="shared" si="0"/>
        <v>0</v>
      </c>
      <c r="G10" s="1323">
        <f>IF($C$196=0,0,SUMIF(APR!$G$155:$J$155,$A10,APR!$G$162:$J$162)+APR!$R$103-APR!$S$103)</f>
        <v>0</v>
      </c>
      <c r="H10" s="320">
        <f>IF($C$196=0,0,SUMIF(MAG!$G$155:$J$155,$A10,MAG!$G$162:$J$162)+MAG!$R$103-MAG!$S$103)</f>
        <v>0</v>
      </c>
      <c r="I10" s="320">
        <f>IF($C$196=0,0,SUMIF(GIU!$G$155:$J$155,$A10,GIU!$G$162:$J$162)+GIU!$R$103-GIU!$S$103)</f>
        <v>0</v>
      </c>
      <c r="J10" s="745">
        <f t="shared" si="1"/>
        <v>0</v>
      </c>
      <c r="K10" s="1323">
        <f>IF($C$196=0,0,SUMIF(LUG!$G$155:$J$155,$A10,LUG!$G$162:$J$162)+LUG!$R$103-LUG!$S$103)</f>
        <v>0</v>
      </c>
      <c r="L10" s="320">
        <f>IF($C$196=0,0,SUMIF(AGO!$G$155:$J$155,$A10,AGO!$G$162:$J$162)+AGO!$R$103-AGO!$S$103)</f>
        <v>0</v>
      </c>
      <c r="M10" s="320">
        <f>IF($C$196=0,0,SUMIF(SET!$G$155:$J$155,$A10,SET!$G$162:$J$162)+SET!$R$103-SET!$S$103)</f>
        <v>0</v>
      </c>
      <c r="N10" s="745">
        <f t="shared" si="2"/>
        <v>0</v>
      </c>
      <c r="O10" s="1323">
        <f>IF($C$196=0,0,SUMIF(OTT!$G$155:$J$155,$A10,OTT!$G$162:$J$162)+OTT!$R$103-OTT!$S$103)</f>
        <v>0</v>
      </c>
      <c r="P10" s="320">
        <f>IF($C$196=0,0,SUMIF(NOV!$G$155:$J$155,$A10,NOV!$G$162:$J$162)+NOV!$R$103-NOV!$S$103)</f>
        <v>0</v>
      </c>
      <c r="Q10" s="320">
        <f>IF($C$196=0,0,SUMIF(DIC!$G$155:$J$155,$A10,DIC!$G$162:$J$162)+DIC!$R$103-DIC!$S$103)</f>
        <v>0</v>
      </c>
      <c r="R10" s="745">
        <f t="shared" si="3"/>
        <v>0</v>
      </c>
      <c r="S10" s="35"/>
      <c r="T10" s="747">
        <f t="shared" si="4"/>
        <v>0</v>
      </c>
      <c r="U10" s="32"/>
    </row>
    <row r="11" spans="1:21" ht="18" customHeight="1" x14ac:dyDescent="0.2">
      <c r="A11" s="542" t="str">
        <f>HLOOKUP(4,IMPOSTAZIONI!$AF$146:$AI$147,2,FALSE)</f>
        <v/>
      </c>
      <c r="B11" s="1031" t="str">
        <f>IF(A11="","",CONCATENATE("Aliquota ",A11," %"))</f>
        <v/>
      </c>
      <c r="C11" s="1324">
        <f>IF($C$196=0,0,SUMIF(GEN!$G$155:$J$155,$A11,GEN!$G$162:$J$162)+GEN!$R$104-GEN!$S$104)</f>
        <v>0</v>
      </c>
      <c r="D11" s="1325">
        <f>IF($C$196=0,0,SUMIF(FEB!$G$155:$J$155,$A11,FEB!$G$162:$J$162)+FEB!$R$104-FEB!$S$104)</f>
        <v>0</v>
      </c>
      <c r="E11" s="1325">
        <f>IF($C$196=0,0,SUMIF(MAR!$G$155:$J$155,$A11,MAR!$G$162:$J$162)+MAR!$R$104-MAR!$S$104)</f>
        <v>0</v>
      </c>
      <c r="F11" s="1032">
        <f t="shared" si="0"/>
        <v>0</v>
      </c>
      <c r="G11" s="1324">
        <f>IF($C$196=0,0,SUMIF(APR!$G$155:$J$155,$A11,APR!$G$162:$J$162)+APR!$R$104-APR!$S$104)</f>
        <v>0</v>
      </c>
      <c r="H11" s="1325">
        <f>IF($C$196=0,0,SUMIF(MAG!$G$155:$J$155,$A11,MAG!$G$162:$J$162)+MAG!$R$104-MAG!$S$104)</f>
        <v>0</v>
      </c>
      <c r="I11" s="1325">
        <f>IF($C$196=0,0,SUMIF(GIU!$G$155:$J$155,$A11,GIU!$G$162:$J$162)+GIU!$R$104-GIU!$S$104)</f>
        <v>0</v>
      </c>
      <c r="J11" s="1032">
        <f t="shared" si="1"/>
        <v>0</v>
      </c>
      <c r="K11" s="1324">
        <f>IF($C$196=0,0,SUMIF(LUG!$G$155:$J$155,$A11,LUG!$G$162:$J$162)+LUG!$R$104-LUG!$S$104)</f>
        <v>0</v>
      </c>
      <c r="L11" s="1325">
        <f>IF($C$196=0,0,SUMIF(AGO!$G$155:$J$155,$A11,AGO!$G$162:$J$162)+AGO!$R$104-AGO!$S$104)</f>
        <v>0</v>
      </c>
      <c r="M11" s="1325">
        <f>IF($C$196=0,0,SUMIF(SET!$G$155:$J$155,$A11,SET!$G$162:$J$162)+SET!$R$104-SET!$S$104)</f>
        <v>0</v>
      </c>
      <c r="N11" s="1032">
        <f t="shared" si="2"/>
        <v>0</v>
      </c>
      <c r="O11" s="1324">
        <f>IF($C$196=0,0,SUMIF(OTT!$G$155:$J$155,$A11,OTT!$G$162:$J$162)+OTT!$R$104-OTT!$S$104)</f>
        <v>0</v>
      </c>
      <c r="P11" s="1325">
        <f>IF($C$196=0,0,SUMIF(NOV!$G$155:$J$155,$A11,NOV!$G$162:$J$162)+NOV!$R$104-NOV!$S$104)</f>
        <v>0</v>
      </c>
      <c r="Q11" s="1325">
        <f>IF($C$196=0,0,SUMIF(DIC!$G$155:$J$155,$A11,DIC!$G$162:$J$162)+DIC!$R$104-DIC!$S$104)</f>
        <v>0</v>
      </c>
      <c r="R11" s="1032">
        <f t="shared" si="3"/>
        <v>0</v>
      </c>
      <c r="S11" s="35"/>
      <c r="T11" s="1033">
        <f t="shared" si="4"/>
        <v>0</v>
      </c>
      <c r="U11" s="32"/>
    </row>
    <row r="12" spans="1:21" ht="20.25" hidden="1" customHeight="1" x14ac:dyDescent="0.2">
      <c r="A12" s="542">
        <f>COUNTIF(C188:F188,F201)</f>
        <v>0</v>
      </c>
      <c r="B12" s="1030" t="s">
        <v>769</v>
      </c>
      <c r="C12" s="1323">
        <f>SUM(GEN!$G164:$J164)</f>
        <v>0</v>
      </c>
      <c r="D12" s="320">
        <f>SUM(FEB!$G164:$J164)</f>
        <v>0</v>
      </c>
      <c r="E12" s="320">
        <f>SUM(MAR!$G164:$J164)</f>
        <v>0</v>
      </c>
      <c r="F12" s="351">
        <f>SUM(C12:E12)</f>
        <v>0</v>
      </c>
      <c r="G12" s="1323">
        <f>SUM(APR!$G164:$J164)</f>
        <v>0</v>
      </c>
      <c r="H12" s="320">
        <f>SUM(MAG!$G164:$J164)</f>
        <v>0</v>
      </c>
      <c r="I12" s="320">
        <f>SUM(GIU!$G164:$J164)</f>
        <v>0</v>
      </c>
      <c r="J12" s="351">
        <f>SUM(G12:I12)</f>
        <v>0</v>
      </c>
      <c r="K12" s="1323">
        <f>SUM(LUG!$G164:$J164)</f>
        <v>0</v>
      </c>
      <c r="L12" s="320">
        <f>SUM(AGO!$G164:$J164)</f>
        <v>0</v>
      </c>
      <c r="M12" s="320">
        <f>SUM(SET!$G164:$J164)</f>
        <v>0</v>
      </c>
      <c r="N12" s="351">
        <f>SUM(K12:M12)</f>
        <v>0</v>
      </c>
      <c r="O12" s="1323">
        <f>SUM(OTT!$G164:$J164)</f>
        <v>0</v>
      </c>
      <c r="P12" s="320">
        <f>SUM(NOV!$G164:$J164)</f>
        <v>0</v>
      </c>
      <c r="Q12" s="320">
        <f>SUM(DIC!$G164:$J164)</f>
        <v>0</v>
      </c>
      <c r="R12" s="351">
        <f>SUM(O12:Q12)</f>
        <v>0</v>
      </c>
      <c r="S12" s="35"/>
      <c r="T12" s="352">
        <f>F12+J12+N12+R12</f>
        <v>0</v>
      </c>
      <c r="U12" s="32"/>
    </row>
    <row r="13" spans="1:21" ht="22.5" customHeight="1" x14ac:dyDescent="0.2">
      <c r="A13" s="1"/>
      <c r="B13" s="1310" t="s">
        <v>244</v>
      </c>
      <c r="C13" s="326">
        <f>SUM(C8:C12)</f>
        <v>0</v>
      </c>
      <c r="D13" s="327">
        <f>SUM(D8:D12)</f>
        <v>0</v>
      </c>
      <c r="E13" s="327">
        <f>SUM(E8:E12)</f>
        <v>0</v>
      </c>
      <c r="F13" s="348">
        <f t="shared" si="0"/>
        <v>0</v>
      </c>
      <c r="G13" s="326">
        <f>SUM(G8:G12)</f>
        <v>0</v>
      </c>
      <c r="H13" s="327">
        <f>SUM(H8:H12)</f>
        <v>0</v>
      </c>
      <c r="I13" s="327">
        <f>SUM(I8:I12)</f>
        <v>0</v>
      </c>
      <c r="J13" s="348">
        <f t="shared" si="1"/>
        <v>0</v>
      </c>
      <c r="K13" s="326">
        <f>SUM(K8:K12)</f>
        <v>0</v>
      </c>
      <c r="L13" s="327">
        <f>SUM(L8:L12)</f>
        <v>0</v>
      </c>
      <c r="M13" s="327">
        <f>SUM(M8:M12)</f>
        <v>0</v>
      </c>
      <c r="N13" s="348">
        <f t="shared" si="2"/>
        <v>0</v>
      </c>
      <c r="O13" s="326">
        <f>SUM(O8:O12)</f>
        <v>0</v>
      </c>
      <c r="P13" s="327">
        <f>SUM(P8:P12)</f>
        <v>0</v>
      </c>
      <c r="Q13" s="327">
        <f>SUM(Q8:Q12)</f>
        <v>0</v>
      </c>
      <c r="R13" s="348">
        <f t="shared" si="3"/>
        <v>0</v>
      </c>
      <c r="S13" s="36"/>
      <c r="T13" s="748">
        <f t="shared" si="4"/>
        <v>0</v>
      </c>
      <c r="U13" s="32"/>
    </row>
    <row r="14" spans="1:21" ht="21" customHeight="1" x14ac:dyDescent="0.2">
      <c r="A14" s="1"/>
      <c r="B14" s="408" t="str">
        <f>IF(C197=B194,B194,"")</f>
        <v/>
      </c>
      <c r="C14" s="2581" t="str">
        <f ca="1">Presentazione!$D$70</f>
        <v>Questo file risulta al momento completamente funzionante ed il sistema rileva tutti i suoi fogli.</v>
      </c>
      <c r="D14" s="2581"/>
      <c r="E14" s="2581"/>
      <c r="F14" s="2581"/>
      <c r="G14" s="2581"/>
      <c r="H14" s="2581"/>
      <c r="I14" s="2581"/>
      <c r="J14" s="2581"/>
      <c r="K14" s="2581" t="str">
        <f ca="1">Presentazione!$D$70</f>
        <v>Questo file risulta al momento completamente funzionante ed il sistema rileva tutti i suoi fogli.</v>
      </c>
      <c r="L14" s="2581"/>
      <c r="M14" s="2581"/>
      <c r="N14" s="2581"/>
      <c r="O14" s="2581"/>
      <c r="P14" s="2581"/>
      <c r="Q14" s="2581"/>
      <c r="R14" s="2581"/>
      <c r="S14" s="36"/>
      <c r="T14" s="66"/>
      <c r="U14" s="32"/>
    </row>
    <row r="15" spans="1:21" ht="21" customHeight="1" x14ac:dyDescent="0.2">
      <c r="A15" s="1"/>
      <c r="B15" s="67"/>
      <c r="C15" s="375"/>
      <c r="D15" s="375"/>
      <c r="E15" s="375"/>
      <c r="F15" s="375"/>
      <c r="G15" s="375"/>
      <c r="H15" s="375"/>
      <c r="I15" s="375"/>
      <c r="J15" s="375"/>
      <c r="K15" s="375"/>
      <c r="L15" s="375"/>
      <c r="M15" s="375"/>
      <c r="N15" s="375"/>
      <c r="O15" s="375"/>
      <c r="P15" s="375"/>
      <c r="Q15" s="375"/>
      <c r="R15" s="375"/>
      <c r="S15" s="36"/>
      <c r="T15" s="66"/>
      <c r="U15" s="32"/>
    </row>
    <row r="16" spans="1:21" ht="20.25" customHeight="1" x14ac:dyDescent="0.2">
      <c r="A16" s="1"/>
      <c r="B16" s="332"/>
      <c r="C16" s="2580" t="s">
        <v>527</v>
      </c>
      <c r="D16" s="2580"/>
      <c r="E16" s="2580"/>
      <c r="F16" s="2583"/>
      <c r="G16" s="2583"/>
      <c r="H16" s="2583"/>
      <c r="I16" s="2583"/>
      <c r="J16" s="2583"/>
      <c r="K16" s="2580" t="str">
        <f>C16</f>
        <v>TIPOLOGIE DI VENDITA</v>
      </c>
      <c r="L16" s="2580"/>
      <c r="M16" s="2580"/>
      <c r="N16" s="2580"/>
      <c r="O16" s="2580"/>
      <c r="P16" s="65"/>
      <c r="Q16" s="65"/>
      <c r="R16" s="65"/>
      <c r="S16" s="36"/>
      <c r="T16" s="66"/>
      <c r="U16" s="32"/>
    </row>
    <row r="17" spans="1:21" ht="16.5" customHeight="1" x14ac:dyDescent="0.2">
      <c r="A17" s="1"/>
      <c r="B17" s="821" t="str">
        <f>B$4</f>
        <v>TOTALE EURO</v>
      </c>
      <c r="C17" s="71" t="str">
        <f t="shared" ref="C17:R17" si="5">C4</f>
        <v>Gennaio</v>
      </c>
      <c r="D17" s="71" t="str">
        <f t="shared" si="5"/>
        <v>Febbraio</v>
      </c>
      <c r="E17" s="71" t="str">
        <f t="shared" si="5"/>
        <v>Marzo</v>
      </c>
      <c r="F17" s="330" t="str">
        <f t="shared" si="5"/>
        <v>I Trim.</v>
      </c>
      <c r="G17" s="71" t="str">
        <f t="shared" si="5"/>
        <v>Aprile</v>
      </c>
      <c r="H17" s="71" t="str">
        <f t="shared" si="5"/>
        <v>Maggio</v>
      </c>
      <c r="I17" s="71" t="str">
        <f t="shared" si="5"/>
        <v>Giugno</v>
      </c>
      <c r="J17" s="330" t="str">
        <f t="shared" si="5"/>
        <v>II Trim.</v>
      </c>
      <c r="K17" s="71" t="str">
        <f t="shared" si="5"/>
        <v>Luglio</v>
      </c>
      <c r="L17" s="71" t="str">
        <f t="shared" si="5"/>
        <v>Agosto</v>
      </c>
      <c r="M17" s="71" t="str">
        <f t="shared" si="5"/>
        <v>Settembre</v>
      </c>
      <c r="N17" s="330" t="str">
        <f t="shared" si="5"/>
        <v>III Trim.</v>
      </c>
      <c r="O17" s="71" t="str">
        <f t="shared" si="5"/>
        <v>Ottobre</v>
      </c>
      <c r="P17" s="71" t="str">
        <f t="shared" si="5"/>
        <v>Novembre</v>
      </c>
      <c r="Q17" s="71" t="str">
        <f t="shared" si="5"/>
        <v>Dicembre</v>
      </c>
      <c r="R17" s="330" t="str">
        <f t="shared" si="5"/>
        <v>IV Trim.</v>
      </c>
      <c r="S17" s="36"/>
      <c r="T17" s="331" t="str">
        <f>CONCATENATE(T$4," ",T$3)</f>
        <v>ANNO 2024</v>
      </c>
      <c r="U17" s="32"/>
    </row>
    <row r="18" spans="1:21" ht="18" customHeight="1" x14ac:dyDescent="0.2">
      <c r="A18" s="68">
        <f>IF(AND($C$203=1,$C$204=0),0,IF(C$196=0,0,1))</f>
        <v>0</v>
      </c>
      <c r="B18" s="371" t="str">
        <f>IF(A18=0,"",VLOOKUP(A18,IMPOSTAZIONI!$B$355:$AQ$363,42,FALSE))</f>
        <v/>
      </c>
      <c r="C18" s="363">
        <f>IF($A18=0,0,VLOOKUP($A18,IMPOSTAZIONI!$B$355:$AM$363,C$91,FALSE))</f>
        <v>0</v>
      </c>
      <c r="D18" s="364">
        <f>IF($A18=0,0,VLOOKUP($A18,IMPOSTAZIONI!$B$355:$AM$363,D$91,FALSE))</f>
        <v>0</v>
      </c>
      <c r="E18" s="364">
        <f>IF($A18=0,0,VLOOKUP($A18,IMPOSTAZIONI!$B$355:$AM$363,E$91,FALSE))</f>
        <v>0</v>
      </c>
      <c r="F18" s="357">
        <f>SUM(C18:E18)</f>
        <v>0</v>
      </c>
      <c r="G18" s="363">
        <f>IF($A18=0,0,VLOOKUP($A18,IMPOSTAZIONI!$B$355:$AM$363,G$91,FALSE))</f>
        <v>0</v>
      </c>
      <c r="H18" s="364">
        <f>IF($A18=0,0,VLOOKUP($A18,IMPOSTAZIONI!$B$355:$AM$363,H$91,FALSE))</f>
        <v>0</v>
      </c>
      <c r="I18" s="364">
        <f>IF($A18=0,0,VLOOKUP($A18,IMPOSTAZIONI!$B$355:$AM$363,I$91,FALSE))</f>
        <v>0</v>
      </c>
      <c r="J18" s="357">
        <f>SUM(G18:I18)</f>
        <v>0</v>
      </c>
      <c r="K18" s="363">
        <f>IF($A18=0,0,VLOOKUP($A18,IMPOSTAZIONI!$B$355:$AM$363,K$91,FALSE))</f>
        <v>0</v>
      </c>
      <c r="L18" s="364">
        <f>IF($A18=0,0,VLOOKUP($A18,IMPOSTAZIONI!$B$355:$AM$363,L$91,FALSE))</f>
        <v>0</v>
      </c>
      <c r="M18" s="364">
        <f>IF($A18=0,0,VLOOKUP($A18,IMPOSTAZIONI!$B$355:$AM$363,M$91,FALSE))</f>
        <v>0</v>
      </c>
      <c r="N18" s="357">
        <f>SUM(K18:M18)</f>
        <v>0</v>
      </c>
      <c r="O18" s="363">
        <f>IF($A18=0,0,VLOOKUP($A18,IMPOSTAZIONI!$B$355:$AM$363,O$91,FALSE))</f>
        <v>0</v>
      </c>
      <c r="P18" s="364">
        <f>IF($A18=0,0,VLOOKUP($A18,IMPOSTAZIONI!$B$355:$AM$363,P$91,FALSE))</f>
        <v>0</v>
      </c>
      <c r="Q18" s="364">
        <f>IF($A18=0,0,VLOOKUP($A18,IMPOSTAZIONI!$B$355:$AM$363,Q$91,FALSE))</f>
        <v>0</v>
      </c>
      <c r="R18" s="357">
        <f>SUM(O18:Q18)</f>
        <v>0</v>
      </c>
      <c r="S18" s="36"/>
      <c r="T18" s="360">
        <f>F18+J18+N18+R18</f>
        <v>0</v>
      </c>
      <c r="U18" s="32"/>
    </row>
    <row r="19" spans="1:21" ht="16.5" customHeight="1" x14ac:dyDescent="0.2">
      <c r="A19" s="541">
        <f>A18</f>
        <v>0</v>
      </c>
      <c r="B19" s="355" t="s">
        <v>325</v>
      </c>
      <c r="C19" s="314">
        <f>C18-C20</f>
        <v>0</v>
      </c>
      <c r="D19" s="315">
        <f>D18-D20</f>
        <v>0</v>
      </c>
      <c r="E19" s="315">
        <f>E18-E20</f>
        <v>0</v>
      </c>
      <c r="F19" s="358">
        <f>SUM(C19:E19)</f>
        <v>0</v>
      </c>
      <c r="G19" s="314">
        <f>G18-G20</f>
        <v>0</v>
      </c>
      <c r="H19" s="315">
        <f>H18-H20</f>
        <v>0</v>
      </c>
      <c r="I19" s="315">
        <f>I18-I20</f>
        <v>0</v>
      </c>
      <c r="J19" s="358">
        <f>SUM(G19:I19)</f>
        <v>0</v>
      </c>
      <c r="K19" s="314">
        <f>K18-K20</f>
        <v>0</v>
      </c>
      <c r="L19" s="315">
        <f>L18-L20</f>
        <v>0</v>
      </c>
      <c r="M19" s="315">
        <f>M18-M20</f>
        <v>0</v>
      </c>
      <c r="N19" s="358">
        <f>SUM(K19:M19)</f>
        <v>0</v>
      </c>
      <c r="O19" s="314">
        <f>O18-O20</f>
        <v>0</v>
      </c>
      <c r="P19" s="315">
        <f>P18-P20</f>
        <v>0</v>
      </c>
      <c r="Q19" s="315">
        <f>Q18-Q20</f>
        <v>0</v>
      </c>
      <c r="R19" s="358">
        <f>SUM(O19:Q19)</f>
        <v>0</v>
      </c>
      <c r="S19" s="36"/>
      <c r="T19" s="361">
        <f>F19+J19+N19+R19</f>
        <v>0</v>
      </c>
      <c r="U19" s="32"/>
    </row>
    <row r="20" spans="1:21" ht="16.5" customHeight="1" x14ac:dyDescent="0.2">
      <c r="A20" s="541">
        <f>A18</f>
        <v>0</v>
      </c>
      <c r="B20" s="356" t="s">
        <v>195</v>
      </c>
      <c r="C20" s="316">
        <f>IF(C18=0,0,VLOOKUP($A20,IMPOSTAZIONI!$B$368:$AM$376,C$91,FALSE))</f>
        <v>0</v>
      </c>
      <c r="D20" s="317">
        <f>IF(D18=0,0,VLOOKUP($A20,IMPOSTAZIONI!$B$368:$AM$376,D$91,FALSE))</f>
        <v>0</v>
      </c>
      <c r="E20" s="317">
        <f>IF(E18=0,0,VLOOKUP($A20,IMPOSTAZIONI!$B$368:$AM$376,E$91,FALSE))</f>
        <v>0</v>
      </c>
      <c r="F20" s="359">
        <f>SUM(C20:E20)</f>
        <v>0</v>
      </c>
      <c r="G20" s="316">
        <f>IF(G18=0,0,VLOOKUP($A20,IMPOSTAZIONI!$B$368:$AM$376,G$91,FALSE))</f>
        <v>0</v>
      </c>
      <c r="H20" s="317">
        <f>IF(H18=0,0,VLOOKUP($A20,IMPOSTAZIONI!$B$368:$AM$376,H$91,FALSE))</f>
        <v>0</v>
      </c>
      <c r="I20" s="317">
        <f>IF(I18=0,0,VLOOKUP($A20,IMPOSTAZIONI!$B$368:$AM$376,I$91,FALSE))</f>
        <v>0</v>
      </c>
      <c r="J20" s="359">
        <f>SUM(G20:I20)</f>
        <v>0</v>
      </c>
      <c r="K20" s="316">
        <f>IF(K18=0,0,VLOOKUP($A20,IMPOSTAZIONI!$B$368:$AM$376,K$91,FALSE))</f>
        <v>0</v>
      </c>
      <c r="L20" s="317">
        <f>IF(L18=0,0,VLOOKUP($A20,IMPOSTAZIONI!$B$368:$AM$376,L$91,FALSE))</f>
        <v>0</v>
      </c>
      <c r="M20" s="317">
        <f>IF(M18=0,0,VLOOKUP($A20,IMPOSTAZIONI!$B$368:$AM$376,M$91,FALSE))</f>
        <v>0</v>
      </c>
      <c r="N20" s="359">
        <f>SUM(K20:M20)</f>
        <v>0</v>
      </c>
      <c r="O20" s="316">
        <f>IF(O18=0,0,VLOOKUP($A20,IMPOSTAZIONI!$B$368:$AM$376,O$91,FALSE))</f>
        <v>0</v>
      </c>
      <c r="P20" s="317">
        <f>IF(P18=0,0,VLOOKUP($A20,IMPOSTAZIONI!$B$368:$AM$376,P$91,FALSE))</f>
        <v>0</v>
      </c>
      <c r="Q20" s="317">
        <f>IF(Q18=0,0,VLOOKUP($A20,IMPOSTAZIONI!$B$368:$AM$376,Q$91,FALSE))</f>
        <v>0</v>
      </c>
      <c r="R20" s="359">
        <f>SUM(O20:Q20)</f>
        <v>0</v>
      </c>
      <c r="S20" s="36"/>
      <c r="T20" s="362">
        <f>F20+J20+N20+R20</f>
        <v>0</v>
      </c>
      <c r="U20" s="32"/>
    </row>
    <row r="21" spans="1:21" ht="6" customHeight="1" x14ac:dyDescent="0.2">
      <c r="A21" s="68"/>
      <c r="B21" s="69"/>
      <c r="C21" s="65"/>
      <c r="D21" s="65"/>
      <c r="E21" s="65"/>
      <c r="F21" s="65"/>
      <c r="G21" s="65"/>
      <c r="H21" s="65"/>
      <c r="I21" s="65"/>
      <c r="J21" s="65"/>
      <c r="K21" s="65"/>
      <c r="L21" s="65"/>
      <c r="M21" s="65"/>
      <c r="N21" s="65"/>
      <c r="O21" s="65"/>
      <c r="P21" s="65"/>
      <c r="Q21" s="65"/>
      <c r="R21" s="65"/>
      <c r="S21" s="36"/>
      <c r="T21" s="66"/>
      <c r="U21" s="32"/>
    </row>
    <row r="22" spans="1:21" ht="18" customHeight="1" x14ac:dyDescent="0.2">
      <c r="A22" s="68">
        <f>IF(AND($C$203=1,$C$204=0),0,IF(C$196=0,0,A18+1))</f>
        <v>0</v>
      </c>
      <c r="B22" s="371" t="str">
        <f>IF(A22=0,"",VLOOKUP(A22,IMPOSTAZIONI!$B$355:$AQ$363,42,FALSE))</f>
        <v/>
      </c>
      <c r="C22" s="363">
        <f>IF($A22=0,0,VLOOKUP($A22,IMPOSTAZIONI!$B$355:$AM$363,C$91,FALSE))</f>
        <v>0</v>
      </c>
      <c r="D22" s="364">
        <f>IF($A22=0,0,VLOOKUP($A22,IMPOSTAZIONI!$B$355:$AM$363,D$91,FALSE))</f>
        <v>0</v>
      </c>
      <c r="E22" s="364">
        <f>IF($A22=0,0,VLOOKUP($A22,IMPOSTAZIONI!$B$355:$AM$363,E$91,FALSE))</f>
        <v>0</v>
      </c>
      <c r="F22" s="357">
        <f>SUM(C22:E22)</f>
        <v>0</v>
      </c>
      <c r="G22" s="363">
        <f>IF($A22=0,0,VLOOKUP($A22,IMPOSTAZIONI!$B$355:$AM$363,G$91,FALSE))</f>
        <v>0</v>
      </c>
      <c r="H22" s="364">
        <f>IF($A22=0,0,VLOOKUP($A22,IMPOSTAZIONI!$B$355:$AM$363,H$91,FALSE))</f>
        <v>0</v>
      </c>
      <c r="I22" s="364">
        <f>IF($A22=0,0,VLOOKUP($A22,IMPOSTAZIONI!$B$355:$AM$363,I$91,FALSE))</f>
        <v>0</v>
      </c>
      <c r="J22" s="357">
        <f>SUM(G22:I22)</f>
        <v>0</v>
      </c>
      <c r="K22" s="363">
        <f>IF($A22=0,0,VLOOKUP($A22,IMPOSTAZIONI!$B$355:$AM$363,K$91,FALSE))</f>
        <v>0</v>
      </c>
      <c r="L22" s="364">
        <f>IF($A22=0,0,VLOOKUP($A22,IMPOSTAZIONI!$B$355:$AM$363,L$91,FALSE))</f>
        <v>0</v>
      </c>
      <c r="M22" s="364">
        <f>IF($A22=0,0,VLOOKUP($A22,IMPOSTAZIONI!$B$355:$AM$363,M$91,FALSE))</f>
        <v>0</v>
      </c>
      <c r="N22" s="357">
        <f>SUM(K22:M22)</f>
        <v>0</v>
      </c>
      <c r="O22" s="363">
        <f>IF($A22=0,0,VLOOKUP($A22,IMPOSTAZIONI!$B$355:$AM$363,O$91,FALSE))</f>
        <v>0</v>
      </c>
      <c r="P22" s="364">
        <f>IF($A22=0,0,VLOOKUP($A22,IMPOSTAZIONI!$B$355:$AM$363,P$91,FALSE))</f>
        <v>0</v>
      </c>
      <c r="Q22" s="364">
        <f>IF($A22=0,0,VLOOKUP($A22,IMPOSTAZIONI!$B$355:$AM$363,Q$91,FALSE))</f>
        <v>0</v>
      </c>
      <c r="R22" s="357">
        <f>SUM(O22:Q22)</f>
        <v>0</v>
      </c>
      <c r="S22" s="36"/>
      <c r="T22" s="360">
        <f>F22+J22+N22+R22</f>
        <v>0</v>
      </c>
      <c r="U22" s="32"/>
    </row>
    <row r="23" spans="1:21" ht="16.5" customHeight="1" x14ac:dyDescent="0.2">
      <c r="A23" s="541">
        <f>A22</f>
        <v>0</v>
      </c>
      <c r="B23" s="355" t="s">
        <v>325</v>
      </c>
      <c r="C23" s="314">
        <f>C22-C24</f>
        <v>0</v>
      </c>
      <c r="D23" s="315">
        <f>D22-D24</f>
        <v>0</v>
      </c>
      <c r="E23" s="315">
        <f>E22-E24</f>
        <v>0</v>
      </c>
      <c r="F23" s="358">
        <f>SUM(C23:E23)</f>
        <v>0</v>
      </c>
      <c r="G23" s="314">
        <f>G22-G24</f>
        <v>0</v>
      </c>
      <c r="H23" s="315">
        <f>H22-H24</f>
        <v>0</v>
      </c>
      <c r="I23" s="315">
        <f>I22-I24</f>
        <v>0</v>
      </c>
      <c r="J23" s="358">
        <f>SUM(G23:I23)</f>
        <v>0</v>
      </c>
      <c r="K23" s="314">
        <f>K22-K24</f>
        <v>0</v>
      </c>
      <c r="L23" s="315">
        <f>L22-L24</f>
        <v>0</v>
      </c>
      <c r="M23" s="315">
        <f>M22-M24</f>
        <v>0</v>
      </c>
      <c r="N23" s="358">
        <f>SUM(K23:M23)</f>
        <v>0</v>
      </c>
      <c r="O23" s="314">
        <f>O22-O24</f>
        <v>0</v>
      </c>
      <c r="P23" s="315">
        <f>P22-P24</f>
        <v>0</v>
      </c>
      <c r="Q23" s="315">
        <f>Q22-Q24</f>
        <v>0</v>
      </c>
      <c r="R23" s="358">
        <f>SUM(O23:Q23)</f>
        <v>0</v>
      </c>
      <c r="S23" s="36"/>
      <c r="T23" s="361">
        <f>F23+J23+N23+R23</f>
        <v>0</v>
      </c>
      <c r="U23" s="32"/>
    </row>
    <row r="24" spans="1:21" ht="16.5" customHeight="1" x14ac:dyDescent="0.2">
      <c r="A24" s="541">
        <f>A22</f>
        <v>0</v>
      </c>
      <c r="B24" s="356" t="s">
        <v>195</v>
      </c>
      <c r="C24" s="316">
        <f>IF(C22=0,0,VLOOKUP($A24,IMPOSTAZIONI!$B$368:$AM$376,C$91,FALSE))</f>
        <v>0</v>
      </c>
      <c r="D24" s="317">
        <f>IF(D22=0,0,VLOOKUP($A24,IMPOSTAZIONI!$B$368:$AM$376,D$91,FALSE))</f>
        <v>0</v>
      </c>
      <c r="E24" s="317">
        <f>IF(E22=0,0,VLOOKUP($A24,IMPOSTAZIONI!$B$368:$AM$376,E$91,FALSE))</f>
        <v>0</v>
      </c>
      <c r="F24" s="359">
        <f>SUM(C24:E24)</f>
        <v>0</v>
      </c>
      <c r="G24" s="316">
        <f>IF(G22=0,0,VLOOKUP($A24,IMPOSTAZIONI!$B$368:$AM$376,G$91,FALSE))</f>
        <v>0</v>
      </c>
      <c r="H24" s="317">
        <f>IF(H22=0,0,VLOOKUP($A24,IMPOSTAZIONI!$B$368:$AM$376,H$91,FALSE))</f>
        <v>0</v>
      </c>
      <c r="I24" s="317">
        <f>IF(I22=0,0,VLOOKUP($A24,IMPOSTAZIONI!$B$368:$AM$376,I$91,FALSE))</f>
        <v>0</v>
      </c>
      <c r="J24" s="359">
        <f>SUM(G24:I24)</f>
        <v>0</v>
      </c>
      <c r="K24" s="316">
        <f>IF(K22=0,0,VLOOKUP($A24,IMPOSTAZIONI!$B$368:$AM$376,K$91,FALSE))</f>
        <v>0</v>
      </c>
      <c r="L24" s="317">
        <f>IF(L22=0,0,VLOOKUP($A24,IMPOSTAZIONI!$B$368:$AM$376,L$91,FALSE))</f>
        <v>0</v>
      </c>
      <c r="M24" s="317">
        <f>IF(M22=0,0,VLOOKUP($A24,IMPOSTAZIONI!$B$368:$AM$376,M$91,FALSE))</f>
        <v>0</v>
      </c>
      <c r="N24" s="359">
        <f>SUM(K24:M24)</f>
        <v>0</v>
      </c>
      <c r="O24" s="316">
        <f>IF(O22=0,0,VLOOKUP($A24,IMPOSTAZIONI!$B$368:$AM$376,O$91,FALSE))</f>
        <v>0</v>
      </c>
      <c r="P24" s="317">
        <f>IF(P22=0,0,VLOOKUP($A24,IMPOSTAZIONI!$B$368:$AM$376,P$91,FALSE))</f>
        <v>0</v>
      </c>
      <c r="Q24" s="317">
        <f>IF(Q22=0,0,VLOOKUP($A24,IMPOSTAZIONI!$B$368:$AM$376,Q$91,FALSE))</f>
        <v>0</v>
      </c>
      <c r="R24" s="359">
        <f>SUM(O24:Q24)</f>
        <v>0</v>
      </c>
      <c r="S24" s="36"/>
      <c r="T24" s="362">
        <f>F24+J24+N24+R24</f>
        <v>0</v>
      </c>
      <c r="U24" s="32"/>
    </row>
    <row r="25" spans="1:21" ht="6" customHeight="1" x14ac:dyDescent="0.2">
      <c r="A25" s="68"/>
      <c r="B25" s="69"/>
      <c r="C25" s="65"/>
      <c r="D25" s="65"/>
      <c r="E25" s="65"/>
      <c r="F25" s="65"/>
      <c r="G25" s="65"/>
      <c r="H25" s="65"/>
      <c r="I25" s="65"/>
      <c r="J25" s="65"/>
      <c r="K25" s="65"/>
      <c r="L25" s="65"/>
      <c r="M25" s="65"/>
      <c r="N25" s="65"/>
      <c r="O25" s="65"/>
      <c r="P25" s="65"/>
      <c r="Q25" s="65"/>
      <c r="R25" s="65"/>
      <c r="S25" s="36"/>
      <c r="T25" s="66"/>
      <c r="U25" s="32"/>
    </row>
    <row r="26" spans="1:21" ht="18" customHeight="1" x14ac:dyDescent="0.2">
      <c r="A26" s="68">
        <f>IF(AND($C$203=1,$C$204=0),0,IF(C$196=0,0,A22+1))</f>
        <v>0</v>
      </c>
      <c r="B26" s="371" t="str">
        <f>IF(A26=0,"",VLOOKUP(A26,IMPOSTAZIONI!$B$355:$AQ$363,42,FALSE))</f>
        <v/>
      </c>
      <c r="C26" s="363">
        <f>IF($A26=0,0,VLOOKUP($A26,IMPOSTAZIONI!$B$355:$AM$363,C$91,FALSE))</f>
        <v>0</v>
      </c>
      <c r="D26" s="364">
        <f>IF($A26=0,0,VLOOKUP($A26,IMPOSTAZIONI!$B$355:$AM$363,D$91,FALSE))</f>
        <v>0</v>
      </c>
      <c r="E26" s="364">
        <f>IF($A26=0,0,VLOOKUP($A26,IMPOSTAZIONI!$B$355:$AM$363,E$91,FALSE))</f>
        <v>0</v>
      </c>
      <c r="F26" s="357">
        <f>SUM(C26:E26)</f>
        <v>0</v>
      </c>
      <c r="G26" s="363">
        <f>IF($A26=0,0,VLOOKUP($A26,IMPOSTAZIONI!$B$355:$AM$363,G$91,FALSE))</f>
        <v>0</v>
      </c>
      <c r="H26" s="364">
        <f>IF($A26=0,0,VLOOKUP($A26,IMPOSTAZIONI!$B$355:$AM$363,H$91,FALSE))</f>
        <v>0</v>
      </c>
      <c r="I26" s="364">
        <f>IF($A26=0,0,VLOOKUP($A26,IMPOSTAZIONI!$B$355:$AM$363,I$91,FALSE))</f>
        <v>0</v>
      </c>
      <c r="J26" s="357">
        <f>SUM(G26:I26)</f>
        <v>0</v>
      </c>
      <c r="K26" s="363">
        <f>IF($A26=0,0,VLOOKUP($A26,IMPOSTAZIONI!$B$355:$AM$363,K$91,FALSE))</f>
        <v>0</v>
      </c>
      <c r="L26" s="364">
        <f>IF($A26=0,0,VLOOKUP($A26,IMPOSTAZIONI!$B$355:$AM$363,L$91,FALSE))</f>
        <v>0</v>
      </c>
      <c r="M26" s="364">
        <f>IF($A26=0,0,VLOOKUP($A26,IMPOSTAZIONI!$B$355:$AM$363,M$91,FALSE))</f>
        <v>0</v>
      </c>
      <c r="N26" s="357">
        <f>SUM(K26:M26)</f>
        <v>0</v>
      </c>
      <c r="O26" s="363">
        <f>IF($A26=0,0,VLOOKUP($A26,IMPOSTAZIONI!$B$355:$AM$363,O$91,FALSE))</f>
        <v>0</v>
      </c>
      <c r="P26" s="364">
        <f>IF($A26=0,0,VLOOKUP($A26,IMPOSTAZIONI!$B$355:$AM$363,P$91,FALSE))</f>
        <v>0</v>
      </c>
      <c r="Q26" s="364">
        <f>IF($A26=0,0,VLOOKUP($A26,IMPOSTAZIONI!$B$355:$AM$363,Q$91,FALSE))</f>
        <v>0</v>
      </c>
      <c r="R26" s="357">
        <f>SUM(O26:Q26)</f>
        <v>0</v>
      </c>
      <c r="S26" s="36"/>
      <c r="T26" s="360">
        <f>F26+J26+N26+R26</f>
        <v>0</v>
      </c>
      <c r="U26" s="32"/>
    </row>
    <row r="27" spans="1:21" ht="16.5" customHeight="1" x14ac:dyDescent="0.2">
      <c r="A27" s="541">
        <f>A26</f>
        <v>0</v>
      </c>
      <c r="B27" s="355" t="s">
        <v>325</v>
      </c>
      <c r="C27" s="314">
        <f>C26-C28</f>
        <v>0</v>
      </c>
      <c r="D27" s="315">
        <f>D26-D28</f>
        <v>0</v>
      </c>
      <c r="E27" s="315">
        <f>E26-E28</f>
        <v>0</v>
      </c>
      <c r="F27" s="358">
        <f>SUM(C27:E27)</f>
        <v>0</v>
      </c>
      <c r="G27" s="314">
        <f>G26-G28</f>
        <v>0</v>
      </c>
      <c r="H27" s="315">
        <f>H26-H28</f>
        <v>0</v>
      </c>
      <c r="I27" s="315">
        <f>I26-I28</f>
        <v>0</v>
      </c>
      <c r="J27" s="358">
        <f>SUM(G27:I27)</f>
        <v>0</v>
      </c>
      <c r="K27" s="314">
        <f>K26-K28</f>
        <v>0</v>
      </c>
      <c r="L27" s="315">
        <f>L26-L28</f>
        <v>0</v>
      </c>
      <c r="M27" s="315">
        <f>M26-M28</f>
        <v>0</v>
      </c>
      <c r="N27" s="358">
        <f>SUM(K27:M27)</f>
        <v>0</v>
      </c>
      <c r="O27" s="314">
        <f>O26-O28</f>
        <v>0</v>
      </c>
      <c r="P27" s="315">
        <f>P26-P28</f>
        <v>0</v>
      </c>
      <c r="Q27" s="315">
        <f>Q26-Q28</f>
        <v>0</v>
      </c>
      <c r="R27" s="358">
        <f>SUM(O27:Q27)</f>
        <v>0</v>
      </c>
      <c r="S27" s="36"/>
      <c r="T27" s="361">
        <f>F27+J27+N27+R27</f>
        <v>0</v>
      </c>
      <c r="U27" s="32"/>
    </row>
    <row r="28" spans="1:21" ht="16.5" customHeight="1" x14ac:dyDescent="0.2">
      <c r="A28" s="541">
        <f>A26</f>
        <v>0</v>
      </c>
      <c r="B28" s="356" t="s">
        <v>195</v>
      </c>
      <c r="C28" s="316">
        <f>IF(C26=0,0,VLOOKUP($A28,IMPOSTAZIONI!$B$368:$AM$376,C$91,FALSE))</f>
        <v>0</v>
      </c>
      <c r="D28" s="317">
        <f>IF(D26=0,0,VLOOKUP($A28,IMPOSTAZIONI!$B$368:$AM$376,D$91,FALSE))</f>
        <v>0</v>
      </c>
      <c r="E28" s="317">
        <f>IF(E26=0,0,VLOOKUP($A28,IMPOSTAZIONI!$B$368:$AM$376,E$91,FALSE))</f>
        <v>0</v>
      </c>
      <c r="F28" s="359">
        <f>SUM(C28:E28)</f>
        <v>0</v>
      </c>
      <c r="G28" s="316">
        <f>IF(G26=0,0,VLOOKUP($A28,IMPOSTAZIONI!$B$368:$AM$376,G$91,FALSE))</f>
        <v>0</v>
      </c>
      <c r="H28" s="317">
        <f>IF(H26=0,0,VLOOKUP($A28,IMPOSTAZIONI!$B$368:$AM$376,H$91,FALSE))</f>
        <v>0</v>
      </c>
      <c r="I28" s="317">
        <f>IF(I26=0,0,VLOOKUP($A28,IMPOSTAZIONI!$B$368:$AM$376,I$91,FALSE))</f>
        <v>0</v>
      </c>
      <c r="J28" s="359">
        <f>SUM(G28:I28)</f>
        <v>0</v>
      </c>
      <c r="K28" s="316">
        <f>IF(K26=0,0,VLOOKUP($A28,IMPOSTAZIONI!$B$368:$AM$376,K$91,FALSE))</f>
        <v>0</v>
      </c>
      <c r="L28" s="317">
        <f>IF(L26=0,0,VLOOKUP($A28,IMPOSTAZIONI!$B$368:$AM$376,L$91,FALSE))</f>
        <v>0</v>
      </c>
      <c r="M28" s="317">
        <f>IF(M26=0,0,VLOOKUP($A28,IMPOSTAZIONI!$B$368:$AM$376,M$91,FALSE))</f>
        <v>0</v>
      </c>
      <c r="N28" s="359">
        <f>SUM(K28:M28)</f>
        <v>0</v>
      </c>
      <c r="O28" s="316">
        <f>IF(O26=0,0,VLOOKUP($A28,IMPOSTAZIONI!$B$368:$AM$376,O$91,FALSE))</f>
        <v>0</v>
      </c>
      <c r="P28" s="317">
        <f>IF(P26=0,0,VLOOKUP($A28,IMPOSTAZIONI!$B$368:$AM$376,P$91,FALSE))</f>
        <v>0</v>
      </c>
      <c r="Q28" s="317">
        <f>IF(Q26=0,0,VLOOKUP($A28,IMPOSTAZIONI!$B$368:$AM$376,Q$91,FALSE))</f>
        <v>0</v>
      </c>
      <c r="R28" s="359">
        <f>SUM(O28:Q28)</f>
        <v>0</v>
      </c>
      <c r="S28" s="36"/>
      <c r="T28" s="362">
        <f>F28+J28+N28+R28</f>
        <v>0</v>
      </c>
      <c r="U28" s="32"/>
    </row>
    <row r="29" spans="1:21" ht="6" customHeight="1" x14ac:dyDescent="0.2">
      <c r="A29" s="68"/>
      <c r="B29" s="69"/>
      <c r="C29" s="65"/>
      <c r="D29" s="65"/>
      <c r="E29" s="65"/>
      <c r="F29" s="65"/>
      <c r="G29" s="65"/>
      <c r="H29" s="65"/>
      <c r="I29" s="65"/>
      <c r="J29" s="65"/>
      <c r="K29" s="65"/>
      <c r="L29" s="65"/>
      <c r="M29" s="65"/>
      <c r="N29" s="65"/>
      <c r="O29" s="65"/>
      <c r="P29" s="65"/>
      <c r="Q29" s="65"/>
      <c r="R29" s="65"/>
      <c r="S29" s="36"/>
      <c r="T29" s="66"/>
      <c r="U29" s="32"/>
    </row>
    <row r="30" spans="1:21" ht="18" customHeight="1" x14ac:dyDescent="0.2">
      <c r="A30" s="68">
        <f>IF(AND($C$203=1,$C$204=0),0,IF(C$196=0,0,A26+1))</f>
        <v>0</v>
      </c>
      <c r="B30" s="371" t="str">
        <f>IF(A30=0,"",VLOOKUP(A30,IMPOSTAZIONI!$B$355:$AQ$363,42,FALSE))</f>
        <v/>
      </c>
      <c r="C30" s="363">
        <f>IF($A30=0,0,VLOOKUP($A30,IMPOSTAZIONI!$B$355:$AM$363,C$91,FALSE))</f>
        <v>0</v>
      </c>
      <c r="D30" s="364">
        <f>IF($A30=0,0,VLOOKUP($A30,IMPOSTAZIONI!$B$355:$AM$363,D$91,FALSE))</f>
        <v>0</v>
      </c>
      <c r="E30" s="364">
        <f>IF($A30=0,0,VLOOKUP($A30,IMPOSTAZIONI!$B$355:$AM$363,E$91,FALSE))</f>
        <v>0</v>
      </c>
      <c r="F30" s="357">
        <f>SUM(C30:E30)</f>
        <v>0</v>
      </c>
      <c r="G30" s="363">
        <f>IF($A30=0,0,VLOOKUP($A30,IMPOSTAZIONI!$B$355:$AM$363,G$91,FALSE))</f>
        <v>0</v>
      </c>
      <c r="H30" s="364">
        <f>IF($A30=0,0,VLOOKUP($A30,IMPOSTAZIONI!$B$355:$AM$363,H$91,FALSE))</f>
        <v>0</v>
      </c>
      <c r="I30" s="364">
        <f>IF($A30=0,0,VLOOKUP($A30,IMPOSTAZIONI!$B$355:$AM$363,I$91,FALSE))</f>
        <v>0</v>
      </c>
      <c r="J30" s="357">
        <f>SUM(G30:I30)</f>
        <v>0</v>
      </c>
      <c r="K30" s="363">
        <f>IF($A30=0,0,VLOOKUP($A30,IMPOSTAZIONI!$B$355:$AM$363,K$91,FALSE))</f>
        <v>0</v>
      </c>
      <c r="L30" s="364">
        <f>IF($A30=0,0,VLOOKUP($A30,IMPOSTAZIONI!$B$355:$AM$363,L$91,FALSE))</f>
        <v>0</v>
      </c>
      <c r="M30" s="364">
        <f>IF($A30=0,0,VLOOKUP($A30,IMPOSTAZIONI!$B$355:$AM$363,M$91,FALSE))</f>
        <v>0</v>
      </c>
      <c r="N30" s="357">
        <f>SUM(K30:M30)</f>
        <v>0</v>
      </c>
      <c r="O30" s="363">
        <f>IF($A30=0,0,VLOOKUP($A30,IMPOSTAZIONI!$B$355:$AM$363,O$91,FALSE))</f>
        <v>0</v>
      </c>
      <c r="P30" s="364">
        <f>IF($A30=0,0,VLOOKUP($A30,IMPOSTAZIONI!$B$355:$AM$363,P$91,FALSE))</f>
        <v>0</v>
      </c>
      <c r="Q30" s="364">
        <f>IF($A30=0,0,VLOOKUP($A30,IMPOSTAZIONI!$B$355:$AM$363,Q$91,FALSE))</f>
        <v>0</v>
      </c>
      <c r="R30" s="357">
        <f>SUM(O30:Q30)</f>
        <v>0</v>
      </c>
      <c r="S30" s="36"/>
      <c r="T30" s="360">
        <f>F30+J30+N30+R30</f>
        <v>0</v>
      </c>
      <c r="U30" s="32"/>
    </row>
    <row r="31" spans="1:21" ht="16.5" customHeight="1" x14ac:dyDescent="0.2">
      <c r="A31" s="541">
        <f>A30</f>
        <v>0</v>
      </c>
      <c r="B31" s="355" t="s">
        <v>325</v>
      </c>
      <c r="C31" s="314">
        <f>C30-C32</f>
        <v>0</v>
      </c>
      <c r="D31" s="315">
        <f>D30-D32</f>
        <v>0</v>
      </c>
      <c r="E31" s="315">
        <f>E30-E32</f>
        <v>0</v>
      </c>
      <c r="F31" s="358">
        <f>SUM(C31:E31)</f>
        <v>0</v>
      </c>
      <c r="G31" s="314">
        <f>G30-G32</f>
        <v>0</v>
      </c>
      <c r="H31" s="315">
        <f>H30-H32</f>
        <v>0</v>
      </c>
      <c r="I31" s="315">
        <f>I30-I32</f>
        <v>0</v>
      </c>
      <c r="J31" s="358">
        <f>SUM(G31:I31)</f>
        <v>0</v>
      </c>
      <c r="K31" s="314">
        <f>K30-K32</f>
        <v>0</v>
      </c>
      <c r="L31" s="315">
        <f>L30-L32</f>
        <v>0</v>
      </c>
      <c r="M31" s="315">
        <f>M30-M32</f>
        <v>0</v>
      </c>
      <c r="N31" s="358">
        <f>SUM(K31:M31)</f>
        <v>0</v>
      </c>
      <c r="O31" s="314">
        <f>O30-O32</f>
        <v>0</v>
      </c>
      <c r="P31" s="315">
        <f>P30-P32</f>
        <v>0</v>
      </c>
      <c r="Q31" s="315">
        <f>Q30-Q32</f>
        <v>0</v>
      </c>
      <c r="R31" s="358">
        <f>SUM(O31:Q31)</f>
        <v>0</v>
      </c>
      <c r="S31" s="36"/>
      <c r="T31" s="361">
        <f>F31+J31+N31+R31</f>
        <v>0</v>
      </c>
      <c r="U31" s="32"/>
    </row>
    <row r="32" spans="1:21" ht="16.5" customHeight="1" x14ac:dyDescent="0.2">
      <c r="A32" s="541">
        <f>A30</f>
        <v>0</v>
      </c>
      <c r="B32" s="356" t="s">
        <v>195</v>
      </c>
      <c r="C32" s="316">
        <f>IF(C30=0,0,VLOOKUP($A32,IMPOSTAZIONI!$B$368:$AM$376,C$91,FALSE))</f>
        <v>0</v>
      </c>
      <c r="D32" s="317">
        <f>IF(D30=0,0,VLOOKUP($A32,IMPOSTAZIONI!$B$368:$AM$376,D$91,FALSE))</f>
        <v>0</v>
      </c>
      <c r="E32" s="317">
        <f>IF(E30=0,0,VLOOKUP($A32,IMPOSTAZIONI!$B$368:$AM$376,E$91,FALSE))</f>
        <v>0</v>
      </c>
      <c r="F32" s="359">
        <f>SUM(C32:E32)</f>
        <v>0</v>
      </c>
      <c r="G32" s="316">
        <f>IF(G30=0,0,VLOOKUP($A32,IMPOSTAZIONI!$B$368:$AM$376,G$91,FALSE))</f>
        <v>0</v>
      </c>
      <c r="H32" s="317">
        <f>IF(H30=0,0,VLOOKUP($A32,IMPOSTAZIONI!$B$368:$AM$376,H$91,FALSE))</f>
        <v>0</v>
      </c>
      <c r="I32" s="317">
        <f>IF(I30=0,0,VLOOKUP($A32,IMPOSTAZIONI!$B$368:$AM$376,I$91,FALSE))</f>
        <v>0</v>
      </c>
      <c r="J32" s="359">
        <f>SUM(G32:I32)</f>
        <v>0</v>
      </c>
      <c r="K32" s="316">
        <f>IF(K30=0,0,VLOOKUP($A32,IMPOSTAZIONI!$B$368:$AM$376,K$91,FALSE))</f>
        <v>0</v>
      </c>
      <c r="L32" s="317">
        <f>IF(L30=0,0,VLOOKUP($A32,IMPOSTAZIONI!$B$368:$AM$376,L$91,FALSE))</f>
        <v>0</v>
      </c>
      <c r="M32" s="317">
        <f>IF(M30=0,0,VLOOKUP($A32,IMPOSTAZIONI!$B$368:$AM$376,M$91,FALSE))</f>
        <v>0</v>
      </c>
      <c r="N32" s="359">
        <f>SUM(K32:M32)</f>
        <v>0</v>
      </c>
      <c r="O32" s="316">
        <f>IF(O30=0,0,VLOOKUP($A32,IMPOSTAZIONI!$B$368:$AM$376,O$91,FALSE))</f>
        <v>0</v>
      </c>
      <c r="P32" s="317">
        <f>IF(P30=0,0,VLOOKUP($A32,IMPOSTAZIONI!$B$368:$AM$376,P$91,FALSE))</f>
        <v>0</v>
      </c>
      <c r="Q32" s="317">
        <f>IF(Q30=0,0,VLOOKUP($A32,IMPOSTAZIONI!$B$368:$AM$376,Q$91,FALSE))</f>
        <v>0</v>
      </c>
      <c r="R32" s="359">
        <f>SUM(O32:Q32)</f>
        <v>0</v>
      </c>
      <c r="S32" s="36"/>
      <c r="T32" s="362">
        <f>F32+J32+N32+R32</f>
        <v>0</v>
      </c>
      <c r="U32" s="32"/>
    </row>
    <row r="33" spans="1:21" ht="6" customHeight="1" x14ac:dyDescent="0.2">
      <c r="A33" s="68"/>
      <c r="B33" s="69"/>
      <c r="C33" s="65"/>
      <c r="D33" s="65"/>
      <c r="E33" s="65"/>
      <c r="F33" s="65"/>
      <c r="G33" s="65"/>
      <c r="H33" s="65"/>
      <c r="I33" s="65"/>
      <c r="J33" s="65"/>
      <c r="K33" s="65"/>
      <c r="L33" s="65"/>
      <c r="M33" s="65"/>
      <c r="N33" s="65"/>
      <c r="O33" s="65"/>
      <c r="P33" s="65"/>
      <c r="Q33" s="65"/>
      <c r="R33" s="65"/>
      <c r="S33" s="36"/>
      <c r="T33" s="66"/>
      <c r="U33" s="32"/>
    </row>
    <row r="34" spans="1:21" ht="18" customHeight="1" x14ac:dyDescent="0.2">
      <c r="A34" s="68">
        <f>IF(AND($C$203=1,$C$204=0),0,IF(C$196=0,0,A30+1))</f>
        <v>0</v>
      </c>
      <c r="B34" s="371" t="str">
        <f>IF(A34=0,"",VLOOKUP(A34,IMPOSTAZIONI!$B$355:$AQ$363,42,FALSE))</f>
        <v/>
      </c>
      <c r="C34" s="363">
        <f>IF($A34=0,0,VLOOKUP($A34,IMPOSTAZIONI!$B$355:$AM$363,C$91,FALSE))</f>
        <v>0</v>
      </c>
      <c r="D34" s="364">
        <f>IF($A34=0,0,VLOOKUP($A34,IMPOSTAZIONI!$B$355:$AM$363,D$91,FALSE))</f>
        <v>0</v>
      </c>
      <c r="E34" s="364">
        <f>IF($A34=0,0,VLOOKUP($A34,IMPOSTAZIONI!$B$355:$AM$363,E$91,FALSE))</f>
        <v>0</v>
      </c>
      <c r="F34" s="357">
        <f>SUM(C34:E34)</f>
        <v>0</v>
      </c>
      <c r="G34" s="363">
        <f>IF($A34=0,0,VLOOKUP($A34,IMPOSTAZIONI!$B$355:$AM$363,G$91,FALSE))</f>
        <v>0</v>
      </c>
      <c r="H34" s="364">
        <f>IF($A34=0,0,VLOOKUP($A34,IMPOSTAZIONI!$B$355:$AM$363,H$91,FALSE))</f>
        <v>0</v>
      </c>
      <c r="I34" s="364">
        <f>IF($A34=0,0,VLOOKUP($A34,IMPOSTAZIONI!$B$355:$AM$363,I$91,FALSE))</f>
        <v>0</v>
      </c>
      <c r="J34" s="357">
        <f>SUM(G34:I34)</f>
        <v>0</v>
      </c>
      <c r="K34" s="363">
        <f>IF($A34=0,0,VLOOKUP($A34,IMPOSTAZIONI!$B$355:$AM$363,K$91,FALSE))</f>
        <v>0</v>
      </c>
      <c r="L34" s="364">
        <f>IF($A34=0,0,VLOOKUP($A34,IMPOSTAZIONI!$B$355:$AM$363,L$91,FALSE))</f>
        <v>0</v>
      </c>
      <c r="M34" s="364">
        <f>IF($A34=0,0,VLOOKUP($A34,IMPOSTAZIONI!$B$355:$AM$363,M$91,FALSE))</f>
        <v>0</v>
      </c>
      <c r="N34" s="357">
        <f>SUM(K34:M34)</f>
        <v>0</v>
      </c>
      <c r="O34" s="363">
        <f>IF($A34=0,0,VLOOKUP($A34,IMPOSTAZIONI!$B$355:$AM$363,O$91,FALSE))</f>
        <v>0</v>
      </c>
      <c r="P34" s="364">
        <f>IF($A34=0,0,VLOOKUP($A34,IMPOSTAZIONI!$B$355:$AM$363,P$91,FALSE))</f>
        <v>0</v>
      </c>
      <c r="Q34" s="364">
        <f>IF($A34=0,0,VLOOKUP($A34,IMPOSTAZIONI!$B$355:$AM$363,Q$91,FALSE))</f>
        <v>0</v>
      </c>
      <c r="R34" s="357">
        <f>SUM(O34:Q34)</f>
        <v>0</v>
      </c>
      <c r="S34" s="36"/>
      <c r="T34" s="360">
        <f>F34+J34+N34+R34</f>
        <v>0</v>
      </c>
      <c r="U34" s="32"/>
    </row>
    <row r="35" spans="1:21" ht="16.5" customHeight="1" x14ac:dyDescent="0.2">
      <c r="A35" s="541">
        <f>A34</f>
        <v>0</v>
      </c>
      <c r="B35" s="355" t="s">
        <v>325</v>
      </c>
      <c r="C35" s="314">
        <f>C34-C36</f>
        <v>0</v>
      </c>
      <c r="D35" s="315">
        <f>D34-D36</f>
        <v>0</v>
      </c>
      <c r="E35" s="315">
        <f>E34-E36</f>
        <v>0</v>
      </c>
      <c r="F35" s="358">
        <f>SUM(C35:E35)</f>
        <v>0</v>
      </c>
      <c r="G35" s="314">
        <f>G34-G36</f>
        <v>0</v>
      </c>
      <c r="H35" s="315">
        <f>H34-H36</f>
        <v>0</v>
      </c>
      <c r="I35" s="315">
        <f>I34-I36</f>
        <v>0</v>
      </c>
      <c r="J35" s="358">
        <f>SUM(G35:I35)</f>
        <v>0</v>
      </c>
      <c r="K35" s="314">
        <f>K34-K36</f>
        <v>0</v>
      </c>
      <c r="L35" s="315">
        <f>L34-L36</f>
        <v>0</v>
      </c>
      <c r="M35" s="315">
        <f>M34-M36</f>
        <v>0</v>
      </c>
      <c r="N35" s="358">
        <f>SUM(K35:M35)</f>
        <v>0</v>
      </c>
      <c r="O35" s="314">
        <f>O34-O36</f>
        <v>0</v>
      </c>
      <c r="P35" s="315">
        <f>P34-P36</f>
        <v>0</v>
      </c>
      <c r="Q35" s="315">
        <f>Q34-Q36</f>
        <v>0</v>
      </c>
      <c r="R35" s="358">
        <f>SUM(O35:Q35)</f>
        <v>0</v>
      </c>
      <c r="S35" s="36"/>
      <c r="T35" s="361">
        <f>F35+J35+N35+R35</f>
        <v>0</v>
      </c>
      <c r="U35" s="32"/>
    </row>
    <row r="36" spans="1:21" ht="16.5" customHeight="1" x14ac:dyDescent="0.2">
      <c r="A36" s="541">
        <f>A34</f>
        <v>0</v>
      </c>
      <c r="B36" s="356" t="s">
        <v>195</v>
      </c>
      <c r="C36" s="316">
        <f>IF(C34=0,0,VLOOKUP($A36,IMPOSTAZIONI!$B$368:$AM$376,C$91,FALSE))</f>
        <v>0</v>
      </c>
      <c r="D36" s="317">
        <f>IF(D34=0,0,VLOOKUP($A36,IMPOSTAZIONI!$B$368:$AM$376,D$91,FALSE))</f>
        <v>0</v>
      </c>
      <c r="E36" s="317">
        <f>IF(E34=0,0,VLOOKUP($A36,IMPOSTAZIONI!$B$368:$AM$376,E$91,FALSE))</f>
        <v>0</v>
      </c>
      <c r="F36" s="359">
        <f>SUM(C36:E36)</f>
        <v>0</v>
      </c>
      <c r="G36" s="316">
        <f>IF(G34=0,0,VLOOKUP($A36,IMPOSTAZIONI!$B$368:$AM$376,G$91,FALSE))</f>
        <v>0</v>
      </c>
      <c r="H36" s="317">
        <f>IF(H34=0,0,VLOOKUP($A36,IMPOSTAZIONI!$B$368:$AM$376,H$91,FALSE))</f>
        <v>0</v>
      </c>
      <c r="I36" s="317">
        <f>IF(I34=0,0,VLOOKUP($A36,IMPOSTAZIONI!$B$368:$AM$376,I$91,FALSE))</f>
        <v>0</v>
      </c>
      <c r="J36" s="359">
        <f>SUM(G36:I36)</f>
        <v>0</v>
      </c>
      <c r="K36" s="316">
        <f>IF(K34=0,0,VLOOKUP($A36,IMPOSTAZIONI!$B$368:$AM$376,K$91,FALSE))</f>
        <v>0</v>
      </c>
      <c r="L36" s="317">
        <f>IF(L34=0,0,VLOOKUP($A36,IMPOSTAZIONI!$B$368:$AM$376,L$91,FALSE))</f>
        <v>0</v>
      </c>
      <c r="M36" s="317">
        <f>IF(M34=0,0,VLOOKUP($A36,IMPOSTAZIONI!$B$368:$AM$376,M$91,FALSE))</f>
        <v>0</v>
      </c>
      <c r="N36" s="359">
        <f>SUM(K36:M36)</f>
        <v>0</v>
      </c>
      <c r="O36" s="316">
        <f>IF(O34=0,0,VLOOKUP($A36,IMPOSTAZIONI!$B$368:$AM$376,O$91,FALSE))</f>
        <v>0</v>
      </c>
      <c r="P36" s="317">
        <f>IF(P34=0,0,VLOOKUP($A36,IMPOSTAZIONI!$B$368:$AM$376,P$91,FALSE))</f>
        <v>0</v>
      </c>
      <c r="Q36" s="317">
        <f>IF(Q34=0,0,VLOOKUP($A36,IMPOSTAZIONI!$B$368:$AM$376,Q$91,FALSE))</f>
        <v>0</v>
      </c>
      <c r="R36" s="359">
        <f>IF(R34=0,0,VLOOKUP($A36,IMPOSTAZIONI!$B$368:$AM$376,R$91,FALSE))</f>
        <v>0</v>
      </c>
      <c r="S36" s="36"/>
      <c r="T36" s="362">
        <f>F36+J36+N36+R36</f>
        <v>0</v>
      </c>
      <c r="U36" s="32"/>
    </row>
    <row r="37" spans="1:21" ht="6" customHeight="1" x14ac:dyDescent="0.2">
      <c r="A37" s="68"/>
      <c r="B37" s="69"/>
      <c r="C37" s="65"/>
      <c r="D37" s="65"/>
      <c r="E37" s="65"/>
      <c r="F37" s="65"/>
      <c r="G37" s="65"/>
      <c r="H37" s="65"/>
      <c r="I37" s="65"/>
      <c r="J37" s="65"/>
      <c r="K37" s="65"/>
      <c r="L37" s="65"/>
      <c r="M37" s="65"/>
      <c r="N37" s="65"/>
      <c r="O37" s="65"/>
      <c r="P37" s="65"/>
      <c r="Q37" s="65"/>
      <c r="R37" s="65"/>
      <c r="S37" s="36"/>
      <c r="T37" s="66"/>
      <c r="U37" s="32"/>
    </row>
    <row r="38" spans="1:21" ht="18" customHeight="1" x14ac:dyDescent="0.2">
      <c r="A38" s="68">
        <f>IF(AND($C$203=1,$C$204=0),0,IF(C$196=0,0,A34+1))</f>
        <v>0</v>
      </c>
      <c r="B38" s="371" t="str">
        <f>IF(A38=0,"",VLOOKUP(A38,IMPOSTAZIONI!$B$355:$AQ$363,42,FALSE))</f>
        <v/>
      </c>
      <c r="C38" s="363">
        <f>IF($A38=0,0,VLOOKUP($A38,IMPOSTAZIONI!$B$355:$AM$363,C$91,FALSE))</f>
        <v>0</v>
      </c>
      <c r="D38" s="364">
        <f>IF($A38=0,0,VLOOKUP($A38,IMPOSTAZIONI!$B$355:$AM$363,D$91,FALSE))</f>
        <v>0</v>
      </c>
      <c r="E38" s="364">
        <f>IF($A38=0,0,VLOOKUP($A38,IMPOSTAZIONI!$B$355:$AM$363,E$91,FALSE))</f>
        <v>0</v>
      </c>
      <c r="F38" s="357">
        <f>SUM(C38:E38)</f>
        <v>0</v>
      </c>
      <c r="G38" s="363">
        <f>IF($A38=0,0,VLOOKUP($A38,IMPOSTAZIONI!$B$355:$AM$363,G$91,FALSE))</f>
        <v>0</v>
      </c>
      <c r="H38" s="364">
        <f>IF($A38=0,0,VLOOKUP($A38,IMPOSTAZIONI!$B$355:$AM$363,H$91,FALSE))</f>
        <v>0</v>
      </c>
      <c r="I38" s="364">
        <f>IF($A38=0,0,VLOOKUP($A38,IMPOSTAZIONI!$B$355:$AM$363,I$91,FALSE))</f>
        <v>0</v>
      </c>
      <c r="J38" s="357">
        <f>SUM(G38:I38)</f>
        <v>0</v>
      </c>
      <c r="K38" s="363">
        <f>IF($A38=0,0,VLOOKUP($A38,IMPOSTAZIONI!$B$355:$AM$363,K$91,FALSE))</f>
        <v>0</v>
      </c>
      <c r="L38" s="364">
        <f>IF($A38=0,0,VLOOKUP($A38,IMPOSTAZIONI!$B$355:$AM$363,L$91,FALSE))</f>
        <v>0</v>
      </c>
      <c r="M38" s="364">
        <f>IF($A38=0,0,VLOOKUP($A38,IMPOSTAZIONI!$B$355:$AM$363,M$91,FALSE))</f>
        <v>0</v>
      </c>
      <c r="N38" s="357">
        <f>SUM(K38:M38)</f>
        <v>0</v>
      </c>
      <c r="O38" s="363">
        <f>IF($A38=0,0,VLOOKUP($A38,IMPOSTAZIONI!$B$355:$AM$363,O$91,FALSE))</f>
        <v>0</v>
      </c>
      <c r="P38" s="364">
        <f>IF($A38=0,0,VLOOKUP($A38,IMPOSTAZIONI!$B$355:$AM$363,P$91,FALSE))</f>
        <v>0</v>
      </c>
      <c r="Q38" s="364">
        <f>IF($A38=0,0,VLOOKUP($A38,IMPOSTAZIONI!$B$355:$AM$363,Q$91,FALSE))</f>
        <v>0</v>
      </c>
      <c r="R38" s="357">
        <f>SUM(O38:Q38)</f>
        <v>0</v>
      </c>
      <c r="S38" s="36"/>
      <c r="T38" s="360">
        <f>F38+J38+N38+R38</f>
        <v>0</v>
      </c>
      <c r="U38" s="32"/>
    </row>
    <row r="39" spans="1:21" ht="16.5" customHeight="1" x14ac:dyDescent="0.2">
      <c r="A39" s="541">
        <f>A38</f>
        <v>0</v>
      </c>
      <c r="B39" s="355" t="s">
        <v>325</v>
      </c>
      <c r="C39" s="314">
        <f>C38-C40</f>
        <v>0</v>
      </c>
      <c r="D39" s="315">
        <f>D38-D40</f>
        <v>0</v>
      </c>
      <c r="E39" s="315">
        <f>E38-E40</f>
        <v>0</v>
      </c>
      <c r="F39" s="358">
        <f>SUM(C39:E39)</f>
        <v>0</v>
      </c>
      <c r="G39" s="314">
        <f>G38-G40</f>
        <v>0</v>
      </c>
      <c r="H39" s="315">
        <f>H38-H40</f>
        <v>0</v>
      </c>
      <c r="I39" s="315">
        <f>I38-I40</f>
        <v>0</v>
      </c>
      <c r="J39" s="358">
        <f>SUM(G39:I39)</f>
        <v>0</v>
      </c>
      <c r="K39" s="314">
        <f>K38-K40</f>
        <v>0</v>
      </c>
      <c r="L39" s="315">
        <f>L38-L40</f>
        <v>0</v>
      </c>
      <c r="M39" s="315">
        <f>M38-M40</f>
        <v>0</v>
      </c>
      <c r="N39" s="358">
        <f>SUM(K39:M39)</f>
        <v>0</v>
      </c>
      <c r="O39" s="314">
        <f>O38-O40</f>
        <v>0</v>
      </c>
      <c r="P39" s="315">
        <f>P38-P40</f>
        <v>0</v>
      </c>
      <c r="Q39" s="315">
        <f>Q38-Q40</f>
        <v>0</v>
      </c>
      <c r="R39" s="358">
        <f>SUM(O39:Q39)</f>
        <v>0</v>
      </c>
      <c r="S39" s="36"/>
      <c r="T39" s="361">
        <f>F39+J39+N39+R39</f>
        <v>0</v>
      </c>
      <c r="U39" s="32"/>
    </row>
    <row r="40" spans="1:21" ht="16.5" customHeight="1" x14ac:dyDescent="0.2">
      <c r="A40" s="541">
        <f>A38</f>
        <v>0</v>
      </c>
      <c r="B40" s="356" t="s">
        <v>195</v>
      </c>
      <c r="C40" s="316">
        <f>IF(C38=0,0,VLOOKUP($A40,IMPOSTAZIONI!$B$368:$AM$376,C$91,FALSE))</f>
        <v>0</v>
      </c>
      <c r="D40" s="317">
        <f>IF(D38=0,0,VLOOKUP($A40,IMPOSTAZIONI!$B$368:$AM$376,D$91,FALSE))</f>
        <v>0</v>
      </c>
      <c r="E40" s="317">
        <f>IF(E38=0,0,VLOOKUP($A40,IMPOSTAZIONI!$B$368:$AM$376,E$91,FALSE))</f>
        <v>0</v>
      </c>
      <c r="F40" s="359">
        <f>SUM(C40:E40)</f>
        <v>0</v>
      </c>
      <c r="G40" s="316">
        <f>IF(G38=0,0,VLOOKUP($A40,IMPOSTAZIONI!$B$368:$AM$376,G$91,FALSE))</f>
        <v>0</v>
      </c>
      <c r="H40" s="317">
        <f>IF(H38=0,0,VLOOKUP($A40,IMPOSTAZIONI!$B$368:$AM$376,H$91,FALSE))</f>
        <v>0</v>
      </c>
      <c r="I40" s="317">
        <f>IF(I38=0,0,VLOOKUP($A40,IMPOSTAZIONI!$B$368:$AM$376,I$91,FALSE))</f>
        <v>0</v>
      </c>
      <c r="J40" s="359">
        <f>SUM(G40:I40)</f>
        <v>0</v>
      </c>
      <c r="K40" s="316">
        <f>IF(K38=0,0,VLOOKUP($A40,IMPOSTAZIONI!$B$368:$AM$376,K$91,FALSE))</f>
        <v>0</v>
      </c>
      <c r="L40" s="317">
        <f>IF(L38=0,0,VLOOKUP($A40,IMPOSTAZIONI!$B$368:$AM$376,L$91,FALSE))</f>
        <v>0</v>
      </c>
      <c r="M40" s="317">
        <f>IF(M38=0,0,VLOOKUP($A40,IMPOSTAZIONI!$B$368:$AM$376,M$91,FALSE))</f>
        <v>0</v>
      </c>
      <c r="N40" s="359">
        <f>SUM(K40:M40)</f>
        <v>0</v>
      </c>
      <c r="O40" s="316">
        <f>IF(O38=0,0,VLOOKUP($A40,IMPOSTAZIONI!$B$368:$AM$376,O$91,FALSE))</f>
        <v>0</v>
      </c>
      <c r="P40" s="317">
        <f>IF(P38=0,0,VLOOKUP($A40,IMPOSTAZIONI!$B$368:$AM$376,P$91,FALSE))</f>
        <v>0</v>
      </c>
      <c r="Q40" s="317">
        <f>IF(Q38=0,0,VLOOKUP($A40,IMPOSTAZIONI!$B$368:$AM$376,Q$91,FALSE))</f>
        <v>0</v>
      </c>
      <c r="R40" s="359">
        <f>SUM(O40:Q40)</f>
        <v>0</v>
      </c>
      <c r="S40" s="36"/>
      <c r="T40" s="362">
        <f>F40+J40+N40+R40</f>
        <v>0</v>
      </c>
      <c r="U40" s="32"/>
    </row>
    <row r="41" spans="1:21" ht="6" customHeight="1" x14ac:dyDescent="0.2">
      <c r="A41" s="68"/>
      <c r="B41" s="69"/>
      <c r="C41" s="65"/>
      <c r="D41" s="65"/>
      <c r="E41" s="65"/>
      <c r="F41" s="65"/>
      <c r="G41" s="65"/>
      <c r="H41" s="65"/>
      <c r="I41" s="65"/>
      <c r="J41" s="65"/>
      <c r="K41" s="65"/>
      <c r="L41" s="65"/>
      <c r="M41" s="65"/>
      <c r="N41" s="65"/>
      <c r="O41" s="65"/>
      <c r="P41" s="65"/>
      <c r="Q41" s="65"/>
      <c r="R41" s="65"/>
      <c r="S41" s="36"/>
      <c r="T41" s="66"/>
      <c r="U41" s="32"/>
    </row>
    <row r="42" spans="1:21" ht="18" customHeight="1" x14ac:dyDescent="0.2">
      <c r="A42" s="68">
        <f>IF(AND($C$203=1,$C$204=0),0,IF(C$196=0,0,A38+1))</f>
        <v>0</v>
      </c>
      <c r="B42" s="371" t="str">
        <f>IF(A42=0,"",VLOOKUP(A42,IMPOSTAZIONI!$B$355:$AQ$363,42,FALSE))</f>
        <v/>
      </c>
      <c r="C42" s="363">
        <f>IF($A42=0,0,VLOOKUP($A42,IMPOSTAZIONI!$B$355:$AM$363,C$91,FALSE))</f>
        <v>0</v>
      </c>
      <c r="D42" s="364">
        <f>IF($A42=0,0,VLOOKUP($A42,IMPOSTAZIONI!$B$355:$AM$363,D$91,FALSE))</f>
        <v>0</v>
      </c>
      <c r="E42" s="364">
        <f>IF($A42=0,0,VLOOKUP($A42,IMPOSTAZIONI!$B$355:$AM$363,E$91,FALSE))</f>
        <v>0</v>
      </c>
      <c r="F42" s="357">
        <f>SUM(C42:E42)</f>
        <v>0</v>
      </c>
      <c r="G42" s="363">
        <f>IF($A42=0,0,VLOOKUP($A42,IMPOSTAZIONI!$B$355:$AM$363,G$91,FALSE))</f>
        <v>0</v>
      </c>
      <c r="H42" s="364">
        <f>IF($A42=0,0,VLOOKUP($A42,IMPOSTAZIONI!$B$355:$AM$363,H$91,FALSE))</f>
        <v>0</v>
      </c>
      <c r="I42" s="364">
        <f>IF($A42=0,0,VLOOKUP($A42,IMPOSTAZIONI!$B$355:$AM$363,I$91,FALSE))</f>
        <v>0</v>
      </c>
      <c r="J42" s="357">
        <f>SUM(G42:I42)</f>
        <v>0</v>
      </c>
      <c r="K42" s="363">
        <f>IF($A42=0,0,VLOOKUP($A42,IMPOSTAZIONI!$B$355:$AM$363,K$91,FALSE))</f>
        <v>0</v>
      </c>
      <c r="L42" s="364">
        <f>IF($A42=0,0,VLOOKUP($A42,IMPOSTAZIONI!$B$355:$AM$363,L$91,FALSE))</f>
        <v>0</v>
      </c>
      <c r="M42" s="364">
        <f>IF($A42=0,0,VLOOKUP($A42,IMPOSTAZIONI!$B$355:$AM$363,M$91,FALSE))</f>
        <v>0</v>
      </c>
      <c r="N42" s="357">
        <f>SUM(K42:M42)</f>
        <v>0</v>
      </c>
      <c r="O42" s="363">
        <f>IF($A42=0,0,VLOOKUP($A42,IMPOSTAZIONI!$B$355:$AM$363,O$91,FALSE))</f>
        <v>0</v>
      </c>
      <c r="P42" s="364">
        <f>IF($A42=0,0,VLOOKUP($A42,IMPOSTAZIONI!$B$355:$AM$363,P$91,FALSE))</f>
        <v>0</v>
      </c>
      <c r="Q42" s="364">
        <f>IF($A42=0,0,VLOOKUP($A42,IMPOSTAZIONI!$B$355:$AM$363,Q$91,FALSE))</f>
        <v>0</v>
      </c>
      <c r="R42" s="357">
        <f>SUM(O42:Q42)</f>
        <v>0</v>
      </c>
      <c r="S42" s="36"/>
      <c r="T42" s="360">
        <f>F42+J42+N42+R42</f>
        <v>0</v>
      </c>
      <c r="U42" s="32"/>
    </row>
    <row r="43" spans="1:21" ht="16.5" customHeight="1" x14ac:dyDescent="0.2">
      <c r="A43" s="541">
        <f>A42</f>
        <v>0</v>
      </c>
      <c r="B43" s="355" t="s">
        <v>325</v>
      </c>
      <c r="C43" s="314">
        <f>C42-C44</f>
        <v>0</v>
      </c>
      <c r="D43" s="315">
        <f>D42-D44</f>
        <v>0</v>
      </c>
      <c r="E43" s="315">
        <f>E42-E44</f>
        <v>0</v>
      </c>
      <c r="F43" s="358">
        <f>SUM(C43:E43)</f>
        <v>0</v>
      </c>
      <c r="G43" s="314">
        <f>G42-G44</f>
        <v>0</v>
      </c>
      <c r="H43" s="315">
        <f>H42-H44</f>
        <v>0</v>
      </c>
      <c r="I43" s="315">
        <f>I42-I44</f>
        <v>0</v>
      </c>
      <c r="J43" s="358">
        <f>SUM(G43:I43)</f>
        <v>0</v>
      </c>
      <c r="K43" s="314">
        <f>K42-K44</f>
        <v>0</v>
      </c>
      <c r="L43" s="315">
        <f>L42-L44</f>
        <v>0</v>
      </c>
      <c r="M43" s="315">
        <f>M42-M44</f>
        <v>0</v>
      </c>
      <c r="N43" s="358">
        <f>SUM(K43:M43)</f>
        <v>0</v>
      </c>
      <c r="O43" s="314">
        <f>O42-O44</f>
        <v>0</v>
      </c>
      <c r="P43" s="315">
        <f>P42-P44</f>
        <v>0</v>
      </c>
      <c r="Q43" s="315">
        <f>Q42-Q44</f>
        <v>0</v>
      </c>
      <c r="R43" s="358">
        <f>SUM(O43:Q43)</f>
        <v>0</v>
      </c>
      <c r="S43" s="36"/>
      <c r="T43" s="361">
        <f>F43+J43+N43+R43</f>
        <v>0</v>
      </c>
      <c r="U43" s="32"/>
    </row>
    <row r="44" spans="1:21" ht="16.5" customHeight="1" x14ac:dyDescent="0.2">
      <c r="A44" s="541">
        <f>A42</f>
        <v>0</v>
      </c>
      <c r="B44" s="356" t="s">
        <v>195</v>
      </c>
      <c r="C44" s="316">
        <f>IF(C42=0,0,VLOOKUP($A44,IMPOSTAZIONI!$B$368:$AM$376,C$91,FALSE))</f>
        <v>0</v>
      </c>
      <c r="D44" s="317">
        <f>IF(D42=0,0,VLOOKUP($A44,IMPOSTAZIONI!$B$368:$AM$376,D$91,FALSE))</f>
        <v>0</v>
      </c>
      <c r="E44" s="317">
        <f>IF(E42=0,0,VLOOKUP($A44,IMPOSTAZIONI!$B$368:$AM$376,E$91,FALSE))</f>
        <v>0</v>
      </c>
      <c r="F44" s="359">
        <f>SUM(C44:E44)</f>
        <v>0</v>
      </c>
      <c r="G44" s="316">
        <f>IF(G42=0,0,VLOOKUP($A44,IMPOSTAZIONI!$B$368:$AM$376,G$91,FALSE))</f>
        <v>0</v>
      </c>
      <c r="H44" s="317">
        <f>IF(H42=0,0,VLOOKUP($A44,IMPOSTAZIONI!$B$368:$AM$376,H$91,FALSE))</f>
        <v>0</v>
      </c>
      <c r="I44" s="317">
        <f>IF(I42=0,0,VLOOKUP($A44,IMPOSTAZIONI!$B$368:$AM$376,I$91,FALSE))</f>
        <v>0</v>
      </c>
      <c r="J44" s="359">
        <f>SUM(G44:I44)</f>
        <v>0</v>
      </c>
      <c r="K44" s="316">
        <f>IF(K42=0,0,VLOOKUP($A44,IMPOSTAZIONI!$B$368:$AM$376,K$91,FALSE))</f>
        <v>0</v>
      </c>
      <c r="L44" s="317">
        <f>IF(L42=0,0,VLOOKUP($A44,IMPOSTAZIONI!$B$368:$AM$376,L$91,FALSE))</f>
        <v>0</v>
      </c>
      <c r="M44" s="317">
        <f>IF(M42=0,0,VLOOKUP($A44,IMPOSTAZIONI!$B$368:$AM$376,M$91,FALSE))</f>
        <v>0</v>
      </c>
      <c r="N44" s="359">
        <f>SUM(K44:M44)</f>
        <v>0</v>
      </c>
      <c r="O44" s="316">
        <f>IF(O42=0,0,VLOOKUP($A44,IMPOSTAZIONI!$B$368:$AM$376,O$91,FALSE))</f>
        <v>0</v>
      </c>
      <c r="P44" s="317">
        <f>IF(P42=0,0,VLOOKUP($A44,IMPOSTAZIONI!$B$368:$AM$376,P$91,FALSE))</f>
        <v>0</v>
      </c>
      <c r="Q44" s="317">
        <f>IF(Q42=0,0,VLOOKUP($A44,IMPOSTAZIONI!$B$368:$AM$376,Q$91,FALSE))</f>
        <v>0</v>
      </c>
      <c r="R44" s="359">
        <f>SUM(O44:Q44)</f>
        <v>0</v>
      </c>
      <c r="S44" s="36"/>
      <c r="T44" s="362">
        <f>F44+J44+N44+R44</f>
        <v>0</v>
      </c>
      <c r="U44" s="32"/>
    </row>
    <row r="45" spans="1:21" ht="6" customHeight="1" x14ac:dyDescent="0.2">
      <c r="A45" s="68"/>
      <c r="B45" s="69"/>
      <c r="C45" s="65"/>
      <c r="D45" s="65"/>
      <c r="E45" s="65"/>
      <c r="F45" s="65"/>
      <c r="G45" s="65"/>
      <c r="H45" s="65"/>
      <c r="I45" s="65"/>
      <c r="J45" s="65"/>
      <c r="K45" s="65"/>
      <c r="L45" s="65"/>
      <c r="M45" s="65"/>
      <c r="N45" s="65"/>
      <c r="O45" s="65"/>
      <c r="P45" s="65"/>
      <c r="Q45" s="65"/>
      <c r="R45" s="65"/>
      <c r="S45" s="36"/>
      <c r="T45" s="66"/>
      <c r="U45" s="32"/>
    </row>
    <row r="46" spans="1:21" ht="21" customHeight="1" x14ac:dyDescent="0.2">
      <c r="A46" s="68"/>
      <c r="B46" s="32"/>
      <c r="C46" s="2582" t="s">
        <v>328</v>
      </c>
      <c r="D46" s="2582"/>
      <c r="E46" s="2582"/>
      <c r="F46" s="2582"/>
      <c r="G46" s="2582"/>
      <c r="H46" s="2582"/>
      <c r="I46" s="2582"/>
      <c r="J46" s="65"/>
      <c r="K46" s="2582" t="str">
        <f>C46</f>
        <v>La LIQUIDAZIONE IVA del periodo è stata così calcolata ed archiviata:</v>
      </c>
      <c r="L46" s="2577"/>
      <c r="M46" s="2577"/>
      <c r="N46" s="2577"/>
      <c r="O46" s="2577"/>
      <c r="P46" s="2577"/>
      <c r="Q46" s="2577"/>
      <c r="R46" s="65"/>
      <c r="S46" s="36"/>
      <c r="T46" s="66"/>
      <c r="U46" s="32"/>
    </row>
    <row r="47" spans="1:21" ht="15" customHeight="1" x14ac:dyDescent="0.2">
      <c r="A47" s="68"/>
      <c r="B47" s="69"/>
      <c r="C47" s="65"/>
      <c r="D47" s="65"/>
      <c r="E47" s="65"/>
      <c r="F47" s="65"/>
      <c r="G47" s="65"/>
      <c r="H47" s="65"/>
      <c r="I47" s="65"/>
      <c r="J47" s="65"/>
      <c r="K47" s="65"/>
      <c r="L47" s="65"/>
      <c r="M47" s="65"/>
      <c r="N47" s="65"/>
      <c r="O47" s="65"/>
      <c r="P47" s="65"/>
      <c r="Q47" s="65"/>
      <c r="R47" s="65"/>
      <c r="S47" s="36"/>
      <c r="T47" s="66"/>
      <c r="U47" s="32"/>
    </row>
    <row r="48" spans="1:21" ht="16.5" customHeight="1" x14ac:dyDescent="0.2">
      <c r="A48" s="1"/>
      <c r="B48" s="821" t="str">
        <f>B$4</f>
        <v>TOTALE EURO</v>
      </c>
      <c r="C48" s="71" t="str">
        <f>C97</f>
        <v>Gennaio</v>
      </c>
      <c r="D48" s="71" t="str">
        <f>D97</f>
        <v>Febbraio</v>
      </c>
      <c r="E48" s="71" t="str">
        <f>E97</f>
        <v>Marzo</v>
      </c>
      <c r="F48" s="70"/>
      <c r="G48" s="71" t="str">
        <f>G97</f>
        <v>Aprile</v>
      </c>
      <c r="H48" s="71" t="str">
        <f>H97</f>
        <v>Maggio</v>
      </c>
      <c r="I48" s="71" t="str">
        <f>I97</f>
        <v>Giugno</v>
      </c>
      <c r="J48" s="70"/>
      <c r="K48" s="71" t="str">
        <f>K97</f>
        <v>Luglio</v>
      </c>
      <c r="L48" s="71" t="str">
        <f>L97</f>
        <v>Agosto</v>
      </c>
      <c r="M48" s="71" t="str">
        <f>M97</f>
        <v>Settembre</v>
      </c>
      <c r="N48" s="70"/>
      <c r="O48" s="71" t="str">
        <f>O97</f>
        <v>Ottobre</v>
      </c>
      <c r="P48" s="71" t="str">
        <f>P97</f>
        <v>Novembre</v>
      </c>
      <c r="Q48" s="71" t="str">
        <f>Q97</f>
        <v>Dicembre</v>
      </c>
      <c r="R48" s="70"/>
      <c r="S48" s="36"/>
      <c r="T48" s="71" t="str">
        <f>T97</f>
        <v>ANNO 2024</v>
      </c>
      <c r="U48" s="32"/>
    </row>
    <row r="49" spans="1:21" ht="18.75" customHeight="1" x14ac:dyDescent="0.2">
      <c r="A49" s="1"/>
      <c r="B49" s="37" t="str">
        <f>IF($B$13="","",VLOOKUP($B$13,F203:G204,2,FALSE))</f>
        <v>IVA a CREDITO</v>
      </c>
      <c r="C49" s="334">
        <f>GEN!$H$53</f>
        <v>0</v>
      </c>
      <c r="D49" s="334">
        <f>FEB!$H$53</f>
        <v>0</v>
      </c>
      <c r="E49" s="334">
        <f>MAR!$H$53</f>
        <v>0</v>
      </c>
      <c r="F49" s="38"/>
      <c r="G49" s="334">
        <f>APR!$H$53</f>
        <v>0</v>
      </c>
      <c r="H49" s="334">
        <f>MAG!$H$53</f>
        <v>0</v>
      </c>
      <c r="I49" s="334">
        <f>GIU!$H$53</f>
        <v>0</v>
      </c>
      <c r="J49" s="38"/>
      <c r="K49" s="334">
        <f>LUG!$H$53</f>
        <v>0</v>
      </c>
      <c r="L49" s="334">
        <f>AGO!$H$53</f>
        <v>0</v>
      </c>
      <c r="M49" s="334">
        <f>SET!$H$53</f>
        <v>0</v>
      </c>
      <c r="N49" s="38"/>
      <c r="O49" s="334">
        <f>OTT!$H$53</f>
        <v>0</v>
      </c>
      <c r="P49" s="334">
        <f>NOV!$H$53</f>
        <v>0</v>
      </c>
      <c r="Q49" s="334">
        <f>DIC!$H$53</f>
        <v>0</v>
      </c>
      <c r="R49" s="39"/>
      <c r="S49" s="35"/>
      <c r="T49" s="334">
        <f>SUM(C49:E49)+SUM(G49:I49)+SUM(K49:M49)+SUM(O49:Q49)</f>
        <v>0</v>
      </c>
      <c r="U49" s="32"/>
    </row>
    <row r="50" spans="1:21" ht="18.75" customHeight="1" x14ac:dyDescent="0.2">
      <c r="A50" s="1"/>
      <c r="B50" s="40" t="s">
        <v>246</v>
      </c>
      <c r="C50" s="335">
        <f>GEN!$K$53</f>
        <v>0</v>
      </c>
      <c r="D50" s="335">
        <f>FEB!$K$53</f>
        <v>0</v>
      </c>
      <c r="E50" s="335">
        <f>MAR!$K$53</f>
        <v>0</v>
      </c>
      <c r="F50" s="41"/>
      <c r="G50" s="335">
        <f>APR!$K$53</f>
        <v>0</v>
      </c>
      <c r="H50" s="335">
        <f>MAG!$K$53</f>
        <v>0</v>
      </c>
      <c r="I50" s="335">
        <f>GIU!$K$53</f>
        <v>0</v>
      </c>
      <c r="J50" s="41"/>
      <c r="K50" s="335">
        <f>LUG!$K$53</f>
        <v>0</v>
      </c>
      <c r="L50" s="335">
        <f>AGO!$K$53</f>
        <v>0</v>
      </c>
      <c r="M50" s="335">
        <f>SET!$K$53</f>
        <v>0</v>
      </c>
      <c r="N50" s="41"/>
      <c r="O50" s="335">
        <f>OTT!$K$53</f>
        <v>0</v>
      </c>
      <c r="P50" s="335">
        <f>NOV!$K$53</f>
        <v>0</v>
      </c>
      <c r="Q50" s="335">
        <f>DIC!$K$53</f>
        <v>0</v>
      </c>
      <c r="R50" s="39"/>
      <c r="S50" s="35"/>
      <c r="T50" s="335"/>
      <c r="U50" s="32"/>
    </row>
    <row r="51" spans="1:21" ht="22.5" customHeight="1" x14ac:dyDescent="0.2">
      <c r="A51" s="181"/>
      <c r="B51" s="333" t="s">
        <v>655</v>
      </c>
      <c r="C51" s="336">
        <f>C13+C49+C50</f>
        <v>0</v>
      </c>
      <c r="D51" s="337">
        <f>D13+D49+D50</f>
        <v>0</v>
      </c>
      <c r="E51" s="338">
        <f>E13+E49+E50</f>
        <v>0</v>
      </c>
      <c r="F51" s="42"/>
      <c r="G51" s="336">
        <f>G13+G49+G50</f>
        <v>0</v>
      </c>
      <c r="H51" s="337">
        <f>H13+H49+H50</f>
        <v>0</v>
      </c>
      <c r="I51" s="339">
        <f>I13+I49+I50</f>
        <v>0</v>
      </c>
      <c r="J51" s="43"/>
      <c r="K51" s="336">
        <f>K13+K49+K50</f>
        <v>0</v>
      </c>
      <c r="L51" s="337">
        <f>L13+L49+L50</f>
        <v>0</v>
      </c>
      <c r="M51" s="338">
        <f>M13+M49+M50</f>
        <v>0</v>
      </c>
      <c r="N51" s="42"/>
      <c r="O51" s="336">
        <f>O13+O49+O50</f>
        <v>0</v>
      </c>
      <c r="P51" s="337">
        <f>P13+P49+P50</f>
        <v>0</v>
      </c>
      <c r="Q51" s="339">
        <f>Q13+Q49+Q50</f>
        <v>0</v>
      </c>
      <c r="R51" s="43"/>
      <c r="S51" s="35"/>
      <c r="T51" s="1219">
        <f>SUMIF(C51:E51,"&lt;&gt;0")+SUMIF(G51:I51,"&lt;&gt;0")+SUMIF(K51:M51,"&lt;&gt;0")+SUMIF(O51:Q51,"&lt;&gt;0")</f>
        <v>0</v>
      </c>
      <c r="U51" s="32"/>
    </row>
    <row r="52" spans="1:21" ht="11.25" customHeight="1" x14ac:dyDescent="0.2">
      <c r="A52" s="1"/>
      <c r="B52" s="44"/>
      <c r="C52" s="44"/>
      <c r="D52" s="44"/>
      <c r="E52" s="44"/>
      <c r="F52" s="44"/>
      <c r="G52" s="44"/>
      <c r="H52" s="44"/>
      <c r="I52" s="44"/>
      <c r="J52" s="44"/>
      <c r="K52" s="44"/>
      <c r="L52" s="44"/>
      <c r="M52" s="44"/>
      <c r="N52" s="44"/>
      <c r="O52" s="44"/>
      <c r="P52" s="44"/>
      <c r="Q52" s="44"/>
      <c r="R52" s="44"/>
      <c r="S52" s="34"/>
      <c r="T52" s="44"/>
      <c r="U52" s="32"/>
    </row>
    <row r="53" spans="1:21" ht="21" customHeight="1" x14ac:dyDescent="0.2">
      <c r="A53" s="68"/>
      <c r="B53" s="222"/>
      <c r="C53" s="2578" t="s">
        <v>329</v>
      </c>
      <c r="D53" s="2578"/>
      <c r="E53" s="2578"/>
      <c r="F53" s="222"/>
      <c r="G53" s="2578" t="s">
        <v>329</v>
      </c>
      <c r="H53" s="2578"/>
      <c r="I53" s="2578"/>
      <c r="J53" s="65"/>
      <c r="K53" s="2578" t="s">
        <v>329</v>
      </c>
      <c r="L53" s="2578"/>
      <c r="M53" s="2578"/>
      <c r="N53" s="65"/>
      <c r="O53" s="2578" t="s">
        <v>329</v>
      </c>
      <c r="P53" s="2578"/>
      <c r="Q53" s="2578"/>
      <c r="R53" s="65"/>
      <c r="S53" s="36"/>
      <c r="T53" s="66"/>
      <c r="U53" s="32"/>
    </row>
    <row r="54" spans="1:21" ht="21" customHeight="1" x14ac:dyDescent="0.2">
      <c r="A54" s="1"/>
      <c r="B54" s="459" t="s">
        <v>247</v>
      </c>
      <c r="C54" s="402">
        <f>GEN!$C$52</f>
        <v>0</v>
      </c>
      <c r="D54" s="403">
        <f>FEB!$C$52</f>
        <v>0</v>
      </c>
      <c r="E54" s="404">
        <f>MAR!$C$52</f>
        <v>0</v>
      </c>
      <c r="F54" s="44"/>
      <c r="G54" s="402">
        <f>APR!$C$52</f>
        <v>0</v>
      </c>
      <c r="H54" s="403">
        <f>MAG!$C$52</f>
        <v>0</v>
      </c>
      <c r="I54" s="404">
        <f>GIU!$C$52</f>
        <v>0</v>
      </c>
      <c r="J54" s="44"/>
      <c r="K54" s="402">
        <f>LUG!$C$52</f>
        <v>0</v>
      </c>
      <c r="L54" s="403">
        <f>AGO!$C$52</f>
        <v>0</v>
      </c>
      <c r="M54" s="404">
        <f>SET!$C$52</f>
        <v>0</v>
      </c>
      <c r="N54" s="44"/>
      <c r="O54" s="402">
        <f>OTT!$C$52</f>
        <v>0</v>
      </c>
      <c r="P54" s="403">
        <f>NOV!$C$52</f>
        <v>0</v>
      </c>
      <c r="Q54" s="404">
        <f>DIC!$C$52</f>
        <v>0</v>
      </c>
      <c r="R54" s="44"/>
      <c r="S54" s="34"/>
      <c r="T54" s="44"/>
      <c r="U54" s="32"/>
    </row>
    <row r="55" spans="1:21" ht="21" customHeight="1" x14ac:dyDescent="0.2">
      <c r="A55" s="1"/>
      <c r="B55" s="459" t="s">
        <v>621</v>
      </c>
      <c r="C55" s="1216">
        <f>GEN!$C$56</f>
        <v>0</v>
      </c>
      <c r="D55" s="1217">
        <f>FEB!$C$56</f>
        <v>0</v>
      </c>
      <c r="E55" s="1218">
        <f>MAR!$C$56</f>
        <v>0</v>
      </c>
      <c r="F55" s="44"/>
      <c r="G55" s="1216">
        <f>APR!$C$56</f>
        <v>0</v>
      </c>
      <c r="H55" s="1217">
        <f>MAG!$C$56</f>
        <v>0</v>
      </c>
      <c r="I55" s="1218">
        <f>GIU!$C$56</f>
        <v>0</v>
      </c>
      <c r="J55" s="44"/>
      <c r="K55" s="1216">
        <f>LUG!$C$56</f>
        <v>0</v>
      </c>
      <c r="L55" s="1217">
        <f>AGO!$C$56</f>
        <v>0</v>
      </c>
      <c r="M55" s="1218">
        <f>SET!$C$56</f>
        <v>0</v>
      </c>
      <c r="N55" s="44"/>
      <c r="O55" s="1216">
        <f>OTT!$C$56</f>
        <v>0</v>
      </c>
      <c r="P55" s="1217">
        <f>NOV!$C$56</f>
        <v>0</v>
      </c>
      <c r="Q55" s="1218">
        <f>DIC!$C$56</f>
        <v>0</v>
      </c>
      <c r="R55" s="44"/>
      <c r="S55" s="34"/>
      <c r="T55" s="44"/>
      <c r="U55" s="32"/>
    </row>
    <row r="56" spans="1:21" ht="21" customHeight="1" x14ac:dyDescent="0.2">
      <c r="A56" s="1"/>
      <c r="B56" s="459" t="s">
        <v>622</v>
      </c>
      <c r="C56" s="405">
        <f>GEN!$E$56</f>
        <v>0</v>
      </c>
      <c r="D56" s="406">
        <f>FEB!$E$56</f>
        <v>0</v>
      </c>
      <c r="E56" s="407">
        <f>MAR!$E$56</f>
        <v>0</v>
      </c>
      <c r="F56" s="44"/>
      <c r="G56" s="405">
        <f>APR!$E$56</f>
        <v>0</v>
      </c>
      <c r="H56" s="406">
        <f>MAG!$E$56</f>
        <v>0</v>
      </c>
      <c r="I56" s="407">
        <f>GIU!$E$56</f>
        <v>0</v>
      </c>
      <c r="J56" s="44"/>
      <c r="K56" s="405">
        <f>LUG!$E$56</f>
        <v>0</v>
      </c>
      <c r="L56" s="406">
        <f>AGO!$E$56</f>
        <v>0</v>
      </c>
      <c r="M56" s="407">
        <f>SET!$E$56</f>
        <v>0</v>
      </c>
      <c r="N56" s="44"/>
      <c r="O56" s="405">
        <f>OTT!$E$56</f>
        <v>0</v>
      </c>
      <c r="P56" s="406">
        <f>NOV!$E$56</f>
        <v>0</v>
      </c>
      <c r="Q56" s="407">
        <f>DIC!$E$56</f>
        <v>0</v>
      </c>
      <c r="R56" s="44"/>
      <c r="S56" s="34"/>
      <c r="T56" s="44"/>
      <c r="U56" s="32"/>
    </row>
    <row r="57" spans="1:21" ht="22.5" customHeight="1" x14ac:dyDescent="0.2">
      <c r="A57" s="1"/>
      <c r="B57" s="44"/>
      <c r="C57" s="2579"/>
      <c r="D57" s="2579"/>
      <c r="E57" s="2579"/>
      <c r="F57" s="44"/>
      <c r="G57" s="2579"/>
      <c r="H57" s="2579"/>
      <c r="I57" s="2579"/>
      <c r="J57" s="44"/>
      <c r="K57" s="2579"/>
      <c r="L57" s="2579"/>
      <c r="M57" s="2579"/>
      <c r="N57" s="44"/>
      <c r="O57" s="2579"/>
      <c r="P57" s="2579"/>
      <c r="Q57" s="2579"/>
      <c r="R57" s="44"/>
      <c r="S57" s="34"/>
      <c r="T57" s="44"/>
      <c r="U57" s="32"/>
    </row>
    <row r="58" spans="1:21" ht="18" customHeight="1" x14ac:dyDescent="0.2">
      <c r="A58" s="1"/>
      <c r="B58" s="44"/>
      <c r="C58" s="634" t="str">
        <f ca="1">Presentazione!$H$13</f>
        <v/>
      </c>
      <c r="D58" s="44"/>
      <c r="E58" s="44"/>
      <c r="F58" s="44"/>
      <c r="G58" s="44"/>
      <c r="H58" s="44"/>
      <c r="I58" s="44"/>
      <c r="J58" s="44"/>
      <c r="K58" s="44"/>
      <c r="L58" s="44"/>
      <c r="M58" s="44"/>
      <c r="N58" s="44"/>
      <c r="O58" s="44"/>
      <c r="P58" s="44"/>
      <c r="Q58" s="44"/>
      <c r="R58" s="44"/>
      <c r="S58" s="34"/>
      <c r="T58" s="44"/>
      <c r="U58" s="32"/>
    </row>
    <row r="59" spans="1:21" ht="26.25" customHeight="1" x14ac:dyDescent="0.2">
      <c r="A59" s="1"/>
      <c r="B59" s="44"/>
      <c r="C59" s="632" t="str">
        <f ca="1">IF(Presentazione!$J$165=Presentazione!$K$83,CONCATENATE(Presentazione!$F$77,"   -   ","P.I./C.F ",Presentazione!$K$79),Presentazione!$I$157)</f>
        <v>Sistema parzialmente attivato. Inserisci il tuo CODICE di PROPRIETA' nel foglio Presentazione.</v>
      </c>
      <c r="D59" s="631"/>
      <c r="E59" s="631"/>
      <c r="F59" s="631"/>
      <c r="G59" s="631"/>
      <c r="H59" s="761"/>
      <c r="I59" s="761"/>
      <c r="J59" s="761"/>
      <c r="K59" s="631"/>
      <c r="L59" s="631"/>
      <c r="M59" s="631"/>
      <c r="N59" s="631"/>
      <c r="O59" s="631"/>
      <c r="P59" s="2586"/>
      <c r="Q59" s="2586"/>
      <c r="R59" s="2586"/>
      <c r="S59" s="34"/>
      <c r="T59" s="44"/>
      <c r="U59" s="32"/>
    </row>
    <row r="60" spans="1:21" ht="17.25" customHeight="1" x14ac:dyDescent="0.2">
      <c r="A60" s="1"/>
      <c r="B60" s="44"/>
      <c r="C60" s="640"/>
      <c r="D60" s="177"/>
      <c r="E60" s="45"/>
      <c r="F60" s="2584" t="str">
        <f>CONCATENATE(Presentazione!$G$35,"   -   ",Presentazione!$L$88)</f>
        <v>Registro dei Corrispettivi 5.2.4 3txt - per EXCEL .xlsm   -   www.marcopiccoli.it</v>
      </c>
      <c r="G60" s="2584"/>
      <c r="H60" s="2584"/>
      <c r="I60" s="2584"/>
      <c r="J60" s="2584"/>
      <c r="K60" s="640"/>
      <c r="L60" s="177"/>
      <c r="M60" s="44"/>
      <c r="N60" s="2584" t="str">
        <f>CONCATENATE(Presentazione!$G$35,"   -   ",Presentazione!$L$88)</f>
        <v>Registro dei Corrispettivi 5.2.4 3txt - per EXCEL .xlsm   -   www.marcopiccoli.it</v>
      </c>
      <c r="O60" s="2584"/>
      <c r="P60" s="2584"/>
      <c r="Q60" s="2584"/>
      <c r="R60" s="2584"/>
      <c r="S60" s="120"/>
      <c r="T60" s="120"/>
      <c r="U60" s="32"/>
    </row>
    <row r="61" spans="1:21" ht="20.25" customHeight="1" x14ac:dyDescent="0.2">
      <c r="A61" s="1"/>
      <c r="B61" s="67"/>
      <c r="C61" s="375"/>
      <c r="D61" s="375"/>
      <c r="E61" s="375"/>
      <c r="F61" s="375"/>
      <c r="G61" s="375"/>
      <c r="H61" s="375"/>
      <c r="I61" s="375"/>
      <c r="J61" s="375"/>
      <c r="K61" s="375"/>
      <c r="L61" s="375"/>
      <c r="M61" s="375"/>
      <c r="N61" s="375"/>
      <c r="O61" s="375"/>
      <c r="P61" s="375"/>
      <c r="Q61" s="375"/>
      <c r="R61" s="375"/>
      <c r="S61" s="36"/>
      <c r="T61" s="66"/>
      <c r="U61" s="32"/>
    </row>
    <row r="62" spans="1:21" ht="20.25" customHeight="1" x14ac:dyDescent="0.2">
      <c r="A62" s="1"/>
      <c r="B62" s="332"/>
      <c r="C62" s="2580" t="s">
        <v>720</v>
      </c>
      <c r="D62" s="2580"/>
      <c r="E62" s="2580"/>
      <c r="F62" s="2583"/>
      <c r="G62" s="2583"/>
      <c r="H62" s="2583"/>
      <c r="I62" s="2583"/>
      <c r="J62" s="2583"/>
      <c r="K62" s="2580" t="str">
        <f>C62</f>
        <v>CATEGORIE utilizzate nell' anno</v>
      </c>
      <c r="L62" s="2580"/>
      <c r="M62" s="2580"/>
      <c r="N62" s="2580"/>
      <c r="O62" s="2580"/>
      <c r="P62" s="65"/>
      <c r="Q62" s="65"/>
      <c r="R62" s="65"/>
      <c r="S62" s="36"/>
      <c r="T62" s="66"/>
      <c r="U62" s="32"/>
    </row>
    <row r="63" spans="1:21" ht="16.5" customHeight="1" x14ac:dyDescent="0.2">
      <c r="A63" s="1"/>
      <c r="B63" s="821" t="str">
        <f>B$4</f>
        <v>TOTALE EURO</v>
      </c>
      <c r="C63" s="71" t="str">
        <f t="shared" ref="C63:R63" si="6">C4</f>
        <v>Gennaio</v>
      </c>
      <c r="D63" s="71" t="str">
        <f t="shared" si="6"/>
        <v>Febbraio</v>
      </c>
      <c r="E63" s="71" t="str">
        <f t="shared" si="6"/>
        <v>Marzo</v>
      </c>
      <c r="F63" s="330" t="str">
        <f t="shared" si="6"/>
        <v>I Trim.</v>
      </c>
      <c r="G63" s="71" t="str">
        <f t="shared" si="6"/>
        <v>Aprile</v>
      </c>
      <c r="H63" s="71" t="str">
        <f t="shared" si="6"/>
        <v>Maggio</v>
      </c>
      <c r="I63" s="71" t="str">
        <f t="shared" si="6"/>
        <v>Giugno</v>
      </c>
      <c r="J63" s="330" t="str">
        <f t="shared" si="6"/>
        <v>II Trim.</v>
      </c>
      <c r="K63" s="71" t="str">
        <f t="shared" si="6"/>
        <v>Luglio</v>
      </c>
      <c r="L63" s="71" t="str">
        <f t="shared" si="6"/>
        <v>Agosto</v>
      </c>
      <c r="M63" s="71" t="str">
        <f t="shared" si="6"/>
        <v>Settembre</v>
      </c>
      <c r="N63" s="330" t="str">
        <f t="shared" si="6"/>
        <v>III Trim.</v>
      </c>
      <c r="O63" s="71" t="str">
        <f t="shared" si="6"/>
        <v>Ottobre</v>
      </c>
      <c r="P63" s="71" t="str">
        <f t="shared" si="6"/>
        <v>Novembre</v>
      </c>
      <c r="Q63" s="71" t="str">
        <f t="shared" si="6"/>
        <v>Dicembre</v>
      </c>
      <c r="R63" s="330" t="str">
        <f t="shared" si="6"/>
        <v>IV Trim.</v>
      </c>
      <c r="S63" s="36"/>
      <c r="T63" s="331" t="str">
        <f>CONCATENATE(T$4," ",T$3)</f>
        <v>ANNO 2024</v>
      </c>
      <c r="U63" s="32"/>
    </row>
    <row r="64" spans="1:21" ht="18" customHeight="1" x14ac:dyDescent="0.2">
      <c r="A64" s="68">
        <f>IF(AND($C$203=1,$C$204=0),0,IF(C$196=0,0,1))</f>
        <v>0</v>
      </c>
      <c r="B64" s="371" t="str">
        <f>VLOOKUP(A64,IMPOSTAZIONI!$B$308:$AQ$317,42,FALSE)</f>
        <v>AGGIO Tabacchi</v>
      </c>
      <c r="C64" s="363">
        <f>IF($A64=0,0,VLOOKUP($A64,IMPOSTAZIONI!$B$308:$AM$317,C$91,FALSE))</f>
        <v>0</v>
      </c>
      <c r="D64" s="364">
        <f>IF($A64=0,0,VLOOKUP($A64,IMPOSTAZIONI!$B$308:$AM$317,D$91,FALSE))</f>
        <v>0</v>
      </c>
      <c r="E64" s="364">
        <f>IF($A64=0,0,VLOOKUP($A64,IMPOSTAZIONI!$B$308:$AM$317,E$91,FALSE))</f>
        <v>0</v>
      </c>
      <c r="F64" s="357">
        <f>SUM(C64:E64)</f>
        <v>0</v>
      </c>
      <c r="G64" s="363">
        <f>IF($A64=0,0,VLOOKUP($A64,IMPOSTAZIONI!$B$308:$AM$317,G$91,FALSE))</f>
        <v>0</v>
      </c>
      <c r="H64" s="364">
        <f>IF($A64=0,0,VLOOKUP($A64,IMPOSTAZIONI!$B$308:$AM$317,H$91,FALSE))</f>
        <v>0</v>
      </c>
      <c r="I64" s="364">
        <f>IF($A64=0,0,VLOOKUP($A64,IMPOSTAZIONI!$B$308:$AM$317,I$91,FALSE))</f>
        <v>0</v>
      </c>
      <c r="J64" s="357">
        <f>SUM(G64:I64)</f>
        <v>0</v>
      </c>
      <c r="K64" s="363">
        <f>IF($A64=0,0,VLOOKUP($A64,IMPOSTAZIONI!$B$308:$AM$317,K$91,FALSE))</f>
        <v>0</v>
      </c>
      <c r="L64" s="364">
        <f>IF($A64=0,0,VLOOKUP($A64,IMPOSTAZIONI!$B$308:$AM$317,L$91,FALSE))</f>
        <v>0</v>
      </c>
      <c r="M64" s="364">
        <f>IF($A64=0,0,VLOOKUP($A64,IMPOSTAZIONI!$B$308:$AM$317,M$91,FALSE))</f>
        <v>0</v>
      </c>
      <c r="N64" s="357">
        <f>SUM(K64:M64)</f>
        <v>0</v>
      </c>
      <c r="O64" s="363">
        <f>IF($A64=0,0,VLOOKUP($A64,IMPOSTAZIONI!$B$308:$AM$317,O$91,FALSE))</f>
        <v>0</v>
      </c>
      <c r="P64" s="364">
        <f>IF($A64=0,0,VLOOKUP($A64,IMPOSTAZIONI!$B$308:$AM$317,P$91,FALSE))</f>
        <v>0</v>
      </c>
      <c r="Q64" s="364">
        <f>IF($A64=0,0,VLOOKUP($A64,IMPOSTAZIONI!$B$308:$AM$317,Q$91,FALSE))</f>
        <v>0</v>
      </c>
      <c r="R64" s="357">
        <f>SUM(O64:Q64)</f>
        <v>0</v>
      </c>
      <c r="S64" s="36"/>
      <c r="T64" s="360">
        <f>F64+J64+N64+R64</f>
        <v>0</v>
      </c>
      <c r="U64" s="32"/>
    </row>
    <row r="65" spans="1:21" ht="16.5" customHeight="1" x14ac:dyDescent="0.2">
      <c r="A65" s="541">
        <f>A64</f>
        <v>0</v>
      </c>
      <c r="B65" s="355" t="s">
        <v>325</v>
      </c>
      <c r="C65" s="314">
        <f>C64-C66</f>
        <v>0</v>
      </c>
      <c r="D65" s="315">
        <f>D64-D66</f>
        <v>0</v>
      </c>
      <c r="E65" s="315">
        <f>E64-E66</f>
        <v>0</v>
      </c>
      <c r="F65" s="358">
        <f>SUM(C65:E65)</f>
        <v>0</v>
      </c>
      <c r="G65" s="314">
        <f>G64-G66</f>
        <v>0</v>
      </c>
      <c r="H65" s="315">
        <f>H64-H66</f>
        <v>0</v>
      </c>
      <c r="I65" s="315">
        <f>I64-I66</f>
        <v>0</v>
      </c>
      <c r="J65" s="358">
        <f>SUM(G65:I65)</f>
        <v>0</v>
      </c>
      <c r="K65" s="314">
        <f>K64-K66</f>
        <v>0</v>
      </c>
      <c r="L65" s="315">
        <f>L64-L66</f>
        <v>0</v>
      </c>
      <c r="M65" s="315">
        <f>M64-M66</f>
        <v>0</v>
      </c>
      <c r="N65" s="358">
        <f>SUM(K65:M65)</f>
        <v>0</v>
      </c>
      <c r="O65" s="314">
        <f>O64-O66</f>
        <v>0</v>
      </c>
      <c r="P65" s="315">
        <f>P64-P66</f>
        <v>0</v>
      </c>
      <c r="Q65" s="315">
        <f>Q64-Q66</f>
        <v>0</v>
      </c>
      <c r="R65" s="358">
        <f>SUM(O65:Q65)</f>
        <v>0</v>
      </c>
      <c r="S65" s="36"/>
      <c r="T65" s="361">
        <f>F65+J65+N65+R65</f>
        <v>0</v>
      </c>
      <c r="U65" s="32"/>
    </row>
    <row r="66" spans="1:21" ht="16.5" customHeight="1" x14ac:dyDescent="0.2">
      <c r="A66" s="541">
        <f>A64</f>
        <v>0</v>
      </c>
      <c r="B66" s="356" t="s">
        <v>195</v>
      </c>
      <c r="C66" s="316">
        <f>IF(C64=0,0,VLOOKUP($A66,IMPOSTAZIONI!$B$324:$AM$333,C$91,FALSE))</f>
        <v>0</v>
      </c>
      <c r="D66" s="317">
        <f>IF(D64=0,0,VLOOKUP($A66,IMPOSTAZIONI!$B$324:$AM$333,D$91,FALSE))</f>
        <v>0</v>
      </c>
      <c r="E66" s="317">
        <f>IF(E64=0,0,VLOOKUP($A66,IMPOSTAZIONI!$B$324:$AM$333,E$91,FALSE))</f>
        <v>0</v>
      </c>
      <c r="F66" s="359">
        <f>SUM(C66:E66)</f>
        <v>0</v>
      </c>
      <c r="G66" s="316">
        <f>IF(G64=0,0,VLOOKUP($A66,IMPOSTAZIONI!$B$324:$AM$333,G$91,FALSE))</f>
        <v>0</v>
      </c>
      <c r="H66" s="317">
        <f>IF(H64=0,0,VLOOKUP($A66,IMPOSTAZIONI!$B$324:$AM$333,H$91,FALSE))</f>
        <v>0</v>
      </c>
      <c r="I66" s="317">
        <f>IF(I64=0,0,VLOOKUP($A66,IMPOSTAZIONI!$B$324:$AM$333,I$91,FALSE))</f>
        <v>0</v>
      </c>
      <c r="J66" s="359">
        <f>SUM(G66:I66)</f>
        <v>0</v>
      </c>
      <c r="K66" s="316">
        <f>IF(K64=0,0,VLOOKUP($A66,IMPOSTAZIONI!$B$324:$AM$333,K$91,FALSE))</f>
        <v>0</v>
      </c>
      <c r="L66" s="317">
        <f>IF(L64=0,0,VLOOKUP($A66,IMPOSTAZIONI!$B$324:$AM$333,L$91,FALSE))</f>
        <v>0</v>
      </c>
      <c r="M66" s="317">
        <f>IF(M64=0,0,VLOOKUP($A66,IMPOSTAZIONI!$B$324:$AM$333,M$91,FALSE))</f>
        <v>0</v>
      </c>
      <c r="N66" s="359">
        <f>SUM(K66:M66)</f>
        <v>0</v>
      </c>
      <c r="O66" s="316">
        <f>IF(O64=0,0,VLOOKUP($A66,IMPOSTAZIONI!$B$324:$AM$333,O$91,FALSE))</f>
        <v>0</v>
      </c>
      <c r="P66" s="317">
        <f>IF(P64=0,0,VLOOKUP($A66,IMPOSTAZIONI!$B$324:$AM$333,P$91,FALSE))</f>
        <v>0</v>
      </c>
      <c r="Q66" s="317">
        <f>IF(Q64=0,0,VLOOKUP($A66,IMPOSTAZIONI!$B$324:$AM$333,Q$91,FALSE))</f>
        <v>0</v>
      </c>
      <c r="R66" s="359">
        <f>SUM(O66:Q66)</f>
        <v>0</v>
      </c>
      <c r="S66" s="36"/>
      <c r="T66" s="362">
        <f>F66+J66+N66+R66</f>
        <v>0</v>
      </c>
      <c r="U66" s="32"/>
    </row>
    <row r="67" spans="1:21" ht="6" customHeight="1" x14ac:dyDescent="0.2">
      <c r="A67" s="68"/>
      <c r="B67" s="69"/>
      <c r="C67" s="65"/>
      <c r="D67" s="65"/>
      <c r="E67" s="65"/>
      <c r="F67" s="65"/>
      <c r="G67" s="65"/>
      <c r="H67" s="65"/>
      <c r="I67" s="65"/>
      <c r="J67" s="65"/>
      <c r="K67" s="65"/>
      <c r="L67" s="65"/>
      <c r="M67" s="65"/>
      <c r="N67" s="65"/>
      <c r="O67" s="65"/>
      <c r="P67" s="65"/>
      <c r="Q67" s="65"/>
      <c r="R67" s="65"/>
      <c r="S67" s="36"/>
      <c r="T67" s="66"/>
      <c r="U67" s="32"/>
    </row>
    <row r="68" spans="1:21" ht="18" customHeight="1" x14ac:dyDescent="0.2">
      <c r="A68" s="68">
        <f>IF(AND($C$203=1,$C$204=0),0,IF(C$196=0,0,A64+1))</f>
        <v>0</v>
      </c>
      <c r="B68" s="371" t="str">
        <f>VLOOKUP(A68,IMPOSTAZIONI!$B$308:$AQ$317,42,FALSE)</f>
        <v>AGGIO Tabacchi</v>
      </c>
      <c r="C68" s="363">
        <f>IF($A68=0,0,VLOOKUP($A68,IMPOSTAZIONI!$B$308:$AM$317,C$91,FALSE))</f>
        <v>0</v>
      </c>
      <c r="D68" s="364">
        <f>IF($A68=0,0,VLOOKUP($A68,IMPOSTAZIONI!$B$308:$AM$317,D$91,FALSE))</f>
        <v>0</v>
      </c>
      <c r="E68" s="364">
        <f>IF($A68=0,0,VLOOKUP($A68,IMPOSTAZIONI!$B$308:$AM$317,E$91,FALSE))</f>
        <v>0</v>
      </c>
      <c r="F68" s="357">
        <f>SUM(C68:E68)</f>
        <v>0</v>
      </c>
      <c r="G68" s="363">
        <f>IF($A68=0,0,VLOOKUP($A68,IMPOSTAZIONI!$B$308:$AM$317,G$91,FALSE))</f>
        <v>0</v>
      </c>
      <c r="H68" s="364">
        <f>IF($A68=0,0,VLOOKUP($A68,IMPOSTAZIONI!$B$308:$AM$317,H$91,FALSE))</f>
        <v>0</v>
      </c>
      <c r="I68" s="364">
        <f>IF($A68=0,0,VLOOKUP($A68,IMPOSTAZIONI!$B$308:$AM$317,I$91,FALSE))</f>
        <v>0</v>
      </c>
      <c r="J68" s="357">
        <f>SUM(G68:I68)</f>
        <v>0</v>
      </c>
      <c r="K68" s="363">
        <f>IF($A68=0,0,VLOOKUP($A68,IMPOSTAZIONI!$B$308:$AM$317,K$91,FALSE))</f>
        <v>0</v>
      </c>
      <c r="L68" s="364">
        <f>IF($A68=0,0,VLOOKUP($A68,IMPOSTAZIONI!$B$308:$AM$317,L$91,FALSE))</f>
        <v>0</v>
      </c>
      <c r="M68" s="364">
        <f>IF($A68=0,0,VLOOKUP($A68,IMPOSTAZIONI!$B$308:$AM$317,M$91,FALSE))</f>
        <v>0</v>
      </c>
      <c r="N68" s="357">
        <f>SUM(K68:M68)</f>
        <v>0</v>
      </c>
      <c r="O68" s="363">
        <f>IF($A68=0,0,VLOOKUP($A68,IMPOSTAZIONI!$B$308:$AM$317,O$91,FALSE))</f>
        <v>0</v>
      </c>
      <c r="P68" s="364">
        <f>IF($A68=0,0,VLOOKUP($A68,IMPOSTAZIONI!$B$308:$AM$317,P$91,FALSE))</f>
        <v>0</v>
      </c>
      <c r="Q68" s="364">
        <f>IF($A68=0,0,VLOOKUP($A68,IMPOSTAZIONI!$B$308:$AM$317,Q$91,FALSE))</f>
        <v>0</v>
      </c>
      <c r="R68" s="357">
        <f>SUM(O68:Q68)</f>
        <v>0</v>
      </c>
      <c r="S68" s="36"/>
      <c r="T68" s="360">
        <f>F68+J68+N68+R68</f>
        <v>0</v>
      </c>
      <c r="U68" s="32"/>
    </row>
    <row r="69" spans="1:21" ht="16.5" customHeight="1" x14ac:dyDescent="0.2">
      <c r="A69" s="541">
        <f>A68</f>
        <v>0</v>
      </c>
      <c r="B69" s="355" t="s">
        <v>325</v>
      </c>
      <c r="C69" s="314">
        <f>C68-C70</f>
        <v>0</v>
      </c>
      <c r="D69" s="315">
        <f>D68-D70</f>
        <v>0</v>
      </c>
      <c r="E69" s="315">
        <f>E68-E70</f>
        <v>0</v>
      </c>
      <c r="F69" s="358">
        <f>SUM(C69:E69)</f>
        <v>0</v>
      </c>
      <c r="G69" s="314">
        <f>G68-G70</f>
        <v>0</v>
      </c>
      <c r="H69" s="315">
        <f>H68-H70</f>
        <v>0</v>
      </c>
      <c r="I69" s="315">
        <f>I68-I70</f>
        <v>0</v>
      </c>
      <c r="J69" s="358">
        <f>SUM(G69:I69)</f>
        <v>0</v>
      </c>
      <c r="K69" s="314">
        <f>K68-K70</f>
        <v>0</v>
      </c>
      <c r="L69" s="315">
        <f>L68-L70</f>
        <v>0</v>
      </c>
      <c r="M69" s="315">
        <f>M68-M70</f>
        <v>0</v>
      </c>
      <c r="N69" s="358">
        <f>SUM(K69:M69)</f>
        <v>0</v>
      </c>
      <c r="O69" s="314">
        <f>O68-O70</f>
        <v>0</v>
      </c>
      <c r="P69" s="315">
        <f>P68-P70</f>
        <v>0</v>
      </c>
      <c r="Q69" s="315">
        <f>Q68-Q70</f>
        <v>0</v>
      </c>
      <c r="R69" s="358">
        <f>SUM(O69:Q69)</f>
        <v>0</v>
      </c>
      <c r="S69" s="36"/>
      <c r="T69" s="361">
        <f>F69+J69+N69+R69</f>
        <v>0</v>
      </c>
      <c r="U69" s="32"/>
    </row>
    <row r="70" spans="1:21" ht="16.5" customHeight="1" x14ac:dyDescent="0.2">
      <c r="A70" s="541">
        <f>A68</f>
        <v>0</v>
      </c>
      <c r="B70" s="356" t="s">
        <v>195</v>
      </c>
      <c r="C70" s="316">
        <f>IF(C68=0,0,VLOOKUP($A70,IMPOSTAZIONI!$B$324:$AM$333,C$91,FALSE))</f>
        <v>0</v>
      </c>
      <c r="D70" s="317">
        <f>IF(D68=0,0,VLOOKUP($A70,IMPOSTAZIONI!$B$324:$AM$333,D$91,FALSE))</f>
        <v>0</v>
      </c>
      <c r="E70" s="317">
        <f>IF(E68=0,0,VLOOKUP($A70,IMPOSTAZIONI!$B$324:$AM$333,E$91,FALSE))</f>
        <v>0</v>
      </c>
      <c r="F70" s="359">
        <f>SUM(C70:E70)</f>
        <v>0</v>
      </c>
      <c r="G70" s="316">
        <f>IF(G68=0,0,VLOOKUP($A70,IMPOSTAZIONI!$B$324:$AM$333,G$91,FALSE))</f>
        <v>0</v>
      </c>
      <c r="H70" s="317">
        <f>IF(H68=0,0,VLOOKUP($A70,IMPOSTAZIONI!$B$324:$AM$333,H$91,FALSE))</f>
        <v>0</v>
      </c>
      <c r="I70" s="317">
        <f>IF(I68=0,0,VLOOKUP($A70,IMPOSTAZIONI!$B$324:$AM$333,I$91,FALSE))</f>
        <v>0</v>
      </c>
      <c r="J70" s="359">
        <f>SUM(G70:I70)</f>
        <v>0</v>
      </c>
      <c r="K70" s="316">
        <f>IF(K68=0,0,VLOOKUP($A70,IMPOSTAZIONI!$B$324:$AM$333,K$91,FALSE))</f>
        <v>0</v>
      </c>
      <c r="L70" s="317">
        <f>IF(L68=0,0,VLOOKUP($A70,IMPOSTAZIONI!$B$324:$AM$333,L$91,FALSE))</f>
        <v>0</v>
      </c>
      <c r="M70" s="317">
        <f>IF(M68=0,0,VLOOKUP($A70,IMPOSTAZIONI!$B$324:$AM$333,M$91,FALSE))</f>
        <v>0</v>
      </c>
      <c r="N70" s="359">
        <f>SUM(K70:M70)</f>
        <v>0</v>
      </c>
      <c r="O70" s="316">
        <f>IF(O68=0,0,VLOOKUP($A70,IMPOSTAZIONI!$B$324:$AM$333,O$91,FALSE))</f>
        <v>0</v>
      </c>
      <c r="P70" s="317">
        <f>IF(P68=0,0,VLOOKUP($A70,IMPOSTAZIONI!$B$324:$AM$333,P$91,FALSE))</f>
        <v>0</v>
      </c>
      <c r="Q70" s="317">
        <f>IF(Q68=0,0,VLOOKUP($A70,IMPOSTAZIONI!$B$324:$AM$333,Q$91,FALSE))</f>
        <v>0</v>
      </c>
      <c r="R70" s="359">
        <f>SUM(O70:Q70)</f>
        <v>0</v>
      </c>
      <c r="S70" s="36"/>
      <c r="T70" s="362">
        <f>F70+J70+N70+R70</f>
        <v>0</v>
      </c>
      <c r="U70" s="32"/>
    </row>
    <row r="71" spans="1:21" ht="6" customHeight="1" x14ac:dyDescent="0.2">
      <c r="A71" s="68"/>
      <c r="B71" s="69"/>
      <c r="C71" s="65"/>
      <c r="D71" s="65"/>
      <c r="E71" s="65"/>
      <c r="F71" s="65"/>
      <c r="G71" s="65"/>
      <c r="H71" s="65"/>
      <c r="I71" s="65"/>
      <c r="J71" s="65"/>
      <c r="K71" s="65"/>
      <c r="L71" s="65"/>
      <c r="M71" s="65"/>
      <c r="N71" s="65"/>
      <c r="O71" s="65"/>
      <c r="P71" s="65"/>
      <c r="Q71" s="65"/>
      <c r="R71" s="65"/>
      <c r="S71" s="36"/>
      <c r="T71" s="66"/>
      <c r="U71" s="32"/>
    </row>
    <row r="72" spans="1:21" ht="18" customHeight="1" x14ac:dyDescent="0.2">
      <c r="A72" s="68">
        <f>IF(AND($C$203=1,$C$204=0),0,IF(C$196=0,0,A68+1))</f>
        <v>0</v>
      </c>
      <c r="B72" s="371" t="str">
        <f>VLOOKUP(A72,IMPOSTAZIONI!$B$308:$AQ$317,42,FALSE)</f>
        <v>AGGIO Tabacchi</v>
      </c>
      <c r="C72" s="363">
        <f>IF($A72=0,0,VLOOKUP($A72,IMPOSTAZIONI!$B$308:$AM$317,C$91,FALSE))</f>
        <v>0</v>
      </c>
      <c r="D72" s="364">
        <f>IF($A72=0,0,VLOOKUP($A72,IMPOSTAZIONI!$B$308:$AM$317,D$91,FALSE))</f>
        <v>0</v>
      </c>
      <c r="E72" s="364">
        <f>IF($A72=0,0,VLOOKUP($A72,IMPOSTAZIONI!$B$308:$AM$317,E$91,FALSE))</f>
        <v>0</v>
      </c>
      <c r="F72" s="357">
        <f>SUM(C72:E72)</f>
        <v>0</v>
      </c>
      <c r="G72" s="363">
        <f>IF($A72=0,0,VLOOKUP($A72,IMPOSTAZIONI!$B$308:$AM$317,G$91,FALSE))</f>
        <v>0</v>
      </c>
      <c r="H72" s="364">
        <f>IF($A72=0,0,VLOOKUP($A72,IMPOSTAZIONI!$B$308:$AM$317,H$91,FALSE))</f>
        <v>0</v>
      </c>
      <c r="I72" s="364">
        <f>IF($A72=0,0,VLOOKUP($A72,IMPOSTAZIONI!$B$308:$AM$317,I$91,FALSE))</f>
        <v>0</v>
      </c>
      <c r="J72" s="357">
        <f>SUM(G72:I72)</f>
        <v>0</v>
      </c>
      <c r="K72" s="363">
        <f>IF($A72=0,0,VLOOKUP($A72,IMPOSTAZIONI!$B$308:$AM$317,K$91,FALSE))</f>
        <v>0</v>
      </c>
      <c r="L72" s="364">
        <f>IF($A72=0,0,VLOOKUP($A72,IMPOSTAZIONI!$B$308:$AM$317,L$91,FALSE))</f>
        <v>0</v>
      </c>
      <c r="M72" s="364">
        <f>IF($A72=0,0,VLOOKUP($A72,IMPOSTAZIONI!$B$308:$AM$317,M$91,FALSE))</f>
        <v>0</v>
      </c>
      <c r="N72" s="357">
        <f>SUM(K72:M72)</f>
        <v>0</v>
      </c>
      <c r="O72" s="363">
        <f>IF($A72=0,0,VLOOKUP($A72,IMPOSTAZIONI!$B$308:$AM$317,O$91,FALSE))</f>
        <v>0</v>
      </c>
      <c r="P72" s="364">
        <f>IF($A72=0,0,VLOOKUP($A72,IMPOSTAZIONI!$B$308:$AM$317,P$91,FALSE))</f>
        <v>0</v>
      </c>
      <c r="Q72" s="364">
        <f>IF($A72=0,0,VLOOKUP($A72,IMPOSTAZIONI!$B$308:$AM$317,Q$91,FALSE))</f>
        <v>0</v>
      </c>
      <c r="R72" s="357">
        <f>SUM(O72:Q72)</f>
        <v>0</v>
      </c>
      <c r="S72" s="36"/>
      <c r="T72" s="360">
        <f>F72+J72+N72+R72</f>
        <v>0</v>
      </c>
      <c r="U72" s="32"/>
    </row>
    <row r="73" spans="1:21" ht="16.5" customHeight="1" x14ac:dyDescent="0.2">
      <c r="A73" s="541">
        <f>A72</f>
        <v>0</v>
      </c>
      <c r="B73" s="355" t="s">
        <v>325</v>
      </c>
      <c r="C73" s="314">
        <f>C72-C74</f>
        <v>0</v>
      </c>
      <c r="D73" s="315">
        <f>D72-D74</f>
        <v>0</v>
      </c>
      <c r="E73" s="315">
        <f>E72-E74</f>
        <v>0</v>
      </c>
      <c r="F73" s="358">
        <f>SUM(C73:E73)</f>
        <v>0</v>
      </c>
      <c r="G73" s="314">
        <f>G72-G74</f>
        <v>0</v>
      </c>
      <c r="H73" s="315">
        <f>H72-H74</f>
        <v>0</v>
      </c>
      <c r="I73" s="315">
        <f>I72-I74</f>
        <v>0</v>
      </c>
      <c r="J73" s="358">
        <f>SUM(G73:I73)</f>
        <v>0</v>
      </c>
      <c r="K73" s="314">
        <f>K72-K74</f>
        <v>0</v>
      </c>
      <c r="L73" s="315">
        <f>L72-L74</f>
        <v>0</v>
      </c>
      <c r="M73" s="315">
        <f>M72-M74</f>
        <v>0</v>
      </c>
      <c r="N73" s="358">
        <f>SUM(K73:M73)</f>
        <v>0</v>
      </c>
      <c r="O73" s="314">
        <f>O72-O74</f>
        <v>0</v>
      </c>
      <c r="P73" s="315">
        <f>P72-P74</f>
        <v>0</v>
      </c>
      <c r="Q73" s="315">
        <f>Q72-Q74</f>
        <v>0</v>
      </c>
      <c r="R73" s="358">
        <f>SUM(O73:Q73)</f>
        <v>0</v>
      </c>
      <c r="S73" s="36"/>
      <c r="T73" s="361">
        <f>F73+J73+N73+R73</f>
        <v>0</v>
      </c>
      <c r="U73" s="32"/>
    </row>
    <row r="74" spans="1:21" ht="16.5" customHeight="1" x14ac:dyDescent="0.2">
      <c r="A74" s="541">
        <f>A72</f>
        <v>0</v>
      </c>
      <c r="B74" s="356" t="s">
        <v>195</v>
      </c>
      <c r="C74" s="316">
        <f>IF(C72=0,0,VLOOKUP($A74,IMPOSTAZIONI!$B$324:$AM$333,C$91,FALSE))</f>
        <v>0</v>
      </c>
      <c r="D74" s="317">
        <f>IF(D72=0,0,VLOOKUP($A74,IMPOSTAZIONI!$B$324:$AM$333,D$91,FALSE))</f>
        <v>0</v>
      </c>
      <c r="E74" s="317">
        <f>IF(E72=0,0,VLOOKUP($A74,IMPOSTAZIONI!$B$324:$AM$333,E$91,FALSE))</f>
        <v>0</v>
      </c>
      <c r="F74" s="359">
        <f>SUM(C74:E74)</f>
        <v>0</v>
      </c>
      <c r="G74" s="316">
        <f>IF(G72=0,0,VLOOKUP($A74,IMPOSTAZIONI!$B$324:$AM$333,G$91,FALSE))</f>
        <v>0</v>
      </c>
      <c r="H74" s="317">
        <f>IF(H72=0,0,VLOOKUP($A74,IMPOSTAZIONI!$B$324:$AM$333,H$91,FALSE))</f>
        <v>0</v>
      </c>
      <c r="I74" s="317">
        <f>IF(I72=0,0,VLOOKUP($A74,IMPOSTAZIONI!$B$324:$AM$333,I$91,FALSE))</f>
        <v>0</v>
      </c>
      <c r="J74" s="359">
        <f>SUM(G74:I74)</f>
        <v>0</v>
      </c>
      <c r="K74" s="316">
        <f>IF(K72=0,0,VLOOKUP($A74,IMPOSTAZIONI!$B$324:$AM$333,K$91,FALSE))</f>
        <v>0</v>
      </c>
      <c r="L74" s="317">
        <f>IF(L72=0,0,VLOOKUP($A74,IMPOSTAZIONI!$B$324:$AM$333,L$91,FALSE))</f>
        <v>0</v>
      </c>
      <c r="M74" s="317">
        <f>IF(M72=0,0,VLOOKUP($A74,IMPOSTAZIONI!$B$324:$AM$333,M$91,FALSE))</f>
        <v>0</v>
      </c>
      <c r="N74" s="359">
        <f>SUM(K74:M74)</f>
        <v>0</v>
      </c>
      <c r="O74" s="316">
        <f>IF(O72=0,0,VLOOKUP($A74,IMPOSTAZIONI!$B$324:$AM$333,O$91,FALSE))</f>
        <v>0</v>
      </c>
      <c r="P74" s="317">
        <f>IF(P72=0,0,VLOOKUP($A74,IMPOSTAZIONI!$B$324:$AM$333,P$91,FALSE))</f>
        <v>0</v>
      </c>
      <c r="Q74" s="317">
        <f>IF(Q72=0,0,VLOOKUP($A74,IMPOSTAZIONI!$B$324:$AM$333,Q$91,FALSE))</f>
        <v>0</v>
      </c>
      <c r="R74" s="359">
        <f>SUM(O74:Q74)</f>
        <v>0</v>
      </c>
      <c r="S74" s="36"/>
      <c r="T74" s="362">
        <f>F74+J74+N74+R74</f>
        <v>0</v>
      </c>
      <c r="U74" s="32"/>
    </row>
    <row r="75" spans="1:21" ht="6" customHeight="1" x14ac:dyDescent="0.2">
      <c r="A75" s="68"/>
      <c r="B75" s="69"/>
      <c r="C75" s="65"/>
      <c r="D75" s="65"/>
      <c r="E75" s="65"/>
      <c r="F75" s="65"/>
      <c r="G75" s="65"/>
      <c r="H75" s="65"/>
      <c r="I75" s="65"/>
      <c r="J75" s="65"/>
      <c r="K75" s="65"/>
      <c r="L75" s="65"/>
      <c r="M75" s="65"/>
      <c r="N75" s="65"/>
      <c r="O75" s="65"/>
      <c r="P75" s="65"/>
      <c r="Q75" s="65"/>
      <c r="R75" s="65"/>
      <c r="S75" s="36"/>
      <c r="T75" s="66"/>
      <c r="U75" s="32"/>
    </row>
    <row r="76" spans="1:21" ht="18" customHeight="1" x14ac:dyDescent="0.2">
      <c r="A76" s="68">
        <f>IF(AND($C$203=1,$C$204=0),0,IF(C$196=0,0,A72+1))</f>
        <v>0</v>
      </c>
      <c r="B76" s="371" t="str">
        <f>VLOOKUP(A76,IMPOSTAZIONI!$B$308:$AQ$317,42,FALSE)</f>
        <v>AGGIO Tabacchi</v>
      </c>
      <c r="C76" s="363">
        <f>IF($A76=0,0,VLOOKUP($A76,IMPOSTAZIONI!$B$308:$AM$317,C$91,FALSE))</f>
        <v>0</v>
      </c>
      <c r="D76" s="364">
        <f>IF($A76=0,0,VLOOKUP($A76,IMPOSTAZIONI!$B$308:$AM$317,D$91,FALSE))</f>
        <v>0</v>
      </c>
      <c r="E76" s="364">
        <f>IF($A76=0,0,VLOOKUP($A76,IMPOSTAZIONI!$B$308:$AM$317,E$91,FALSE))</f>
        <v>0</v>
      </c>
      <c r="F76" s="357">
        <f>SUM(C76:E76)</f>
        <v>0</v>
      </c>
      <c r="G76" s="363">
        <f>IF($A76=0,0,VLOOKUP($A76,IMPOSTAZIONI!$B$308:$AM$317,G$91,FALSE))</f>
        <v>0</v>
      </c>
      <c r="H76" s="364">
        <f>IF($A76=0,0,VLOOKUP($A76,IMPOSTAZIONI!$B$308:$AM$317,H$91,FALSE))</f>
        <v>0</v>
      </c>
      <c r="I76" s="364">
        <f>IF($A76=0,0,VLOOKUP($A76,IMPOSTAZIONI!$B$308:$AM$317,I$91,FALSE))</f>
        <v>0</v>
      </c>
      <c r="J76" s="357">
        <f>SUM(G76:I76)</f>
        <v>0</v>
      </c>
      <c r="K76" s="363">
        <f>IF($A76=0,0,VLOOKUP($A76,IMPOSTAZIONI!$B$308:$AM$317,K$91,FALSE))</f>
        <v>0</v>
      </c>
      <c r="L76" s="364">
        <f>IF($A76=0,0,VLOOKUP($A76,IMPOSTAZIONI!$B$308:$AM$317,L$91,FALSE))</f>
        <v>0</v>
      </c>
      <c r="M76" s="364">
        <f>IF($A76=0,0,VLOOKUP($A76,IMPOSTAZIONI!$B$308:$AM$317,M$91,FALSE))</f>
        <v>0</v>
      </c>
      <c r="N76" s="357">
        <f>SUM(K76:M76)</f>
        <v>0</v>
      </c>
      <c r="O76" s="363">
        <f>IF($A76=0,0,VLOOKUP($A76,IMPOSTAZIONI!$B$308:$AM$317,O$91,FALSE))</f>
        <v>0</v>
      </c>
      <c r="P76" s="364">
        <f>IF($A76=0,0,VLOOKUP($A76,IMPOSTAZIONI!$B$308:$AM$317,P$91,FALSE))</f>
        <v>0</v>
      </c>
      <c r="Q76" s="364">
        <f>IF($A76=0,0,VLOOKUP($A76,IMPOSTAZIONI!$B$308:$AM$317,Q$91,FALSE))</f>
        <v>0</v>
      </c>
      <c r="R76" s="357">
        <f>SUM(O76:Q76)</f>
        <v>0</v>
      </c>
      <c r="S76" s="36"/>
      <c r="T76" s="360">
        <f>F76+J76+N76+R76</f>
        <v>0</v>
      </c>
      <c r="U76" s="32"/>
    </row>
    <row r="77" spans="1:21" ht="16.5" customHeight="1" x14ac:dyDescent="0.2">
      <c r="A77" s="541">
        <f>A76</f>
        <v>0</v>
      </c>
      <c r="B77" s="355" t="s">
        <v>325</v>
      </c>
      <c r="C77" s="314">
        <f>C76-C78</f>
        <v>0</v>
      </c>
      <c r="D77" s="315">
        <f>D76-D78</f>
        <v>0</v>
      </c>
      <c r="E77" s="315">
        <f>E76-E78</f>
        <v>0</v>
      </c>
      <c r="F77" s="358">
        <f>SUM(C77:E77)</f>
        <v>0</v>
      </c>
      <c r="G77" s="314">
        <f>G76-G78</f>
        <v>0</v>
      </c>
      <c r="H77" s="315">
        <f>H76-H78</f>
        <v>0</v>
      </c>
      <c r="I77" s="315">
        <f>I76-I78</f>
        <v>0</v>
      </c>
      <c r="J77" s="358">
        <f>SUM(G77:I77)</f>
        <v>0</v>
      </c>
      <c r="K77" s="314">
        <f>K76-K78</f>
        <v>0</v>
      </c>
      <c r="L77" s="315">
        <f>L76-L78</f>
        <v>0</v>
      </c>
      <c r="M77" s="315">
        <f>M76-M78</f>
        <v>0</v>
      </c>
      <c r="N77" s="358">
        <f>SUM(K77:M77)</f>
        <v>0</v>
      </c>
      <c r="O77" s="314">
        <f>O76-O78</f>
        <v>0</v>
      </c>
      <c r="P77" s="315">
        <f>P76-P78</f>
        <v>0</v>
      </c>
      <c r="Q77" s="315">
        <f>Q76-Q78</f>
        <v>0</v>
      </c>
      <c r="R77" s="358">
        <f>SUM(O77:Q77)</f>
        <v>0</v>
      </c>
      <c r="S77" s="36"/>
      <c r="T77" s="361">
        <f>F77+J77+N77+R77</f>
        <v>0</v>
      </c>
      <c r="U77" s="32"/>
    </row>
    <row r="78" spans="1:21" ht="16.5" customHeight="1" x14ac:dyDescent="0.2">
      <c r="A78" s="541">
        <f>A76</f>
        <v>0</v>
      </c>
      <c r="B78" s="356" t="s">
        <v>195</v>
      </c>
      <c r="C78" s="316">
        <f>IF(C76=0,0,VLOOKUP($A78,IMPOSTAZIONI!$B$324:$AM$333,C$91,FALSE))</f>
        <v>0</v>
      </c>
      <c r="D78" s="317">
        <f>IF(D76=0,0,VLOOKUP($A78,IMPOSTAZIONI!$B$324:$AM$333,D$91,FALSE))</f>
        <v>0</v>
      </c>
      <c r="E78" s="317">
        <f>IF(E76=0,0,VLOOKUP($A78,IMPOSTAZIONI!$B$324:$AM$333,E$91,FALSE))</f>
        <v>0</v>
      </c>
      <c r="F78" s="359">
        <f>SUM(C78:E78)</f>
        <v>0</v>
      </c>
      <c r="G78" s="316">
        <f>IF(G76=0,0,VLOOKUP($A78,IMPOSTAZIONI!$B$324:$AM$333,G$91,FALSE))</f>
        <v>0</v>
      </c>
      <c r="H78" s="317">
        <f>IF(H76=0,0,VLOOKUP($A78,IMPOSTAZIONI!$B$324:$AM$333,H$91,FALSE))</f>
        <v>0</v>
      </c>
      <c r="I78" s="317">
        <f>IF(I76=0,0,VLOOKUP($A78,IMPOSTAZIONI!$B$324:$AM$333,I$91,FALSE))</f>
        <v>0</v>
      </c>
      <c r="J78" s="359">
        <f>SUM(G78:I78)</f>
        <v>0</v>
      </c>
      <c r="K78" s="316">
        <f>IF(K76=0,0,VLOOKUP($A78,IMPOSTAZIONI!$B$324:$AM$333,K$91,FALSE))</f>
        <v>0</v>
      </c>
      <c r="L78" s="317">
        <f>IF(L76=0,0,VLOOKUP($A78,IMPOSTAZIONI!$B$324:$AM$333,L$91,FALSE))</f>
        <v>0</v>
      </c>
      <c r="M78" s="317">
        <f>IF(M76=0,0,VLOOKUP($A78,IMPOSTAZIONI!$B$324:$AM$333,M$91,FALSE))</f>
        <v>0</v>
      </c>
      <c r="N78" s="359">
        <f>SUM(K78:M78)</f>
        <v>0</v>
      </c>
      <c r="O78" s="316">
        <f>IF(O76=0,0,VLOOKUP($A78,IMPOSTAZIONI!$B$324:$AM$333,O$91,FALSE))</f>
        <v>0</v>
      </c>
      <c r="P78" s="317">
        <f>IF(P76=0,0,VLOOKUP($A78,IMPOSTAZIONI!$B$324:$AM$333,P$91,FALSE))</f>
        <v>0</v>
      </c>
      <c r="Q78" s="317">
        <f>IF(Q76=0,0,VLOOKUP($A78,IMPOSTAZIONI!$B$324:$AM$333,Q$91,FALSE))</f>
        <v>0</v>
      </c>
      <c r="R78" s="359">
        <f>SUM(O78:Q78)</f>
        <v>0</v>
      </c>
      <c r="S78" s="36"/>
      <c r="T78" s="362">
        <f>F78+J78+N78+R78</f>
        <v>0</v>
      </c>
      <c r="U78" s="32"/>
    </row>
    <row r="79" spans="1:21" ht="6" customHeight="1" x14ac:dyDescent="0.2">
      <c r="A79" s="68"/>
      <c r="B79" s="69"/>
      <c r="C79" s="65"/>
      <c r="D79" s="65"/>
      <c r="E79" s="65"/>
      <c r="F79" s="65"/>
      <c r="G79" s="65"/>
      <c r="H79" s="65"/>
      <c r="I79" s="65"/>
      <c r="J79" s="65"/>
      <c r="K79" s="65"/>
      <c r="L79" s="65"/>
      <c r="M79" s="65"/>
      <c r="N79" s="65"/>
      <c r="O79" s="65"/>
      <c r="P79" s="65"/>
      <c r="Q79" s="65"/>
      <c r="R79" s="65"/>
      <c r="S79" s="36"/>
      <c r="T79" s="66"/>
      <c r="U79" s="32"/>
    </row>
    <row r="80" spans="1:21" ht="18" customHeight="1" x14ac:dyDescent="0.2">
      <c r="A80" s="68">
        <f>IF(AND($C$203=1,$C$204=0),0,IF(C$196=0,0,A76+1))</f>
        <v>0</v>
      </c>
      <c r="B80" s="371" t="str">
        <f>VLOOKUP(A80,IMPOSTAZIONI!$B$308:$AQ$317,42,FALSE)</f>
        <v>AGGIO Tabacchi</v>
      </c>
      <c r="C80" s="363">
        <f>IF($A80=0,0,VLOOKUP($A80,IMPOSTAZIONI!$B$308:$AM$317,C$91,FALSE))</f>
        <v>0</v>
      </c>
      <c r="D80" s="364">
        <f>IF($A80=0,0,VLOOKUP($A80,IMPOSTAZIONI!$B$308:$AM$317,D$91,FALSE))</f>
        <v>0</v>
      </c>
      <c r="E80" s="364">
        <f>IF($A80=0,0,VLOOKUP($A80,IMPOSTAZIONI!$B$308:$AM$317,E$91,FALSE))</f>
        <v>0</v>
      </c>
      <c r="F80" s="357">
        <f>SUM(C80:E80)</f>
        <v>0</v>
      </c>
      <c r="G80" s="363">
        <f>IF($A80=0,0,VLOOKUP($A80,IMPOSTAZIONI!$B$308:$AM$317,G$91,FALSE))</f>
        <v>0</v>
      </c>
      <c r="H80" s="364">
        <f>IF($A80=0,0,VLOOKUP($A80,IMPOSTAZIONI!$B$308:$AM$317,H$91,FALSE))</f>
        <v>0</v>
      </c>
      <c r="I80" s="364">
        <f>IF($A80=0,0,VLOOKUP($A80,IMPOSTAZIONI!$B$308:$AM$317,I$91,FALSE))</f>
        <v>0</v>
      </c>
      <c r="J80" s="357">
        <f>SUM(G80:I80)</f>
        <v>0</v>
      </c>
      <c r="K80" s="363">
        <f>IF($A80=0,0,VLOOKUP($A80,IMPOSTAZIONI!$B$308:$AM$317,K$91,FALSE))</f>
        <v>0</v>
      </c>
      <c r="L80" s="364">
        <f>IF($A80=0,0,VLOOKUP($A80,IMPOSTAZIONI!$B$308:$AM$317,L$91,FALSE))</f>
        <v>0</v>
      </c>
      <c r="M80" s="364">
        <f>IF($A80=0,0,VLOOKUP($A80,IMPOSTAZIONI!$B$308:$AM$317,M$91,FALSE))</f>
        <v>0</v>
      </c>
      <c r="N80" s="357">
        <f>SUM(K80:M80)</f>
        <v>0</v>
      </c>
      <c r="O80" s="363">
        <f>IF($A80=0,0,VLOOKUP($A80,IMPOSTAZIONI!$B$308:$AM$317,O$91,FALSE))</f>
        <v>0</v>
      </c>
      <c r="P80" s="364">
        <f>IF($A80=0,0,VLOOKUP($A80,IMPOSTAZIONI!$B$308:$AM$317,P$91,FALSE))</f>
        <v>0</v>
      </c>
      <c r="Q80" s="364">
        <f>IF($A80=0,0,VLOOKUP($A80,IMPOSTAZIONI!$B$308:$AM$317,Q$91,FALSE))</f>
        <v>0</v>
      </c>
      <c r="R80" s="357">
        <f>SUM(O80:Q80)</f>
        <v>0</v>
      </c>
      <c r="S80" s="36"/>
      <c r="T80" s="360">
        <f>F80+J80+N80+R80</f>
        <v>0</v>
      </c>
      <c r="U80" s="32"/>
    </row>
    <row r="81" spans="1:21" ht="16.5" customHeight="1" x14ac:dyDescent="0.2">
      <c r="A81" s="541">
        <f>A80</f>
        <v>0</v>
      </c>
      <c r="B81" s="355" t="s">
        <v>325</v>
      </c>
      <c r="C81" s="314">
        <f>C80-C82</f>
        <v>0</v>
      </c>
      <c r="D81" s="315">
        <f>D80-D82</f>
        <v>0</v>
      </c>
      <c r="E81" s="315">
        <f>E80-E82</f>
        <v>0</v>
      </c>
      <c r="F81" s="358">
        <f>SUM(C81:E81)</f>
        <v>0</v>
      </c>
      <c r="G81" s="314">
        <f>G80-G82</f>
        <v>0</v>
      </c>
      <c r="H81" s="315">
        <f>H80-H82</f>
        <v>0</v>
      </c>
      <c r="I81" s="315">
        <f>I80-I82</f>
        <v>0</v>
      </c>
      <c r="J81" s="358">
        <f>SUM(G81:I81)</f>
        <v>0</v>
      </c>
      <c r="K81" s="314">
        <f>K80-K82</f>
        <v>0</v>
      </c>
      <c r="L81" s="315">
        <f>L80-L82</f>
        <v>0</v>
      </c>
      <c r="M81" s="315">
        <f>M80-M82</f>
        <v>0</v>
      </c>
      <c r="N81" s="358">
        <f>SUM(K81:M81)</f>
        <v>0</v>
      </c>
      <c r="O81" s="314">
        <f>O80-O82</f>
        <v>0</v>
      </c>
      <c r="P81" s="315">
        <f>P80-P82</f>
        <v>0</v>
      </c>
      <c r="Q81" s="315">
        <f>Q80-Q82</f>
        <v>0</v>
      </c>
      <c r="R81" s="358">
        <f>SUM(O81:Q81)</f>
        <v>0</v>
      </c>
      <c r="S81" s="36"/>
      <c r="T81" s="361">
        <f>F81+J81+N81+R81</f>
        <v>0</v>
      </c>
      <c r="U81" s="32"/>
    </row>
    <row r="82" spans="1:21" ht="16.5" customHeight="1" x14ac:dyDescent="0.2">
      <c r="A82" s="541">
        <f>A80</f>
        <v>0</v>
      </c>
      <c r="B82" s="356" t="s">
        <v>195</v>
      </c>
      <c r="C82" s="316">
        <f>IF(C80=0,0,VLOOKUP($A82,IMPOSTAZIONI!$B$324:$AM$333,C$91,FALSE))</f>
        <v>0</v>
      </c>
      <c r="D82" s="317">
        <f>IF(D80=0,0,VLOOKUP($A82,IMPOSTAZIONI!$B$324:$AM$333,D$91,FALSE))</f>
        <v>0</v>
      </c>
      <c r="E82" s="317">
        <f>IF(E80=0,0,VLOOKUP($A82,IMPOSTAZIONI!$B$324:$AM$333,E$91,FALSE))</f>
        <v>0</v>
      </c>
      <c r="F82" s="359">
        <f>SUM(C82:E82)</f>
        <v>0</v>
      </c>
      <c r="G82" s="316">
        <f>IF(G80=0,0,VLOOKUP($A82,IMPOSTAZIONI!$B$324:$AM$333,G$91,FALSE))</f>
        <v>0</v>
      </c>
      <c r="H82" s="317">
        <f>IF(H80=0,0,VLOOKUP($A82,IMPOSTAZIONI!$B$324:$AM$333,H$91,FALSE))</f>
        <v>0</v>
      </c>
      <c r="I82" s="317">
        <f>IF(I80=0,0,VLOOKUP($A82,IMPOSTAZIONI!$B$324:$AM$333,I$91,FALSE))</f>
        <v>0</v>
      </c>
      <c r="J82" s="359">
        <f>SUM(G82:I82)</f>
        <v>0</v>
      </c>
      <c r="K82" s="316">
        <f>IF(K80=0,0,VLOOKUP($A82,IMPOSTAZIONI!$B$324:$AM$333,K$91,FALSE))</f>
        <v>0</v>
      </c>
      <c r="L82" s="317">
        <f>IF(L80=0,0,VLOOKUP($A82,IMPOSTAZIONI!$B$324:$AM$333,L$91,FALSE))</f>
        <v>0</v>
      </c>
      <c r="M82" s="317">
        <f>IF(M80=0,0,VLOOKUP($A82,IMPOSTAZIONI!$B$324:$AM$333,M$91,FALSE))</f>
        <v>0</v>
      </c>
      <c r="N82" s="359">
        <f>SUM(K82:M82)</f>
        <v>0</v>
      </c>
      <c r="O82" s="316">
        <f>IF(O80=0,0,VLOOKUP($A82,IMPOSTAZIONI!$B$324:$AM$333,O$91,FALSE))</f>
        <v>0</v>
      </c>
      <c r="P82" s="317">
        <f>IF(P80=0,0,VLOOKUP($A82,IMPOSTAZIONI!$B$324:$AM$333,P$91,FALSE))</f>
        <v>0</v>
      </c>
      <c r="Q82" s="317">
        <f>IF(Q80=0,0,VLOOKUP($A82,IMPOSTAZIONI!$B$324:$AM$333,Q$91,FALSE))</f>
        <v>0</v>
      </c>
      <c r="R82" s="359">
        <f>SUM(O82:Q82)</f>
        <v>0</v>
      </c>
      <c r="S82" s="36"/>
      <c r="T82" s="362">
        <f>F82+J82+N82+R82</f>
        <v>0</v>
      </c>
      <c r="U82" s="32"/>
    </row>
    <row r="83" spans="1:21" ht="6" customHeight="1" x14ac:dyDescent="0.2">
      <c r="A83" s="68"/>
      <c r="B83" s="69"/>
      <c r="C83" s="65"/>
      <c r="D83" s="65"/>
      <c r="E83" s="65"/>
      <c r="F83" s="65"/>
      <c r="G83" s="65"/>
      <c r="H83" s="65"/>
      <c r="I83" s="65"/>
      <c r="J83" s="65"/>
      <c r="K83" s="65"/>
      <c r="L83" s="65"/>
      <c r="M83" s="65"/>
      <c r="N83" s="65"/>
      <c r="O83" s="65"/>
      <c r="P83" s="65"/>
      <c r="Q83" s="65"/>
      <c r="R83" s="65"/>
      <c r="S83" s="36"/>
      <c r="T83" s="66"/>
      <c r="U83" s="32"/>
    </row>
    <row r="84" spans="1:21" ht="18" customHeight="1" x14ac:dyDescent="0.2">
      <c r="A84" s="68">
        <f>IF(AND($C$203=1,$C$204=0),0,IF(C$196=0,0,A80+1))</f>
        <v>0</v>
      </c>
      <c r="B84" s="371" t="str">
        <f>VLOOKUP(A84,IMPOSTAZIONI!$B$308:$AQ$317,42,FALSE)</f>
        <v>AGGIO Tabacchi</v>
      </c>
      <c r="C84" s="363">
        <f>IF($A84=0,0,VLOOKUP($A84,IMPOSTAZIONI!$B$308:$AM$317,C$91,FALSE))</f>
        <v>0</v>
      </c>
      <c r="D84" s="364">
        <f>IF($A84=0,0,VLOOKUP($A84,IMPOSTAZIONI!$B$308:$AM$317,D$91,FALSE))</f>
        <v>0</v>
      </c>
      <c r="E84" s="364">
        <f>IF($A84=0,0,VLOOKUP($A84,IMPOSTAZIONI!$B$308:$AM$317,E$91,FALSE))</f>
        <v>0</v>
      </c>
      <c r="F84" s="357">
        <f>SUM(C84:E84)</f>
        <v>0</v>
      </c>
      <c r="G84" s="363">
        <f>IF($A84=0,0,VLOOKUP($A84,IMPOSTAZIONI!$B$308:$AM$317,G$91,FALSE))</f>
        <v>0</v>
      </c>
      <c r="H84" s="364">
        <f>IF($A84=0,0,VLOOKUP($A84,IMPOSTAZIONI!$B$308:$AM$317,H$91,FALSE))</f>
        <v>0</v>
      </c>
      <c r="I84" s="364">
        <f>IF($A84=0,0,VLOOKUP($A84,IMPOSTAZIONI!$B$308:$AM$317,I$91,FALSE))</f>
        <v>0</v>
      </c>
      <c r="J84" s="357">
        <f>SUM(G84:I84)</f>
        <v>0</v>
      </c>
      <c r="K84" s="363">
        <f>IF($A84=0,0,VLOOKUP($A84,IMPOSTAZIONI!$B$308:$AM$317,K$91,FALSE))</f>
        <v>0</v>
      </c>
      <c r="L84" s="364">
        <f>IF($A84=0,0,VLOOKUP($A84,IMPOSTAZIONI!$B$308:$AM$317,L$91,FALSE))</f>
        <v>0</v>
      </c>
      <c r="M84" s="364">
        <f>IF($A84=0,0,VLOOKUP($A84,IMPOSTAZIONI!$B$308:$AM$317,M$91,FALSE))</f>
        <v>0</v>
      </c>
      <c r="N84" s="357">
        <f>SUM(K84:M84)</f>
        <v>0</v>
      </c>
      <c r="O84" s="363">
        <f>IF($A84=0,0,VLOOKUP($A84,IMPOSTAZIONI!$B$308:$AM$317,O$91,FALSE))</f>
        <v>0</v>
      </c>
      <c r="P84" s="364">
        <f>IF($A84=0,0,VLOOKUP($A84,IMPOSTAZIONI!$B$308:$AM$317,P$91,FALSE))</f>
        <v>0</v>
      </c>
      <c r="Q84" s="364">
        <f>IF($A84=0,0,VLOOKUP($A84,IMPOSTAZIONI!$B$308:$AM$317,Q$91,FALSE))</f>
        <v>0</v>
      </c>
      <c r="R84" s="357">
        <f>SUM(O84:Q84)</f>
        <v>0</v>
      </c>
      <c r="S84" s="36"/>
      <c r="T84" s="360">
        <f>F84+J84+N84+R84</f>
        <v>0</v>
      </c>
      <c r="U84" s="32"/>
    </row>
    <row r="85" spans="1:21" ht="16.5" customHeight="1" x14ac:dyDescent="0.2">
      <c r="A85" s="541">
        <f>A84</f>
        <v>0</v>
      </c>
      <c r="B85" s="355" t="s">
        <v>325</v>
      </c>
      <c r="C85" s="314">
        <f>C84-C86</f>
        <v>0</v>
      </c>
      <c r="D85" s="315">
        <f>D84-D86</f>
        <v>0</v>
      </c>
      <c r="E85" s="315">
        <f>E84-E86</f>
        <v>0</v>
      </c>
      <c r="F85" s="358">
        <f>SUM(C85:E85)</f>
        <v>0</v>
      </c>
      <c r="G85" s="314">
        <f>G84-G86</f>
        <v>0</v>
      </c>
      <c r="H85" s="315">
        <f>H84-H86</f>
        <v>0</v>
      </c>
      <c r="I85" s="315">
        <f>I84-I86</f>
        <v>0</v>
      </c>
      <c r="J85" s="358">
        <f>SUM(G85:I85)</f>
        <v>0</v>
      </c>
      <c r="K85" s="314">
        <f>K84-K86</f>
        <v>0</v>
      </c>
      <c r="L85" s="315">
        <f>L84-L86</f>
        <v>0</v>
      </c>
      <c r="M85" s="315">
        <f>M84-M86</f>
        <v>0</v>
      </c>
      <c r="N85" s="358">
        <f>SUM(K85:M85)</f>
        <v>0</v>
      </c>
      <c r="O85" s="314">
        <f>O84-O86</f>
        <v>0</v>
      </c>
      <c r="P85" s="315">
        <f>P84-P86</f>
        <v>0</v>
      </c>
      <c r="Q85" s="315">
        <f>Q84-Q86</f>
        <v>0</v>
      </c>
      <c r="R85" s="358">
        <f>SUM(O85:Q85)</f>
        <v>0</v>
      </c>
      <c r="S85" s="36"/>
      <c r="T85" s="361">
        <f>F85+J85+N85+R85</f>
        <v>0</v>
      </c>
      <c r="U85" s="32"/>
    </row>
    <row r="86" spans="1:21" ht="16.5" customHeight="1" x14ac:dyDescent="0.2">
      <c r="A86" s="541">
        <f>A84</f>
        <v>0</v>
      </c>
      <c r="B86" s="356" t="s">
        <v>195</v>
      </c>
      <c r="C86" s="316">
        <f>IF(C84=0,0,VLOOKUP($A86,IMPOSTAZIONI!$B$324:$AM$333,C$91,FALSE))</f>
        <v>0</v>
      </c>
      <c r="D86" s="317">
        <f>IF(D84=0,0,VLOOKUP($A86,IMPOSTAZIONI!$B$324:$AM$333,D$91,FALSE))</f>
        <v>0</v>
      </c>
      <c r="E86" s="317">
        <f>IF(E84=0,0,VLOOKUP($A86,IMPOSTAZIONI!$B$324:$AM$333,E$91,FALSE))</f>
        <v>0</v>
      </c>
      <c r="F86" s="359">
        <f>SUM(C86:E86)</f>
        <v>0</v>
      </c>
      <c r="G86" s="316">
        <f>IF(G84=0,0,VLOOKUP($A86,IMPOSTAZIONI!$B$324:$AM$333,G$91,FALSE))</f>
        <v>0</v>
      </c>
      <c r="H86" s="317">
        <f>IF(H84=0,0,VLOOKUP($A86,IMPOSTAZIONI!$B$324:$AM$333,H$91,FALSE))</f>
        <v>0</v>
      </c>
      <c r="I86" s="317">
        <f>IF(I84=0,0,VLOOKUP($A86,IMPOSTAZIONI!$B$324:$AM$333,I$91,FALSE))</f>
        <v>0</v>
      </c>
      <c r="J86" s="359">
        <f>SUM(G86:I86)</f>
        <v>0</v>
      </c>
      <c r="K86" s="316">
        <f>IF(K84=0,0,VLOOKUP($A86,IMPOSTAZIONI!$B$324:$AM$333,K$91,FALSE))</f>
        <v>0</v>
      </c>
      <c r="L86" s="317">
        <f>IF(L84=0,0,VLOOKUP($A86,IMPOSTAZIONI!$B$324:$AM$333,L$91,FALSE))</f>
        <v>0</v>
      </c>
      <c r="M86" s="317">
        <f>IF(M84=0,0,VLOOKUP($A86,IMPOSTAZIONI!$B$324:$AM$333,M$91,FALSE))</f>
        <v>0</v>
      </c>
      <c r="N86" s="359">
        <f>SUM(K86:M86)</f>
        <v>0</v>
      </c>
      <c r="O86" s="316">
        <f>IF(O84=0,0,VLOOKUP($A86,IMPOSTAZIONI!$B$324:$AM$333,O$91,FALSE))</f>
        <v>0</v>
      </c>
      <c r="P86" s="317">
        <f>IF(P84=0,0,VLOOKUP($A86,IMPOSTAZIONI!$B$324:$AM$333,P$91,FALSE))</f>
        <v>0</v>
      </c>
      <c r="Q86" s="317">
        <f>IF(Q84=0,0,VLOOKUP($A86,IMPOSTAZIONI!$B$324:$AM$333,Q$91,FALSE))</f>
        <v>0</v>
      </c>
      <c r="R86" s="359">
        <f>SUM(O86:Q86)</f>
        <v>0</v>
      </c>
      <c r="S86" s="36"/>
      <c r="T86" s="362">
        <f>F86+J86+N86+R86</f>
        <v>0</v>
      </c>
      <c r="U86" s="32"/>
    </row>
    <row r="87" spans="1:21" ht="6" customHeight="1" x14ac:dyDescent="0.2">
      <c r="A87" s="68"/>
      <c r="B87" s="69"/>
      <c r="C87" s="65"/>
      <c r="D87" s="65"/>
      <c r="E87" s="65"/>
      <c r="F87" s="65"/>
      <c r="G87" s="65"/>
      <c r="H87" s="65"/>
      <c r="I87" s="65"/>
      <c r="J87" s="65"/>
      <c r="K87" s="65"/>
      <c r="L87" s="65"/>
      <c r="M87" s="65"/>
      <c r="N87" s="65"/>
      <c r="O87" s="65"/>
      <c r="P87" s="65"/>
      <c r="Q87" s="65"/>
      <c r="R87" s="65"/>
      <c r="S87" s="36"/>
      <c r="T87" s="66"/>
      <c r="U87" s="32"/>
    </row>
    <row r="88" spans="1:21" ht="18" customHeight="1" x14ac:dyDescent="0.2">
      <c r="A88" s="68">
        <f>IF(AND($C$203=1,$C$204=0),0,IF(C$196=0,0,A84+1))</f>
        <v>0</v>
      </c>
      <c r="B88" s="371" t="str">
        <f>VLOOKUP(A88,IMPOSTAZIONI!$B$308:$AQ$317,42,FALSE)</f>
        <v>AGGIO Tabacchi</v>
      </c>
      <c r="C88" s="363">
        <f>IF($A88=0,0,VLOOKUP($A88,IMPOSTAZIONI!$B$308:$AM$317,C$91,FALSE))</f>
        <v>0</v>
      </c>
      <c r="D88" s="364">
        <f>IF($A88=0,0,VLOOKUP($A88,IMPOSTAZIONI!$B$308:$AM$317,D$91,FALSE))</f>
        <v>0</v>
      </c>
      <c r="E88" s="364">
        <f>IF($A88=0,0,VLOOKUP($A88,IMPOSTAZIONI!$B$308:$AM$317,E$91,FALSE))</f>
        <v>0</v>
      </c>
      <c r="F88" s="357">
        <f>SUM(C88:E88)</f>
        <v>0</v>
      </c>
      <c r="G88" s="363">
        <f>IF($A88=0,0,VLOOKUP($A88,IMPOSTAZIONI!$B$308:$AM$317,G$91,FALSE))</f>
        <v>0</v>
      </c>
      <c r="H88" s="364">
        <f>IF($A88=0,0,VLOOKUP($A88,IMPOSTAZIONI!$B$308:$AM$317,H$91,FALSE))</f>
        <v>0</v>
      </c>
      <c r="I88" s="364">
        <f>IF($A88=0,0,VLOOKUP($A88,IMPOSTAZIONI!$B$308:$AM$317,I$91,FALSE))</f>
        <v>0</v>
      </c>
      <c r="J88" s="357">
        <f>SUM(G88:I88)</f>
        <v>0</v>
      </c>
      <c r="K88" s="363">
        <f>IF($A88=0,0,VLOOKUP($A88,IMPOSTAZIONI!$B$308:$AM$317,K$91,FALSE))</f>
        <v>0</v>
      </c>
      <c r="L88" s="364">
        <f>IF($A88=0,0,VLOOKUP($A88,IMPOSTAZIONI!$B$308:$AM$317,L$91,FALSE))</f>
        <v>0</v>
      </c>
      <c r="M88" s="364">
        <f>IF($A88=0,0,VLOOKUP($A88,IMPOSTAZIONI!$B$308:$AM$317,M$91,FALSE))</f>
        <v>0</v>
      </c>
      <c r="N88" s="357">
        <f>SUM(K88:M88)</f>
        <v>0</v>
      </c>
      <c r="O88" s="363">
        <f>IF($A88=0,0,VLOOKUP($A88,IMPOSTAZIONI!$B$308:$AM$317,O$91,FALSE))</f>
        <v>0</v>
      </c>
      <c r="P88" s="364">
        <f>IF($A88=0,0,VLOOKUP($A88,IMPOSTAZIONI!$B$308:$AM$317,P$91,FALSE))</f>
        <v>0</v>
      </c>
      <c r="Q88" s="364">
        <f>IF($A88=0,0,VLOOKUP($A88,IMPOSTAZIONI!$B$308:$AM$317,Q$91,FALSE))</f>
        <v>0</v>
      </c>
      <c r="R88" s="357">
        <f>SUM(O88:Q88)</f>
        <v>0</v>
      </c>
      <c r="S88" s="36"/>
      <c r="T88" s="360">
        <f>F88+J88+N88+R88</f>
        <v>0</v>
      </c>
      <c r="U88" s="32"/>
    </row>
    <row r="89" spans="1:21" ht="16.5" customHeight="1" x14ac:dyDescent="0.2">
      <c r="A89" s="541">
        <f>A88</f>
        <v>0</v>
      </c>
      <c r="B89" s="355" t="s">
        <v>325</v>
      </c>
      <c r="C89" s="314">
        <f>C88-C90</f>
        <v>0</v>
      </c>
      <c r="D89" s="315">
        <f>D88-D90</f>
        <v>0</v>
      </c>
      <c r="E89" s="315">
        <f>E88-E90</f>
        <v>0</v>
      </c>
      <c r="F89" s="358">
        <f>SUM(C89:E89)</f>
        <v>0</v>
      </c>
      <c r="G89" s="314">
        <f>G88-G90</f>
        <v>0</v>
      </c>
      <c r="H89" s="315">
        <f>H88-H90</f>
        <v>0</v>
      </c>
      <c r="I89" s="315">
        <f>I88-I90</f>
        <v>0</v>
      </c>
      <c r="J89" s="358">
        <f>SUM(G89:I89)</f>
        <v>0</v>
      </c>
      <c r="K89" s="314">
        <f>K88-K90</f>
        <v>0</v>
      </c>
      <c r="L89" s="315">
        <f>L88-L90</f>
        <v>0</v>
      </c>
      <c r="M89" s="315">
        <f>M88-M90</f>
        <v>0</v>
      </c>
      <c r="N89" s="358">
        <f>SUM(K89:M89)</f>
        <v>0</v>
      </c>
      <c r="O89" s="314">
        <f>O88-O90</f>
        <v>0</v>
      </c>
      <c r="P89" s="315">
        <f>P88-P90</f>
        <v>0</v>
      </c>
      <c r="Q89" s="315">
        <f>Q88-Q90</f>
        <v>0</v>
      </c>
      <c r="R89" s="358">
        <f>SUM(O89:Q89)</f>
        <v>0</v>
      </c>
      <c r="S89" s="36"/>
      <c r="T89" s="361">
        <f>F89+J89+N89+R89</f>
        <v>0</v>
      </c>
      <c r="U89" s="32"/>
    </row>
    <row r="90" spans="1:21" ht="16.5" customHeight="1" x14ac:dyDescent="0.2">
      <c r="A90" s="541">
        <f>A88</f>
        <v>0</v>
      </c>
      <c r="B90" s="356" t="s">
        <v>195</v>
      </c>
      <c r="C90" s="316">
        <f>IF(C88=0,0,VLOOKUP($A90,IMPOSTAZIONI!$B$324:$AM$333,C$91,FALSE))</f>
        <v>0</v>
      </c>
      <c r="D90" s="317">
        <f>IF(D88=0,0,VLOOKUP($A90,IMPOSTAZIONI!$B$324:$AM$333,D$91,FALSE))</f>
        <v>0</v>
      </c>
      <c r="E90" s="317">
        <f>IF(E88=0,0,VLOOKUP($A90,IMPOSTAZIONI!$B$324:$AM$333,E$91,FALSE))</f>
        <v>0</v>
      </c>
      <c r="F90" s="359">
        <f>SUM(C90:E90)</f>
        <v>0</v>
      </c>
      <c r="G90" s="316">
        <f>IF(G88=0,0,VLOOKUP($A90,IMPOSTAZIONI!$B$324:$AM$333,G$91,FALSE))</f>
        <v>0</v>
      </c>
      <c r="H90" s="317">
        <f>IF(H88=0,0,VLOOKUP($A90,IMPOSTAZIONI!$B$324:$AM$333,H$91,FALSE))</f>
        <v>0</v>
      </c>
      <c r="I90" s="317">
        <f>IF(I88=0,0,VLOOKUP($A90,IMPOSTAZIONI!$B$324:$AM$333,I$91,FALSE))</f>
        <v>0</v>
      </c>
      <c r="J90" s="359">
        <f>SUM(G90:I90)</f>
        <v>0</v>
      </c>
      <c r="K90" s="316">
        <f>IF(K88=0,0,VLOOKUP($A90,IMPOSTAZIONI!$B$324:$AM$333,K$91,FALSE))</f>
        <v>0</v>
      </c>
      <c r="L90" s="317">
        <f>IF(L88=0,0,VLOOKUP($A90,IMPOSTAZIONI!$B$324:$AM$333,L$91,FALSE))</f>
        <v>0</v>
      </c>
      <c r="M90" s="317">
        <f>IF(M88=0,0,VLOOKUP($A90,IMPOSTAZIONI!$B$324:$AM$333,M$91,FALSE))</f>
        <v>0</v>
      </c>
      <c r="N90" s="359">
        <f>SUM(K90:M90)</f>
        <v>0</v>
      </c>
      <c r="O90" s="316">
        <f>IF(O88=0,0,VLOOKUP($A90,IMPOSTAZIONI!$B$324:$AM$333,O$91,FALSE))</f>
        <v>0</v>
      </c>
      <c r="P90" s="317">
        <f>IF(P88=0,0,VLOOKUP($A90,IMPOSTAZIONI!$B$324:$AM$333,P$91,FALSE))</f>
        <v>0</v>
      </c>
      <c r="Q90" s="317">
        <f>IF(Q88=0,0,VLOOKUP($A90,IMPOSTAZIONI!$B$324:$AM$333,Q$91,FALSE))</f>
        <v>0</v>
      </c>
      <c r="R90" s="359">
        <f>SUM(O90:Q90)</f>
        <v>0</v>
      </c>
      <c r="S90" s="36"/>
      <c r="T90" s="362">
        <f>F90+J90+N90+R90</f>
        <v>0</v>
      </c>
      <c r="U90" s="32"/>
    </row>
    <row r="91" spans="1:21" ht="18" customHeight="1" x14ac:dyDescent="0.2">
      <c r="A91" s="158"/>
      <c r="B91" s="155"/>
      <c r="C91" s="543">
        <v>3</v>
      </c>
      <c r="D91" s="543">
        <f>C91+3</f>
        <v>6</v>
      </c>
      <c r="E91" s="543">
        <f>D91+3</f>
        <v>9</v>
      </c>
      <c r="F91" s="544"/>
      <c r="G91" s="543">
        <v>12</v>
      </c>
      <c r="H91" s="543">
        <f>G91+3</f>
        <v>15</v>
      </c>
      <c r="I91" s="543">
        <f>H91+3</f>
        <v>18</v>
      </c>
      <c r="J91" s="544"/>
      <c r="K91" s="543">
        <v>21</v>
      </c>
      <c r="L91" s="543">
        <f>K91+3</f>
        <v>24</v>
      </c>
      <c r="M91" s="543">
        <f>L91+3</f>
        <v>27</v>
      </c>
      <c r="N91" s="544"/>
      <c r="O91" s="543">
        <v>30</v>
      </c>
      <c r="P91" s="543">
        <f>O91+3</f>
        <v>33</v>
      </c>
      <c r="Q91" s="543">
        <f>P91+3</f>
        <v>36</v>
      </c>
      <c r="R91" s="65"/>
      <c r="S91" s="36"/>
      <c r="T91" s="65"/>
      <c r="U91" s="32"/>
    </row>
    <row r="92" spans="1:21" ht="16.5" customHeight="1" x14ac:dyDescent="0.2">
      <c r="A92" s="158"/>
      <c r="B92" s="69"/>
      <c r="C92" s="41"/>
      <c r="D92" s="41"/>
      <c r="E92" s="41"/>
      <c r="F92" s="78"/>
      <c r="G92" s="41"/>
      <c r="H92" s="41"/>
      <c r="I92" s="41"/>
      <c r="J92" s="78"/>
      <c r="K92" s="41"/>
      <c r="L92" s="41"/>
      <c r="M92" s="41"/>
      <c r="N92" s="78"/>
      <c r="O92" s="41"/>
      <c r="P92" s="41"/>
      <c r="Q92" s="41"/>
      <c r="R92" s="78"/>
      <c r="S92" s="36"/>
      <c r="T92" s="41"/>
      <c r="U92" s="32"/>
    </row>
    <row r="93" spans="1:21" ht="6" customHeight="1" x14ac:dyDescent="0.2">
      <c r="A93" s="68"/>
      <c r="B93" s="73"/>
      <c r="C93" s="74"/>
      <c r="D93" s="74"/>
      <c r="E93" s="74"/>
      <c r="F93" s="74"/>
      <c r="G93" s="74"/>
      <c r="H93" s="74"/>
      <c r="I93" s="74"/>
      <c r="J93" s="74"/>
      <c r="K93" s="74"/>
      <c r="L93" s="74"/>
      <c r="M93" s="74"/>
      <c r="N93" s="74"/>
      <c r="O93" s="74"/>
      <c r="P93" s="74"/>
      <c r="Q93" s="74"/>
      <c r="R93" s="74"/>
      <c r="S93" s="75"/>
      <c r="T93" s="76"/>
      <c r="U93" s="32"/>
    </row>
    <row r="94" spans="1:21" ht="15" customHeight="1" x14ac:dyDescent="0.2">
      <c r="A94" s="68"/>
      <c r="B94" s="494"/>
      <c r="C94" s="495"/>
      <c r="D94" s="495"/>
      <c r="E94" s="495"/>
      <c r="F94" s="495"/>
      <c r="G94" s="495"/>
      <c r="H94" s="495"/>
      <c r="I94" s="495"/>
      <c r="J94" s="495"/>
      <c r="K94" s="495"/>
      <c r="L94" s="495"/>
      <c r="M94" s="495"/>
      <c r="N94" s="495"/>
      <c r="O94" s="495"/>
      <c r="P94" s="495"/>
      <c r="Q94" s="495"/>
      <c r="R94" s="495"/>
      <c r="S94" s="496"/>
      <c r="T94" s="497"/>
      <c r="U94" s="32"/>
    </row>
    <row r="95" spans="1:21" ht="21" customHeight="1" x14ac:dyDescent="0.2">
      <c r="A95" s="68"/>
      <c r="B95" s="493"/>
      <c r="C95" s="2577" t="s">
        <v>326</v>
      </c>
      <c r="D95" s="2577"/>
      <c r="E95" s="2577"/>
      <c r="F95" s="2577"/>
      <c r="G95" s="2577"/>
      <c r="H95" s="65"/>
      <c r="I95" s="65"/>
      <c r="J95" s="65"/>
      <c r="K95" s="2577" t="str">
        <f>C95</f>
        <v>Tra le operazioni non assoggettate ad IVA il sistema rileva:</v>
      </c>
      <c r="L95" s="2577"/>
      <c r="M95" s="2577"/>
      <c r="N95" s="2577"/>
      <c r="O95" s="2577"/>
      <c r="P95" s="65"/>
      <c r="Q95" s="65"/>
      <c r="R95" s="65"/>
      <c r="S95" s="36"/>
      <c r="T95" s="66"/>
      <c r="U95" s="32"/>
    </row>
    <row r="96" spans="1:21" ht="6.75" customHeight="1" x14ac:dyDescent="0.2">
      <c r="A96" s="68"/>
      <c r="B96" s="69"/>
      <c r="C96" s="65"/>
      <c r="D96" s="65"/>
      <c r="E96" s="65"/>
      <c r="F96" s="65"/>
      <c r="G96" s="65"/>
      <c r="H96" s="65"/>
      <c r="I96" s="65"/>
      <c r="J96" s="65"/>
      <c r="K96" s="65"/>
      <c r="L96" s="65"/>
      <c r="M96" s="65"/>
      <c r="N96" s="65"/>
      <c r="O96" s="65"/>
      <c r="P96" s="65"/>
      <c r="Q96" s="65"/>
      <c r="R96" s="65"/>
      <c r="S96" s="36"/>
      <c r="T96" s="66"/>
      <c r="U96" s="32"/>
    </row>
    <row r="97" spans="1:21" ht="16.5" customHeight="1" x14ac:dyDescent="0.2">
      <c r="A97" s="1"/>
      <c r="B97" s="821" t="str">
        <f>B$4</f>
        <v>TOTALE EURO</v>
      </c>
      <c r="C97" s="71" t="str">
        <f t="shared" ref="C97:R97" si="7">C63</f>
        <v>Gennaio</v>
      </c>
      <c r="D97" s="71" t="str">
        <f t="shared" si="7"/>
        <v>Febbraio</v>
      </c>
      <c r="E97" s="71" t="str">
        <f t="shared" si="7"/>
        <v>Marzo</v>
      </c>
      <c r="F97" s="330" t="str">
        <f t="shared" si="7"/>
        <v>I Trim.</v>
      </c>
      <c r="G97" s="71" t="str">
        <f t="shared" si="7"/>
        <v>Aprile</v>
      </c>
      <c r="H97" s="71" t="str">
        <f t="shared" si="7"/>
        <v>Maggio</v>
      </c>
      <c r="I97" s="71" t="str">
        <f t="shared" si="7"/>
        <v>Giugno</v>
      </c>
      <c r="J97" s="330" t="str">
        <f t="shared" si="7"/>
        <v>II Trim.</v>
      </c>
      <c r="K97" s="71" t="str">
        <f t="shared" si="7"/>
        <v>Luglio</v>
      </c>
      <c r="L97" s="71" t="str">
        <f t="shared" si="7"/>
        <v>Agosto</v>
      </c>
      <c r="M97" s="71" t="str">
        <f t="shared" si="7"/>
        <v>Settembre</v>
      </c>
      <c r="N97" s="330" t="str">
        <f t="shared" si="7"/>
        <v>III Trim.</v>
      </c>
      <c r="O97" s="71" t="str">
        <f t="shared" si="7"/>
        <v>Ottobre</v>
      </c>
      <c r="P97" s="71" t="str">
        <f t="shared" si="7"/>
        <v>Novembre</v>
      </c>
      <c r="Q97" s="71" t="str">
        <f t="shared" si="7"/>
        <v>Dicembre</v>
      </c>
      <c r="R97" s="330" t="str">
        <f t="shared" si="7"/>
        <v>IV Trim.</v>
      </c>
      <c r="S97" s="36"/>
      <c r="T97" s="331" t="str">
        <f>CONCATENATE(T$4," ",T$3)</f>
        <v>ANNO 2024</v>
      </c>
      <c r="U97" s="32"/>
    </row>
    <row r="98" spans="1:21" ht="18" customHeight="1" x14ac:dyDescent="0.2">
      <c r="A98" s="68">
        <f>IF(AND($C$203=1,$C$204=0),1,1)</f>
        <v>1</v>
      </c>
      <c r="B98" s="372" t="e">
        <f>VLOOKUP(A98,IMPOSTAZIONI!$B$338:$AQ$346,42,FALSE)</f>
        <v>#N/A</v>
      </c>
      <c r="C98" s="340" t="e">
        <f>VLOOKUP($A98,IMPOSTAZIONI!$B$338:$AM$346,C$91,FALSE)</f>
        <v>#N/A</v>
      </c>
      <c r="D98" s="341" t="e">
        <f>VLOOKUP($A98,IMPOSTAZIONI!$B$338:$AM$347,D$91,FALSE)</f>
        <v>#N/A</v>
      </c>
      <c r="E98" s="341" t="e">
        <f>VLOOKUP($A98,IMPOSTAZIONI!$B$338:$AM$347,E$91,FALSE)</f>
        <v>#N/A</v>
      </c>
      <c r="F98" s="349" t="e">
        <f t="shared" ref="F98:F105" si="8">SUM(C98:E98)</f>
        <v>#N/A</v>
      </c>
      <c r="G98" s="340" t="e">
        <f>VLOOKUP($A98,IMPOSTAZIONI!$B$338:$AM$347,G$91,FALSE)</f>
        <v>#N/A</v>
      </c>
      <c r="H98" s="341" t="e">
        <f>VLOOKUP($A98,IMPOSTAZIONI!$B$338:$AM$347,H$91,FALSE)</f>
        <v>#N/A</v>
      </c>
      <c r="I98" s="341" t="e">
        <f>VLOOKUP($A98,IMPOSTAZIONI!$B$338:$AM$347,I$91,FALSE)</f>
        <v>#N/A</v>
      </c>
      <c r="J98" s="349" t="e">
        <f t="shared" ref="J98:J105" si="9">SUM(G98:I98)</f>
        <v>#N/A</v>
      </c>
      <c r="K98" s="340" t="e">
        <f>VLOOKUP($A98,IMPOSTAZIONI!$B$338:$AM$347,K$91,FALSE)</f>
        <v>#N/A</v>
      </c>
      <c r="L98" s="341" t="e">
        <f>VLOOKUP($A98,IMPOSTAZIONI!$B$338:$AM$347,L$91,FALSE)</f>
        <v>#N/A</v>
      </c>
      <c r="M98" s="341" t="e">
        <f>VLOOKUP($A98,IMPOSTAZIONI!$B$338:$AM$347,M$91,FALSE)</f>
        <v>#N/A</v>
      </c>
      <c r="N98" s="349" t="e">
        <f t="shared" ref="N98:N105" si="10">SUM(K98:M98)</f>
        <v>#N/A</v>
      </c>
      <c r="O98" s="340" t="e">
        <f>VLOOKUP($A98,IMPOSTAZIONI!$B$338:$AM$347,O$91,FALSE)</f>
        <v>#N/A</v>
      </c>
      <c r="P98" s="341" t="e">
        <f>VLOOKUP($A98,IMPOSTAZIONI!$B$338:$AM$347,P$91,FALSE)</f>
        <v>#N/A</v>
      </c>
      <c r="Q98" s="341" t="e">
        <f>VLOOKUP($A98,IMPOSTAZIONI!$B$338:$AM$347,Q$91,FALSE)</f>
        <v>#N/A</v>
      </c>
      <c r="R98" s="349" t="e">
        <f t="shared" ref="R98:R105" si="11">SUM(O98:Q98)</f>
        <v>#N/A</v>
      </c>
      <c r="S98" s="342"/>
      <c r="T98" s="343" t="e">
        <f t="shared" ref="T98:T105" si="12">F98+J98+N98+R98</f>
        <v>#N/A</v>
      </c>
      <c r="U98" s="32"/>
    </row>
    <row r="99" spans="1:21" ht="18" customHeight="1" x14ac:dyDescent="0.2">
      <c r="A99" s="68">
        <f>IF(AND($C$203=1,$C$204=0),2,2)</f>
        <v>2</v>
      </c>
      <c r="B99" s="373" t="e">
        <f>VLOOKUP(A99,IMPOSTAZIONI!$B$338:$AQ$346,42,FALSE)</f>
        <v>#N/A</v>
      </c>
      <c r="C99" s="312" t="e">
        <f>VLOOKUP($A99,IMPOSTAZIONI!$B$338:$AM$347,C$91,FALSE)</f>
        <v>#N/A</v>
      </c>
      <c r="D99" s="313" t="e">
        <f>VLOOKUP($A99,IMPOSTAZIONI!$B$338:$AM$347,D$91,FALSE)</f>
        <v>#N/A</v>
      </c>
      <c r="E99" s="313" t="e">
        <f>VLOOKUP($A99,IMPOSTAZIONI!$B$338:$AM$347,E$91,FALSE)</f>
        <v>#N/A</v>
      </c>
      <c r="F99" s="350" t="e">
        <f t="shared" si="8"/>
        <v>#N/A</v>
      </c>
      <c r="G99" s="312" t="e">
        <f>VLOOKUP($A99,IMPOSTAZIONI!$B$338:$AM$347,G$91,FALSE)</f>
        <v>#N/A</v>
      </c>
      <c r="H99" s="313" t="e">
        <f>VLOOKUP($A99,IMPOSTAZIONI!$B$338:$AM$347,H$91,FALSE)</f>
        <v>#N/A</v>
      </c>
      <c r="I99" s="313" t="e">
        <f>VLOOKUP($A99,IMPOSTAZIONI!$B$338:$AM$347,I$91,FALSE)</f>
        <v>#N/A</v>
      </c>
      <c r="J99" s="350" t="e">
        <f t="shared" si="9"/>
        <v>#N/A</v>
      </c>
      <c r="K99" s="312" t="e">
        <f>VLOOKUP($A99,IMPOSTAZIONI!$B$338:$AM$347,K$91,FALSE)</f>
        <v>#N/A</v>
      </c>
      <c r="L99" s="313" t="e">
        <f>VLOOKUP($A99,IMPOSTAZIONI!$B$338:$AM$347,L$91,FALSE)</f>
        <v>#N/A</v>
      </c>
      <c r="M99" s="313" t="e">
        <f>VLOOKUP($A99,IMPOSTAZIONI!$B$338:$AM$347,M$91,FALSE)</f>
        <v>#N/A</v>
      </c>
      <c r="N99" s="350" t="e">
        <f t="shared" si="10"/>
        <v>#N/A</v>
      </c>
      <c r="O99" s="312" t="e">
        <f>VLOOKUP($A99,IMPOSTAZIONI!$B$338:$AM$347,O$91,FALSE)</f>
        <v>#N/A</v>
      </c>
      <c r="P99" s="313" t="e">
        <f>VLOOKUP($A99,IMPOSTAZIONI!$B$338:$AM$347,P$91,FALSE)</f>
        <v>#N/A</v>
      </c>
      <c r="Q99" s="313" t="e">
        <f>VLOOKUP($A99,IMPOSTAZIONI!$B$338:$AM$347,Q$91,FALSE)</f>
        <v>#N/A</v>
      </c>
      <c r="R99" s="350" t="e">
        <f t="shared" si="11"/>
        <v>#N/A</v>
      </c>
      <c r="S99" s="342"/>
      <c r="T99" s="344" t="e">
        <f t="shared" si="12"/>
        <v>#N/A</v>
      </c>
      <c r="U99" s="32"/>
    </row>
    <row r="100" spans="1:21" ht="18" customHeight="1" x14ac:dyDescent="0.2">
      <c r="A100" s="68">
        <f>IF(AND($C$203=1,$C$204=0),3,3)</f>
        <v>3</v>
      </c>
      <c r="B100" s="373" t="e">
        <f>VLOOKUP(A100,IMPOSTAZIONI!$B$338:$AQ$346,42,FALSE)</f>
        <v>#N/A</v>
      </c>
      <c r="C100" s="312" t="e">
        <f>VLOOKUP($A100,IMPOSTAZIONI!$B$338:$AM$347,C$91,FALSE)</f>
        <v>#N/A</v>
      </c>
      <c r="D100" s="313" t="e">
        <f>VLOOKUP($A100,IMPOSTAZIONI!$B$338:$AM$347,D$91,FALSE)</f>
        <v>#N/A</v>
      </c>
      <c r="E100" s="313" t="e">
        <f>VLOOKUP($A100,IMPOSTAZIONI!$B$338:$AM$347,E$91,FALSE)</f>
        <v>#N/A</v>
      </c>
      <c r="F100" s="350" t="e">
        <f t="shared" si="8"/>
        <v>#N/A</v>
      </c>
      <c r="G100" s="312" t="e">
        <f>VLOOKUP($A100,IMPOSTAZIONI!$B$338:$AM$347,G$91,FALSE)</f>
        <v>#N/A</v>
      </c>
      <c r="H100" s="313" t="e">
        <f>VLOOKUP($A100,IMPOSTAZIONI!$B$338:$AM$347,H$91,FALSE)</f>
        <v>#N/A</v>
      </c>
      <c r="I100" s="313" t="e">
        <f>VLOOKUP($A100,IMPOSTAZIONI!$B$338:$AM$347,I$91,FALSE)</f>
        <v>#N/A</v>
      </c>
      <c r="J100" s="350" t="e">
        <f t="shared" si="9"/>
        <v>#N/A</v>
      </c>
      <c r="K100" s="312" t="e">
        <f>VLOOKUP($A100,IMPOSTAZIONI!$B$338:$AM$347,K$91,FALSE)</f>
        <v>#N/A</v>
      </c>
      <c r="L100" s="313" t="e">
        <f>VLOOKUP($A100,IMPOSTAZIONI!$B$338:$AM$347,L$91,FALSE)</f>
        <v>#N/A</v>
      </c>
      <c r="M100" s="313" t="e">
        <f>VLOOKUP($A100,IMPOSTAZIONI!$B$338:$AM$347,M$91,FALSE)</f>
        <v>#N/A</v>
      </c>
      <c r="N100" s="350" t="e">
        <f t="shared" si="10"/>
        <v>#N/A</v>
      </c>
      <c r="O100" s="312" t="e">
        <f>VLOOKUP($A100,IMPOSTAZIONI!$B$338:$AM$347,O$91,FALSE)</f>
        <v>#N/A</v>
      </c>
      <c r="P100" s="313" t="e">
        <f>VLOOKUP($A100,IMPOSTAZIONI!$B$338:$AM$347,P$91,FALSE)</f>
        <v>#N/A</v>
      </c>
      <c r="Q100" s="313" t="e">
        <f>VLOOKUP($A100,IMPOSTAZIONI!$B$338:$AM$347,Q$91,FALSE)</f>
        <v>#N/A</v>
      </c>
      <c r="R100" s="350" t="e">
        <f t="shared" si="11"/>
        <v>#N/A</v>
      </c>
      <c r="S100" s="342"/>
      <c r="T100" s="344" t="e">
        <f t="shared" si="12"/>
        <v>#N/A</v>
      </c>
      <c r="U100" s="32"/>
    </row>
    <row r="101" spans="1:21" ht="18" customHeight="1" x14ac:dyDescent="0.2">
      <c r="A101" s="68">
        <f>IF(AND($C$203=1,$C$204=0),4,4)</f>
        <v>4</v>
      </c>
      <c r="B101" s="373" t="e">
        <f>VLOOKUP(A101,IMPOSTAZIONI!$B$338:$AQ$346,42,FALSE)</f>
        <v>#N/A</v>
      </c>
      <c r="C101" s="312" t="e">
        <f>VLOOKUP($A101,IMPOSTAZIONI!$B$338:$AM$347,C$91,FALSE)</f>
        <v>#N/A</v>
      </c>
      <c r="D101" s="313" t="e">
        <f>VLOOKUP($A101,IMPOSTAZIONI!$B$338:$AM$347,D$91,FALSE)</f>
        <v>#N/A</v>
      </c>
      <c r="E101" s="313" t="e">
        <f>VLOOKUP($A101,IMPOSTAZIONI!$B$338:$AM$347,E$91,FALSE)</f>
        <v>#N/A</v>
      </c>
      <c r="F101" s="350" t="e">
        <f t="shared" si="8"/>
        <v>#N/A</v>
      </c>
      <c r="G101" s="312" t="e">
        <f>VLOOKUP($A101,IMPOSTAZIONI!$B$338:$AM$347,G$91,FALSE)</f>
        <v>#N/A</v>
      </c>
      <c r="H101" s="313" t="e">
        <f>VLOOKUP($A101,IMPOSTAZIONI!$B$338:$AM$347,H$91,FALSE)</f>
        <v>#N/A</v>
      </c>
      <c r="I101" s="313" t="e">
        <f>VLOOKUP($A101,IMPOSTAZIONI!$B$338:$AM$347,I$91,FALSE)</f>
        <v>#N/A</v>
      </c>
      <c r="J101" s="350" t="e">
        <f t="shared" si="9"/>
        <v>#N/A</v>
      </c>
      <c r="K101" s="312" t="e">
        <f>VLOOKUP($A101,IMPOSTAZIONI!$B$338:$AM$347,K$91,FALSE)</f>
        <v>#N/A</v>
      </c>
      <c r="L101" s="313" t="e">
        <f>VLOOKUP($A101,IMPOSTAZIONI!$B$338:$AM$347,L$91,FALSE)</f>
        <v>#N/A</v>
      </c>
      <c r="M101" s="313" t="e">
        <f>VLOOKUP($A101,IMPOSTAZIONI!$B$338:$AM$347,M$91,FALSE)</f>
        <v>#N/A</v>
      </c>
      <c r="N101" s="350" t="e">
        <f t="shared" si="10"/>
        <v>#N/A</v>
      </c>
      <c r="O101" s="312" t="e">
        <f>VLOOKUP($A101,IMPOSTAZIONI!$B$338:$AM$347,O$91,FALSE)</f>
        <v>#N/A</v>
      </c>
      <c r="P101" s="313" t="e">
        <f>VLOOKUP($A101,IMPOSTAZIONI!$B$338:$AM$347,P$91,FALSE)</f>
        <v>#N/A</v>
      </c>
      <c r="Q101" s="313" t="e">
        <f>VLOOKUP($A101,IMPOSTAZIONI!$B$338:$AM$347,Q$91,FALSE)</f>
        <v>#N/A</v>
      </c>
      <c r="R101" s="350" t="e">
        <f t="shared" si="11"/>
        <v>#N/A</v>
      </c>
      <c r="S101" s="342"/>
      <c r="T101" s="344" t="e">
        <f t="shared" si="12"/>
        <v>#N/A</v>
      </c>
      <c r="U101" s="32"/>
    </row>
    <row r="102" spans="1:21" ht="18" customHeight="1" x14ac:dyDescent="0.2">
      <c r="A102" s="68">
        <f>IF(AND($C$203=1,$C$204=0),5,5)</f>
        <v>5</v>
      </c>
      <c r="B102" s="373" t="e">
        <f>VLOOKUP(A102,IMPOSTAZIONI!$B$338:$AQ$346,42,FALSE)</f>
        <v>#N/A</v>
      </c>
      <c r="C102" s="312" t="e">
        <f>VLOOKUP($A102,IMPOSTAZIONI!$B$338:$AM$347,C$91,FALSE)</f>
        <v>#N/A</v>
      </c>
      <c r="D102" s="313" t="e">
        <f>VLOOKUP($A102,IMPOSTAZIONI!$B$338:$AM$347,D$91,FALSE)</f>
        <v>#N/A</v>
      </c>
      <c r="E102" s="313" t="e">
        <f>VLOOKUP($A102,IMPOSTAZIONI!$B$338:$AM$347,E$91,FALSE)</f>
        <v>#N/A</v>
      </c>
      <c r="F102" s="350" t="e">
        <f t="shared" si="8"/>
        <v>#N/A</v>
      </c>
      <c r="G102" s="312" t="e">
        <f>VLOOKUP($A102,IMPOSTAZIONI!$B$338:$AM$347,G$91,FALSE)</f>
        <v>#N/A</v>
      </c>
      <c r="H102" s="313" t="e">
        <f>VLOOKUP($A102,IMPOSTAZIONI!$B$338:$AM$347,H$91,FALSE)</f>
        <v>#N/A</v>
      </c>
      <c r="I102" s="313" t="e">
        <f>VLOOKUP($A102,IMPOSTAZIONI!$B$338:$AM$347,I$91,FALSE)</f>
        <v>#N/A</v>
      </c>
      <c r="J102" s="350" t="e">
        <f t="shared" si="9"/>
        <v>#N/A</v>
      </c>
      <c r="K102" s="312" t="e">
        <f>VLOOKUP($A102,IMPOSTAZIONI!$B$338:$AM$347,K$91,FALSE)</f>
        <v>#N/A</v>
      </c>
      <c r="L102" s="313" t="e">
        <f>VLOOKUP($A102,IMPOSTAZIONI!$B$338:$AM$347,L$91,FALSE)</f>
        <v>#N/A</v>
      </c>
      <c r="M102" s="313" t="e">
        <f>VLOOKUP($A102,IMPOSTAZIONI!$B$338:$AM$347,M$91,FALSE)</f>
        <v>#N/A</v>
      </c>
      <c r="N102" s="350" t="e">
        <f t="shared" si="10"/>
        <v>#N/A</v>
      </c>
      <c r="O102" s="312" t="e">
        <f>VLOOKUP($A102,IMPOSTAZIONI!$B$338:$AM$347,O$91,FALSE)</f>
        <v>#N/A</v>
      </c>
      <c r="P102" s="313" t="e">
        <f>VLOOKUP($A102,IMPOSTAZIONI!$B$338:$AM$347,P$91,FALSE)</f>
        <v>#N/A</v>
      </c>
      <c r="Q102" s="313" t="e">
        <f>VLOOKUP($A102,IMPOSTAZIONI!$B$338:$AM$347,Q$91,FALSE)</f>
        <v>#N/A</v>
      </c>
      <c r="R102" s="350" t="e">
        <f t="shared" si="11"/>
        <v>#N/A</v>
      </c>
      <c r="S102" s="342"/>
      <c r="T102" s="344" t="e">
        <f t="shared" si="12"/>
        <v>#N/A</v>
      </c>
      <c r="U102" s="32"/>
    </row>
    <row r="103" spans="1:21" ht="18" customHeight="1" x14ac:dyDescent="0.2">
      <c r="A103" s="68">
        <f>IF(AND($C$203=1,$C$204=0),6,6)</f>
        <v>6</v>
      </c>
      <c r="B103" s="373" t="e">
        <f>VLOOKUP(A103,IMPOSTAZIONI!$B$338:$AQ$346,42,FALSE)</f>
        <v>#N/A</v>
      </c>
      <c r="C103" s="312" t="e">
        <f>VLOOKUP($A103,IMPOSTAZIONI!$B$338:$AM$347,C$91,FALSE)</f>
        <v>#N/A</v>
      </c>
      <c r="D103" s="313" t="e">
        <f>VLOOKUP($A103,IMPOSTAZIONI!$B$338:$AM$347,D$91,FALSE)</f>
        <v>#N/A</v>
      </c>
      <c r="E103" s="313" t="e">
        <f>VLOOKUP($A103,IMPOSTAZIONI!$B$338:$AM$347,E$91,FALSE)</f>
        <v>#N/A</v>
      </c>
      <c r="F103" s="350" t="e">
        <f t="shared" si="8"/>
        <v>#N/A</v>
      </c>
      <c r="G103" s="312" t="e">
        <f>VLOOKUP($A103,IMPOSTAZIONI!$B$338:$AM$347,G$91,FALSE)</f>
        <v>#N/A</v>
      </c>
      <c r="H103" s="313" t="e">
        <f>VLOOKUP($A103,IMPOSTAZIONI!$B$338:$AM$347,H$91,FALSE)</f>
        <v>#N/A</v>
      </c>
      <c r="I103" s="313" t="e">
        <f>VLOOKUP($A103,IMPOSTAZIONI!$B$338:$AM$347,I$91,FALSE)</f>
        <v>#N/A</v>
      </c>
      <c r="J103" s="350" t="e">
        <f t="shared" si="9"/>
        <v>#N/A</v>
      </c>
      <c r="K103" s="312" t="e">
        <f>VLOOKUP($A103,IMPOSTAZIONI!$B$338:$AM$347,K$91,FALSE)</f>
        <v>#N/A</v>
      </c>
      <c r="L103" s="313" t="e">
        <f>VLOOKUP($A103,IMPOSTAZIONI!$B$338:$AM$347,L$91,FALSE)</f>
        <v>#N/A</v>
      </c>
      <c r="M103" s="313" t="e">
        <f>VLOOKUP($A103,IMPOSTAZIONI!$B$338:$AM$347,M$91,FALSE)</f>
        <v>#N/A</v>
      </c>
      <c r="N103" s="350" t="e">
        <f t="shared" si="10"/>
        <v>#N/A</v>
      </c>
      <c r="O103" s="312" t="e">
        <f>VLOOKUP($A103,IMPOSTAZIONI!$B$338:$AM$347,O$91,FALSE)</f>
        <v>#N/A</v>
      </c>
      <c r="P103" s="313" t="e">
        <f>VLOOKUP($A103,IMPOSTAZIONI!$B$338:$AM$347,P$91,FALSE)</f>
        <v>#N/A</v>
      </c>
      <c r="Q103" s="313" t="e">
        <f>VLOOKUP($A103,IMPOSTAZIONI!$B$338:$AM$347,Q$91,FALSE)</f>
        <v>#N/A</v>
      </c>
      <c r="R103" s="350" t="e">
        <f t="shared" si="11"/>
        <v>#N/A</v>
      </c>
      <c r="S103" s="342"/>
      <c r="T103" s="344" t="e">
        <f t="shared" si="12"/>
        <v>#N/A</v>
      </c>
      <c r="U103" s="32"/>
    </row>
    <row r="104" spans="1:21" ht="18" customHeight="1" x14ac:dyDescent="0.2">
      <c r="A104" s="68">
        <f>IF(AND($C$203=1,$C$204=0),7,7)</f>
        <v>7</v>
      </c>
      <c r="B104" s="374" t="e">
        <f>VLOOKUP(A104,IMPOSTAZIONI!$B$338:$AQ$346,42,FALSE)</f>
        <v>#N/A</v>
      </c>
      <c r="C104" s="345" t="e">
        <f>VLOOKUP($A104,IMPOSTAZIONI!$B$338:$AM$347,C$91,FALSE)</f>
        <v>#N/A</v>
      </c>
      <c r="D104" s="346" t="e">
        <f>VLOOKUP($A104,IMPOSTAZIONI!$B$338:$AM$347,D$91,FALSE)</f>
        <v>#N/A</v>
      </c>
      <c r="E104" s="346" t="e">
        <f>VLOOKUP($A104,IMPOSTAZIONI!$B$338:$AM$347,E$91,FALSE)</f>
        <v>#N/A</v>
      </c>
      <c r="F104" s="351" t="e">
        <f t="shared" si="8"/>
        <v>#N/A</v>
      </c>
      <c r="G104" s="345" t="e">
        <f>VLOOKUP($A104,IMPOSTAZIONI!$B$338:$AM$347,G$91,FALSE)</f>
        <v>#N/A</v>
      </c>
      <c r="H104" s="346" t="e">
        <f>VLOOKUP($A104,IMPOSTAZIONI!$B$338:$AM$347,H$91,FALSE)</f>
        <v>#N/A</v>
      </c>
      <c r="I104" s="346" t="e">
        <f>VLOOKUP($A104,IMPOSTAZIONI!$B$338:$AM$347,I$91,FALSE)</f>
        <v>#N/A</v>
      </c>
      <c r="J104" s="351" t="e">
        <f t="shared" si="9"/>
        <v>#N/A</v>
      </c>
      <c r="K104" s="345" t="e">
        <f>VLOOKUP($A104,IMPOSTAZIONI!$B$338:$AM$347,K$91,FALSE)</f>
        <v>#N/A</v>
      </c>
      <c r="L104" s="346" t="e">
        <f>VLOOKUP($A104,IMPOSTAZIONI!$B$338:$AM$347,L$91,FALSE)</f>
        <v>#N/A</v>
      </c>
      <c r="M104" s="346" t="e">
        <f>VLOOKUP($A104,IMPOSTAZIONI!$B$338:$AM$347,M$91,FALSE)</f>
        <v>#N/A</v>
      </c>
      <c r="N104" s="351" t="e">
        <f t="shared" si="10"/>
        <v>#N/A</v>
      </c>
      <c r="O104" s="345" t="e">
        <f>VLOOKUP($A104,IMPOSTAZIONI!$B$338:$AM$347,O$91,FALSE)</f>
        <v>#N/A</v>
      </c>
      <c r="P104" s="346" t="e">
        <f>VLOOKUP($A104,IMPOSTAZIONI!$B$338:$AM$347,P$91,FALSE)</f>
        <v>#N/A</v>
      </c>
      <c r="Q104" s="346" t="e">
        <f>VLOOKUP($A104,IMPOSTAZIONI!$B$338:$AM$347,Q$91,FALSE)</f>
        <v>#N/A</v>
      </c>
      <c r="R104" s="351" t="e">
        <f t="shared" si="11"/>
        <v>#N/A</v>
      </c>
      <c r="S104" s="342"/>
      <c r="T104" s="347" t="e">
        <f t="shared" si="12"/>
        <v>#N/A</v>
      </c>
      <c r="U104" s="32"/>
    </row>
    <row r="105" spans="1:21" ht="21" customHeight="1" x14ac:dyDescent="0.2">
      <c r="A105" s="68"/>
      <c r="B105" s="77" t="s">
        <v>441</v>
      </c>
      <c r="C105" s="353">
        <f>SUMIF(C98:C104,"&gt;0")</f>
        <v>0</v>
      </c>
      <c r="D105" s="354">
        <f>SUMIF(D98:D104,"&gt;0")</f>
        <v>0</v>
      </c>
      <c r="E105" s="354">
        <f>SUMIF(E98:E104,"&gt;0")</f>
        <v>0</v>
      </c>
      <c r="F105" s="348">
        <f t="shared" si="8"/>
        <v>0</v>
      </c>
      <c r="G105" s="353">
        <f>SUMIF(G98:G104,"&gt;0")</f>
        <v>0</v>
      </c>
      <c r="H105" s="354">
        <f>SUMIF(H98:H104,"&gt;0")</f>
        <v>0</v>
      </c>
      <c r="I105" s="354">
        <f>SUMIF(I98:I104,"&gt;0")</f>
        <v>0</v>
      </c>
      <c r="J105" s="348">
        <f t="shared" si="9"/>
        <v>0</v>
      </c>
      <c r="K105" s="353">
        <f>SUMIF(K98:K104,"&gt;0")</f>
        <v>0</v>
      </c>
      <c r="L105" s="354">
        <f>SUMIF(L98:L104,"&gt;0")</f>
        <v>0</v>
      </c>
      <c r="M105" s="354">
        <f>SUMIF(M98:M104,"&gt;0")</f>
        <v>0</v>
      </c>
      <c r="N105" s="348">
        <f t="shared" si="10"/>
        <v>0</v>
      </c>
      <c r="O105" s="353">
        <f>SUMIF(O98:O104,"&gt;0")</f>
        <v>0</v>
      </c>
      <c r="P105" s="354">
        <f>SUMIF(P98:P104,"&gt;0")</f>
        <v>0</v>
      </c>
      <c r="Q105" s="354">
        <f>SUMIF(Q98:Q104,"&gt;0")</f>
        <v>0</v>
      </c>
      <c r="R105" s="348">
        <f t="shared" si="11"/>
        <v>0</v>
      </c>
      <c r="S105" s="342"/>
      <c r="T105" s="352">
        <f t="shared" si="12"/>
        <v>0</v>
      </c>
      <c r="U105" s="32"/>
    </row>
    <row r="106" spans="1:21" ht="15" customHeight="1" x14ac:dyDescent="0.2">
      <c r="A106" s="68"/>
      <c r="B106" s="69"/>
      <c r="C106" s="2575"/>
      <c r="D106" s="2575"/>
      <c r="E106" s="2575"/>
      <c r="F106" s="65"/>
      <c r="G106" s="2575"/>
      <c r="H106" s="2575"/>
      <c r="I106" s="2575"/>
      <c r="J106" s="65"/>
      <c r="K106" s="2575"/>
      <c r="L106" s="2575"/>
      <c r="M106" s="2575"/>
      <c r="N106" s="65"/>
      <c r="O106" s="2575"/>
      <c r="P106" s="2575"/>
      <c r="Q106" s="2575"/>
      <c r="R106" s="65"/>
      <c r="S106" s="36"/>
      <c r="T106" s="66"/>
      <c r="U106" s="32"/>
    </row>
    <row r="107" spans="1:21" ht="21" customHeight="1" x14ac:dyDescent="0.2">
      <c r="A107" s="68"/>
      <c r="B107" s="77" t="str">
        <f>IMPOSTAZIONI!AQ347</f>
        <v>IVATO</v>
      </c>
      <c r="C107" s="353">
        <f>IMPOSTAZIONI!D347</f>
        <v>0</v>
      </c>
      <c r="D107" s="354">
        <f>IMPOSTAZIONI!G347</f>
        <v>0</v>
      </c>
      <c r="E107" s="354">
        <f>IMPOSTAZIONI!J347</f>
        <v>0</v>
      </c>
      <c r="F107" s="348">
        <f>SUM(C107:E107)</f>
        <v>0</v>
      </c>
      <c r="G107" s="353">
        <f>IMPOSTAZIONI!M347</f>
        <v>0</v>
      </c>
      <c r="H107" s="354">
        <f>IMPOSTAZIONI!P347</f>
        <v>0</v>
      </c>
      <c r="I107" s="354">
        <f>IMPOSTAZIONI!S347</f>
        <v>0</v>
      </c>
      <c r="J107" s="348">
        <f>SUM(G107:I107)</f>
        <v>0</v>
      </c>
      <c r="K107" s="353">
        <f>IMPOSTAZIONI!V347</f>
        <v>0</v>
      </c>
      <c r="L107" s="354">
        <f>IMPOSTAZIONI!Y347</f>
        <v>0</v>
      </c>
      <c r="M107" s="354">
        <f>IMPOSTAZIONI!AB347</f>
        <v>0</v>
      </c>
      <c r="N107" s="348">
        <f>SUM(K107:M107)</f>
        <v>0</v>
      </c>
      <c r="O107" s="353">
        <f>IMPOSTAZIONI!AE347</f>
        <v>0</v>
      </c>
      <c r="P107" s="354">
        <f>IMPOSTAZIONI!AH347</f>
        <v>0</v>
      </c>
      <c r="Q107" s="354">
        <f>IMPOSTAZIONI!AK347</f>
        <v>0</v>
      </c>
      <c r="R107" s="348">
        <f>SUM(O107:Q107)</f>
        <v>0</v>
      </c>
      <c r="S107" s="342"/>
      <c r="T107" s="360">
        <f>F107+J107+N107+R107</f>
        <v>0</v>
      </c>
      <c r="U107" s="32"/>
    </row>
    <row r="108" spans="1:21" ht="21" customHeight="1" x14ac:dyDescent="0.2">
      <c r="A108" s="1"/>
      <c r="B108" s="84"/>
      <c r="C108" s="46"/>
      <c r="D108" s="44"/>
      <c r="E108" s="44"/>
      <c r="F108" s="44"/>
      <c r="G108" s="44"/>
      <c r="H108" s="44"/>
      <c r="I108" s="44"/>
      <c r="J108" s="44"/>
      <c r="K108" s="46"/>
      <c r="L108" s="44"/>
      <c r="M108" s="44"/>
      <c r="N108" s="44"/>
      <c r="O108" s="44"/>
      <c r="P108" s="44"/>
      <c r="Q108" s="2585" t="s">
        <v>530</v>
      </c>
      <c r="R108" s="2585"/>
      <c r="S108" s="378"/>
      <c r="T108" s="379">
        <f>T105+T107</f>
        <v>0</v>
      </c>
      <c r="U108" s="32"/>
    </row>
    <row r="109" spans="1:21" ht="22.5" customHeight="1" x14ac:dyDescent="0.25">
      <c r="A109" s="1"/>
      <c r="B109" s="759" t="s">
        <v>767</v>
      </c>
      <c r="C109" s="1043">
        <f>C110/$T110*100</f>
        <v>100</v>
      </c>
      <c r="D109" s="1043">
        <f t="shared" ref="D109:R109" si="13">D110/$T110*100</f>
        <v>0</v>
      </c>
      <c r="E109" s="1043">
        <f t="shared" si="13"/>
        <v>0</v>
      </c>
      <c r="F109" s="1044">
        <f t="shared" si="13"/>
        <v>100</v>
      </c>
      <c r="G109" s="1043">
        <f t="shared" si="13"/>
        <v>0</v>
      </c>
      <c r="H109" s="1043">
        <f t="shared" si="13"/>
        <v>0</v>
      </c>
      <c r="I109" s="1043">
        <f t="shared" si="13"/>
        <v>0</v>
      </c>
      <c r="J109" s="1044">
        <f t="shared" si="13"/>
        <v>0</v>
      </c>
      <c r="K109" s="1043">
        <f t="shared" si="13"/>
        <v>0</v>
      </c>
      <c r="L109" s="1043">
        <f t="shared" si="13"/>
        <v>0</v>
      </c>
      <c r="M109" s="1043">
        <f t="shared" si="13"/>
        <v>0</v>
      </c>
      <c r="N109" s="1044">
        <f t="shared" si="13"/>
        <v>0</v>
      </c>
      <c r="O109" s="1043">
        <f t="shared" si="13"/>
        <v>0</v>
      </c>
      <c r="P109" s="1043">
        <f t="shared" si="13"/>
        <v>0</v>
      </c>
      <c r="Q109" s="1043">
        <f t="shared" si="13"/>
        <v>0</v>
      </c>
      <c r="R109" s="1044">
        <f t="shared" si="13"/>
        <v>0</v>
      </c>
      <c r="S109" s="760"/>
      <c r="T109" s="1018">
        <f>T5/$T5*100</f>
        <v>100</v>
      </c>
      <c r="U109" s="32"/>
    </row>
    <row r="110" spans="1:21" ht="22.5" customHeight="1" x14ac:dyDescent="0.2">
      <c r="A110" s="1"/>
      <c r="B110" s="40" t="s">
        <v>740</v>
      </c>
      <c r="C110" s="762">
        <f t="shared" ref="C110:R110" si="14">C5+C169</f>
        <v>1000</v>
      </c>
      <c r="D110" s="762">
        <f t="shared" si="14"/>
        <v>0</v>
      </c>
      <c r="E110" s="762">
        <f t="shared" si="14"/>
        <v>0</v>
      </c>
      <c r="F110" s="762">
        <f t="shared" si="14"/>
        <v>1000</v>
      </c>
      <c r="G110" s="762">
        <f t="shared" si="14"/>
        <v>0</v>
      </c>
      <c r="H110" s="762">
        <f t="shared" si="14"/>
        <v>0</v>
      </c>
      <c r="I110" s="762">
        <f t="shared" si="14"/>
        <v>0</v>
      </c>
      <c r="J110" s="762">
        <f t="shared" si="14"/>
        <v>0</v>
      </c>
      <c r="K110" s="762">
        <f t="shared" si="14"/>
        <v>0</v>
      </c>
      <c r="L110" s="762">
        <f t="shared" si="14"/>
        <v>0</v>
      </c>
      <c r="M110" s="762">
        <f t="shared" si="14"/>
        <v>0</v>
      </c>
      <c r="N110" s="762">
        <f t="shared" si="14"/>
        <v>0</v>
      </c>
      <c r="O110" s="762">
        <f t="shared" si="14"/>
        <v>0</v>
      </c>
      <c r="P110" s="762">
        <f t="shared" si="14"/>
        <v>0</v>
      </c>
      <c r="Q110" s="762">
        <f t="shared" si="14"/>
        <v>0</v>
      </c>
      <c r="R110" s="762">
        <f t="shared" si="14"/>
        <v>0</v>
      </c>
      <c r="S110" s="378"/>
      <c r="T110" s="762">
        <f>F110+J110+N110+R110</f>
        <v>1000</v>
      </c>
      <c r="U110" s="32"/>
    </row>
    <row r="111" spans="1:21" ht="18" customHeight="1" x14ac:dyDescent="0.2">
      <c r="A111" s="1"/>
      <c r="B111" s="84"/>
      <c r="C111" s="498"/>
      <c r="D111" s="44"/>
      <c r="E111" s="44"/>
      <c r="F111" s="44"/>
      <c r="G111" s="44"/>
      <c r="H111" s="44"/>
      <c r="I111" s="44"/>
      <c r="J111" s="44"/>
      <c r="K111" s="46"/>
      <c r="L111" s="44"/>
      <c r="M111" s="44"/>
      <c r="N111" s="44"/>
      <c r="O111" s="44"/>
      <c r="P111" s="44"/>
      <c r="Q111" s="491"/>
      <c r="R111" s="491"/>
      <c r="S111" s="378"/>
      <c r="T111" s="492"/>
      <c r="U111" s="32"/>
    </row>
    <row r="112" spans="1:21" ht="21" customHeight="1" x14ac:dyDescent="0.2">
      <c r="A112" s="1"/>
      <c r="B112" s="84"/>
      <c r="C112" s="634" t="str">
        <f ca="1">Presentazione!$H$13</f>
        <v/>
      </c>
      <c r="D112" s="44"/>
      <c r="E112" s="44"/>
      <c r="F112" s="44"/>
      <c r="G112" s="44"/>
      <c r="H112" s="44"/>
      <c r="I112" s="44"/>
      <c r="J112" s="44"/>
      <c r="K112" s="46"/>
      <c r="L112" s="44"/>
      <c r="M112" s="44"/>
      <c r="N112" s="44"/>
      <c r="O112" s="44"/>
      <c r="P112" s="44"/>
      <c r="Q112" s="491"/>
      <c r="R112" s="491"/>
      <c r="S112" s="378"/>
      <c r="T112" s="492"/>
      <c r="U112" s="32"/>
    </row>
    <row r="113" spans="1:21" ht="26.25" customHeight="1" x14ac:dyDescent="0.2">
      <c r="A113" s="1"/>
      <c r="B113" s="44"/>
      <c r="C113" s="632" t="str">
        <f ca="1">IF(Presentazione!$J$165=Presentazione!$K$83,CONCATENATE(Presentazione!$F$77,"   -   ","P.I./C.F ",Presentazione!$K$79),Presentazione!$I$157)</f>
        <v>Sistema parzialmente attivato. Inserisci il tuo CODICE di PROPRIETA' nel foglio Presentazione.</v>
      </c>
      <c r="D113" s="631"/>
      <c r="E113" s="631"/>
      <c r="F113" s="631"/>
      <c r="G113" s="631"/>
      <c r="H113" s="761"/>
      <c r="I113" s="761"/>
      <c r="J113" s="761"/>
      <c r="K113" s="631"/>
      <c r="L113" s="631"/>
      <c r="M113" s="631"/>
      <c r="N113" s="631"/>
      <c r="O113" s="631"/>
      <c r="P113" s="2586"/>
      <c r="Q113" s="2586"/>
      <c r="R113" s="2586"/>
      <c r="S113" s="34"/>
      <c r="T113" s="44"/>
      <c r="U113" s="32"/>
    </row>
    <row r="114" spans="1:21" ht="17.25" customHeight="1" x14ac:dyDescent="0.2">
      <c r="A114" s="1"/>
      <c r="B114" s="44"/>
      <c r="C114" s="640"/>
      <c r="D114" s="177"/>
      <c r="E114" s="45"/>
      <c r="F114" s="2584" t="str">
        <f>CONCATENATE(Presentazione!$G$35,"   -   ",Presentazione!$L$88)</f>
        <v>Registro dei Corrispettivi 5.2.4 3txt - per EXCEL .xlsm   -   www.marcopiccoli.it</v>
      </c>
      <c r="G114" s="2584"/>
      <c r="H114" s="2584"/>
      <c r="I114" s="2584"/>
      <c r="J114" s="2584"/>
      <c r="K114" s="640"/>
      <c r="L114" s="177"/>
      <c r="M114" s="44"/>
      <c r="N114" s="2584" t="str">
        <f>CONCATENATE(Presentazione!$G$35,"   -   ",Presentazione!$L$88)</f>
        <v>Registro dei Corrispettivi 5.2.4 3txt - per EXCEL .xlsm   -   www.marcopiccoli.it</v>
      </c>
      <c r="O114" s="2584"/>
      <c r="P114" s="2584"/>
      <c r="Q114" s="2584"/>
      <c r="R114" s="2584"/>
      <c r="S114" s="120"/>
      <c r="T114" s="120"/>
      <c r="U114" s="32"/>
    </row>
    <row r="115" spans="1:21" ht="16.5" hidden="1" customHeight="1" x14ac:dyDescent="0.2">
      <c r="A115" s="32"/>
      <c r="B115" s="123"/>
      <c r="C115" s="515" t="str">
        <f>IF(C301=0,"",$B301)</f>
        <v/>
      </c>
      <c r="D115" s="515" t="str">
        <f>IF(D301=0,"",$B301)</f>
        <v/>
      </c>
      <c r="E115" s="515" t="str">
        <f>IF(E301=0,"",$B301)</f>
        <v/>
      </c>
      <c r="F115" s="516"/>
      <c r="G115" s="515" t="str">
        <f>IF(G301=0,"",$B301)</f>
        <v/>
      </c>
      <c r="H115" s="515" t="str">
        <f>IF(H301=0,"",$B301)</f>
        <v/>
      </c>
      <c r="I115" s="515" t="str">
        <f>IF(I301=0,"",$B301)</f>
        <v/>
      </c>
      <c r="J115" s="516"/>
      <c r="K115" s="515" t="str">
        <f>IF(K301=0,"",$B301)</f>
        <v/>
      </c>
      <c r="L115" s="515" t="str">
        <f>IF(L301=0,"",$B301)</f>
        <v/>
      </c>
      <c r="M115" s="515" t="str">
        <f>IF(M301=0,"",$B301)</f>
        <v/>
      </c>
      <c r="N115" s="516"/>
      <c r="O115" s="515" t="str">
        <f>IF(O301=0,"",$B301)</f>
        <v/>
      </c>
      <c r="P115" s="515" t="str">
        <f>IF(P301=0,"",$B301)</f>
        <v/>
      </c>
      <c r="Q115" s="515" t="str">
        <f>IF(Q301=0,"",$B301)</f>
        <v/>
      </c>
      <c r="R115" s="514"/>
      <c r="S115" s="123"/>
      <c r="T115" s="123"/>
      <c r="U115" s="32"/>
    </row>
    <row r="116" spans="1:21" ht="21" hidden="1" customHeight="1" x14ac:dyDescent="0.2">
      <c r="A116" s="486"/>
      <c r="B116" s="486"/>
      <c r="C116" s="2574" t="str">
        <f>IF(G201&gt;0,H201,"Area ventilazione DISATTIVATA")</f>
        <v>Area ventilazione DISATTIVATA</v>
      </c>
      <c r="D116" s="2574"/>
      <c r="E116" s="2574"/>
      <c r="F116" s="2574"/>
      <c r="G116" s="2574"/>
      <c r="H116" s="2576"/>
      <c r="I116" s="2576"/>
      <c r="J116" s="2576"/>
      <c r="K116" s="2574" t="str">
        <f>C116</f>
        <v>Area ventilazione DISATTIVATA</v>
      </c>
      <c r="L116" s="2574"/>
      <c r="M116" s="2574"/>
      <c r="N116" s="2574"/>
      <c r="O116" s="2574"/>
      <c r="P116" s="2576"/>
      <c r="Q116" s="2576"/>
      <c r="R116" s="2576"/>
      <c r="S116" s="34"/>
      <c r="T116" s="409">
        <f>T167</f>
        <v>2024</v>
      </c>
      <c r="U116" s="32"/>
    </row>
    <row r="117" spans="1:21" ht="22.5" hidden="1" customHeight="1" x14ac:dyDescent="0.2">
      <c r="A117" s="181"/>
      <c r="B117" s="159" t="s">
        <v>531</v>
      </c>
      <c r="C117" s="324" t="s">
        <v>228</v>
      </c>
      <c r="D117" s="325" t="s">
        <v>229</v>
      </c>
      <c r="E117" s="325" t="s">
        <v>230</v>
      </c>
      <c r="F117" s="321" t="s">
        <v>231</v>
      </c>
      <c r="G117" s="328" t="s">
        <v>232</v>
      </c>
      <c r="H117" s="325" t="s">
        <v>233</v>
      </c>
      <c r="I117" s="325" t="s">
        <v>234</v>
      </c>
      <c r="J117" s="321" t="s">
        <v>235</v>
      </c>
      <c r="K117" s="324" t="s">
        <v>236</v>
      </c>
      <c r="L117" s="325" t="s">
        <v>237</v>
      </c>
      <c r="M117" s="325" t="s">
        <v>238</v>
      </c>
      <c r="N117" s="321" t="s">
        <v>239</v>
      </c>
      <c r="O117" s="325" t="s">
        <v>240</v>
      </c>
      <c r="P117" s="325" t="s">
        <v>241</v>
      </c>
      <c r="Q117" s="329" t="s">
        <v>242</v>
      </c>
      <c r="R117" s="321" t="s">
        <v>243</v>
      </c>
      <c r="S117" s="34"/>
      <c r="T117" s="160" t="s">
        <v>175</v>
      </c>
      <c r="U117" s="32"/>
    </row>
    <row r="118" spans="1:21" ht="22.5" hidden="1" customHeight="1" x14ac:dyDescent="0.2">
      <c r="A118" s="1"/>
      <c r="B118" s="322" t="s">
        <v>193</v>
      </c>
      <c r="C118" s="318">
        <f>GEN!$G65</f>
        <v>0</v>
      </c>
      <c r="D118" s="319">
        <f>FEB!$G65</f>
        <v>0</v>
      </c>
      <c r="E118" s="319">
        <f>MAR!$G65</f>
        <v>0</v>
      </c>
      <c r="F118" s="350">
        <f>SUM(C118:E118)</f>
        <v>0</v>
      </c>
      <c r="G118" s="318">
        <f>APR!$G65</f>
        <v>0</v>
      </c>
      <c r="H118" s="319">
        <f>MAG!$G65</f>
        <v>0</v>
      </c>
      <c r="I118" s="319">
        <f>GIU!$G65</f>
        <v>0</v>
      </c>
      <c r="J118" s="350">
        <f>SUM(G118:I118)</f>
        <v>0</v>
      </c>
      <c r="K118" s="318">
        <f>LUG!$G65</f>
        <v>0</v>
      </c>
      <c r="L118" s="319">
        <f>AGO!$G65</f>
        <v>0</v>
      </c>
      <c r="M118" s="319">
        <f>SET!$G65</f>
        <v>0</v>
      </c>
      <c r="N118" s="350">
        <f>SUM(K118:M118)</f>
        <v>0</v>
      </c>
      <c r="O118" s="318">
        <f>OTT!$G65</f>
        <v>0</v>
      </c>
      <c r="P118" s="319">
        <f>NOV!$G65</f>
        <v>0</v>
      </c>
      <c r="Q118" s="319">
        <f>DIC!$G65</f>
        <v>0</v>
      </c>
      <c r="R118" s="350">
        <f>SUM(O118:Q118)</f>
        <v>0</v>
      </c>
      <c r="S118" s="35"/>
      <c r="T118" s="344">
        <f>F118+J118+N118+R118</f>
        <v>0</v>
      </c>
      <c r="U118" s="32"/>
    </row>
    <row r="119" spans="1:21" ht="22.5" hidden="1" customHeight="1" x14ac:dyDescent="0.2">
      <c r="A119" s="1"/>
      <c r="B119" s="323" t="s">
        <v>194</v>
      </c>
      <c r="C119" s="320">
        <f>GEN!$L86</f>
        <v>0</v>
      </c>
      <c r="D119" s="320">
        <f>FEB!$L86</f>
        <v>0</v>
      </c>
      <c r="E119" s="320">
        <f>MAR!$L86</f>
        <v>0</v>
      </c>
      <c r="F119" s="745">
        <f>SUM(C119:E119)</f>
        <v>0</v>
      </c>
      <c r="G119" s="320">
        <f>APR!$L86</f>
        <v>0</v>
      </c>
      <c r="H119" s="320">
        <f>MAG!$L86</f>
        <v>0</v>
      </c>
      <c r="I119" s="320">
        <f>GIU!$L86</f>
        <v>0</v>
      </c>
      <c r="J119" s="745">
        <f>SUM(G119:I119)</f>
        <v>0</v>
      </c>
      <c r="K119" s="320">
        <f>LUG!$L86</f>
        <v>0</v>
      </c>
      <c r="L119" s="320">
        <f>AGO!$L86</f>
        <v>0</v>
      </c>
      <c r="M119" s="320">
        <f>SET!$L86</f>
        <v>0</v>
      </c>
      <c r="N119" s="745">
        <f>SUM(K119:M119)</f>
        <v>0</v>
      </c>
      <c r="O119" s="320">
        <f>OTT!$L86</f>
        <v>0</v>
      </c>
      <c r="P119" s="320">
        <f>NOV!$L86</f>
        <v>0</v>
      </c>
      <c r="Q119" s="320">
        <f>DIC!$L86</f>
        <v>0</v>
      </c>
      <c r="R119" s="745">
        <f>SUM(O119:Q119)</f>
        <v>0</v>
      </c>
      <c r="S119" s="35"/>
      <c r="T119" s="746">
        <f>F119+J119+N119+R119</f>
        <v>0</v>
      </c>
      <c r="U119" s="32"/>
    </row>
    <row r="120" spans="1:21" ht="22.5" hidden="1" customHeight="1" x14ac:dyDescent="0.2">
      <c r="A120" s="1"/>
      <c r="B120" s="1038" t="s">
        <v>769</v>
      </c>
      <c r="C120" s="326">
        <f>GEN!$L87</f>
        <v>0</v>
      </c>
      <c r="D120" s="327">
        <f>FEB!$L87</f>
        <v>0</v>
      </c>
      <c r="E120" s="327">
        <f>MAR!$L87</f>
        <v>0</v>
      </c>
      <c r="F120" s="348">
        <f>SUM(C120:E120)</f>
        <v>0</v>
      </c>
      <c r="G120" s="326">
        <f>APR!$L87</f>
        <v>0</v>
      </c>
      <c r="H120" s="327">
        <f>MAG!$L87</f>
        <v>0</v>
      </c>
      <c r="I120" s="327">
        <f>GIU!$L87</f>
        <v>0</v>
      </c>
      <c r="J120" s="348">
        <f>SUM(G120:I120)</f>
        <v>0</v>
      </c>
      <c r="K120" s="326">
        <f>LUG!$L87</f>
        <v>0</v>
      </c>
      <c r="L120" s="327">
        <f>AGO!$L87</f>
        <v>0</v>
      </c>
      <c r="M120" s="327">
        <f>SET!$L87</f>
        <v>0</v>
      </c>
      <c r="N120" s="348">
        <f>SUM(K120:M120)</f>
        <v>0</v>
      </c>
      <c r="O120" s="326">
        <f>OTT!$L87</f>
        <v>0</v>
      </c>
      <c r="P120" s="327">
        <f>NOV!$L87</f>
        <v>0</v>
      </c>
      <c r="Q120" s="327">
        <f>DIC!$L87</f>
        <v>0</v>
      </c>
      <c r="R120" s="348">
        <f>SUM(O120:Q120)</f>
        <v>0</v>
      </c>
      <c r="S120" s="36"/>
      <c r="T120" s="748">
        <f>F120+J120+N120+R120</f>
        <v>0</v>
      </c>
      <c r="U120" s="32"/>
    </row>
    <row r="121" spans="1:21" ht="22.5" hidden="1" customHeight="1" x14ac:dyDescent="0.2">
      <c r="A121" s="32"/>
      <c r="B121" s="123"/>
      <c r="C121" s="515" t="str">
        <f>IF(C306=0,"",$B306)</f>
        <v/>
      </c>
      <c r="D121" s="515" t="str">
        <f>IF(D306=0,"",$B306)</f>
        <v/>
      </c>
      <c r="E121" s="515" t="str">
        <f>IF(E306=0,"",$B306)</f>
        <v/>
      </c>
      <c r="F121" s="516"/>
      <c r="G121" s="515" t="str">
        <f>IF(G306=0,"",$B306)</f>
        <v/>
      </c>
      <c r="H121" s="515" t="str">
        <f>IF(H306=0,"",$B306)</f>
        <v/>
      </c>
      <c r="I121" s="515" t="str">
        <f>IF(I306=0,"",$B306)</f>
        <v/>
      </c>
      <c r="J121" s="516"/>
      <c r="K121" s="515" t="str">
        <f>IF(K306=0,"",$B306)</f>
        <v/>
      </c>
      <c r="L121" s="515" t="str">
        <f>IF(L306=0,"",$B306)</f>
        <v/>
      </c>
      <c r="M121" s="515" t="str">
        <f>IF(M306=0,"",$B306)</f>
        <v/>
      </c>
      <c r="N121" s="516"/>
      <c r="O121" s="515" t="str">
        <f>IF(O306=0,"",$B306)</f>
        <v/>
      </c>
      <c r="P121" s="515" t="str">
        <f>IF(P306=0,"",$B306)</f>
        <v/>
      </c>
      <c r="Q121" s="515" t="str">
        <f>IF(Q306=0,"",$B306)</f>
        <v/>
      </c>
      <c r="R121" s="514"/>
      <c r="S121" s="123"/>
      <c r="T121" s="123"/>
      <c r="U121" s="32"/>
    </row>
    <row r="122" spans="1:21" ht="18" hidden="1" customHeight="1" x14ac:dyDescent="0.2">
      <c r="A122" s="32"/>
      <c r="B122" s="1184" t="s">
        <v>794</v>
      </c>
      <c r="C122" s="1131" t="e">
        <f>GEN!$S67</f>
        <v>#N/A</v>
      </c>
      <c r="D122" s="1131" t="e">
        <f>FEB!$S67</f>
        <v>#N/A</v>
      </c>
      <c r="E122" s="1131" t="e">
        <f>MAR!$S67</f>
        <v>#N/A</v>
      </c>
      <c r="F122" s="516"/>
      <c r="G122" s="1131" t="e">
        <f>APR!$S67</f>
        <v>#N/A</v>
      </c>
      <c r="H122" s="1131" t="e">
        <f>MAG!$S67</f>
        <v>#N/A</v>
      </c>
      <c r="I122" s="1131" t="e">
        <f>GIU!$S67</f>
        <v>#N/A</v>
      </c>
      <c r="J122" s="516"/>
      <c r="K122" s="1131" t="e">
        <f>LUG!$S67</f>
        <v>#N/A</v>
      </c>
      <c r="L122" s="1131" t="e">
        <f>AGO!$S67</f>
        <v>#N/A</v>
      </c>
      <c r="M122" s="1131" t="e">
        <f>SET!$S67</f>
        <v>#N/A</v>
      </c>
      <c r="N122" s="516"/>
      <c r="O122" s="1131" t="e">
        <f>OTT!$S67</f>
        <v>#N/A</v>
      </c>
      <c r="P122" s="1131" t="e">
        <f>NOV!$S67</f>
        <v>#N/A</v>
      </c>
      <c r="Q122" s="1131" t="e">
        <f>DIC!$S67</f>
        <v>#N/A</v>
      </c>
      <c r="R122" s="514"/>
      <c r="S122" s="123"/>
      <c r="T122" s="1131"/>
      <c r="U122" s="32"/>
    </row>
    <row r="123" spans="1:21" ht="18" hidden="1" customHeight="1" x14ac:dyDescent="0.2">
      <c r="A123" s="32"/>
      <c r="B123" s="1185" t="s">
        <v>795</v>
      </c>
      <c r="C123" s="1186" t="str">
        <f>GEN!$G68</f>
        <v>01/01 - 31/01</v>
      </c>
      <c r="D123" s="1186" t="str">
        <f>FEB!$G68</f>
        <v>01/02 - 29/02</v>
      </c>
      <c r="E123" s="1186" t="str">
        <f>MAR!$G68</f>
        <v>01/03 - 31/03</v>
      </c>
      <c r="F123" s="1187" t="str">
        <f>F117</f>
        <v>I Trim.</v>
      </c>
      <c r="G123" s="1186" t="str">
        <f>APR!$G68</f>
        <v>01/04 - 30/04</v>
      </c>
      <c r="H123" s="1186" t="str">
        <f>MAG!$G68</f>
        <v>01/05 - 31/05</v>
      </c>
      <c r="I123" s="1186" t="str">
        <f>GIU!$G68</f>
        <v>01/06 - 30/06</v>
      </c>
      <c r="J123" s="1138" t="str">
        <f>J117</f>
        <v>II Trim.</v>
      </c>
      <c r="K123" s="1186" t="str">
        <f>LUG!$G68</f>
        <v>01/07 - 31/07</v>
      </c>
      <c r="L123" s="1186" t="str">
        <f>AGO!$G68</f>
        <v>01/08 - 31/08</v>
      </c>
      <c r="M123" s="1186" t="str">
        <f>SET!$G68</f>
        <v>01/09 - 30/09</v>
      </c>
      <c r="N123" s="1138" t="str">
        <f>N117</f>
        <v>III Trim.</v>
      </c>
      <c r="O123" s="1186" t="str">
        <f>OTT!$G68</f>
        <v>01/10 - 31/10</v>
      </c>
      <c r="P123" s="1186" t="str">
        <f>NOV!$G68</f>
        <v>01/11 - 30/11</v>
      </c>
      <c r="Q123" s="1186" t="str">
        <f>DIC!$G68</f>
        <v>01/12 - 31/12</v>
      </c>
      <c r="R123" s="1138" t="str">
        <f>R117</f>
        <v>IV Trim.</v>
      </c>
      <c r="S123" s="123"/>
      <c r="T123" s="1214" t="str">
        <f>T97</f>
        <v>ANNO 2024</v>
      </c>
      <c r="U123" s="32"/>
    </row>
    <row r="124" spans="1:21" ht="18" hidden="1" customHeight="1" x14ac:dyDescent="0.2">
      <c r="A124" s="32"/>
      <c r="B124" s="1133" t="s">
        <v>796</v>
      </c>
      <c r="C124" s="515"/>
      <c r="D124" s="515"/>
      <c r="E124" s="515"/>
      <c r="F124" s="1139"/>
      <c r="G124" s="515"/>
      <c r="H124" s="515"/>
      <c r="I124" s="515"/>
      <c r="J124" s="1139"/>
      <c r="K124" s="515"/>
      <c r="L124" s="515"/>
      <c r="M124" s="515"/>
      <c r="N124" s="1139"/>
      <c r="O124" s="515"/>
      <c r="P124" s="515"/>
      <c r="Q124" s="515"/>
      <c r="R124" s="1139"/>
      <c r="S124" s="123"/>
      <c r="T124" s="1188"/>
      <c r="U124" s="32"/>
    </row>
    <row r="125" spans="1:21" hidden="1" x14ac:dyDescent="0.2">
      <c r="A125" s="32"/>
      <c r="B125" s="1144" t="str">
        <f>B8</f>
        <v>Aliquota 22 %</v>
      </c>
      <c r="C125" s="1189">
        <f>GEN!$G69</f>
        <v>0</v>
      </c>
      <c r="D125" s="1189">
        <f>FEB!$G69</f>
        <v>0</v>
      </c>
      <c r="E125" s="1189">
        <f>MAR!$G69</f>
        <v>0</v>
      </c>
      <c r="F125" s="1140">
        <f>SUM(C125:E125)</f>
        <v>0</v>
      </c>
      <c r="G125" s="1189">
        <f>APR!$G69</f>
        <v>0</v>
      </c>
      <c r="H125" s="1189">
        <f>MAG!$G69</f>
        <v>0</v>
      </c>
      <c r="I125" s="1189">
        <f>GIU!$G69</f>
        <v>0</v>
      </c>
      <c r="J125" s="1140">
        <f>SUM(G125:I125)</f>
        <v>0</v>
      </c>
      <c r="K125" s="1189">
        <f>LUG!$G69</f>
        <v>0</v>
      </c>
      <c r="L125" s="1189">
        <f>AGO!$G69</f>
        <v>0</v>
      </c>
      <c r="M125" s="1189">
        <f>SET!$G69</f>
        <v>0</v>
      </c>
      <c r="N125" s="1140">
        <f>SUM(K125:M125)</f>
        <v>0</v>
      </c>
      <c r="O125" s="1189">
        <f>OTT!$G69</f>
        <v>0</v>
      </c>
      <c r="P125" s="1189">
        <f>NOV!$G69</f>
        <v>0</v>
      </c>
      <c r="Q125" s="1189">
        <f>DIC!$G69</f>
        <v>0</v>
      </c>
      <c r="R125" s="1140">
        <f>SUM(O125:Q125)</f>
        <v>0</v>
      </c>
      <c r="S125" s="123"/>
      <c r="T125" s="1190">
        <f>F125+J125+N125+R125</f>
        <v>0</v>
      </c>
      <c r="U125" s="32"/>
    </row>
    <row r="126" spans="1:21" hidden="1" x14ac:dyDescent="0.2">
      <c r="A126" s="32"/>
      <c r="B126" s="1144" t="str">
        <f>B9</f>
        <v>Aliquota 10 %</v>
      </c>
      <c r="C126" s="1189">
        <f>GEN!$G70</f>
        <v>0</v>
      </c>
      <c r="D126" s="1189">
        <f>FEB!$G70</f>
        <v>0</v>
      </c>
      <c r="E126" s="1189">
        <f>MAR!$G70</f>
        <v>0</v>
      </c>
      <c r="F126" s="1140">
        <f>SUM(C126:E126)</f>
        <v>0</v>
      </c>
      <c r="G126" s="1189">
        <f>APR!$G70</f>
        <v>0</v>
      </c>
      <c r="H126" s="1189">
        <f>MAG!$G70</f>
        <v>0</v>
      </c>
      <c r="I126" s="1189">
        <f>GIU!$G70</f>
        <v>0</v>
      </c>
      <c r="J126" s="1140">
        <f>SUM(G126:I126)</f>
        <v>0</v>
      </c>
      <c r="K126" s="1189">
        <f>LUG!$G70</f>
        <v>0</v>
      </c>
      <c r="L126" s="1189">
        <f>AGO!$G70</f>
        <v>0</v>
      </c>
      <c r="M126" s="1189">
        <f>SET!$G70</f>
        <v>0</v>
      </c>
      <c r="N126" s="1140">
        <f>SUM(K126:M126)</f>
        <v>0</v>
      </c>
      <c r="O126" s="1189">
        <f>OTT!$G70</f>
        <v>0</v>
      </c>
      <c r="P126" s="1189">
        <f>NOV!$G70</f>
        <v>0</v>
      </c>
      <c r="Q126" s="1189">
        <f>DIC!$G70</f>
        <v>0</v>
      </c>
      <c r="R126" s="1140">
        <f>SUM(O126:Q126)</f>
        <v>0</v>
      </c>
      <c r="S126" s="123"/>
      <c r="T126" s="1190">
        <f>F126+J126+N126+R126</f>
        <v>0</v>
      </c>
      <c r="U126" s="32"/>
    </row>
    <row r="127" spans="1:21" hidden="1" x14ac:dyDescent="0.2">
      <c r="A127" s="32"/>
      <c r="B127" s="1144" t="str">
        <f>B10</f>
        <v>Aliquota 4 %</v>
      </c>
      <c r="C127" s="1189">
        <f>GEN!$G71</f>
        <v>0</v>
      </c>
      <c r="D127" s="1189">
        <f>FEB!$G71</f>
        <v>0</v>
      </c>
      <c r="E127" s="1189">
        <f>MAR!$G71</f>
        <v>0</v>
      </c>
      <c r="F127" s="1140">
        <f>SUM(C127:E127)</f>
        <v>0</v>
      </c>
      <c r="G127" s="1189">
        <f>APR!$G71</f>
        <v>0</v>
      </c>
      <c r="H127" s="1189">
        <f>MAG!$G71</f>
        <v>0</v>
      </c>
      <c r="I127" s="1189">
        <f>GIU!$G71</f>
        <v>0</v>
      </c>
      <c r="J127" s="1140">
        <f>SUM(G127:I127)</f>
        <v>0</v>
      </c>
      <c r="K127" s="1189">
        <f>LUG!$G71</f>
        <v>0</v>
      </c>
      <c r="L127" s="1189">
        <f>AGO!$G71</f>
        <v>0</v>
      </c>
      <c r="M127" s="1189">
        <f>SET!$G71</f>
        <v>0</v>
      </c>
      <c r="N127" s="1140">
        <f>SUM(K127:M127)</f>
        <v>0</v>
      </c>
      <c r="O127" s="1189">
        <f>OTT!$G71</f>
        <v>0</v>
      </c>
      <c r="P127" s="1189">
        <f>NOV!$G71</f>
        <v>0</v>
      </c>
      <c r="Q127" s="1189">
        <f>DIC!$G71</f>
        <v>0</v>
      </c>
      <c r="R127" s="1140">
        <f>SUM(O127:Q127)</f>
        <v>0</v>
      </c>
      <c r="S127" s="123"/>
      <c r="T127" s="1190">
        <f>F127+J127+N127+R127</f>
        <v>0</v>
      </c>
      <c r="U127" s="32"/>
    </row>
    <row r="128" spans="1:21" ht="18" hidden="1" customHeight="1" x14ac:dyDescent="0.2">
      <c r="A128" s="32"/>
      <c r="B128" s="1145" t="str">
        <f>B11</f>
        <v/>
      </c>
      <c r="C128" s="1191">
        <f>GEN!$G72</f>
        <v>0</v>
      </c>
      <c r="D128" s="1191">
        <f>FEB!$G72</f>
        <v>0</v>
      </c>
      <c r="E128" s="1191">
        <f>MAR!$G72</f>
        <v>0</v>
      </c>
      <c r="F128" s="1141">
        <f>SUM(C128:E128)</f>
        <v>0</v>
      </c>
      <c r="G128" s="1191">
        <f>APR!$G72</f>
        <v>0</v>
      </c>
      <c r="H128" s="1191">
        <f>MAG!$G72</f>
        <v>0</v>
      </c>
      <c r="I128" s="1191">
        <f>GIU!$G72</f>
        <v>0</v>
      </c>
      <c r="J128" s="1141">
        <f>SUM(G128:I128)</f>
        <v>0</v>
      </c>
      <c r="K128" s="1191">
        <f>LUG!$G72</f>
        <v>0</v>
      </c>
      <c r="L128" s="1191">
        <f>AGO!$G72</f>
        <v>0</v>
      </c>
      <c r="M128" s="1191">
        <f>SET!$G72</f>
        <v>0</v>
      </c>
      <c r="N128" s="1141">
        <f>SUM(K128:M128)</f>
        <v>0</v>
      </c>
      <c r="O128" s="1191">
        <f>OTT!$G72</f>
        <v>0</v>
      </c>
      <c r="P128" s="1191">
        <f>NOV!$G72</f>
        <v>0</v>
      </c>
      <c r="Q128" s="1191">
        <f>DIC!$G72</f>
        <v>0</v>
      </c>
      <c r="R128" s="1141">
        <f>SUM(O128:Q128)</f>
        <v>0</v>
      </c>
      <c r="S128" s="123"/>
      <c r="T128" s="1192">
        <f>F128+J128+N128+R128</f>
        <v>0</v>
      </c>
      <c r="U128" s="32"/>
    </row>
    <row r="129" spans="1:21" ht="18" hidden="1" customHeight="1" x14ac:dyDescent="0.2">
      <c r="A129" s="32"/>
      <c r="B129" s="1193" t="s">
        <v>531</v>
      </c>
      <c r="C129" s="1189">
        <f>SUM(C125:C128)</f>
        <v>0</v>
      </c>
      <c r="D129" s="1189">
        <f>SUM(D125:D128)</f>
        <v>0</v>
      </c>
      <c r="E129" s="1189">
        <f>SUM(E125:E128)</f>
        <v>0</v>
      </c>
      <c r="F129" s="1194">
        <f>SUM(C129:E129)</f>
        <v>0</v>
      </c>
      <c r="G129" s="1189">
        <f>SUM(G125:G128)</f>
        <v>0</v>
      </c>
      <c r="H129" s="1189">
        <f>SUM(H125:H128)</f>
        <v>0</v>
      </c>
      <c r="I129" s="1189">
        <f>SUM(I125:I128)</f>
        <v>0</v>
      </c>
      <c r="J129" s="1194">
        <f>SUM(G129:I129)</f>
        <v>0</v>
      </c>
      <c r="K129" s="1189">
        <f>SUM(K125:K128)</f>
        <v>0</v>
      </c>
      <c r="L129" s="1189">
        <f>SUM(L125:L128)</f>
        <v>0</v>
      </c>
      <c r="M129" s="1189">
        <f>SUM(M125:M128)</f>
        <v>0</v>
      </c>
      <c r="N129" s="1194">
        <f>SUM(K129:M129)</f>
        <v>0</v>
      </c>
      <c r="O129" s="1189">
        <f>SUM(O125:O128)</f>
        <v>0</v>
      </c>
      <c r="P129" s="1189">
        <f>SUM(P125:P128)</f>
        <v>0</v>
      </c>
      <c r="Q129" s="1189">
        <f>SUM(Q125:Q128)</f>
        <v>0</v>
      </c>
      <c r="R129" s="1194">
        <f>SUM(O129:Q129)</f>
        <v>0</v>
      </c>
      <c r="S129" s="123"/>
      <c r="T129" s="1195">
        <f>SUM(T125:T128)</f>
        <v>0</v>
      </c>
      <c r="U129" s="32"/>
    </row>
    <row r="130" spans="1:21" ht="12" hidden="1" customHeight="1" x14ac:dyDescent="0.2">
      <c r="A130" s="32"/>
      <c r="B130" s="123"/>
      <c r="C130" s="515"/>
      <c r="D130" s="515"/>
      <c r="E130" s="515"/>
      <c r="F130" s="516"/>
      <c r="G130" s="515"/>
      <c r="H130" s="515"/>
      <c r="I130" s="515"/>
      <c r="J130" s="516"/>
      <c r="K130" s="515"/>
      <c r="L130" s="515"/>
      <c r="M130" s="515"/>
      <c r="N130" s="516"/>
      <c r="O130" s="515"/>
      <c r="P130" s="515"/>
      <c r="Q130" s="515"/>
      <c r="R130" s="514"/>
      <c r="S130" s="123"/>
      <c r="T130" s="123"/>
      <c r="U130" s="32"/>
    </row>
    <row r="131" spans="1:21" ht="16.5" hidden="1" customHeight="1" x14ac:dyDescent="0.2">
      <c r="A131" s="32"/>
      <c r="B131" s="1130" t="s">
        <v>797</v>
      </c>
      <c r="C131" s="515"/>
      <c r="D131" s="515"/>
      <c r="E131" s="515"/>
      <c r="F131" s="516"/>
      <c r="G131" s="515"/>
      <c r="H131" s="515"/>
      <c r="I131" s="515"/>
      <c r="J131" s="516"/>
      <c r="K131" s="515"/>
      <c r="L131" s="515"/>
      <c r="M131" s="515"/>
      <c r="N131" s="516"/>
      <c r="O131" s="515"/>
      <c r="P131" s="515"/>
      <c r="Q131" s="515"/>
      <c r="R131" s="514"/>
      <c r="S131" s="123"/>
      <c r="T131" s="123"/>
      <c r="U131" s="32"/>
    </row>
    <row r="132" spans="1:21" ht="16.5" hidden="1" customHeight="1" x14ac:dyDescent="0.2">
      <c r="A132" s="32"/>
      <c r="B132" s="69" t="s">
        <v>798</v>
      </c>
      <c r="C132" s="1132" t="str">
        <f>GEN!$I68</f>
        <v>01/01 - 31/01</v>
      </c>
      <c r="D132" s="1132" t="str">
        <f>FEB!$I68</f>
        <v>01/01 - 29/02</v>
      </c>
      <c r="E132" s="1132" t="str">
        <f>MAR!$I68</f>
        <v>01/01 - 31/03</v>
      </c>
      <c r="F132" s="516"/>
      <c r="G132" s="1132" t="str">
        <f>APR!$I68</f>
        <v>01/01 - 30/04</v>
      </c>
      <c r="H132" s="1132" t="str">
        <f>MAG!$I68</f>
        <v>01/01 - 31/05</v>
      </c>
      <c r="I132" s="1132" t="str">
        <f>GIU!$I68</f>
        <v>01/01 - 30/06</v>
      </c>
      <c r="J132" s="516"/>
      <c r="K132" s="1132" t="str">
        <f>LUG!$I68</f>
        <v>01/01 - 31/07</v>
      </c>
      <c r="L132" s="1132" t="str">
        <f>AGO!$I68</f>
        <v>01/01 - 31/08</v>
      </c>
      <c r="M132" s="1132" t="str">
        <f>SET!$I68</f>
        <v>01/01 - 30/09</v>
      </c>
      <c r="N132" s="516"/>
      <c r="O132" s="1132" t="str">
        <f>OTT!$I68</f>
        <v>01/01 - 31/10</v>
      </c>
      <c r="P132" s="1132" t="str">
        <f>NOV!$I68</f>
        <v>01/01 - 30/11</v>
      </c>
      <c r="Q132" s="1132" t="str">
        <f>DIC!$I68</f>
        <v>01/01 - 31/12</v>
      </c>
      <c r="R132" s="514"/>
      <c r="S132" s="123"/>
      <c r="T132" s="123"/>
      <c r="U132" s="32"/>
    </row>
    <row r="133" spans="1:21" ht="14.25" hidden="1" customHeight="1" x14ac:dyDescent="0.2">
      <c r="A133" s="32"/>
      <c r="B133" s="77" t="str">
        <f>B125</f>
        <v>Aliquota 22 %</v>
      </c>
      <c r="C133" s="630">
        <f>GEN!$K69</f>
        <v>0</v>
      </c>
      <c r="D133" s="630">
        <f>FEB!$K69</f>
        <v>0</v>
      </c>
      <c r="E133" s="630">
        <f>MAR!$K69</f>
        <v>0</v>
      </c>
      <c r="F133" s="1243" t="str">
        <f>IF(COUNTIF(GEN!H69,CONCATENATE($B$194,"    "))+COUNTIF(FEB!H69,CONCATENATE($B$194,"    "))+COUNTIF(MAR!H69,CONCATENATE($B$194,"    "))&gt;0,$B$194,"")</f>
        <v/>
      </c>
      <c r="G133" s="630">
        <f>APR!$K69</f>
        <v>0</v>
      </c>
      <c r="H133" s="630">
        <f>MAG!$K69</f>
        <v>0</v>
      </c>
      <c r="I133" s="630">
        <f>GIU!$K69</f>
        <v>0</v>
      </c>
      <c r="J133" s="1243" t="str">
        <f>IF(COUNTIF(APR!H69,CONCATENATE($B$194,"    "))+COUNTIF(MAG!H69,CONCATENATE($B$194,"    "))+COUNTIF(GIU!H69,CONCATENATE($B$194,"    "))&gt;0,$B$194,"")</f>
        <v/>
      </c>
      <c r="K133" s="630">
        <f>LUG!$K69</f>
        <v>0</v>
      </c>
      <c r="L133" s="630">
        <f>AGO!$K69</f>
        <v>0</v>
      </c>
      <c r="M133" s="630">
        <f>SET!$K69</f>
        <v>0</v>
      </c>
      <c r="N133" s="1243" t="str">
        <f>IF(COUNTIF(LUG!H69,CONCATENATE($B$194,"    "))+COUNTIF(AGO!H69,CONCATENATE($B$194,"    "))+COUNTIF(SET!H69,CONCATENATE($B$194,"    "))&gt;0,$B$194,"")</f>
        <v/>
      </c>
      <c r="O133" s="630">
        <f>OTT!$K69</f>
        <v>0</v>
      </c>
      <c r="P133" s="630">
        <f>NOV!$K69</f>
        <v>0</v>
      </c>
      <c r="Q133" s="630">
        <f>DIC!$K69</f>
        <v>0</v>
      </c>
      <c r="R133" s="1243" t="str">
        <f>IF(COUNTIF(OTT!H69,CONCATENATE($B$194,"    "))+COUNTIF(NOV!H69,CONCATENATE($B$194,"    "))+COUNTIF(DIC!H69,CONCATENATE($B$194,"    "))&gt;0,$B$194,"")</f>
        <v/>
      </c>
      <c r="S133" s="123"/>
      <c r="T133" s="123"/>
      <c r="U133" s="32"/>
    </row>
    <row r="134" spans="1:21" ht="14.25" hidden="1" customHeight="1" x14ac:dyDescent="0.2">
      <c r="A134" s="32"/>
      <c r="B134" s="77" t="str">
        <f>B126</f>
        <v>Aliquota 10 %</v>
      </c>
      <c r="C134" s="630">
        <f>GEN!$K70</f>
        <v>0</v>
      </c>
      <c r="D134" s="630">
        <f>FEB!$K70</f>
        <v>0</v>
      </c>
      <c r="E134" s="630">
        <f>MAR!$K70</f>
        <v>0</v>
      </c>
      <c r="F134" s="1243" t="str">
        <f>IF(COUNTIF(GEN!H70,CONCATENATE($B$194,"    "))+COUNTIF(FEB!H70,CONCATENATE($B$194,"    "))+COUNTIF(MAR!H70,CONCATENATE($B$194,"    "))&gt;0,$B$194,"")</f>
        <v/>
      </c>
      <c r="G134" s="630">
        <f>APR!$K70</f>
        <v>0</v>
      </c>
      <c r="H134" s="630">
        <f>MAG!$K70</f>
        <v>0</v>
      </c>
      <c r="I134" s="630">
        <f>GIU!$K70</f>
        <v>0</v>
      </c>
      <c r="J134" s="1243" t="str">
        <f>IF(COUNTIF(APR!H70,CONCATENATE($B$194,"    "))+COUNTIF(MAG!H70,CONCATENATE($B$194,"    "))+COUNTIF(GIU!H70,CONCATENATE($B$194,"    "))&gt;0,$B$194,"")</f>
        <v/>
      </c>
      <c r="K134" s="630">
        <f>LUG!$K70</f>
        <v>0</v>
      </c>
      <c r="L134" s="630">
        <f>AGO!$K70</f>
        <v>0</v>
      </c>
      <c r="M134" s="630">
        <f>SET!$K70</f>
        <v>0</v>
      </c>
      <c r="N134" s="1243" t="str">
        <f>IF(COUNTIF(LUG!H70,CONCATENATE($B$194,"    "))+COUNTIF(AGO!H70,CONCATENATE($B$194,"    "))+COUNTIF(SET!H70,CONCATENATE($B$194,"    "))&gt;0,$B$194,"")</f>
        <v/>
      </c>
      <c r="O134" s="630">
        <f>OTT!$K70</f>
        <v>0</v>
      </c>
      <c r="P134" s="630">
        <f>NOV!$K70</f>
        <v>0</v>
      </c>
      <c r="Q134" s="630">
        <f>DIC!$K70</f>
        <v>0</v>
      </c>
      <c r="R134" s="1243" t="str">
        <f>IF(COUNTIF(OTT!H70,CONCATENATE($B$194,"    "))+COUNTIF(NOV!H70,CONCATENATE($B$194,"    "))+COUNTIF(DIC!H70,CONCATENATE($B$194,"    "))&gt;0,$B$194,"")</f>
        <v/>
      </c>
      <c r="S134" s="123"/>
      <c r="T134" s="123"/>
      <c r="U134" s="32"/>
    </row>
    <row r="135" spans="1:21" ht="14.25" hidden="1" customHeight="1" x14ac:dyDescent="0.2">
      <c r="A135" s="32"/>
      <c r="B135" s="77" t="str">
        <f>B127</f>
        <v>Aliquota 4 %</v>
      </c>
      <c r="C135" s="630">
        <f>GEN!$K71</f>
        <v>0</v>
      </c>
      <c r="D135" s="630">
        <f>FEB!$K71</f>
        <v>0</v>
      </c>
      <c r="E135" s="630">
        <f>MAR!$K71</f>
        <v>0</v>
      </c>
      <c r="F135" s="1243" t="str">
        <f>IF(COUNTIF(GEN!H71,CONCATENATE($B$194,"    "))+COUNTIF(FEB!H71,CONCATENATE($B$194,"    "))+COUNTIF(MAR!H71,CONCATENATE($B$194,"    "))&gt;0,$B$194,"")</f>
        <v/>
      </c>
      <c r="G135" s="630">
        <f>APR!$K71</f>
        <v>0</v>
      </c>
      <c r="H135" s="630">
        <f>MAG!$K71</f>
        <v>0</v>
      </c>
      <c r="I135" s="630">
        <f>GIU!$K71</f>
        <v>0</v>
      </c>
      <c r="J135" s="1243" t="str">
        <f>IF(COUNTIF(APR!H71,CONCATENATE($B$194,"    "))+COUNTIF(MAG!H71,CONCATENATE($B$194,"    "))+COUNTIF(GIU!H71,CONCATENATE($B$194,"    "))&gt;0,$B$194,"")</f>
        <v/>
      </c>
      <c r="K135" s="630">
        <f>LUG!$K71</f>
        <v>0</v>
      </c>
      <c r="L135" s="630">
        <f>AGO!$K71</f>
        <v>0</v>
      </c>
      <c r="M135" s="630">
        <f>SET!$K71</f>
        <v>0</v>
      </c>
      <c r="N135" s="1243" t="str">
        <f>IF(COUNTIF(LUG!H71,CONCATENATE($B$194,"    "))+COUNTIF(AGO!H71,CONCATENATE($B$194,"    "))+COUNTIF(SET!H71,CONCATENATE($B$194,"    "))&gt;0,$B$194,"")</f>
        <v/>
      </c>
      <c r="O135" s="630">
        <f>OTT!$K71</f>
        <v>0</v>
      </c>
      <c r="P135" s="630">
        <f>NOV!$K71</f>
        <v>0</v>
      </c>
      <c r="Q135" s="630">
        <f>DIC!$K71</f>
        <v>0</v>
      </c>
      <c r="R135" s="1243" t="str">
        <f>IF(COUNTIF(OTT!H71,CONCATENATE($B$194,"    "))+COUNTIF(NOV!H71,CONCATENATE($B$194,"    "))+COUNTIF(DIC!H71,CONCATENATE($B$194,"    "))&gt;0,$B$194,"")</f>
        <v/>
      </c>
      <c r="S135" s="123"/>
      <c r="T135" s="123"/>
      <c r="U135" s="32"/>
    </row>
    <row r="136" spans="1:21" ht="18" hidden="1" customHeight="1" x14ac:dyDescent="0.2">
      <c r="A136" s="32"/>
      <c r="B136" s="1134" t="str">
        <f>B128</f>
        <v/>
      </c>
      <c r="C136" s="1136">
        <f>GEN!$K72</f>
        <v>0</v>
      </c>
      <c r="D136" s="1136">
        <f>FEB!$K72</f>
        <v>0</v>
      </c>
      <c r="E136" s="1136">
        <f>MAR!$K72</f>
        <v>0</v>
      </c>
      <c r="F136" s="1244" t="str">
        <f>IF(COUNTIF(GEN!H72,CONCATENATE($B$194,"    "))+COUNTIF(FEB!H72,CONCATENATE($B$194,"    "))+COUNTIF(MAR!H72,CONCATENATE($B$194,"    "))&gt;0,$B$194,"")</f>
        <v/>
      </c>
      <c r="G136" s="1136">
        <f>APR!$K72</f>
        <v>0</v>
      </c>
      <c r="H136" s="1136">
        <f>MAG!$K72</f>
        <v>0</v>
      </c>
      <c r="I136" s="1136">
        <f>GIU!$K72</f>
        <v>0</v>
      </c>
      <c r="J136" s="1244" t="str">
        <f>IF(COUNTIF(APR!H72,CONCATENATE($B$194,"    "))+COUNTIF(MAG!H72,CONCATENATE($B$194,"    "))+COUNTIF(GIU!H72,CONCATENATE($B$194,"    "))&gt;0,$B$194,"")</f>
        <v/>
      </c>
      <c r="K136" s="1136">
        <f>LUG!$K72</f>
        <v>0</v>
      </c>
      <c r="L136" s="1136">
        <f>AGO!$K72</f>
        <v>0</v>
      </c>
      <c r="M136" s="1136">
        <f>SET!$K72</f>
        <v>0</v>
      </c>
      <c r="N136" s="1244" t="str">
        <f>IF(COUNTIF(LUG!H72,CONCATENATE($B$194,"    "))+COUNTIF(AGO!H72,CONCATENATE($B$194,"    "))+COUNTIF(SET!H72,CONCATENATE($B$194,"    "))&gt;0,$B$194,"")</f>
        <v/>
      </c>
      <c r="O136" s="1136">
        <f>OTT!$K72</f>
        <v>0</v>
      </c>
      <c r="P136" s="1136">
        <f>NOV!$K72</f>
        <v>0</v>
      </c>
      <c r="Q136" s="1136">
        <f>DIC!$K72</f>
        <v>0</v>
      </c>
      <c r="R136" s="1244" t="str">
        <f>IF(COUNTIF(OTT!H72,CONCATENATE($B$194,"    "))+COUNTIF(NOV!H72,CONCATENATE($B$194,"    "))+COUNTIF(DIC!H72,CONCATENATE($B$194,"    "))&gt;0,$B$194,"")</f>
        <v/>
      </c>
      <c r="S136" s="123"/>
      <c r="T136" s="123"/>
      <c r="U136" s="32"/>
    </row>
    <row r="137" spans="1:21" ht="18" hidden="1" customHeight="1" x14ac:dyDescent="0.2">
      <c r="A137" s="32"/>
      <c r="B137" s="1133" t="s">
        <v>441</v>
      </c>
      <c r="C137" s="1137">
        <f>SUM(C133:C136)</f>
        <v>0</v>
      </c>
      <c r="D137" s="1137">
        <f>SUM(D133:D136)</f>
        <v>0</v>
      </c>
      <c r="E137" s="1137">
        <f>SUM(E133:E136)</f>
        <v>0</v>
      </c>
      <c r="F137" s="516"/>
      <c r="G137" s="1137">
        <f>SUM(G133:G136)</f>
        <v>0</v>
      </c>
      <c r="H137" s="1137">
        <f>SUM(H133:H136)</f>
        <v>0</v>
      </c>
      <c r="I137" s="1137">
        <f>SUM(I133:I136)</f>
        <v>0</v>
      </c>
      <c r="J137" s="516"/>
      <c r="K137" s="1137">
        <f>SUM(K133:K136)</f>
        <v>0</v>
      </c>
      <c r="L137" s="1137">
        <f>SUM(L133:L136)</f>
        <v>0</v>
      </c>
      <c r="M137" s="1137">
        <f>SUM(M133:M136)</f>
        <v>0</v>
      </c>
      <c r="N137" s="516"/>
      <c r="O137" s="1137">
        <f>SUM(O133:O136)</f>
        <v>0</v>
      </c>
      <c r="P137" s="1137">
        <f>SUM(P133:P136)</f>
        <v>0</v>
      </c>
      <c r="Q137" s="1137">
        <f>SUM(Q133:Q136)</f>
        <v>0</v>
      </c>
      <c r="R137" s="514"/>
      <c r="S137" s="123"/>
      <c r="T137" s="123"/>
      <c r="U137" s="32"/>
    </row>
    <row r="138" spans="1:21" ht="12" hidden="1" customHeight="1" x14ac:dyDescent="0.2">
      <c r="A138" s="32"/>
      <c r="B138" s="123"/>
      <c r="C138" s="515"/>
      <c r="D138" s="515"/>
      <c r="E138" s="515"/>
      <c r="F138" s="516"/>
      <c r="G138" s="515"/>
      <c r="H138" s="515"/>
      <c r="I138" s="515"/>
      <c r="J138" s="516"/>
      <c r="K138" s="515"/>
      <c r="L138" s="515"/>
      <c r="M138" s="515"/>
      <c r="N138" s="516"/>
      <c r="O138" s="515"/>
      <c r="P138" s="515"/>
      <c r="Q138" s="515"/>
      <c r="R138" s="514"/>
      <c r="S138" s="123"/>
      <c r="T138" s="123"/>
      <c r="U138" s="32"/>
    </row>
    <row r="139" spans="1:21" ht="16.5" hidden="1" customHeight="1" x14ac:dyDescent="0.2">
      <c r="A139" s="32"/>
      <c r="B139" s="1130" t="s">
        <v>799</v>
      </c>
      <c r="C139" s="515"/>
      <c r="D139" s="515"/>
      <c r="E139" s="515"/>
      <c r="F139" s="516"/>
      <c r="G139" s="515"/>
      <c r="H139" s="515"/>
      <c r="I139" s="515"/>
      <c r="J139" s="516"/>
      <c r="K139" s="515"/>
      <c r="L139" s="515"/>
      <c r="M139" s="515"/>
      <c r="N139" s="516"/>
      <c r="O139" s="515"/>
      <c r="P139" s="515"/>
      <c r="Q139" s="515"/>
      <c r="R139" s="514"/>
      <c r="S139" s="123"/>
      <c r="T139" s="123"/>
      <c r="U139" s="32"/>
    </row>
    <row r="140" spans="1:21" ht="16.5" hidden="1" customHeight="1" x14ac:dyDescent="0.2">
      <c r="A140" s="32"/>
      <c r="B140" s="69" t="s">
        <v>800</v>
      </c>
      <c r="C140" s="515"/>
      <c r="D140" s="515"/>
      <c r="E140" s="515"/>
      <c r="F140" s="516"/>
      <c r="G140" s="515"/>
      <c r="H140" s="515"/>
      <c r="I140" s="515"/>
      <c r="J140" s="516"/>
      <c r="K140" s="515"/>
      <c r="L140" s="515"/>
      <c r="M140" s="515"/>
      <c r="N140" s="516"/>
      <c r="O140" s="515"/>
      <c r="P140" s="515"/>
      <c r="Q140" s="515"/>
      <c r="R140" s="514"/>
      <c r="S140" s="123"/>
      <c r="T140" s="123"/>
      <c r="U140" s="32"/>
    </row>
    <row r="141" spans="1:21" ht="14.25" hidden="1" customHeight="1" x14ac:dyDescent="0.2">
      <c r="A141" s="32"/>
      <c r="B141" s="77" t="str">
        <f>B133</f>
        <v>Aliquota 22 %</v>
      </c>
      <c r="C141" s="444">
        <f>GEN!$N69</f>
        <v>0</v>
      </c>
      <c r="D141" s="444">
        <f>FEB!$N69</f>
        <v>0</v>
      </c>
      <c r="E141" s="444">
        <f>MAR!$N69</f>
        <v>0</v>
      </c>
      <c r="F141" s="1242"/>
      <c r="G141" s="444">
        <f>APR!$N69</f>
        <v>0</v>
      </c>
      <c r="H141" s="444">
        <f>MAG!$N69</f>
        <v>0</v>
      </c>
      <c r="I141" s="444">
        <f>GIU!$N69</f>
        <v>0</v>
      </c>
      <c r="J141" s="516"/>
      <c r="K141" s="444">
        <f>LUG!$N69</f>
        <v>0</v>
      </c>
      <c r="L141" s="444">
        <f>AGO!$N69</f>
        <v>0</v>
      </c>
      <c r="M141" s="444">
        <f>SET!$N69</f>
        <v>0</v>
      </c>
      <c r="N141" s="516"/>
      <c r="O141" s="444">
        <f>OTT!$N69</f>
        <v>0</v>
      </c>
      <c r="P141" s="444">
        <f>NOV!$N69</f>
        <v>0</v>
      </c>
      <c r="Q141" s="444">
        <f>DIC!$N69</f>
        <v>0</v>
      </c>
      <c r="R141" s="514"/>
      <c r="S141" s="123"/>
      <c r="T141" s="123"/>
      <c r="U141" s="32"/>
    </row>
    <row r="142" spans="1:21" ht="14.25" hidden="1" customHeight="1" x14ac:dyDescent="0.2">
      <c r="A142" s="32"/>
      <c r="B142" s="77" t="str">
        <f>B134</f>
        <v>Aliquota 10 %</v>
      </c>
      <c r="C142" s="444">
        <f>GEN!$N70</f>
        <v>0</v>
      </c>
      <c r="D142" s="444">
        <f>FEB!$N70</f>
        <v>0</v>
      </c>
      <c r="E142" s="444">
        <f>MAR!$N70</f>
        <v>0</v>
      </c>
      <c r="F142" s="516"/>
      <c r="G142" s="444">
        <f>APR!$N70</f>
        <v>0</v>
      </c>
      <c r="H142" s="444">
        <f>MAG!$N70</f>
        <v>0</v>
      </c>
      <c r="I142" s="444">
        <f>GIU!$N70</f>
        <v>0</v>
      </c>
      <c r="J142" s="516"/>
      <c r="K142" s="444">
        <f>LUG!$N70</f>
        <v>0</v>
      </c>
      <c r="L142" s="444">
        <f>AGO!$N70</f>
        <v>0</v>
      </c>
      <c r="M142" s="444">
        <f>SET!$N70</f>
        <v>0</v>
      </c>
      <c r="N142" s="516"/>
      <c r="O142" s="444">
        <f>OTT!$N70</f>
        <v>0</v>
      </c>
      <c r="P142" s="444">
        <f>NOV!$N70</f>
        <v>0</v>
      </c>
      <c r="Q142" s="444">
        <f>DIC!$N70</f>
        <v>0</v>
      </c>
      <c r="R142" s="514"/>
      <c r="S142" s="123"/>
      <c r="T142" s="123"/>
      <c r="U142" s="32"/>
    </row>
    <row r="143" spans="1:21" ht="14.25" hidden="1" customHeight="1" x14ac:dyDescent="0.2">
      <c r="A143" s="32"/>
      <c r="B143" s="77" t="str">
        <f>B135</f>
        <v>Aliquota 4 %</v>
      </c>
      <c r="C143" s="444">
        <f>GEN!$N71</f>
        <v>0</v>
      </c>
      <c r="D143" s="444">
        <f>FEB!$N71</f>
        <v>0</v>
      </c>
      <c r="E143" s="444">
        <f>MAR!$N71</f>
        <v>0</v>
      </c>
      <c r="F143" s="516"/>
      <c r="G143" s="444">
        <f>APR!$N71</f>
        <v>0</v>
      </c>
      <c r="H143" s="444">
        <f>MAG!$N71</f>
        <v>0</v>
      </c>
      <c r="I143" s="444">
        <f>GIU!$N71</f>
        <v>0</v>
      </c>
      <c r="J143" s="516"/>
      <c r="K143" s="444">
        <f>LUG!$N71</f>
        <v>0</v>
      </c>
      <c r="L143" s="444">
        <f>AGO!$N71</f>
        <v>0</v>
      </c>
      <c r="M143" s="444">
        <f>SET!$N71</f>
        <v>0</v>
      </c>
      <c r="N143" s="516"/>
      <c r="O143" s="444">
        <f>OTT!$N71</f>
        <v>0</v>
      </c>
      <c r="P143" s="444">
        <f>NOV!$N71</f>
        <v>0</v>
      </c>
      <c r="Q143" s="444">
        <f>DIC!$N71</f>
        <v>0</v>
      </c>
      <c r="R143" s="514"/>
      <c r="S143" s="123"/>
      <c r="T143" s="123"/>
      <c r="U143" s="32"/>
    </row>
    <row r="144" spans="1:21" ht="18" hidden="1" customHeight="1" x14ac:dyDescent="0.2">
      <c r="A144" s="32"/>
      <c r="B144" s="1134" t="str">
        <f>B136</f>
        <v/>
      </c>
      <c r="C144" s="1135">
        <f>GEN!$N72</f>
        <v>0</v>
      </c>
      <c r="D144" s="1135">
        <f>FEB!$N72</f>
        <v>0</v>
      </c>
      <c r="E144" s="1135">
        <f>MAR!$N72</f>
        <v>0</v>
      </c>
      <c r="F144" s="516"/>
      <c r="G144" s="1135">
        <f>APR!$N72</f>
        <v>0</v>
      </c>
      <c r="H144" s="1135">
        <f>MAG!$N72</f>
        <v>0</v>
      </c>
      <c r="I144" s="1135">
        <f>GIU!$N72</f>
        <v>0</v>
      </c>
      <c r="J144" s="516"/>
      <c r="K144" s="1135">
        <f>LUG!$N72</f>
        <v>0</v>
      </c>
      <c r="L144" s="1135">
        <f>AGO!$N72</f>
        <v>0</v>
      </c>
      <c r="M144" s="1135">
        <f>SET!$N72</f>
        <v>0</v>
      </c>
      <c r="N144" s="516"/>
      <c r="O144" s="1135">
        <f>OTT!$N72</f>
        <v>0</v>
      </c>
      <c r="P144" s="1135">
        <f>NOV!$N72</f>
        <v>0</v>
      </c>
      <c r="Q144" s="1135">
        <f>DIC!$N72</f>
        <v>0</v>
      </c>
      <c r="R144" s="514"/>
      <c r="S144" s="123"/>
      <c r="T144" s="123"/>
      <c r="U144" s="32"/>
    </row>
    <row r="145" spans="1:21" ht="18" hidden="1" customHeight="1" x14ac:dyDescent="0.2">
      <c r="A145" s="32"/>
      <c r="B145" s="1133" t="s">
        <v>531</v>
      </c>
      <c r="C145" s="444">
        <f>SUMIF(C141:C144,"&gt;0")+SUMIF(C141:C144,"&lt;0")</f>
        <v>0</v>
      </c>
      <c r="D145" s="444">
        <f>SUMIF(D141:D144,"&gt;0")+SUMIF(D141:D144,"&lt;0")</f>
        <v>0</v>
      </c>
      <c r="E145" s="444">
        <f>SUMIF(E141:E144,"&gt;0")+SUMIF(E141:E144,"&lt;0")</f>
        <v>0</v>
      </c>
      <c r="F145" s="516"/>
      <c r="G145" s="444">
        <f>SUMIF(G141:G144,"&gt;0")+SUMIF(G141:G144,"&lt;0")</f>
        <v>0</v>
      </c>
      <c r="H145" s="444">
        <f>SUMIF(H141:H144,"&gt;0")+SUMIF(H141:H144,"&lt;0")</f>
        <v>0</v>
      </c>
      <c r="I145" s="444">
        <f>SUMIF(I141:I144,"&gt;0")+SUMIF(I141:I144,"&lt;0")</f>
        <v>0</v>
      </c>
      <c r="J145" s="516"/>
      <c r="K145" s="444">
        <f>SUMIF(K141:K144,"&gt;0")+SUMIF(K141:K144,"&lt;0")</f>
        <v>0</v>
      </c>
      <c r="L145" s="444">
        <f>SUMIF(L141:L144,"&gt;0")+SUMIF(L141:L144,"&lt;0")</f>
        <v>0</v>
      </c>
      <c r="M145" s="444">
        <f>SUMIF(M141:M144,"&gt;0")+SUMIF(M141:M144,"&lt;0")</f>
        <v>0</v>
      </c>
      <c r="N145" s="516"/>
      <c r="O145" s="444">
        <f>SUMIF(O141:O144,"&gt;0")+SUMIF(O141:O144,"&lt;0")</f>
        <v>0</v>
      </c>
      <c r="P145" s="444">
        <f>SUMIF(P141:P144,"&gt;0")+SUMIF(P141:P144,"&lt;0")</f>
        <v>0</v>
      </c>
      <c r="Q145" s="444">
        <f>SUMIF(Q141:Q144,"&gt;0")+SUMIF(Q141:Q144,"&lt;0")</f>
        <v>0</v>
      </c>
      <c r="R145" s="514"/>
      <c r="S145" s="123"/>
      <c r="T145" s="123"/>
      <c r="U145" s="32"/>
    </row>
    <row r="146" spans="1:21" ht="12" hidden="1" customHeight="1" x14ac:dyDescent="0.2">
      <c r="A146" s="32"/>
      <c r="B146" s="123"/>
      <c r="C146" s="515"/>
      <c r="D146" s="515"/>
      <c r="E146" s="515"/>
      <c r="F146" s="516"/>
      <c r="G146" s="515"/>
      <c r="H146" s="515"/>
      <c r="I146" s="515"/>
      <c r="J146" s="516"/>
      <c r="K146" s="515"/>
      <c r="L146" s="515"/>
      <c r="M146" s="515"/>
      <c r="N146" s="516"/>
      <c r="O146" s="515"/>
      <c r="P146" s="515"/>
      <c r="Q146" s="515"/>
      <c r="R146" s="514"/>
      <c r="S146" s="123"/>
      <c r="T146" s="123"/>
      <c r="U146" s="32"/>
    </row>
    <row r="147" spans="1:21" ht="16.5" hidden="1" customHeight="1" x14ac:dyDescent="0.2">
      <c r="A147" s="32"/>
      <c r="B147" s="1130" t="s">
        <v>801</v>
      </c>
      <c r="C147" s="515"/>
      <c r="D147" s="515"/>
      <c r="E147" s="515"/>
      <c r="F147" s="516"/>
      <c r="G147" s="515"/>
      <c r="H147" s="515"/>
      <c r="I147" s="515"/>
      <c r="J147" s="516"/>
      <c r="K147" s="515"/>
      <c r="L147" s="515"/>
      <c r="M147" s="515"/>
      <c r="N147" s="516"/>
      <c r="O147" s="515"/>
      <c r="P147" s="515"/>
      <c r="Q147" s="515"/>
      <c r="R147" s="514"/>
      <c r="S147" s="123"/>
      <c r="T147" s="123"/>
      <c r="U147" s="32"/>
    </row>
    <row r="148" spans="1:21" ht="16.5" hidden="1" customHeight="1" x14ac:dyDescent="0.2">
      <c r="A148" s="32"/>
      <c r="B148" s="69" t="s">
        <v>802</v>
      </c>
      <c r="C148" s="515"/>
      <c r="D148" s="515"/>
      <c r="E148" s="515"/>
      <c r="F148" s="516"/>
      <c r="G148" s="515"/>
      <c r="H148" s="515"/>
      <c r="I148" s="515"/>
      <c r="J148" s="516"/>
      <c r="K148" s="515"/>
      <c r="L148" s="515"/>
      <c r="M148" s="515"/>
      <c r="N148" s="516"/>
      <c r="O148" s="515"/>
      <c r="P148" s="515"/>
      <c r="Q148" s="515"/>
      <c r="R148" s="514"/>
      <c r="S148" s="123"/>
      <c r="T148" s="123"/>
      <c r="U148" s="32"/>
    </row>
    <row r="149" spans="1:21" ht="14.25" hidden="1" customHeight="1" x14ac:dyDescent="0.2">
      <c r="A149" s="32"/>
      <c r="B149" s="77" t="str">
        <f>B141</f>
        <v>Aliquota 22 %</v>
      </c>
      <c r="C149" s="444">
        <f>GEN!$G78</f>
        <v>0</v>
      </c>
      <c r="D149" s="444">
        <f>FEB!$G78</f>
        <v>0</v>
      </c>
      <c r="E149" s="444">
        <f>MAR!$G78</f>
        <v>0</v>
      </c>
      <c r="F149" s="516"/>
      <c r="G149" s="444">
        <f>APR!$G78</f>
        <v>0</v>
      </c>
      <c r="H149" s="444">
        <f>MAG!$G78</f>
        <v>0</v>
      </c>
      <c r="I149" s="444">
        <f>GIU!$G78</f>
        <v>0</v>
      </c>
      <c r="J149" s="516"/>
      <c r="K149" s="444">
        <f>LUG!$G78</f>
        <v>0</v>
      </c>
      <c r="L149" s="444">
        <f>AGO!$G78</f>
        <v>0</v>
      </c>
      <c r="M149" s="444">
        <f>SET!$G78</f>
        <v>0</v>
      </c>
      <c r="N149" s="516"/>
      <c r="O149" s="444">
        <f>OTT!$G78</f>
        <v>0</v>
      </c>
      <c r="P149" s="444">
        <f>NOV!$G78</f>
        <v>0</v>
      </c>
      <c r="Q149" s="444">
        <f>DIC!$G78</f>
        <v>0</v>
      </c>
      <c r="R149" s="514"/>
      <c r="S149" s="123"/>
      <c r="T149" s="123"/>
      <c r="U149" s="32"/>
    </row>
    <row r="150" spans="1:21" ht="14.25" hidden="1" customHeight="1" x14ac:dyDescent="0.2">
      <c r="A150" s="32"/>
      <c r="B150" s="77" t="str">
        <f>B142</f>
        <v>Aliquota 10 %</v>
      </c>
      <c r="C150" s="444">
        <f>GEN!$H78</f>
        <v>0</v>
      </c>
      <c r="D150" s="444">
        <f>FEB!$H78</f>
        <v>0</v>
      </c>
      <c r="E150" s="444">
        <f>MAR!$H78</f>
        <v>0</v>
      </c>
      <c r="F150" s="516"/>
      <c r="G150" s="444">
        <f>APR!$H78</f>
        <v>0</v>
      </c>
      <c r="H150" s="444">
        <f>MAG!$H78</f>
        <v>0</v>
      </c>
      <c r="I150" s="444">
        <f>GIU!$H78</f>
        <v>0</v>
      </c>
      <c r="J150" s="516"/>
      <c r="K150" s="444">
        <f>LUG!$H78</f>
        <v>0</v>
      </c>
      <c r="L150" s="444">
        <f>AGO!$H78</f>
        <v>0</v>
      </c>
      <c r="M150" s="444">
        <f>SET!$H78</f>
        <v>0</v>
      </c>
      <c r="N150" s="516"/>
      <c r="O150" s="444">
        <f>OTT!$H78</f>
        <v>0</v>
      </c>
      <c r="P150" s="444">
        <f>NOV!$H78</f>
        <v>0</v>
      </c>
      <c r="Q150" s="444">
        <f>DIC!$H78</f>
        <v>0</v>
      </c>
      <c r="R150" s="514"/>
      <c r="S150" s="123"/>
      <c r="T150" s="123"/>
      <c r="U150" s="32"/>
    </row>
    <row r="151" spans="1:21" ht="14.25" hidden="1" customHeight="1" x14ac:dyDescent="0.2">
      <c r="A151" s="32"/>
      <c r="B151" s="77" t="str">
        <f>B143</f>
        <v>Aliquota 4 %</v>
      </c>
      <c r="C151" s="444">
        <f>GEN!$I78</f>
        <v>0</v>
      </c>
      <c r="D151" s="444">
        <f>FEB!$I78</f>
        <v>0</v>
      </c>
      <c r="E151" s="444">
        <f>MAR!$I78</f>
        <v>0</v>
      </c>
      <c r="F151" s="516"/>
      <c r="G151" s="444">
        <f>APR!$I78</f>
        <v>0</v>
      </c>
      <c r="H151" s="444">
        <f>MAG!$I78</f>
        <v>0</v>
      </c>
      <c r="I151" s="444">
        <f>GIU!$I78</f>
        <v>0</v>
      </c>
      <c r="J151" s="516"/>
      <c r="K151" s="444">
        <f>LUG!$I78</f>
        <v>0</v>
      </c>
      <c r="L151" s="444">
        <f>AGO!$I78</f>
        <v>0</v>
      </c>
      <c r="M151" s="444">
        <f>SET!$I78</f>
        <v>0</v>
      </c>
      <c r="N151" s="516"/>
      <c r="O151" s="444">
        <f>OTT!$I78</f>
        <v>0</v>
      </c>
      <c r="P151" s="444">
        <f>NOV!$I78</f>
        <v>0</v>
      </c>
      <c r="Q151" s="444">
        <f>DIC!$I78</f>
        <v>0</v>
      </c>
      <c r="R151" s="514"/>
      <c r="S151" s="123"/>
      <c r="T151" s="123"/>
      <c r="U151" s="32"/>
    </row>
    <row r="152" spans="1:21" ht="18" hidden="1" customHeight="1" x14ac:dyDescent="0.2">
      <c r="A152" s="32"/>
      <c r="B152" s="1134" t="str">
        <f>B144</f>
        <v/>
      </c>
      <c r="C152" s="1135">
        <f>GEN!$K78</f>
        <v>0</v>
      </c>
      <c r="D152" s="1135">
        <f>FEB!$K78</f>
        <v>0</v>
      </c>
      <c r="E152" s="1135">
        <f>MAR!$K78</f>
        <v>0</v>
      </c>
      <c r="F152" s="516"/>
      <c r="G152" s="1135">
        <f>APR!$K78</f>
        <v>0</v>
      </c>
      <c r="H152" s="1135">
        <f>MAG!$K78</f>
        <v>0</v>
      </c>
      <c r="I152" s="1135">
        <f>GIU!$K78</f>
        <v>0</v>
      </c>
      <c r="J152" s="516"/>
      <c r="K152" s="1135">
        <f>LUG!$K78</f>
        <v>0</v>
      </c>
      <c r="L152" s="1135">
        <f>AGO!$K78</f>
        <v>0</v>
      </c>
      <c r="M152" s="1135">
        <f>SET!$K78</f>
        <v>0</v>
      </c>
      <c r="N152" s="516"/>
      <c r="O152" s="1135">
        <f>OTT!$K78</f>
        <v>0</v>
      </c>
      <c r="P152" s="1135">
        <f>NOV!$K78</f>
        <v>0</v>
      </c>
      <c r="Q152" s="1135">
        <f>DIC!$K78</f>
        <v>0</v>
      </c>
      <c r="R152" s="514"/>
      <c r="S152" s="123"/>
      <c r="T152" s="123"/>
      <c r="U152" s="32"/>
    </row>
    <row r="153" spans="1:21" ht="18" hidden="1" customHeight="1" x14ac:dyDescent="0.2">
      <c r="A153" s="32"/>
      <c r="B153" s="1133" t="s">
        <v>531</v>
      </c>
      <c r="C153" s="444">
        <f>SUMIF(C149:C152,"&gt;0")+SUMIF(C149:C152,"&lt;0")</f>
        <v>0</v>
      </c>
      <c r="D153" s="444">
        <f>SUMIF(D149:D152,"&gt;0")+SUMIF(D149:D152,"&lt;0")</f>
        <v>0</v>
      </c>
      <c r="E153" s="444">
        <f>SUMIF(E149:E152,"&gt;0")+SUMIF(E149:E152,"&lt;0")</f>
        <v>0</v>
      </c>
      <c r="F153" s="516"/>
      <c r="G153" s="444">
        <f>SUMIF(G149:G152,"&gt;0")+SUMIF(G149:G152,"&lt;0")</f>
        <v>0</v>
      </c>
      <c r="H153" s="444">
        <f>SUMIF(H149:H152,"&gt;0")+SUMIF(H149:H152,"&lt;0")</f>
        <v>0</v>
      </c>
      <c r="I153" s="444">
        <f>SUMIF(I149:I152,"&gt;0")+SUMIF(I149:I152,"&lt;0")</f>
        <v>0</v>
      </c>
      <c r="J153" s="516"/>
      <c r="K153" s="444">
        <f>SUMIF(K149:K152,"&gt;0")+SUMIF(K149:K152,"&lt;0")</f>
        <v>0</v>
      </c>
      <c r="L153" s="444">
        <f>SUMIF(L149:L152,"&gt;0")+SUMIF(L149:L152,"&lt;0")</f>
        <v>0</v>
      </c>
      <c r="M153" s="444">
        <f>SUMIF(M149:M152,"&gt;0")+SUMIF(M149:M152,"&lt;0")</f>
        <v>0</v>
      </c>
      <c r="N153" s="516"/>
      <c r="O153" s="444">
        <f>SUMIF(O149:O152,"&gt;0")+SUMIF(O149:O152,"&lt;0")</f>
        <v>0</v>
      </c>
      <c r="P153" s="444">
        <f>SUMIF(P149:P152,"&gt;0")+SUMIF(P149:P152,"&lt;0")</f>
        <v>0</v>
      </c>
      <c r="Q153" s="444">
        <f>SUMIF(Q149:Q152,"&gt;0")+SUMIF(Q149:Q152,"&lt;0")</f>
        <v>0</v>
      </c>
      <c r="R153" s="514"/>
      <c r="S153" s="123"/>
      <c r="T153" s="123"/>
      <c r="U153" s="32"/>
    </row>
    <row r="154" spans="1:21" ht="12" hidden="1" customHeight="1" x14ac:dyDescent="0.2">
      <c r="A154" s="32"/>
      <c r="B154" s="123"/>
      <c r="C154" s="515"/>
      <c r="D154" s="515"/>
      <c r="E154" s="515"/>
      <c r="F154" s="516"/>
      <c r="G154" s="515"/>
      <c r="H154" s="515"/>
      <c r="I154" s="515"/>
      <c r="J154" s="516"/>
      <c r="K154" s="515"/>
      <c r="L154" s="515"/>
      <c r="M154" s="515"/>
      <c r="N154" s="516"/>
      <c r="O154" s="515"/>
      <c r="P154" s="515"/>
      <c r="Q154" s="515"/>
      <c r="R154" s="514"/>
      <c r="S154" s="123"/>
      <c r="T154" s="123"/>
      <c r="U154" s="32"/>
    </row>
    <row r="155" spans="1:21" ht="16.5" hidden="1" customHeight="1" x14ac:dyDescent="0.2">
      <c r="A155" s="32"/>
      <c r="B155" s="1142" t="s">
        <v>803</v>
      </c>
      <c r="C155" s="515"/>
      <c r="D155" s="515"/>
      <c r="E155" s="515"/>
      <c r="F155" s="516"/>
      <c r="G155" s="515"/>
      <c r="H155" s="515"/>
      <c r="I155" s="515"/>
      <c r="J155" s="516"/>
      <c r="K155" s="515"/>
      <c r="L155" s="515"/>
      <c r="M155" s="515"/>
      <c r="N155" s="516"/>
      <c r="O155" s="515"/>
      <c r="P155" s="515"/>
      <c r="Q155" s="515"/>
      <c r="R155" s="514"/>
      <c r="S155" s="123"/>
      <c r="T155" s="413" t="s">
        <v>113</v>
      </c>
      <c r="U155" s="32"/>
    </row>
    <row r="156" spans="1:21" ht="16.5" hidden="1" customHeight="1" x14ac:dyDescent="0.2">
      <c r="A156" s="32"/>
      <c r="B156" s="1143" t="s">
        <v>804</v>
      </c>
      <c r="C156" s="515"/>
      <c r="D156" s="515"/>
      <c r="E156" s="515"/>
      <c r="F156" s="516"/>
      <c r="G156" s="515"/>
      <c r="H156" s="515"/>
      <c r="I156" s="515"/>
      <c r="J156" s="516"/>
      <c r="K156" s="515"/>
      <c r="L156" s="515"/>
      <c r="M156" s="515"/>
      <c r="N156" s="516"/>
      <c r="O156" s="515"/>
      <c r="P156" s="515"/>
      <c r="Q156" s="515"/>
      <c r="R156" s="514"/>
      <c r="S156" s="123"/>
      <c r="T156" s="1355" t="s">
        <v>114</v>
      </c>
      <c r="U156" s="32"/>
    </row>
    <row r="157" spans="1:21" ht="14.25" hidden="1" customHeight="1" x14ac:dyDescent="0.2">
      <c r="A157" s="32"/>
      <c r="B157" s="1144" t="str">
        <f>B149</f>
        <v>Aliquota 22 %</v>
      </c>
      <c r="C157" s="1146"/>
      <c r="D157" s="1146">
        <f>IF(D$145=0,0,((SUM($C$145:D$145)*D133/100)*$A172/(100+$A172))-SUM($C149:D149))</f>
        <v>0</v>
      </c>
      <c r="E157" s="1146">
        <f>IF(E$145=0,0,((SUM($C$145:E$145)*E133/100)*$A172/(100+$A172))-SUM($C149:E149))</f>
        <v>0</v>
      </c>
      <c r="F157" s="516"/>
      <c r="G157" s="1146">
        <f>IF(G$145=0,0,((SUM($C$145:G$145)*G133/100)*$A172/(100+$A172))-SUM($C149:G149))</f>
        <v>0</v>
      </c>
      <c r="H157" s="1146">
        <f>IF(H$145=0,0,((SUM($C$145:H$145)*H133/100)*$A172/(100+$A172))-SUM($C149:H149))</f>
        <v>0</v>
      </c>
      <c r="I157" s="1146">
        <f>IF(I$145=0,0,((SUM($C$145:I$145)*I133/100)*$A172/(100+$A172))-SUM($C149:I149))</f>
        <v>0</v>
      </c>
      <c r="J157" s="516"/>
      <c r="K157" s="1146">
        <f>IF(K$145=0,0,((SUM($C$145:K$145)*K133/100)*$A172/(100+$A172))-SUM($C149:K149))</f>
        <v>0</v>
      </c>
      <c r="L157" s="1146">
        <f>IF(L$145=0,0,((SUM($C$145:L$145)*L133/100)*$A172/(100+$A172))-SUM($C149:L149))</f>
        <v>0</v>
      </c>
      <c r="M157" s="1146">
        <f>IF(M$145=0,0,((SUM($C$145:M$145)*M133/100)*$A172/(100+$A172))-SUM($C149:M149))</f>
        <v>0</v>
      </c>
      <c r="N157" s="516"/>
      <c r="O157" s="1146">
        <f>IF(O$145=0,0,((SUM($C$145:O$145)*O133/100)*$A172/(100+$A172))-SUM($C149:O149))</f>
        <v>0</v>
      </c>
      <c r="P157" s="1146">
        <f>IF(P$145=0,0,((SUM($C$145:P$145)*P133/100)*$A172/(100+$A172))-SUM($C149:P149))</f>
        <v>0</v>
      </c>
      <c r="Q157" s="1146">
        <f>IF(Q$145=0,0,((SUM($C$145:Q$145)*Q133/100)*$A172/(100+$A172))-SUM($C149:Q149))</f>
        <v>0</v>
      </c>
      <c r="R157" s="514"/>
      <c r="S157" s="123"/>
      <c r="T157" s="1356">
        <f>DIC!G285</f>
        <v>0</v>
      </c>
      <c r="U157" s="32"/>
    </row>
    <row r="158" spans="1:21" ht="14.25" hidden="1" customHeight="1" x14ac:dyDescent="0.2">
      <c r="A158" s="32"/>
      <c r="B158" s="1144" t="str">
        <f>B150</f>
        <v>Aliquota 10 %</v>
      </c>
      <c r="C158" s="1146"/>
      <c r="D158" s="1146">
        <f>IF(D$145=0,0,((SUM($C$145:D$145)*D134/100)*$A173/(100+$A173))-SUM($C150:D150))</f>
        <v>0</v>
      </c>
      <c r="E158" s="1146">
        <f>IF(E$145=0,0,((SUM($C$145:E$145)*E134/100)*$A173/(100+$A173))-SUM($C150:E150))</f>
        <v>0</v>
      </c>
      <c r="F158" s="516"/>
      <c r="G158" s="1146">
        <f>IF(G$145=0,0,((SUM($C$145:G$145)*G134/100)*$A173/(100+$A173))-SUM($C150:G150))</f>
        <v>0</v>
      </c>
      <c r="H158" s="1146">
        <f>IF(H$145=0,0,((SUM($C$145:H$145)*H134/100)*$A173/(100+$A173))-SUM($C150:H150))</f>
        <v>0</v>
      </c>
      <c r="I158" s="1146">
        <f>IF(I$145=0,0,((SUM($C$145:I$145)*I134/100)*$A173/(100+$A173))-SUM($C150:I150))</f>
        <v>0</v>
      </c>
      <c r="J158" s="516"/>
      <c r="K158" s="1146">
        <f>IF(K$145=0,0,((SUM($C$145:K$145)*K134/100)*$A173/(100+$A173))-SUM($C150:K150))</f>
        <v>0</v>
      </c>
      <c r="L158" s="1146">
        <f>IF(L$145=0,0,((SUM($C$145:L$145)*L134/100)*$A173/(100+$A173))-SUM($C150:L150))</f>
        <v>0</v>
      </c>
      <c r="M158" s="1146">
        <f>IF(M$145=0,0,((SUM($C$145:M$145)*M134/100)*$A173/(100+$A173))-SUM($C150:M150))</f>
        <v>0</v>
      </c>
      <c r="N158" s="516"/>
      <c r="O158" s="1146">
        <f>IF(O$145=0,0,((SUM($C$145:O$145)*O134/100)*$A173/(100+$A173))-SUM($C150:O150))</f>
        <v>0</v>
      </c>
      <c r="P158" s="1146">
        <f>IF(P$145=0,0,((SUM($C$145:P$145)*P134/100)*$A173/(100+$A173))-SUM($C150:P150))</f>
        <v>0</v>
      </c>
      <c r="Q158" s="1146">
        <f>IF(Q$145=0,0,((SUM($C$145:Q$145)*Q134/100)*$A173/(100+$A173))-SUM($C150:Q150))</f>
        <v>0</v>
      </c>
      <c r="R158" s="514"/>
      <c r="S158" s="123"/>
      <c r="T158" s="1357">
        <f>DIC!H285</f>
        <v>0</v>
      </c>
      <c r="U158" s="32"/>
    </row>
    <row r="159" spans="1:21" ht="14.25" hidden="1" customHeight="1" x14ac:dyDescent="0.2">
      <c r="A159" s="32"/>
      <c r="B159" s="1144" t="str">
        <f>B151</f>
        <v>Aliquota 4 %</v>
      </c>
      <c r="C159" s="1146"/>
      <c r="D159" s="1146">
        <f>IF(D$145=0,0,((SUM($C$145:D$145)*D135/100)*$A174/(100+$A174))-SUM($C151:D151))</f>
        <v>0</v>
      </c>
      <c r="E159" s="1146">
        <f>IF(E$145=0,0,((SUM($C$145:E$145)*E135/100)*$A174/(100+$A174))-SUM($C151:E151))</f>
        <v>0</v>
      </c>
      <c r="F159" s="516"/>
      <c r="G159" s="1146">
        <f>IF(G$145=0,0,((SUM($C$145:G$145)*G135/100)*$A174/(100+$A174))-SUM($C151:G151))</f>
        <v>0</v>
      </c>
      <c r="H159" s="1146">
        <f>IF(H$145=0,0,((SUM($C$145:H$145)*H135/100)*$A174/(100+$A174))-SUM($C151:H151))</f>
        <v>0</v>
      </c>
      <c r="I159" s="1146">
        <f>IF(I$145=0,0,((SUM($C$145:I$145)*I135/100)*$A174/(100+$A174))-SUM($C151:I151))</f>
        <v>0</v>
      </c>
      <c r="J159" s="516"/>
      <c r="K159" s="1146">
        <f>IF(K$145=0,0,((SUM($C$145:K$145)*K135/100)*$A174/(100+$A174))-SUM($C151:K151))</f>
        <v>0</v>
      </c>
      <c r="L159" s="1146">
        <f>IF(L$145=0,0,((SUM($C$145:L$145)*L135/100)*$A174/(100+$A174))-SUM($C151:L151))</f>
        <v>0</v>
      </c>
      <c r="M159" s="1146">
        <f>IF(M$145=0,0,((SUM($C$145:M$145)*M135/100)*$A174/(100+$A174))-SUM($C151:M151))</f>
        <v>0</v>
      </c>
      <c r="N159" s="516"/>
      <c r="O159" s="1146">
        <f>IF(O$145=0,0,((SUM($C$145:O$145)*O135/100)*$A174/(100+$A174))-SUM($C151:O151))</f>
        <v>0</v>
      </c>
      <c r="P159" s="1146">
        <f>IF(P$145=0,0,((SUM($C$145:P$145)*P135/100)*$A174/(100+$A174))-SUM($C151:P151))</f>
        <v>0</v>
      </c>
      <c r="Q159" s="1146">
        <f>IF(Q$145=0,0,((SUM($C$145:Q$145)*Q135/100)*$A174/(100+$A174))-SUM($C151:Q151))</f>
        <v>0</v>
      </c>
      <c r="R159" s="514"/>
      <c r="S159" s="123"/>
      <c r="T159" s="1357">
        <f>DIC!I285</f>
        <v>0</v>
      </c>
      <c r="U159" s="32"/>
    </row>
    <row r="160" spans="1:21" ht="18" hidden="1" customHeight="1" x14ac:dyDescent="0.2">
      <c r="A160" s="32"/>
      <c r="B160" s="1145" t="str">
        <f>B152</f>
        <v/>
      </c>
      <c r="C160" s="1147"/>
      <c r="D160" s="1147">
        <f>IF(D$145=0,0,((SUM($C$145:D$145)*D136/100)*$A175/(100+$A175))-SUM($C152:D152))</f>
        <v>0</v>
      </c>
      <c r="E160" s="1147">
        <f>IF(E$145=0,0,((SUM($C$145:E$145)*E136/100)*$A175/(100+$A175))-SUM($C152:E152))</f>
        <v>0</v>
      </c>
      <c r="F160" s="516"/>
      <c r="G160" s="1147">
        <f>IF(G$145=0,0,((SUM($C$145:G$145)*G136/100)*$A175/(100+$A175))-SUM($C152:G152))</f>
        <v>0</v>
      </c>
      <c r="H160" s="1147">
        <f>IF(H$145=0,0,((SUM($C$145:H$145)*H136/100)*$A175/(100+$A175))-SUM($C152:H152))</f>
        <v>0</v>
      </c>
      <c r="I160" s="1147">
        <f>IF(I$145=0,0,((SUM($C$145:I$145)*I136/100)*$A175/(100+$A175))-SUM($C152:I152))</f>
        <v>0</v>
      </c>
      <c r="J160" s="516"/>
      <c r="K160" s="1147">
        <f>IF(K$145=0,0,((SUM($C$145:K$145)*K136/100)*$A175/(100+$A175))-SUM($C152:K152))</f>
        <v>0</v>
      </c>
      <c r="L160" s="1147">
        <f>IF(L$145=0,0,((SUM($C$145:L$145)*L136/100)*$A175/(100+$A175))-SUM($C152:L152))</f>
        <v>0</v>
      </c>
      <c r="M160" s="1147">
        <f>IF(M$145=0,0,((SUM($C$145:M$145)*M136/100)*$A175/(100+$A175))-SUM($C152:M152))</f>
        <v>0</v>
      </c>
      <c r="N160" s="516"/>
      <c r="O160" s="1147">
        <f>IF(O$145=0,0,((SUM($C$145:O$145)*O136/100)*$A175/(100+$A175))-SUM($C152:O152))</f>
        <v>0</v>
      </c>
      <c r="P160" s="1147">
        <f>IF(P$145=0,0,((SUM($C$145:P$145)*P136/100)*$A175/(100+$A175))-SUM($C152:P152))</f>
        <v>0</v>
      </c>
      <c r="Q160" s="1147">
        <f>IF(Q$145=0,0,((SUM($C$145:Q$145)*Q136/100)*$A175/(100+$A175))-SUM($C152:Q152))</f>
        <v>0</v>
      </c>
      <c r="R160" s="514"/>
      <c r="S160" s="123"/>
      <c r="T160" s="1358">
        <f>DIC!K285</f>
        <v>0</v>
      </c>
      <c r="U160" s="32"/>
    </row>
    <row r="161" spans="1:21" ht="18" hidden="1" customHeight="1" x14ac:dyDescent="0.2">
      <c r="A161" s="32"/>
      <c r="B161" s="1148" t="s">
        <v>531</v>
      </c>
      <c r="C161" s="444"/>
      <c r="D161" s="1146">
        <f>SUMIF(D157:D160,"&gt;0")+SUMIF(D157:D160,"&lt;0")</f>
        <v>0</v>
      </c>
      <c r="E161" s="1146">
        <f>SUMIF(E157:E160,"&gt;0")+SUMIF(E157:E160,"&lt;0")</f>
        <v>0</v>
      </c>
      <c r="F161" s="516"/>
      <c r="G161" s="1146">
        <f>SUMIF(G157:G160,"&gt;0")+SUMIF(G157:G160,"&lt;0")</f>
        <v>0</v>
      </c>
      <c r="H161" s="1146">
        <f>SUMIF(H157:H160,"&gt;0")+SUMIF(H157:H160,"&lt;0")</f>
        <v>0</v>
      </c>
      <c r="I161" s="1146">
        <f>SUMIF(I157:I160,"&gt;0")+SUMIF(I157:I160,"&lt;0")</f>
        <v>0</v>
      </c>
      <c r="J161" s="516"/>
      <c r="K161" s="1146">
        <f>SUMIF(K157:K160,"&gt;0")+SUMIF(K157:K160,"&lt;0")</f>
        <v>0</v>
      </c>
      <c r="L161" s="1146">
        <f>SUMIF(L157:L160,"&gt;0")+SUMIF(L157:L160,"&lt;0")</f>
        <v>0</v>
      </c>
      <c r="M161" s="1146">
        <f>SUMIF(M157:M160,"&gt;0")+SUMIF(M157:M160,"&lt;0")</f>
        <v>0</v>
      </c>
      <c r="N161" s="516"/>
      <c r="O161" s="1146">
        <f>SUMIF(O157:O160,"&gt;0")+SUMIF(O157:O160,"&lt;0")</f>
        <v>0</v>
      </c>
      <c r="P161" s="1146">
        <f>SUMIF(P157:P160,"&gt;0")+SUMIF(P157:P160,"&lt;0")</f>
        <v>0</v>
      </c>
      <c r="Q161" s="1146">
        <f>SUMIF(Q157:Q160,"&gt;0")+SUMIF(Q157:Q160,"&lt;0")</f>
        <v>0</v>
      </c>
      <c r="R161" s="514"/>
      <c r="S161" s="123"/>
      <c r="T161" s="1359">
        <f>DIC!L285</f>
        <v>0</v>
      </c>
      <c r="U161" s="32"/>
    </row>
    <row r="162" spans="1:21" ht="16.5" hidden="1" customHeight="1" x14ac:dyDescent="0.2">
      <c r="A162" s="32"/>
      <c r="B162" s="123"/>
      <c r="C162" s="515"/>
      <c r="D162" s="515"/>
      <c r="E162" s="515"/>
      <c r="F162" s="516"/>
      <c r="G162" s="515"/>
      <c r="H162" s="515"/>
      <c r="I162" s="515"/>
      <c r="J162" s="516"/>
      <c r="K162" s="515"/>
      <c r="L162" s="515"/>
      <c r="M162" s="515"/>
      <c r="N162" s="516"/>
      <c r="O162" s="515"/>
      <c r="P162" s="515"/>
      <c r="Q162" s="515"/>
      <c r="R162" s="514"/>
      <c r="S162" s="123"/>
      <c r="T162" s="162" t="str">
        <f>LEFT(DIC!O266,5)</f>
        <v/>
      </c>
      <c r="U162" s="32"/>
    </row>
    <row r="163" spans="1:21" ht="21" hidden="1" customHeight="1" x14ac:dyDescent="0.2">
      <c r="A163" s="1"/>
      <c r="B163" s="84"/>
      <c r="C163" s="634" t="str">
        <f ca="1">Presentazione!$H$13</f>
        <v/>
      </c>
      <c r="D163" s="44"/>
      <c r="E163" s="44"/>
      <c r="F163" s="44"/>
      <c r="G163" s="44"/>
      <c r="H163" s="44"/>
      <c r="I163" s="44"/>
      <c r="J163" s="44"/>
      <c r="K163" s="46"/>
      <c r="L163" s="44"/>
      <c r="M163" s="44"/>
      <c r="N163" s="44"/>
      <c r="O163" s="44"/>
      <c r="P163" s="44"/>
      <c r="Q163" s="491"/>
      <c r="R163" s="491"/>
      <c r="S163" s="378"/>
      <c r="T163" s="492"/>
      <c r="U163" s="32"/>
    </row>
    <row r="164" spans="1:21" ht="26.25" hidden="1" customHeight="1" x14ac:dyDescent="0.2">
      <c r="A164" s="1"/>
      <c r="B164" s="44"/>
      <c r="C164" s="632" t="str">
        <f ca="1">IF(Presentazione!$J$165=Presentazione!$K$83,CONCATENATE(Presentazione!$F$77,"   -   ","P.I./C.F ",Presentazione!$K$79),Presentazione!$I$157)</f>
        <v>Sistema parzialmente attivato. Inserisci il tuo CODICE di PROPRIETA' nel foglio Presentazione.</v>
      </c>
      <c r="D164" s="631"/>
      <c r="E164" s="631"/>
      <c r="F164" s="631"/>
      <c r="G164" s="631"/>
      <c r="H164" s="761"/>
      <c r="I164" s="761"/>
      <c r="J164" s="761"/>
      <c r="K164" s="631"/>
      <c r="L164" s="631"/>
      <c r="M164" s="631"/>
      <c r="N164" s="631"/>
      <c r="O164" s="631"/>
      <c r="P164" s="2586"/>
      <c r="Q164" s="2586"/>
      <c r="R164" s="2586"/>
      <c r="S164" s="34"/>
      <c r="T164" s="44"/>
      <c r="U164" s="32"/>
    </row>
    <row r="165" spans="1:21" ht="17.25" hidden="1" customHeight="1" x14ac:dyDescent="0.2">
      <c r="A165" s="1"/>
      <c r="B165" s="44"/>
      <c r="C165" s="640"/>
      <c r="D165" s="177"/>
      <c r="E165" s="45"/>
      <c r="F165" s="2584" t="str">
        <f>CONCATENATE(Presentazione!$G$35,"   -   ",Presentazione!$L$88)</f>
        <v>Registro dei Corrispettivi 5.2.4 3txt - per EXCEL .xlsm   -   www.marcopiccoli.it</v>
      </c>
      <c r="G165" s="2584"/>
      <c r="H165" s="2584"/>
      <c r="I165" s="2584"/>
      <c r="J165" s="2584"/>
      <c r="K165" s="640"/>
      <c r="L165" s="177"/>
      <c r="M165" s="44"/>
      <c r="N165" s="2584" t="str">
        <f>CONCATENATE(Presentazione!$G$35,"   -   ",Presentazione!$L$88)</f>
        <v>Registro dei Corrispettivi 5.2.4 3txt - per EXCEL .xlsm   -   www.marcopiccoli.it</v>
      </c>
      <c r="O165" s="2584"/>
      <c r="P165" s="2584"/>
      <c r="Q165" s="2584"/>
      <c r="R165" s="2584"/>
      <c r="S165" s="120"/>
      <c r="T165" s="120"/>
      <c r="U165" s="32"/>
    </row>
    <row r="166" spans="1:21" ht="16.5" customHeight="1" x14ac:dyDescent="0.2">
      <c r="A166" s="32"/>
      <c r="B166" s="123"/>
      <c r="C166" s="515"/>
      <c r="D166" s="515"/>
      <c r="E166" s="515"/>
      <c r="F166" s="516"/>
      <c r="G166" s="515"/>
      <c r="H166" s="515"/>
      <c r="I166" s="515"/>
      <c r="J166" s="516"/>
      <c r="K166" s="515"/>
      <c r="L166" s="515"/>
      <c r="M166" s="515"/>
      <c r="N166" s="516"/>
      <c r="O166" s="515"/>
      <c r="P166" s="515"/>
      <c r="Q166" s="515"/>
      <c r="R166" s="514"/>
      <c r="S166" s="123"/>
      <c r="T166" s="123"/>
      <c r="U166" s="32"/>
    </row>
    <row r="167" spans="1:21" ht="21" customHeight="1" x14ac:dyDescent="0.2">
      <c r="A167" s="486"/>
      <c r="B167" s="486"/>
      <c r="C167" s="2574" t="str">
        <f>IF(G200&gt;0,H200,H200)</f>
        <v>Riepilogo degli importi annotati nelle COLONNE ESCLUSE</v>
      </c>
      <c r="D167" s="2574"/>
      <c r="E167" s="2574"/>
      <c r="F167" s="2574"/>
      <c r="G167" s="2574"/>
      <c r="H167" s="2576"/>
      <c r="I167" s="2576"/>
      <c r="J167" s="2576"/>
      <c r="K167" s="2574" t="str">
        <f>C167</f>
        <v>Riepilogo degli importi annotati nelle COLONNE ESCLUSE</v>
      </c>
      <c r="L167" s="2574"/>
      <c r="M167" s="2574"/>
      <c r="N167" s="2574"/>
      <c r="O167" s="2574"/>
      <c r="P167" s="2576"/>
      <c r="Q167" s="2576"/>
      <c r="R167" s="2576"/>
      <c r="S167" s="34"/>
      <c r="T167" s="409">
        <f>T3</f>
        <v>2024</v>
      </c>
      <c r="U167" s="32"/>
    </row>
    <row r="168" spans="1:21" ht="22.5" customHeight="1" x14ac:dyDescent="0.2">
      <c r="A168" s="181"/>
      <c r="B168" s="159" t="s">
        <v>531</v>
      </c>
      <c r="C168" s="324" t="s">
        <v>228</v>
      </c>
      <c r="D168" s="325" t="s">
        <v>229</v>
      </c>
      <c r="E168" s="325" t="s">
        <v>230</v>
      </c>
      <c r="F168" s="321" t="s">
        <v>231</v>
      </c>
      <c r="G168" s="328" t="s">
        <v>232</v>
      </c>
      <c r="H168" s="325" t="s">
        <v>233</v>
      </c>
      <c r="I168" s="325" t="s">
        <v>234</v>
      </c>
      <c r="J168" s="321" t="s">
        <v>235</v>
      </c>
      <c r="K168" s="324" t="s">
        <v>236</v>
      </c>
      <c r="L168" s="325" t="s">
        <v>237</v>
      </c>
      <c r="M168" s="325" t="s">
        <v>238</v>
      </c>
      <c r="N168" s="321" t="s">
        <v>239</v>
      </c>
      <c r="O168" s="325" t="s">
        <v>240</v>
      </c>
      <c r="P168" s="325" t="s">
        <v>241</v>
      </c>
      <c r="Q168" s="329" t="s">
        <v>242</v>
      </c>
      <c r="R168" s="321" t="s">
        <v>243</v>
      </c>
      <c r="S168" s="34"/>
      <c r="T168" s="160" t="s">
        <v>175</v>
      </c>
      <c r="U168" s="32"/>
    </row>
    <row r="169" spans="1:21" ht="22.5" customHeight="1" x14ac:dyDescent="0.2">
      <c r="A169" s="1"/>
      <c r="B169" s="322" t="s">
        <v>193</v>
      </c>
      <c r="C169" s="318">
        <f>SUMIF(GEN!$G$42:$N$42,$F$200,GEN!$G$46:$N$46)</f>
        <v>0</v>
      </c>
      <c r="D169" s="319">
        <f>SUMIF(FEB!$G$42:$N$42,$F$200,FEB!$G$46:$N$46)</f>
        <v>0</v>
      </c>
      <c r="E169" s="319">
        <f>SUMIF(MAR!$G$42:$N$42,$F$200,MAR!$G$46:$N$46)</f>
        <v>0</v>
      </c>
      <c r="F169" s="350">
        <f t="shared" ref="F169:F177" si="15">SUM(C169:E169)</f>
        <v>0</v>
      </c>
      <c r="G169" s="318">
        <f>SUMIF(APR!$G$42:$N$42,$F$200,APR!$G$46:$N$46)</f>
        <v>0</v>
      </c>
      <c r="H169" s="319">
        <f>SUMIF(MAG!$G$42:$N$42,$F$200,MAG!$G$46:$N$46)</f>
        <v>0</v>
      </c>
      <c r="I169" s="319">
        <f>SUMIF(GIU!$G$42:$N$42,$F$200,GIU!$G$46:$N$46)</f>
        <v>0</v>
      </c>
      <c r="J169" s="350">
        <f t="shared" ref="J169:J177" si="16">SUM(G169:I169)</f>
        <v>0</v>
      </c>
      <c r="K169" s="318">
        <f>SUMIF(LUG!$G$42:$N$42,$F$200,LUG!$G$46:$N$46)</f>
        <v>0</v>
      </c>
      <c r="L169" s="319">
        <f>SUMIF(AGO!$G$42:$N$42,$F$200,AGO!$G$46:$N$46)</f>
        <v>0</v>
      </c>
      <c r="M169" s="319">
        <f>SUMIF(SET!$G$42:$N$42,$F$200,SET!$G$46:$N$46)</f>
        <v>0</v>
      </c>
      <c r="N169" s="350">
        <f t="shared" ref="N169:N177" si="17">SUM(K169:M169)</f>
        <v>0</v>
      </c>
      <c r="O169" s="318">
        <f>SUMIF(OTT!$G$42:$N$42,$F$200,OTT!$G$46:$N$46)</f>
        <v>0</v>
      </c>
      <c r="P169" s="319">
        <f>SUMIF(NOV!$G$42:$N$42,$F$200,NOV!$G$46:$N$46)</f>
        <v>0</v>
      </c>
      <c r="Q169" s="319">
        <f>SUMIF(DIC!$G$42:$N$42,$F$200,DIC!$G$46:$N$46)</f>
        <v>0</v>
      </c>
      <c r="R169" s="350">
        <f t="shared" ref="R169:R177" si="18">SUM(O169:Q169)</f>
        <v>0</v>
      </c>
      <c r="S169" s="35"/>
      <c r="T169" s="344">
        <f t="shared" ref="T169:T177" si="19">F169+J169+N169+R169</f>
        <v>0</v>
      </c>
      <c r="U169" s="32"/>
    </row>
    <row r="170" spans="1:21" ht="22.5" customHeight="1" x14ac:dyDescent="0.2">
      <c r="A170" s="1"/>
      <c r="B170" s="1022" t="s">
        <v>194</v>
      </c>
      <c r="C170" s="1023">
        <f>SUMIF(GEN!$G$42:$N$42,$F$200,GEN!$G$47:$N$47)</f>
        <v>0</v>
      </c>
      <c r="D170" s="1023">
        <f>SUMIF(FEB!$G$42:$N$42,$F$200,FEB!$G$47:$N$47)</f>
        <v>0</v>
      </c>
      <c r="E170" s="1023">
        <f>SUMIF(MAR!$G$42:$N$42,$F$200,MAR!$G$47:$N$47)</f>
        <v>0</v>
      </c>
      <c r="F170" s="1024">
        <f t="shared" si="15"/>
        <v>0</v>
      </c>
      <c r="G170" s="1023">
        <f>SUMIF(APR!$G$42:$N$42,$F$200,APR!$G$47:$N$47)</f>
        <v>0</v>
      </c>
      <c r="H170" s="1023">
        <f>SUMIF(MAG!$G$42:$N$42,$F$200,MAG!$G$47:$N$47)</f>
        <v>0</v>
      </c>
      <c r="I170" s="1023">
        <f>SUMIF(GIU!$G$42:$N$42,$F$200,GIU!$G$47:$N$47)</f>
        <v>0</v>
      </c>
      <c r="J170" s="1024">
        <f t="shared" si="16"/>
        <v>0</v>
      </c>
      <c r="K170" s="1023">
        <f>SUMIF(LUG!$G$42:$N$42,$F$200,LUG!$G$47:$N$47)</f>
        <v>0</v>
      </c>
      <c r="L170" s="1023">
        <f>SUMIF(AGO!$G$42:$N$42,$F$200,AGO!$G$47:$N$47)</f>
        <v>0</v>
      </c>
      <c r="M170" s="1023">
        <f>SUMIF(SET!$G$42:$N$42,$F$200,SET!$G$47:$N$47)</f>
        <v>0</v>
      </c>
      <c r="N170" s="1024">
        <f t="shared" si="17"/>
        <v>0</v>
      </c>
      <c r="O170" s="1023">
        <f>SUMIF(OTT!$G$42:$N$42,$F$200,OTT!$G$47:$N$47)</f>
        <v>0</v>
      </c>
      <c r="P170" s="1023">
        <f>SUMIF(NOV!$G$42:$N$42,$F$200,NOV!$G$47:$N$47)</f>
        <v>0</v>
      </c>
      <c r="Q170" s="1023">
        <f>SUMIF(DIC!$G$42:$N$42,$F$200,DIC!$G$47:$N$47)</f>
        <v>0</v>
      </c>
      <c r="R170" s="1024">
        <f t="shared" si="18"/>
        <v>0</v>
      </c>
      <c r="S170" s="35"/>
      <c r="T170" s="1025">
        <f t="shared" si="19"/>
        <v>0</v>
      </c>
      <c r="U170" s="32"/>
    </row>
    <row r="171" spans="1:21" ht="13.5" customHeight="1" x14ac:dyDescent="0.2">
      <c r="A171" s="1"/>
      <c r="B171" s="1026" t="s">
        <v>768</v>
      </c>
      <c r="C171" s="1027"/>
      <c r="D171" s="1028"/>
      <c r="E171" s="1028"/>
      <c r="F171" s="349"/>
      <c r="G171" s="1027"/>
      <c r="H171" s="1028"/>
      <c r="I171" s="1028"/>
      <c r="J171" s="349"/>
      <c r="K171" s="1027"/>
      <c r="L171" s="1028"/>
      <c r="M171" s="1028"/>
      <c r="N171" s="349"/>
      <c r="O171" s="1027"/>
      <c r="P171" s="1028"/>
      <c r="Q171" s="1028"/>
      <c r="R171" s="349"/>
      <c r="S171" s="35"/>
      <c r="T171" s="1029"/>
      <c r="U171" s="32"/>
    </row>
    <row r="172" spans="1:21" ht="18" customHeight="1" x14ac:dyDescent="0.2">
      <c r="A172" s="542">
        <f t="shared" ref="A172:B176" si="20">A8</f>
        <v>22</v>
      </c>
      <c r="B172" s="1035" t="str">
        <f t="shared" si="20"/>
        <v>Aliquota 22 %</v>
      </c>
      <c r="C172" s="1322">
        <f>SUMIF(GEN!$G$155:$J$155,$A172,GEN!$G$161:$J$161)+GEN!$S$101</f>
        <v>0</v>
      </c>
      <c r="D172" s="1036">
        <f>SUMIF(FEB!$G$155:$J$155,$A172,FEB!$G$161:$J$161)+FEB!$S$101</f>
        <v>0</v>
      </c>
      <c r="E172" s="1036">
        <f>SUMIF(MAR!$G$155:$J$155,$A172,MAR!$G$161:$J$161)+MAR!$S$101</f>
        <v>0</v>
      </c>
      <c r="F172" s="1037">
        <f t="shared" si="15"/>
        <v>0</v>
      </c>
      <c r="G172" s="1322">
        <f>SUMIF(APR!$G$155:$J$155,$A172,APR!$G$161:$J$161)+APR!$S$101</f>
        <v>0</v>
      </c>
      <c r="H172" s="1036">
        <f>SUMIF(MAG!$G$155:$J$155,$A172,MAG!$G$161:$J$161)+MAG!$S$101</f>
        <v>0</v>
      </c>
      <c r="I172" s="1036">
        <f>SUMIF(GIU!$G$155:$J$155,$A172,GIU!$G$161:$J$161)+GIU!$S$101</f>
        <v>0</v>
      </c>
      <c r="J172" s="1037">
        <f t="shared" si="16"/>
        <v>0</v>
      </c>
      <c r="K172" s="1322">
        <f>SUMIF(LUG!$G$155:$J$155,$A172,LUG!$G$161:$J$161)+LUG!$S$101</f>
        <v>0</v>
      </c>
      <c r="L172" s="1036">
        <f>SUMIF(AGO!$G$155:$J$155,$A172,AGO!$G$161:$J$161)+AGO!$S$101</f>
        <v>0</v>
      </c>
      <c r="M172" s="1036">
        <f>SUMIF(SET!$G$155:$J$155,$A172,SET!$G$161:$J$161)+SET!$S$101</f>
        <v>0</v>
      </c>
      <c r="N172" s="1037">
        <f t="shared" si="17"/>
        <v>0</v>
      </c>
      <c r="O172" s="1322">
        <f>SUMIF(OTT!$G$155:$J$155,$A172,OTT!$G$161:$J$161)+OTT!$S$101</f>
        <v>0</v>
      </c>
      <c r="P172" s="1036">
        <f>SUMIF(NOV!$G$155:$J$155,$A172,NOV!$G$161:$J$161)+NOV!$S$101</f>
        <v>0</v>
      </c>
      <c r="Q172" s="1036">
        <f>SUMIF(DIC!$G$155:$J$155,$A172,DIC!$G$161:$J$161)+DIC!$S$101</f>
        <v>0</v>
      </c>
      <c r="R172" s="1037">
        <f t="shared" si="18"/>
        <v>0</v>
      </c>
      <c r="S172" s="35"/>
      <c r="T172" s="1034">
        <f t="shared" si="19"/>
        <v>0</v>
      </c>
      <c r="U172" s="32"/>
    </row>
    <row r="173" spans="1:21" ht="14.25" x14ac:dyDescent="0.2">
      <c r="A173" s="542">
        <f t="shared" si="20"/>
        <v>10</v>
      </c>
      <c r="B173" s="323" t="str">
        <f t="shared" si="20"/>
        <v>Aliquota 10 %</v>
      </c>
      <c r="C173" s="1323">
        <f>SUMIF(GEN!$G$155:$J$155,$A173,GEN!$G$161:$J$161)+GEN!$S$102</f>
        <v>0</v>
      </c>
      <c r="D173" s="320">
        <f>SUMIF(FEB!$G$155:$J$155,$A173,FEB!$G$161:$J$161)+FEB!$S$102</f>
        <v>0</v>
      </c>
      <c r="E173" s="320">
        <f>SUMIF(MAR!$G$155:$J$155,$A173,MAR!$G$161:$J$161)+MAR!$S$102</f>
        <v>0</v>
      </c>
      <c r="F173" s="745">
        <f t="shared" si="15"/>
        <v>0</v>
      </c>
      <c r="G173" s="1323">
        <f>SUMIF(APR!$G$155:$J$155,$A173,APR!$G$161:$J$161)+APR!$S$102</f>
        <v>0</v>
      </c>
      <c r="H173" s="320">
        <f>SUMIF(MAG!$G$155:$J$155,$A173,MAG!$G$161:$J$161)+MAG!$S$102</f>
        <v>0</v>
      </c>
      <c r="I173" s="320">
        <f>SUMIF(GIU!$G$155:$J$155,$A173,GIU!$G$161:$J$161)+GIU!$S$102</f>
        <v>0</v>
      </c>
      <c r="J173" s="745">
        <f t="shared" si="16"/>
        <v>0</v>
      </c>
      <c r="K173" s="1323">
        <f>SUMIF(LUG!$G$155:$J$155,$A173,LUG!$G$161:$J$161)+LUG!$S$102</f>
        <v>0</v>
      </c>
      <c r="L173" s="320">
        <f>SUMIF(AGO!$G$155:$J$155,$A173,AGO!$G$161:$J$161)+AGO!$S$102</f>
        <v>0</v>
      </c>
      <c r="M173" s="320">
        <f>SUMIF(SET!$G$155:$J$155,$A173,SET!$G$161:$J$161)+SET!$S$102</f>
        <v>0</v>
      </c>
      <c r="N173" s="745">
        <f t="shared" si="17"/>
        <v>0</v>
      </c>
      <c r="O173" s="1323">
        <f>SUMIF(OTT!$G$155:$J$155,$A173,OTT!$G$161:$J$161)+OTT!$S$102</f>
        <v>0</v>
      </c>
      <c r="P173" s="320">
        <f>SUMIF(NOV!$G$155:$J$155,$A173,NOV!$G$161:$J$161)+NOV!$S$102</f>
        <v>0</v>
      </c>
      <c r="Q173" s="320">
        <f>SUMIF(DIC!$G$155:$J$155,$A173,DIC!$G$161:$J$161)+DIC!$S$102</f>
        <v>0</v>
      </c>
      <c r="R173" s="745">
        <f t="shared" si="18"/>
        <v>0</v>
      </c>
      <c r="S173" s="35"/>
      <c r="T173" s="747">
        <f t="shared" si="19"/>
        <v>0</v>
      </c>
      <c r="U173" s="32"/>
    </row>
    <row r="174" spans="1:21" ht="14.25" x14ac:dyDescent="0.2">
      <c r="A174" s="542">
        <f t="shared" si="20"/>
        <v>4</v>
      </c>
      <c r="B174" s="323" t="str">
        <f t="shared" si="20"/>
        <v>Aliquota 4 %</v>
      </c>
      <c r="C174" s="1323">
        <f>SUMIF(GEN!$G$155:$J$155,$A174,GEN!$G$161:$J$161)+GEN!$S$103</f>
        <v>0</v>
      </c>
      <c r="D174" s="320">
        <f>SUMIF(FEB!$G$155:$J$155,$A174,FEB!$G$161:$J$161)+FEB!$S$103</f>
        <v>0</v>
      </c>
      <c r="E174" s="320">
        <f>SUMIF(MAR!$G$155:$J$155,$A174,MAR!$G$161:$J$161)+MAR!$S$103</f>
        <v>0</v>
      </c>
      <c r="F174" s="745">
        <f t="shared" si="15"/>
        <v>0</v>
      </c>
      <c r="G174" s="1323">
        <f>SUMIF(APR!$G$155:$J$155,$A174,APR!$G$161:$J$161)+APR!$S$103</f>
        <v>0</v>
      </c>
      <c r="H174" s="320">
        <f>SUMIF(MAG!$G$155:$J$155,$A174,MAG!$G$161:$J$161)+MAG!$S$103</f>
        <v>0</v>
      </c>
      <c r="I174" s="320">
        <f>SUMIF(GIU!$G$155:$J$155,$A174,GIU!$G$161:$J$161)+GIU!$S$103</f>
        <v>0</v>
      </c>
      <c r="J174" s="745">
        <f t="shared" si="16"/>
        <v>0</v>
      </c>
      <c r="K174" s="1323">
        <f>SUMIF(LUG!$G$155:$J$155,$A174,LUG!$G$161:$J$161)+LUG!$S$103</f>
        <v>0</v>
      </c>
      <c r="L174" s="320">
        <f>SUMIF(AGO!$G$155:$J$155,$A174,AGO!$G$161:$J$161)+AGO!$S$103</f>
        <v>0</v>
      </c>
      <c r="M174" s="320">
        <f>SUMIF(SET!$G$155:$J$155,$A174,SET!$G$161:$J$161)+SET!$S$103</f>
        <v>0</v>
      </c>
      <c r="N174" s="745">
        <f t="shared" si="17"/>
        <v>0</v>
      </c>
      <c r="O174" s="1323">
        <f>SUMIF(OTT!$G$155:$J$155,$A174,OTT!$G$161:$J$161)+OTT!$S$103</f>
        <v>0</v>
      </c>
      <c r="P174" s="320">
        <f>SUMIF(NOV!$G$155:$J$155,$A174,NOV!$G$161:$J$161)+NOV!$S$103</f>
        <v>0</v>
      </c>
      <c r="Q174" s="320">
        <f>SUMIF(DIC!$G$155:$J$155,$A174,DIC!$G$161:$J$161)+DIC!$S$103</f>
        <v>0</v>
      </c>
      <c r="R174" s="745">
        <f t="shared" si="18"/>
        <v>0</v>
      </c>
      <c r="S174" s="35"/>
      <c r="T174" s="747">
        <f t="shared" si="19"/>
        <v>0</v>
      </c>
      <c r="U174" s="32"/>
    </row>
    <row r="175" spans="1:21" ht="18" customHeight="1" x14ac:dyDescent="0.2">
      <c r="A175" s="542" t="str">
        <f t="shared" si="20"/>
        <v/>
      </c>
      <c r="B175" s="1031" t="str">
        <f t="shared" si="20"/>
        <v/>
      </c>
      <c r="C175" s="1324">
        <f>SUMIF(GEN!$G$155:$J$155,$A175,GEN!$G$161:$J$161)+GEN!$S$104</f>
        <v>0</v>
      </c>
      <c r="D175" s="1325">
        <f>SUMIF(FEB!$G$155:$J$155,$A175,FEB!$G$161:$J$161)+FEB!$S$104</f>
        <v>0</v>
      </c>
      <c r="E175" s="1325">
        <f>SUMIF(MAR!$G$155:$J$155,$A175,MAR!$G$161:$J$161)+MAR!$S$104</f>
        <v>0</v>
      </c>
      <c r="F175" s="1032">
        <f t="shared" si="15"/>
        <v>0</v>
      </c>
      <c r="G175" s="1324">
        <f>SUMIF(APR!$G$155:$J$155,$A175,APR!$G$161:$J$161)+APR!$S$104</f>
        <v>0</v>
      </c>
      <c r="H175" s="1325">
        <f>SUMIF(MAG!$G$155:$J$155,$A175,MAG!$G$161:$J$161)+MAG!$S$104</f>
        <v>0</v>
      </c>
      <c r="I175" s="1325">
        <f>SUMIF(GIU!$G$155:$J$155,$A175,GIU!$G$161:$J$161)+GIU!$S$104</f>
        <v>0</v>
      </c>
      <c r="J175" s="1032">
        <f t="shared" si="16"/>
        <v>0</v>
      </c>
      <c r="K175" s="1324">
        <f>SUMIF(LUG!$G$155:$J$155,$A175,LUG!$G$161:$J$161)+LUG!$S$104</f>
        <v>0</v>
      </c>
      <c r="L175" s="1325">
        <f>SUMIF(AGO!$G$155:$J$155,$A175,AGO!$G$161:$J$161)+AGO!$S$104</f>
        <v>0</v>
      </c>
      <c r="M175" s="1325">
        <f>SUMIF(SET!$G$155:$J$155,$A175,SET!$G$161:$J$161)+SET!$S$104</f>
        <v>0</v>
      </c>
      <c r="N175" s="1032">
        <f t="shared" si="17"/>
        <v>0</v>
      </c>
      <c r="O175" s="1324">
        <f>SUMIF(OTT!$G$155:$J$155,$A175,OTT!$G$161:$J$161)+OTT!$S$104</f>
        <v>0</v>
      </c>
      <c r="P175" s="1325">
        <f>SUMIF(NOV!$G$155:$J$155,$A175,NOV!$G$161:$J$161)+NOV!$S$104</f>
        <v>0</v>
      </c>
      <c r="Q175" s="1325">
        <f>SUMIF(DIC!$G$155:$J$155,$A175,DIC!$G$161:$J$161)+DIC!$S$104</f>
        <v>0</v>
      </c>
      <c r="R175" s="1032">
        <f t="shared" si="18"/>
        <v>0</v>
      </c>
      <c r="S175" s="35"/>
      <c r="T175" s="1033">
        <f t="shared" si="19"/>
        <v>0</v>
      </c>
      <c r="U175" s="32"/>
    </row>
    <row r="176" spans="1:21" ht="20.25" hidden="1" customHeight="1" x14ac:dyDescent="0.2">
      <c r="A176" s="542">
        <f t="shared" si="20"/>
        <v>0</v>
      </c>
      <c r="B176" s="1030" t="s">
        <v>769</v>
      </c>
      <c r="C176" s="1323">
        <f>SUM(GEN!$G87:$K87)-C12</f>
        <v>0</v>
      </c>
      <c r="D176" s="320">
        <f>SUM(FEB!$G87:$K87)-D12</f>
        <v>0</v>
      </c>
      <c r="E176" s="320">
        <f>SUM(MAR!$G87:$K87)-E12</f>
        <v>0</v>
      </c>
      <c r="F176" s="351">
        <f t="shared" si="15"/>
        <v>0</v>
      </c>
      <c r="G176" s="1323">
        <f>SUM(APR!$G87:$K87)-G12</f>
        <v>0</v>
      </c>
      <c r="H176" s="320">
        <f>SUM(MAG!$G87:$K87)-H12</f>
        <v>0</v>
      </c>
      <c r="I176" s="320">
        <f>SUM(GIU!$G87:$K87)-I12</f>
        <v>0</v>
      </c>
      <c r="J176" s="351">
        <f t="shared" si="16"/>
        <v>0</v>
      </c>
      <c r="K176" s="1323">
        <f>SUM(LUG!$G87:$K87)-K12</f>
        <v>0</v>
      </c>
      <c r="L176" s="320">
        <f>SUM(AGO!$G87:$K87)-L12</f>
        <v>0</v>
      </c>
      <c r="M176" s="320">
        <f>SUM(SET!$G87:$K87)-M12</f>
        <v>0</v>
      </c>
      <c r="N176" s="351">
        <f t="shared" si="17"/>
        <v>0</v>
      </c>
      <c r="O176" s="1323">
        <f>SUM(OTT!$G87:$K87)-O12</f>
        <v>0</v>
      </c>
      <c r="P176" s="320">
        <f>SUM(NOV!$G87:$K87)-P12</f>
        <v>0</v>
      </c>
      <c r="Q176" s="320">
        <f>SUM(DIC!$G87:$K87)-Q12</f>
        <v>0</v>
      </c>
      <c r="R176" s="351">
        <f t="shared" si="18"/>
        <v>0</v>
      </c>
      <c r="S176" s="35"/>
      <c r="T176" s="352">
        <f t="shared" si="19"/>
        <v>0</v>
      </c>
      <c r="U176" s="32"/>
    </row>
    <row r="177" spans="1:21" ht="22.5" customHeight="1" x14ac:dyDescent="0.2">
      <c r="A177" s="1"/>
      <c r="B177" s="1038" t="str">
        <f>$B$13</f>
        <v>IVA a DEBITO</v>
      </c>
      <c r="C177" s="326">
        <f>SUMIF(GEN!$G$42:$N$42,$F$200,GEN!$G$48:$N$48)</f>
        <v>0</v>
      </c>
      <c r="D177" s="327">
        <f>SUMIF(FEB!$G$42:$N$42,$F$200,FEB!$G$48:$N$48)</f>
        <v>0</v>
      </c>
      <c r="E177" s="327">
        <f>SUMIF(MAR!$G$42:$N$42,$F$200,MAR!$G$48:$N$48)</f>
        <v>0</v>
      </c>
      <c r="F177" s="348">
        <f t="shared" si="15"/>
        <v>0</v>
      </c>
      <c r="G177" s="326">
        <f>SUMIF(APR!$G$42:$N$42,$F$200,APR!$G$48:$N$48)</f>
        <v>0</v>
      </c>
      <c r="H177" s="327">
        <f>SUMIF(MAG!$G$42:$N$42,$F$200,MAG!$G$48:$N$48)</f>
        <v>0</v>
      </c>
      <c r="I177" s="327">
        <f>SUMIF(GIU!$G$42:$N$42,$F$200,GIU!$G$48:$N$48)</f>
        <v>0</v>
      </c>
      <c r="J177" s="348">
        <f t="shared" si="16"/>
        <v>0</v>
      </c>
      <c r="K177" s="326">
        <f>SUMIF(LUG!$G$42:$N$42,$F$200,LUG!$G$48:$N$48)</f>
        <v>0</v>
      </c>
      <c r="L177" s="327">
        <f>SUMIF(AGO!$G$42:$N$42,$F$200,AGO!$G$48:$N$48)</f>
        <v>0</v>
      </c>
      <c r="M177" s="327">
        <f>SUMIF(SET!$G$42:$N$42,$F$200,SET!$G$48:$N$48)</f>
        <v>0</v>
      </c>
      <c r="N177" s="348">
        <f t="shared" si="17"/>
        <v>0</v>
      </c>
      <c r="O177" s="326">
        <f>SUMIF(OTT!$G$42:$N$42,$F$200,OTT!$G$48:$N$48)</f>
        <v>0</v>
      </c>
      <c r="P177" s="327">
        <f>SUMIF(NOV!$G$42:$N$42,$F$200,NOV!$G$48:$N$48)</f>
        <v>0</v>
      </c>
      <c r="Q177" s="327">
        <f>SUMIF(DIC!$G$42:$N$42,$F$200,DIC!$G$48:$N$48)</f>
        <v>0</v>
      </c>
      <c r="R177" s="348">
        <f t="shared" si="18"/>
        <v>0</v>
      </c>
      <c r="S177" s="36"/>
      <c r="T177" s="748">
        <f t="shared" si="19"/>
        <v>0</v>
      </c>
      <c r="U177" s="32"/>
    </row>
    <row r="178" spans="1:21" ht="21" customHeight="1" x14ac:dyDescent="0.2">
      <c r="A178" s="1"/>
      <c r="B178" s="408" t="str">
        <f>IF(C197=B194,B194,"")</f>
        <v/>
      </c>
      <c r="C178" s="2581" t="str">
        <f ca="1">Presentazione!$D$70</f>
        <v>Questo file risulta al momento completamente funzionante ed il sistema rileva tutti i suoi fogli.</v>
      </c>
      <c r="D178" s="2581"/>
      <c r="E178" s="2581"/>
      <c r="F178" s="2581"/>
      <c r="G178" s="2581"/>
      <c r="H178" s="2581"/>
      <c r="I178" s="2581"/>
      <c r="J178" s="2581"/>
      <c r="K178" s="2581" t="str">
        <f ca="1">Presentazione!$D$70</f>
        <v>Questo file risulta al momento completamente funzionante ed il sistema rileva tutti i suoi fogli.</v>
      </c>
      <c r="L178" s="2581"/>
      <c r="M178" s="2581"/>
      <c r="N178" s="2581"/>
      <c r="O178" s="2581"/>
      <c r="P178" s="2581"/>
      <c r="Q178" s="2581"/>
      <c r="R178" s="2581"/>
      <c r="S178" s="36"/>
      <c r="T178" s="66"/>
      <c r="U178" s="32"/>
    </row>
    <row r="179" spans="1:21" ht="21" customHeight="1" x14ac:dyDescent="0.2">
      <c r="A179" s="1"/>
      <c r="B179" s="67"/>
      <c r="C179" s="375"/>
      <c r="D179" s="375"/>
      <c r="E179" s="375"/>
      <c r="F179" s="375"/>
      <c r="G179" s="375"/>
      <c r="H179" s="375"/>
      <c r="I179" s="375"/>
      <c r="J179" s="375"/>
      <c r="K179" s="375"/>
      <c r="L179" s="375"/>
      <c r="M179" s="375"/>
      <c r="N179" s="375"/>
      <c r="O179" s="375"/>
      <c r="P179" s="375"/>
      <c r="Q179" s="375"/>
      <c r="R179" s="375"/>
      <c r="S179" s="36"/>
      <c r="T179" s="66"/>
      <c r="U179" s="32"/>
    </row>
    <row r="180" spans="1:21" ht="21" customHeight="1" x14ac:dyDescent="0.2">
      <c r="A180" s="1"/>
      <c r="B180" s="67"/>
      <c r="C180" s="1041" t="s">
        <v>770</v>
      </c>
      <c r="D180" s="375"/>
      <c r="E180" s="375"/>
      <c r="F180" s="375"/>
      <c r="G180" s="375"/>
      <c r="H180" s="375"/>
      <c r="I180" s="375"/>
      <c r="J180" s="375"/>
      <c r="K180" s="1041" t="s">
        <v>770</v>
      </c>
      <c r="L180" s="375"/>
      <c r="M180" s="375"/>
      <c r="N180" s="375"/>
      <c r="O180" s="375"/>
      <c r="P180" s="375"/>
      <c r="Q180" s="375"/>
      <c r="R180" s="375"/>
      <c r="S180" s="36"/>
      <c r="T180" s="66"/>
      <c r="U180" s="32"/>
    </row>
    <row r="181" spans="1:21" ht="21" customHeight="1" x14ac:dyDescent="0.2">
      <c r="A181" s="1"/>
      <c r="B181" s="67"/>
      <c r="C181" s="1042" t="s">
        <v>116</v>
      </c>
      <c r="D181" s="375"/>
      <c r="E181" s="375"/>
      <c r="F181" s="375"/>
      <c r="G181" s="375"/>
      <c r="H181" s="375"/>
      <c r="I181" s="375"/>
      <c r="J181" s="375"/>
      <c r="K181" s="1042" t="s">
        <v>116</v>
      </c>
      <c r="L181" s="375"/>
      <c r="M181" s="375"/>
      <c r="N181" s="375"/>
      <c r="O181" s="375"/>
      <c r="P181" s="375"/>
      <c r="Q181" s="375"/>
      <c r="R181" s="375"/>
      <c r="S181" s="36"/>
      <c r="T181" s="66"/>
      <c r="U181" s="32"/>
    </row>
    <row r="182" spans="1:21" ht="18" customHeight="1" x14ac:dyDescent="0.2">
      <c r="A182" s="1"/>
      <c r="B182" s="67"/>
      <c r="C182" s="956" t="s">
        <v>436</v>
      </c>
      <c r="D182" s="956" t="s">
        <v>437</v>
      </c>
      <c r="E182" s="956" t="s">
        <v>438</v>
      </c>
      <c r="F182" s="956" t="s">
        <v>439</v>
      </c>
      <c r="G182" s="956"/>
      <c r="H182" s="375"/>
      <c r="I182" s="375"/>
      <c r="J182" s="375"/>
      <c r="K182" s="956" t="str">
        <f>C182</f>
        <v>Colonna 1</v>
      </c>
      <c r="L182" s="956" t="str">
        <f>D182</f>
        <v>Colonna 2</v>
      </c>
      <c r="M182" s="956" t="str">
        <f>E182</f>
        <v>Colonna 3</v>
      </c>
      <c r="N182" s="956" t="str">
        <f>F182</f>
        <v>Colonna 4</v>
      </c>
      <c r="O182" s="375"/>
      <c r="P182" s="375"/>
      <c r="Q182" s="375"/>
      <c r="R182" s="375"/>
      <c r="S182" s="36"/>
      <c r="T182" s="66"/>
      <c r="U182" s="32"/>
    </row>
    <row r="183" spans="1:21" ht="19.5" customHeight="1" x14ac:dyDescent="0.2">
      <c r="A183" s="1"/>
      <c r="B183" s="67"/>
      <c r="C183" s="953" t="str">
        <f>IMPOSTAZIONI!I24</f>
        <v/>
      </c>
      <c r="D183" s="953" t="str">
        <f>IMPOSTAZIONI!M24</f>
        <v/>
      </c>
      <c r="E183" s="953" t="str">
        <f>IMPOSTAZIONI!U24</f>
        <v/>
      </c>
      <c r="F183" s="953" t="str">
        <f>IMPOSTAZIONI!AC24</f>
        <v/>
      </c>
      <c r="G183" s="375"/>
      <c r="H183" s="375"/>
      <c r="I183" s="375"/>
      <c r="J183" s="375"/>
      <c r="K183" s="953" t="str">
        <f t="shared" ref="K183:L187" si="21">C183</f>
        <v/>
      </c>
      <c r="L183" s="953" t="str">
        <f t="shared" si="21"/>
        <v/>
      </c>
      <c r="M183" s="953" t="str">
        <f t="shared" ref="M183:N187" si="22">E183</f>
        <v/>
      </c>
      <c r="N183" s="953" t="str">
        <f t="shared" si="22"/>
        <v/>
      </c>
      <c r="O183" s="375"/>
      <c r="P183" s="375"/>
      <c r="Q183" s="375"/>
      <c r="R183" s="375"/>
      <c r="S183" s="36"/>
      <c r="T183" s="66"/>
      <c r="U183" s="32"/>
    </row>
    <row r="184" spans="1:21" ht="15" customHeight="1" x14ac:dyDescent="0.2">
      <c r="A184" s="1"/>
      <c r="B184" s="67"/>
      <c r="C184" s="954" t="str">
        <f>IMPOSTAZIONI!I25</f>
        <v>- - - - - - -</v>
      </c>
      <c r="D184" s="954" t="str">
        <f>IMPOSTAZIONI!M25</f>
        <v>- - - - - - -</v>
      </c>
      <c r="E184" s="954" t="str">
        <f>IMPOSTAZIONI!U25</f>
        <v>- - - - - - -</v>
      </c>
      <c r="F184" s="954" t="str">
        <f>IMPOSTAZIONI!AC25</f>
        <v>- - - - - - -</v>
      </c>
      <c r="G184" s="375"/>
      <c r="H184" s="375"/>
      <c r="I184" s="375"/>
      <c r="J184" s="375"/>
      <c r="K184" s="954" t="str">
        <f t="shared" si="21"/>
        <v>- - - - - - -</v>
      </c>
      <c r="L184" s="954" t="str">
        <f t="shared" si="21"/>
        <v>- - - - - - -</v>
      </c>
      <c r="M184" s="954" t="str">
        <f t="shared" si="22"/>
        <v>- - - - - - -</v>
      </c>
      <c r="N184" s="954" t="str">
        <f t="shared" si="22"/>
        <v>- - - - - - -</v>
      </c>
      <c r="O184" s="375"/>
      <c r="P184" s="375"/>
      <c r="Q184" s="375"/>
      <c r="R184" s="375"/>
      <c r="S184" s="36"/>
      <c r="T184" s="66"/>
      <c r="U184" s="32"/>
    </row>
    <row r="185" spans="1:21" ht="19.5" customHeight="1" x14ac:dyDescent="0.2">
      <c r="A185" s="1"/>
      <c r="B185" s="67"/>
      <c r="C185" s="955" t="str">
        <f>IMPOSTAZIONI!I26</f>
        <v/>
      </c>
      <c r="D185" s="955" t="str">
        <f>IMPOSTAZIONI!M26</f>
        <v/>
      </c>
      <c r="E185" s="955" t="str">
        <f>IMPOSTAZIONI!U26</f>
        <v/>
      </c>
      <c r="F185" s="955" t="str">
        <f>IMPOSTAZIONI!AC26</f>
        <v/>
      </c>
      <c r="G185" s="375"/>
      <c r="H185" s="375"/>
      <c r="I185" s="375"/>
      <c r="J185" s="375"/>
      <c r="K185" s="955" t="str">
        <f t="shared" si="21"/>
        <v/>
      </c>
      <c r="L185" s="955" t="str">
        <f t="shared" si="21"/>
        <v/>
      </c>
      <c r="M185" s="955" t="str">
        <f t="shared" si="22"/>
        <v/>
      </c>
      <c r="N185" s="955" t="str">
        <f t="shared" si="22"/>
        <v/>
      </c>
      <c r="O185" s="375"/>
      <c r="P185" s="375"/>
      <c r="Q185" s="375"/>
      <c r="R185" s="375"/>
      <c r="S185" s="36"/>
      <c r="T185" s="66"/>
      <c r="U185" s="32"/>
    </row>
    <row r="186" spans="1:21" ht="18" customHeight="1" x14ac:dyDescent="0.2">
      <c r="A186" s="1"/>
      <c r="B186" s="67"/>
      <c r="C186" s="1040" t="str">
        <f>IMPOSTAZIONI!I32</f>
        <v/>
      </c>
      <c r="D186" s="1040" t="str">
        <f>IMPOSTAZIONI!M32</f>
        <v/>
      </c>
      <c r="E186" s="1040" t="str">
        <f>IMPOSTAZIONI!U32</f>
        <v/>
      </c>
      <c r="F186" s="1040" t="str">
        <f>IMPOSTAZIONI!AC32</f>
        <v/>
      </c>
      <c r="G186" s="375"/>
      <c r="H186" s="375"/>
      <c r="I186" s="375"/>
      <c r="J186" s="375"/>
      <c r="K186" s="1040" t="str">
        <f>C186</f>
        <v/>
      </c>
      <c r="L186" s="1040" t="str">
        <f>D186</f>
        <v/>
      </c>
      <c r="M186" s="1040" t="str">
        <f>E186</f>
        <v/>
      </c>
      <c r="N186" s="1040" t="str">
        <f>F186</f>
        <v/>
      </c>
      <c r="O186" s="375"/>
      <c r="P186" s="375"/>
      <c r="Q186" s="375"/>
      <c r="R186" s="375"/>
      <c r="S186" s="36"/>
      <c r="T186" s="66"/>
      <c r="U186" s="32"/>
    </row>
    <row r="187" spans="1:21" ht="18" customHeight="1" x14ac:dyDescent="0.2">
      <c r="A187" s="1"/>
      <c r="B187" s="67"/>
      <c r="C187" s="1039">
        <f>IMPOSTAZIONI!I33</f>
        <v>0</v>
      </c>
      <c r="D187" s="1039">
        <f>IMPOSTAZIONI!M33</f>
        <v>0</v>
      </c>
      <c r="E187" s="1039">
        <f>IMPOSTAZIONI!U33</f>
        <v>0</v>
      </c>
      <c r="F187" s="1039">
        <f>IMPOSTAZIONI!AC33</f>
        <v>0</v>
      </c>
      <c r="G187" s="375"/>
      <c r="H187" s="375"/>
      <c r="I187" s="375"/>
      <c r="J187" s="375"/>
      <c r="K187" s="1039">
        <f t="shared" si="21"/>
        <v>0</v>
      </c>
      <c r="L187" s="1039">
        <f t="shared" si="21"/>
        <v>0</v>
      </c>
      <c r="M187" s="1039">
        <f t="shared" si="22"/>
        <v>0</v>
      </c>
      <c r="N187" s="1039">
        <f t="shared" si="22"/>
        <v>0</v>
      </c>
      <c r="O187" s="375"/>
      <c r="P187" s="375"/>
      <c r="Q187" s="375"/>
      <c r="R187" s="375"/>
      <c r="S187" s="36"/>
      <c r="T187" s="66"/>
      <c r="U187" s="32"/>
    </row>
    <row r="188" spans="1:21" ht="18" customHeight="1" x14ac:dyDescent="0.2">
      <c r="A188" s="1"/>
      <c r="B188" s="67"/>
      <c r="C188" s="72">
        <f>IMPOSTAZIONI!I35</f>
        <v>0</v>
      </c>
      <c r="D188" s="72">
        <f>IMPOSTAZIONI!M35</f>
        <v>0</v>
      </c>
      <c r="E188" s="72">
        <f>IMPOSTAZIONI!U35</f>
        <v>0</v>
      </c>
      <c r="F188" s="72">
        <f>IMPOSTAZIONI!AC35</f>
        <v>0</v>
      </c>
      <c r="G188" s="375"/>
      <c r="H188" s="375"/>
      <c r="I188" s="375"/>
      <c r="J188" s="375"/>
      <c r="K188" s="72">
        <f>C188</f>
        <v>0</v>
      </c>
      <c r="L188" s="72">
        <f>D188</f>
        <v>0</v>
      </c>
      <c r="M188" s="72">
        <f>E188</f>
        <v>0</v>
      </c>
      <c r="N188" s="72">
        <f>F188</f>
        <v>0</v>
      </c>
      <c r="O188" s="375"/>
      <c r="P188" s="375"/>
      <c r="Q188" s="375"/>
      <c r="R188" s="375"/>
      <c r="S188" s="36"/>
      <c r="T188" s="66"/>
      <c r="U188" s="32"/>
    </row>
    <row r="189" spans="1:21" ht="21" customHeight="1" x14ac:dyDescent="0.2">
      <c r="A189" s="181"/>
      <c r="B189" s="67"/>
      <c r="C189" s="375"/>
      <c r="D189" s="375"/>
      <c r="E189" s="375"/>
      <c r="F189" s="375"/>
      <c r="G189" s="375"/>
      <c r="H189" s="375"/>
      <c r="I189" s="375"/>
      <c r="J189" s="375"/>
      <c r="K189" s="375"/>
      <c r="L189" s="375"/>
      <c r="M189" s="375"/>
      <c r="N189" s="375"/>
      <c r="O189" s="375"/>
      <c r="P189" s="375"/>
      <c r="Q189" s="375"/>
      <c r="R189" s="375"/>
      <c r="S189" s="36"/>
      <c r="T189" s="66"/>
      <c r="U189" s="32"/>
    </row>
    <row r="190" spans="1:21" ht="21" hidden="1" customHeight="1" x14ac:dyDescent="0.2">
      <c r="A190" s="1"/>
      <c r="B190" s="67"/>
      <c r="C190" s="375"/>
      <c r="D190" s="375"/>
      <c r="E190" s="375"/>
      <c r="F190" s="375"/>
      <c r="G190" s="375"/>
      <c r="H190" s="375"/>
      <c r="I190" s="375"/>
      <c r="J190" s="375"/>
      <c r="K190" s="375"/>
      <c r="L190" s="375"/>
      <c r="M190" s="375"/>
      <c r="N190" s="375"/>
      <c r="O190" s="375"/>
      <c r="P190" s="375"/>
      <c r="Q190" s="375"/>
      <c r="R190" s="375"/>
      <c r="S190" s="36"/>
      <c r="T190" s="66"/>
      <c r="U190" s="32"/>
    </row>
    <row r="191" spans="1:21" hidden="1" x14ac:dyDescent="0.2">
      <c r="A191" s="32"/>
      <c r="B191" s="32"/>
      <c r="C191" s="32"/>
      <c r="D191" s="32"/>
      <c r="E191" s="32"/>
      <c r="F191" s="1245"/>
      <c r="G191" s="1245"/>
      <c r="H191" s="32"/>
      <c r="I191" s="32"/>
      <c r="J191" s="32"/>
      <c r="K191" s="32"/>
      <c r="L191" s="32"/>
      <c r="M191" s="32"/>
      <c r="N191" s="32"/>
      <c r="O191" s="32"/>
      <c r="P191" s="32"/>
      <c r="Q191" s="32"/>
      <c r="R191" s="32"/>
      <c r="S191" s="32"/>
      <c r="T191" s="32"/>
      <c r="U191" s="32"/>
    </row>
    <row r="192" spans="1:21" hidden="1" x14ac:dyDescent="0.2">
      <c r="A192" s="32"/>
      <c r="B192" s="161"/>
      <c r="C192" s="518">
        <v>1</v>
      </c>
      <c r="D192" s="518">
        <v>2</v>
      </c>
      <c r="E192" s="518">
        <v>3</v>
      </c>
      <c r="F192" s="32"/>
      <c r="G192" s="518">
        <v>4</v>
      </c>
      <c r="H192" s="518">
        <v>5</v>
      </c>
      <c r="I192" s="518">
        <v>6</v>
      </c>
      <c r="J192" s="32"/>
      <c r="K192" s="518">
        <v>7</v>
      </c>
      <c r="L192" s="518">
        <v>8</v>
      </c>
      <c r="M192" s="518">
        <v>9</v>
      </c>
      <c r="N192" s="32"/>
      <c r="O192" s="518">
        <v>10</v>
      </c>
      <c r="P192" s="518">
        <v>11</v>
      </c>
      <c r="Q192" s="518">
        <v>12</v>
      </c>
      <c r="R192" s="32"/>
      <c r="S192" s="32"/>
      <c r="T192" s="32"/>
      <c r="U192" s="32"/>
    </row>
    <row r="193" spans="1:21" hidden="1" x14ac:dyDescent="0.2">
      <c r="A193" s="32"/>
      <c r="B193" s="161" t="s">
        <v>400</v>
      </c>
      <c r="C193" s="519">
        <f>IF(C192&gt;MONTH(GEN!$B$163),1,0)</f>
        <v>0</v>
      </c>
      <c r="D193" s="519">
        <f>IF(D192&gt;MONTH(FEB!$B$163),1,0)</f>
        <v>0</v>
      </c>
      <c r="E193" s="519">
        <f>IF(E192&gt;MONTH(MAR!$B$163),1,0)</f>
        <v>0</v>
      </c>
      <c r="F193" s="32"/>
      <c r="G193" s="519">
        <f>IF(G192&gt;MONTH(APR!$B$163),1,0)</f>
        <v>1</v>
      </c>
      <c r="H193" s="519">
        <f>IF(H192&gt;MONTH(MAG!$B$163),1,0)</f>
        <v>1</v>
      </c>
      <c r="I193" s="519">
        <f>IF(I192&gt;MONTH(GIU!$B$163),1,0)</f>
        <v>1</v>
      </c>
      <c r="J193" s="32"/>
      <c r="K193" s="519">
        <f>IF(K192&gt;MONTH(LUG!$B$163),1,0)</f>
        <v>1</v>
      </c>
      <c r="L193" s="519">
        <f>IF(L192&gt;MONTH(AGO!$B$163),1,0)</f>
        <v>1</v>
      </c>
      <c r="M193" s="519">
        <f>IF(M192&gt;MONTH(SET!$B$163),1,0)</f>
        <v>1</v>
      </c>
      <c r="N193" s="32"/>
      <c r="O193" s="519">
        <f>IF(O192&gt;MONTH(OTT!$B$163),1,0)</f>
        <v>1</v>
      </c>
      <c r="P193" s="519">
        <f>IF(P192&gt;MONTH(NOV!$B$163),1,0)</f>
        <v>1</v>
      </c>
      <c r="Q193" s="519">
        <f>IF(Q192&gt;MONTH(DIC!$B$163),1,0)</f>
        <v>1</v>
      </c>
      <c r="R193" s="32"/>
      <c r="S193" s="32"/>
      <c r="T193" s="32"/>
      <c r="U193" s="32"/>
    </row>
    <row r="194" spans="1:21" hidden="1" x14ac:dyDescent="0.2">
      <c r="A194" s="32"/>
      <c r="B194" s="161" t="s">
        <v>356</v>
      </c>
      <c r="C194" s="519">
        <f>GEN!$O$163</f>
        <v>0</v>
      </c>
      <c r="D194" s="519">
        <f>FEB!$O$163</f>
        <v>0</v>
      </c>
      <c r="E194" s="519">
        <f>MAR!$O$163</f>
        <v>0</v>
      </c>
      <c r="F194" s="32"/>
      <c r="G194" s="519">
        <f>APR!$O$163</f>
        <v>0</v>
      </c>
      <c r="H194" s="519">
        <f>MAG!$O$163</f>
        <v>0</v>
      </c>
      <c r="I194" s="519">
        <f>GIU!$O$163</f>
        <v>0</v>
      </c>
      <c r="J194" s="32"/>
      <c r="K194" s="519">
        <f>LUG!$O$163</f>
        <v>0</v>
      </c>
      <c r="L194" s="519">
        <f>AGO!$O$163</f>
        <v>0</v>
      </c>
      <c r="M194" s="519">
        <f>SET!$O$163</f>
        <v>0</v>
      </c>
      <c r="N194" s="32"/>
      <c r="O194" s="519">
        <f>OTT!$O$163</f>
        <v>0</v>
      </c>
      <c r="P194" s="519">
        <f>NOV!$O$163</f>
        <v>0</v>
      </c>
      <c r="Q194" s="519">
        <f>DIC!$O$163</f>
        <v>0</v>
      </c>
      <c r="R194" s="32"/>
      <c r="S194" s="32"/>
      <c r="T194" s="32"/>
      <c r="U194" s="32"/>
    </row>
    <row r="195" spans="1:21" hidden="1" x14ac:dyDescent="0.2">
      <c r="A195" s="32"/>
      <c r="B195" s="32"/>
      <c r="C195" s="32"/>
      <c r="D195" s="32"/>
      <c r="E195" s="32"/>
      <c r="F195" s="32"/>
      <c r="G195" s="32"/>
      <c r="H195" s="32"/>
      <c r="I195" s="32"/>
      <c r="J195" s="32"/>
      <c r="K195" s="32"/>
      <c r="L195" s="32"/>
      <c r="M195" s="32"/>
      <c r="N195" s="32"/>
      <c r="O195" s="32"/>
      <c r="P195" s="32"/>
      <c r="Q195" s="32"/>
      <c r="R195" s="32"/>
      <c r="S195" s="32"/>
      <c r="T195" s="32"/>
      <c r="U195" s="32"/>
    </row>
    <row r="196" spans="1:21" hidden="1" x14ac:dyDescent="0.2">
      <c r="A196" s="32"/>
      <c r="B196" s="32"/>
      <c r="C196" s="217">
        <f>IMPOSTAZIONI!Y153</f>
        <v>0</v>
      </c>
      <c r="D196" s="183" t="s">
        <v>463</v>
      </c>
      <c r="E196" s="32"/>
      <c r="F196" s="936"/>
      <c r="G196" s="937"/>
      <c r="H196" s="32"/>
      <c r="I196" s="32"/>
      <c r="J196" s="32"/>
      <c r="K196" s="32"/>
      <c r="L196" s="32"/>
      <c r="M196" s="32"/>
      <c r="N196" s="32"/>
      <c r="O196" s="32"/>
      <c r="P196" s="32"/>
      <c r="Q196" s="32"/>
      <c r="R196" s="32"/>
      <c r="S196" s="32"/>
      <c r="T196" s="32"/>
      <c r="U196" s="32"/>
    </row>
    <row r="197" spans="1:21" hidden="1" x14ac:dyDescent="0.2">
      <c r="A197" s="32"/>
      <c r="B197" s="32"/>
      <c r="C197" s="217" t="str">
        <f>IMPOSTAZIONI!AM138</f>
        <v>OK</v>
      </c>
      <c r="D197" s="32"/>
      <c r="E197" s="32"/>
      <c r="F197" s="938"/>
      <c r="G197" s="939"/>
      <c r="H197" s="32"/>
      <c r="I197" s="32"/>
      <c r="J197" s="32"/>
      <c r="K197" s="32"/>
      <c r="L197" s="32"/>
      <c r="M197" s="32"/>
      <c r="N197" s="32"/>
      <c r="O197" s="32"/>
      <c r="P197" s="32"/>
      <c r="Q197" s="32"/>
      <c r="R197" s="32"/>
      <c r="S197" s="32"/>
      <c r="T197" s="32"/>
      <c r="U197" s="32"/>
    </row>
    <row r="198" spans="1:21" hidden="1" x14ac:dyDescent="0.2">
      <c r="A198" s="32"/>
      <c r="B198" s="32"/>
      <c r="C198" s="32"/>
      <c r="D198" s="32"/>
      <c r="E198" s="32"/>
      <c r="F198" s="940"/>
      <c r="G198" s="941"/>
      <c r="H198" s="32"/>
      <c r="I198" s="32"/>
      <c r="J198" s="32"/>
      <c r="K198" s="32"/>
      <c r="L198" s="32"/>
      <c r="M198" s="32"/>
      <c r="N198" s="32"/>
      <c r="O198" s="32"/>
      <c r="P198" s="32"/>
      <c r="Q198" s="32"/>
      <c r="R198" s="32"/>
      <c r="S198" s="32"/>
      <c r="T198" s="32"/>
      <c r="U198" s="32"/>
    </row>
    <row r="199" spans="1:21" hidden="1" x14ac:dyDescent="0.2">
      <c r="A199" s="32"/>
      <c r="B199" s="32"/>
      <c r="C199" s="32"/>
      <c r="D199" s="32"/>
      <c r="E199" s="32"/>
      <c r="F199" s="32"/>
      <c r="G199" s="32"/>
      <c r="H199" s="32"/>
      <c r="I199" s="32"/>
      <c r="J199" s="32"/>
      <c r="K199" s="32"/>
      <c r="L199" s="32"/>
      <c r="M199" s="32"/>
      <c r="N199" s="32"/>
      <c r="O199" s="32"/>
      <c r="P199" s="32"/>
      <c r="Q199" s="32"/>
      <c r="R199" s="32"/>
      <c r="S199" s="32"/>
      <c r="T199" s="32"/>
      <c r="U199" s="32"/>
    </row>
    <row r="200" spans="1:21" hidden="1" x14ac:dyDescent="0.2">
      <c r="A200" s="32"/>
      <c r="B200" s="32"/>
      <c r="C200" s="51">
        <v>1</v>
      </c>
      <c r="D200" s="170" t="s">
        <v>398</v>
      </c>
      <c r="E200" s="32"/>
      <c r="F200" s="242" t="str">
        <f>IMPOSTAZIONI!C146</f>
        <v>ESCLUDI</v>
      </c>
      <c r="G200" s="952">
        <f>COUNTIF(IMPOSTAZIONI!I33:AF33,F200)</f>
        <v>0</v>
      </c>
      <c r="H200" s="183" t="s">
        <v>734</v>
      </c>
      <c r="I200" s="32"/>
      <c r="J200" s="32"/>
      <c r="L200" s="32"/>
      <c r="M200" s="32"/>
      <c r="N200" s="32"/>
      <c r="O200" s="32"/>
      <c r="P200" s="32"/>
      <c r="Q200" s="32"/>
      <c r="R200" s="32"/>
      <c r="S200" s="32"/>
      <c r="T200" s="32"/>
      <c r="U200" s="32"/>
    </row>
    <row r="201" spans="1:21" hidden="1" x14ac:dyDescent="0.2">
      <c r="A201" s="32"/>
      <c r="B201" s="32"/>
      <c r="C201" s="51">
        <f>Presentazione!K159</f>
        <v>18</v>
      </c>
      <c r="D201" s="170" t="s">
        <v>398</v>
      </c>
      <c r="E201" s="32"/>
      <c r="F201" s="242" t="str">
        <f>IMPOSTAZIONI!H146</f>
        <v>VENTILAZIONE</v>
      </c>
      <c r="G201" s="952">
        <f>COUNTIF(IMPOSTAZIONI!I35:AF35,F201)</f>
        <v>0</v>
      </c>
      <c r="H201" s="183" t="str">
        <f>CONCATENATE("Area ventilazione attivata / VENTILAZIONE ",IMPOSTAZIONI!D35,IMPOSTAZIONI!B32)</f>
        <v xml:space="preserve">Area ventilazione attivata / VENTILAZIONE </v>
      </c>
      <c r="I201" s="32"/>
      <c r="J201" s="32"/>
      <c r="K201" s="32"/>
      <c r="L201" s="32"/>
      <c r="M201" s="32"/>
      <c r="N201" s="32"/>
      <c r="O201" s="32"/>
      <c r="P201" s="32"/>
      <c r="Q201" s="32"/>
      <c r="R201" s="32"/>
      <c r="S201" s="32"/>
      <c r="T201" s="32"/>
      <c r="U201" s="32"/>
    </row>
    <row r="202" spans="1:21" hidden="1" x14ac:dyDescent="0.2">
      <c r="A202" s="32"/>
      <c r="B202" s="32"/>
      <c r="C202" s="32"/>
      <c r="D202" s="32"/>
      <c r="E202" s="32"/>
      <c r="F202" s="32"/>
      <c r="G202" s="32"/>
      <c r="H202" s="32"/>
      <c r="I202" s="32"/>
      <c r="J202" s="32"/>
      <c r="K202" s="32"/>
      <c r="L202" s="32"/>
      <c r="M202" s="32"/>
      <c r="N202" s="32"/>
      <c r="O202" s="32"/>
      <c r="P202" s="32"/>
      <c r="Q202" s="32"/>
      <c r="R202" s="32"/>
      <c r="S202" s="32"/>
      <c r="T202" s="32"/>
      <c r="U202" s="32"/>
    </row>
    <row r="203" spans="1:21" hidden="1" x14ac:dyDescent="0.2">
      <c r="A203" s="32"/>
      <c r="B203" s="32"/>
      <c r="C203" s="1415">
        <v>0</v>
      </c>
      <c r="D203" s="510" t="s">
        <v>343</v>
      </c>
      <c r="E203" s="32"/>
      <c r="F203" s="242" t="s">
        <v>244</v>
      </c>
      <c r="G203" s="244" t="s">
        <v>245</v>
      </c>
      <c r="H203" s="32"/>
      <c r="I203" s="32"/>
      <c r="J203" s="32"/>
      <c r="K203" s="32"/>
      <c r="L203" s="32"/>
      <c r="M203" s="32"/>
      <c r="N203" s="32"/>
      <c r="O203" s="32"/>
      <c r="P203" s="32"/>
      <c r="Q203" s="32"/>
      <c r="R203" s="32"/>
      <c r="S203" s="32"/>
      <c r="T203" s="32"/>
      <c r="U203" s="32"/>
    </row>
    <row r="204" spans="1:21" hidden="1" x14ac:dyDescent="0.2">
      <c r="A204" s="32"/>
      <c r="B204" s="32"/>
      <c r="C204" s="47">
        <f>Presentazione!E159</f>
        <v>0</v>
      </c>
      <c r="D204" s="511" t="s">
        <v>549</v>
      </c>
      <c r="E204" s="60"/>
      <c r="F204" s="242" t="s">
        <v>245</v>
      </c>
      <c r="G204" s="244" t="s">
        <v>244</v>
      </c>
      <c r="H204" s="32"/>
      <c r="I204" s="32"/>
      <c r="J204" s="32"/>
      <c r="K204" s="32"/>
      <c r="L204" s="32"/>
      <c r="M204" s="32"/>
      <c r="N204" s="32"/>
      <c r="O204" s="32"/>
      <c r="P204" s="32"/>
      <c r="Q204" s="32"/>
      <c r="R204" s="32"/>
      <c r="S204" s="32"/>
      <c r="T204" s="32"/>
      <c r="U204" s="32"/>
    </row>
    <row r="205" spans="1:21" hidden="1" x14ac:dyDescent="0.2">
      <c r="A205" s="32"/>
      <c r="B205" s="32"/>
      <c r="C205" s="32"/>
      <c r="D205" s="32"/>
      <c r="E205" s="32"/>
      <c r="F205" s="32"/>
      <c r="G205" s="32"/>
      <c r="H205" s="32"/>
      <c r="I205" s="32"/>
      <c r="J205" s="32"/>
      <c r="K205" s="32"/>
      <c r="L205" s="32"/>
      <c r="M205" s="32"/>
      <c r="N205" s="32"/>
      <c r="O205" s="32"/>
      <c r="P205" s="32"/>
      <c r="Q205" s="32"/>
      <c r="R205" s="32"/>
      <c r="S205" s="32"/>
      <c r="T205" s="32"/>
      <c r="U205" s="32"/>
    </row>
    <row r="206" spans="1:21" x14ac:dyDescent="0.2">
      <c r="A206" s="32"/>
      <c r="B206" s="32"/>
      <c r="C206" s="32"/>
      <c r="D206" s="32"/>
      <c r="E206" s="32"/>
      <c r="F206" s="32"/>
      <c r="G206" s="32"/>
      <c r="H206" s="32"/>
      <c r="I206" s="32"/>
      <c r="J206" s="32"/>
      <c r="K206" s="32"/>
      <c r="L206" s="32"/>
      <c r="M206" s="32"/>
      <c r="N206" s="32"/>
      <c r="O206" s="32"/>
      <c r="P206" s="32"/>
      <c r="Q206" s="32"/>
      <c r="R206" s="32"/>
      <c r="S206" s="32"/>
      <c r="T206" s="32"/>
      <c r="U206" s="32"/>
    </row>
  </sheetData>
  <sheetProtection password="9766" sheet="1" objects="1" scenarios="1" selectLockedCells="1"/>
  <mergeCells count="48">
    <mergeCell ref="K178:R178"/>
    <mergeCell ref="K167:O167"/>
    <mergeCell ref="P167:R167"/>
    <mergeCell ref="K14:R14"/>
    <mergeCell ref="K57:M57"/>
    <mergeCell ref="P113:R113"/>
    <mergeCell ref="K106:M106"/>
    <mergeCell ref="K116:O116"/>
    <mergeCell ref="O57:Q57"/>
    <mergeCell ref="N60:R60"/>
    <mergeCell ref="P164:R164"/>
    <mergeCell ref="N165:R165"/>
    <mergeCell ref="P116:R116"/>
    <mergeCell ref="K46:Q46"/>
    <mergeCell ref="N114:R114"/>
    <mergeCell ref="C178:J178"/>
    <mergeCell ref="F62:J62"/>
    <mergeCell ref="C167:G167"/>
    <mergeCell ref="H167:J167"/>
    <mergeCell ref="C116:G116"/>
    <mergeCell ref="H116:J116"/>
    <mergeCell ref="F165:J165"/>
    <mergeCell ref="F114:J114"/>
    <mergeCell ref="P3:R3"/>
    <mergeCell ref="Q108:R108"/>
    <mergeCell ref="K16:O16"/>
    <mergeCell ref="K3:O3"/>
    <mergeCell ref="K62:O62"/>
    <mergeCell ref="K95:O95"/>
    <mergeCell ref="K53:M53"/>
    <mergeCell ref="O53:Q53"/>
    <mergeCell ref="O106:Q106"/>
    <mergeCell ref="P59:R59"/>
    <mergeCell ref="C3:G3"/>
    <mergeCell ref="G106:I106"/>
    <mergeCell ref="C106:E106"/>
    <mergeCell ref="H3:J3"/>
    <mergeCell ref="C95:G95"/>
    <mergeCell ref="G53:I53"/>
    <mergeCell ref="C53:E53"/>
    <mergeCell ref="C57:E57"/>
    <mergeCell ref="G57:I57"/>
    <mergeCell ref="C62:E62"/>
    <mergeCell ref="C14:J14"/>
    <mergeCell ref="C46:I46"/>
    <mergeCell ref="C16:E16"/>
    <mergeCell ref="F16:J16"/>
    <mergeCell ref="F60:J60"/>
  </mergeCells>
  <phoneticPr fontId="4" type="noConversion"/>
  <conditionalFormatting sqref="B85 B69 B73 B65 B77 B81 B89 B19 B23 B27 B31 B35 B39 B43">
    <cfRule type="expression" dxfId="1348" priority="1" stopIfTrue="1">
      <formula>ISERROR($B18)</formula>
    </cfRule>
  </conditionalFormatting>
  <conditionalFormatting sqref="B74:B75 B66:B67 B70:B71 B78:B79 B82:B83 B86 B90 B20:B21 B24:B25 B28:B29 B32:B33 B36:B37 B40:B41 B44:B45">
    <cfRule type="expression" dxfId="1347" priority="2" stopIfTrue="1">
      <formula>ISERROR($B18)</formula>
    </cfRule>
  </conditionalFormatting>
  <conditionalFormatting sqref="B96">
    <cfRule type="expression" dxfId="1346" priority="3" stopIfTrue="1">
      <formula>ISERROR($B92)</formula>
    </cfRule>
  </conditionalFormatting>
  <conditionalFormatting sqref="A93:A96 A47 T107 T51 A53 A89:A90 A81:A83 A77:A79 A73:A75 A69:A71 A65:A67 A85:A87 T98:T105 A105:A107 A19:A21 A23:A25 A27:A29 A31:A33 A35:A37 A39:A41 A43:A45">
    <cfRule type="expression" dxfId="1345" priority="4" stopIfTrue="1">
      <formula>ISERROR($B19)</formula>
    </cfRule>
  </conditionalFormatting>
  <conditionalFormatting sqref="O105:Q105 O107:Q107">
    <cfRule type="expression" dxfId="1344" priority="5" stopIfTrue="1">
      <formula>ISERROR(O105)</formula>
    </cfRule>
    <cfRule type="expression" dxfId="1343" priority="6" stopIfTrue="1">
      <formula>AND(O105=0,$R105=0)</formula>
    </cfRule>
  </conditionalFormatting>
  <conditionalFormatting sqref="K105:M105 K107:M107">
    <cfRule type="expression" dxfId="1342" priority="7" stopIfTrue="1">
      <formula>ISERROR(K105)</formula>
    </cfRule>
    <cfRule type="expression" dxfId="1341" priority="8" stopIfTrue="1">
      <formula>AND(K105=0,$N105=0)</formula>
    </cfRule>
  </conditionalFormatting>
  <conditionalFormatting sqref="G105:I105 G107:I107">
    <cfRule type="expression" dxfId="1340" priority="9" stopIfTrue="1">
      <formula>ISERROR(G105)</formula>
    </cfRule>
    <cfRule type="expression" dxfId="1339" priority="10" stopIfTrue="1">
      <formula>AND(G105=0,$J105=0)</formula>
    </cfRule>
  </conditionalFormatting>
  <conditionalFormatting sqref="C105:E105 C107:E107">
    <cfRule type="expression" dxfId="1338" priority="11" stopIfTrue="1">
      <formula>ISERROR(C105)</formula>
    </cfRule>
    <cfRule type="expression" dxfId="1337" priority="12" stopIfTrue="1">
      <formula>AND(C105=0,$F105=0)</formula>
    </cfRule>
  </conditionalFormatting>
  <conditionalFormatting sqref="B47">
    <cfRule type="expression" dxfId="1336" priority="13" stopIfTrue="1">
      <formula>ISERROR($B95)</formula>
    </cfRule>
  </conditionalFormatting>
  <conditionalFormatting sqref="A46">
    <cfRule type="expression" dxfId="1335" priority="14" stopIfTrue="1">
      <formula>ISERROR($C46)</formula>
    </cfRule>
  </conditionalFormatting>
  <conditionalFormatting sqref="B105:B106">
    <cfRule type="expression" dxfId="1334" priority="15" stopIfTrue="1">
      <formula>ISERROR($B92)</formula>
    </cfRule>
  </conditionalFormatting>
  <conditionalFormatting sqref="B107">
    <cfRule type="expression" dxfId="1333" priority="16" stopIfTrue="1">
      <formula>ISERROR($B95)</formula>
    </cfRule>
  </conditionalFormatting>
  <conditionalFormatting sqref="A84 A18 A22 A26 A30 A34 A38 A42 A64 A68 A72 A76 A80 A88 A98:A104">
    <cfRule type="expression" dxfId="1332" priority="17" stopIfTrue="1">
      <formula>ISERROR($B18)</formula>
    </cfRule>
    <cfRule type="cellIs" dxfId="1331" priority="18" stopIfTrue="1" operator="equal">
      <formula>0</formula>
    </cfRule>
  </conditionalFormatting>
  <conditionalFormatting sqref="B84 B64 B68 B72 B76 B80 B88">
    <cfRule type="expression" dxfId="1330" priority="19" stopIfTrue="1">
      <formula>ISERROR($B64)</formula>
    </cfRule>
    <cfRule type="cellIs" dxfId="1329" priority="20" stopIfTrue="1" operator="equal">
      <formula>0</formula>
    </cfRule>
    <cfRule type="expression" dxfId="1328" priority="21" stopIfTrue="1">
      <formula>$A64=0</formula>
    </cfRule>
  </conditionalFormatting>
  <conditionalFormatting sqref="B98:B104">
    <cfRule type="expression" dxfId="1327" priority="22" stopIfTrue="1">
      <formula>ISERROR($B98)</formula>
    </cfRule>
    <cfRule type="expression" dxfId="1326" priority="23" stopIfTrue="1">
      <formula>$A98=0</formula>
    </cfRule>
  </conditionalFormatting>
  <conditionalFormatting sqref="B18 B22 B26 B30 B34 B38 B42">
    <cfRule type="expression" dxfId="1325" priority="24" stopIfTrue="1">
      <formula>ISERROR($B18)</formula>
    </cfRule>
  </conditionalFormatting>
  <conditionalFormatting sqref="C98:E104">
    <cfRule type="expression" dxfId="1324" priority="25" stopIfTrue="1">
      <formula>ISERROR(C98)</formula>
    </cfRule>
    <cfRule type="expression" dxfId="1323" priority="26" stopIfTrue="1">
      <formula>$F98=0</formula>
    </cfRule>
    <cfRule type="cellIs" dxfId="1322" priority="27" stopIfTrue="1" operator="equal">
      <formula>0</formula>
    </cfRule>
  </conditionalFormatting>
  <conditionalFormatting sqref="O98:Q104">
    <cfRule type="expression" dxfId="1321" priority="28" stopIfTrue="1">
      <formula>ISERROR(O98)</formula>
    </cfRule>
    <cfRule type="expression" dxfId="1320" priority="29" stopIfTrue="1">
      <formula>$R98=0</formula>
    </cfRule>
    <cfRule type="cellIs" dxfId="1319" priority="30" stopIfTrue="1" operator="equal">
      <formula>0</formula>
    </cfRule>
  </conditionalFormatting>
  <conditionalFormatting sqref="K98:M104">
    <cfRule type="expression" dxfId="1318" priority="31" stopIfTrue="1">
      <formula>ISERROR(K98)</formula>
    </cfRule>
    <cfRule type="expression" dxfId="1317" priority="32" stopIfTrue="1">
      <formula>$N98=0</formula>
    </cfRule>
    <cfRule type="cellIs" dxfId="1316" priority="33" stopIfTrue="1" operator="equal">
      <formula>0</formula>
    </cfRule>
  </conditionalFormatting>
  <conditionalFormatting sqref="G98:I104">
    <cfRule type="expression" dxfId="1315" priority="34" stopIfTrue="1">
      <formula>ISERROR(G98)</formula>
    </cfRule>
    <cfRule type="expression" dxfId="1314" priority="35" stopIfTrue="1">
      <formula>$J98=0</formula>
    </cfRule>
    <cfRule type="cellIs" dxfId="1313" priority="36" stopIfTrue="1" operator="equal">
      <formula>0</formula>
    </cfRule>
  </conditionalFormatting>
  <conditionalFormatting sqref="F98:F104 J98:J104 N98:N104 R98:R104">
    <cfRule type="expression" dxfId="1312" priority="37" stopIfTrue="1">
      <formula>ISERROR($B98)</formula>
    </cfRule>
    <cfRule type="cellIs" dxfId="1311" priority="38" stopIfTrue="1" operator="equal">
      <formula>0</formula>
    </cfRule>
  </conditionalFormatting>
  <conditionalFormatting sqref="C109:R109 T109">
    <cfRule type="expression" dxfId="1310" priority="39" stopIfTrue="1">
      <formula>ISERROR(C109)</formula>
    </cfRule>
    <cfRule type="expression" dxfId="1309" priority="40" stopIfTrue="1">
      <formula>C109=0</formula>
    </cfRule>
    <cfRule type="expression" dxfId="1308" priority="41" stopIfTrue="1">
      <formula>ROUND(C110,2)=0</formula>
    </cfRule>
  </conditionalFormatting>
  <conditionalFormatting sqref="C125:R128">
    <cfRule type="expression" dxfId="1307" priority="42" stopIfTrue="1">
      <formula>AND(C125=0,$B125="")</formula>
    </cfRule>
    <cfRule type="cellIs" dxfId="1306" priority="43" stopIfTrue="1" operator="equal">
      <formula>0</formula>
    </cfRule>
  </conditionalFormatting>
  <conditionalFormatting sqref="T125:T128">
    <cfRule type="expression" dxfId="1305" priority="44" stopIfTrue="1">
      <formula>AND(T125=0,$B125="")</formula>
    </cfRule>
    <cfRule type="cellIs" dxfId="1304" priority="45" stopIfTrue="1" operator="equal">
      <formula>0</formula>
    </cfRule>
  </conditionalFormatting>
  <conditionalFormatting sqref="C18:E18 C22:E22 C26:E26 C30:E30 C34:E34 C38:E38 C42:E42 C64:E64 C68:E68 C72:E72 C76:E76 C80:E80 C84:E84 C88:E88">
    <cfRule type="expression" dxfId="1303" priority="46" stopIfTrue="1">
      <formula>OR(ISERROR($B18),ISERROR(C18))</formula>
    </cfRule>
    <cfRule type="expression" dxfId="1302" priority="47" stopIfTrue="1">
      <formula>$F18=0</formula>
    </cfRule>
    <cfRule type="cellIs" dxfId="1301" priority="48" stopIfTrue="1" operator="equal">
      <formula>0</formula>
    </cfRule>
  </conditionalFormatting>
  <conditionalFormatting sqref="C19:E19 C23:E23 C27:E27 C31:E31 C35:E35 C39:E39 C43:E43 C65:E65 C69:E69 C73:E73 C77:E77 C81:E81 C85:E85 C89:E89">
    <cfRule type="expression" dxfId="1300" priority="49" stopIfTrue="1">
      <formula>OR(ISERROR($B18),ISERROR(C19))</formula>
    </cfRule>
    <cfRule type="expression" dxfId="1299" priority="50" stopIfTrue="1">
      <formula>$F18=0</formula>
    </cfRule>
    <cfRule type="cellIs" dxfId="1298" priority="51" stopIfTrue="1" operator="equal">
      <formula>0</formula>
    </cfRule>
  </conditionalFormatting>
  <conditionalFormatting sqref="C20:E20 C24:E24 C28:E28 C32:E32 C36:E36 C40:E40 C44:E44 C66:E66 C70:E70 C74:E74 C78:E78 C82:E82 C86:E86 C90:E90">
    <cfRule type="expression" dxfId="1297" priority="52" stopIfTrue="1">
      <formula>OR(ISERROR($B18),ISERROR(C20))</formula>
    </cfRule>
    <cfRule type="expression" dxfId="1296" priority="53" stopIfTrue="1">
      <formula>$F18=0</formula>
    </cfRule>
    <cfRule type="cellIs" dxfId="1295" priority="54" stopIfTrue="1" operator="equal">
      <formula>0</formula>
    </cfRule>
  </conditionalFormatting>
  <conditionalFormatting sqref="F18 J18 N18 R18 F22 J22 N22 R22 F26 J26 N26 R26 F30 J30 N30 R30 F34 J34 N34 R34 F38 J38 N38 R38 F42 J42 N42 R42 F64 J64 N64 R64 F68 J68 N68 R68 F72 J72 N72 R72 F76 J76 N76 R76 F80 J80 N80 R80 F84 J84 N84 R84 F88 J88 N88 R88">
    <cfRule type="expression" dxfId="1294" priority="55" stopIfTrue="1">
      <formula>OR(ISERROR($B18),ISERROR(F18))</formula>
    </cfRule>
    <cfRule type="cellIs" dxfId="1293" priority="56" stopIfTrue="1" operator="equal">
      <formula>0</formula>
    </cfRule>
  </conditionalFormatting>
  <conditionalFormatting sqref="F19 J19 N19 R19 F23 J23 N23 R23 F27 J27 N27 R27 F31 J31 N31 R31 F35 J35 N35 R35 F39 J39 N39 R39 F43 J43 N43 R43 F65 J65 N65 R65 F69 J69 N69 R69 F73 J73 N73 R73 F77 J77 N77 R77 F81 J81 N81 R81 F85 J85 N85 R85 F89 J89 N89 R89">
    <cfRule type="expression" dxfId="1292" priority="57" stopIfTrue="1">
      <formula>OR(ISERROR($B18),ISERROR(F19))</formula>
    </cfRule>
    <cfRule type="cellIs" dxfId="1291" priority="58" stopIfTrue="1" operator="equal">
      <formula>0</formula>
    </cfRule>
  </conditionalFormatting>
  <conditionalFormatting sqref="F20 J20 N20 R20 F24 J24 N24 R24 F28 J28 N28 R28 F32 J32 N32 R32 F36 J36 N36 R36 F40 J40 N40 R40 F44 J44 N44 R44 F66 J66 N66 R66 F70 J70 N70 R70 F74 J74 N74 R74 F78 J78 N78 R78 F82 J82 N82 R82 F86 J86 N86 R86 F90 J90 N90 R90">
    <cfRule type="expression" dxfId="1290" priority="59" stopIfTrue="1">
      <formula>OR(ISERROR($B18),ISERROR(F20))</formula>
    </cfRule>
    <cfRule type="expression" dxfId="1289" priority="60" stopIfTrue="1">
      <formula>F18=0</formula>
    </cfRule>
  </conditionalFormatting>
  <conditionalFormatting sqref="G18:I18 G22:I22 G26:I26 G30:I30 G34:I34 G38:I38 G42:I42 G64:I64 G68:I68 G72:I72 G76:I76 G80:I80 G84:I84 G88:I88">
    <cfRule type="expression" dxfId="1288" priority="61" stopIfTrue="1">
      <formula>OR(ISERROR($B18),ISERROR(G18))</formula>
    </cfRule>
    <cfRule type="expression" dxfId="1287" priority="62" stopIfTrue="1">
      <formula>$J18=0</formula>
    </cfRule>
    <cfRule type="cellIs" dxfId="1286" priority="63" stopIfTrue="1" operator="equal">
      <formula>0</formula>
    </cfRule>
  </conditionalFormatting>
  <conditionalFormatting sqref="G19:I19 G23:I23 G27:I27 G31:I31 G35:I35 G39:I39 G43:I43 G65:I65 G69:I69 G73:I73 G77:I77 G81:I81 G85:I85 G89:I89">
    <cfRule type="expression" dxfId="1285" priority="64" stopIfTrue="1">
      <formula>OR(ISERROR($B18),ISERROR(G19))</formula>
    </cfRule>
    <cfRule type="expression" dxfId="1284" priority="65" stopIfTrue="1">
      <formula>$J18=0</formula>
    </cfRule>
    <cfRule type="cellIs" dxfId="1283" priority="66" stopIfTrue="1" operator="equal">
      <formula>0</formula>
    </cfRule>
  </conditionalFormatting>
  <conditionalFormatting sqref="G20:I20 G24:I24 G28:I28 G32:I32 G36:I36 G40:I40 G44:I44 G66:I66 G70:I70 G74:I74 G78:I78 G82:I82 G86:I86 G90:I90">
    <cfRule type="expression" dxfId="1282" priority="67" stopIfTrue="1">
      <formula>OR(ISERROR($B18),ISERROR(G20))</formula>
    </cfRule>
    <cfRule type="expression" dxfId="1281" priority="68" stopIfTrue="1">
      <formula>$J18=0</formula>
    </cfRule>
    <cfRule type="cellIs" dxfId="1280" priority="69" stopIfTrue="1" operator="equal">
      <formula>0</formula>
    </cfRule>
  </conditionalFormatting>
  <conditionalFormatting sqref="K18:M18 K22:M22 K26:M26 K30:M30 K34:M34 K38:M38 K42:M42 K64:M64 K68:M68 K72:M72 K76:M76 K80:M80 K84:M84 K88:M88">
    <cfRule type="expression" dxfId="1279" priority="70" stopIfTrue="1">
      <formula>OR(ISERROR($B18),ISERROR(K18))</formula>
    </cfRule>
    <cfRule type="expression" dxfId="1278" priority="71" stopIfTrue="1">
      <formula>$N18=0</formula>
    </cfRule>
    <cfRule type="cellIs" dxfId="1277" priority="72" stopIfTrue="1" operator="equal">
      <formula>0</formula>
    </cfRule>
  </conditionalFormatting>
  <conditionalFormatting sqref="K19:M19 K23:M23 K27:M27 K31:M31 K35:M35 K39:M39 K43:M43 K65:M65 K69:M69 K73:M73 K77:M77 K81:M81 K85:M85 K89:M89">
    <cfRule type="expression" dxfId="1276" priority="73" stopIfTrue="1">
      <formula>OR(ISERROR($B18),ISERROR(K19))</formula>
    </cfRule>
    <cfRule type="expression" dxfId="1275" priority="74" stopIfTrue="1">
      <formula>$N18=0</formula>
    </cfRule>
    <cfRule type="cellIs" dxfId="1274" priority="75" stopIfTrue="1" operator="equal">
      <formula>0</formula>
    </cfRule>
  </conditionalFormatting>
  <conditionalFormatting sqref="K20:M20 K24:M24 K28:M28 K32:M32 K36:M36 K40:M40 K44:M44 K66:M66 K70:M70 K74:M74 K78:M78 K82:M82 K86:M86 K90:M90">
    <cfRule type="expression" dxfId="1273" priority="76" stopIfTrue="1">
      <formula>OR(ISERROR($B18),ISERROR(K20))</formula>
    </cfRule>
    <cfRule type="expression" dxfId="1272" priority="77" stopIfTrue="1">
      <formula>$N18=0</formula>
    </cfRule>
    <cfRule type="cellIs" dxfId="1271" priority="78" stopIfTrue="1" operator="equal">
      <formula>0</formula>
    </cfRule>
  </conditionalFormatting>
  <conditionalFormatting sqref="O18:Q18 O22:Q22 O26:Q26 O30:Q30 O34:Q34 O38:Q38 O42:Q42 O64:Q64 O68:Q68 O72:Q72 O76:Q76 O80:Q80 O84:Q84 O88:Q88">
    <cfRule type="expression" dxfId="1270" priority="79" stopIfTrue="1">
      <formula>OR(ISERROR($B18),ISERROR(O18))</formula>
    </cfRule>
    <cfRule type="expression" dxfId="1269" priority="80" stopIfTrue="1">
      <formula>$R18=0</formula>
    </cfRule>
    <cfRule type="cellIs" dxfId="1268" priority="81" stopIfTrue="1" operator="equal">
      <formula>0</formula>
    </cfRule>
  </conditionalFormatting>
  <conditionalFormatting sqref="O19:Q19 O23:Q23 O27:Q27 O31:Q31 O35:Q35 O39:Q39 O43:Q43 O65:Q65 O69:Q69 O73:Q73 O77:Q77 O81:Q81 O85:Q85 O89:Q89">
    <cfRule type="expression" dxfId="1267" priority="82" stopIfTrue="1">
      <formula>OR(ISERROR($B18),ISERROR(O19))</formula>
    </cfRule>
    <cfRule type="expression" dxfId="1266" priority="83" stopIfTrue="1">
      <formula>$R18=0</formula>
    </cfRule>
    <cfRule type="cellIs" dxfId="1265" priority="84" stopIfTrue="1" operator="equal">
      <formula>0</formula>
    </cfRule>
  </conditionalFormatting>
  <conditionalFormatting sqref="O20:Q20 O24:Q24 O28:Q28 O32:Q32 O36:Q36 O40:Q40 O44:Q44 O66:Q66 O70:Q70 O74:Q74 O78:Q78 O82:Q82 O86:Q86 O90:Q90">
    <cfRule type="expression" dxfId="1264" priority="85" stopIfTrue="1">
      <formula>OR(ISERROR($B18),ISERROR(O20))</formula>
    </cfRule>
    <cfRule type="expression" dxfId="1263" priority="86" stopIfTrue="1">
      <formula>$R18=0</formula>
    </cfRule>
    <cfRule type="cellIs" dxfId="1262" priority="87" stopIfTrue="1" operator="equal">
      <formula>0</formula>
    </cfRule>
  </conditionalFormatting>
  <conditionalFormatting sqref="T18 T22 T26 T30 T34 T38 T42 T64 T68 T72 T76 T80 T84 T88">
    <cfRule type="expression" dxfId="1261" priority="88" stopIfTrue="1">
      <formula>OR(ISERROR($B18),ISERROR(T18))</formula>
    </cfRule>
  </conditionalFormatting>
  <conditionalFormatting sqref="T19 T23 T27 T31 T35 T39 T43 T65 T69 T73 T77 T81 T85 T89">
    <cfRule type="expression" dxfId="1260" priority="89" stopIfTrue="1">
      <formula>OR(ISERROR($B18),ISERROR(T19))</formula>
    </cfRule>
  </conditionalFormatting>
  <conditionalFormatting sqref="T20 T24 T28 T32 T36 T40 T44 T66 T70 T74 T78 T82 T86 T90">
    <cfRule type="expression" dxfId="1259" priority="90" stopIfTrue="1">
      <formula>OR(ISERROR($B18),ISERROR(T20))</formula>
    </cfRule>
  </conditionalFormatting>
  <conditionalFormatting sqref="F196:F197">
    <cfRule type="expression" dxfId="1258" priority="91" stopIfTrue="1">
      <formula>#REF!=#REF!</formula>
    </cfRule>
  </conditionalFormatting>
  <conditionalFormatting sqref="C168:E168 G168:I168 K168:M168 O168:Q168 C4:E4 G4:I4 K4:M4 O4:Q4">
    <cfRule type="expression" dxfId="1257" priority="92" stopIfTrue="1">
      <formula>C$2=$B$194</formula>
    </cfRule>
  </conditionalFormatting>
  <conditionalFormatting sqref="C63:E63 G63:I63 K63:M63 O63:Q63 C17:E17 G17:I17 K17:M17 O17:Q17">
    <cfRule type="expression" dxfId="1256" priority="93" stopIfTrue="1">
      <formula>ISERROR($B$64)</formula>
    </cfRule>
    <cfRule type="expression" dxfId="1255" priority="94" stopIfTrue="1">
      <formula>C$2=$B$194</formula>
    </cfRule>
  </conditionalFormatting>
  <conditionalFormatting sqref="B8:B11 B172:B175">
    <cfRule type="expression" dxfId="1254" priority="95" stopIfTrue="1">
      <formula>AND($A8="",$T8=0)</formula>
    </cfRule>
    <cfRule type="expression" dxfId="1253" priority="96" stopIfTrue="1">
      <formula>$B$14=$B$194</formula>
    </cfRule>
    <cfRule type="expression" dxfId="1252" priority="97" stopIfTrue="1">
      <formula>AND($A8=0,$T8=0)</formula>
    </cfRule>
  </conditionalFormatting>
  <conditionalFormatting sqref="C118:E118">
    <cfRule type="expression" dxfId="1251" priority="98" stopIfTrue="1">
      <formula>ISERROR($C$201)</formula>
    </cfRule>
    <cfRule type="expression" dxfId="1250" priority="99" stopIfTrue="1">
      <formula>AND(C118=0,$F118=0)</formula>
    </cfRule>
  </conditionalFormatting>
  <conditionalFormatting sqref="C119:E119">
    <cfRule type="expression" dxfId="1249" priority="100" stopIfTrue="1">
      <formula>ISERROR($C$201)</formula>
    </cfRule>
    <cfRule type="expression" dxfId="1248" priority="101" stopIfTrue="1">
      <formula>OR(AND(C119=0,$F119=0),ISERROR(C119))</formula>
    </cfRule>
  </conditionalFormatting>
  <conditionalFormatting sqref="O118:Q118">
    <cfRule type="expression" dxfId="1247" priority="102" stopIfTrue="1">
      <formula>ISERROR($C$201)</formula>
    </cfRule>
    <cfRule type="expression" dxfId="1246" priority="103" stopIfTrue="1">
      <formula>AND(O118=0,$R118=0)</formula>
    </cfRule>
  </conditionalFormatting>
  <conditionalFormatting sqref="O119:Q119">
    <cfRule type="expression" dxfId="1245" priority="104" stopIfTrue="1">
      <formula>ISERROR($C$201)</formula>
    </cfRule>
    <cfRule type="expression" dxfId="1244" priority="105" stopIfTrue="1">
      <formula>OR(AND(O119=0,$R119=0),ISERROR(O119))</formula>
    </cfRule>
  </conditionalFormatting>
  <conditionalFormatting sqref="K118:M118">
    <cfRule type="expression" dxfId="1243" priority="106" stopIfTrue="1">
      <formula>ISERROR($C$201)</formula>
    </cfRule>
    <cfRule type="expression" dxfId="1242" priority="107" stopIfTrue="1">
      <formula>AND(K118=0,$N118=0)</formula>
    </cfRule>
  </conditionalFormatting>
  <conditionalFormatting sqref="K119:M119">
    <cfRule type="expression" dxfId="1241" priority="108" stopIfTrue="1">
      <formula>ISERROR($C$201)</formula>
    </cfRule>
    <cfRule type="expression" dxfId="1240" priority="109" stopIfTrue="1">
      <formula>OR(AND(K119=0,$N119=0),ISERROR(K119))</formula>
    </cfRule>
  </conditionalFormatting>
  <conditionalFormatting sqref="G118:I118">
    <cfRule type="expression" dxfId="1239" priority="110" stopIfTrue="1">
      <formula>ISERROR($C$201)</formula>
    </cfRule>
    <cfRule type="expression" dxfId="1238" priority="111" stopIfTrue="1">
      <formula>AND(G118=0,$J118=0)</formula>
    </cfRule>
  </conditionalFormatting>
  <conditionalFormatting sqref="G119:I119">
    <cfRule type="expression" dxfId="1237" priority="112" stopIfTrue="1">
      <formula>ISERROR($C$201)</formula>
    </cfRule>
    <cfRule type="expression" dxfId="1236" priority="113" stopIfTrue="1">
      <formula>OR(AND(G119=0,$J119=0),ISERROR(G119))</formula>
    </cfRule>
  </conditionalFormatting>
  <conditionalFormatting sqref="T13 T177 S119 T120 S50 S6:S7 S170:S171">
    <cfRule type="expression" dxfId="1235" priority="114" stopIfTrue="1">
      <formula>ISERROR(S6)</formula>
    </cfRule>
  </conditionalFormatting>
  <conditionalFormatting sqref="K187:N188 C187:F188 K113 K59 T49:T50 G54:I56 O54:Q56 K54:M56 C54:E56 K164 B177">
    <cfRule type="cellIs" dxfId="1234" priority="115" stopIfTrue="1" operator="equal">
      <formula>0</formula>
    </cfRule>
  </conditionalFormatting>
  <conditionalFormatting sqref="T119">
    <cfRule type="expression" dxfId="1233" priority="116" stopIfTrue="1">
      <formula>ISERROR(T119)</formula>
    </cfRule>
    <cfRule type="cellIs" dxfId="1232" priority="117" stopIfTrue="1" operator="equal">
      <formula>0</formula>
    </cfRule>
  </conditionalFormatting>
  <conditionalFormatting sqref="T178:T181 T187:T190 T106 K96:M96 K93:M94 O93:O94 G45:I45 C93:E94 O96 G96 C96:E96 H93:I96 G93:G94 P93:Q96 T93:T96 O79:Q79 P62:Q62 O83:Q83 G67:I67 G71:I71 G75:I75 G79:I79 G83:I83 T67 T71 T75 T79 T83 C67:E67 C71:E71 C75:E75 C79:E79 C83:E83 K67:M67 K71:M71 K75:M75 K79:M79 K83:M83 O67:Q67 O71:Q71 O75:Q75 T61:T62 K41:M41 C48:R48 C47:E47 T53 G47:I47 O47:Q47 C41:E41 K25:M25 K29:M29 K33:M33 K37:M37 K47:M47 O21:Q21 P16:Q16 T14:T16 T21 G21:I21 C21:E21 K21:M21 O25:Q25 O29:Q29 O33:Q33 O37:Q37 O41:Q41 T25 T29 T33 T37 T41 G25:I25 G29:I29 G33:I33 G37:I37 G41:I41 C25:E25 C29:E29 C33:E33 C37:E37 K45:M45 C45:E45 O45:Q45 T45:T48 R97 N97 F97 J97">
    <cfRule type="expression" dxfId="1231" priority="118" stopIfTrue="1">
      <formula>OR(C14=0,ISERROR(C14))</formula>
    </cfRule>
    <cfRule type="expression" dxfId="1230" priority="119" stopIfTrue="1">
      <formula>ISERROR(C14)</formula>
    </cfRule>
  </conditionalFormatting>
  <conditionalFormatting sqref="N176 F45 N45 R45:R47 J45:J47 J106 F106 R106 N106 R93:R96 J93:J96 F96 N96 F93:F94 N93:N94 F75 F79 F83 R62 J67 J71 J75 J79 J83 N67 N71 N75 N79 N83 R67 R71 R75 R79 R83 F67 F71 F47 N53 J53 R53 R176 J176 N47 F21 N21 R21 R16 J21 F25 F29 F33 F37 F41 N25 N29 N33 N37 N41 R25 R29 R33 R37 R41 J25 J29 J33 J37 J41 T176 F176 T12 F12 N12 R12 J12">
    <cfRule type="expression" dxfId="1229" priority="120" stopIfTrue="1">
      <formula>OR(F12=0,ISERROR(F12))</formula>
    </cfRule>
    <cfRule type="expression" dxfId="1228" priority="121" stopIfTrue="1">
      <formula>ISERROR(F12)</formula>
    </cfRule>
  </conditionalFormatting>
  <conditionalFormatting sqref="S187:S190 S172:S181 S120 S93:S107 S88:S90 S61:S86 C50:E50 G50:I50 O50:Q50 K50:M50 S53 S51 S8:S48">
    <cfRule type="expression" dxfId="1227" priority="122" stopIfTrue="1">
      <formula>OR(C8=0,ISERROR(C8))</formula>
    </cfRule>
  </conditionalFormatting>
  <conditionalFormatting sqref="S5 S118:T118 G49:I49 S49 K49:M49 O49:Q49 C49:E49 S169">
    <cfRule type="expression" dxfId="1226" priority="123" stopIfTrue="1">
      <formula>C5=0</formula>
    </cfRule>
  </conditionalFormatting>
  <conditionalFormatting sqref="B179:B181 B187:B190 C179:N179 O187:R190 O179:R181 C189:N190 G187:J188 B61:R61 B15:R15">
    <cfRule type="expression" dxfId="1225" priority="124" stopIfTrue="1">
      <formula>#REF!=0</formula>
    </cfRule>
  </conditionalFormatting>
  <conditionalFormatting sqref="N118 R118 F118 J118">
    <cfRule type="expression" dxfId="1224" priority="125" stopIfTrue="1">
      <formula>F118=0</formula>
    </cfRule>
  </conditionalFormatting>
  <conditionalFormatting sqref="F119 J119 N119 R119">
    <cfRule type="expression" dxfId="1223" priority="126" stopIfTrue="1">
      <formula>ISERROR(F119)</formula>
    </cfRule>
    <cfRule type="cellIs" dxfId="1222" priority="127" stopIfTrue="1" operator="equal">
      <formula>0</formula>
    </cfRule>
  </conditionalFormatting>
  <conditionalFormatting sqref="C178:R178 C14:R14">
    <cfRule type="expression" dxfId="1221" priority="128" stopIfTrue="1">
      <formula>ISERROR($C$201)</formula>
    </cfRule>
  </conditionalFormatting>
  <conditionalFormatting sqref="R120 N120 J120 F120">
    <cfRule type="expression" dxfId="1220" priority="129" stopIfTrue="1">
      <formula>ISERROR(F120)</formula>
    </cfRule>
    <cfRule type="expression" dxfId="1219" priority="130" stopIfTrue="1">
      <formula>ROUND(F120,2)=0</formula>
    </cfRule>
  </conditionalFormatting>
  <conditionalFormatting sqref="C129:R129 T129 C161">
    <cfRule type="cellIs" dxfId="1218" priority="131" stopIfTrue="1" operator="equal">
      <formula>0</formula>
    </cfRule>
  </conditionalFormatting>
  <conditionalFormatting sqref="F105 J105 N105 R105 F107 J107 N107 R107">
    <cfRule type="expression" dxfId="1217" priority="132" stopIfTrue="1">
      <formula>OR(F105=0,ISERROR(F105))</formula>
    </cfRule>
    <cfRule type="expression" dxfId="1216" priority="133" stopIfTrue="1">
      <formula>ISERROR(F105)</formula>
    </cfRule>
  </conditionalFormatting>
  <conditionalFormatting sqref="S109">
    <cfRule type="expression" dxfId="1215" priority="134" stopIfTrue="1">
      <formula>ISERROR(S109)</formula>
    </cfRule>
    <cfRule type="expression" dxfId="1214" priority="135" stopIfTrue="1">
      <formula>S109=0</formula>
    </cfRule>
  </conditionalFormatting>
  <conditionalFormatting sqref="B93:B94">
    <cfRule type="expression" dxfId="1213" priority="136" stopIfTrue="1">
      <formula>ISERROR(#REF!)</formula>
    </cfRule>
  </conditionalFormatting>
  <conditionalFormatting sqref="T97 R63 N63 J63 F63 T63 F17 T17 R17 N17 J17">
    <cfRule type="expression" dxfId="1212" priority="137" stopIfTrue="1">
      <formula>ISERROR($B$64)</formula>
    </cfRule>
  </conditionalFormatting>
  <conditionalFormatting sqref="C110:R110 T110">
    <cfRule type="cellIs" dxfId="1211" priority="138" stopIfTrue="1" operator="equal">
      <formula>0</formula>
    </cfRule>
    <cfRule type="expression" dxfId="1210" priority="139" stopIfTrue="1">
      <formula>ROUND(C110,2)=0</formula>
    </cfRule>
  </conditionalFormatting>
  <conditionalFormatting sqref="C5:E5 C169:E169">
    <cfRule type="expression" dxfId="1209" priority="140" stopIfTrue="1">
      <formula>ISERROR($C$201)</formula>
    </cfRule>
    <cfRule type="expression" dxfId="1208" priority="141" stopIfTrue="1">
      <formula>AND(C5=0,$F5=0)</formula>
    </cfRule>
    <cfRule type="expression" dxfId="1207" priority="142" stopIfTrue="1">
      <formula>ROUND(C5,2)=0</formula>
    </cfRule>
  </conditionalFormatting>
  <conditionalFormatting sqref="G5:I5 G169:I169">
    <cfRule type="expression" dxfId="1206" priority="143" stopIfTrue="1">
      <formula>ISERROR($C$201)</formula>
    </cfRule>
    <cfRule type="expression" dxfId="1205" priority="144" stopIfTrue="1">
      <formula>AND(G5=0,$J5=0)</formula>
    </cfRule>
    <cfRule type="expression" dxfId="1204" priority="145" stopIfTrue="1">
      <formula>ROUND(G5,2)=0</formula>
    </cfRule>
  </conditionalFormatting>
  <conditionalFormatting sqref="K5:M5 K169:M169">
    <cfRule type="expression" dxfId="1203" priority="146" stopIfTrue="1">
      <formula>ISERROR($C$201)</formula>
    </cfRule>
    <cfRule type="expression" dxfId="1202" priority="147" stopIfTrue="1">
      <formula>AND(K5=0,$N5=0)</formula>
    </cfRule>
    <cfRule type="expression" dxfId="1201" priority="148" stopIfTrue="1">
      <formula>ROUND(K5,2)=0</formula>
    </cfRule>
  </conditionalFormatting>
  <conditionalFormatting sqref="O5:Q5 O169:Q169">
    <cfRule type="expression" dxfId="1200" priority="149" stopIfTrue="1">
      <formula>ISERROR($C$201)</formula>
    </cfRule>
    <cfRule type="expression" dxfId="1199" priority="150" stopIfTrue="1">
      <formula>AND(O5=0,$R5=0)</formula>
    </cfRule>
    <cfRule type="expression" dxfId="1198" priority="151" stopIfTrue="1">
      <formula>ROUND(O5,2)=0</formula>
    </cfRule>
  </conditionalFormatting>
  <conditionalFormatting sqref="J51 N51 F51 R51">
    <cfRule type="cellIs" dxfId="1197" priority="152" stopIfTrue="1" operator="equal">
      <formula>0</formula>
    </cfRule>
    <cfRule type="expression" dxfId="1196" priority="153" stopIfTrue="1">
      <formula>ISERROR(F51)</formula>
    </cfRule>
  </conditionalFormatting>
  <conditionalFormatting sqref="G51:I51 O51:Q51 C51:E51 K51:M51">
    <cfRule type="expression" dxfId="1195" priority="154" stopIfTrue="1">
      <formula>C51=0</formula>
    </cfRule>
    <cfRule type="expression" dxfId="1194" priority="155" stopIfTrue="1">
      <formula>ISERROR(C51)</formula>
    </cfRule>
  </conditionalFormatting>
  <conditionalFormatting sqref="R49:R50 F49:F50 N49:N50 J49:J50">
    <cfRule type="cellIs" dxfId="1193" priority="156" stopIfTrue="1" operator="equal">
      <formula>0</formula>
    </cfRule>
  </conditionalFormatting>
  <conditionalFormatting sqref="F5 J5 N5 R5 F169 J169 N169 R169">
    <cfRule type="expression" dxfId="1192" priority="157" stopIfTrue="1">
      <formula>F5=0</formula>
    </cfRule>
    <cfRule type="expression" dxfId="1191" priority="158" stopIfTrue="1">
      <formula>ROUND(F5,2)=0</formula>
    </cfRule>
  </conditionalFormatting>
  <conditionalFormatting sqref="J170 N170 R170 F170 J6 N6 R6 F6">
    <cfRule type="expression" dxfId="1190" priority="159" stopIfTrue="1">
      <formula>ISERROR(F6)</formula>
    </cfRule>
    <cfRule type="cellIs" dxfId="1189" priority="160" stopIfTrue="1" operator="equal">
      <formula>0</formula>
    </cfRule>
    <cfRule type="expression" dxfId="1188" priority="161" stopIfTrue="1">
      <formula>ROUND(F6,2)=0</formula>
    </cfRule>
  </conditionalFormatting>
  <conditionalFormatting sqref="T5 T169">
    <cfRule type="expression" dxfId="1187" priority="162" stopIfTrue="1">
      <formula>T5=0</formula>
    </cfRule>
    <cfRule type="expression" dxfId="1186" priority="163" stopIfTrue="1">
      <formula>ROUND(T5,2)=0</formula>
    </cfRule>
  </conditionalFormatting>
  <conditionalFormatting sqref="T6 T170">
    <cfRule type="expression" dxfId="1185" priority="164" stopIfTrue="1">
      <formula>ISERROR(T6)</formula>
    </cfRule>
    <cfRule type="cellIs" dxfId="1184" priority="165" stopIfTrue="1" operator="equal">
      <formula>0</formula>
    </cfRule>
    <cfRule type="expression" dxfId="1183" priority="166" stopIfTrue="1">
      <formula>ROUND(T6,2)=0</formula>
    </cfRule>
  </conditionalFormatting>
  <conditionalFormatting sqref="B133:B136 B141:B144 B149:B152 B157:B160 C132:Q132">
    <cfRule type="expression" dxfId="1182" priority="167" stopIfTrue="1">
      <formula>$G$201=0</formula>
    </cfRule>
  </conditionalFormatting>
  <conditionalFormatting sqref="O133:Q136 K133:M136 C133:E136 G133:I136 C141:E144 G141:I144 K141:M144 O141:Q144 C149:E152 G149:I152 K149:M152 O149:Q152 D157:E160 G157:I160 K157:M160 O157:Q160">
    <cfRule type="expression" dxfId="1181" priority="168" stopIfTrue="1">
      <formula>AND(C133=0,$B133="")</formula>
    </cfRule>
    <cfRule type="expression" dxfId="1180" priority="169" stopIfTrue="1">
      <formula>OR(ISERROR(C133),$G$201=0)</formula>
    </cfRule>
    <cfRule type="cellIs" dxfId="1179" priority="170" stopIfTrue="1" operator="equal">
      <formula>0</formula>
    </cfRule>
  </conditionalFormatting>
  <conditionalFormatting sqref="C145:E145 G145:I145 K145:M145 O145:Q145 C153:E153 G153:I153 K153:M153 O153:Q153 D161:E161 G161:I161 K161:M161 O161:Q161 C137:E137 G137:I137 K137:M137 O137:Q137">
    <cfRule type="expression" dxfId="1178" priority="171" stopIfTrue="1">
      <formula>$G$201=0</formula>
    </cfRule>
    <cfRule type="expression" dxfId="1177" priority="172" stopIfTrue="1">
      <formula>ISERROR(C137)</formula>
    </cfRule>
    <cfRule type="cellIs" dxfId="1176" priority="173" stopIfTrue="1" operator="equal">
      <formula>0</formula>
    </cfRule>
  </conditionalFormatting>
  <conditionalFormatting sqref="C122:E122 G122:I122 K122:M122 O122:Q122">
    <cfRule type="expression" dxfId="1175" priority="174" stopIfTrue="1">
      <formula>ISERROR(C122)</formula>
    </cfRule>
  </conditionalFormatting>
  <conditionalFormatting sqref="B12 B176">
    <cfRule type="expression" dxfId="1174" priority="175" stopIfTrue="1">
      <formula>OR($B$13=$F$204,AND($A12="",$T12=0))</formula>
    </cfRule>
    <cfRule type="expression" dxfId="1173" priority="176" stopIfTrue="1">
      <formula>$B$14=$B$194</formula>
    </cfRule>
    <cfRule type="expression" dxfId="1172" priority="177" stopIfTrue="1">
      <formula>A12=0</formula>
    </cfRule>
  </conditionalFormatting>
  <conditionalFormatting sqref="G97:I97 K97:M97 O97:Q97 C97:E97">
    <cfRule type="expression" dxfId="1171" priority="178" stopIfTrue="1">
      <formula>OR(C97=0,ISERROR(C97))</formula>
    </cfRule>
    <cfRule type="expression" dxfId="1170" priority="179" stopIfTrue="1">
      <formula>ISERROR(C97)</formula>
    </cfRule>
    <cfRule type="expression" dxfId="1169" priority="180" stopIfTrue="1">
      <formula>C$2=$B$194</formula>
    </cfRule>
  </conditionalFormatting>
  <conditionalFormatting sqref="C170:E170 C6:E6">
    <cfRule type="expression" dxfId="1168" priority="181" stopIfTrue="1">
      <formula>ISERROR(C6)</formula>
    </cfRule>
    <cfRule type="expression" dxfId="1167" priority="182" stopIfTrue="1">
      <formula>AND(C6=0,$F6=0)</formula>
    </cfRule>
    <cfRule type="expression" dxfId="1166" priority="183" stopIfTrue="1">
      <formula>ROUND(C6,2)=0</formula>
    </cfRule>
  </conditionalFormatting>
  <conditionalFormatting sqref="O171:Q171 O7:Q7">
    <cfRule type="expression" dxfId="1165" priority="184" stopIfTrue="1">
      <formula>ISERROR(O7)</formula>
    </cfRule>
    <cfRule type="expression" dxfId="1164" priority="185" stopIfTrue="1">
      <formula>OR(AND(O7=0,$R7=0),O$142=0)</formula>
    </cfRule>
    <cfRule type="cellIs" dxfId="1163" priority="186" stopIfTrue="1" operator="equal">
      <formula>0</formula>
    </cfRule>
  </conditionalFormatting>
  <conditionalFormatting sqref="O170:Q170 O6:Q6">
    <cfRule type="expression" dxfId="1162" priority="187" stopIfTrue="1">
      <formula>ISERROR(O6)</formula>
    </cfRule>
    <cfRule type="expression" dxfId="1161" priority="188" stopIfTrue="1">
      <formula>AND(O6=0,$R6=0)</formula>
    </cfRule>
    <cfRule type="expression" dxfId="1160" priority="189" stopIfTrue="1">
      <formula>ROUND(O6,2)=0</formula>
    </cfRule>
  </conditionalFormatting>
  <conditionalFormatting sqref="K170:M170 K6:M6">
    <cfRule type="expression" dxfId="1159" priority="190" stopIfTrue="1">
      <formula>ISERROR(K6)</formula>
    </cfRule>
    <cfRule type="expression" dxfId="1158" priority="191" stopIfTrue="1">
      <formula>AND(K6=0,$N6=0)</formula>
    </cfRule>
    <cfRule type="expression" dxfId="1157" priority="192" stopIfTrue="1">
      <formula>ROUND(K6,2)=0</formula>
    </cfRule>
  </conditionalFormatting>
  <conditionalFormatting sqref="K171:M171 K7:M7">
    <cfRule type="expression" dxfId="1156" priority="193" stopIfTrue="1">
      <formula>ISERROR(K7)</formula>
    </cfRule>
    <cfRule type="expression" dxfId="1155" priority="194" stopIfTrue="1">
      <formula>OR(AND(K7=0,$N7=0),K$142=0)</formula>
    </cfRule>
    <cfRule type="cellIs" dxfId="1154" priority="195" stopIfTrue="1" operator="equal">
      <formula>0</formula>
    </cfRule>
  </conditionalFormatting>
  <conditionalFormatting sqref="G170:I170 G6:I6">
    <cfRule type="expression" dxfId="1153" priority="196" stopIfTrue="1">
      <formula>ISERROR(G6)</formula>
    </cfRule>
    <cfRule type="expression" dxfId="1152" priority="197" stopIfTrue="1">
      <formula>AND(G6=0,$J6=0)</formula>
    </cfRule>
    <cfRule type="expression" dxfId="1151" priority="198" stopIfTrue="1">
      <formula>ROUND(G6,2)=0</formula>
    </cfRule>
  </conditionalFormatting>
  <conditionalFormatting sqref="G171:I171 G7:I7">
    <cfRule type="expression" dxfId="1150" priority="199" stopIfTrue="1">
      <formula>ISERROR(G7)</formula>
    </cfRule>
    <cfRule type="expression" dxfId="1149" priority="200" stopIfTrue="1">
      <formula>OR(AND(G7=0,$J7=0),G$142=0)</formula>
    </cfRule>
    <cfRule type="cellIs" dxfId="1148" priority="201" stopIfTrue="1" operator="equal">
      <formula>0</formula>
    </cfRule>
  </conditionalFormatting>
  <conditionalFormatting sqref="T8:T11 T172:T175">
    <cfRule type="expression" dxfId="1147" priority="202" stopIfTrue="1">
      <formula>OR(T8=0,ISERROR(T8))</formula>
    </cfRule>
    <cfRule type="expression" dxfId="1146" priority="203" stopIfTrue="1">
      <formula>ISERROR(T8)</formula>
    </cfRule>
    <cfRule type="expression" dxfId="1145" priority="204" stopIfTrue="1">
      <formula>$A8=""</formula>
    </cfRule>
  </conditionalFormatting>
  <conditionalFormatting sqref="C176:E176">
    <cfRule type="expression" dxfId="1144" priority="205" stopIfTrue="1">
      <formula>ISERROR(C176)</formula>
    </cfRule>
    <cfRule type="expression" dxfId="1143" priority="206" stopIfTrue="1">
      <formula>OR(AND(C176=0,$F176=0),C$169=0)</formula>
    </cfRule>
    <cfRule type="cellIs" dxfId="1142" priority="207" stopIfTrue="1" operator="equal">
      <formula>0</formula>
    </cfRule>
  </conditionalFormatting>
  <conditionalFormatting sqref="G176:I176">
    <cfRule type="expression" dxfId="1141" priority="208" stopIfTrue="1">
      <formula>ISERROR(G176)</formula>
    </cfRule>
    <cfRule type="expression" dxfId="1140" priority="209" stopIfTrue="1">
      <formula>OR(AND(G176=0,$J176=0),G$169=0)</formula>
    </cfRule>
    <cfRule type="cellIs" dxfId="1139" priority="210" stopIfTrue="1" operator="equal">
      <formula>0</formula>
    </cfRule>
  </conditionalFormatting>
  <conditionalFormatting sqref="K176:M176">
    <cfRule type="expression" dxfId="1138" priority="211" stopIfTrue="1">
      <formula>ISERROR(K176)</formula>
    </cfRule>
    <cfRule type="expression" dxfId="1137" priority="212" stopIfTrue="1">
      <formula>OR(AND(K176=0,$N176=0),K$169=0)</formula>
    </cfRule>
    <cfRule type="cellIs" dxfId="1136" priority="213" stopIfTrue="1" operator="equal">
      <formula>0</formula>
    </cfRule>
  </conditionalFormatting>
  <conditionalFormatting sqref="O176:Q176">
    <cfRule type="expression" dxfId="1135" priority="214" stopIfTrue="1">
      <formula>ISERROR(O176)</formula>
    </cfRule>
    <cfRule type="expression" dxfId="1134" priority="215" stopIfTrue="1">
      <formula>OR(AND(O176=0,$R176=0),O$169=0)</formula>
    </cfRule>
    <cfRule type="cellIs" dxfId="1133" priority="216" stopIfTrue="1" operator="equal">
      <formula>0</formula>
    </cfRule>
  </conditionalFormatting>
  <conditionalFormatting sqref="C12:E12">
    <cfRule type="expression" dxfId="1132" priority="217" stopIfTrue="1">
      <formula>ISERROR(C12)</formula>
    </cfRule>
    <cfRule type="expression" dxfId="1131" priority="218" stopIfTrue="1">
      <formula>OR(AND(C12=0,$F12=0),C$5=0)</formula>
    </cfRule>
    <cfRule type="cellIs" dxfId="1130" priority="219" stopIfTrue="1" operator="equal">
      <formula>0</formula>
    </cfRule>
  </conditionalFormatting>
  <conditionalFormatting sqref="G12:I12">
    <cfRule type="expression" dxfId="1129" priority="220" stopIfTrue="1">
      <formula>ISERROR(G12)</formula>
    </cfRule>
    <cfRule type="expression" dxfId="1128" priority="221" stopIfTrue="1">
      <formula>OR(AND(G12=0,$J12=0),G$5=0)</formula>
    </cfRule>
    <cfRule type="cellIs" dxfId="1127" priority="222" stopIfTrue="1" operator="equal">
      <formula>0</formula>
    </cfRule>
  </conditionalFormatting>
  <conditionalFormatting sqref="K12:M12">
    <cfRule type="expression" dxfId="1126" priority="223" stopIfTrue="1">
      <formula>ISERROR(K12)</formula>
    </cfRule>
    <cfRule type="expression" dxfId="1125" priority="224" stopIfTrue="1">
      <formula>OR(AND(K12=0,$N12=0),K$5=0)</formula>
    </cfRule>
    <cfRule type="cellIs" dxfId="1124" priority="225" stopIfTrue="1" operator="equal">
      <formula>0</formula>
    </cfRule>
  </conditionalFormatting>
  <conditionalFormatting sqref="O12:Q12">
    <cfRule type="expression" dxfId="1123" priority="226" stopIfTrue="1">
      <formula>ISERROR(O12)</formula>
    </cfRule>
    <cfRule type="expression" dxfId="1122" priority="227" stopIfTrue="1">
      <formula>OR(AND(O12=0,$R12=0),O$5=0)</formula>
    </cfRule>
    <cfRule type="cellIs" dxfId="1121" priority="228" stopIfTrue="1" operator="equal">
      <formula>0</formula>
    </cfRule>
  </conditionalFormatting>
  <conditionalFormatting sqref="C120:E120">
    <cfRule type="expression" dxfId="1120" priority="229" stopIfTrue="1">
      <formula>ISERROR($C$201)</formula>
    </cfRule>
    <cfRule type="expression" dxfId="1119" priority="230" stopIfTrue="1">
      <formula>OR(ISERROR(C120),AND(C120=0,$F120=0,$F$5=0))</formula>
    </cfRule>
    <cfRule type="expression" dxfId="1118" priority="231" stopIfTrue="1">
      <formula>AND(C118=0,ROUND(C120,2)=0)</formula>
    </cfRule>
  </conditionalFormatting>
  <conditionalFormatting sqref="O120:Q120">
    <cfRule type="expression" dxfId="1117" priority="232" stopIfTrue="1">
      <formula>ISERROR($C$201)</formula>
    </cfRule>
    <cfRule type="expression" dxfId="1116" priority="233" stopIfTrue="1">
      <formula>OR(ISERROR(O120),AND(O120=0,$R120=0,$R$5=0))</formula>
    </cfRule>
    <cfRule type="expression" dxfId="1115" priority="234" stopIfTrue="1">
      <formula>AND(O118=0,ROUND(O120,2)=0)</formula>
    </cfRule>
  </conditionalFormatting>
  <conditionalFormatting sqref="K120:M120">
    <cfRule type="expression" dxfId="1114" priority="235" stopIfTrue="1">
      <formula>ISERROR($C$201)</formula>
    </cfRule>
    <cfRule type="expression" dxfId="1113" priority="236" stopIfTrue="1">
      <formula>OR(ISERROR(K120),AND(K120=0,$N120=0,$N$5=0))</formula>
    </cfRule>
    <cfRule type="expression" dxfId="1112" priority="237" stopIfTrue="1">
      <formula>AND(K118=0,ROUND(K120,2)=0)</formula>
    </cfRule>
  </conditionalFormatting>
  <conditionalFormatting sqref="G120:I120">
    <cfRule type="expression" dxfId="1111" priority="238" stopIfTrue="1">
      <formula>ISERROR($C$201)</formula>
    </cfRule>
    <cfRule type="expression" dxfId="1110" priority="239" stopIfTrue="1">
      <formula>OR(ISERROR(G120),AND(G120=0,$J120=0,$J$5=0))</formula>
    </cfRule>
    <cfRule type="expression" dxfId="1109" priority="240" stopIfTrue="1">
      <formula>AND(G118=0,ROUND(G120,2)=0)</formula>
    </cfRule>
  </conditionalFormatting>
  <conditionalFormatting sqref="C8:E11 G8:I11 K8:M11 O8:Q11">
    <cfRule type="expression" dxfId="1108" priority="241" stopIfTrue="1">
      <formula>ISERROR(C8)</formula>
    </cfRule>
    <cfRule type="expression" dxfId="1107" priority="242" stopIfTrue="1">
      <formula>OR(C$5=0,$B8="")</formula>
    </cfRule>
    <cfRule type="cellIs" dxfId="1106" priority="243" stopIfTrue="1" operator="equal">
      <formula>0</formula>
    </cfRule>
  </conditionalFormatting>
  <conditionalFormatting sqref="C172:E175 G172:I175 K172:M175 O172:Q175">
    <cfRule type="expression" dxfId="1105" priority="244" stopIfTrue="1">
      <formula>ISERROR(C172)</formula>
    </cfRule>
    <cfRule type="expression" dxfId="1104" priority="245" stopIfTrue="1">
      <formula>OR(C$169=0,$B172="")</formula>
    </cfRule>
    <cfRule type="cellIs" dxfId="1103" priority="246" stopIfTrue="1" operator="equal">
      <formula>0</formula>
    </cfRule>
  </conditionalFormatting>
  <conditionalFormatting sqref="C13:E13 G13:I13 K13:M13 O13:Q13 O177:Q177 K177:M177 G177:I177 C177:E177">
    <cfRule type="expression" dxfId="1102" priority="247" stopIfTrue="1">
      <formula>ISERROR(C13)</formula>
    </cfRule>
    <cfRule type="expression" dxfId="1101" priority="248" stopIfTrue="1">
      <formula>C5=0</formula>
    </cfRule>
  </conditionalFormatting>
  <conditionalFormatting sqref="F8:F11 J8:J11 N8:N11 R8:R11">
    <cfRule type="expression" dxfId="1100" priority="249" stopIfTrue="1">
      <formula>F$5=0</formula>
    </cfRule>
    <cfRule type="expression" dxfId="1099" priority="250" stopIfTrue="1">
      <formula>ISERROR(F8)</formula>
    </cfRule>
    <cfRule type="expression" dxfId="1098" priority="251" stopIfTrue="1">
      <formula>$A8=""</formula>
    </cfRule>
  </conditionalFormatting>
  <conditionalFormatting sqref="F172:F175 J172:J175 N172:N175 R172:R175">
    <cfRule type="expression" dxfId="1097" priority="252" stopIfTrue="1">
      <formula>F$169=0</formula>
    </cfRule>
    <cfRule type="expression" dxfId="1096" priority="253" stopIfTrue="1">
      <formula>ISERROR(F172)</formula>
    </cfRule>
    <cfRule type="expression" dxfId="1095" priority="254" stopIfTrue="1">
      <formula>$A172=""</formula>
    </cfRule>
  </conditionalFormatting>
  <conditionalFormatting sqref="R177 N177 J177 F177 F13 J13 N13 R13">
    <cfRule type="expression" dxfId="1094" priority="255" stopIfTrue="1">
      <formula>ISERROR(F13)</formula>
    </cfRule>
    <cfRule type="expression" dxfId="1093" priority="256" stopIfTrue="1">
      <formula>F5=0</formula>
    </cfRule>
  </conditionalFormatting>
  <conditionalFormatting sqref="T162">
    <cfRule type="expression" dxfId="1092" priority="257" stopIfTrue="1">
      <formula>T162="OK"</formula>
    </cfRule>
  </conditionalFormatting>
  <conditionalFormatting sqref="T157:T160">
    <cfRule type="expression" dxfId="1091" priority="258" stopIfTrue="1">
      <formula>AND($B157="",$T157=0)</formula>
    </cfRule>
  </conditionalFormatting>
  <dataValidations count="1">
    <dataValidation type="list" allowBlank="1" showInputMessage="1" showErrorMessage="1" sqref="B13">
      <formula1>$F$203:$F$204</formula1>
    </dataValidation>
  </dataValidations>
  <pageMargins left="0.31496062992125984" right="0" top="0.31496062992125984" bottom="0.19685039370078741" header="0.51181102362204722" footer="0.19685039370078741"/>
  <pageSetup paperSize="9" scale="75" fitToWidth="2" fitToHeight="2" orientation="portrait" r:id="rId1"/>
  <headerFooter alignWithMargins="0"/>
  <rowBreaks count="3" manualBreakCount="3">
    <brk id="60" max="16383" man="1"/>
    <brk id="114" max="16383" man="1"/>
    <brk id="165" max="16383" man="1"/>
  </rowBreaks>
  <colBreaks count="1" manualBreakCount="1">
    <brk id="10"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6"/>
  <dimension ref="A1:BK487"/>
  <sheetViews>
    <sheetView showGridLines="0" showRowColHeaders="0" workbookViewId="0">
      <selection activeCell="B5" sqref="B5:C5"/>
    </sheetView>
  </sheetViews>
  <sheetFormatPr defaultRowHeight="12.75" x14ac:dyDescent="0.2"/>
  <cols>
    <col min="1" max="1" width="7.140625" style="33" customWidth="1"/>
    <col min="2" max="2" width="10.7109375" style="33" customWidth="1"/>
    <col min="3" max="3" width="18.5703125" style="33" customWidth="1"/>
    <col min="4" max="5" width="14.28515625" style="33" customWidth="1"/>
    <col min="6" max="6" width="18.5703125" style="33" customWidth="1"/>
    <col min="7" max="9" width="14.28515625" style="33" customWidth="1"/>
    <col min="10" max="11" width="5.7109375" style="33" customWidth="1"/>
    <col min="12" max="15" width="13.5703125" style="33" hidden="1" customWidth="1"/>
    <col min="16" max="16" width="9.140625" style="33" hidden="1" customWidth="1"/>
    <col min="17" max="26" width="1.42578125" style="33" customWidth="1"/>
    <col min="27" max="27" width="0.85546875" style="33" customWidth="1"/>
    <col min="28" max="37" width="1.42578125" style="33" customWidth="1"/>
    <col min="38" max="38" width="5" style="33" customWidth="1"/>
    <col min="39" max="48" width="1.42578125" style="33" customWidth="1"/>
    <col min="49" max="49" width="0.85546875" style="33" customWidth="1"/>
    <col min="50" max="59" width="1.42578125" style="33" customWidth="1"/>
    <col min="60" max="60" width="4.28515625" style="33" customWidth="1"/>
    <col min="61" max="61" width="10" style="33" hidden="1" customWidth="1"/>
    <col min="62" max="63" width="0" style="33" hidden="1" customWidth="1"/>
    <col min="64" max="16384" width="9.140625" style="33"/>
  </cols>
  <sheetData>
    <row r="1" spans="1:63" ht="6.75" customHeight="1" x14ac:dyDescent="0.2">
      <c r="A1" s="487"/>
      <c r="B1" s="32"/>
      <c r="C1" s="32"/>
      <c r="D1" s="32"/>
      <c r="E1" s="32"/>
      <c r="F1" s="32"/>
      <c r="G1" s="32"/>
      <c r="H1" s="32"/>
      <c r="I1" s="32"/>
      <c r="J1" s="32"/>
      <c r="K1" s="32"/>
      <c r="L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row>
    <row r="2" spans="1:63" ht="30" customHeight="1" x14ac:dyDescent="0.2">
      <c r="A2" s="32"/>
      <c r="B2" s="2600" t="s">
        <v>838</v>
      </c>
      <c r="C2" s="2600"/>
      <c r="D2" s="2600"/>
      <c r="E2" s="2600"/>
      <c r="F2" s="414"/>
      <c r="G2" s="414"/>
      <c r="H2" s="414"/>
      <c r="I2" s="915" t="str">
        <f>GEN!H3</f>
        <v>Devi convalidare il foglio IMPOSTAZIONI</v>
      </c>
      <c r="J2" s="127"/>
      <c r="K2" s="32"/>
      <c r="L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row>
    <row r="3" spans="1:63" ht="25.5" customHeight="1" x14ac:dyDescent="0.2">
      <c r="A3" s="32"/>
      <c r="B3" s="1645" t="s">
        <v>785</v>
      </c>
      <c r="C3" s="1645"/>
      <c r="D3" s="1645"/>
      <c r="E3" s="1645"/>
      <c r="F3" s="1645"/>
      <c r="G3" s="1645"/>
      <c r="H3" s="1645"/>
      <c r="I3" s="1645"/>
      <c r="J3" s="1645"/>
      <c r="K3" s="32"/>
      <c r="L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row>
    <row r="4" spans="1:63" ht="19.5" customHeight="1" x14ac:dyDescent="0.2">
      <c r="A4" s="32"/>
      <c r="B4" s="32"/>
      <c r="C4" s="32"/>
      <c r="D4" s="776" t="s">
        <v>476</v>
      </c>
      <c r="E4" s="776" t="s">
        <v>259</v>
      </c>
      <c r="F4" s="32"/>
      <c r="G4" s="32"/>
      <c r="H4" s="32"/>
      <c r="I4" s="32"/>
      <c r="J4" s="32"/>
      <c r="K4" s="32"/>
      <c r="L4" s="32"/>
      <c r="M4" s="54"/>
      <c r="N4" s="54"/>
      <c r="O4" s="54"/>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row>
    <row r="5" spans="1:63" ht="19.5" customHeight="1" x14ac:dyDescent="0.2">
      <c r="A5" s="32"/>
      <c r="B5" s="2601" t="s">
        <v>623</v>
      </c>
      <c r="C5" s="2601"/>
      <c r="D5" s="770"/>
      <c r="E5" s="771"/>
      <c r="F5" s="796" t="str">
        <f>IF(AND(B5=F118,D5&gt;0,E5&gt;0,D5&gt;E5),B119,"")</f>
        <v/>
      </c>
      <c r="G5" s="415">
        <f>COUNTIF(CASSA!AM114:AM479,"X")</f>
        <v>0</v>
      </c>
      <c r="H5" s="410" t="s">
        <v>532</v>
      </c>
      <c r="I5" s="416">
        <f>E5-D5+1</f>
        <v>1</v>
      </c>
      <c r="J5" s="32"/>
      <c r="K5" s="32"/>
      <c r="L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row>
    <row r="6" spans="1:63" ht="6" customHeight="1" x14ac:dyDescent="0.2">
      <c r="A6" s="32"/>
      <c r="B6" s="130"/>
      <c r="D6" s="517"/>
      <c r="E6" s="517"/>
      <c r="F6" s="517"/>
      <c r="G6" s="795"/>
      <c r="H6" s="795"/>
      <c r="I6" s="795"/>
      <c r="J6" s="412"/>
      <c r="K6" s="32"/>
      <c r="L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row>
    <row r="7" spans="1:63" ht="19.5" customHeight="1" x14ac:dyDescent="0.2">
      <c r="A7" s="32"/>
      <c r="B7" s="2602" t="s">
        <v>640</v>
      </c>
      <c r="C7" s="2603"/>
      <c r="D7" s="768"/>
      <c r="E7" s="769"/>
      <c r="F7" s="796" t="str">
        <f>IF(AND(B5=F119,D7&gt;0,E7&gt;0,D7&gt;E7),B119,"")</f>
        <v/>
      </c>
      <c r="G7" s="415">
        <f>COUNTIF(CASSA!CI114:CI479,"X")</f>
        <v>0</v>
      </c>
      <c r="H7" s="410" t="s">
        <v>532</v>
      </c>
      <c r="I7" s="416">
        <f>(E7-D7+1)*7</f>
        <v>7</v>
      </c>
      <c r="J7" s="32"/>
      <c r="K7" s="32"/>
      <c r="L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row>
    <row r="8" spans="1:63" ht="16.5" customHeight="1" x14ac:dyDescent="0.2">
      <c r="A8" s="32"/>
      <c r="B8" s="802"/>
      <c r="C8" s="123"/>
      <c r="D8" s="517"/>
      <c r="E8" s="517"/>
      <c r="F8" s="803" t="str">
        <f>VLOOKUP(B5,F118:G119,2,FALSE)</f>
        <v>Settimana</v>
      </c>
      <c r="G8" s="778" t="e">
        <f>IF(B5=F118,CONCATENATE(VLOOKUP(D5,CASSA!E114:L479,8,FALSE)," °"),VLOOKUP(D7,CASSA!L114:Q479,6,FALSE))</f>
        <v>#N/A</v>
      </c>
      <c r="H8" s="779" t="str">
        <f>VLOOKUP(F8,G118:I119,3,FALSE)</f>
        <v>dalla  /  alla</v>
      </c>
      <c r="I8" s="427" t="e">
        <f>IF(B5=F118,CONCATENATE(VLOOKUP(E5,CASSA!E114:L479,8,FALSE)," °"),VLOOKUP(E7,CASSA!L114:Q479,6,FALSE)+6)</f>
        <v>#N/A</v>
      </c>
      <c r="J8" s="412"/>
      <c r="K8" s="32"/>
      <c r="L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c r="BA8" s="32"/>
      <c r="BB8" s="32"/>
      <c r="BC8" s="32"/>
      <c r="BD8" s="32"/>
      <c r="BE8" s="32"/>
      <c r="BF8" s="32"/>
      <c r="BG8" s="32"/>
      <c r="BH8" s="32"/>
    </row>
    <row r="9" spans="1:63" ht="16.5" customHeight="1" x14ac:dyDescent="0.2">
      <c r="A9" s="32"/>
      <c r="B9" s="32"/>
      <c r="C9" s="2607" t="s">
        <v>372</v>
      </c>
      <c r="D9" s="2607"/>
      <c r="E9" s="2607"/>
      <c r="F9" s="413"/>
      <c r="G9" s="123"/>
      <c r="H9" s="123"/>
      <c r="I9" s="123"/>
      <c r="J9" s="32"/>
      <c r="K9" s="32"/>
      <c r="L9" s="32"/>
      <c r="M9" s="54"/>
      <c r="N9" s="777"/>
      <c r="O9" s="777"/>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row>
    <row r="10" spans="1:63" ht="19.5" customHeight="1" x14ac:dyDescent="0.2">
      <c r="A10" s="32"/>
      <c r="B10" s="32"/>
      <c r="C10" s="2608" t="s">
        <v>627</v>
      </c>
      <c r="D10" s="2608"/>
      <c r="E10" s="2608"/>
      <c r="F10" s="411"/>
      <c r="G10" s="778">
        <f>CASSA!CH482</f>
        <v>0</v>
      </c>
      <c r="H10" s="779" t="s">
        <v>628</v>
      </c>
      <c r="I10" s="427">
        <f>IF(AND(C11=J141,E13&lt;&gt;""),VLOOKUP(E13,B124:E135,4,FALSE),CASSA!CH481)</f>
        <v>0</v>
      </c>
      <c r="J10" s="427"/>
      <c r="K10" s="32"/>
      <c r="L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row>
    <row r="11" spans="1:63" ht="19.5" customHeight="1" x14ac:dyDescent="0.2">
      <c r="A11" s="32"/>
      <c r="B11" s="32"/>
      <c r="C11" s="2604"/>
      <c r="D11" s="2605"/>
      <c r="E11" s="2606"/>
      <c r="F11" s="411"/>
      <c r="G11" s="424" t="str">
        <f>IF(I11="","",CASSA!CG482)</f>
        <v/>
      </c>
      <c r="H11" s="425" t="s">
        <v>532</v>
      </c>
      <c r="I11" s="426" t="str">
        <f>IF(ISERROR(VLOOKUP(VLOOKUP(TRUE,J127:L131,3,FALSE),L127:M131,2,FALSE)),"",VLOOKUP(VLOOKUP(TRUE,J127:L131,3,FALSE),L127:M131,2,FALSE))</f>
        <v/>
      </c>
      <c r="J11" s="545" t="e">
        <f>VLOOKUP(C11,J140:L145,3,FALSE)</f>
        <v>#N/A</v>
      </c>
      <c r="K11" s="32"/>
      <c r="L11" s="32"/>
      <c r="Q11" s="2615" t="s">
        <v>39</v>
      </c>
      <c r="R11" s="2615"/>
      <c r="S11" s="2615"/>
      <c r="T11" s="2615"/>
      <c r="U11" s="2615"/>
      <c r="V11" s="2615"/>
      <c r="W11" s="2615"/>
      <c r="X11" s="2615"/>
      <c r="Y11" s="2615"/>
      <c r="Z11" s="2615"/>
      <c r="AA11" s="2615"/>
      <c r="AB11" s="2615"/>
      <c r="AC11" s="2615"/>
      <c r="AD11" s="2615"/>
      <c r="AE11" s="2615"/>
      <c r="AF11" s="2615"/>
      <c r="AG11" s="2615"/>
      <c r="AH11" s="2615"/>
      <c r="AI11" s="2615"/>
      <c r="AJ11" s="2615"/>
      <c r="AK11" s="2615"/>
      <c r="AL11" s="1381"/>
      <c r="AM11" s="2615" t="s">
        <v>40</v>
      </c>
      <c r="AN11" s="2615"/>
      <c r="AO11" s="2615"/>
      <c r="AP11" s="2615"/>
      <c r="AQ11" s="2615"/>
      <c r="AR11" s="2615"/>
      <c r="AS11" s="2615"/>
      <c r="AT11" s="2615"/>
      <c r="AU11" s="2615"/>
      <c r="AV11" s="2615"/>
      <c r="AW11" s="2615"/>
      <c r="AX11" s="2615"/>
      <c r="AY11" s="2615"/>
      <c r="AZ11" s="2615"/>
      <c r="BA11" s="2615"/>
      <c r="BB11" s="2615"/>
      <c r="BC11" s="2615"/>
      <c r="BD11" s="2615"/>
      <c r="BE11" s="2615"/>
      <c r="BF11" s="2615"/>
      <c r="BG11" s="2615"/>
      <c r="BH11" s="32"/>
    </row>
    <row r="12" spans="1:63" ht="19.5" customHeight="1" x14ac:dyDescent="0.2">
      <c r="A12" s="32"/>
      <c r="B12" s="32"/>
      <c r="C12" s="434"/>
      <c r="D12" s="434"/>
      <c r="E12" s="435" t="s">
        <v>534</v>
      </c>
      <c r="F12" s="165"/>
      <c r="G12" s="428" t="s">
        <v>476</v>
      </c>
      <c r="H12" s="32"/>
      <c r="I12" s="425" t="s">
        <v>259</v>
      </c>
      <c r="J12" s="617">
        <f>IF(AND(G13&gt;0,I13&gt;0),IF(G13&gt;I13,"ERROR",0),0)</f>
        <v>0</v>
      </c>
      <c r="K12" s="32"/>
      <c r="L12" s="32"/>
      <c r="Q12" s="2616" t="s">
        <v>41</v>
      </c>
      <c r="R12" s="2616"/>
      <c r="S12" s="2616"/>
      <c r="T12" s="2616"/>
      <c r="U12" s="2616"/>
      <c r="V12" s="2616"/>
      <c r="W12" s="2616"/>
      <c r="X12" s="2616"/>
      <c r="Y12" s="2616"/>
      <c r="Z12" s="2616"/>
      <c r="AA12" s="2616"/>
      <c r="AB12" s="2616"/>
      <c r="AC12" s="2616"/>
      <c r="AD12" s="2616"/>
      <c r="AE12" s="2616"/>
      <c r="AF12" s="2616"/>
      <c r="AG12" s="2616"/>
      <c r="AH12" s="2616"/>
      <c r="AI12" s="2616"/>
      <c r="AJ12" s="2616"/>
      <c r="AK12" s="2616"/>
      <c r="AL12" s="32"/>
      <c r="AM12" s="2617" t="s">
        <v>42</v>
      </c>
      <c r="AN12" s="2617"/>
      <c r="AO12" s="2617"/>
      <c r="AP12" s="2617"/>
      <c r="AQ12" s="2617"/>
      <c r="AR12" s="2617"/>
      <c r="AS12" s="2617"/>
      <c r="AT12" s="2617"/>
      <c r="AU12" s="2617"/>
      <c r="AV12" s="2617"/>
      <c r="AW12" s="2617"/>
      <c r="AX12" s="2617"/>
      <c r="AY12" s="2617"/>
      <c r="AZ12" s="2617"/>
      <c r="BA12" s="2617"/>
      <c r="BB12" s="2617"/>
      <c r="BC12" s="2617"/>
      <c r="BD12" s="2617"/>
      <c r="BE12" s="2617"/>
      <c r="BF12" s="2617"/>
      <c r="BG12" s="2617"/>
      <c r="BH12" s="32"/>
    </row>
    <row r="13" spans="1:63" ht="19.5" customHeight="1" x14ac:dyDescent="0.2">
      <c r="A13" s="32"/>
      <c r="B13" s="32"/>
      <c r="C13" s="1417" t="e">
        <f>C136</f>
        <v>#N/A</v>
      </c>
      <c r="D13" s="880"/>
      <c r="E13" s="436"/>
      <c r="F13" s="545">
        <f>IF(C$11=J141,1,0)</f>
        <v>0</v>
      </c>
      <c r="G13" s="437"/>
      <c r="H13" s="433" t="s">
        <v>534</v>
      </c>
      <c r="I13" s="437"/>
      <c r="J13" s="545">
        <f>IF(C$11=J142,1,0)</f>
        <v>0</v>
      </c>
      <c r="K13" s="32"/>
      <c r="L13" s="32"/>
      <c r="Q13" s="2618" t="s">
        <v>43</v>
      </c>
      <c r="R13" s="2618"/>
      <c r="S13" s="2618"/>
      <c r="T13" s="2618"/>
      <c r="U13" s="2618"/>
      <c r="V13" s="2618"/>
      <c r="W13" s="2618"/>
      <c r="X13" s="2618"/>
      <c r="Y13" s="2618"/>
      <c r="Z13" s="2618"/>
      <c r="AA13" s="2618"/>
      <c r="AB13" s="2618"/>
      <c r="AC13" s="2618"/>
      <c r="AD13" s="2618"/>
      <c r="AE13" s="2618"/>
      <c r="AF13" s="2618"/>
      <c r="AG13" s="2618"/>
      <c r="AH13" s="2618"/>
      <c r="AI13" s="2618"/>
      <c r="AJ13" s="2618"/>
      <c r="AK13" s="2618"/>
      <c r="AL13" s="32"/>
      <c r="AM13" s="2619" t="s">
        <v>44</v>
      </c>
      <c r="AN13" s="2619"/>
      <c r="AO13" s="2619"/>
      <c r="AP13" s="2619"/>
      <c r="AQ13" s="2619"/>
      <c r="AR13" s="2619"/>
      <c r="AS13" s="2619"/>
      <c r="AT13" s="2619"/>
      <c r="AU13" s="2619"/>
      <c r="AV13" s="2619"/>
      <c r="AW13" s="2619"/>
      <c r="AX13" s="2619"/>
      <c r="AY13" s="2619"/>
      <c r="AZ13" s="2619"/>
      <c r="BA13" s="2619"/>
      <c r="BB13" s="2619"/>
      <c r="BC13" s="2619"/>
      <c r="BD13" s="2619"/>
      <c r="BE13" s="2619"/>
      <c r="BF13" s="2619"/>
      <c r="BG13" s="2619"/>
      <c r="BH13" s="32"/>
    </row>
    <row r="14" spans="1:63" ht="19.5" customHeight="1" x14ac:dyDescent="0.2">
      <c r="A14" s="32"/>
      <c r="B14" s="32"/>
      <c r="C14" s="1418" t="e">
        <f>C137</f>
        <v>#N/A</v>
      </c>
      <c r="D14" s="468"/>
      <c r="E14" s="411"/>
      <c r="F14" s="411"/>
      <c r="G14" s="428" t="s">
        <v>476</v>
      </c>
      <c r="H14" s="32"/>
      <c r="I14" s="425" t="s">
        <v>259</v>
      </c>
      <c r="J14" s="617">
        <f>IF(AND($G15&gt;0,$I15&gt;0),IF($G15&gt;$I15,$B$119,0),0)</f>
        <v>0</v>
      </c>
      <c r="K14" s="32"/>
      <c r="L14" s="32"/>
      <c r="Q14" s="2609" t="s">
        <v>45</v>
      </c>
      <c r="R14" s="2609"/>
      <c r="S14" s="2609"/>
      <c r="T14" s="2609"/>
      <c r="U14" s="2609"/>
      <c r="V14" s="2609"/>
      <c r="W14" s="2609"/>
      <c r="X14" s="2609"/>
      <c r="Y14" s="2609"/>
      <c r="Z14" s="2609"/>
      <c r="AA14" s="2609"/>
      <c r="AB14" s="2609"/>
      <c r="AC14" s="2609"/>
      <c r="AD14" s="2609"/>
      <c r="AE14" s="2609"/>
      <c r="AF14" s="2609"/>
      <c r="AG14" s="2609"/>
      <c r="AH14" s="2609"/>
      <c r="AI14" s="2609"/>
      <c r="AJ14" s="2609"/>
      <c r="AK14" s="2609"/>
      <c r="AL14" s="32"/>
      <c r="AM14" s="32"/>
      <c r="AN14" s="32"/>
      <c r="AO14" s="32"/>
      <c r="AP14" s="32"/>
      <c r="AQ14" s="32"/>
      <c r="AR14" s="32"/>
      <c r="AS14" s="32"/>
      <c r="AT14" s="32"/>
      <c r="AU14" s="32"/>
      <c r="AV14" s="32"/>
      <c r="AW14" s="32"/>
      <c r="AX14" s="32"/>
      <c r="AY14" s="32"/>
      <c r="AZ14" s="32"/>
      <c r="BA14" s="32"/>
      <c r="BB14" s="32"/>
      <c r="BC14" s="32"/>
      <c r="BD14" s="32"/>
      <c r="BE14" s="32"/>
      <c r="BF14" s="32"/>
      <c r="BG14" s="32"/>
      <c r="BH14" s="32"/>
    </row>
    <row r="15" spans="1:63" ht="19.5" customHeight="1" x14ac:dyDescent="0.2">
      <c r="A15" s="32"/>
      <c r="B15" s="32"/>
      <c r="C15" s="475"/>
      <c r="D15" s="468"/>
      <c r="E15" s="411"/>
      <c r="F15" s="411"/>
      <c r="G15" s="805"/>
      <c r="H15" s="433" t="s">
        <v>534</v>
      </c>
      <c r="I15" s="805"/>
      <c r="J15" s="545">
        <f>IF(C$11=J143,1,0)</f>
        <v>0</v>
      </c>
      <c r="K15" s="32"/>
      <c r="L15" s="32"/>
      <c r="Q15" s="2613" t="s">
        <v>30</v>
      </c>
      <c r="R15" s="2613"/>
      <c r="S15" s="2613"/>
      <c r="T15" s="2613"/>
      <c r="U15" s="2613"/>
      <c r="V15" s="2613"/>
      <c r="W15" s="2613"/>
      <c r="X15" s="2613"/>
      <c r="Y15" s="2613"/>
      <c r="Z15" s="2613"/>
      <c r="AA15" s="2614"/>
      <c r="AB15" s="2610" t="s">
        <v>775</v>
      </c>
      <c r="AC15" s="2611"/>
      <c r="AD15" s="2611"/>
      <c r="AE15" s="2611"/>
      <c r="AF15" s="2611"/>
      <c r="AG15" s="2611"/>
      <c r="AH15" s="2611"/>
      <c r="AI15" s="2612"/>
      <c r="AJ15" s="32"/>
      <c r="AK15" s="32"/>
      <c r="AL15" s="32"/>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32"/>
    </row>
    <row r="16" spans="1:63" ht="19.5" customHeight="1" x14ac:dyDescent="0.2">
      <c r="A16" s="32"/>
      <c r="B16" s="32"/>
      <c r="C16" s="780" t="s">
        <v>629</v>
      </c>
      <c r="D16" s="775" t="s">
        <v>630</v>
      </c>
      <c r="E16" s="781" t="s">
        <v>631</v>
      </c>
      <c r="F16" s="411"/>
      <c r="G16" s="772"/>
      <c r="H16" s="32"/>
      <c r="I16" s="772"/>
      <c r="J16" s="32"/>
      <c r="K16" s="32"/>
      <c r="L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row>
    <row r="17" spans="1:63" ht="19.5" customHeight="1" x14ac:dyDescent="0.2">
      <c r="A17" s="32"/>
      <c r="B17" s="32"/>
      <c r="C17" s="467"/>
      <c r="D17" s="773" t="s">
        <v>370</v>
      </c>
      <c r="E17" s="413" t="s">
        <v>638</v>
      </c>
      <c r="F17" s="2599" t="s">
        <v>632</v>
      </c>
      <c r="G17" s="2599"/>
      <c r="H17" s="2599" t="s">
        <v>773</v>
      </c>
      <c r="I17" s="2599"/>
      <c r="J17" s="32"/>
      <c r="K17" s="32"/>
      <c r="L17" s="32"/>
      <c r="N17" s="1071">
        <f>MAX(O17,O31,O44,O57,O83)</f>
        <v>0</v>
      </c>
      <c r="O17" s="1071">
        <f>IF(AB15="",0,MAX(D19:E27))</f>
        <v>0</v>
      </c>
      <c r="P17" s="32"/>
      <c r="Q17" s="1077"/>
      <c r="R17" s="2590" t="s">
        <v>587</v>
      </c>
      <c r="S17" s="2590"/>
      <c r="T17" s="2590"/>
      <c r="U17" s="2590"/>
      <c r="V17" s="2590"/>
      <c r="W17" s="2590"/>
      <c r="X17" s="2590"/>
      <c r="Y17" s="2590"/>
      <c r="Z17" s="2590"/>
      <c r="AB17" s="2591">
        <f>IF(AB$15=F$115,N17/10,O17/10)</f>
        <v>0</v>
      </c>
      <c r="AC17" s="2591"/>
      <c r="AD17" s="2591"/>
      <c r="AE17" s="2591"/>
      <c r="AF17" s="2591"/>
      <c r="AG17" s="2591"/>
      <c r="AH17" s="2591"/>
      <c r="AI17" s="2591"/>
      <c r="AJ17" s="2591"/>
      <c r="AK17" s="2591"/>
      <c r="AL17" s="32"/>
      <c r="AM17" s="1077"/>
      <c r="AN17" s="2590" t="s">
        <v>772</v>
      </c>
      <c r="AO17" s="2590"/>
      <c r="AP17" s="2590"/>
      <c r="AQ17" s="2590"/>
      <c r="AR17" s="2590"/>
      <c r="AS17" s="2590"/>
      <c r="AT17" s="2590"/>
      <c r="AU17" s="2590"/>
      <c r="AV17" s="2590"/>
      <c r="AX17" s="2589">
        <v>10</v>
      </c>
      <c r="AY17" s="2589"/>
      <c r="AZ17" s="2589"/>
      <c r="BA17" s="2589"/>
      <c r="BB17" s="2589"/>
      <c r="BC17" s="2589"/>
      <c r="BD17" s="2589"/>
      <c r="BE17" s="2589"/>
      <c r="BF17" s="2589"/>
      <c r="BG17" s="2589"/>
      <c r="BH17" s="32"/>
      <c r="BI17" s="32"/>
      <c r="BJ17" s="32"/>
      <c r="BK17" s="32"/>
    </row>
    <row r="18" spans="1:63" ht="19.5" customHeight="1" x14ac:dyDescent="0.2">
      <c r="A18" s="32"/>
      <c r="B18" s="32"/>
      <c r="C18" s="789" t="s">
        <v>636</v>
      </c>
      <c r="D18" s="774" t="s">
        <v>394</v>
      </c>
      <c r="E18" s="411" t="e">
        <f>VLOOKUP(TRUE,J127:K131,2,FALSE)</f>
        <v>#N/A</v>
      </c>
      <c r="F18" s="782" t="s">
        <v>633</v>
      </c>
      <c r="G18" s="783" t="s">
        <v>631</v>
      </c>
      <c r="H18" s="782" t="s">
        <v>634</v>
      </c>
      <c r="I18" s="783" t="s">
        <v>635</v>
      </c>
      <c r="J18" s="32"/>
      <c r="K18" s="32"/>
      <c r="L18" s="32"/>
      <c r="N18" s="123"/>
      <c r="O18" s="1072"/>
      <c r="P18" s="32"/>
      <c r="Q18" s="1068"/>
      <c r="R18" s="1068"/>
      <c r="S18" s="1069"/>
      <c r="T18" s="123"/>
      <c r="U18" s="123"/>
      <c r="V18" s="123"/>
      <c r="W18" s="123"/>
      <c r="X18" s="123"/>
      <c r="Y18" s="123"/>
      <c r="Z18" s="123"/>
      <c r="AA18" s="123"/>
      <c r="AB18" s="123"/>
      <c r="AC18" s="32"/>
      <c r="AD18" s="32"/>
      <c r="AE18" s="32"/>
      <c r="AF18" s="32"/>
      <c r="AG18" s="32"/>
      <c r="AH18" s="32"/>
      <c r="AI18" s="32"/>
      <c r="AJ18" s="32"/>
      <c r="AK18" s="32"/>
      <c r="AL18" s="32"/>
      <c r="AM18" s="1068"/>
      <c r="AN18" s="1068"/>
      <c r="AO18" s="1069"/>
      <c r="AP18" s="123"/>
      <c r="AQ18" s="123"/>
      <c r="AR18" s="123"/>
      <c r="AS18" s="123"/>
      <c r="AT18" s="123"/>
      <c r="AU18" s="123"/>
      <c r="AV18" s="123"/>
      <c r="AW18" s="123"/>
      <c r="AX18" s="123"/>
      <c r="AY18" s="32"/>
      <c r="AZ18" s="32"/>
      <c r="BA18" s="32"/>
      <c r="BB18" s="32"/>
      <c r="BC18" s="32"/>
      <c r="BD18" s="32"/>
      <c r="BE18" s="32"/>
      <c r="BF18" s="32"/>
      <c r="BG18" s="32"/>
      <c r="BH18" s="32"/>
      <c r="BI18" s="32"/>
      <c r="BJ18" s="32"/>
      <c r="BK18" s="32"/>
    </row>
    <row r="19" spans="1:63" ht="19.5" customHeight="1" x14ac:dyDescent="0.2">
      <c r="A19" s="32"/>
      <c r="B19" s="32"/>
      <c r="C19" s="422" t="str">
        <f>RIEPILOGO!B5</f>
        <v>LORDO</v>
      </c>
      <c r="D19" s="513">
        <f>SUMIF(CASSA!AM114:AM479,"X",CASSA!G114:G479)+SUMIF(CASSA!AM114:AM479,"X",CASSA!CJ114:CJ479)-D85</f>
        <v>0</v>
      </c>
      <c r="E19" s="512">
        <f>SUMIF(CASSA!AL114:AL479,"Y",CASSA!G114:G479)+SUMIF(CASSA!AL114:AL479,"Y",CASSA!CJ114:CJ479)-E85</f>
        <v>0</v>
      </c>
      <c r="F19" s="784" t="e">
        <f>D19/D$19*100</f>
        <v>#DIV/0!</v>
      </c>
      <c r="G19" s="785" t="e">
        <f>E19/E$19*100</f>
        <v>#DIV/0!</v>
      </c>
      <c r="H19" s="786" t="e">
        <f>(D19-E19)/E19*100</f>
        <v>#DIV/0!</v>
      </c>
      <c r="I19" s="787" t="e">
        <f>(E19-D19)/D19*100</f>
        <v>#DIV/0!</v>
      </c>
      <c r="J19" s="32"/>
      <c r="K19" s="32"/>
      <c r="L19" s="32"/>
      <c r="N19" s="32"/>
      <c r="O19" s="1073">
        <f>D19+E19</f>
        <v>0</v>
      </c>
      <c r="P19" s="32"/>
      <c r="Q19" s="1431">
        <f>IF(AND(D19&lt;&gt;0,D19&gt;0),IF((AB$17*9)&gt;=D19,0,1),IF(AND(D19&lt;&gt;0,D19&lt;0),IF((AB$17*9)&lt;=D19,0,1),0))</f>
        <v>0</v>
      </c>
      <c r="R19" s="1431">
        <f>IF(AND(D19&lt;&gt;0,D19&gt;0),IF((AB$17*8)&gt;=D19,0,1),IF(AND(D19&lt;&gt;0,D19&lt;0),IF((AB$17*8)&lt;=D19,0,1),0))</f>
        <v>0</v>
      </c>
      <c r="S19" s="1431">
        <f>IF(AND(D19&lt;&gt;0,D19&gt;0),IF((AB$17*7)&gt;=D19,0,1),IF(AND(D19&lt;&gt;0,D19&lt;0),IF((AB$17*7)&lt;=D19,0,1),0))</f>
        <v>0</v>
      </c>
      <c r="T19" s="1431">
        <f>IF(AND(D19&lt;&gt;0,D19&gt;0),IF((AB$17*6)&gt;=D19,0,1),IF(AND(D19&lt;&gt;0,D19&lt;0),IF((AB$17*6)&lt;=D19,0,1),0))</f>
        <v>0</v>
      </c>
      <c r="U19" s="1431">
        <f>IF(AND(D19&lt;&gt;0,D19&gt;0),IF((AB$17*5)&gt;=D19,0,1),IF(AND(D19&lt;&gt;0,D19&lt;0),IF((AB$17*5)&lt;=D19,0,1),0))</f>
        <v>0</v>
      </c>
      <c r="V19" s="1431">
        <f>IF(AND(D19&lt;&gt;0,D19&gt;0),IF((AB$17*4)&gt;=D19,0,1),IF(AND(D19&lt;&gt;0,D19&lt;0),IF((AB$17*4)&lt;=D19,0,1),0))</f>
        <v>0</v>
      </c>
      <c r="W19" s="1431">
        <f>IF(AND(D19&lt;&gt;0,D19&gt;0),IF((AB$17*3)&gt;=D19,0,1),IF(AND(D19&lt;&gt;0,D19&lt;0),IF((AB$17*3)&lt;=D19,0,1),0))</f>
        <v>0</v>
      </c>
      <c r="X19" s="1431">
        <f>IF(AND(D19&lt;&gt;0,D19&gt;0),IF((AB$17*2)&gt;=D19,0,1),IF(AND(D19&lt;&gt;0,D19&lt;0),IF((AB$17*2)&lt;=D19,0,1),0))</f>
        <v>0</v>
      </c>
      <c r="Y19" s="1431">
        <f>IF(AND(D19&lt;&gt;0,D19&gt;0),IF((AB$17*1)&gt;=D19,0,1),IF(AND(D19&lt;&gt;0,D19&lt;0),IF((AB$17*1)&lt;=D19,0,1),0))</f>
        <v>0</v>
      </c>
      <c r="Z19" s="1431">
        <f>IF(D19&lt;&gt;0,1,0)</f>
        <v>0</v>
      </c>
      <c r="AA19" s="1432"/>
      <c r="AB19" s="1431">
        <f>IF(E19&lt;&gt;0,1,0)</f>
        <v>0</v>
      </c>
      <c r="AC19" s="1431">
        <f>IF(AND(E19&lt;&gt;0,E19&gt;0),IF((AB$17*1)&gt;=E19,0,1),IF(AND(E19&lt;&gt;0,E19&lt;0),IF((AB$17*1)&lt;=E19,0,1),0))</f>
        <v>0</v>
      </c>
      <c r="AD19" s="1431">
        <f>IF(AND(E19&lt;&gt;0,E19&gt;0),IF((AB$17*2)&gt;=E19,0,1),IF(AND(E19&lt;&gt;0,E19&lt;0),IF((AB$17*2)&lt;=E19,0,1),0))</f>
        <v>0</v>
      </c>
      <c r="AE19" s="1431">
        <f>IF(AND(E19&lt;&gt;0,E19&gt;0),IF((AB$17*3)&gt;=E19,0,1),IF(AND(E19&lt;&gt;0,E19&lt;0),IF((AB$17*3)&lt;=E19,0,1),0))</f>
        <v>0</v>
      </c>
      <c r="AF19" s="1431">
        <f>IF(AND(E19&lt;&gt;0,E19&gt;0),IF((AB$17*4)&gt;=E19,0,1),IF(AND(E19&lt;&gt;0,E19&lt;0),IF((AB$17*4)&lt;=E19,0,1),0))</f>
        <v>0</v>
      </c>
      <c r="AG19" s="1431">
        <f>IF(AND(E19&lt;&gt;0,E19&gt;0),IF((AB$17*5)&gt;=E19,0,1),IF(AND(E19&lt;&gt;0,E19&lt;0),IF((AB$17*5)&lt;=E19,0,1),0))</f>
        <v>0</v>
      </c>
      <c r="AH19" s="1431">
        <f>IF(AND(E19&lt;&gt;0,E19&gt;0),IF((AB$17*6)&gt;=E19,0,1),IF(AND(E19&lt;&gt;0,E19&lt;0),IF((AB$17*6)&lt;=E19,0,1),0))</f>
        <v>0</v>
      </c>
      <c r="AI19" s="1431">
        <f>IF(AND(E19&lt;&gt;0,E19&gt;0),IF((AB$17*7)&gt;=E19,0,1),IF(AND(E19&lt;&gt;0,E19&lt;0),IF((AB$17*7)&lt;=E19,0,1),0))</f>
        <v>0</v>
      </c>
      <c r="AJ19" s="1431">
        <f>IF(AND(E19&lt;&gt;0,E19&gt;0),IF((AB$17*8)&gt;=E19,0,1),IF(AND(E19&lt;&gt;0,E19&lt;0),IF((AB$17*8)&lt;=E19,0,1),0))</f>
        <v>0</v>
      </c>
      <c r="AK19" s="1431">
        <f>IF(AND(E19&lt;&gt;0,E19&gt;0),IF((AB$17*9)&gt;=E19,0,1),IF(AND(E19&lt;&gt;0,E19&lt;0),IF((AB$17*9)&lt;=E19,0,1),0))</f>
        <v>0</v>
      </c>
      <c r="AL19" s="32"/>
      <c r="AM19" s="1431">
        <f>IF(AND(BI19&lt;&gt;0,BI19&gt;0),IF((AX$17*9)&gt;=BI19,0,1),IF(AND(BI19&lt;&gt;0,BI19&lt;0),IF((AX$17*9)&lt;=BI19,0,1),0))</f>
        <v>0</v>
      </c>
      <c r="AN19" s="1431">
        <f>IF(AND(BI19&lt;&gt;0,BI19&gt;0),IF((AX$17*8)&gt;=BI19,0,1),IF(AND(BI19&lt;&gt;0,BI19&lt;0),IF((AX$17*8)&lt;=BI19,0,1),0))</f>
        <v>0</v>
      </c>
      <c r="AO19" s="1431">
        <f>IF(AND(BI19&lt;&gt;0,BI19&gt;0),IF((AX$17*7)&gt;=BI19,0,1),IF(AND(BI19&lt;&gt;0,BI19&lt;0),IF((AX$17*7)&lt;=BI19,0,1),0))</f>
        <v>0</v>
      </c>
      <c r="AP19" s="1431">
        <f>IF(AND(BI19&lt;&gt;0,BI19&gt;0),IF((AX$17*6)&gt;=BI19,0,1),IF(AND(BI19&lt;&gt;0,BI19&lt;0),IF((AX$17*6)&lt;=BI19,0,1),0))</f>
        <v>0</v>
      </c>
      <c r="AQ19" s="1431">
        <f>IF(AND(BI19&lt;&gt;0,BI19&gt;0),IF((AX$17*5)&gt;=BI19,0,1),IF(AND(BI19&lt;&gt;0,BI19&lt;0),IF((AX$17*5)&lt;=BI19,0,1),0))</f>
        <v>0</v>
      </c>
      <c r="AR19" s="1431">
        <f>IF(AND(BI19&lt;&gt;0,BI19&gt;0),IF((AX$17*4)&gt;=BI19,0,1),IF(AND(BI19&lt;&gt;0,BI19&lt;0),IF((AX$17*4)&lt;=BI19,0,1),0))</f>
        <v>0</v>
      </c>
      <c r="AS19" s="1431">
        <f>IF(AND(BI19&lt;&gt;0,BI19&gt;0),IF((AX$17*3)&gt;=BI19,0,1),IF(AND(BI19&lt;&gt;0,BI19&lt;0),IF((AX$17*3)&lt;=BI19,0,1),0))</f>
        <v>0</v>
      </c>
      <c r="AT19" s="1431">
        <f>IF(AND(BI19&lt;&gt;0,BI19&gt;0),IF((AX$17*2)&gt;=BI19,0,1),IF(AND(BI19&lt;&gt;0,BI19&lt;0),IF((AX$17*2)&lt;=BI19,0,1),0))</f>
        <v>0</v>
      </c>
      <c r="AU19" s="1431">
        <f>IF(AND(BI19&lt;&gt;0,BI19&gt;0),IF((AX$17*1)&gt;=BI19,0,1),IF(AND(BI19&lt;&gt;0,BI19&lt;0),IF((AX$17*1)&lt;=BI19,0,1),0))</f>
        <v>0</v>
      </c>
      <c r="AV19" s="1431">
        <f>IF(BI19&lt;&gt;0,1,0)</f>
        <v>0</v>
      </c>
      <c r="AW19" s="1432"/>
      <c r="AX19" s="1431">
        <f>IF(BJ19&lt;&gt;0,1,0)</f>
        <v>0</v>
      </c>
      <c r="AY19" s="1431">
        <f>IF(AND(BJ19&lt;&gt;0,BJ19&gt;0),IF((AX$17*1)&gt;=BJ19,0,1),IF(AND(BJ19&lt;&gt;0,BJ19&lt;0),IF((AX$17*1)&lt;=BJ19,0,1),0))</f>
        <v>0</v>
      </c>
      <c r="AZ19" s="1431">
        <f>IF(AND(BJ19&lt;&gt;0,BJ19&gt;0),IF((AX$17*2)&gt;=BJ19,0,1),IF(AND(BJ19&lt;&gt;0,BJ19&lt;0),IF((AX$17*2)&lt;=BJ19,0,1),0))</f>
        <v>0</v>
      </c>
      <c r="BA19" s="1431">
        <f>IF(AND(BJ19&lt;&gt;0,BJ19&gt;0),IF((AX$17*3)&gt;=BJ19,0,1),IF(AND(BJ19&lt;&gt;0,BJ19&lt;0),IF((AX$17*3)&lt;=BJ19,0,1),0))</f>
        <v>0</v>
      </c>
      <c r="BB19" s="1431">
        <f>IF(AND(BJ19&lt;&gt;0,BJ19&gt;0),IF((AX$17*4)&gt;=BJ19,0,1),IF(AND(BJ19&lt;&gt;0,BJ19&lt;0),IF((AX$17*4)&lt;=BJ19,0,1),0))</f>
        <v>0</v>
      </c>
      <c r="BC19" s="1431">
        <f>IF(AND(BJ19&lt;&gt;0,BJ19&gt;0),IF((AX$17*5)&gt;=BJ19,0,1),IF(AND(BJ19&lt;&gt;0,BJ19&lt;0),IF((AX$17*5)&lt;=BJ19,0,1),0))</f>
        <v>0</v>
      </c>
      <c r="BD19" s="1431">
        <f>IF(AND(BJ19&lt;&gt;0,BJ19&gt;0),IF((AX$17*6)&gt;=BJ19,0,1),IF(AND(BJ19&lt;&gt;0,BJ19&lt;0),IF((AX$17*6)&lt;=BJ19,0,1),0))</f>
        <v>0</v>
      </c>
      <c r="BE19" s="1431">
        <f>IF(AND(BJ19&lt;&gt;0,BJ19&gt;0),IF((AX$17*7)&gt;=BJ19,0,1),IF(AND(BJ19&lt;&gt;0,BJ19&lt;0),IF((AX$17*7)&lt;=BJ19,0,1),0))</f>
        <v>0</v>
      </c>
      <c r="BF19" s="1431">
        <f>IF(AND(BJ19&lt;&gt;0,BJ19&gt;0),IF((AX$17*8)&gt;=BJ19,0,1),IF(AND(BJ19&lt;&gt;0,BJ19&lt;0),IF((AX$17*8)&lt;=BJ19,0,1),0))</f>
        <v>0</v>
      </c>
      <c r="BG19" s="1431">
        <f>IF(AND(BJ19&lt;&gt;0,BJ19&gt;0),IF((AX$17*9)&gt;=BJ19,0,1),IF(AND(BJ19&lt;&gt;0,BJ19&lt;0),IF((AX$17*9)&lt;=BJ19,0,1),0))</f>
        <v>0</v>
      </c>
      <c r="BH19" s="32"/>
      <c r="BI19" s="1070">
        <f>IF(ISERROR(D19/O19*100),0,IF(D19&gt;=E19,ROUND(D19/O19*100,-1),100-BJ19))</f>
        <v>0</v>
      </c>
      <c r="BJ19" s="1070">
        <f>IF(ISERROR(E19/O19*100),0,IF(E19&gt;=D19,ROUND(E19/O19*100,-1),100-BI19))</f>
        <v>0</v>
      </c>
      <c r="BK19" s="32"/>
    </row>
    <row r="20" spans="1:63" ht="19.5" customHeight="1" x14ac:dyDescent="0.2">
      <c r="A20" s="32"/>
      <c r="B20" s="32"/>
      <c r="C20" s="430" t="str">
        <f>RIEPILOGO!B6</f>
        <v>NETTO</v>
      </c>
      <c r="D20" s="420">
        <f>IF(D19=0,0,IF(C$112=0,D19,SUM(D19-D27)))</f>
        <v>0</v>
      </c>
      <c r="E20" s="347">
        <f>IF(E19=0,0,IF(C$112=0,E19,SUM(E19-E27)))</f>
        <v>0</v>
      </c>
      <c r="F20" s="784" t="e">
        <f t="shared" ref="F20:G27" si="0">D20/D$19*100</f>
        <v>#DIV/0!</v>
      </c>
      <c r="G20" s="785" t="e">
        <f t="shared" si="0"/>
        <v>#DIV/0!</v>
      </c>
      <c r="H20" s="786" t="e">
        <f t="shared" ref="H20:H27" si="1">(D20-E20)/E20*100</f>
        <v>#DIV/0!</v>
      </c>
      <c r="I20" s="787" t="e">
        <f t="shared" ref="I20:I27" si="2">(E20-D20)/D20*100</f>
        <v>#DIV/0!</v>
      </c>
      <c r="J20" s="32"/>
      <c r="K20" s="32"/>
      <c r="L20" s="32"/>
      <c r="N20" s="32"/>
      <c r="O20" s="1074">
        <f>D20+E20</f>
        <v>0</v>
      </c>
      <c r="P20" s="32"/>
      <c r="Q20" s="1431">
        <f>IF(AND(D20&lt;&gt;0,D20&gt;0),IF((AB$17*9)&gt;=D20,0,1),IF(AND(D20&lt;&gt;0,D20&lt;0),IF((AB$17*9)&lt;=D20,0,1),0))</f>
        <v>0</v>
      </c>
      <c r="R20" s="1431">
        <f>IF(AND(D20&lt;&gt;0,D20&gt;0),IF((AB$17*8)&gt;=D20,0,1),IF(AND(D20&lt;&gt;0,D20&lt;0),IF((AB$17*8)&lt;=D20,0,1),0))</f>
        <v>0</v>
      </c>
      <c r="S20" s="1431">
        <f>IF(AND(D20&lt;&gt;0,D20&gt;0),IF((AB$17*7)&gt;=D20,0,1),IF(AND(D20&lt;&gt;0,D20&lt;0),IF((AB$17*7)&lt;=D20,0,1),0))</f>
        <v>0</v>
      </c>
      <c r="T20" s="1431">
        <f>IF(AND(D20&lt;&gt;0,D20&gt;0),IF((AB$17*6)&gt;=D20,0,1),IF(AND(D20&lt;&gt;0,D20&lt;0),IF((AB$17*6)&lt;=D20,0,1),0))</f>
        <v>0</v>
      </c>
      <c r="U20" s="1431">
        <f>IF(AND(D20&lt;&gt;0,D20&gt;0),IF((AB$17*5)&gt;=D20,0,1),IF(AND(D20&lt;&gt;0,D20&lt;0),IF((AB$17*5)&lt;=D20,0,1),0))</f>
        <v>0</v>
      </c>
      <c r="V20" s="1431">
        <f>IF(AND(D20&lt;&gt;0,D20&gt;0),IF((AB$17*4)&gt;=D20,0,1),IF(AND(D20&lt;&gt;0,D20&lt;0),IF((AB$17*4)&lt;=D20,0,1),0))</f>
        <v>0</v>
      </c>
      <c r="W20" s="1431">
        <f>IF(AND(D20&lt;&gt;0,D20&gt;0),IF((AB$17*3)&gt;=D20,0,1),IF(AND(D20&lt;&gt;0,D20&lt;0),IF((AB$17*3)&lt;=D20,0,1),0))</f>
        <v>0</v>
      </c>
      <c r="X20" s="1431">
        <f>IF(AND(D20&lt;&gt;0,D20&gt;0),IF((AB$17*2)&gt;=D20,0,1),IF(AND(D20&lt;&gt;0,D20&lt;0),IF((AB$17*2)&lt;=D20,0,1),0))</f>
        <v>0</v>
      </c>
      <c r="Y20" s="1431">
        <f>IF(AND(D20&lt;&gt;0,D20&gt;0),IF((AB$17*1)&gt;=D20,0,1),IF(AND(D20&lt;&gt;0,D20&lt;0),IF((AB$17*1)&lt;=D20,0,1),0))</f>
        <v>0</v>
      </c>
      <c r="Z20" s="1431">
        <f>IF(D20&lt;&gt;0,1,0)</f>
        <v>0</v>
      </c>
      <c r="AA20" s="1432"/>
      <c r="AB20" s="1431">
        <f>IF(E20&lt;&gt;0,1,0)</f>
        <v>0</v>
      </c>
      <c r="AC20" s="1431">
        <f>IF(AND(E20&lt;&gt;0,E20&gt;0),IF((AB$17*1)&gt;=E20,0,1),IF(AND(E20&lt;&gt;0,E20&lt;0),IF((AB$17*1)&lt;=E20,0,1),0))</f>
        <v>0</v>
      </c>
      <c r="AD20" s="1431">
        <f>IF(AND(E20&lt;&gt;0,E20&gt;0),IF((AB$17*2)&gt;=E20,0,1),IF(AND(E20&lt;&gt;0,E20&lt;0),IF((AB$17*2)&lt;=E20,0,1),0))</f>
        <v>0</v>
      </c>
      <c r="AE20" s="1431">
        <f>IF(AND(E20&lt;&gt;0,E20&gt;0),IF((AB$17*3)&gt;=E20,0,1),IF(AND(E20&lt;&gt;0,E20&lt;0),IF((AB$17*3)&lt;=E20,0,1),0))</f>
        <v>0</v>
      </c>
      <c r="AF20" s="1431">
        <f>IF(AND(E20&lt;&gt;0,E20&gt;0),IF((AB$17*4)&gt;=E20,0,1),IF(AND(E20&lt;&gt;0,E20&lt;0),IF((AB$17*4)&lt;=E20,0,1),0))</f>
        <v>0</v>
      </c>
      <c r="AG20" s="1431">
        <f>IF(AND(E20&lt;&gt;0,E20&gt;0),IF((AB$17*5)&gt;=E20,0,1),IF(AND(E20&lt;&gt;0,E20&lt;0),IF((AB$17*5)&lt;=E20,0,1),0))</f>
        <v>0</v>
      </c>
      <c r="AH20" s="1431">
        <f>IF(AND(E20&lt;&gt;0,E20&gt;0),IF((AB$17*6)&gt;=E20,0,1),IF(AND(E20&lt;&gt;0,E20&lt;0),IF((AB$17*6)&lt;=E20,0,1),0))</f>
        <v>0</v>
      </c>
      <c r="AI20" s="1431">
        <f>IF(AND(E20&lt;&gt;0,E20&gt;0),IF((AB$17*7)&gt;=E20,0,1),IF(AND(E20&lt;&gt;0,E20&lt;0),IF((AB$17*7)&lt;=E20,0,1),0))</f>
        <v>0</v>
      </c>
      <c r="AJ20" s="1431">
        <f>IF(AND(E20&lt;&gt;0,E20&gt;0),IF((AB$17*8)&gt;=E20,0,1),IF(AND(E20&lt;&gt;0,E20&lt;0),IF((AB$17*8)&lt;=E20,0,1),0))</f>
        <v>0</v>
      </c>
      <c r="AK20" s="1431">
        <f>IF(AND(E20&lt;&gt;0,E20&gt;0),IF((AB$17*9)&gt;=E20,0,1),IF(AND(E20&lt;&gt;0,E20&lt;0),IF((AB$17*9)&lt;=E20,0,1),0))</f>
        <v>0</v>
      </c>
      <c r="AL20" s="32"/>
      <c r="AM20" s="1431">
        <f>IF(AND(BI20&lt;&gt;0,BI20&gt;0),IF((AX$17*9)&gt;=BI20,0,1),IF(AND(BI20&lt;&gt;0,BI20&lt;0),IF((AX$17*9)&lt;=BI20,0,1),0))</f>
        <v>0</v>
      </c>
      <c r="AN20" s="1431">
        <f>IF(AND(BI20&lt;&gt;0,BI20&gt;0),IF((AX$17*8)&gt;=BI20,0,1),IF(AND(BI20&lt;&gt;0,BI20&lt;0),IF((AX$17*8)&lt;=BI20,0,1),0))</f>
        <v>0</v>
      </c>
      <c r="AO20" s="1431">
        <f>IF(AND(BI20&lt;&gt;0,BI20&gt;0),IF((AX$17*7)&gt;=BI20,0,1),IF(AND(BI20&lt;&gt;0,BI20&lt;0),IF((AX$17*7)&lt;=BI20,0,1),0))</f>
        <v>0</v>
      </c>
      <c r="AP20" s="1431">
        <f>IF(AND(BI20&lt;&gt;0,BI20&gt;0),IF((AX$17*6)&gt;=BI20,0,1),IF(AND(BI20&lt;&gt;0,BI20&lt;0),IF((AX$17*6)&lt;=BI20,0,1),0))</f>
        <v>0</v>
      </c>
      <c r="AQ20" s="1431">
        <f>IF(AND(BI20&lt;&gt;0,BI20&gt;0),IF((AX$17*5)&gt;=BI20,0,1),IF(AND(BI20&lt;&gt;0,BI20&lt;0),IF((AX$17*5)&lt;=BI20,0,1),0))</f>
        <v>0</v>
      </c>
      <c r="AR20" s="1431">
        <f>IF(AND(BI20&lt;&gt;0,BI20&gt;0),IF((AX$17*4)&gt;=BI20,0,1),IF(AND(BI20&lt;&gt;0,BI20&lt;0),IF((AX$17*4)&lt;=BI20,0,1),0))</f>
        <v>0</v>
      </c>
      <c r="AS20" s="1431">
        <f>IF(AND(BI20&lt;&gt;0,BI20&gt;0),IF((AX$17*3)&gt;=BI20,0,1),IF(AND(BI20&lt;&gt;0,BI20&lt;0),IF((AX$17*3)&lt;=BI20,0,1),0))</f>
        <v>0</v>
      </c>
      <c r="AT20" s="1431">
        <f>IF(AND(BI20&lt;&gt;0,BI20&gt;0),IF((AX$17*2)&gt;=BI20,0,1),IF(AND(BI20&lt;&gt;0,BI20&lt;0),IF((AX$17*2)&lt;=BI20,0,1),0))</f>
        <v>0</v>
      </c>
      <c r="AU20" s="1431">
        <f>IF(AND(BI20&lt;&gt;0,BI20&gt;0),IF((AX$17*1)&gt;=BI20,0,1),IF(AND(BI20&lt;&gt;0,BI20&lt;0),IF((AX$17*1)&lt;=BI20,0,1),0))</f>
        <v>0</v>
      </c>
      <c r="AV20" s="1431">
        <f>IF(BI20&lt;&gt;0,1,0)</f>
        <v>0</v>
      </c>
      <c r="AW20" s="1432"/>
      <c r="AX20" s="1431">
        <f>IF(BJ20&lt;&gt;0,1,0)</f>
        <v>0</v>
      </c>
      <c r="AY20" s="1431">
        <f>IF(AND(BJ20&lt;&gt;0,BJ20&gt;0),IF((AX$17*1)&gt;=BJ20,0,1),IF(AND(BJ20&lt;&gt;0,BJ20&lt;0),IF((AX$17*1)&lt;=BJ20,0,1),0))</f>
        <v>0</v>
      </c>
      <c r="AZ20" s="1431">
        <f>IF(AND(BJ20&lt;&gt;0,BJ20&gt;0),IF((AX$17*2)&gt;=BJ20,0,1),IF(AND(BJ20&lt;&gt;0,BJ20&lt;0),IF((AX$17*2)&lt;=BJ20,0,1),0))</f>
        <v>0</v>
      </c>
      <c r="BA20" s="1431">
        <f>IF(AND(BJ20&lt;&gt;0,BJ20&gt;0),IF((AX$17*3)&gt;=BJ20,0,1),IF(AND(BJ20&lt;&gt;0,BJ20&lt;0),IF((AX$17*3)&lt;=BJ20,0,1),0))</f>
        <v>0</v>
      </c>
      <c r="BB20" s="1431">
        <f>IF(AND(BJ20&lt;&gt;0,BJ20&gt;0),IF((AX$17*4)&gt;=BJ20,0,1),IF(AND(BJ20&lt;&gt;0,BJ20&lt;0),IF((AX$17*4)&lt;=BJ20,0,1),0))</f>
        <v>0</v>
      </c>
      <c r="BC20" s="1431">
        <f>IF(AND(BJ20&lt;&gt;0,BJ20&gt;0),IF((AX$17*5)&gt;=BJ20,0,1),IF(AND(BJ20&lt;&gt;0,BJ20&lt;0),IF((AX$17*5)&lt;=BJ20,0,1),0))</f>
        <v>0</v>
      </c>
      <c r="BD20" s="1431">
        <f>IF(AND(BJ20&lt;&gt;0,BJ20&gt;0),IF((AX$17*6)&gt;=BJ20,0,1),IF(AND(BJ20&lt;&gt;0,BJ20&lt;0),IF((AX$17*6)&lt;=BJ20,0,1),0))</f>
        <v>0</v>
      </c>
      <c r="BE20" s="1431">
        <f>IF(AND(BJ20&lt;&gt;0,BJ20&gt;0),IF((AX$17*7)&gt;=BJ20,0,1),IF(AND(BJ20&lt;&gt;0,BJ20&lt;0),IF((AX$17*7)&lt;=BJ20,0,1),0))</f>
        <v>0</v>
      </c>
      <c r="BF20" s="1431">
        <f>IF(AND(BJ20&lt;&gt;0,BJ20&gt;0),IF((AX$17*8)&gt;=BJ20,0,1),IF(AND(BJ20&lt;&gt;0,BJ20&lt;0),IF((AX$17*8)&lt;=BJ20,0,1),0))</f>
        <v>0</v>
      </c>
      <c r="BG20" s="1431">
        <f>IF(AND(BJ20&lt;&gt;0,BJ20&gt;0),IF((AX$17*9)&gt;=BJ20,0,1),IF(AND(BJ20&lt;&gt;0,BJ20&lt;0),IF((AX$17*9)&lt;=BJ20,0,1),0))</f>
        <v>0</v>
      </c>
      <c r="BH20" s="32"/>
      <c r="BI20" s="1070">
        <f>IF(ISERROR(D20/O20*100),0,IF(D20&gt;=E20,ROUND(D20/O20*100,-1),100-BJ20))</f>
        <v>0</v>
      </c>
      <c r="BJ20" s="1070">
        <f>IF(ISERROR(E20/O20*100),0,IF(E20&gt;=D20,ROUND(E20/O20*100,-1),100-BI20))</f>
        <v>0</v>
      </c>
      <c r="BK20" s="32"/>
    </row>
    <row r="21" spans="1:63" ht="15.75" customHeight="1" x14ac:dyDescent="0.2">
      <c r="A21" s="32"/>
      <c r="B21" s="32"/>
      <c r="C21" s="1049" t="s">
        <v>768</v>
      </c>
      <c r="D21" s="417"/>
      <c r="E21" s="343"/>
      <c r="F21" s="784"/>
      <c r="G21" s="785"/>
      <c r="H21" s="786"/>
      <c r="I21" s="787"/>
      <c r="J21" s="32"/>
      <c r="K21" s="32"/>
      <c r="L21" s="32"/>
      <c r="N21" s="32"/>
      <c r="O21" s="1075"/>
      <c r="P21" s="32"/>
      <c r="Q21" s="32"/>
      <c r="R21" s="32"/>
      <c r="S21" s="32"/>
      <c r="T21" s="32"/>
      <c r="U21" s="32"/>
      <c r="V21" s="32"/>
      <c r="W21" s="32"/>
      <c r="X21" s="32"/>
      <c r="Y21" s="32"/>
      <c r="Z21" s="123"/>
      <c r="AA21" s="1432"/>
      <c r="AB21" s="32"/>
      <c r="AC21" s="32"/>
      <c r="AD21" s="32"/>
      <c r="AE21" s="32"/>
      <c r="AF21" s="32"/>
      <c r="AG21" s="32"/>
      <c r="AH21" s="32"/>
      <c r="AI21" s="32"/>
      <c r="AJ21" s="32"/>
      <c r="AK21" s="32"/>
      <c r="AL21" s="32"/>
      <c r="AM21" s="32"/>
      <c r="AN21" s="32"/>
      <c r="AO21" s="32"/>
      <c r="AP21" s="32"/>
      <c r="AQ21" s="32"/>
      <c r="AR21" s="32"/>
      <c r="AS21" s="32"/>
      <c r="AT21" s="32"/>
      <c r="AU21" s="32"/>
      <c r="AV21" s="32"/>
      <c r="AW21" s="1432"/>
      <c r="AX21" s="32"/>
      <c r="AY21" s="32"/>
      <c r="AZ21" s="32"/>
      <c r="BA21" s="32"/>
      <c r="BB21" s="32"/>
      <c r="BC21" s="32"/>
      <c r="BD21" s="32"/>
      <c r="BE21" s="32"/>
      <c r="BF21" s="32"/>
      <c r="BG21" s="32"/>
      <c r="BH21" s="32"/>
      <c r="BI21" s="32"/>
      <c r="BJ21" s="32"/>
      <c r="BK21" s="32"/>
    </row>
    <row r="22" spans="1:63" ht="19.5" customHeight="1" x14ac:dyDescent="0.2">
      <c r="A22" s="32"/>
      <c r="B22" s="32"/>
      <c r="C22" s="442" t="str">
        <f>RIEPILOGO!B8</f>
        <v>Aliquota 22 %</v>
      </c>
      <c r="D22" s="1048">
        <f>IF(C112=0,0,SUMIF(CASSA!AM114:AM479,"X",CASSA!AP114:AP479)+SUMIF(CASSA!AM114:AM479,"X",CASSA!AU114:AU479)-D88)</f>
        <v>0</v>
      </c>
      <c r="E22" s="746">
        <f>IF(C112=0,0,SUMIF(CASSA!AL114:AL479,"Y",CASSA!AP114:AP479)+SUMIF(CASSA!AL114:AL479,"Y",CASSA!AU114:AU479)-E88)</f>
        <v>0</v>
      </c>
      <c r="F22" s="1070" t="e">
        <f t="shared" si="0"/>
        <v>#DIV/0!</v>
      </c>
      <c r="G22" s="1387" t="e">
        <f t="shared" si="0"/>
        <v>#DIV/0!</v>
      </c>
      <c r="H22" s="1388" t="e">
        <f t="shared" si="1"/>
        <v>#DIV/0!</v>
      </c>
      <c r="I22" s="1389" t="e">
        <f t="shared" si="2"/>
        <v>#DIV/0!</v>
      </c>
      <c r="J22" s="32"/>
      <c r="K22" s="32"/>
      <c r="L22" s="32"/>
      <c r="N22" s="32"/>
      <c r="O22" s="1074">
        <f t="shared" ref="O22:O27" si="3">D22+E22</f>
        <v>0</v>
      </c>
      <c r="P22" s="32"/>
      <c r="Q22" s="1431">
        <f t="shared" ref="Q22:Q27" si="4">IF(AND(D22&lt;&gt;0,D22&gt;0),IF((AB$17*9)&gt;=D22,0,1),IF(AND(D22&lt;&gt;0,D22&lt;0),IF((AB$17*9)&lt;=D22,0,1),0))</f>
        <v>0</v>
      </c>
      <c r="R22" s="1431">
        <f t="shared" ref="R22:R27" si="5">IF(AND(D22&lt;&gt;0,D22&gt;0),IF((AB$17*8)&gt;=D22,0,1),IF(AND(D22&lt;&gt;0,D22&lt;0),IF((AB$17*8)&lt;=D22,0,1),0))</f>
        <v>0</v>
      </c>
      <c r="S22" s="1431">
        <f t="shared" ref="S22:S27" si="6">IF(AND(D22&lt;&gt;0,D22&gt;0),IF((AB$17*7)&gt;=D22,0,1),IF(AND(D22&lt;&gt;0,D22&lt;0),IF((AB$17*7)&lt;=D22,0,1),0))</f>
        <v>0</v>
      </c>
      <c r="T22" s="1431">
        <f t="shared" ref="T22:T27" si="7">IF(AND(D22&lt;&gt;0,D22&gt;0),IF((AB$17*6)&gt;=D22,0,1),IF(AND(D22&lt;&gt;0,D22&lt;0),IF((AB$17*6)&lt;=D22,0,1),0))</f>
        <v>0</v>
      </c>
      <c r="U22" s="1431">
        <f t="shared" ref="U22:U27" si="8">IF(AND(D22&lt;&gt;0,D22&gt;0),IF((AB$17*5)&gt;=D22,0,1),IF(AND(D22&lt;&gt;0,D22&lt;0),IF((AB$17*5)&lt;=D22,0,1),0))</f>
        <v>0</v>
      </c>
      <c r="V22" s="1431">
        <f t="shared" ref="V22:V27" si="9">IF(AND(D22&lt;&gt;0,D22&gt;0),IF((AB$17*4)&gt;=D22,0,1),IF(AND(D22&lt;&gt;0,D22&lt;0),IF((AB$17*4)&lt;=D22,0,1),0))</f>
        <v>0</v>
      </c>
      <c r="W22" s="1431">
        <f t="shared" ref="W22:W27" si="10">IF(AND(D22&lt;&gt;0,D22&gt;0),IF((AB$17*3)&gt;=D22,0,1),IF(AND(D22&lt;&gt;0,D22&lt;0),IF((AB$17*3)&lt;=D22,0,1),0))</f>
        <v>0</v>
      </c>
      <c r="X22" s="1431">
        <f t="shared" ref="X22:X27" si="11">IF(AND(D22&lt;&gt;0,D22&gt;0),IF((AB$17*2)&gt;=D22,0,1),IF(AND(D22&lt;&gt;0,D22&lt;0),IF((AB$17*2)&lt;=D22,0,1),0))</f>
        <v>0</v>
      </c>
      <c r="Y22" s="1431">
        <f t="shared" ref="Y22:Y27" si="12">IF(AND(D22&lt;&gt;0,D22&gt;0),IF((AB$17*1)&gt;=D22,0,1),IF(AND(D22&lt;&gt;0,D22&lt;0),IF((AB$17*1)&lt;=D22,0,1),0))</f>
        <v>0</v>
      </c>
      <c r="Z22" s="1431">
        <f t="shared" ref="Z22:Z27" si="13">IF(D22&lt;&gt;0,1,0)</f>
        <v>0</v>
      </c>
      <c r="AA22" s="1432"/>
      <c r="AB22" s="1431">
        <f t="shared" ref="AB22:AB27" si="14">IF(E22&lt;&gt;0,1,0)</f>
        <v>0</v>
      </c>
      <c r="AC22" s="1431">
        <f t="shared" ref="AC22:AC27" si="15">IF(AND(E22&lt;&gt;0,E22&gt;0),IF((AB$17*1)&gt;=E22,0,1),IF(AND(E22&lt;&gt;0,E22&lt;0),IF((AB$17*1)&lt;=E22,0,1),0))</f>
        <v>0</v>
      </c>
      <c r="AD22" s="1431">
        <f t="shared" ref="AD22:AD27" si="16">IF(AND(E22&lt;&gt;0,E22&gt;0),IF((AB$17*2)&gt;=E22,0,1),IF(AND(E22&lt;&gt;0,E22&lt;0),IF((AB$17*2)&lt;=E22,0,1),0))</f>
        <v>0</v>
      </c>
      <c r="AE22" s="1431">
        <f t="shared" ref="AE22:AE27" si="17">IF(AND(E22&lt;&gt;0,E22&gt;0),IF((AB$17*3)&gt;=E22,0,1),IF(AND(E22&lt;&gt;0,E22&lt;0),IF((AB$17*3)&lt;=E22,0,1),0))</f>
        <v>0</v>
      </c>
      <c r="AF22" s="1431">
        <f t="shared" ref="AF22:AF27" si="18">IF(AND(E22&lt;&gt;0,E22&gt;0),IF((AB$17*4)&gt;=E22,0,1),IF(AND(E22&lt;&gt;0,E22&lt;0),IF((AB$17*4)&lt;=E22,0,1),0))</f>
        <v>0</v>
      </c>
      <c r="AG22" s="1431">
        <f t="shared" ref="AG22:AG27" si="19">IF(AND(E22&lt;&gt;0,E22&gt;0),IF((AB$17*5)&gt;=E22,0,1),IF(AND(E22&lt;&gt;0,E22&lt;0),IF((AB$17*5)&lt;=E22,0,1),0))</f>
        <v>0</v>
      </c>
      <c r="AH22" s="1431">
        <f t="shared" ref="AH22:AH27" si="20">IF(AND(E22&lt;&gt;0,E22&gt;0),IF((AB$17*6)&gt;=E22,0,1),IF(AND(E22&lt;&gt;0,E22&lt;0),IF((AB$17*6)&lt;=E22,0,1),0))</f>
        <v>0</v>
      </c>
      <c r="AI22" s="1431">
        <f t="shared" ref="AI22:AI27" si="21">IF(AND(E22&lt;&gt;0,E22&gt;0),IF((AB$17*7)&gt;=E22,0,1),IF(AND(E22&lt;&gt;0,E22&lt;0),IF((AB$17*7)&lt;=E22,0,1),0))</f>
        <v>0</v>
      </c>
      <c r="AJ22" s="1431">
        <f t="shared" ref="AJ22:AJ27" si="22">IF(AND(E22&lt;&gt;0,E22&gt;0),IF((AB$17*8)&gt;=E22,0,1),IF(AND(E22&lt;&gt;0,E22&lt;0),IF((AB$17*8)&lt;=E22,0,1),0))</f>
        <v>0</v>
      </c>
      <c r="AK22" s="1431">
        <f t="shared" ref="AK22:AK27" si="23">IF(AND(E22&lt;&gt;0,E22&gt;0),IF((AB$17*9)&gt;=E22,0,1),IF(AND(E22&lt;&gt;0,E22&lt;0),IF((AB$17*9)&lt;=E22,0,1),0))</f>
        <v>0</v>
      </c>
      <c r="AL22" s="32"/>
      <c r="AM22" s="1431">
        <f t="shared" ref="AM22:AM27" si="24">IF(AND(BI22&lt;&gt;0,BI22&gt;0),IF((AX$17*9)&gt;=BI22,0,1),IF(AND(BI22&lt;&gt;0,BI22&lt;0),IF((AX$17*9)&lt;=BI22,0,1),0))</f>
        <v>0</v>
      </c>
      <c r="AN22" s="1431">
        <f t="shared" ref="AN22:AN27" si="25">IF(AND(BI22&lt;&gt;0,BI22&gt;0),IF((AX$17*8)&gt;=BI22,0,1),IF(AND(BI22&lt;&gt;0,BI22&lt;0),IF((AX$17*8)&lt;=BI22,0,1),0))</f>
        <v>0</v>
      </c>
      <c r="AO22" s="1431">
        <f t="shared" ref="AO22:AO27" si="26">IF(AND(BI22&lt;&gt;0,BI22&gt;0),IF((AX$17*7)&gt;=BI22,0,1),IF(AND(BI22&lt;&gt;0,BI22&lt;0),IF((AX$17*7)&lt;=BI22,0,1),0))</f>
        <v>0</v>
      </c>
      <c r="AP22" s="1431">
        <f t="shared" ref="AP22:AP27" si="27">IF(AND(BI22&lt;&gt;0,BI22&gt;0),IF((AX$17*6)&gt;=BI22,0,1),IF(AND(BI22&lt;&gt;0,BI22&lt;0),IF((AX$17*6)&lt;=BI22,0,1),0))</f>
        <v>0</v>
      </c>
      <c r="AQ22" s="1431">
        <f t="shared" ref="AQ22:AQ27" si="28">IF(AND(BI22&lt;&gt;0,BI22&gt;0),IF((AX$17*5)&gt;=BI22,0,1),IF(AND(BI22&lt;&gt;0,BI22&lt;0),IF((AX$17*5)&lt;=BI22,0,1),0))</f>
        <v>0</v>
      </c>
      <c r="AR22" s="1431">
        <f t="shared" ref="AR22:AR27" si="29">IF(AND(BI22&lt;&gt;0,BI22&gt;0),IF((AX$17*4)&gt;=BI22,0,1),IF(AND(BI22&lt;&gt;0,BI22&lt;0),IF((AX$17*4)&lt;=BI22,0,1),0))</f>
        <v>0</v>
      </c>
      <c r="AS22" s="1431">
        <f t="shared" ref="AS22:AS27" si="30">IF(AND(BI22&lt;&gt;0,BI22&gt;0),IF((AX$17*3)&gt;=BI22,0,1),IF(AND(BI22&lt;&gt;0,BI22&lt;0),IF((AX$17*3)&lt;=BI22,0,1),0))</f>
        <v>0</v>
      </c>
      <c r="AT22" s="1431">
        <f t="shared" ref="AT22:AT27" si="31">IF(AND(BI22&lt;&gt;0,BI22&gt;0),IF((AX$17*2)&gt;=BI22,0,1),IF(AND(BI22&lt;&gt;0,BI22&lt;0),IF((AX$17*2)&lt;=BI22,0,1),0))</f>
        <v>0</v>
      </c>
      <c r="AU22" s="1431">
        <f t="shared" ref="AU22:AU27" si="32">IF(AND(BI22&lt;&gt;0,BI22&gt;0),IF((AX$17*1)&gt;=BI22,0,1),IF(AND(BI22&lt;&gt;0,BI22&lt;0),IF((AX$17*1)&lt;=BI22,0,1),0))</f>
        <v>0</v>
      </c>
      <c r="AV22" s="1431">
        <f t="shared" ref="AV22:AV27" si="33">IF(BI22&lt;&gt;0,1,0)</f>
        <v>0</v>
      </c>
      <c r="AW22" s="1432"/>
      <c r="AX22" s="1431">
        <f t="shared" ref="AX22:AX27" si="34">IF(BJ22&lt;&gt;0,1,0)</f>
        <v>0</v>
      </c>
      <c r="AY22" s="1431">
        <f t="shared" ref="AY22:AY27" si="35">IF(AND(BJ22&lt;&gt;0,BJ22&gt;0),IF((AX$17*1)&gt;=BJ22,0,1),IF(AND(BJ22&lt;&gt;0,BJ22&lt;0),IF((AX$17*1)&lt;=BJ22,0,1),0))</f>
        <v>0</v>
      </c>
      <c r="AZ22" s="1431">
        <f t="shared" ref="AZ22:AZ27" si="36">IF(AND(BJ22&lt;&gt;0,BJ22&gt;0),IF((AX$17*2)&gt;=BJ22,0,1),IF(AND(BJ22&lt;&gt;0,BJ22&lt;0),IF((AX$17*2)&lt;=BJ22,0,1),0))</f>
        <v>0</v>
      </c>
      <c r="BA22" s="1431">
        <f t="shared" ref="BA22:BA27" si="37">IF(AND(BJ22&lt;&gt;0,BJ22&gt;0),IF((AX$17*3)&gt;=BJ22,0,1),IF(AND(BJ22&lt;&gt;0,BJ22&lt;0),IF((AX$17*3)&lt;=BJ22,0,1),0))</f>
        <v>0</v>
      </c>
      <c r="BB22" s="1431">
        <f t="shared" ref="BB22:BB27" si="38">IF(AND(BJ22&lt;&gt;0,BJ22&gt;0),IF((AX$17*4)&gt;=BJ22,0,1),IF(AND(BJ22&lt;&gt;0,BJ22&lt;0),IF((AX$17*4)&lt;=BJ22,0,1),0))</f>
        <v>0</v>
      </c>
      <c r="BC22" s="1431">
        <f t="shared" ref="BC22:BC27" si="39">IF(AND(BJ22&lt;&gt;0,BJ22&gt;0),IF((AX$17*5)&gt;=BJ22,0,1),IF(AND(BJ22&lt;&gt;0,BJ22&lt;0),IF((AX$17*5)&lt;=BJ22,0,1),0))</f>
        <v>0</v>
      </c>
      <c r="BD22" s="1431">
        <f t="shared" ref="BD22:BD27" si="40">IF(AND(BJ22&lt;&gt;0,BJ22&gt;0),IF((AX$17*6)&gt;=BJ22,0,1),IF(AND(BJ22&lt;&gt;0,BJ22&lt;0),IF((AX$17*6)&lt;=BJ22,0,1),0))</f>
        <v>0</v>
      </c>
      <c r="BE22" s="1431">
        <f t="shared" ref="BE22:BE27" si="41">IF(AND(BJ22&lt;&gt;0,BJ22&gt;0),IF((AX$17*7)&gt;=BJ22,0,1),IF(AND(BJ22&lt;&gt;0,BJ22&lt;0),IF((AX$17*7)&lt;=BJ22,0,1),0))</f>
        <v>0</v>
      </c>
      <c r="BF22" s="1431">
        <f t="shared" ref="BF22:BF27" si="42">IF(AND(BJ22&lt;&gt;0,BJ22&gt;0),IF((AX$17*8)&gt;=BJ22,0,1),IF(AND(BJ22&lt;&gt;0,BJ22&lt;0),IF((AX$17*8)&lt;=BJ22,0,1),0))</f>
        <v>0</v>
      </c>
      <c r="BG22" s="1431">
        <f t="shared" ref="BG22:BG27" si="43">IF(AND(BJ22&lt;&gt;0,BJ22&gt;0),IF((AX$17*9)&gt;=BJ22,0,1),IF(AND(BJ22&lt;&gt;0,BJ22&lt;0),IF((AX$17*9)&lt;=BJ22,0,1),0))</f>
        <v>0</v>
      </c>
      <c r="BH22" s="32"/>
      <c r="BI22" s="1070">
        <f t="shared" ref="BI22:BI27" si="44">IF(ISERROR(D22/O22*100),0,IF(D22&gt;=E22,ROUND(D22/O22*100,-1),100-BJ22))</f>
        <v>0</v>
      </c>
      <c r="BJ22" s="1070">
        <f t="shared" ref="BJ22:BJ27" si="45">IF(ISERROR(E22/O22*100),0,IF(E22&gt;=D22,ROUND(E22/O22*100,-1),100-BI22))</f>
        <v>0</v>
      </c>
      <c r="BK22" s="32"/>
    </row>
    <row r="23" spans="1:63" ht="19.5" customHeight="1" x14ac:dyDescent="0.2">
      <c r="A23" s="32"/>
      <c r="B23" s="32"/>
      <c r="C23" s="423" t="str">
        <f>RIEPILOGO!B9</f>
        <v>Aliquota 10 %</v>
      </c>
      <c r="D23" s="418">
        <f>IF(C112=0,0,SUMIF(CASSA!AM114:AM479,"X",CASSA!AQ114:AQ479)+SUMIF(CASSA!AM114:AM479,"X",CASSA!AV114:AV479)-D89)</f>
        <v>0</v>
      </c>
      <c r="E23" s="344">
        <f>IF(C112=0,0,SUMIF(CASSA!AL114:AL479,"Y",CASSA!AQ114:AQ479)+SUMIF(CASSA!AL114:AL479,"Y",CASSA!AV114:AV479)-E89)</f>
        <v>0</v>
      </c>
      <c r="F23" s="1070" t="e">
        <f t="shared" si="0"/>
        <v>#DIV/0!</v>
      </c>
      <c r="G23" s="1387" t="e">
        <f t="shared" si="0"/>
        <v>#DIV/0!</v>
      </c>
      <c r="H23" s="1388" t="e">
        <f t="shared" si="1"/>
        <v>#DIV/0!</v>
      </c>
      <c r="I23" s="1389" t="e">
        <f t="shared" si="2"/>
        <v>#DIV/0!</v>
      </c>
      <c r="J23" s="32"/>
      <c r="K23" s="32"/>
      <c r="L23" s="32"/>
      <c r="N23" s="32"/>
      <c r="O23" s="1074">
        <f t="shared" si="3"/>
        <v>0</v>
      </c>
      <c r="P23" s="32"/>
      <c r="Q23" s="1431">
        <f t="shared" si="4"/>
        <v>0</v>
      </c>
      <c r="R23" s="1431">
        <f t="shared" si="5"/>
        <v>0</v>
      </c>
      <c r="S23" s="1431">
        <f t="shared" si="6"/>
        <v>0</v>
      </c>
      <c r="T23" s="1431">
        <f t="shared" si="7"/>
        <v>0</v>
      </c>
      <c r="U23" s="1431">
        <f t="shared" si="8"/>
        <v>0</v>
      </c>
      <c r="V23" s="1431">
        <f t="shared" si="9"/>
        <v>0</v>
      </c>
      <c r="W23" s="1431">
        <f t="shared" si="10"/>
        <v>0</v>
      </c>
      <c r="X23" s="1431">
        <f t="shared" si="11"/>
        <v>0</v>
      </c>
      <c r="Y23" s="1431">
        <f t="shared" si="12"/>
        <v>0</v>
      </c>
      <c r="Z23" s="1431">
        <f t="shared" si="13"/>
        <v>0</v>
      </c>
      <c r="AA23" s="1432"/>
      <c r="AB23" s="1431">
        <f t="shared" si="14"/>
        <v>0</v>
      </c>
      <c r="AC23" s="1431">
        <f t="shared" si="15"/>
        <v>0</v>
      </c>
      <c r="AD23" s="1431">
        <f t="shared" si="16"/>
        <v>0</v>
      </c>
      <c r="AE23" s="1431">
        <f t="shared" si="17"/>
        <v>0</v>
      </c>
      <c r="AF23" s="1431">
        <f t="shared" si="18"/>
        <v>0</v>
      </c>
      <c r="AG23" s="1431">
        <f t="shared" si="19"/>
        <v>0</v>
      </c>
      <c r="AH23" s="1431">
        <f t="shared" si="20"/>
        <v>0</v>
      </c>
      <c r="AI23" s="1431">
        <f t="shared" si="21"/>
        <v>0</v>
      </c>
      <c r="AJ23" s="1431">
        <f t="shared" si="22"/>
        <v>0</v>
      </c>
      <c r="AK23" s="1431">
        <f t="shared" si="23"/>
        <v>0</v>
      </c>
      <c r="AL23" s="32"/>
      <c r="AM23" s="1431">
        <f t="shared" si="24"/>
        <v>0</v>
      </c>
      <c r="AN23" s="1431">
        <f t="shared" si="25"/>
        <v>0</v>
      </c>
      <c r="AO23" s="1431">
        <f t="shared" si="26"/>
        <v>0</v>
      </c>
      <c r="AP23" s="1431">
        <f t="shared" si="27"/>
        <v>0</v>
      </c>
      <c r="AQ23" s="1431">
        <f t="shared" si="28"/>
        <v>0</v>
      </c>
      <c r="AR23" s="1431">
        <f t="shared" si="29"/>
        <v>0</v>
      </c>
      <c r="AS23" s="1431">
        <f t="shared" si="30"/>
        <v>0</v>
      </c>
      <c r="AT23" s="1431">
        <f t="shared" si="31"/>
        <v>0</v>
      </c>
      <c r="AU23" s="1431">
        <f t="shared" si="32"/>
        <v>0</v>
      </c>
      <c r="AV23" s="1431">
        <f t="shared" si="33"/>
        <v>0</v>
      </c>
      <c r="AW23" s="1432"/>
      <c r="AX23" s="1431">
        <f t="shared" si="34"/>
        <v>0</v>
      </c>
      <c r="AY23" s="1431">
        <f t="shared" si="35"/>
        <v>0</v>
      </c>
      <c r="AZ23" s="1431">
        <f t="shared" si="36"/>
        <v>0</v>
      </c>
      <c r="BA23" s="1431">
        <f t="shared" si="37"/>
        <v>0</v>
      </c>
      <c r="BB23" s="1431">
        <f t="shared" si="38"/>
        <v>0</v>
      </c>
      <c r="BC23" s="1431">
        <f t="shared" si="39"/>
        <v>0</v>
      </c>
      <c r="BD23" s="1431">
        <f t="shared" si="40"/>
        <v>0</v>
      </c>
      <c r="BE23" s="1431">
        <f t="shared" si="41"/>
        <v>0</v>
      </c>
      <c r="BF23" s="1431">
        <f t="shared" si="42"/>
        <v>0</v>
      </c>
      <c r="BG23" s="1431">
        <f t="shared" si="43"/>
        <v>0</v>
      </c>
      <c r="BH23" s="32"/>
      <c r="BI23" s="1070">
        <f t="shared" si="44"/>
        <v>0</v>
      </c>
      <c r="BJ23" s="1070">
        <f t="shared" si="45"/>
        <v>0</v>
      </c>
      <c r="BK23" s="32"/>
    </row>
    <row r="24" spans="1:63" ht="19.5" customHeight="1" x14ac:dyDescent="0.2">
      <c r="A24" s="32"/>
      <c r="B24" s="32"/>
      <c r="C24" s="423" t="str">
        <f>RIEPILOGO!B10</f>
        <v>Aliquota 4 %</v>
      </c>
      <c r="D24" s="418">
        <f>IF(C112=0,0,SUMIF(CASSA!AM114:AM479,"X",CASSA!AR114:AR479)+SUMIF(CASSA!AM114:AM479,"X",CASSA!AW114:AW479)-D90)</f>
        <v>0</v>
      </c>
      <c r="E24" s="344">
        <f>IF(C112=0,0,SUMIF(CASSA!AL114:AL479,"Y",CASSA!AR114:AR479)+SUMIF(CASSA!AL114:AL479,"Y",CASSA!AW114:AW479)-E90)</f>
        <v>0</v>
      </c>
      <c r="F24" s="1070" t="e">
        <f t="shared" si="0"/>
        <v>#DIV/0!</v>
      </c>
      <c r="G24" s="1387" t="e">
        <f t="shared" si="0"/>
        <v>#DIV/0!</v>
      </c>
      <c r="H24" s="1388" t="e">
        <f t="shared" si="1"/>
        <v>#DIV/0!</v>
      </c>
      <c r="I24" s="1389" t="e">
        <f t="shared" si="2"/>
        <v>#DIV/0!</v>
      </c>
      <c r="J24" s="32"/>
      <c r="K24" s="32"/>
      <c r="L24" s="32"/>
      <c r="N24" s="32"/>
      <c r="O24" s="1074">
        <f t="shared" si="3"/>
        <v>0</v>
      </c>
      <c r="P24" s="32"/>
      <c r="Q24" s="1431">
        <f t="shared" si="4"/>
        <v>0</v>
      </c>
      <c r="R24" s="1431">
        <f t="shared" si="5"/>
        <v>0</v>
      </c>
      <c r="S24" s="1431">
        <f t="shared" si="6"/>
        <v>0</v>
      </c>
      <c r="T24" s="1431">
        <f t="shared" si="7"/>
        <v>0</v>
      </c>
      <c r="U24" s="1431">
        <f t="shared" si="8"/>
        <v>0</v>
      </c>
      <c r="V24" s="1431">
        <f t="shared" si="9"/>
        <v>0</v>
      </c>
      <c r="W24" s="1431">
        <f t="shared" si="10"/>
        <v>0</v>
      </c>
      <c r="X24" s="1431">
        <f t="shared" si="11"/>
        <v>0</v>
      </c>
      <c r="Y24" s="1431">
        <f t="shared" si="12"/>
        <v>0</v>
      </c>
      <c r="Z24" s="1431">
        <f t="shared" si="13"/>
        <v>0</v>
      </c>
      <c r="AA24" s="1432"/>
      <c r="AB24" s="1431">
        <f t="shared" si="14"/>
        <v>0</v>
      </c>
      <c r="AC24" s="1431">
        <f t="shared" si="15"/>
        <v>0</v>
      </c>
      <c r="AD24" s="1431">
        <f t="shared" si="16"/>
        <v>0</v>
      </c>
      <c r="AE24" s="1431">
        <f t="shared" si="17"/>
        <v>0</v>
      </c>
      <c r="AF24" s="1431">
        <f t="shared" si="18"/>
        <v>0</v>
      </c>
      <c r="AG24" s="1431">
        <f t="shared" si="19"/>
        <v>0</v>
      </c>
      <c r="AH24" s="1431">
        <f t="shared" si="20"/>
        <v>0</v>
      </c>
      <c r="AI24" s="1431">
        <f t="shared" si="21"/>
        <v>0</v>
      </c>
      <c r="AJ24" s="1431">
        <f t="shared" si="22"/>
        <v>0</v>
      </c>
      <c r="AK24" s="1431">
        <f t="shared" si="23"/>
        <v>0</v>
      </c>
      <c r="AL24" s="32"/>
      <c r="AM24" s="1431">
        <f t="shared" si="24"/>
        <v>0</v>
      </c>
      <c r="AN24" s="1431">
        <f t="shared" si="25"/>
        <v>0</v>
      </c>
      <c r="AO24" s="1431">
        <f t="shared" si="26"/>
        <v>0</v>
      </c>
      <c r="AP24" s="1431">
        <f t="shared" si="27"/>
        <v>0</v>
      </c>
      <c r="AQ24" s="1431">
        <f t="shared" si="28"/>
        <v>0</v>
      </c>
      <c r="AR24" s="1431">
        <f t="shared" si="29"/>
        <v>0</v>
      </c>
      <c r="AS24" s="1431">
        <f t="shared" si="30"/>
        <v>0</v>
      </c>
      <c r="AT24" s="1431">
        <f t="shared" si="31"/>
        <v>0</v>
      </c>
      <c r="AU24" s="1431">
        <f t="shared" si="32"/>
        <v>0</v>
      </c>
      <c r="AV24" s="1431">
        <f t="shared" si="33"/>
        <v>0</v>
      </c>
      <c r="AW24" s="1432"/>
      <c r="AX24" s="1431">
        <f t="shared" si="34"/>
        <v>0</v>
      </c>
      <c r="AY24" s="1431">
        <f t="shared" si="35"/>
        <v>0</v>
      </c>
      <c r="AZ24" s="1431">
        <f t="shared" si="36"/>
        <v>0</v>
      </c>
      <c r="BA24" s="1431">
        <f t="shared" si="37"/>
        <v>0</v>
      </c>
      <c r="BB24" s="1431">
        <f t="shared" si="38"/>
        <v>0</v>
      </c>
      <c r="BC24" s="1431">
        <f t="shared" si="39"/>
        <v>0</v>
      </c>
      <c r="BD24" s="1431">
        <f t="shared" si="40"/>
        <v>0</v>
      </c>
      <c r="BE24" s="1431">
        <f t="shared" si="41"/>
        <v>0</v>
      </c>
      <c r="BF24" s="1431">
        <f t="shared" si="42"/>
        <v>0</v>
      </c>
      <c r="BG24" s="1431">
        <f t="shared" si="43"/>
        <v>0</v>
      </c>
      <c r="BH24" s="32"/>
      <c r="BI24" s="1070">
        <f t="shared" si="44"/>
        <v>0</v>
      </c>
      <c r="BJ24" s="1070">
        <f t="shared" si="45"/>
        <v>0</v>
      </c>
      <c r="BK24" s="32"/>
    </row>
    <row r="25" spans="1:63" ht="19.5" customHeight="1" x14ac:dyDescent="0.2">
      <c r="A25" s="32"/>
      <c r="B25" s="32"/>
      <c r="C25" s="430" t="str">
        <f>RIEPILOGO!B11</f>
        <v/>
      </c>
      <c r="D25" s="420">
        <f>IF(C112=0,0,SUMIF(CASSA!AM114:AM479,"X",CASSA!AS114:AS479)+SUMIF(CASSA!AM114:AM479,"X",CASSA!AX114:AX479)-D91)</f>
        <v>0</v>
      </c>
      <c r="E25" s="347">
        <f>IF(C112=0,0,SUMIF(CASSA!AL114:AL479,"Y",CASSA!AS114:AS479)+SUMIF(CASSA!AL114:AL479,"Y",CASSA!AX114:AX479)-E91)</f>
        <v>0</v>
      </c>
      <c r="F25" s="1070" t="e">
        <f t="shared" si="0"/>
        <v>#DIV/0!</v>
      </c>
      <c r="G25" s="1387" t="e">
        <f t="shared" si="0"/>
        <v>#DIV/0!</v>
      </c>
      <c r="H25" s="1388" t="e">
        <f t="shared" si="1"/>
        <v>#DIV/0!</v>
      </c>
      <c r="I25" s="1389" t="e">
        <f t="shared" si="2"/>
        <v>#DIV/0!</v>
      </c>
      <c r="J25" s="32"/>
      <c r="K25" s="32"/>
      <c r="L25" s="32"/>
      <c r="N25" s="32"/>
      <c r="O25" s="1074">
        <f t="shared" si="3"/>
        <v>0</v>
      </c>
      <c r="P25" s="32"/>
      <c r="Q25" s="1431">
        <f t="shared" si="4"/>
        <v>0</v>
      </c>
      <c r="R25" s="1431">
        <f t="shared" si="5"/>
        <v>0</v>
      </c>
      <c r="S25" s="1431">
        <f t="shared" si="6"/>
        <v>0</v>
      </c>
      <c r="T25" s="1431">
        <f t="shared" si="7"/>
        <v>0</v>
      </c>
      <c r="U25" s="1431">
        <f t="shared" si="8"/>
        <v>0</v>
      </c>
      <c r="V25" s="1431">
        <f t="shared" si="9"/>
        <v>0</v>
      </c>
      <c r="W25" s="1431">
        <f t="shared" si="10"/>
        <v>0</v>
      </c>
      <c r="X25" s="1431">
        <f t="shared" si="11"/>
        <v>0</v>
      </c>
      <c r="Y25" s="1431">
        <f t="shared" si="12"/>
        <v>0</v>
      </c>
      <c r="Z25" s="1431">
        <f t="shared" si="13"/>
        <v>0</v>
      </c>
      <c r="AA25" s="1432"/>
      <c r="AB25" s="1431">
        <f t="shared" si="14"/>
        <v>0</v>
      </c>
      <c r="AC25" s="1431">
        <f t="shared" si="15"/>
        <v>0</v>
      </c>
      <c r="AD25" s="1431">
        <f t="shared" si="16"/>
        <v>0</v>
      </c>
      <c r="AE25" s="1431">
        <f t="shared" si="17"/>
        <v>0</v>
      </c>
      <c r="AF25" s="1431">
        <f t="shared" si="18"/>
        <v>0</v>
      </c>
      <c r="AG25" s="1431">
        <f t="shared" si="19"/>
        <v>0</v>
      </c>
      <c r="AH25" s="1431">
        <f t="shared" si="20"/>
        <v>0</v>
      </c>
      <c r="AI25" s="1431">
        <f t="shared" si="21"/>
        <v>0</v>
      </c>
      <c r="AJ25" s="1431">
        <f t="shared" si="22"/>
        <v>0</v>
      </c>
      <c r="AK25" s="1431">
        <f t="shared" si="23"/>
        <v>0</v>
      </c>
      <c r="AL25" s="32"/>
      <c r="AM25" s="1431">
        <f t="shared" si="24"/>
        <v>0</v>
      </c>
      <c r="AN25" s="1431">
        <f t="shared" si="25"/>
        <v>0</v>
      </c>
      <c r="AO25" s="1431">
        <f t="shared" si="26"/>
        <v>0</v>
      </c>
      <c r="AP25" s="1431">
        <f t="shared" si="27"/>
        <v>0</v>
      </c>
      <c r="AQ25" s="1431">
        <f t="shared" si="28"/>
        <v>0</v>
      </c>
      <c r="AR25" s="1431">
        <f t="shared" si="29"/>
        <v>0</v>
      </c>
      <c r="AS25" s="1431">
        <f t="shared" si="30"/>
        <v>0</v>
      </c>
      <c r="AT25" s="1431">
        <f t="shared" si="31"/>
        <v>0</v>
      </c>
      <c r="AU25" s="1431">
        <f t="shared" si="32"/>
        <v>0</v>
      </c>
      <c r="AV25" s="1431">
        <f t="shared" si="33"/>
        <v>0</v>
      </c>
      <c r="AW25" s="1432"/>
      <c r="AX25" s="1431">
        <f t="shared" si="34"/>
        <v>0</v>
      </c>
      <c r="AY25" s="1431">
        <f t="shared" si="35"/>
        <v>0</v>
      </c>
      <c r="AZ25" s="1431">
        <f t="shared" si="36"/>
        <v>0</v>
      </c>
      <c r="BA25" s="1431">
        <f t="shared" si="37"/>
        <v>0</v>
      </c>
      <c r="BB25" s="1431">
        <f t="shared" si="38"/>
        <v>0</v>
      </c>
      <c r="BC25" s="1431">
        <f t="shared" si="39"/>
        <v>0</v>
      </c>
      <c r="BD25" s="1431">
        <f t="shared" si="40"/>
        <v>0</v>
      </c>
      <c r="BE25" s="1431">
        <f t="shared" si="41"/>
        <v>0</v>
      </c>
      <c r="BF25" s="1431">
        <f t="shared" si="42"/>
        <v>0</v>
      </c>
      <c r="BG25" s="1431">
        <f t="shared" si="43"/>
        <v>0</v>
      </c>
      <c r="BH25" s="32"/>
      <c r="BI25" s="1070">
        <f t="shared" si="44"/>
        <v>0</v>
      </c>
      <c r="BJ25" s="1070">
        <f t="shared" si="45"/>
        <v>0</v>
      </c>
      <c r="BK25" s="32"/>
    </row>
    <row r="26" spans="1:63" ht="19.5" hidden="1" customHeight="1" x14ac:dyDescent="0.2">
      <c r="A26" s="32"/>
      <c r="B26" s="32"/>
      <c r="C26" s="421" t="str">
        <f>RIEPILOGO!B12</f>
        <v>IVA Ventilata</v>
      </c>
      <c r="D26" s="420">
        <f>IF(C112=0,0,SUMIF(CASSA!AM114:AM479,"X",CASSA!AZ114:AZ479)-D92)</f>
        <v>0</v>
      </c>
      <c r="E26" s="347">
        <f>IF(C112=0,0,SUMIF(CASSA!AL114:AL479,"Y",CASSA!AZ114:AZ479)-E92)</f>
        <v>0</v>
      </c>
      <c r="F26" s="1070" t="e">
        <f>D26/D$19*100</f>
        <v>#DIV/0!</v>
      </c>
      <c r="G26" s="1387" t="e">
        <f>E26/E$19*100</f>
        <v>#DIV/0!</v>
      </c>
      <c r="H26" s="1388" t="e">
        <f>(D26-E26)/E26*100</f>
        <v>#DIV/0!</v>
      </c>
      <c r="I26" s="1389" t="e">
        <f>(E26-D26)/D26*100</f>
        <v>#DIV/0!</v>
      </c>
      <c r="J26" s="32"/>
      <c r="K26" s="32"/>
      <c r="L26" s="32"/>
      <c r="N26" s="32"/>
      <c r="O26" s="1074">
        <f t="shared" si="3"/>
        <v>0</v>
      </c>
      <c r="P26" s="32"/>
      <c r="Q26" s="1431">
        <f t="shared" si="4"/>
        <v>0</v>
      </c>
      <c r="R26" s="1431">
        <f t="shared" si="5"/>
        <v>0</v>
      </c>
      <c r="S26" s="1431">
        <f t="shared" si="6"/>
        <v>0</v>
      </c>
      <c r="T26" s="1431">
        <f t="shared" si="7"/>
        <v>0</v>
      </c>
      <c r="U26" s="1431">
        <f t="shared" si="8"/>
        <v>0</v>
      </c>
      <c r="V26" s="1431">
        <f t="shared" si="9"/>
        <v>0</v>
      </c>
      <c r="W26" s="1431">
        <f t="shared" si="10"/>
        <v>0</v>
      </c>
      <c r="X26" s="1431">
        <f t="shared" si="11"/>
        <v>0</v>
      </c>
      <c r="Y26" s="1431">
        <f t="shared" si="12"/>
        <v>0</v>
      </c>
      <c r="Z26" s="1431">
        <f>IF(D26&lt;&gt;0,1,0)</f>
        <v>0</v>
      </c>
      <c r="AA26" s="1432"/>
      <c r="AB26" s="1431">
        <f>IF(E26&lt;&gt;0,1,0)</f>
        <v>0</v>
      </c>
      <c r="AC26" s="1431">
        <f t="shared" si="15"/>
        <v>0</v>
      </c>
      <c r="AD26" s="1431">
        <f t="shared" si="16"/>
        <v>0</v>
      </c>
      <c r="AE26" s="1431">
        <f t="shared" si="17"/>
        <v>0</v>
      </c>
      <c r="AF26" s="1431">
        <f t="shared" si="18"/>
        <v>0</v>
      </c>
      <c r="AG26" s="1431">
        <f t="shared" si="19"/>
        <v>0</v>
      </c>
      <c r="AH26" s="1431">
        <f t="shared" si="20"/>
        <v>0</v>
      </c>
      <c r="AI26" s="1431">
        <f t="shared" si="21"/>
        <v>0</v>
      </c>
      <c r="AJ26" s="1431">
        <f t="shared" si="22"/>
        <v>0</v>
      </c>
      <c r="AK26" s="1431">
        <f t="shared" si="23"/>
        <v>0</v>
      </c>
      <c r="AL26" s="32"/>
      <c r="AM26" s="1431">
        <f t="shared" si="24"/>
        <v>0</v>
      </c>
      <c r="AN26" s="1431">
        <f t="shared" si="25"/>
        <v>0</v>
      </c>
      <c r="AO26" s="1431">
        <f t="shared" si="26"/>
        <v>0</v>
      </c>
      <c r="AP26" s="1431">
        <f t="shared" si="27"/>
        <v>0</v>
      </c>
      <c r="AQ26" s="1431">
        <f t="shared" si="28"/>
        <v>0</v>
      </c>
      <c r="AR26" s="1431">
        <f t="shared" si="29"/>
        <v>0</v>
      </c>
      <c r="AS26" s="1431">
        <f t="shared" si="30"/>
        <v>0</v>
      </c>
      <c r="AT26" s="1431">
        <f t="shared" si="31"/>
        <v>0</v>
      </c>
      <c r="AU26" s="1431">
        <f t="shared" si="32"/>
        <v>0</v>
      </c>
      <c r="AV26" s="1431">
        <f t="shared" si="33"/>
        <v>0</v>
      </c>
      <c r="AW26" s="1432"/>
      <c r="AX26" s="1431">
        <f t="shared" si="34"/>
        <v>0</v>
      </c>
      <c r="AY26" s="1431">
        <f t="shared" si="35"/>
        <v>0</v>
      </c>
      <c r="AZ26" s="1431">
        <f t="shared" si="36"/>
        <v>0</v>
      </c>
      <c r="BA26" s="1431">
        <f t="shared" si="37"/>
        <v>0</v>
      </c>
      <c r="BB26" s="1431">
        <f t="shared" si="38"/>
        <v>0</v>
      </c>
      <c r="BC26" s="1431">
        <f t="shared" si="39"/>
        <v>0</v>
      </c>
      <c r="BD26" s="1431">
        <f t="shared" si="40"/>
        <v>0</v>
      </c>
      <c r="BE26" s="1431">
        <f t="shared" si="41"/>
        <v>0</v>
      </c>
      <c r="BF26" s="1431">
        <f t="shared" si="42"/>
        <v>0</v>
      </c>
      <c r="BG26" s="1431">
        <f t="shared" si="43"/>
        <v>0</v>
      </c>
      <c r="BH26" s="32"/>
      <c r="BI26" s="1070">
        <f t="shared" si="44"/>
        <v>0</v>
      </c>
      <c r="BJ26" s="1070">
        <f t="shared" si="45"/>
        <v>0</v>
      </c>
      <c r="BK26" s="32"/>
    </row>
    <row r="27" spans="1:63" ht="19.5" customHeight="1" x14ac:dyDescent="0.2">
      <c r="A27" s="32"/>
      <c r="B27" s="32"/>
      <c r="C27" s="421" t="str">
        <f>RIEPILOGO!B13</f>
        <v>IVA a DEBITO</v>
      </c>
      <c r="D27" s="1067">
        <f>SUM(D22:D26)</f>
        <v>0</v>
      </c>
      <c r="E27" s="748">
        <f>SUM(E22:E26)</f>
        <v>0</v>
      </c>
      <c r="F27" s="784" t="e">
        <f t="shared" si="0"/>
        <v>#DIV/0!</v>
      </c>
      <c r="G27" s="785" t="e">
        <f t="shared" si="0"/>
        <v>#DIV/0!</v>
      </c>
      <c r="H27" s="786" t="e">
        <f t="shared" si="1"/>
        <v>#DIV/0!</v>
      </c>
      <c r="I27" s="787" t="e">
        <f t="shared" si="2"/>
        <v>#DIV/0!</v>
      </c>
      <c r="J27" s="32"/>
      <c r="K27" s="32"/>
      <c r="L27" s="32"/>
      <c r="N27" s="32"/>
      <c r="O27" s="1076">
        <f t="shared" si="3"/>
        <v>0</v>
      </c>
      <c r="P27" s="32"/>
      <c r="Q27" s="1431">
        <f t="shared" si="4"/>
        <v>0</v>
      </c>
      <c r="R27" s="1431">
        <f t="shared" si="5"/>
        <v>0</v>
      </c>
      <c r="S27" s="1431">
        <f t="shared" si="6"/>
        <v>0</v>
      </c>
      <c r="T27" s="1431">
        <f t="shared" si="7"/>
        <v>0</v>
      </c>
      <c r="U27" s="1431">
        <f t="shared" si="8"/>
        <v>0</v>
      </c>
      <c r="V27" s="1431">
        <f t="shared" si="9"/>
        <v>0</v>
      </c>
      <c r="W27" s="1431">
        <f t="shared" si="10"/>
        <v>0</v>
      </c>
      <c r="X27" s="1431">
        <f t="shared" si="11"/>
        <v>0</v>
      </c>
      <c r="Y27" s="1431">
        <f t="shared" si="12"/>
        <v>0</v>
      </c>
      <c r="Z27" s="1431">
        <f t="shared" si="13"/>
        <v>0</v>
      </c>
      <c r="AA27" s="1432"/>
      <c r="AB27" s="1431">
        <f t="shared" si="14"/>
        <v>0</v>
      </c>
      <c r="AC27" s="1431">
        <f t="shared" si="15"/>
        <v>0</v>
      </c>
      <c r="AD27" s="1431">
        <f t="shared" si="16"/>
        <v>0</v>
      </c>
      <c r="AE27" s="1431">
        <f t="shared" si="17"/>
        <v>0</v>
      </c>
      <c r="AF27" s="1431">
        <f t="shared" si="18"/>
        <v>0</v>
      </c>
      <c r="AG27" s="1431">
        <f t="shared" si="19"/>
        <v>0</v>
      </c>
      <c r="AH27" s="1431">
        <f t="shared" si="20"/>
        <v>0</v>
      </c>
      <c r="AI27" s="1431">
        <f t="shared" si="21"/>
        <v>0</v>
      </c>
      <c r="AJ27" s="1431">
        <f t="shared" si="22"/>
        <v>0</v>
      </c>
      <c r="AK27" s="1431">
        <f t="shared" si="23"/>
        <v>0</v>
      </c>
      <c r="AL27" s="32"/>
      <c r="AM27" s="1431">
        <f t="shared" si="24"/>
        <v>0</v>
      </c>
      <c r="AN27" s="1431">
        <f t="shared" si="25"/>
        <v>0</v>
      </c>
      <c r="AO27" s="1431">
        <f t="shared" si="26"/>
        <v>0</v>
      </c>
      <c r="AP27" s="1431">
        <f t="shared" si="27"/>
        <v>0</v>
      </c>
      <c r="AQ27" s="1431">
        <f t="shared" si="28"/>
        <v>0</v>
      </c>
      <c r="AR27" s="1431">
        <f t="shared" si="29"/>
        <v>0</v>
      </c>
      <c r="AS27" s="1431">
        <f t="shared" si="30"/>
        <v>0</v>
      </c>
      <c r="AT27" s="1431">
        <f t="shared" si="31"/>
        <v>0</v>
      </c>
      <c r="AU27" s="1431">
        <f t="shared" si="32"/>
        <v>0</v>
      </c>
      <c r="AV27" s="1431">
        <f t="shared" si="33"/>
        <v>0</v>
      </c>
      <c r="AW27" s="1432"/>
      <c r="AX27" s="1431">
        <f t="shared" si="34"/>
        <v>0</v>
      </c>
      <c r="AY27" s="1431">
        <f t="shared" si="35"/>
        <v>0</v>
      </c>
      <c r="AZ27" s="1431">
        <f t="shared" si="36"/>
        <v>0</v>
      </c>
      <c r="BA27" s="1431">
        <f t="shared" si="37"/>
        <v>0</v>
      </c>
      <c r="BB27" s="1431">
        <f t="shared" si="38"/>
        <v>0</v>
      </c>
      <c r="BC27" s="1431">
        <f t="shared" si="39"/>
        <v>0</v>
      </c>
      <c r="BD27" s="1431">
        <f t="shared" si="40"/>
        <v>0</v>
      </c>
      <c r="BE27" s="1431">
        <f t="shared" si="41"/>
        <v>0</v>
      </c>
      <c r="BF27" s="1431">
        <f t="shared" si="42"/>
        <v>0</v>
      </c>
      <c r="BG27" s="1431">
        <f t="shared" si="43"/>
        <v>0</v>
      </c>
      <c r="BH27" s="32"/>
      <c r="BI27" s="1070">
        <f t="shared" si="44"/>
        <v>0</v>
      </c>
      <c r="BJ27" s="1070">
        <f t="shared" si="45"/>
        <v>0</v>
      </c>
      <c r="BK27" s="32"/>
    </row>
    <row r="28" spans="1:63" ht="19.5" customHeight="1" x14ac:dyDescent="0.2">
      <c r="A28" s="32"/>
      <c r="B28" s="32"/>
      <c r="C28" s="1390" t="s">
        <v>839</v>
      </c>
      <c r="D28" s="490" t="e">
        <f>D19/SUM($D19:$E19)*100</f>
        <v>#DIV/0!</v>
      </c>
      <c r="E28" s="490" t="e">
        <f>E19/SUM($D19:$E19)*100</f>
        <v>#DIV/0!</v>
      </c>
      <c r="F28" s="39"/>
      <c r="G28" s="32"/>
      <c r="H28" s="32"/>
      <c r="I28" s="32"/>
      <c r="J28" s="123"/>
      <c r="K28" s="123"/>
      <c r="L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c r="BI28" s="32"/>
      <c r="BJ28" s="32"/>
      <c r="BK28" s="32"/>
    </row>
    <row r="29" spans="1:63" ht="19.5" customHeight="1" x14ac:dyDescent="0.2">
      <c r="A29" s="32"/>
      <c r="B29" s="32"/>
      <c r="C29" s="466"/>
      <c r="D29" s="444"/>
      <c r="E29" s="444"/>
      <c r="F29" s="39"/>
      <c r="G29" s="32"/>
      <c r="H29" s="32"/>
      <c r="I29" s="32"/>
      <c r="J29" s="123"/>
      <c r="K29" s="123"/>
      <c r="L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c r="BI29" s="32"/>
      <c r="BJ29" s="32"/>
      <c r="BK29" s="32"/>
    </row>
    <row r="30" spans="1:63" ht="19.5" customHeight="1" x14ac:dyDescent="0.3">
      <c r="A30" s="487"/>
      <c r="B30" s="942" t="s">
        <v>433</v>
      </c>
      <c r="C30" s="944"/>
      <c r="D30" s="945"/>
      <c r="E30" s="944"/>
      <c r="F30" s="32"/>
      <c r="G30" s="943"/>
      <c r="H30" s="943"/>
      <c r="I30" s="943"/>
      <c r="J30" s="432"/>
      <c r="K30" s="32"/>
      <c r="L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row>
    <row r="31" spans="1:63" ht="19.5" customHeight="1" x14ac:dyDescent="0.2">
      <c r="A31" s="32"/>
      <c r="B31" s="32"/>
      <c r="C31" s="467"/>
      <c r="D31" s="773" t="str">
        <f>D$17</f>
        <v>PERIODO</v>
      </c>
      <c r="E31" s="413" t="str">
        <f>E$17</f>
        <v>Confronta con</v>
      </c>
      <c r="F31" s="2599" t="s">
        <v>632</v>
      </c>
      <c r="G31" s="2599"/>
      <c r="H31" s="2599" t="s">
        <v>773</v>
      </c>
      <c r="I31" s="2599"/>
      <c r="J31" s="432"/>
      <c r="K31" s="32"/>
      <c r="L31" s="32"/>
      <c r="N31" s="1071">
        <f>IF(O31=0,0,N$17)</f>
        <v>0</v>
      </c>
      <c r="O31" s="1071">
        <f>IF(AB15="",0,MAX(D33:E39))</f>
        <v>0</v>
      </c>
      <c r="P31" s="32"/>
      <c r="Q31" s="1077"/>
      <c r="R31" s="2590" t="s">
        <v>587</v>
      </c>
      <c r="S31" s="2590"/>
      <c r="T31" s="2590"/>
      <c r="U31" s="2590"/>
      <c r="V31" s="2590"/>
      <c r="W31" s="2590"/>
      <c r="X31" s="2590"/>
      <c r="Y31" s="2590"/>
      <c r="Z31" s="2590"/>
      <c r="AB31" s="2591">
        <f>IF(AB$15=F$115,N31/10,O31/10)</f>
        <v>0</v>
      </c>
      <c r="AC31" s="2591"/>
      <c r="AD31" s="2591"/>
      <c r="AE31" s="2591"/>
      <c r="AF31" s="2591"/>
      <c r="AG31" s="2591"/>
      <c r="AH31" s="2591"/>
      <c r="AI31" s="2591"/>
      <c r="AJ31" s="2591"/>
      <c r="AK31" s="2591"/>
      <c r="AL31" s="32"/>
      <c r="AM31" s="1077"/>
      <c r="AN31" s="2590" t="s">
        <v>772</v>
      </c>
      <c r="AO31" s="2590"/>
      <c r="AP31" s="2590"/>
      <c r="AQ31" s="2590"/>
      <c r="AR31" s="2590"/>
      <c r="AS31" s="2590"/>
      <c r="AT31" s="2590"/>
      <c r="AU31" s="2590"/>
      <c r="AV31" s="2590"/>
      <c r="AX31" s="2589">
        <v>10</v>
      </c>
      <c r="AY31" s="2589"/>
      <c r="AZ31" s="2589"/>
      <c r="BA31" s="2589"/>
      <c r="BB31" s="2589"/>
      <c r="BC31" s="2589"/>
      <c r="BD31" s="2589"/>
      <c r="BE31" s="2589"/>
      <c r="BF31" s="2589"/>
      <c r="BG31" s="2589"/>
      <c r="BH31" s="32"/>
      <c r="BI31" s="32"/>
      <c r="BJ31" s="32"/>
      <c r="BK31" s="32"/>
    </row>
    <row r="32" spans="1:63" ht="19.5" customHeight="1" x14ac:dyDescent="0.2">
      <c r="A32" s="32"/>
      <c r="B32" s="32"/>
      <c r="C32" s="790" t="str">
        <f>C$18</f>
        <v>TOTALE EUR</v>
      </c>
      <c r="D32" s="788" t="str">
        <f>D$18</f>
        <v>selezionato</v>
      </c>
      <c r="E32" s="411" t="e">
        <f>E$18</f>
        <v>#N/A</v>
      </c>
      <c r="F32" s="782" t="s">
        <v>633</v>
      </c>
      <c r="G32" s="783" t="s">
        <v>631</v>
      </c>
      <c r="H32" s="782" t="s">
        <v>634</v>
      </c>
      <c r="I32" s="783" t="s">
        <v>635</v>
      </c>
      <c r="J32" s="432"/>
      <c r="K32" s="32"/>
      <c r="L32" s="32"/>
      <c r="N32" s="32"/>
      <c r="O32" s="1072"/>
      <c r="P32" s="32"/>
      <c r="Q32" s="1068"/>
      <c r="R32" s="1068"/>
      <c r="S32" s="1069"/>
      <c r="T32" s="123"/>
      <c r="U32" s="123"/>
      <c r="V32" s="123"/>
      <c r="W32" s="123"/>
      <c r="X32" s="123"/>
      <c r="Y32" s="123"/>
      <c r="Z32" s="123"/>
      <c r="AA32" s="123"/>
      <c r="AB32" s="123"/>
      <c r="AC32" s="32"/>
      <c r="AD32" s="32"/>
      <c r="AE32" s="32"/>
      <c r="AF32" s="32"/>
      <c r="AG32" s="32"/>
      <c r="AH32" s="32"/>
      <c r="AI32" s="32"/>
      <c r="AJ32" s="32"/>
      <c r="AK32" s="32"/>
      <c r="AL32" s="32"/>
      <c r="AM32" s="1068"/>
      <c r="AN32" s="1068"/>
      <c r="AO32" s="1069"/>
      <c r="AP32" s="123"/>
      <c r="AQ32" s="123"/>
      <c r="AR32" s="123"/>
      <c r="AS32" s="123"/>
      <c r="AT32" s="123"/>
      <c r="AU32" s="123"/>
      <c r="AV32" s="123"/>
      <c r="AW32" s="123"/>
      <c r="AX32" s="123"/>
      <c r="AY32" s="32"/>
      <c r="AZ32" s="32"/>
      <c r="BA32" s="32"/>
      <c r="BB32" s="32"/>
      <c r="BC32" s="32"/>
      <c r="BD32" s="32"/>
      <c r="BE32" s="32"/>
      <c r="BF32" s="32"/>
      <c r="BG32" s="32"/>
      <c r="BH32" s="32"/>
      <c r="BI32" s="32"/>
      <c r="BJ32" s="32"/>
      <c r="BK32" s="32"/>
    </row>
    <row r="33" spans="1:63" ht="19.5" customHeight="1" x14ac:dyDescent="0.2">
      <c r="A33" s="32"/>
      <c r="B33" s="2592" t="e">
        <f>VLOOKUP(VLOOKUP(RIEPILOGO!B18,IMPOSTAZIONI!$K$8:$O$14,5,FALSE),IMPOSTAZIONI!$B$8:$C$14,2,FALSE)</f>
        <v>#N/A</v>
      </c>
      <c r="C33" s="2592"/>
      <c r="D33" s="791">
        <f>SUMIF(CASSA!AM114:AM479,"X",CASSA!BA114:BA479)</f>
        <v>0</v>
      </c>
      <c r="E33" s="471">
        <f>SUMIF(CASSA!AL114:AL479,"Y",CASSA!BA114:BA479)</f>
        <v>0</v>
      </c>
      <c r="F33" s="784" t="e">
        <f>D33/D$41*100</f>
        <v>#DIV/0!</v>
      </c>
      <c r="G33" s="785" t="e">
        <f>E33/E$41*100</f>
        <v>#DIV/0!</v>
      </c>
      <c r="H33" s="786" t="e">
        <f>(D33-E33)/E33*100</f>
        <v>#DIV/0!</v>
      </c>
      <c r="I33" s="787" t="e">
        <f>(E33-D33)/D33*100</f>
        <v>#DIV/0!</v>
      </c>
      <c r="J33" s="32"/>
      <c r="K33" s="32"/>
      <c r="L33" s="32"/>
      <c r="N33" s="32"/>
      <c r="O33" s="1073">
        <f>D33+E33</f>
        <v>0</v>
      </c>
      <c r="P33" s="32"/>
      <c r="Q33" s="1431">
        <f t="shared" ref="Q33:Q39" si="46">IF(AND(D33&lt;&gt;0,D33&gt;0),IF((AB$31*9)&gt;=D33,0,1),IF(AND(D33&lt;&gt;0,D33&lt;0),IF((AB$31*9)&lt;=D33,0,1),0))</f>
        <v>0</v>
      </c>
      <c r="R33" s="1431">
        <f t="shared" ref="R33:R39" si="47">IF(AND(D33&lt;&gt;0,D33&gt;0),IF((AB$31*8)&gt;=D33,0,1),IF(AND(D33&lt;&gt;0,D33&lt;0),IF((AB$31*8)&lt;=D33,0,1),0))</f>
        <v>0</v>
      </c>
      <c r="S33" s="1431">
        <f t="shared" ref="S33:S39" si="48">IF(AND(D33&lt;&gt;0,D33&gt;0),IF((AB$31*7)&gt;=D33,0,1),IF(AND(D33&lt;&gt;0,D33&lt;0),IF((AB$31*7)&lt;=D33,0,1),0))</f>
        <v>0</v>
      </c>
      <c r="T33" s="1431">
        <f t="shared" ref="T33:T39" si="49">IF(AND(D33&lt;&gt;0,D33&gt;0),IF((AB$31*6)&gt;=D33,0,1),IF(AND(D33&lt;&gt;0,D33&lt;0),IF((AB$31*6)&lt;=D33,0,1),0))</f>
        <v>0</v>
      </c>
      <c r="U33" s="1431">
        <f t="shared" ref="U33:U39" si="50">IF(AND(D33&lt;&gt;0,D33&gt;0),IF((AB$31*5)&gt;=D33,0,1),IF(AND(D33&lt;&gt;0,D33&lt;0),IF((AB$31*5)&lt;=D33,0,1),0))</f>
        <v>0</v>
      </c>
      <c r="V33" s="1431">
        <f t="shared" ref="V33:V39" si="51">IF(AND(D33&lt;&gt;0,D33&gt;0),IF((AB$31*4)&gt;=D33,0,1),IF(AND(D33&lt;&gt;0,D33&lt;0),IF((AB$31*4)&lt;=D33,0,1),0))</f>
        <v>0</v>
      </c>
      <c r="W33" s="1431">
        <f t="shared" ref="W33:W39" si="52">IF(AND(D33&lt;&gt;0,D33&gt;0),IF((AB$31*3)&gt;=D33,0,1),IF(AND(D33&lt;&gt;0,D33&lt;0),IF((AB$31*3)&lt;=D33,0,1),0))</f>
        <v>0</v>
      </c>
      <c r="X33" s="1431">
        <f t="shared" ref="X33:X39" si="53">IF(AND(D33&lt;&gt;0,D33&gt;0),IF((AB$31*2)&gt;=D33,0,1),IF(AND(D33&lt;&gt;0,D33&lt;0),IF((AB$31*2)&lt;=D33,0,1),0))</f>
        <v>0</v>
      </c>
      <c r="Y33" s="1431">
        <f t="shared" ref="Y33:Y39" si="54">IF(AND(D33&lt;&gt;0,D33&gt;0),IF((AB$31*1)&gt;=D33,0,1),IF(AND(D33&lt;&gt;0,D33&lt;0),IF((AB$31*1)&lt;=D33,0,1),0))</f>
        <v>0</v>
      </c>
      <c r="Z33" s="1431">
        <f t="shared" ref="Z33:Z39" si="55">IF(D33&lt;&gt;0,1,0)</f>
        <v>0</v>
      </c>
      <c r="AA33" s="1432"/>
      <c r="AB33" s="1431">
        <f t="shared" ref="AB33:AB39" si="56">IF(E33&lt;&gt;0,1,0)</f>
        <v>0</v>
      </c>
      <c r="AC33" s="1431">
        <f t="shared" ref="AC33:AC39" si="57">IF(AND(E33&lt;&gt;0,E33&gt;0),IF((AB$31*1)&gt;=E33,0,1),IF(AND(E33&lt;&gt;0,E33&lt;0),IF((AB$31*1)&lt;=E33,0,1),0))</f>
        <v>0</v>
      </c>
      <c r="AD33" s="1431">
        <f t="shared" ref="AD33:AD39" si="58">IF(AND(E33&lt;&gt;0,E33&gt;0),IF((AB$31*2)&gt;=E33,0,1),IF(AND(E33&lt;&gt;0,E33&lt;0),IF((AB$31*2)&lt;=E33,0,1),0))</f>
        <v>0</v>
      </c>
      <c r="AE33" s="1431">
        <f t="shared" ref="AE33:AE39" si="59">IF(AND(E33&lt;&gt;0,E33&gt;0),IF((AB$31*3)&gt;=E33,0,1),IF(AND(E33&lt;&gt;0,E33&lt;0),IF((AB$31*3)&lt;=E33,0,1),0))</f>
        <v>0</v>
      </c>
      <c r="AF33" s="1431">
        <f t="shared" ref="AF33:AF39" si="60">IF(AND(E33&lt;&gt;0,E33&gt;0),IF((AB$31*4)&gt;=E33,0,1),IF(AND(E33&lt;&gt;0,E33&lt;0),IF((AB$31*4)&lt;=E33,0,1),0))</f>
        <v>0</v>
      </c>
      <c r="AG33" s="1431">
        <f t="shared" ref="AG33:AG39" si="61">IF(AND(E33&lt;&gt;0,E33&gt;0),IF((AB$31*5)&gt;=E33,0,1),IF(AND(E33&lt;&gt;0,E33&lt;0),IF((AB$31*5)&lt;=E33,0,1),0))</f>
        <v>0</v>
      </c>
      <c r="AH33" s="1431">
        <f t="shared" ref="AH33:AH39" si="62">IF(AND(E33&lt;&gt;0,E33&gt;0),IF((AB$31*6)&gt;=E33,0,1),IF(AND(E33&lt;&gt;0,E33&lt;0),IF((AB$31*6)&lt;=E33,0,1),0))</f>
        <v>0</v>
      </c>
      <c r="AI33" s="1431">
        <f t="shared" ref="AI33:AI39" si="63">IF(AND(E33&lt;&gt;0,E33&gt;0),IF((AB$31*7)&gt;=E33,0,1),IF(AND(E33&lt;&gt;0,E33&lt;0),IF((AB$31*7)&lt;=E33,0,1),0))</f>
        <v>0</v>
      </c>
      <c r="AJ33" s="1431">
        <f t="shared" ref="AJ33:AJ39" si="64">IF(AND(E33&lt;&gt;0,E33&gt;0),IF((AB$31*8)&gt;=E33,0,1),IF(AND(E33&lt;&gt;0,E33&lt;0),IF((AB$31*8)&lt;=E33,0,1),0))</f>
        <v>0</v>
      </c>
      <c r="AK33" s="1431">
        <f t="shared" ref="AK33:AK39" si="65">IF(AND(E33&lt;&gt;0,E33&gt;0),IF((AB$31*9)&gt;=E33,0,1),IF(AND(E33&lt;&gt;0,E33&lt;0),IF((AB$31*9)&lt;=E33,0,1),0))</f>
        <v>0</v>
      </c>
      <c r="AL33" s="32"/>
      <c r="AM33" s="1431">
        <f t="shared" ref="AM33:AM39" si="66">IF(AND(BI33&lt;&gt;0,BI33&gt;0),IF((AX$31*9)&gt;=BI33,0,1),IF(AND(BI33&lt;&gt;0,BI33&lt;0),IF((AX$31*9)&lt;=BI33,0,1),0))</f>
        <v>0</v>
      </c>
      <c r="AN33" s="1431">
        <f t="shared" ref="AN33:AN39" si="67">IF(AND(BI33&lt;&gt;0,BI33&gt;0),IF((AX$31*8)&gt;=BI33,0,1),IF(AND(BI33&lt;&gt;0,BI33&lt;0),IF((AX$31*8)&lt;=BI33,0,1),0))</f>
        <v>0</v>
      </c>
      <c r="AO33" s="1431">
        <f t="shared" ref="AO33:AO39" si="68">IF(AND(BI33&lt;&gt;0,BI33&gt;0),IF((AX$31*7)&gt;=BI33,0,1),IF(AND(BI33&lt;&gt;0,BI33&lt;0),IF((AX$31*7)&lt;=BI33,0,1),0))</f>
        <v>0</v>
      </c>
      <c r="AP33" s="1431">
        <f t="shared" ref="AP33:AP39" si="69">IF(AND(BI33&lt;&gt;0,BI33&gt;0),IF((AX$31*6)&gt;=BI33,0,1),IF(AND(BI33&lt;&gt;0,BI33&lt;0),IF((AX$31*6)&lt;=BI33,0,1),0))</f>
        <v>0</v>
      </c>
      <c r="AQ33" s="1431">
        <f t="shared" ref="AQ33:AQ39" si="70">IF(AND(BI33&lt;&gt;0,BI33&gt;0),IF((AX$31*5)&gt;=BI33,0,1),IF(AND(BI33&lt;&gt;0,BI33&lt;0),IF((AX$31*5)&lt;=BI33,0,1),0))</f>
        <v>0</v>
      </c>
      <c r="AR33" s="1431">
        <f t="shared" ref="AR33:AR39" si="71">IF(AND(BI33&lt;&gt;0,BI33&gt;0),IF((AX$31*4)&gt;=BI33,0,1),IF(AND(BI33&lt;&gt;0,BI33&lt;0),IF((AX$31*4)&lt;=BI33,0,1),0))</f>
        <v>0</v>
      </c>
      <c r="AS33" s="1431">
        <f t="shared" ref="AS33:AS39" si="72">IF(AND(BI33&lt;&gt;0,BI33&gt;0),IF((AX$31*3)&gt;=BI33,0,1),IF(AND(BI33&lt;&gt;0,BI33&lt;0),IF((AX$31*3)&lt;=BI33,0,1),0))</f>
        <v>0</v>
      </c>
      <c r="AT33" s="1431">
        <f t="shared" ref="AT33:AT39" si="73">IF(AND(BI33&lt;&gt;0,BI33&gt;0),IF((AX$31*2)&gt;=BI33,0,1),IF(AND(BI33&lt;&gt;0,BI33&lt;0),IF((AX$31*2)&lt;=BI33,0,1),0))</f>
        <v>0</v>
      </c>
      <c r="AU33" s="1431">
        <f t="shared" ref="AU33:AU39" si="74">IF(AND(BI33&lt;&gt;0,BI33&gt;0),IF((AX$31*1)&gt;=BI33,0,1),IF(AND(BI33&lt;&gt;0,BI33&lt;0),IF((AX$31*1)&lt;=BI33,0,1),0))</f>
        <v>0</v>
      </c>
      <c r="AV33" s="1431">
        <f t="shared" ref="AV33:AV39" si="75">IF(BI33&lt;&gt;0,1,0)</f>
        <v>0</v>
      </c>
      <c r="AW33" s="1432"/>
      <c r="AX33" s="1431">
        <f t="shared" ref="AX33:AX39" si="76">IF(BJ33&lt;&gt;0,1,0)</f>
        <v>0</v>
      </c>
      <c r="AY33" s="1431">
        <f t="shared" ref="AY33:AY39" si="77">IF(AND(BJ33&lt;&gt;0,BJ33&gt;0),IF((AX$31*1)&gt;=BJ33,0,1),IF(AND(BJ33&lt;&gt;0,BJ33&lt;0),IF((AX$31*1)&lt;=BJ33,0,1),0))</f>
        <v>0</v>
      </c>
      <c r="AZ33" s="1431">
        <f t="shared" ref="AZ33:AZ39" si="78">IF(AND(BJ33&lt;&gt;0,BJ33&gt;0),IF((AX$31*2)&gt;=BJ33,0,1),IF(AND(BJ33&lt;&gt;0,BJ33&lt;0),IF((AX$31*2)&lt;=BJ33,0,1),0))</f>
        <v>0</v>
      </c>
      <c r="BA33" s="1431">
        <f t="shared" ref="BA33:BA39" si="79">IF(AND(BJ33&lt;&gt;0,BJ33&gt;0),IF((AX$31*3)&gt;=BJ33,0,1),IF(AND(BJ33&lt;&gt;0,BJ33&lt;0),IF((AX$31*3)&lt;=BJ33,0,1),0))</f>
        <v>0</v>
      </c>
      <c r="BB33" s="1431">
        <f t="shared" ref="BB33:BB39" si="80">IF(AND(BJ33&lt;&gt;0,BJ33&gt;0),IF((AX$31*4)&gt;=BJ33,0,1),IF(AND(BJ33&lt;&gt;0,BJ33&lt;0),IF((AX$31*4)&lt;=BJ33,0,1),0))</f>
        <v>0</v>
      </c>
      <c r="BC33" s="1431">
        <f t="shared" ref="BC33:BC39" si="81">IF(AND(BJ33&lt;&gt;0,BJ33&gt;0),IF((AX$31*5)&gt;=BJ33,0,1),IF(AND(BJ33&lt;&gt;0,BJ33&lt;0),IF((AX$31*5)&lt;=BJ33,0,1),0))</f>
        <v>0</v>
      </c>
      <c r="BD33" s="1431">
        <f t="shared" ref="BD33:BD39" si="82">IF(AND(BJ33&lt;&gt;0,BJ33&gt;0),IF((AX$31*6)&gt;=BJ33,0,1),IF(AND(BJ33&lt;&gt;0,BJ33&lt;0),IF((AX$31*6)&lt;=BJ33,0,1),0))</f>
        <v>0</v>
      </c>
      <c r="BE33" s="1431">
        <f t="shared" ref="BE33:BE39" si="83">IF(AND(BJ33&lt;&gt;0,BJ33&gt;0),IF((AX$31*7)&gt;=BJ33,0,1),IF(AND(BJ33&lt;&gt;0,BJ33&lt;0),IF((AX$31*7)&lt;=BJ33,0,1),0))</f>
        <v>0</v>
      </c>
      <c r="BF33" s="1431">
        <f t="shared" ref="BF33:BF39" si="84">IF(AND(BJ33&lt;&gt;0,BJ33&gt;0),IF((AX$31*8)&gt;=BJ33,0,1),IF(AND(BJ33&lt;&gt;0,BJ33&lt;0),IF((AX$31*8)&lt;=BJ33,0,1),0))</f>
        <v>0</v>
      </c>
      <c r="BG33" s="1431">
        <f t="shared" ref="BG33:BG39" si="85">IF(AND(BJ33&lt;&gt;0,BJ33&gt;0),IF((AX$31*9)&gt;=BJ33,0,1),IF(AND(BJ33&lt;&gt;0,BJ33&lt;0),IF((AX$31*9)&lt;=BJ33,0,1),0))</f>
        <v>0</v>
      </c>
      <c r="BH33" s="32"/>
      <c r="BI33" s="1070">
        <f t="shared" ref="BI33:BI39" si="86">IF(ISERROR(D33/O33*100),0,IF(D33&gt;=E33,ROUND(D33/O33*100,-1),100-BJ33))</f>
        <v>0</v>
      </c>
      <c r="BJ33" s="1070">
        <f t="shared" ref="BJ33:BJ39" si="87">IF(ISERROR(E33/O33*100),0,IF(E33&gt;=D33,ROUND(E33/O33*100,-1),100-BI33))</f>
        <v>0</v>
      </c>
      <c r="BK33" s="32"/>
    </row>
    <row r="34" spans="1:63" ht="19.5" customHeight="1" x14ac:dyDescent="0.2">
      <c r="A34" s="32"/>
      <c r="B34" s="2592" t="e">
        <f>VLOOKUP(VLOOKUP(RIEPILOGO!B22,IMPOSTAZIONI!$K$8:$O$14,5,FALSE),IMPOSTAZIONI!$B$8:$C$14,2,FALSE)</f>
        <v>#N/A</v>
      </c>
      <c r="C34" s="2592"/>
      <c r="D34" s="792">
        <f>SUMIF(CASSA!AM114:AM479,"X",CASSA!BB114:BB479)</f>
        <v>0</v>
      </c>
      <c r="E34" s="419">
        <f>SUMIF(CASSA!AL114:AL479,"Y",CASSA!BB114:BB479)</f>
        <v>0</v>
      </c>
      <c r="F34" s="784" t="e">
        <f t="shared" ref="F34:F39" si="88">D34/D$41*100</f>
        <v>#DIV/0!</v>
      </c>
      <c r="G34" s="785" t="e">
        <f t="shared" ref="G34:G39" si="89">E34/E$41*100</f>
        <v>#DIV/0!</v>
      </c>
      <c r="H34" s="786" t="e">
        <f t="shared" ref="H34:H39" si="90">(D34-E34)/E34*100</f>
        <v>#DIV/0!</v>
      </c>
      <c r="I34" s="787" t="e">
        <f t="shared" ref="I34:I39" si="91">(E34-D34)/D34*100</f>
        <v>#DIV/0!</v>
      </c>
      <c r="J34" s="32"/>
      <c r="K34" s="32"/>
      <c r="L34" s="32"/>
      <c r="N34" s="32"/>
      <c r="O34" s="1074">
        <f t="shared" ref="O34:O39" si="92">D34+E34</f>
        <v>0</v>
      </c>
      <c r="P34" s="32"/>
      <c r="Q34" s="1431">
        <f t="shared" si="46"/>
        <v>0</v>
      </c>
      <c r="R34" s="1431">
        <f t="shared" si="47"/>
        <v>0</v>
      </c>
      <c r="S34" s="1431">
        <f t="shared" si="48"/>
        <v>0</v>
      </c>
      <c r="T34" s="1431">
        <f t="shared" si="49"/>
        <v>0</v>
      </c>
      <c r="U34" s="1431">
        <f t="shared" si="50"/>
        <v>0</v>
      </c>
      <c r="V34" s="1431">
        <f t="shared" si="51"/>
        <v>0</v>
      </c>
      <c r="W34" s="1431">
        <f t="shared" si="52"/>
        <v>0</v>
      </c>
      <c r="X34" s="1431">
        <f t="shared" si="53"/>
        <v>0</v>
      </c>
      <c r="Y34" s="1431">
        <f t="shared" si="54"/>
        <v>0</v>
      </c>
      <c r="Z34" s="1431">
        <f t="shared" si="55"/>
        <v>0</v>
      </c>
      <c r="AA34" s="1432"/>
      <c r="AB34" s="1431">
        <f t="shared" si="56"/>
        <v>0</v>
      </c>
      <c r="AC34" s="1431">
        <f t="shared" si="57"/>
        <v>0</v>
      </c>
      <c r="AD34" s="1431">
        <f t="shared" si="58"/>
        <v>0</v>
      </c>
      <c r="AE34" s="1431">
        <f t="shared" si="59"/>
        <v>0</v>
      </c>
      <c r="AF34" s="1431">
        <f t="shared" si="60"/>
        <v>0</v>
      </c>
      <c r="AG34" s="1431">
        <f t="shared" si="61"/>
        <v>0</v>
      </c>
      <c r="AH34" s="1431">
        <f t="shared" si="62"/>
        <v>0</v>
      </c>
      <c r="AI34" s="1431">
        <f t="shared" si="63"/>
        <v>0</v>
      </c>
      <c r="AJ34" s="1431">
        <f t="shared" si="64"/>
        <v>0</v>
      </c>
      <c r="AK34" s="1431">
        <f t="shared" si="65"/>
        <v>0</v>
      </c>
      <c r="AL34" s="32"/>
      <c r="AM34" s="1431">
        <f t="shared" si="66"/>
        <v>0</v>
      </c>
      <c r="AN34" s="1431">
        <f t="shared" si="67"/>
        <v>0</v>
      </c>
      <c r="AO34" s="1431">
        <f t="shared" si="68"/>
        <v>0</v>
      </c>
      <c r="AP34" s="1431">
        <f t="shared" si="69"/>
        <v>0</v>
      </c>
      <c r="AQ34" s="1431">
        <f t="shared" si="70"/>
        <v>0</v>
      </c>
      <c r="AR34" s="1431">
        <f t="shared" si="71"/>
        <v>0</v>
      </c>
      <c r="AS34" s="1431">
        <f t="shared" si="72"/>
        <v>0</v>
      </c>
      <c r="AT34" s="1431">
        <f t="shared" si="73"/>
        <v>0</v>
      </c>
      <c r="AU34" s="1431">
        <f t="shared" si="74"/>
        <v>0</v>
      </c>
      <c r="AV34" s="1431">
        <f t="shared" si="75"/>
        <v>0</v>
      </c>
      <c r="AW34" s="1432"/>
      <c r="AX34" s="1431">
        <f t="shared" si="76"/>
        <v>0</v>
      </c>
      <c r="AY34" s="1431">
        <f t="shared" si="77"/>
        <v>0</v>
      </c>
      <c r="AZ34" s="1431">
        <f t="shared" si="78"/>
        <v>0</v>
      </c>
      <c r="BA34" s="1431">
        <f t="shared" si="79"/>
        <v>0</v>
      </c>
      <c r="BB34" s="1431">
        <f t="shared" si="80"/>
        <v>0</v>
      </c>
      <c r="BC34" s="1431">
        <f t="shared" si="81"/>
        <v>0</v>
      </c>
      <c r="BD34" s="1431">
        <f t="shared" si="82"/>
        <v>0</v>
      </c>
      <c r="BE34" s="1431">
        <f t="shared" si="83"/>
        <v>0</v>
      </c>
      <c r="BF34" s="1431">
        <f t="shared" si="84"/>
        <v>0</v>
      </c>
      <c r="BG34" s="1431">
        <f t="shared" si="85"/>
        <v>0</v>
      </c>
      <c r="BH34" s="32"/>
      <c r="BI34" s="1070">
        <f t="shared" si="86"/>
        <v>0</v>
      </c>
      <c r="BJ34" s="1070">
        <f t="shared" si="87"/>
        <v>0</v>
      </c>
      <c r="BK34" s="32"/>
    </row>
    <row r="35" spans="1:63" ht="19.5" customHeight="1" x14ac:dyDescent="0.2">
      <c r="A35" s="32"/>
      <c r="B35" s="2592" t="e">
        <f>VLOOKUP(VLOOKUP(RIEPILOGO!B26,IMPOSTAZIONI!$K$8:$O$14,5,FALSE),IMPOSTAZIONI!$B$8:$C$14,2,FALSE)</f>
        <v>#N/A</v>
      </c>
      <c r="C35" s="2592"/>
      <c r="D35" s="792">
        <f>SUMIF(CASSA!AM114:AM479,"X",CASSA!BC114:BC479)</f>
        <v>0</v>
      </c>
      <c r="E35" s="419">
        <f>SUMIF(CASSA!AL114:AL479,"Y",CASSA!BC114:BC479)</f>
        <v>0</v>
      </c>
      <c r="F35" s="784" t="e">
        <f t="shared" si="88"/>
        <v>#DIV/0!</v>
      </c>
      <c r="G35" s="785" t="e">
        <f t="shared" si="89"/>
        <v>#DIV/0!</v>
      </c>
      <c r="H35" s="786" t="e">
        <f t="shared" si="90"/>
        <v>#DIV/0!</v>
      </c>
      <c r="I35" s="787" t="e">
        <f t="shared" si="91"/>
        <v>#DIV/0!</v>
      </c>
      <c r="J35" s="32"/>
      <c r="K35" s="32"/>
      <c r="L35" s="32"/>
      <c r="N35" s="32"/>
      <c r="O35" s="1074">
        <f t="shared" si="92"/>
        <v>0</v>
      </c>
      <c r="P35" s="32"/>
      <c r="Q35" s="1431">
        <f t="shared" si="46"/>
        <v>0</v>
      </c>
      <c r="R35" s="1431">
        <f t="shared" si="47"/>
        <v>0</v>
      </c>
      <c r="S35" s="1431">
        <f t="shared" si="48"/>
        <v>0</v>
      </c>
      <c r="T35" s="1431">
        <f t="shared" si="49"/>
        <v>0</v>
      </c>
      <c r="U35" s="1431">
        <f t="shared" si="50"/>
        <v>0</v>
      </c>
      <c r="V35" s="1431">
        <f t="shared" si="51"/>
        <v>0</v>
      </c>
      <c r="W35" s="1431">
        <f t="shared" si="52"/>
        <v>0</v>
      </c>
      <c r="X35" s="1431">
        <f t="shared" si="53"/>
        <v>0</v>
      </c>
      <c r="Y35" s="1431">
        <f t="shared" si="54"/>
        <v>0</v>
      </c>
      <c r="Z35" s="1431">
        <f t="shared" si="55"/>
        <v>0</v>
      </c>
      <c r="AA35" s="1432"/>
      <c r="AB35" s="1431">
        <f t="shared" si="56"/>
        <v>0</v>
      </c>
      <c r="AC35" s="1431">
        <f t="shared" si="57"/>
        <v>0</v>
      </c>
      <c r="AD35" s="1431">
        <f t="shared" si="58"/>
        <v>0</v>
      </c>
      <c r="AE35" s="1431">
        <f t="shared" si="59"/>
        <v>0</v>
      </c>
      <c r="AF35" s="1431">
        <f t="shared" si="60"/>
        <v>0</v>
      </c>
      <c r="AG35" s="1431">
        <f t="shared" si="61"/>
        <v>0</v>
      </c>
      <c r="AH35" s="1431">
        <f t="shared" si="62"/>
        <v>0</v>
      </c>
      <c r="AI35" s="1431">
        <f t="shared" si="63"/>
        <v>0</v>
      </c>
      <c r="AJ35" s="1431">
        <f t="shared" si="64"/>
        <v>0</v>
      </c>
      <c r="AK35" s="1431">
        <f t="shared" si="65"/>
        <v>0</v>
      </c>
      <c r="AL35" s="32"/>
      <c r="AM35" s="1431">
        <f t="shared" si="66"/>
        <v>0</v>
      </c>
      <c r="AN35" s="1431">
        <f t="shared" si="67"/>
        <v>0</v>
      </c>
      <c r="AO35" s="1431">
        <f t="shared" si="68"/>
        <v>0</v>
      </c>
      <c r="AP35" s="1431">
        <f t="shared" si="69"/>
        <v>0</v>
      </c>
      <c r="AQ35" s="1431">
        <f t="shared" si="70"/>
        <v>0</v>
      </c>
      <c r="AR35" s="1431">
        <f t="shared" si="71"/>
        <v>0</v>
      </c>
      <c r="AS35" s="1431">
        <f t="shared" si="72"/>
        <v>0</v>
      </c>
      <c r="AT35" s="1431">
        <f t="shared" si="73"/>
        <v>0</v>
      </c>
      <c r="AU35" s="1431">
        <f t="shared" si="74"/>
        <v>0</v>
      </c>
      <c r="AV35" s="1431">
        <f t="shared" si="75"/>
        <v>0</v>
      </c>
      <c r="AW35" s="1432"/>
      <c r="AX35" s="1431">
        <f t="shared" si="76"/>
        <v>0</v>
      </c>
      <c r="AY35" s="1431">
        <f t="shared" si="77"/>
        <v>0</v>
      </c>
      <c r="AZ35" s="1431">
        <f t="shared" si="78"/>
        <v>0</v>
      </c>
      <c r="BA35" s="1431">
        <f t="shared" si="79"/>
        <v>0</v>
      </c>
      <c r="BB35" s="1431">
        <f t="shared" si="80"/>
        <v>0</v>
      </c>
      <c r="BC35" s="1431">
        <f t="shared" si="81"/>
        <v>0</v>
      </c>
      <c r="BD35" s="1431">
        <f t="shared" si="82"/>
        <v>0</v>
      </c>
      <c r="BE35" s="1431">
        <f t="shared" si="83"/>
        <v>0</v>
      </c>
      <c r="BF35" s="1431">
        <f t="shared" si="84"/>
        <v>0</v>
      </c>
      <c r="BG35" s="1431">
        <f t="shared" si="85"/>
        <v>0</v>
      </c>
      <c r="BH35" s="32"/>
      <c r="BI35" s="1070">
        <f t="shared" si="86"/>
        <v>0</v>
      </c>
      <c r="BJ35" s="1070">
        <f t="shared" si="87"/>
        <v>0</v>
      </c>
      <c r="BK35" s="32"/>
    </row>
    <row r="36" spans="1:63" ht="19.5" customHeight="1" x14ac:dyDescent="0.2">
      <c r="A36" s="32"/>
      <c r="B36" s="2592" t="e">
        <f>VLOOKUP(VLOOKUP(RIEPILOGO!B30,IMPOSTAZIONI!$K$8:$O$14,5,FALSE),IMPOSTAZIONI!$B$8:$C$14,2,FALSE)</f>
        <v>#N/A</v>
      </c>
      <c r="C36" s="2592"/>
      <c r="D36" s="792">
        <f>SUMIF(CASSA!AM114:AM479,"X",CASSA!BD114:BD479)</f>
        <v>0</v>
      </c>
      <c r="E36" s="419">
        <f>SUMIF(CASSA!AL114:AL479,"Y",CASSA!BD114:BD479)</f>
        <v>0</v>
      </c>
      <c r="F36" s="784" t="e">
        <f t="shared" si="88"/>
        <v>#DIV/0!</v>
      </c>
      <c r="G36" s="785" t="e">
        <f t="shared" si="89"/>
        <v>#DIV/0!</v>
      </c>
      <c r="H36" s="786" t="e">
        <f t="shared" si="90"/>
        <v>#DIV/0!</v>
      </c>
      <c r="I36" s="787" t="e">
        <f t="shared" si="91"/>
        <v>#DIV/0!</v>
      </c>
      <c r="J36" s="32"/>
      <c r="K36" s="32"/>
      <c r="L36" s="32"/>
      <c r="N36" s="32"/>
      <c r="O36" s="1074">
        <f t="shared" si="92"/>
        <v>0</v>
      </c>
      <c r="P36" s="32"/>
      <c r="Q36" s="1431">
        <f t="shared" si="46"/>
        <v>0</v>
      </c>
      <c r="R36" s="1431">
        <f t="shared" si="47"/>
        <v>0</v>
      </c>
      <c r="S36" s="1431">
        <f t="shared" si="48"/>
        <v>0</v>
      </c>
      <c r="T36" s="1431">
        <f t="shared" si="49"/>
        <v>0</v>
      </c>
      <c r="U36" s="1431">
        <f t="shared" si="50"/>
        <v>0</v>
      </c>
      <c r="V36" s="1431">
        <f t="shared" si="51"/>
        <v>0</v>
      </c>
      <c r="W36" s="1431">
        <f t="shared" si="52"/>
        <v>0</v>
      </c>
      <c r="X36" s="1431">
        <f t="shared" si="53"/>
        <v>0</v>
      </c>
      <c r="Y36" s="1431">
        <f t="shared" si="54"/>
        <v>0</v>
      </c>
      <c r="Z36" s="1431">
        <f t="shared" si="55"/>
        <v>0</v>
      </c>
      <c r="AA36" s="1432"/>
      <c r="AB36" s="1431">
        <f t="shared" si="56"/>
        <v>0</v>
      </c>
      <c r="AC36" s="1431">
        <f t="shared" si="57"/>
        <v>0</v>
      </c>
      <c r="AD36" s="1431">
        <f t="shared" si="58"/>
        <v>0</v>
      </c>
      <c r="AE36" s="1431">
        <f t="shared" si="59"/>
        <v>0</v>
      </c>
      <c r="AF36" s="1431">
        <f t="shared" si="60"/>
        <v>0</v>
      </c>
      <c r="AG36" s="1431">
        <f t="shared" si="61"/>
        <v>0</v>
      </c>
      <c r="AH36" s="1431">
        <f t="shared" si="62"/>
        <v>0</v>
      </c>
      <c r="AI36" s="1431">
        <f t="shared" si="63"/>
        <v>0</v>
      </c>
      <c r="AJ36" s="1431">
        <f t="shared" si="64"/>
        <v>0</v>
      </c>
      <c r="AK36" s="1431">
        <f t="shared" si="65"/>
        <v>0</v>
      </c>
      <c r="AL36" s="32"/>
      <c r="AM36" s="1431">
        <f t="shared" si="66"/>
        <v>0</v>
      </c>
      <c r="AN36" s="1431">
        <f t="shared" si="67"/>
        <v>0</v>
      </c>
      <c r="AO36" s="1431">
        <f t="shared" si="68"/>
        <v>0</v>
      </c>
      <c r="AP36" s="1431">
        <f t="shared" si="69"/>
        <v>0</v>
      </c>
      <c r="AQ36" s="1431">
        <f t="shared" si="70"/>
        <v>0</v>
      </c>
      <c r="AR36" s="1431">
        <f t="shared" si="71"/>
        <v>0</v>
      </c>
      <c r="AS36" s="1431">
        <f t="shared" si="72"/>
        <v>0</v>
      </c>
      <c r="AT36" s="1431">
        <f t="shared" si="73"/>
        <v>0</v>
      </c>
      <c r="AU36" s="1431">
        <f t="shared" si="74"/>
        <v>0</v>
      </c>
      <c r="AV36" s="1431">
        <f t="shared" si="75"/>
        <v>0</v>
      </c>
      <c r="AW36" s="1432"/>
      <c r="AX36" s="1431">
        <f t="shared" si="76"/>
        <v>0</v>
      </c>
      <c r="AY36" s="1431">
        <f t="shared" si="77"/>
        <v>0</v>
      </c>
      <c r="AZ36" s="1431">
        <f t="shared" si="78"/>
        <v>0</v>
      </c>
      <c r="BA36" s="1431">
        <f t="shared" si="79"/>
        <v>0</v>
      </c>
      <c r="BB36" s="1431">
        <f t="shared" si="80"/>
        <v>0</v>
      </c>
      <c r="BC36" s="1431">
        <f t="shared" si="81"/>
        <v>0</v>
      </c>
      <c r="BD36" s="1431">
        <f t="shared" si="82"/>
        <v>0</v>
      </c>
      <c r="BE36" s="1431">
        <f t="shared" si="83"/>
        <v>0</v>
      </c>
      <c r="BF36" s="1431">
        <f t="shared" si="84"/>
        <v>0</v>
      </c>
      <c r="BG36" s="1431">
        <f t="shared" si="85"/>
        <v>0</v>
      </c>
      <c r="BH36" s="32"/>
      <c r="BI36" s="1070">
        <f t="shared" si="86"/>
        <v>0</v>
      </c>
      <c r="BJ36" s="1070">
        <f t="shared" si="87"/>
        <v>0</v>
      </c>
      <c r="BK36" s="32"/>
    </row>
    <row r="37" spans="1:63" ht="19.5" customHeight="1" x14ac:dyDescent="0.2">
      <c r="A37" s="32"/>
      <c r="B37" s="2592" t="e">
        <f>VLOOKUP(VLOOKUP(RIEPILOGO!B34,IMPOSTAZIONI!$K$8:$O$14,5,FALSE),IMPOSTAZIONI!$B$8:$C$14,2,FALSE)</f>
        <v>#N/A</v>
      </c>
      <c r="C37" s="2592"/>
      <c r="D37" s="792">
        <f>SUMIF(CASSA!AM114:AM479,"X",CASSA!BE114:BE479)</f>
        <v>0</v>
      </c>
      <c r="E37" s="419">
        <f>SUMIF(CASSA!AL114:AL479,"Y",CASSA!BE114:BE479)</f>
        <v>0</v>
      </c>
      <c r="F37" s="784" t="e">
        <f t="shared" si="88"/>
        <v>#DIV/0!</v>
      </c>
      <c r="G37" s="785" t="e">
        <f t="shared" si="89"/>
        <v>#DIV/0!</v>
      </c>
      <c r="H37" s="786" t="e">
        <f t="shared" si="90"/>
        <v>#DIV/0!</v>
      </c>
      <c r="I37" s="787" t="e">
        <f t="shared" si="91"/>
        <v>#DIV/0!</v>
      </c>
      <c r="J37" s="32"/>
      <c r="K37" s="32"/>
      <c r="L37" s="32"/>
      <c r="N37" s="32"/>
      <c r="O37" s="1074">
        <f t="shared" si="92"/>
        <v>0</v>
      </c>
      <c r="P37" s="32"/>
      <c r="Q37" s="1431">
        <f t="shared" si="46"/>
        <v>0</v>
      </c>
      <c r="R37" s="1431">
        <f t="shared" si="47"/>
        <v>0</v>
      </c>
      <c r="S37" s="1431">
        <f t="shared" si="48"/>
        <v>0</v>
      </c>
      <c r="T37" s="1431">
        <f t="shared" si="49"/>
        <v>0</v>
      </c>
      <c r="U37" s="1431">
        <f t="shared" si="50"/>
        <v>0</v>
      </c>
      <c r="V37" s="1431">
        <f t="shared" si="51"/>
        <v>0</v>
      </c>
      <c r="W37" s="1431">
        <f t="shared" si="52"/>
        <v>0</v>
      </c>
      <c r="X37" s="1431">
        <f t="shared" si="53"/>
        <v>0</v>
      </c>
      <c r="Y37" s="1431">
        <f t="shared" si="54"/>
        <v>0</v>
      </c>
      <c r="Z37" s="1431">
        <f t="shared" si="55"/>
        <v>0</v>
      </c>
      <c r="AA37" s="1432"/>
      <c r="AB37" s="1431">
        <f t="shared" si="56"/>
        <v>0</v>
      </c>
      <c r="AC37" s="1431">
        <f t="shared" si="57"/>
        <v>0</v>
      </c>
      <c r="AD37" s="1431">
        <f t="shared" si="58"/>
        <v>0</v>
      </c>
      <c r="AE37" s="1431">
        <f t="shared" si="59"/>
        <v>0</v>
      </c>
      <c r="AF37" s="1431">
        <f t="shared" si="60"/>
        <v>0</v>
      </c>
      <c r="AG37" s="1431">
        <f t="shared" si="61"/>
        <v>0</v>
      </c>
      <c r="AH37" s="1431">
        <f t="shared" si="62"/>
        <v>0</v>
      </c>
      <c r="AI37" s="1431">
        <f t="shared" si="63"/>
        <v>0</v>
      </c>
      <c r="AJ37" s="1431">
        <f t="shared" si="64"/>
        <v>0</v>
      </c>
      <c r="AK37" s="1431">
        <f t="shared" si="65"/>
        <v>0</v>
      </c>
      <c r="AL37" s="32"/>
      <c r="AM37" s="1431">
        <f t="shared" si="66"/>
        <v>0</v>
      </c>
      <c r="AN37" s="1431">
        <f t="shared" si="67"/>
        <v>0</v>
      </c>
      <c r="AO37" s="1431">
        <f t="shared" si="68"/>
        <v>0</v>
      </c>
      <c r="AP37" s="1431">
        <f t="shared" si="69"/>
        <v>0</v>
      </c>
      <c r="AQ37" s="1431">
        <f t="shared" si="70"/>
        <v>0</v>
      </c>
      <c r="AR37" s="1431">
        <f t="shared" si="71"/>
        <v>0</v>
      </c>
      <c r="AS37" s="1431">
        <f t="shared" si="72"/>
        <v>0</v>
      </c>
      <c r="AT37" s="1431">
        <f t="shared" si="73"/>
        <v>0</v>
      </c>
      <c r="AU37" s="1431">
        <f t="shared" si="74"/>
        <v>0</v>
      </c>
      <c r="AV37" s="1431">
        <f t="shared" si="75"/>
        <v>0</v>
      </c>
      <c r="AW37" s="1432"/>
      <c r="AX37" s="1431">
        <f t="shared" si="76"/>
        <v>0</v>
      </c>
      <c r="AY37" s="1431">
        <f t="shared" si="77"/>
        <v>0</v>
      </c>
      <c r="AZ37" s="1431">
        <f t="shared" si="78"/>
        <v>0</v>
      </c>
      <c r="BA37" s="1431">
        <f t="shared" si="79"/>
        <v>0</v>
      </c>
      <c r="BB37" s="1431">
        <f t="shared" si="80"/>
        <v>0</v>
      </c>
      <c r="BC37" s="1431">
        <f t="shared" si="81"/>
        <v>0</v>
      </c>
      <c r="BD37" s="1431">
        <f t="shared" si="82"/>
        <v>0</v>
      </c>
      <c r="BE37" s="1431">
        <f t="shared" si="83"/>
        <v>0</v>
      </c>
      <c r="BF37" s="1431">
        <f t="shared" si="84"/>
        <v>0</v>
      </c>
      <c r="BG37" s="1431">
        <f t="shared" si="85"/>
        <v>0</v>
      </c>
      <c r="BH37" s="32"/>
      <c r="BI37" s="1070">
        <f t="shared" si="86"/>
        <v>0</v>
      </c>
      <c r="BJ37" s="1070">
        <f t="shared" si="87"/>
        <v>0</v>
      </c>
      <c r="BK37" s="32"/>
    </row>
    <row r="38" spans="1:63" ht="19.5" customHeight="1" x14ac:dyDescent="0.2">
      <c r="A38" s="32"/>
      <c r="B38" s="2592" t="e">
        <f>VLOOKUP(VLOOKUP(RIEPILOGO!B38,IMPOSTAZIONI!$K$8:$O$14,5,FALSE),IMPOSTAZIONI!$B$8:$C$14,2,FALSE)</f>
        <v>#N/A</v>
      </c>
      <c r="C38" s="2592"/>
      <c r="D38" s="792">
        <f>SUMIF(CASSA!AM114:AM479,"X",CASSA!BF114:BF479)</f>
        <v>0</v>
      </c>
      <c r="E38" s="419">
        <f>SUMIF(CASSA!AL114:AL479,"Y",CASSA!BF114:BF479)</f>
        <v>0</v>
      </c>
      <c r="F38" s="784" t="e">
        <f t="shared" si="88"/>
        <v>#DIV/0!</v>
      </c>
      <c r="G38" s="785" t="e">
        <f t="shared" si="89"/>
        <v>#DIV/0!</v>
      </c>
      <c r="H38" s="786" t="e">
        <f t="shared" si="90"/>
        <v>#DIV/0!</v>
      </c>
      <c r="I38" s="787" t="e">
        <f t="shared" si="91"/>
        <v>#DIV/0!</v>
      </c>
      <c r="J38" s="32"/>
      <c r="K38" s="32"/>
      <c r="L38" s="32"/>
      <c r="N38" s="32"/>
      <c r="O38" s="1074">
        <f t="shared" si="92"/>
        <v>0</v>
      </c>
      <c r="P38" s="32"/>
      <c r="Q38" s="1431">
        <f t="shared" si="46"/>
        <v>0</v>
      </c>
      <c r="R38" s="1431">
        <f t="shared" si="47"/>
        <v>0</v>
      </c>
      <c r="S38" s="1431">
        <f t="shared" si="48"/>
        <v>0</v>
      </c>
      <c r="T38" s="1431">
        <f t="shared" si="49"/>
        <v>0</v>
      </c>
      <c r="U38" s="1431">
        <f t="shared" si="50"/>
        <v>0</v>
      </c>
      <c r="V38" s="1431">
        <f t="shared" si="51"/>
        <v>0</v>
      </c>
      <c r="W38" s="1431">
        <f t="shared" si="52"/>
        <v>0</v>
      </c>
      <c r="X38" s="1431">
        <f t="shared" si="53"/>
        <v>0</v>
      </c>
      <c r="Y38" s="1431">
        <f t="shared" si="54"/>
        <v>0</v>
      </c>
      <c r="Z38" s="1431">
        <f t="shared" si="55"/>
        <v>0</v>
      </c>
      <c r="AA38" s="1432"/>
      <c r="AB38" s="1431">
        <f t="shared" si="56"/>
        <v>0</v>
      </c>
      <c r="AC38" s="1431">
        <f t="shared" si="57"/>
        <v>0</v>
      </c>
      <c r="AD38" s="1431">
        <f t="shared" si="58"/>
        <v>0</v>
      </c>
      <c r="AE38" s="1431">
        <f t="shared" si="59"/>
        <v>0</v>
      </c>
      <c r="AF38" s="1431">
        <f t="shared" si="60"/>
        <v>0</v>
      </c>
      <c r="AG38" s="1431">
        <f t="shared" si="61"/>
        <v>0</v>
      </c>
      <c r="AH38" s="1431">
        <f t="shared" si="62"/>
        <v>0</v>
      </c>
      <c r="AI38" s="1431">
        <f t="shared" si="63"/>
        <v>0</v>
      </c>
      <c r="AJ38" s="1431">
        <f t="shared" si="64"/>
        <v>0</v>
      </c>
      <c r="AK38" s="1431">
        <f t="shared" si="65"/>
        <v>0</v>
      </c>
      <c r="AL38" s="32"/>
      <c r="AM38" s="1431">
        <f t="shared" si="66"/>
        <v>0</v>
      </c>
      <c r="AN38" s="1431">
        <f t="shared" si="67"/>
        <v>0</v>
      </c>
      <c r="AO38" s="1431">
        <f t="shared" si="68"/>
        <v>0</v>
      </c>
      <c r="AP38" s="1431">
        <f t="shared" si="69"/>
        <v>0</v>
      </c>
      <c r="AQ38" s="1431">
        <f t="shared" si="70"/>
        <v>0</v>
      </c>
      <c r="AR38" s="1431">
        <f t="shared" si="71"/>
        <v>0</v>
      </c>
      <c r="AS38" s="1431">
        <f t="shared" si="72"/>
        <v>0</v>
      </c>
      <c r="AT38" s="1431">
        <f t="shared" si="73"/>
        <v>0</v>
      </c>
      <c r="AU38" s="1431">
        <f t="shared" si="74"/>
        <v>0</v>
      </c>
      <c r="AV38" s="1431">
        <f t="shared" si="75"/>
        <v>0</v>
      </c>
      <c r="AW38" s="1432"/>
      <c r="AX38" s="1431">
        <f t="shared" si="76"/>
        <v>0</v>
      </c>
      <c r="AY38" s="1431">
        <f t="shared" si="77"/>
        <v>0</v>
      </c>
      <c r="AZ38" s="1431">
        <f t="shared" si="78"/>
        <v>0</v>
      </c>
      <c r="BA38" s="1431">
        <f t="shared" si="79"/>
        <v>0</v>
      </c>
      <c r="BB38" s="1431">
        <f t="shared" si="80"/>
        <v>0</v>
      </c>
      <c r="BC38" s="1431">
        <f t="shared" si="81"/>
        <v>0</v>
      </c>
      <c r="BD38" s="1431">
        <f t="shared" si="82"/>
        <v>0</v>
      </c>
      <c r="BE38" s="1431">
        <f t="shared" si="83"/>
        <v>0</v>
      </c>
      <c r="BF38" s="1431">
        <f t="shared" si="84"/>
        <v>0</v>
      </c>
      <c r="BG38" s="1431">
        <f t="shared" si="85"/>
        <v>0</v>
      </c>
      <c r="BH38" s="32"/>
      <c r="BI38" s="1070">
        <f t="shared" si="86"/>
        <v>0</v>
      </c>
      <c r="BJ38" s="1070">
        <f t="shared" si="87"/>
        <v>0</v>
      </c>
      <c r="BK38" s="32"/>
    </row>
    <row r="39" spans="1:63" ht="19.5" customHeight="1" x14ac:dyDescent="0.2">
      <c r="A39" s="32"/>
      <c r="B39" s="2592" t="e">
        <f>VLOOKUP(VLOOKUP(RIEPILOGO!B42,IMPOSTAZIONI!$K$8:$O$14,5,FALSE),IMPOSTAZIONI!$B$8:$C$14,2,FALSE)</f>
        <v>#N/A</v>
      </c>
      <c r="C39" s="2592"/>
      <c r="D39" s="793">
        <f>SUMIF(CASSA!AM114:AM479,"X",CASSA!BG114:BG479)</f>
        <v>0</v>
      </c>
      <c r="E39" s="431">
        <f>SUMIF(CASSA!AL114:AL479,"Y",CASSA!BG114:BG479)</f>
        <v>0</v>
      </c>
      <c r="F39" s="784" t="e">
        <f t="shared" si="88"/>
        <v>#DIV/0!</v>
      </c>
      <c r="G39" s="785" t="e">
        <f t="shared" si="89"/>
        <v>#DIV/0!</v>
      </c>
      <c r="H39" s="786" t="e">
        <f t="shared" si="90"/>
        <v>#DIV/0!</v>
      </c>
      <c r="I39" s="787" t="e">
        <f t="shared" si="91"/>
        <v>#DIV/0!</v>
      </c>
      <c r="J39" s="32"/>
      <c r="K39" s="32"/>
      <c r="L39" s="32"/>
      <c r="N39" s="32"/>
      <c r="O39" s="1076">
        <f t="shared" si="92"/>
        <v>0</v>
      </c>
      <c r="P39" s="32"/>
      <c r="Q39" s="1431">
        <f t="shared" si="46"/>
        <v>0</v>
      </c>
      <c r="R39" s="1431">
        <f t="shared" si="47"/>
        <v>0</v>
      </c>
      <c r="S39" s="1431">
        <f t="shared" si="48"/>
        <v>0</v>
      </c>
      <c r="T39" s="1431">
        <f t="shared" si="49"/>
        <v>0</v>
      </c>
      <c r="U39" s="1431">
        <f t="shared" si="50"/>
        <v>0</v>
      </c>
      <c r="V39" s="1431">
        <f t="shared" si="51"/>
        <v>0</v>
      </c>
      <c r="W39" s="1431">
        <f t="shared" si="52"/>
        <v>0</v>
      </c>
      <c r="X39" s="1431">
        <f t="shared" si="53"/>
        <v>0</v>
      </c>
      <c r="Y39" s="1431">
        <f t="shared" si="54"/>
        <v>0</v>
      </c>
      <c r="Z39" s="1431">
        <f t="shared" si="55"/>
        <v>0</v>
      </c>
      <c r="AA39" s="1432"/>
      <c r="AB39" s="1431">
        <f t="shared" si="56"/>
        <v>0</v>
      </c>
      <c r="AC39" s="1431">
        <f t="shared" si="57"/>
        <v>0</v>
      </c>
      <c r="AD39" s="1431">
        <f t="shared" si="58"/>
        <v>0</v>
      </c>
      <c r="AE39" s="1431">
        <f t="shared" si="59"/>
        <v>0</v>
      </c>
      <c r="AF39" s="1431">
        <f t="shared" si="60"/>
        <v>0</v>
      </c>
      <c r="AG39" s="1431">
        <f t="shared" si="61"/>
        <v>0</v>
      </c>
      <c r="AH39" s="1431">
        <f t="shared" si="62"/>
        <v>0</v>
      </c>
      <c r="AI39" s="1431">
        <f t="shared" si="63"/>
        <v>0</v>
      </c>
      <c r="AJ39" s="1431">
        <f t="shared" si="64"/>
        <v>0</v>
      </c>
      <c r="AK39" s="1431">
        <f t="shared" si="65"/>
        <v>0</v>
      </c>
      <c r="AL39" s="32"/>
      <c r="AM39" s="1431">
        <f t="shared" si="66"/>
        <v>0</v>
      </c>
      <c r="AN39" s="1431">
        <f t="shared" si="67"/>
        <v>0</v>
      </c>
      <c r="AO39" s="1431">
        <f t="shared" si="68"/>
        <v>0</v>
      </c>
      <c r="AP39" s="1431">
        <f t="shared" si="69"/>
        <v>0</v>
      </c>
      <c r="AQ39" s="1431">
        <f t="shared" si="70"/>
        <v>0</v>
      </c>
      <c r="AR39" s="1431">
        <f t="shared" si="71"/>
        <v>0</v>
      </c>
      <c r="AS39" s="1431">
        <f t="shared" si="72"/>
        <v>0</v>
      </c>
      <c r="AT39" s="1431">
        <f t="shared" si="73"/>
        <v>0</v>
      </c>
      <c r="AU39" s="1431">
        <f t="shared" si="74"/>
        <v>0</v>
      </c>
      <c r="AV39" s="1431">
        <f t="shared" si="75"/>
        <v>0</v>
      </c>
      <c r="AW39" s="1432"/>
      <c r="AX39" s="1431">
        <f t="shared" si="76"/>
        <v>0</v>
      </c>
      <c r="AY39" s="1431">
        <f t="shared" si="77"/>
        <v>0</v>
      </c>
      <c r="AZ39" s="1431">
        <f t="shared" si="78"/>
        <v>0</v>
      </c>
      <c r="BA39" s="1431">
        <f t="shared" si="79"/>
        <v>0</v>
      </c>
      <c r="BB39" s="1431">
        <f t="shared" si="80"/>
        <v>0</v>
      </c>
      <c r="BC39" s="1431">
        <f t="shared" si="81"/>
        <v>0</v>
      </c>
      <c r="BD39" s="1431">
        <f t="shared" si="82"/>
        <v>0</v>
      </c>
      <c r="BE39" s="1431">
        <f t="shared" si="83"/>
        <v>0</v>
      </c>
      <c r="BF39" s="1431">
        <f t="shared" si="84"/>
        <v>0</v>
      </c>
      <c r="BG39" s="1431">
        <f t="shared" si="85"/>
        <v>0</v>
      </c>
      <c r="BH39" s="32"/>
      <c r="BI39" s="1070">
        <f t="shared" si="86"/>
        <v>0</v>
      </c>
      <c r="BJ39" s="1070">
        <f t="shared" si="87"/>
        <v>0</v>
      </c>
      <c r="BK39" s="32"/>
    </row>
    <row r="40" spans="1:63" ht="19.5" customHeight="1" x14ac:dyDescent="0.2">
      <c r="A40" s="32"/>
      <c r="B40" s="32"/>
      <c r="C40" s="466"/>
      <c r="D40" s="490" t="e">
        <f>D41/SUM($D41:$E41)*100</f>
        <v>#DIV/0!</v>
      </c>
      <c r="E40" s="490" t="e">
        <f>E41/SUM($D41:$E41)*100</f>
        <v>#DIV/0!</v>
      </c>
      <c r="F40" s="940"/>
      <c r="G40" s="466"/>
      <c r="H40" s="444"/>
      <c r="I40" s="444"/>
      <c r="J40" s="32"/>
      <c r="K40" s="32"/>
      <c r="L40" s="32"/>
      <c r="N40" s="32"/>
      <c r="O40" s="32"/>
      <c r="P40" s="32"/>
      <c r="Q40" s="1431"/>
      <c r="R40" s="1431"/>
      <c r="S40" s="1431"/>
      <c r="T40" s="1431"/>
      <c r="U40" s="1431"/>
      <c r="V40" s="1431"/>
      <c r="W40" s="1431"/>
      <c r="X40" s="1431"/>
      <c r="Y40" s="1431"/>
      <c r="Z40" s="1431"/>
      <c r="AA40" s="123"/>
      <c r="AB40" s="1431"/>
      <c r="AC40" s="1431"/>
      <c r="AD40" s="1431"/>
      <c r="AE40" s="1431"/>
      <c r="AF40" s="1431"/>
      <c r="AG40" s="1431"/>
      <c r="AH40" s="1431"/>
      <c r="AI40" s="1431"/>
      <c r="AJ40" s="1431"/>
      <c r="AK40" s="1431"/>
      <c r="AL40" s="123"/>
      <c r="AM40" s="1431"/>
      <c r="AN40" s="1431"/>
      <c r="AO40" s="1431"/>
      <c r="AP40" s="1431"/>
      <c r="AQ40" s="1431"/>
      <c r="AR40" s="1431"/>
      <c r="AS40" s="1431"/>
      <c r="AT40" s="1431"/>
      <c r="AU40" s="1431"/>
      <c r="AV40" s="1431"/>
      <c r="AW40" s="123"/>
      <c r="AX40" s="1431"/>
      <c r="AY40" s="1431"/>
      <c r="AZ40" s="1431"/>
      <c r="BA40" s="1431"/>
      <c r="BB40" s="1431"/>
      <c r="BC40" s="1431"/>
      <c r="BD40" s="1431"/>
      <c r="BE40" s="1431"/>
      <c r="BF40" s="1431"/>
      <c r="BG40" s="1431"/>
      <c r="BH40" s="123"/>
      <c r="BI40" s="32"/>
      <c r="BJ40" s="32"/>
      <c r="BK40" s="32"/>
    </row>
    <row r="41" spans="1:63" ht="19.5" customHeight="1" x14ac:dyDescent="0.2">
      <c r="A41" s="32"/>
      <c r="B41" s="2596" t="s">
        <v>652</v>
      </c>
      <c r="C41" s="2597"/>
      <c r="D41" s="794">
        <f>SUM(D33:D39)</f>
        <v>0</v>
      </c>
      <c r="E41" s="348">
        <f>SUM(E33:E39)</f>
        <v>0</v>
      </c>
      <c r="F41" s="784" t="e">
        <f>D41/D$41*100</f>
        <v>#DIV/0!</v>
      </c>
      <c r="G41" s="785" t="e">
        <f>E41/E$41*100</f>
        <v>#DIV/0!</v>
      </c>
      <c r="H41" s="786" t="e">
        <f>(D41-E41)/E41*100</f>
        <v>#DIV/0!</v>
      </c>
      <c r="I41" s="787" t="e">
        <f>(E41-D41)/D41*100</f>
        <v>#DIV/0!</v>
      </c>
      <c r="J41" s="32"/>
      <c r="K41" s="32"/>
      <c r="L41" s="32"/>
      <c r="N41" s="32"/>
      <c r="O41" s="32"/>
      <c r="P41" s="32"/>
      <c r="Q41" s="1431"/>
      <c r="R41" s="1431"/>
      <c r="S41" s="1431"/>
      <c r="T41" s="1431"/>
      <c r="U41" s="1431"/>
      <c r="V41" s="1431"/>
      <c r="W41" s="1431"/>
      <c r="X41" s="1431"/>
      <c r="Y41" s="1431"/>
      <c r="Z41" s="1431"/>
      <c r="AA41" s="123"/>
      <c r="AB41" s="1431"/>
      <c r="AC41" s="1431"/>
      <c r="AD41" s="1431"/>
      <c r="AE41" s="1431"/>
      <c r="AF41" s="1431"/>
      <c r="AG41" s="1431"/>
      <c r="AH41" s="1431"/>
      <c r="AI41" s="1431"/>
      <c r="AJ41" s="1431"/>
      <c r="AK41" s="1431"/>
      <c r="AL41" s="123"/>
      <c r="AM41" s="1431"/>
      <c r="AN41" s="1431"/>
      <c r="AO41" s="1431"/>
      <c r="AP41" s="1431"/>
      <c r="AQ41" s="1431"/>
      <c r="AR41" s="1431"/>
      <c r="AS41" s="1431"/>
      <c r="AT41" s="1431"/>
      <c r="AU41" s="1431"/>
      <c r="AV41" s="1431"/>
      <c r="AW41" s="123"/>
      <c r="AX41" s="1431"/>
      <c r="AY41" s="1431"/>
      <c r="AZ41" s="1431"/>
      <c r="BA41" s="1431"/>
      <c r="BB41" s="1431"/>
      <c r="BC41" s="1431"/>
      <c r="BD41" s="1431"/>
      <c r="BE41" s="1431"/>
      <c r="BF41" s="1431"/>
      <c r="BG41" s="1431"/>
      <c r="BH41" s="123"/>
      <c r="BI41" s="32"/>
      <c r="BJ41" s="32"/>
      <c r="BK41" s="32"/>
    </row>
    <row r="42" spans="1:63" ht="19.5" customHeight="1" x14ac:dyDescent="0.2">
      <c r="A42" s="32"/>
      <c r="B42" s="32"/>
      <c r="C42" s="466"/>
      <c r="D42" s="444"/>
      <c r="E42" s="444"/>
      <c r="F42" s="32"/>
      <c r="G42" s="466"/>
      <c r="H42" s="444"/>
      <c r="I42" s="444"/>
      <c r="J42" s="32"/>
      <c r="K42" s="32"/>
      <c r="L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row>
    <row r="43" spans="1:63" ht="19.5" customHeight="1" x14ac:dyDescent="0.3">
      <c r="A43" s="487"/>
      <c r="B43" s="942" t="s">
        <v>434</v>
      </c>
      <c r="C43" s="944"/>
      <c r="D43" s="945"/>
      <c r="E43" s="944"/>
      <c r="F43" s="32"/>
      <c r="G43" s="943"/>
      <c r="H43" s="943"/>
      <c r="I43" s="943"/>
      <c r="J43" s="432"/>
      <c r="K43" s="32"/>
      <c r="L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row>
    <row r="44" spans="1:63" ht="19.5" customHeight="1" x14ac:dyDescent="0.2">
      <c r="A44" s="32"/>
      <c r="B44" s="32"/>
      <c r="C44" s="467"/>
      <c r="D44" s="773" t="str">
        <f>D$17</f>
        <v>PERIODO</v>
      </c>
      <c r="E44" s="413" t="str">
        <f>E$17</f>
        <v>Confronta con</v>
      </c>
      <c r="F44" s="2599" t="s">
        <v>632</v>
      </c>
      <c r="G44" s="2599"/>
      <c r="H44" s="2599" t="s">
        <v>773</v>
      </c>
      <c r="I44" s="2599"/>
      <c r="J44" s="432"/>
      <c r="K44" s="32"/>
      <c r="L44" s="32"/>
      <c r="N44" s="1071">
        <f>IF(O44=0,0,N$17)</f>
        <v>0</v>
      </c>
      <c r="O44" s="1071">
        <f>IF(AB15="",0,MAX(D46:E52))</f>
        <v>0</v>
      </c>
      <c r="P44" s="32"/>
      <c r="Q44" s="1077"/>
      <c r="R44" s="2590" t="s">
        <v>587</v>
      </c>
      <c r="S44" s="2590"/>
      <c r="T44" s="2590"/>
      <c r="U44" s="2590"/>
      <c r="V44" s="2590"/>
      <c r="W44" s="2590"/>
      <c r="X44" s="2590"/>
      <c r="Y44" s="2590"/>
      <c r="Z44" s="2590"/>
      <c r="AB44" s="2591">
        <f>IF(AB$15=F$115,N44/10,O44/10)</f>
        <v>0</v>
      </c>
      <c r="AC44" s="2591"/>
      <c r="AD44" s="2591"/>
      <c r="AE44" s="2591"/>
      <c r="AF44" s="2591"/>
      <c r="AG44" s="2591"/>
      <c r="AH44" s="2591"/>
      <c r="AI44" s="2591"/>
      <c r="AJ44" s="2591"/>
      <c r="AK44" s="2591"/>
      <c r="AL44" s="32"/>
      <c r="AM44" s="1077"/>
      <c r="AN44" s="2590" t="s">
        <v>772</v>
      </c>
      <c r="AO44" s="2590"/>
      <c r="AP44" s="2590"/>
      <c r="AQ44" s="2590"/>
      <c r="AR44" s="2590"/>
      <c r="AS44" s="2590"/>
      <c r="AT44" s="2590"/>
      <c r="AU44" s="2590"/>
      <c r="AV44" s="2590"/>
      <c r="AX44" s="2589">
        <v>10</v>
      </c>
      <c r="AY44" s="2589"/>
      <c r="AZ44" s="2589"/>
      <c r="BA44" s="2589"/>
      <c r="BB44" s="2589"/>
      <c r="BC44" s="2589"/>
      <c r="BD44" s="2589"/>
      <c r="BE44" s="2589"/>
      <c r="BF44" s="2589"/>
      <c r="BG44" s="2589"/>
      <c r="BH44" s="32"/>
      <c r="BI44" s="32"/>
      <c r="BJ44" s="32"/>
      <c r="BK44" s="32"/>
    </row>
    <row r="45" spans="1:63" ht="19.5" customHeight="1" x14ac:dyDescent="0.2">
      <c r="A45" s="32"/>
      <c r="B45" s="32"/>
      <c r="C45" s="790" t="str">
        <f>C$18</f>
        <v>TOTALE EUR</v>
      </c>
      <c r="D45" s="788" t="str">
        <f>D$18</f>
        <v>selezionato</v>
      </c>
      <c r="E45" s="411" t="e">
        <f>E$18</f>
        <v>#N/A</v>
      </c>
      <c r="F45" s="782" t="s">
        <v>633</v>
      </c>
      <c r="G45" s="783" t="s">
        <v>631</v>
      </c>
      <c r="H45" s="782" t="s">
        <v>634</v>
      </c>
      <c r="I45" s="783" t="s">
        <v>635</v>
      </c>
      <c r="J45" s="432"/>
      <c r="K45" s="32"/>
      <c r="L45" s="32"/>
      <c r="N45" s="32"/>
      <c r="O45" s="1072"/>
      <c r="P45" s="32"/>
      <c r="Q45" s="1068"/>
      <c r="R45" s="1068"/>
      <c r="S45" s="1069"/>
      <c r="T45" s="123"/>
      <c r="U45" s="123"/>
      <c r="V45" s="123"/>
      <c r="W45" s="123"/>
      <c r="X45" s="123"/>
      <c r="Y45" s="123"/>
      <c r="Z45" s="123"/>
      <c r="AA45" s="123"/>
      <c r="AB45" s="123"/>
      <c r="AC45" s="32"/>
      <c r="AD45" s="32"/>
      <c r="AE45" s="32"/>
      <c r="AF45" s="32"/>
      <c r="AG45" s="32"/>
      <c r="AH45" s="32"/>
      <c r="AI45" s="32"/>
      <c r="AJ45" s="32"/>
      <c r="AK45" s="32"/>
      <c r="AL45" s="32"/>
      <c r="AM45" s="1068"/>
      <c r="AN45" s="1068"/>
      <c r="AO45" s="1069"/>
      <c r="AP45" s="123"/>
      <c r="AQ45" s="123"/>
      <c r="AR45" s="123"/>
      <c r="AS45" s="123"/>
      <c r="AT45" s="123"/>
      <c r="AU45" s="123"/>
      <c r="AV45" s="123"/>
      <c r="AW45" s="123"/>
      <c r="AX45" s="123"/>
      <c r="AY45" s="32"/>
      <c r="AZ45" s="32"/>
      <c r="BA45" s="32"/>
      <c r="BB45" s="32"/>
      <c r="BC45" s="32"/>
      <c r="BD45" s="32"/>
      <c r="BE45" s="32"/>
      <c r="BF45" s="32"/>
      <c r="BG45" s="32"/>
      <c r="BH45" s="32"/>
      <c r="BI45" s="32"/>
      <c r="BJ45" s="32"/>
      <c r="BK45" s="32"/>
    </row>
    <row r="46" spans="1:63" ht="19.5" customHeight="1" x14ac:dyDescent="0.2">
      <c r="A46" s="32"/>
      <c r="B46" s="2592" t="str">
        <f>IF(RIEPILOGO!A64=0,"",RIEPILOGO!B64)</f>
        <v/>
      </c>
      <c r="C46" s="2592"/>
      <c r="D46" s="791">
        <f>SUMIF(CASSA!AM114:AM479,"X",CASSA!BK114:BK479)</f>
        <v>0</v>
      </c>
      <c r="E46" s="471">
        <f>SUMIF(CASSA!AL114:AL479,"Y",CASSA!BK114:BK479)</f>
        <v>0</v>
      </c>
      <c r="F46" s="784" t="e">
        <f t="shared" ref="F46:G52" si="93">D46/D$54*100</f>
        <v>#DIV/0!</v>
      </c>
      <c r="G46" s="785" t="e">
        <f t="shared" si="93"/>
        <v>#DIV/0!</v>
      </c>
      <c r="H46" s="786" t="e">
        <f t="shared" ref="H46:H52" si="94">(D46-E46)/E46*100</f>
        <v>#DIV/0!</v>
      </c>
      <c r="I46" s="787" t="e">
        <f t="shared" ref="I46:I52" si="95">(E46-D46)/D46*100</f>
        <v>#DIV/0!</v>
      </c>
      <c r="J46" s="32"/>
      <c r="K46" s="32"/>
      <c r="L46" s="32"/>
      <c r="N46" s="32"/>
      <c r="O46" s="1073">
        <f>D46+E46</f>
        <v>0</v>
      </c>
      <c r="P46" s="32"/>
      <c r="Q46" s="1431">
        <f>IF(AND(D46&lt;&gt;0,D46&gt;0),IF((AB$44*9)&gt;=D46,0,1),IF(AND(D46&lt;&gt;0,D46&lt;0),IF((AB$44*9)&lt;=D46,0,1),0))</f>
        <v>0</v>
      </c>
      <c r="R46" s="1431">
        <f>IF(AND(D46&lt;&gt;0,D46&gt;0),IF((AB$44*8)&gt;=D46,0,1),IF(AND(D46&lt;&gt;0,D46&lt;0),IF((AB$44*8)&lt;=D46,0,1),0))</f>
        <v>0</v>
      </c>
      <c r="S46" s="1431">
        <f>IF(AND(D46&lt;&gt;0,D46&gt;0),IF((AB$44*7)&gt;=D46,0,1),IF(AND(D46&lt;&gt;0,D46&lt;0),IF((AB$44*7)&lt;=D46,0,1),0))</f>
        <v>0</v>
      </c>
      <c r="T46" s="1431">
        <f>IF(AND(D46&lt;&gt;0,D46&gt;0),IF((AB$44*6)&gt;=D46,0,1),IF(AND(D46&lt;&gt;0,D46&lt;0),IF((AB$44*6)&lt;=D46,0,1),0))</f>
        <v>0</v>
      </c>
      <c r="U46" s="1431">
        <f>IF(AND(D46&lt;&gt;0,D46&gt;0),IF((AB$44*5)&gt;=D46,0,1),IF(AND(D46&lt;&gt;0,D46&lt;0),IF((AB$44*5)&lt;=D46,0,1),0))</f>
        <v>0</v>
      </c>
      <c r="V46" s="1431">
        <f>IF(AND(D46&lt;&gt;0,D46&gt;0),IF((AB$44*4)&gt;=D46,0,1),IF(AND(D46&lt;&gt;0,D46&lt;0),IF((AB$44*4)&lt;=D46,0,1),0))</f>
        <v>0</v>
      </c>
      <c r="W46" s="1431">
        <f>IF(AND(D46&lt;&gt;0,D46&gt;0),IF((AB$44*3)&gt;=D46,0,1),IF(AND(D46&lt;&gt;0,D46&lt;0),IF((AB$44*3)&lt;=D46,0,1),0))</f>
        <v>0</v>
      </c>
      <c r="X46" s="1431">
        <f>IF(AND(D46&lt;&gt;0,D46&gt;0),IF((AB$44*2)&gt;=D46,0,1),IF(AND(D46&lt;&gt;0,D46&lt;0),IF((AB$44*2)&lt;=D46,0,1),0))</f>
        <v>0</v>
      </c>
      <c r="Y46" s="1431">
        <f>IF(AND(D46&lt;&gt;0,D46&gt;0),IF((AB$44*1)&gt;=D46,0,1),IF(AND(D46&lt;&gt;0,D46&lt;0),IF((AB$44*1)&lt;=D46,0,1),0))</f>
        <v>0</v>
      </c>
      <c r="Z46" s="1431">
        <f>IF(D46&lt;&gt;0,1,0)</f>
        <v>0</v>
      </c>
      <c r="AA46" s="1432"/>
      <c r="AB46" s="1431">
        <f>IF(E46&lt;&gt;0,1,0)</f>
        <v>0</v>
      </c>
      <c r="AC46" s="1431">
        <f>IF(AND(E46&lt;&gt;0,E46&gt;0),IF((AB$44*1)&gt;=E46,0,1),IF(AND(E46&lt;&gt;0,E46&lt;0),IF((AB$44*1)&lt;=E46,0,1),0))</f>
        <v>0</v>
      </c>
      <c r="AD46" s="1431">
        <f>IF(AND(E46&lt;&gt;0,E46&gt;0),IF((AB$44*2)&gt;=E46,0,1),IF(AND(E46&lt;&gt;0,E46&lt;0),IF((AB$44*2)&lt;=E46,0,1),0))</f>
        <v>0</v>
      </c>
      <c r="AE46" s="1431">
        <f>IF(AND(E46&lt;&gt;0,E46&gt;0),IF((AB$44*3)&gt;=E46,0,1),IF(AND(E46&lt;&gt;0,E46&lt;0),IF((AB$44*3)&lt;=E46,0,1),0))</f>
        <v>0</v>
      </c>
      <c r="AF46" s="1431">
        <f>IF(AND(E46&lt;&gt;0,E46&gt;0),IF((AB$44*4)&gt;=E46,0,1),IF(AND(E46&lt;&gt;0,E46&lt;0),IF((AB$44*4)&lt;=E46,0,1),0))</f>
        <v>0</v>
      </c>
      <c r="AG46" s="1431">
        <f>IF(AND(E46&lt;&gt;0,E46&gt;0),IF((AB$44*5)&gt;=E46,0,1),IF(AND(E46&lt;&gt;0,E46&lt;0),IF((AB$44*5)&lt;=E46,0,1),0))</f>
        <v>0</v>
      </c>
      <c r="AH46" s="1431">
        <f>IF(AND(E46&lt;&gt;0,E46&gt;0),IF((AB$44*6)&gt;=E46,0,1),IF(AND(E46&lt;&gt;0,E46&lt;0),IF((AB$44*6)&lt;=E46,0,1),0))</f>
        <v>0</v>
      </c>
      <c r="AI46" s="1431">
        <f>IF(AND(E46&lt;&gt;0,E46&gt;0),IF((AB$44*7)&gt;=E46,0,1),IF(AND(E46&lt;&gt;0,E46&lt;0),IF((AB$44*7)&lt;=E46,0,1),0))</f>
        <v>0</v>
      </c>
      <c r="AJ46" s="1431">
        <f>IF(AND(E46&lt;&gt;0,E46&gt;0),IF((AB$44*8)&gt;=E46,0,1),IF(AND(E46&lt;&gt;0,E46&lt;0),IF((AB$44*8)&lt;=E46,0,1),0))</f>
        <v>0</v>
      </c>
      <c r="AK46" s="1431">
        <f>IF(AND(E46&lt;&gt;0,E46&gt;0),IF((AB$44*9)&gt;=E46,0,1),IF(AND(E46&lt;&gt;0,E46&lt;0),IF((AB$44*9)&lt;=E46,0,1),0))</f>
        <v>0</v>
      </c>
      <c r="AL46" s="32"/>
      <c r="AM46" s="1431">
        <f>IF(AND(BI46&lt;&gt;0,BI46&gt;0),IF((AX$44*9)&gt;=BI46,0,1),IF(AND(BI46&lt;&gt;0,BI46&lt;0),IF((AX$44*9)&lt;=BI46,0,1),0))</f>
        <v>0</v>
      </c>
      <c r="AN46" s="1431">
        <f>IF(AND(BI46&lt;&gt;0,BI46&gt;0),IF((AX$44*8)&gt;=BI46,0,1),IF(AND(BI46&lt;&gt;0,BI46&lt;0),IF((AX$44*8)&lt;=BI46,0,1),0))</f>
        <v>0</v>
      </c>
      <c r="AO46" s="1431">
        <f>IF(AND(BI46&lt;&gt;0,BI46&gt;0),IF((AX$44*7)&gt;=BI46,0,1),IF(AND(BI46&lt;&gt;0,BI46&lt;0),IF((AX$44*7)&lt;=BI46,0,1),0))</f>
        <v>0</v>
      </c>
      <c r="AP46" s="1431">
        <f>IF(AND(BI46&lt;&gt;0,BI46&gt;0),IF((AX$44*6)&gt;=BI46,0,1),IF(AND(BI46&lt;&gt;0,BI46&lt;0),IF((AX$44*6)&lt;=BI46,0,1),0))</f>
        <v>0</v>
      </c>
      <c r="AQ46" s="1431">
        <f>IF(AND(BI46&lt;&gt;0,BI46&gt;0),IF((AX$44*5)&gt;=BI46,0,1),IF(AND(BI46&lt;&gt;0,BI46&lt;0),IF((AX$44*5)&lt;=BI46,0,1),0))</f>
        <v>0</v>
      </c>
      <c r="AR46" s="1431">
        <f>IF(AND(BI46&lt;&gt;0,BI46&gt;0),IF((AX$44*4)&gt;=BI46,0,1),IF(AND(BI46&lt;&gt;0,BI46&lt;0),IF((AX$44*4)&lt;=BI46,0,1),0))</f>
        <v>0</v>
      </c>
      <c r="AS46" s="1431">
        <f>IF(AND(BI46&lt;&gt;0,BI46&gt;0),IF((AX$44*3)&gt;=BI46,0,1),IF(AND(BI46&lt;&gt;0,BI46&lt;0),IF((AX$44*3)&lt;=BI46,0,1),0))</f>
        <v>0</v>
      </c>
      <c r="AT46" s="1431">
        <f>IF(AND(BI46&lt;&gt;0,BI46&gt;0),IF((AX$44*2)&gt;=BI46,0,1),IF(AND(BI46&lt;&gt;0,BI46&lt;0),IF((AX$44*2)&lt;=BI46,0,1),0))</f>
        <v>0</v>
      </c>
      <c r="AU46" s="1431">
        <f>IF(AND(BI46&lt;&gt;0,BI46&gt;0),IF((AX$44*1)&gt;=BI46,0,1),IF(AND(BI46&lt;&gt;0,BI46&lt;0),IF((AX$44*1)&lt;=BI46,0,1),0))</f>
        <v>0</v>
      </c>
      <c r="AV46" s="1431">
        <f>IF(BI46&lt;&gt;0,1,0)</f>
        <v>0</v>
      </c>
      <c r="AW46" s="1432"/>
      <c r="AX46" s="1431">
        <f>IF(BJ46&lt;&gt;0,1,0)</f>
        <v>0</v>
      </c>
      <c r="AY46" s="1431">
        <f>IF(AND(BJ46&lt;&gt;0,BJ46&gt;0),IF((AX$44*1)&gt;=BJ46,0,1),IF(AND(BJ46&lt;&gt;0,BJ46&lt;0),IF((AX$44*1)&lt;=BJ46,0,1),0))</f>
        <v>0</v>
      </c>
      <c r="AZ46" s="1431">
        <f>IF(AND(BJ46&lt;&gt;0,BJ46&gt;0),IF((AX$44*2)&gt;=BJ46,0,1),IF(AND(BJ46&lt;&gt;0,BJ46&lt;0),IF((AX$44*2)&lt;=BJ46,0,1),0))</f>
        <v>0</v>
      </c>
      <c r="BA46" s="1431">
        <f>IF(AND(BJ46&lt;&gt;0,BJ46&gt;0),IF((AX$44*3)&gt;=BJ46,0,1),IF(AND(BJ46&lt;&gt;0,BJ46&lt;0),IF((AX$44*3)&lt;=BJ46,0,1),0))</f>
        <v>0</v>
      </c>
      <c r="BB46" s="1431">
        <f>IF(AND(BJ46&lt;&gt;0,BJ46&gt;0),IF((AX$44*4)&gt;=BJ46,0,1),IF(AND(BJ46&lt;&gt;0,BJ46&lt;0),IF((AX$44*4)&lt;=BJ46,0,1),0))</f>
        <v>0</v>
      </c>
      <c r="BC46" s="1431">
        <f>IF(AND(BJ46&lt;&gt;0,BJ46&gt;0),IF((AX$44*5)&gt;=BJ46,0,1),IF(AND(BJ46&lt;&gt;0,BJ46&lt;0),IF((AX$44*5)&lt;=BJ46,0,1),0))</f>
        <v>0</v>
      </c>
      <c r="BD46" s="1431">
        <f>IF(AND(BJ46&lt;&gt;0,BJ46&gt;0),IF((AX$44*6)&gt;=BJ46,0,1),IF(AND(BJ46&lt;&gt;0,BJ46&lt;0),IF((AX$44*6)&lt;=BJ46,0,1),0))</f>
        <v>0</v>
      </c>
      <c r="BE46" s="1431">
        <f>IF(AND(BJ46&lt;&gt;0,BJ46&gt;0),IF((AX$44*7)&gt;=BJ46,0,1),IF(AND(BJ46&lt;&gt;0,BJ46&lt;0),IF((AX$44*7)&lt;=BJ46,0,1),0))</f>
        <v>0</v>
      </c>
      <c r="BF46" s="1431">
        <f>IF(AND(BJ46&lt;&gt;0,BJ46&gt;0),IF((AX$44*8)&gt;=BJ46,0,1),IF(AND(BJ46&lt;&gt;0,BJ46&lt;0),IF((AX$44*8)&lt;=BJ46,0,1),0))</f>
        <v>0</v>
      </c>
      <c r="BG46" s="1431">
        <f>IF(AND(BJ46&lt;&gt;0,BJ46&gt;0),IF((AX$44*9)&gt;=BJ46,0,1),IF(AND(BJ46&lt;&gt;0,BJ46&lt;0),IF((AX$44*9)&lt;=BJ46,0,1),0))</f>
        <v>0</v>
      </c>
      <c r="BH46" s="32"/>
      <c r="BI46" s="1070">
        <f t="shared" ref="BI46:BI52" si="96">IF(ISERROR(D46/O46*100),0,IF(D46&gt;=E46,ROUND(D46/O46*100,-1),100-BJ46))</f>
        <v>0</v>
      </c>
      <c r="BJ46" s="1070">
        <f t="shared" ref="BJ46:BJ52" si="97">IF(ISERROR(E46/O46*100),0,IF(E46&gt;=D46,ROUND(E46/O46*100,-1),100-BI46))</f>
        <v>0</v>
      </c>
      <c r="BK46" s="32"/>
    </row>
    <row r="47" spans="1:63" ht="19.5" customHeight="1" x14ac:dyDescent="0.2">
      <c r="A47" s="32"/>
      <c r="B47" s="2592" t="str">
        <f>IF(RIEPILOGO!A68=0,"",RIEPILOGO!B68)</f>
        <v/>
      </c>
      <c r="C47" s="2592"/>
      <c r="D47" s="792">
        <f>SUMIF(CASSA!AM114:AM479,"X",CASSA!BL114:BL479)</f>
        <v>0</v>
      </c>
      <c r="E47" s="419">
        <f>SUMIF(CASSA!AL114:AL479,"Y",CASSA!BL114:BL479)</f>
        <v>0</v>
      </c>
      <c r="F47" s="784" t="e">
        <f t="shared" si="93"/>
        <v>#DIV/0!</v>
      </c>
      <c r="G47" s="785" t="e">
        <f t="shared" si="93"/>
        <v>#DIV/0!</v>
      </c>
      <c r="H47" s="786" t="e">
        <f t="shared" si="94"/>
        <v>#DIV/0!</v>
      </c>
      <c r="I47" s="787" t="e">
        <f t="shared" si="95"/>
        <v>#DIV/0!</v>
      </c>
      <c r="J47" s="32"/>
      <c r="K47" s="32"/>
      <c r="L47" s="32"/>
      <c r="N47" s="32"/>
      <c r="O47" s="1074">
        <f t="shared" ref="O47:O52" si="98">D47+E47</f>
        <v>0</v>
      </c>
      <c r="P47" s="32"/>
      <c r="Q47" s="1431">
        <f t="shared" ref="Q47:Q52" si="99">IF(AND(D47&lt;&gt;0,D47&gt;0),IF((AB$44*9)&gt;=D47,0,1),IF(AND(D47&lt;&gt;0,D47&lt;0),IF((AB$44*9)&lt;=D47,0,1),0))</f>
        <v>0</v>
      </c>
      <c r="R47" s="1431">
        <f t="shared" ref="R47:R52" si="100">IF(AND(D47&lt;&gt;0,D47&gt;0),IF((AB$44*8)&gt;=D47,0,1),IF(AND(D47&lt;&gt;0,D47&lt;0),IF((AB$44*8)&lt;=D47,0,1),0))</f>
        <v>0</v>
      </c>
      <c r="S47" s="1431">
        <f t="shared" ref="S47:S52" si="101">IF(AND(D47&lt;&gt;0,D47&gt;0),IF((AB$44*7)&gt;=D47,0,1),IF(AND(D47&lt;&gt;0,D47&lt;0),IF((AB$44*7)&lt;=D47,0,1),0))</f>
        <v>0</v>
      </c>
      <c r="T47" s="1431">
        <f t="shared" ref="T47:T52" si="102">IF(AND(D47&lt;&gt;0,D47&gt;0),IF((AB$44*6)&gt;=D47,0,1),IF(AND(D47&lt;&gt;0,D47&lt;0),IF((AB$44*6)&lt;=D47,0,1),0))</f>
        <v>0</v>
      </c>
      <c r="U47" s="1431">
        <f t="shared" ref="U47:U52" si="103">IF(AND(D47&lt;&gt;0,D47&gt;0),IF((AB$44*5)&gt;=D47,0,1),IF(AND(D47&lt;&gt;0,D47&lt;0),IF((AB$44*5)&lt;=D47,0,1),0))</f>
        <v>0</v>
      </c>
      <c r="V47" s="1431">
        <f t="shared" ref="V47:V52" si="104">IF(AND(D47&lt;&gt;0,D47&gt;0),IF((AB$44*4)&gt;=D47,0,1),IF(AND(D47&lt;&gt;0,D47&lt;0),IF((AB$44*4)&lt;=D47,0,1),0))</f>
        <v>0</v>
      </c>
      <c r="W47" s="1431">
        <f t="shared" ref="W47:W52" si="105">IF(AND(D47&lt;&gt;0,D47&gt;0),IF((AB$44*3)&gt;=D47,0,1),IF(AND(D47&lt;&gt;0,D47&lt;0),IF((AB$44*3)&lt;=D47,0,1),0))</f>
        <v>0</v>
      </c>
      <c r="X47" s="1431">
        <f t="shared" ref="X47:X52" si="106">IF(AND(D47&lt;&gt;0,D47&gt;0),IF((AB$44*2)&gt;=D47,0,1),IF(AND(D47&lt;&gt;0,D47&lt;0),IF((AB$44*2)&lt;=D47,0,1),0))</f>
        <v>0</v>
      </c>
      <c r="Y47" s="1431">
        <f t="shared" ref="Y47:Y52" si="107">IF(AND(D47&lt;&gt;0,D47&gt;0),IF((AB$44*1)&gt;=D47,0,1),IF(AND(D47&lt;&gt;0,D47&lt;0),IF((AB$44*1)&lt;=D47,0,1),0))</f>
        <v>0</v>
      </c>
      <c r="Z47" s="1431">
        <f t="shared" ref="Z47:Z52" si="108">IF(D47&lt;&gt;0,1,0)</f>
        <v>0</v>
      </c>
      <c r="AA47" s="1432"/>
      <c r="AB47" s="1431">
        <f t="shared" ref="AB47:AB52" si="109">IF(E47&lt;&gt;0,1,0)</f>
        <v>0</v>
      </c>
      <c r="AC47" s="1431">
        <f t="shared" ref="AC47:AC52" si="110">IF(AND(E47&lt;&gt;0,E47&gt;0),IF((AB$44*1)&gt;=E47,0,1),IF(AND(E47&lt;&gt;0,E47&lt;0),IF((AB$44*1)&lt;=E47,0,1),0))</f>
        <v>0</v>
      </c>
      <c r="AD47" s="1431">
        <f t="shared" ref="AD47:AD52" si="111">IF(AND(E47&lt;&gt;0,E47&gt;0),IF((AB$44*2)&gt;=E47,0,1),IF(AND(E47&lt;&gt;0,E47&lt;0),IF((AB$44*2)&lt;=E47,0,1),0))</f>
        <v>0</v>
      </c>
      <c r="AE47" s="1431">
        <f t="shared" ref="AE47:AE52" si="112">IF(AND(E47&lt;&gt;0,E47&gt;0),IF((AB$44*3)&gt;=E47,0,1),IF(AND(E47&lt;&gt;0,E47&lt;0),IF((AB$44*3)&lt;=E47,0,1),0))</f>
        <v>0</v>
      </c>
      <c r="AF47" s="1431">
        <f t="shared" ref="AF47:AF52" si="113">IF(AND(E47&lt;&gt;0,E47&gt;0),IF((AB$44*4)&gt;=E47,0,1),IF(AND(E47&lt;&gt;0,E47&lt;0),IF((AB$44*4)&lt;=E47,0,1),0))</f>
        <v>0</v>
      </c>
      <c r="AG47" s="1431">
        <f t="shared" ref="AG47:AG52" si="114">IF(AND(E47&lt;&gt;0,E47&gt;0),IF((AB$44*5)&gt;=E47,0,1),IF(AND(E47&lt;&gt;0,E47&lt;0),IF((AB$44*5)&lt;=E47,0,1),0))</f>
        <v>0</v>
      </c>
      <c r="AH47" s="1431">
        <f t="shared" ref="AH47:AH52" si="115">IF(AND(E47&lt;&gt;0,E47&gt;0),IF((AB$44*6)&gt;=E47,0,1),IF(AND(E47&lt;&gt;0,E47&lt;0),IF((AB$44*6)&lt;=E47,0,1),0))</f>
        <v>0</v>
      </c>
      <c r="AI47" s="1431">
        <f t="shared" ref="AI47:AI52" si="116">IF(AND(E47&lt;&gt;0,E47&gt;0),IF((AB$44*7)&gt;=E47,0,1),IF(AND(E47&lt;&gt;0,E47&lt;0),IF((AB$44*7)&lt;=E47,0,1),0))</f>
        <v>0</v>
      </c>
      <c r="AJ47" s="1431">
        <f t="shared" ref="AJ47:AJ52" si="117">IF(AND(E47&lt;&gt;0,E47&gt;0),IF((AB$44*8)&gt;=E47,0,1),IF(AND(E47&lt;&gt;0,E47&lt;0),IF((AB$44*8)&lt;=E47,0,1),0))</f>
        <v>0</v>
      </c>
      <c r="AK47" s="1431">
        <f t="shared" ref="AK47:AK52" si="118">IF(AND(E47&lt;&gt;0,E47&gt;0),IF((AB$44*9)&gt;=E47,0,1),IF(AND(E47&lt;&gt;0,E47&lt;0),IF((AB$44*9)&lt;=E47,0,1),0))</f>
        <v>0</v>
      </c>
      <c r="AL47" s="32"/>
      <c r="AM47" s="1431">
        <f t="shared" ref="AM47:AM52" si="119">IF(AND(BI47&lt;&gt;0,BI47&gt;0),IF((AX$44*9)&gt;=BI47,0,1),IF(AND(BI47&lt;&gt;0,BI47&lt;0),IF((AX$44*9)&lt;=BI47,0,1),0))</f>
        <v>0</v>
      </c>
      <c r="AN47" s="1431">
        <f t="shared" ref="AN47:AN52" si="120">IF(AND(BI47&lt;&gt;0,BI47&gt;0),IF((AX$44*8)&gt;=BI47,0,1),IF(AND(BI47&lt;&gt;0,BI47&lt;0),IF((AX$44*8)&lt;=BI47,0,1),0))</f>
        <v>0</v>
      </c>
      <c r="AO47" s="1431">
        <f t="shared" ref="AO47:AO52" si="121">IF(AND(BI47&lt;&gt;0,BI47&gt;0),IF((AX$44*7)&gt;=BI47,0,1),IF(AND(BI47&lt;&gt;0,BI47&lt;0),IF((AX$44*7)&lt;=BI47,0,1),0))</f>
        <v>0</v>
      </c>
      <c r="AP47" s="1431">
        <f t="shared" ref="AP47:AP52" si="122">IF(AND(BI47&lt;&gt;0,BI47&gt;0),IF((AX$44*6)&gt;=BI47,0,1),IF(AND(BI47&lt;&gt;0,BI47&lt;0),IF((AX$44*6)&lt;=BI47,0,1),0))</f>
        <v>0</v>
      </c>
      <c r="AQ47" s="1431">
        <f t="shared" ref="AQ47:AQ52" si="123">IF(AND(BI47&lt;&gt;0,BI47&gt;0),IF((AX$44*5)&gt;=BI47,0,1),IF(AND(BI47&lt;&gt;0,BI47&lt;0),IF((AX$44*5)&lt;=BI47,0,1),0))</f>
        <v>0</v>
      </c>
      <c r="AR47" s="1431">
        <f t="shared" ref="AR47:AR52" si="124">IF(AND(BI47&lt;&gt;0,BI47&gt;0),IF((AX$44*4)&gt;=BI47,0,1),IF(AND(BI47&lt;&gt;0,BI47&lt;0),IF((AX$44*4)&lt;=BI47,0,1),0))</f>
        <v>0</v>
      </c>
      <c r="AS47" s="1431">
        <f t="shared" ref="AS47:AS52" si="125">IF(AND(BI47&lt;&gt;0,BI47&gt;0),IF((AX$44*3)&gt;=BI47,0,1),IF(AND(BI47&lt;&gt;0,BI47&lt;0),IF((AX$44*3)&lt;=BI47,0,1),0))</f>
        <v>0</v>
      </c>
      <c r="AT47" s="1431">
        <f t="shared" ref="AT47:AT52" si="126">IF(AND(BI47&lt;&gt;0,BI47&gt;0),IF((AX$44*2)&gt;=BI47,0,1),IF(AND(BI47&lt;&gt;0,BI47&lt;0),IF((AX$44*2)&lt;=BI47,0,1),0))</f>
        <v>0</v>
      </c>
      <c r="AU47" s="1431">
        <f t="shared" ref="AU47:AU52" si="127">IF(AND(BI47&lt;&gt;0,BI47&gt;0),IF((AX$44*1)&gt;=BI47,0,1),IF(AND(BI47&lt;&gt;0,BI47&lt;0),IF((AX$44*1)&lt;=BI47,0,1),0))</f>
        <v>0</v>
      </c>
      <c r="AV47" s="1431">
        <f t="shared" ref="AV47:AV52" si="128">IF(BI47&lt;&gt;0,1,0)</f>
        <v>0</v>
      </c>
      <c r="AW47" s="1432"/>
      <c r="AX47" s="1431">
        <f t="shared" ref="AX47:AX52" si="129">IF(BJ47&lt;&gt;0,1,0)</f>
        <v>0</v>
      </c>
      <c r="AY47" s="1431">
        <f t="shared" ref="AY47:AY52" si="130">IF(AND(BJ47&lt;&gt;0,BJ47&gt;0),IF((AX$44*1)&gt;=BJ47,0,1),IF(AND(BJ47&lt;&gt;0,BJ47&lt;0),IF((AX$44*1)&lt;=BJ47,0,1),0))</f>
        <v>0</v>
      </c>
      <c r="AZ47" s="1431">
        <f t="shared" ref="AZ47:AZ52" si="131">IF(AND(BJ47&lt;&gt;0,BJ47&gt;0),IF((AX$44*2)&gt;=BJ47,0,1),IF(AND(BJ47&lt;&gt;0,BJ47&lt;0),IF((AX$44*2)&lt;=BJ47,0,1),0))</f>
        <v>0</v>
      </c>
      <c r="BA47" s="1431">
        <f t="shared" ref="BA47:BA52" si="132">IF(AND(BJ47&lt;&gt;0,BJ47&gt;0),IF((AX$44*3)&gt;=BJ47,0,1),IF(AND(BJ47&lt;&gt;0,BJ47&lt;0),IF((AX$44*3)&lt;=BJ47,0,1),0))</f>
        <v>0</v>
      </c>
      <c r="BB47" s="1431">
        <f t="shared" ref="BB47:BB52" si="133">IF(AND(BJ47&lt;&gt;0,BJ47&gt;0),IF((AX$44*4)&gt;=BJ47,0,1),IF(AND(BJ47&lt;&gt;0,BJ47&lt;0),IF((AX$44*4)&lt;=BJ47,0,1),0))</f>
        <v>0</v>
      </c>
      <c r="BC47" s="1431">
        <f t="shared" ref="BC47:BC52" si="134">IF(AND(BJ47&lt;&gt;0,BJ47&gt;0),IF((AX$44*5)&gt;=BJ47,0,1),IF(AND(BJ47&lt;&gt;0,BJ47&lt;0),IF((AX$44*5)&lt;=BJ47,0,1),0))</f>
        <v>0</v>
      </c>
      <c r="BD47" s="1431">
        <f t="shared" ref="BD47:BD52" si="135">IF(AND(BJ47&lt;&gt;0,BJ47&gt;0),IF((AX$44*6)&gt;=BJ47,0,1),IF(AND(BJ47&lt;&gt;0,BJ47&lt;0),IF((AX$44*6)&lt;=BJ47,0,1),0))</f>
        <v>0</v>
      </c>
      <c r="BE47" s="1431">
        <f t="shared" ref="BE47:BE52" si="136">IF(AND(BJ47&lt;&gt;0,BJ47&gt;0),IF((AX$44*7)&gt;=BJ47,0,1),IF(AND(BJ47&lt;&gt;0,BJ47&lt;0),IF((AX$44*7)&lt;=BJ47,0,1),0))</f>
        <v>0</v>
      </c>
      <c r="BF47" s="1431">
        <f t="shared" ref="BF47:BF52" si="137">IF(AND(BJ47&lt;&gt;0,BJ47&gt;0),IF((AX$44*8)&gt;=BJ47,0,1),IF(AND(BJ47&lt;&gt;0,BJ47&lt;0),IF((AX$44*8)&lt;=BJ47,0,1),0))</f>
        <v>0</v>
      </c>
      <c r="BG47" s="1431">
        <f t="shared" ref="BG47:BG52" si="138">IF(AND(BJ47&lt;&gt;0,BJ47&gt;0),IF((AX$44*9)&gt;=BJ47,0,1),IF(AND(BJ47&lt;&gt;0,BJ47&lt;0),IF((AX$44*9)&lt;=BJ47,0,1),0))</f>
        <v>0</v>
      </c>
      <c r="BH47" s="32"/>
      <c r="BI47" s="1070">
        <f t="shared" si="96"/>
        <v>0</v>
      </c>
      <c r="BJ47" s="1070">
        <f t="shared" si="97"/>
        <v>0</v>
      </c>
      <c r="BK47" s="32"/>
    </row>
    <row r="48" spans="1:63" ht="19.5" customHeight="1" x14ac:dyDescent="0.2">
      <c r="A48" s="32"/>
      <c r="B48" s="2592" t="str">
        <f>IF(RIEPILOGO!A72=0,"",RIEPILOGO!B72)</f>
        <v/>
      </c>
      <c r="C48" s="2592"/>
      <c r="D48" s="792">
        <f>SUMIF(CASSA!AM114:AM479,"X",CASSA!BM114:BM479)</f>
        <v>0</v>
      </c>
      <c r="E48" s="419">
        <f>SUMIF(CASSA!AL114:AL479,"Y",CASSA!BM114:BM479)</f>
        <v>0</v>
      </c>
      <c r="F48" s="784" t="e">
        <f t="shared" si="93"/>
        <v>#DIV/0!</v>
      </c>
      <c r="G48" s="785" t="e">
        <f t="shared" si="93"/>
        <v>#DIV/0!</v>
      </c>
      <c r="H48" s="786" t="e">
        <f t="shared" si="94"/>
        <v>#DIV/0!</v>
      </c>
      <c r="I48" s="787" t="e">
        <f t="shared" si="95"/>
        <v>#DIV/0!</v>
      </c>
      <c r="J48" s="32"/>
      <c r="K48" s="32"/>
      <c r="L48" s="32"/>
      <c r="N48" s="32"/>
      <c r="O48" s="1074">
        <f t="shared" si="98"/>
        <v>0</v>
      </c>
      <c r="P48" s="32"/>
      <c r="Q48" s="1431">
        <f t="shared" si="99"/>
        <v>0</v>
      </c>
      <c r="R48" s="1431">
        <f t="shared" si="100"/>
        <v>0</v>
      </c>
      <c r="S48" s="1431">
        <f t="shared" si="101"/>
        <v>0</v>
      </c>
      <c r="T48" s="1431">
        <f t="shared" si="102"/>
        <v>0</v>
      </c>
      <c r="U48" s="1431">
        <f t="shared" si="103"/>
        <v>0</v>
      </c>
      <c r="V48" s="1431">
        <f t="shared" si="104"/>
        <v>0</v>
      </c>
      <c r="W48" s="1431">
        <f t="shared" si="105"/>
        <v>0</v>
      </c>
      <c r="X48" s="1431">
        <f t="shared" si="106"/>
        <v>0</v>
      </c>
      <c r="Y48" s="1431">
        <f t="shared" si="107"/>
        <v>0</v>
      </c>
      <c r="Z48" s="1431">
        <f t="shared" si="108"/>
        <v>0</v>
      </c>
      <c r="AA48" s="1432"/>
      <c r="AB48" s="1431">
        <f t="shared" si="109"/>
        <v>0</v>
      </c>
      <c r="AC48" s="1431">
        <f t="shared" si="110"/>
        <v>0</v>
      </c>
      <c r="AD48" s="1431">
        <f t="shared" si="111"/>
        <v>0</v>
      </c>
      <c r="AE48" s="1431">
        <f t="shared" si="112"/>
        <v>0</v>
      </c>
      <c r="AF48" s="1431">
        <f t="shared" si="113"/>
        <v>0</v>
      </c>
      <c r="AG48" s="1431">
        <f t="shared" si="114"/>
        <v>0</v>
      </c>
      <c r="AH48" s="1431">
        <f t="shared" si="115"/>
        <v>0</v>
      </c>
      <c r="AI48" s="1431">
        <f t="shared" si="116"/>
        <v>0</v>
      </c>
      <c r="AJ48" s="1431">
        <f t="shared" si="117"/>
        <v>0</v>
      </c>
      <c r="AK48" s="1431">
        <f t="shared" si="118"/>
        <v>0</v>
      </c>
      <c r="AL48" s="32"/>
      <c r="AM48" s="1431">
        <f t="shared" si="119"/>
        <v>0</v>
      </c>
      <c r="AN48" s="1431">
        <f t="shared" si="120"/>
        <v>0</v>
      </c>
      <c r="AO48" s="1431">
        <f t="shared" si="121"/>
        <v>0</v>
      </c>
      <c r="AP48" s="1431">
        <f t="shared" si="122"/>
        <v>0</v>
      </c>
      <c r="AQ48" s="1431">
        <f t="shared" si="123"/>
        <v>0</v>
      </c>
      <c r="AR48" s="1431">
        <f t="shared" si="124"/>
        <v>0</v>
      </c>
      <c r="AS48" s="1431">
        <f t="shared" si="125"/>
        <v>0</v>
      </c>
      <c r="AT48" s="1431">
        <f t="shared" si="126"/>
        <v>0</v>
      </c>
      <c r="AU48" s="1431">
        <f t="shared" si="127"/>
        <v>0</v>
      </c>
      <c r="AV48" s="1431">
        <f t="shared" si="128"/>
        <v>0</v>
      </c>
      <c r="AW48" s="1432"/>
      <c r="AX48" s="1431">
        <f t="shared" si="129"/>
        <v>0</v>
      </c>
      <c r="AY48" s="1431">
        <f t="shared" si="130"/>
        <v>0</v>
      </c>
      <c r="AZ48" s="1431">
        <f t="shared" si="131"/>
        <v>0</v>
      </c>
      <c r="BA48" s="1431">
        <f t="shared" si="132"/>
        <v>0</v>
      </c>
      <c r="BB48" s="1431">
        <f t="shared" si="133"/>
        <v>0</v>
      </c>
      <c r="BC48" s="1431">
        <f t="shared" si="134"/>
        <v>0</v>
      </c>
      <c r="BD48" s="1431">
        <f t="shared" si="135"/>
        <v>0</v>
      </c>
      <c r="BE48" s="1431">
        <f t="shared" si="136"/>
        <v>0</v>
      </c>
      <c r="BF48" s="1431">
        <f t="shared" si="137"/>
        <v>0</v>
      </c>
      <c r="BG48" s="1431">
        <f t="shared" si="138"/>
        <v>0</v>
      </c>
      <c r="BH48" s="32"/>
      <c r="BI48" s="1070">
        <f t="shared" si="96"/>
        <v>0</v>
      </c>
      <c r="BJ48" s="1070">
        <f t="shared" si="97"/>
        <v>0</v>
      </c>
      <c r="BK48" s="32"/>
    </row>
    <row r="49" spans="1:63" ht="19.5" customHeight="1" x14ac:dyDescent="0.2">
      <c r="A49" s="32"/>
      <c r="B49" s="2592" t="str">
        <f>IF(RIEPILOGO!A76=0,"",RIEPILOGO!B76)</f>
        <v/>
      </c>
      <c r="C49" s="2592"/>
      <c r="D49" s="792">
        <f>SUMIF(CASSA!AM114:AM479,"X",CASSA!BN114:BN479)</f>
        <v>0</v>
      </c>
      <c r="E49" s="419">
        <f>SUMIF(CASSA!AL114:AL479,"Y",CASSA!BN114:BN479)</f>
        <v>0</v>
      </c>
      <c r="F49" s="784" t="e">
        <f t="shared" si="93"/>
        <v>#DIV/0!</v>
      </c>
      <c r="G49" s="785" t="e">
        <f t="shared" si="93"/>
        <v>#DIV/0!</v>
      </c>
      <c r="H49" s="786" t="e">
        <f t="shared" si="94"/>
        <v>#DIV/0!</v>
      </c>
      <c r="I49" s="787" t="e">
        <f t="shared" si="95"/>
        <v>#DIV/0!</v>
      </c>
      <c r="J49" s="32"/>
      <c r="K49" s="32"/>
      <c r="L49" s="32"/>
      <c r="N49" s="32"/>
      <c r="O49" s="1074">
        <f t="shared" si="98"/>
        <v>0</v>
      </c>
      <c r="P49" s="32"/>
      <c r="Q49" s="1431">
        <f t="shared" si="99"/>
        <v>0</v>
      </c>
      <c r="R49" s="1431">
        <f t="shared" si="100"/>
        <v>0</v>
      </c>
      <c r="S49" s="1431">
        <f t="shared" si="101"/>
        <v>0</v>
      </c>
      <c r="T49" s="1431">
        <f t="shared" si="102"/>
        <v>0</v>
      </c>
      <c r="U49" s="1431">
        <f t="shared" si="103"/>
        <v>0</v>
      </c>
      <c r="V49" s="1431">
        <f t="shared" si="104"/>
        <v>0</v>
      </c>
      <c r="W49" s="1431">
        <f t="shared" si="105"/>
        <v>0</v>
      </c>
      <c r="X49" s="1431">
        <f t="shared" si="106"/>
        <v>0</v>
      </c>
      <c r="Y49" s="1431">
        <f t="shared" si="107"/>
        <v>0</v>
      </c>
      <c r="Z49" s="1431">
        <f t="shared" si="108"/>
        <v>0</v>
      </c>
      <c r="AA49" s="1432"/>
      <c r="AB49" s="1431">
        <f t="shared" si="109"/>
        <v>0</v>
      </c>
      <c r="AC49" s="1431">
        <f t="shared" si="110"/>
        <v>0</v>
      </c>
      <c r="AD49" s="1431">
        <f t="shared" si="111"/>
        <v>0</v>
      </c>
      <c r="AE49" s="1431">
        <f t="shared" si="112"/>
        <v>0</v>
      </c>
      <c r="AF49" s="1431">
        <f t="shared" si="113"/>
        <v>0</v>
      </c>
      <c r="AG49" s="1431">
        <f t="shared" si="114"/>
        <v>0</v>
      </c>
      <c r="AH49" s="1431">
        <f t="shared" si="115"/>
        <v>0</v>
      </c>
      <c r="AI49" s="1431">
        <f t="shared" si="116"/>
        <v>0</v>
      </c>
      <c r="AJ49" s="1431">
        <f t="shared" si="117"/>
        <v>0</v>
      </c>
      <c r="AK49" s="1431">
        <f t="shared" si="118"/>
        <v>0</v>
      </c>
      <c r="AL49" s="32"/>
      <c r="AM49" s="1431">
        <f t="shared" si="119"/>
        <v>0</v>
      </c>
      <c r="AN49" s="1431">
        <f t="shared" si="120"/>
        <v>0</v>
      </c>
      <c r="AO49" s="1431">
        <f t="shared" si="121"/>
        <v>0</v>
      </c>
      <c r="AP49" s="1431">
        <f t="shared" si="122"/>
        <v>0</v>
      </c>
      <c r="AQ49" s="1431">
        <f t="shared" si="123"/>
        <v>0</v>
      </c>
      <c r="AR49" s="1431">
        <f t="shared" si="124"/>
        <v>0</v>
      </c>
      <c r="AS49" s="1431">
        <f t="shared" si="125"/>
        <v>0</v>
      </c>
      <c r="AT49" s="1431">
        <f t="shared" si="126"/>
        <v>0</v>
      </c>
      <c r="AU49" s="1431">
        <f t="shared" si="127"/>
        <v>0</v>
      </c>
      <c r="AV49" s="1431">
        <f t="shared" si="128"/>
        <v>0</v>
      </c>
      <c r="AW49" s="1432"/>
      <c r="AX49" s="1431">
        <f t="shared" si="129"/>
        <v>0</v>
      </c>
      <c r="AY49" s="1431">
        <f t="shared" si="130"/>
        <v>0</v>
      </c>
      <c r="AZ49" s="1431">
        <f t="shared" si="131"/>
        <v>0</v>
      </c>
      <c r="BA49" s="1431">
        <f t="shared" si="132"/>
        <v>0</v>
      </c>
      <c r="BB49" s="1431">
        <f t="shared" si="133"/>
        <v>0</v>
      </c>
      <c r="BC49" s="1431">
        <f t="shared" si="134"/>
        <v>0</v>
      </c>
      <c r="BD49" s="1431">
        <f t="shared" si="135"/>
        <v>0</v>
      </c>
      <c r="BE49" s="1431">
        <f t="shared" si="136"/>
        <v>0</v>
      </c>
      <c r="BF49" s="1431">
        <f t="shared" si="137"/>
        <v>0</v>
      </c>
      <c r="BG49" s="1431">
        <f t="shared" si="138"/>
        <v>0</v>
      </c>
      <c r="BH49" s="32"/>
      <c r="BI49" s="1070">
        <f t="shared" si="96"/>
        <v>0</v>
      </c>
      <c r="BJ49" s="1070">
        <f t="shared" si="97"/>
        <v>0</v>
      </c>
      <c r="BK49" s="32"/>
    </row>
    <row r="50" spans="1:63" ht="19.5" customHeight="1" x14ac:dyDescent="0.2">
      <c r="A50" s="32"/>
      <c r="B50" s="2592" t="str">
        <f>IF(RIEPILOGO!A80=0,"",RIEPILOGO!B80)</f>
        <v/>
      </c>
      <c r="C50" s="2592"/>
      <c r="D50" s="792">
        <f>SUMIF(CASSA!AM114:AM479,"X",CASSA!BO114:BO479)</f>
        <v>0</v>
      </c>
      <c r="E50" s="419">
        <f>SUMIF(CASSA!AL114:AL479,"Y",CASSA!BO114:BO479)</f>
        <v>0</v>
      </c>
      <c r="F50" s="784" t="e">
        <f t="shared" si="93"/>
        <v>#DIV/0!</v>
      </c>
      <c r="G50" s="785" t="e">
        <f t="shared" si="93"/>
        <v>#DIV/0!</v>
      </c>
      <c r="H50" s="786" t="e">
        <f t="shared" si="94"/>
        <v>#DIV/0!</v>
      </c>
      <c r="I50" s="787" t="e">
        <f t="shared" si="95"/>
        <v>#DIV/0!</v>
      </c>
      <c r="J50" s="32"/>
      <c r="K50" s="32"/>
      <c r="L50" s="32"/>
      <c r="N50" s="32"/>
      <c r="O50" s="1074">
        <f t="shared" si="98"/>
        <v>0</v>
      </c>
      <c r="P50" s="32"/>
      <c r="Q50" s="1431">
        <f t="shared" si="99"/>
        <v>0</v>
      </c>
      <c r="R50" s="1431">
        <f t="shared" si="100"/>
        <v>0</v>
      </c>
      <c r="S50" s="1431">
        <f t="shared" si="101"/>
        <v>0</v>
      </c>
      <c r="T50" s="1431">
        <f t="shared" si="102"/>
        <v>0</v>
      </c>
      <c r="U50" s="1431">
        <f t="shared" si="103"/>
        <v>0</v>
      </c>
      <c r="V50" s="1431">
        <f t="shared" si="104"/>
        <v>0</v>
      </c>
      <c r="W50" s="1431">
        <f t="shared" si="105"/>
        <v>0</v>
      </c>
      <c r="X50" s="1431">
        <f t="shared" si="106"/>
        <v>0</v>
      </c>
      <c r="Y50" s="1431">
        <f t="shared" si="107"/>
        <v>0</v>
      </c>
      <c r="Z50" s="1431">
        <f t="shared" si="108"/>
        <v>0</v>
      </c>
      <c r="AA50" s="1432"/>
      <c r="AB50" s="1431">
        <f t="shared" si="109"/>
        <v>0</v>
      </c>
      <c r="AC50" s="1431">
        <f t="shared" si="110"/>
        <v>0</v>
      </c>
      <c r="AD50" s="1431">
        <f t="shared" si="111"/>
        <v>0</v>
      </c>
      <c r="AE50" s="1431">
        <f t="shared" si="112"/>
        <v>0</v>
      </c>
      <c r="AF50" s="1431">
        <f t="shared" si="113"/>
        <v>0</v>
      </c>
      <c r="AG50" s="1431">
        <f t="shared" si="114"/>
        <v>0</v>
      </c>
      <c r="AH50" s="1431">
        <f t="shared" si="115"/>
        <v>0</v>
      </c>
      <c r="AI50" s="1431">
        <f t="shared" si="116"/>
        <v>0</v>
      </c>
      <c r="AJ50" s="1431">
        <f t="shared" si="117"/>
        <v>0</v>
      </c>
      <c r="AK50" s="1431">
        <f t="shared" si="118"/>
        <v>0</v>
      </c>
      <c r="AL50" s="32"/>
      <c r="AM50" s="1431">
        <f t="shared" si="119"/>
        <v>0</v>
      </c>
      <c r="AN50" s="1431">
        <f t="shared" si="120"/>
        <v>0</v>
      </c>
      <c r="AO50" s="1431">
        <f t="shared" si="121"/>
        <v>0</v>
      </c>
      <c r="AP50" s="1431">
        <f t="shared" si="122"/>
        <v>0</v>
      </c>
      <c r="AQ50" s="1431">
        <f t="shared" si="123"/>
        <v>0</v>
      </c>
      <c r="AR50" s="1431">
        <f t="shared" si="124"/>
        <v>0</v>
      </c>
      <c r="AS50" s="1431">
        <f t="shared" si="125"/>
        <v>0</v>
      </c>
      <c r="AT50" s="1431">
        <f t="shared" si="126"/>
        <v>0</v>
      </c>
      <c r="AU50" s="1431">
        <f t="shared" si="127"/>
        <v>0</v>
      </c>
      <c r="AV50" s="1431">
        <f t="shared" si="128"/>
        <v>0</v>
      </c>
      <c r="AW50" s="1432"/>
      <c r="AX50" s="1431">
        <f t="shared" si="129"/>
        <v>0</v>
      </c>
      <c r="AY50" s="1431">
        <f t="shared" si="130"/>
        <v>0</v>
      </c>
      <c r="AZ50" s="1431">
        <f t="shared" si="131"/>
        <v>0</v>
      </c>
      <c r="BA50" s="1431">
        <f t="shared" si="132"/>
        <v>0</v>
      </c>
      <c r="BB50" s="1431">
        <f t="shared" si="133"/>
        <v>0</v>
      </c>
      <c r="BC50" s="1431">
        <f t="shared" si="134"/>
        <v>0</v>
      </c>
      <c r="BD50" s="1431">
        <f t="shared" si="135"/>
        <v>0</v>
      </c>
      <c r="BE50" s="1431">
        <f t="shared" si="136"/>
        <v>0</v>
      </c>
      <c r="BF50" s="1431">
        <f t="shared" si="137"/>
        <v>0</v>
      </c>
      <c r="BG50" s="1431">
        <f t="shared" si="138"/>
        <v>0</v>
      </c>
      <c r="BH50" s="32"/>
      <c r="BI50" s="1070">
        <f t="shared" si="96"/>
        <v>0</v>
      </c>
      <c r="BJ50" s="1070">
        <f t="shared" si="97"/>
        <v>0</v>
      </c>
      <c r="BK50" s="32"/>
    </row>
    <row r="51" spans="1:63" ht="19.5" customHeight="1" x14ac:dyDescent="0.2">
      <c r="A51" s="32"/>
      <c r="B51" s="2592" t="str">
        <f>IF(RIEPILOGO!A84=0,"",RIEPILOGO!B84)</f>
        <v/>
      </c>
      <c r="C51" s="2592"/>
      <c r="D51" s="792">
        <f>SUMIF(CASSA!AM114:AM479,"X",CASSA!BP114:BP479)</f>
        <v>0</v>
      </c>
      <c r="E51" s="419">
        <f>SUMIF(CASSA!AL114:AL479,"Y",CASSA!BP114:BP479)</f>
        <v>0</v>
      </c>
      <c r="F51" s="784" t="e">
        <f t="shared" si="93"/>
        <v>#DIV/0!</v>
      </c>
      <c r="G51" s="785" t="e">
        <f t="shared" si="93"/>
        <v>#DIV/0!</v>
      </c>
      <c r="H51" s="786" t="e">
        <f t="shared" si="94"/>
        <v>#DIV/0!</v>
      </c>
      <c r="I51" s="787" t="e">
        <f t="shared" si="95"/>
        <v>#DIV/0!</v>
      </c>
      <c r="J51" s="32"/>
      <c r="K51" s="32"/>
      <c r="L51" s="32"/>
      <c r="N51" s="32"/>
      <c r="O51" s="1074">
        <f t="shared" si="98"/>
        <v>0</v>
      </c>
      <c r="P51" s="32"/>
      <c r="Q51" s="1431">
        <f t="shared" si="99"/>
        <v>0</v>
      </c>
      <c r="R51" s="1431">
        <f t="shared" si="100"/>
        <v>0</v>
      </c>
      <c r="S51" s="1431">
        <f t="shared" si="101"/>
        <v>0</v>
      </c>
      <c r="T51" s="1431">
        <f t="shared" si="102"/>
        <v>0</v>
      </c>
      <c r="U51" s="1431">
        <f t="shared" si="103"/>
        <v>0</v>
      </c>
      <c r="V51" s="1431">
        <f t="shared" si="104"/>
        <v>0</v>
      </c>
      <c r="W51" s="1431">
        <f t="shared" si="105"/>
        <v>0</v>
      </c>
      <c r="X51" s="1431">
        <f t="shared" si="106"/>
        <v>0</v>
      </c>
      <c r="Y51" s="1431">
        <f t="shared" si="107"/>
        <v>0</v>
      </c>
      <c r="Z51" s="1431">
        <f t="shared" si="108"/>
        <v>0</v>
      </c>
      <c r="AA51" s="1432"/>
      <c r="AB51" s="1431">
        <f t="shared" si="109"/>
        <v>0</v>
      </c>
      <c r="AC51" s="1431">
        <f t="shared" si="110"/>
        <v>0</v>
      </c>
      <c r="AD51" s="1431">
        <f t="shared" si="111"/>
        <v>0</v>
      </c>
      <c r="AE51" s="1431">
        <f t="shared" si="112"/>
        <v>0</v>
      </c>
      <c r="AF51" s="1431">
        <f t="shared" si="113"/>
        <v>0</v>
      </c>
      <c r="AG51" s="1431">
        <f t="shared" si="114"/>
        <v>0</v>
      </c>
      <c r="AH51" s="1431">
        <f t="shared" si="115"/>
        <v>0</v>
      </c>
      <c r="AI51" s="1431">
        <f t="shared" si="116"/>
        <v>0</v>
      </c>
      <c r="AJ51" s="1431">
        <f t="shared" si="117"/>
        <v>0</v>
      </c>
      <c r="AK51" s="1431">
        <f t="shared" si="118"/>
        <v>0</v>
      </c>
      <c r="AL51" s="32"/>
      <c r="AM51" s="1431">
        <f t="shared" si="119"/>
        <v>0</v>
      </c>
      <c r="AN51" s="1431">
        <f t="shared" si="120"/>
        <v>0</v>
      </c>
      <c r="AO51" s="1431">
        <f t="shared" si="121"/>
        <v>0</v>
      </c>
      <c r="AP51" s="1431">
        <f t="shared" si="122"/>
        <v>0</v>
      </c>
      <c r="AQ51" s="1431">
        <f t="shared" si="123"/>
        <v>0</v>
      </c>
      <c r="AR51" s="1431">
        <f t="shared" si="124"/>
        <v>0</v>
      </c>
      <c r="AS51" s="1431">
        <f t="shared" si="125"/>
        <v>0</v>
      </c>
      <c r="AT51" s="1431">
        <f t="shared" si="126"/>
        <v>0</v>
      </c>
      <c r="AU51" s="1431">
        <f t="shared" si="127"/>
        <v>0</v>
      </c>
      <c r="AV51" s="1431">
        <f t="shared" si="128"/>
        <v>0</v>
      </c>
      <c r="AW51" s="1432"/>
      <c r="AX51" s="1431">
        <f t="shared" si="129"/>
        <v>0</v>
      </c>
      <c r="AY51" s="1431">
        <f t="shared" si="130"/>
        <v>0</v>
      </c>
      <c r="AZ51" s="1431">
        <f t="shared" si="131"/>
        <v>0</v>
      </c>
      <c r="BA51" s="1431">
        <f t="shared" si="132"/>
        <v>0</v>
      </c>
      <c r="BB51" s="1431">
        <f t="shared" si="133"/>
        <v>0</v>
      </c>
      <c r="BC51" s="1431">
        <f t="shared" si="134"/>
        <v>0</v>
      </c>
      <c r="BD51" s="1431">
        <f t="shared" si="135"/>
        <v>0</v>
      </c>
      <c r="BE51" s="1431">
        <f t="shared" si="136"/>
        <v>0</v>
      </c>
      <c r="BF51" s="1431">
        <f t="shared" si="137"/>
        <v>0</v>
      </c>
      <c r="BG51" s="1431">
        <f t="shared" si="138"/>
        <v>0</v>
      </c>
      <c r="BH51" s="32"/>
      <c r="BI51" s="1070">
        <f t="shared" si="96"/>
        <v>0</v>
      </c>
      <c r="BJ51" s="1070">
        <f t="shared" si="97"/>
        <v>0</v>
      </c>
      <c r="BK51" s="32"/>
    </row>
    <row r="52" spans="1:63" ht="19.5" customHeight="1" x14ac:dyDescent="0.2">
      <c r="A52" s="32"/>
      <c r="B52" s="2592" t="str">
        <f>IF(RIEPILOGO!A88=0,"",RIEPILOGO!B88)</f>
        <v/>
      </c>
      <c r="C52" s="2592"/>
      <c r="D52" s="793">
        <f>SUMIF(CASSA!AM114:AM479,"X",CASSA!BQ114:BQ479)</f>
        <v>0</v>
      </c>
      <c r="E52" s="431">
        <f>SUMIF(CASSA!AL114:AL479,"Y",CASSA!BQ114:BQ479)</f>
        <v>0</v>
      </c>
      <c r="F52" s="784" t="e">
        <f t="shared" si="93"/>
        <v>#DIV/0!</v>
      </c>
      <c r="G52" s="785" t="e">
        <f t="shared" si="93"/>
        <v>#DIV/0!</v>
      </c>
      <c r="H52" s="786" t="e">
        <f t="shared" si="94"/>
        <v>#DIV/0!</v>
      </c>
      <c r="I52" s="787" t="e">
        <f t="shared" si="95"/>
        <v>#DIV/0!</v>
      </c>
      <c r="J52" s="32"/>
      <c r="K52" s="32"/>
      <c r="L52" s="32"/>
      <c r="N52" s="32"/>
      <c r="O52" s="1076">
        <f t="shared" si="98"/>
        <v>0</v>
      </c>
      <c r="P52" s="32"/>
      <c r="Q52" s="1431">
        <f t="shared" si="99"/>
        <v>0</v>
      </c>
      <c r="R52" s="1431">
        <f t="shared" si="100"/>
        <v>0</v>
      </c>
      <c r="S52" s="1431">
        <f t="shared" si="101"/>
        <v>0</v>
      </c>
      <c r="T52" s="1431">
        <f t="shared" si="102"/>
        <v>0</v>
      </c>
      <c r="U52" s="1431">
        <f t="shared" si="103"/>
        <v>0</v>
      </c>
      <c r="V52" s="1431">
        <f t="shared" si="104"/>
        <v>0</v>
      </c>
      <c r="W52" s="1431">
        <f t="shared" si="105"/>
        <v>0</v>
      </c>
      <c r="X52" s="1431">
        <f t="shared" si="106"/>
        <v>0</v>
      </c>
      <c r="Y52" s="1431">
        <f t="shared" si="107"/>
        <v>0</v>
      </c>
      <c r="Z52" s="1431">
        <f t="shared" si="108"/>
        <v>0</v>
      </c>
      <c r="AA52" s="1432"/>
      <c r="AB52" s="1431">
        <f t="shared" si="109"/>
        <v>0</v>
      </c>
      <c r="AC52" s="1431">
        <f t="shared" si="110"/>
        <v>0</v>
      </c>
      <c r="AD52" s="1431">
        <f t="shared" si="111"/>
        <v>0</v>
      </c>
      <c r="AE52" s="1431">
        <f t="shared" si="112"/>
        <v>0</v>
      </c>
      <c r="AF52" s="1431">
        <f t="shared" si="113"/>
        <v>0</v>
      </c>
      <c r="AG52" s="1431">
        <f t="shared" si="114"/>
        <v>0</v>
      </c>
      <c r="AH52" s="1431">
        <f t="shared" si="115"/>
        <v>0</v>
      </c>
      <c r="AI52" s="1431">
        <f t="shared" si="116"/>
        <v>0</v>
      </c>
      <c r="AJ52" s="1431">
        <f t="shared" si="117"/>
        <v>0</v>
      </c>
      <c r="AK52" s="1431">
        <f t="shared" si="118"/>
        <v>0</v>
      </c>
      <c r="AL52" s="32"/>
      <c r="AM52" s="1431">
        <f t="shared" si="119"/>
        <v>0</v>
      </c>
      <c r="AN52" s="1431">
        <f t="shared" si="120"/>
        <v>0</v>
      </c>
      <c r="AO52" s="1431">
        <f t="shared" si="121"/>
        <v>0</v>
      </c>
      <c r="AP52" s="1431">
        <f t="shared" si="122"/>
        <v>0</v>
      </c>
      <c r="AQ52" s="1431">
        <f t="shared" si="123"/>
        <v>0</v>
      </c>
      <c r="AR52" s="1431">
        <f t="shared" si="124"/>
        <v>0</v>
      </c>
      <c r="AS52" s="1431">
        <f t="shared" si="125"/>
        <v>0</v>
      </c>
      <c r="AT52" s="1431">
        <f t="shared" si="126"/>
        <v>0</v>
      </c>
      <c r="AU52" s="1431">
        <f t="shared" si="127"/>
        <v>0</v>
      </c>
      <c r="AV52" s="1431">
        <f t="shared" si="128"/>
        <v>0</v>
      </c>
      <c r="AW52" s="1432"/>
      <c r="AX52" s="1431">
        <f t="shared" si="129"/>
        <v>0</v>
      </c>
      <c r="AY52" s="1431">
        <f t="shared" si="130"/>
        <v>0</v>
      </c>
      <c r="AZ52" s="1431">
        <f t="shared" si="131"/>
        <v>0</v>
      </c>
      <c r="BA52" s="1431">
        <f t="shared" si="132"/>
        <v>0</v>
      </c>
      <c r="BB52" s="1431">
        <f t="shared" si="133"/>
        <v>0</v>
      </c>
      <c r="BC52" s="1431">
        <f t="shared" si="134"/>
        <v>0</v>
      </c>
      <c r="BD52" s="1431">
        <f t="shared" si="135"/>
        <v>0</v>
      </c>
      <c r="BE52" s="1431">
        <f t="shared" si="136"/>
        <v>0</v>
      </c>
      <c r="BF52" s="1431">
        <f t="shared" si="137"/>
        <v>0</v>
      </c>
      <c r="BG52" s="1431">
        <f t="shared" si="138"/>
        <v>0</v>
      </c>
      <c r="BH52" s="32"/>
      <c r="BI52" s="1070">
        <f t="shared" si="96"/>
        <v>0</v>
      </c>
      <c r="BJ52" s="1070">
        <f t="shared" si="97"/>
        <v>0</v>
      </c>
      <c r="BK52" s="32"/>
    </row>
    <row r="53" spans="1:63" ht="19.5" customHeight="1" x14ac:dyDescent="0.2">
      <c r="A53" s="32"/>
      <c r="B53" s="32"/>
      <c r="C53" s="466"/>
      <c r="D53" s="490" t="e">
        <f>D54/SUM($D54:$E54)*100</f>
        <v>#DIV/0!</v>
      </c>
      <c r="E53" s="490" t="e">
        <f>E54/SUM($D54:$E54)*100</f>
        <v>#DIV/0!</v>
      </c>
      <c r="F53" s="940"/>
      <c r="G53" s="466"/>
      <c r="H53" s="444"/>
      <c r="I53" s="444"/>
      <c r="J53" s="32"/>
      <c r="K53" s="32"/>
      <c r="L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row>
    <row r="54" spans="1:63" ht="19.5" customHeight="1" x14ac:dyDescent="0.2">
      <c r="A54" s="32"/>
      <c r="B54" s="2596" t="s">
        <v>652</v>
      </c>
      <c r="C54" s="2597"/>
      <c r="D54" s="794">
        <f>SUM(D46:D52)</f>
        <v>0</v>
      </c>
      <c r="E54" s="348">
        <f>SUM(E46:E52)</f>
        <v>0</v>
      </c>
      <c r="F54" s="784" t="e">
        <f>D54/D$54*100</f>
        <v>#DIV/0!</v>
      </c>
      <c r="G54" s="785" t="e">
        <f>E54/E$54*100</f>
        <v>#DIV/0!</v>
      </c>
      <c r="H54" s="786" t="e">
        <f>(D54-E54)/E54*100</f>
        <v>#DIV/0!</v>
      </c>
      <c r="I54" s="787" t="e">
        <f>(E54-D54)/D54*100</f>
        <v>#DIV/0!</v>
      </c>
      <c r="J54" s="32"/>
      <c r="K54" s="32"/>
      <c r="L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row>
    <row r="55" spans="1:63" ht="19.5" customHeight="1" x14ac:dyDescent="0.2">
      <c r="A55" s="32"/>
      <c r="B55" s="32"/>
      <c r="C55" s="466"/>
      <c r="D55" s="444"/>
      <c r="E55" s="444"/>
      <c r="F55" s="32"/>
      <c r="G55" s="466"/>
      <c r="H55" s="444"/>
      <c r="I55" s="444"/>
      <c r="J55" s="32"/>
      <c r="K55" s="32"/>
      <c r="L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row>
    <row r="56" spans="1:63" ht="19.5" customHeight="1" x14ac:dyDescent="0.3">
      <c r="A56" s="487"/>
      <c r="B56" s="2598" t="s">
        <v>31</v>
      </c>
      <c r="C56" s="2598"/>
      <c r="D56" s="2598"/>
      <c r="E56" s="2598"/>
      <c r="F56" s="556"/>
      <c r="G56" s="556"/>
      <c r="H56" s="556"/>
      <c r="I56" s="556"/>
      <c r="J56" s="432"/>
      <c r="K56" s="32"/>
      <c r="L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row>
    <row r="57" spans="1:63" ht="19.5" customHeight="1" x14ac:dyDescent="0.2">
      <c r="A57" s="32"/>
      <c r="B57" s="32"/>
      <c r="C57" s="467"/>
      <c r="D57" s="773" t="str">
        <f>D$17</f>
        <v>PERIODO</v>
      </c>
      <c r="E57" s="413" t="str">
        <f>E$17</f>
        <v>Confronta con</v>
      </c>
      <c r="F57" s="2599" t="s">
        <v>632</v>
      </c>
      <c r="G57" s="2599"/>
      <c r="H57" s="2599" t="s">
        <v>773</v>
      </c>
      <c r="I57" s="2599"/>
      <c r="J57" s="432"/>
      <c r="K57" s="32"/>
      <c r="L57" s="32"/>
      <c r="N57" s="1071">
        <f>IF(O57=0,0,N$17)</f>
        <v>0</v>
      </c>
      <c r="O57" s="1071">
        <f>IF(AB15="",0,MAX(D59:E65))</f>
        <v>0</v>
      </c>
      <c r="P57" s="32"/>
      <c r="Q57" s="1077"/>
      <c r="R57" s="2590" t="s">
        <v>587</v>
      </c>
      <c r="S57" s="2590"/>
      <c r="T57" s="2590"/>
      <c r="U57" s="2590"/>
      <c r="V57" s="2590"/>
      <c r="W57" s="2590"/>
      <c r="X57" s="2590"/>
      <c r="Y57" s="2590"/>
      <c r="Z57" s="2590"/>
      <c r="AB57" s="2591">
        <f>IF(AB$15=F$115,N57/10,O57/10)</f>
        <v>0</v>
      </c>
      <c r="AC57" s="2591"/>
      <c r="AD57" s="2591"/>
      <c r="AE57" s="2591"/>
      <c r="AF57" s="2591"/>
      <c r="AG57" s="2591"/>
      <c r="AH57" s="2591"/>
      <c r="AI57" s="2591"/>
      <c r="AJ57" s="2591"/>
      <c r="AK57" s="2591"/>
      <c r="AL57" s="32"/>
      <c r="AM57" s="1077"/>
      <c r="AN57" s="2590" t="s">
        <v>772</v>
      </c>
      <c r="AO57" s="2590"/>
      <c r="AP57" s="2590"/>
      <c r="AQ57" s="2590"/>
      <c r="AR57" s="2590"/>
      <c r="AS57" s="2590"/>
      <c r="AT57" s="2590"/>
      <c r="AU57" s="2590"/>
      <c r="AV57" s="2590"/>
      <c r="AX57" s="2589">
        <v>10</v>
      </c>
      <c r="AY57" s="2589"/>
      <c r="AZ57" s="2589"/>
      <c r="BA57" s="2589"/>
      <c r="BB57" s="2589"/>
      <c r="BC57" s="2589"/>
      <c r="BD57" s="2589"/>
      <c r="BE57" s="2589"/>
      <c r="BF57" s="2589"/>
      <c r="BG57" s="2589"/>
      <c r="BH57" s="32"/>
      <c r="BI57" s="32"/>
      <c r="BJ57" s="32"/>
      <c r="BK57" s="32"/>
    </row>
    <row r="58" spans="1:63" ht="19.5" customHeight="1" x14ac:dyDescent="0.2">
      <c r="A58" s="32"/>
      <c r="B58" s="32"/>
      <c r="C58" s="790" t="str">
        <f>C$18</f>
        <v>TOTALE EUR</v>
      </c>
      <c r="D58" s="788" t="str">
        <f>D$18</f>
        <v>selezionato</v>
      </c>
      <c r="E58" s="411" t="e">
        <f>E$18</f>
        <v>#N/A</v>
      </c>
      <c r="F58" s="782" t="s">
        <v>633</v>
      </c>
      <c r="G58" s="783" t="s">
        <v>631</v>
      </c>
      <c r="H58" s="782" t="s">
        <v>634</v>
      </c>
      <c r="I58" s="783" t="s">
        <v>635</v>
      </c>
      <c r="J58" s="432"/>
      <c r="K58" s="32"/>
      <c r="L58" s="32"/>
      <c r="N58" s="32"/>
      <c r="O58" s="1072"/>
      <c r="P58" s="32"/>
      <c r="Q58" s="1068"/>
      <c r="R58" s="1068"/>
      <c r="S58" s="1069"/>
      <c r="T58" s="123"/>
      <c r="U58" s="123"/>
      <c r="V58" s="123"/>
      <c r="W58" s="123"/>
      <c r="X58" s="123"/>
      <c r="Y58" s="123"/>
      <c r="Z58" s="123"/>
      <c r="AA58" s="123"/>
      <c r="AB58" s="123"/>
      <c r="AC58" s="32"/>
      <c r="AD58" s="32"/>
      <c r="AE58" s="32"/>
      <c r="AF58" s="32"/>
      <c r="AG58" s="32"/>
      <c r="AH58" s="32"/>
      <c r="AI58" s="32"/>
      <c r="AJ58" s="32"/>
      <c r="AK58" s="32"/>
      <c r="AL58" s="32"/>
      <c r="AM58" s="1068"/>
      <c r="AN58" s="1068"/>
      <c r="AO58" s="1069"/>
      <c r="AP58" s="123"/>
      <c r="AQ58" s="123"/>
      <c r="AR58" s="123"/>
      <c r="AS58" s="123"/>
      <c r="AT58" s="123"/>
      <c r="AU58" s="123"/>
      <c r="AV58" s="123"/>
      <c r="AW58" s="123"/>
      <c r="AX58" s="123"/>
      <c r="AY58" s="32"/>
      <c r="AZ58" s="32"/>
      <c r="BA58" s="32"/>
      <c r="BB58" s="32"/>
      <c r="BC58" s="32"/>
      <c r="BD58" s="32"/>
      <c r="BE58" s="32"/>
      <c r="BF58" s="32"/>
      <c r="BG58" s="32"/>
      <c r="BH58" s="32"/>
      <c r="BI58" s="32"/>
      <c r="BJ58" s="32"/>
      <c r="BK58" s="32"/>
    </row>
    <row r="59" spans="1:63" ht="19.5" customHeight="1" x14ac:dyDescent="0.2">
      <c r="A59" s="32"/>
      <c r="B59" s="2592" t="e">
        <f>RIEPILOGO!B98</f>
        <v>#N/A</v>
      </c>
      <c r="C59" s="2592"/>
      <c r="D59" s="791">
        <f>SUMIF(CASSA!AM114:AM479,"X",CASSA!BV114:BV479)</f>
        <v>0</v>
      </c>
      <c r="E59" s="471">
        <f>SUMIF(CASSA!AL114:AL479,"Y",CASSA!BV114:BV479)</f>
        <v>0</v>
      </c>
      <c r="F59" s="784" t="e">
        <f>D59/D$67*100</f>
        <v>#DIV/0!</v>
      </c>
      <c r="G59" s="785" t="e">
        <f>E59/E$67*100</f>
        <v>#DIV/0!</v>
      </c>
      <c r="H59" s="786" t="e">
        <f>(D59-E59)/E59*100</f>
        <v>#DIV/0!</v>
      </c>
      <c r="I59" s="787" t="e">
        <f>(E59-D59)/D59*100</f>
        <v>#DIV/0!</v>
      </c>
      <c r="J59" s="32"/>
      <c r="K59" s="32"/>
      <c r="L59" s="32"/>
      <c r="N59" s="123"/>
      <c r="O59" s="1073">
        <f>D59+E59</f>
        <v>0</v>
      </c>
      <c r="P59" s="32"/>
      <c r="Q59" s="1431">
        <f>IF(AND(D59&lt;&gt;0,D59&gt;0),IF((AB$57*9)&gt;=D59,0,1),IF(AND(D59&lt;&gt;0,D59&lt;0),IF((AB$57*9)&lt;=D59,0,1),0))</f>
        <v>0</v>
      </c>
      <c r="R59" s="1431">
        <f>IF(AND(D59&lt;&gt;0,D59&gt;0),IF((AB$57*8)&gt;=D59,0,1),IF(AND(D59&lt;&gt;0,D59&lt;0),IF((AB$57*8)&lt;=D59,0,1),0))</f>
        <v>0</v>
      </c>
      <c r="S59" s="1431">
        <f>IF(AND(D59&lt;&gt;0,D59&gt;0),IF((AB$57*7)&gt;=D59,0,1),IF(AND(D59&lt;&gt;0,D59&lt;0),IF((AB$57*7)&lt;=D59,0,1),0))</f>
        <v>0</v>
      </c>
      <c r="T59" s="1431">
        <f>IF(AND(D59&lt;&gt;0,D59&gt;0),IF((AB$57*6)&gt;=D59,0,1),IF(AND(D59&lt;&gt;0,D59&lt;0),IF((AB$57*6)&lt;=D59,0,1),0))</f>
        <v>0</v>
      </c>
      <c r="U59" s="1431">
        <f>IF(AND(D59&lt;&gt;0,D59&gt;0),IF((AB$57*5)&gt;=D59,0,1),IF(AND(D59&lt;&gt;0,D59&lt;0),IF((AB$57*5)&lt;=D59,0,1),0))</f>
        <v>0</v>
      </c>
      <c r="V59" s="1431">
        <f>IF(AND(D59&lt;&gt;0,D59&gt;0),IF((AB$57*4)&gt;=D59,0,1),IF(AND(D59&lt;&gt;0,D59&lt;0),IF((AB$57*4)&lt;=D59,0,1),0))</f>
        <v>0</v>
      </c>
      <c r="W59" s="1431">
        <f>IF(AND(D59&lt;&gt;0,D59&gt;0),IF((AB$57*3)&gt;=D59,0,1),IF(AND(D59&lt;&gt;0,D59&lt;0),IF((AB$57*3)&lt;=D59,0,1),0))</f>
        <v>0</v>
      </c>
      <c r="X59" s="1431">
        <f>IF(AND(D59&lt;&gt;0,D59&gt;0),IF((AB$57*2)&gt;=D59,0,1),IF(AND(D59&lt;&gt;0,D59&lt;0),IF((AB$57*2)&lt;=D59,0,1),0))</f>
        <v>0</v>
      </c>
      <c r="Y59" s="1431">
        <f>IF(AND(D59&lt;&gt;0,D59&gt;0),IF((AB$57*1)&gt;=D59,0,1),IF(AND(D59&lt;&gt;0,D59&lt;0),IF((AB$57*1)&lt;=D59,0,1),0))</f>
        <v>0</v>
      </c>
      <c r="Z59" s="1431">
        <f>IF(D59&lt;&gt;0,1,0)</f>
        <v>0</v>
      </c>
      <c r="AA59" s="1432"/>
      <c r="AB59" s="1431">
        <f>IF(E59&lt;&gt;0,1,0)</f>
        <v>0</v>
      </c>
      <c r="AC59" s="1431">
        <f>IF(AND(E59&lt;&gt;0,E59&gt;0),IF((AB$57*1)&gt;=E59,0,1),IF(AND(E59&lt;&gt;0,E59&lt;0),IF((AB$57*1)&lt;=E59,0,1),0))</f>
        <v>0</v>
      </c>
      <c r="AD59" s="1431">
        <f>IF(AND(E59&lt;&gt;0,E59&gt;0),IF((AB$57*2)&gt;=E59,0,1),IF(AND(E59&lt;&gt;0,E59&lt;0),IF((AB$57*2)&lt;=E59,0,1),0))</f>
        <v>0</v>
      </c>
      <c r="AE59" s="1431">
        <f>IF(AND(E59&lt;&gt;0,E59&gt;0),IF((AB$57*3)&gt;=E59,0,1),IF(AND(E59&lt;&gt;0,E59&lt;0),IF((AB$57*3)&lt;=E59,0,1),0))</f>
        <v>0</v>
      </c>
      <c r="AF59" s="1431">
        <f>IF(AND(E59&lt;&gt;0,E59&gt;0),IF((AB$57*4)&gt;=E59,0,1),IF(AND(E59&lt;&gt;0,E59&lt;0),IF((AB$57*4)&lt;=E59,0,1),0))</f>
        <v>0</v>
      </c>
      <c r="AG59" s="1431">
        <f>IF(AND(E59&lt;&gt;0,E59&gt;0),IF((AB$57*5)&gt;=E59,0,1),IF(AND(E59&lt;&gt;0,E59&lt;0),IF((AB$57*5)&lt;=E59,0,1),0))</f>
        <v>0</v>
      </c>
      <c r="AH59" s="1431">
        <f>IF(AND(E59&lt;&gt;0,E59&gt;0),IF((AB$57*6)&gt;=E59,0,1),IF(AND(E59&lt;&gt;0,E59&lt;0),IF((AB$57*6)&lt;=E59,0,1),0))</f>
        <v>0</v>
      </c>
      <c r="AI59" s="1431">
        <f>IF(AND(E59&lt;&gt;0,E59&gt;0),IF((AB$57*7)&gt;=E59,0,1),IF(AND(E59&lt;&gt;0,E59&lt;0),IF((AB$57*7)&lt;=E59,0,1),0))</f>
        <v>0</v>
      </c>
      <c r="AJ59" s="1431">
        <f>IF(AND(E59&lt;&gt;0,E59&gt;0),IF((AB$57*8)&gt;=E59,0,1),IF(AND(E59&lt;&gt;0,E59&lt;0),IF((AB$57*8)&lt;=E59,0,1),0))</f>
        <v>0</v>
      </c>
      <c r="AK59" s="1431">
        <f>IF(AND(E59&lt;&gt;0,E59&gt;0),IF((AB$57*9)&gt;=E59,0,1),IF(AND(E59&lt;&gt;0,E59&lt;0),IF((AB$57*9)&lt;=E59,0,1),0))</f>
        <v>0</v>
      </c>
      <c r="AL59" s="32"/>
      <c r="AM59" s="1431">
        <f>IF(AND(BI59&lt;&gt;0,BI59&gt;0),IF((AX$57*9)&gt;=BI59,0,1),IF(AND(BI59&lt;&gt;0,BI59&lt;0),IF((AX$57*9)&lt;=BI59,0,1),0))</f>
        <v>0</v>
      </c>
      <c r="AN59" s="1431">
        <f>IF(AND(BI59&lt;&gt;0,BI59&gt;0),IF((AX$57*8)&gt;=BI59,0,1),IF(AND(BI59&lt;&gt;0,BI59&lt;0),IF((AX$57*8)&lt;=BI59,0,1),0))</f>
        <v>0</v>
      </c>
      <c r="AO59" s="1431">
        <f>IF(AND(BI59&lt;&gt;0,BI59&gt;0),IF((AX$57*7)&gt;=BI59,0,1),IF(AND(BI59&lt;&gt;0,BI59&lt;0),IF((AX$57*7)&lt;=BI59,0,1),0))</f>
        <v>0</v>
      </c>
      <c r="AP59" s="1431">
        <f>IF(AND(BI59&lt;&gt;0,BI59&gt;0),IF((AX$57*6)&gt;=BI59,0,1),IF(AND(BI59&lt;&gt;0,BI59&lt;0),IF((AX$57*6)&lt;=BI59,0,1),0))</f>
        <v>0</v>
      </c>
      <c r="AQ59" s="1431">
        <f>IF(AND(BI59&lt;&gt;0,BI59&gt;0),IF((AX$57*5)&gt;=BI59,0,1),IF(AND(BI59&lt;&gt;0,BI59&lt;0),IF((AX$57*5)&lt;=BI59,0,1),0))</f>
        <v>0</v>
      </c>
      <c r="AR59" s="1431">
        <f>IF(AND(BI59&lt;&gt;0,BI59&gt;0),IF((AX$57*4)&gt;=BI59,0,1),IF(AND(BI59&lt;&gt;0,BI59&lt;0),IF((AX$57*4)&lt;=BI59,0,1),0))</f>
        <v>0</v>
      </c>
      <c r="AS59" s="1431">
        <f>IF(AND(BI59&lt;&gt;0,BI59&gt;0),IF((AX$57*3)&gt;=BI59,0,1),IF(AND(BI59&lt;&gt;0,BI59&lt;0),IF((AX$57*3)&lt;=BI59,0,1),0))</f>
        <v>0</v>
      </c>
      <c r="AT59" s="1431">
        <f>IF(AND(BI59&lt;&gt;0,BI59&gt;0),IF((AX$57*2)&gt;=BI59,0,1),IF(AND(BI59&lt;&gt;0,BI59&lt;0),IF((AX$57*2)&lt;=BI59,0,1),0))</f>
        <v>0</v>
      </c>
      <c r="AU59" s="1431">
        <f>IF(AND(BI59&lt;&gt;0,BI59&gt;0),IF((AX$57*1)&gt;=BI59,0,1),IF(AND(BI59&lt;&gt;0,BI59&lt;0),IF((AX$57*1)&lt;=BI59,0,1),0))</f>
        <v>0</v>
      </c>
      <c r="AV59" s="1431">
        <f>IF(BI59&lt;&gt;0,1,0)</f>
        <v>0</v>
      </c>
      <c r="AW59" s="1432"/>
      <c r="AX59" s="1431">
        <f>IF(BJ59&lt;&gt;0,1,0)</f>
        <v>0</v>
      </c>
      <c r="AY59" s="1431">
        <f>IF(AND(BJ59&lt;&gt;0,BJ59&gt;0),IF((AX$57*1)&gt;=BJ59,0,1),IF(AND(BJ59&lt;&gt;0,BJ59&lt;0),IF((AX$57*1)&lt;=BJ59,0,1),0))</f>
        <v>0</v>
      </c>
      <c r="AZ59" s="1431">
        <f>IF(AND(BJ59&lt;&gt;0,BJ59&gt;0),IF((AX$57*2)&gt;=BJ59,0,1),IF(AND(BJ59&lt;&gt;0,BJ59&lt;0),IF((AX$57*2)&lt;=BJ59,0,1),0))</f>
        <v>0</v>
      </c>
      <c r="BA59" s="1431">
        <f>IF(AND(BJ59&lt;&gt;0,BJ59&gt;0),IF((AX$57*3)&gt;=BJ59,0,1),IF(AND(BJ59&lt;&gt;0,BJ59&lt;0),IF((AX$57*3)&lt;=BJ59,0,1),0))</f>
        <v>0</v>
      </c>
      <c r="BB59" s="1431">
        <f>IF(AND(BJ59&lt;&gt;0,BJ59&gt;0),IF((AX$57*4)&gt;=BJ59,0,1),IF(AND(BJ59&lt;&gt;0,BJ59&lt;0),IF((AX$57*4)&lt;=BJ59,0,1),0))</f>
        <v>0</v>
      </c>
      <c r="BC59" s="1431">
        <f>IF(AND(BJ59&lt;&gt;0,BJ59&gt;0),IF((AX$57*5)&gt;=BJ59,0,1),IF(AND(BJ59&lt;&gt;0,BJ59&lt;0),IF((AX$57*5)&lt;=BJ59,0,1),0))</f>
        <v>0</v>
      </c>
      <c r="BD59" s="1431">
        <f>IF(AND(BJ59&lt;&gt;0,BJ59&gt;0),IF((AX$57*6)&gt;=BJ59,0,1),IF(AND(BJ59&lt;&gt;0,BJ59&lt;0),IF((AX$57*6)&lt;=BJ59,0,1),0))</f>
        <v>0</v>
      </c>
      <c r="BE59" s="1431">
        <f>IF(AND(BJ59&lt;&gt;0,BJ59&gt;0),IF((AX$57*7)&gt;=BJ59,0,1),IF(AND(BJ59&lt;&gt;0,BJ59&lt;0),IF((AX$57*7)&lt;=BJ59,0,1),0))</f>
        <v>0</v>
      </c>
      <c r="BF59" s="1431">
        <f>IF(AND(BJ59&lt;&gt;0,BJ59&gt;0),IF((AX$57*8)&gt;=BJ59,0,1),IF(AND(BJ59&lt;&gt;0,BJ59&lt;0),IF((AX$57*8)&lt;=BJ59,0,1),0))</f>
        <v>0</v>
      </c>
      <c r="BG59" s="1431">
        <f>IF(AND(BJ59&lt;&gt;0,BJ59&gt;0),IF((AX$57*9)&gt;=BJ59,0,1),IF(AND(BJ59&lt;&gt;0,BJ59&lt;0),IF((AX$57*9)&lt;=BJ59,0,1),0))</f>
        <v>0</v>
      </c>
      <c r="BH59" s="32"/>
      <c r="BI59" s="1070">
        <f t="shared" ref="BI59:BI65" si="139">IF(ISERROR(D59/O59*100),0,IF(D59&gt;=E59,ROUND(D59/O59*100,-1),100-BJ59))</f>
        <v>0</v>
      </c>
      <c r="BJ59" s="1070">
        <f t="shared" ref="BJ59:BJ65" si="140">IF(ISERROR(E59/O59*100),0,IF(E59&gt;=D59,ROUND(E59/O59*100,-1),100-BI59))</f>
        <v>0</v>
      </c>
      <c r="BK59" s="32"/>
    </row>
    <row r="60" spans="1:63" ht="19.5" customHeight="1" x14ac:dyDescent="0.2">
      <c r="A60" s="32"/>
      <c r="B60" s="2592" t="e">
        <f>RIEPILOGO!B99</f>
        <v>#N/A</v>
      </c>
      <c r="C60" s="2592"/>
      <c r="D60" s="792">
        <f>SUMIF(CASSA!AM114:AM479,"X",CASSA!BW114:BW479)</f>
        <v>0</v>
      </c>
      <c r="E60" s="419">
        <f>SUMIF(CASSA!AL114:AL479,"Y",CASSA!BW114:BW479)</f>
        <v>0</v>
      </c>
      <c r="F60" s="784" t="e">
        <f t="shared" ref="F60:F65" si="141">D60/D$67*100</f>
        <v>#DIV/0!</v>
      </c>
      <c r="G60" s="785" t="e">
        <f t="shared" ref="G60:G65" si="142">E60/E$67*100</f>
        <v>#DIV/0!</v>
      </c>
      <c r="H60" s="786" t="e">
        <f t="shared" ref="H60:H65" si="143">(D60-E60)/E60*100</f>
        <v>#DIV/0!</v>
      </c>
      <c r="I60" s="787" t="e">
        <f t="shared" ref="I60:I65" si="144">(E60-D60)/D60*100</f>
        <v>#DIV/0!</v>
      </c>
      <c r="J60" s="32"/>
      <c r="K60" s="32"/>
      <c r="L60" s="32"/>
      <c r="N60" s="123"/>
      <c r="O60" s="1074">
        <f t="shared" ref="O60:O65" si="145">D60+E60</f>
        <v>0</v>
      </c>
      <c r="P60" s="32"/>
      <c r="Q60" s="1431">
        <f t="shared" ref="Q60:Q65" si="146">IF(AND(D60&lt;&gt;0,D60&gt;0),IF((AB$57*9)&gt;=D60,0,1),IF(AND(D60&lt;&gt;0,D60&lt;0),IF((AB$57*9)&lt;=D60,0,1),0))</f>
        <v>0</v>
      </c>
      <c r="R60" s="1431">
        <f t="shared" ref="R60:R65" si="147">IF(AND(D60&lt;&gt;0,D60&gt;0),IF((AB$57*8)&gt;=D60,0,1),IF(AND(D60&lt;&gt;0,D60&lt;0),IF((AB$57*8)&lt;=D60,0,1),0))</f>
        <v>0</v>
      </c>
      <c r="S60" s="1431">
        <f t="shared" ref="S60:S65" si="148">IF(AND(D60&lt;&gt;0,D60&gt;0),IF((AB$57*7)&gt;=D60,0,1),IF(AND(D60&lt;&gt;0,D60&lt;0),IF((AB$57*7)&lt;=D60,0,1),0))</f>
        <v>0</v>
      </c>
      <c r="T60" s="1431">
        <f t="shared" ref="T60:T65" si="149">IF(AND(D60&lt;&gt;0,D60&gt;0),IF((AB$57*6)&gt;=D60,0,1),IF(AND(D60&lt;&gt;0,D60&lt;0),IF((AB$57*6)&lt;=D60,0,1),0))</f>
        <v>0</v>
      </c>
      <c r="U60" s="1431">
        <f t="shared" ref="U60:U65" si="150">IF(AND(D60&lt;&gt;0,D60&gt;0),IF((AB$57*5)&gt;=D60,0,1),IF(AND(D60&lt;&gt;0,D60&lt;0),IF((AB$57*5)&lt;=D60,0,1),0))</f>
        <v>0</v>
      </c>
      <c r="V60" s="1431">
        <f t="shared" ref="V60:V65" si="151">IF(AND(D60&lt;&gt;0,D60&gt;0),IF((AB$57*4)&gt;=D60,0,1),IF(AND(D60&lt;&gt;0,D60&lt;0),IF((AB$57*4)&lt;=D60,0,1),0))</f>
        <v>0</v>
      </c>
      <c r="W60" s="1431">
        <f t="shared" ref="W60:W65" si="152">IF(AND(D60&lt;&gt;0,D60&gt;0),IF((AB$57*3)&gt;=D60,0,1),IF(AND(D60&lt;&gt;0,D60&lt;0),IF((AB$57*3)&lt;=D60,0,1),0))</f>
        <v>0</v>
      </c>
      <c r="X60" s="1431">
        <f t="shared" ref="X60:X65" si="153">IF(AND(D60&lt;&gt;0,D60&gt;0),IF((AB$57*2)&gt;=D60,0,1),IF(AND(D60&lt;&gt;0,D60&lt;0),IF((AB$57*2)&lt;=D60,0,1),0))</f>
        <v>0</v>
      </c>
      <c r="Y60" s="1431">
        <f t="shared" ref="Y60:Y65" si="154">IF(AND(D60&lt;&gt;0,D60&gt;0),IF((AB$57*1)&gt;=D60,0,1),IF(AND(D60&lt;&gt;0,D60&lt;0),IF((AB$57*1)&lt;=D60,0,1),0))</f>
        <v>0</v>
      </c>
      <c r="Z60" s="1431">
        <f t="shared" ref="Z60:Z65" si="155">IF(D60&lt;&gt;0,1,0)</f>
        <v>0</v>
      </c>
      <c r="AA60" s="1432"/>
      <c r="AB60" s="1431">
        <f t="shared" ref="AB60:AB65" si="156">IF(E60&lt;&gt;0,1,0)</f>
        <v>0</v>
      </c>
      <c r="AC60" s="1431">
        <f t="shared" ref="AC60:AC65" si="157">IF(AND(E60&lt;&gt;0,E60&gt;0),IF((AB$57*1)&gt;=E60,0,1),IF(AND(E60&lt;&gt;0,E60&lt;0),IF((AB$57*1)&lt;=E60,0,1),0))</f>
        <v>0</v>
      </c>
      <c r="AD60" s="1431">
        <f t="shared" ref="AD60:AD65" si="158">IF(AND(E60&lt;&gt;0,E60&gt;0),IF((AB$57*2)&gt;=E60,0,1),IF(AND(E60&lt;&gt;0,E60&lt;0),IF((AB$57*2)&lt;=E60,0,1),0))</f>
        <v>0</v>
      </c>
      <c r="AE60" s="1431">
        <f t="shared" ref="AE60:AE65" si="159">IF(AND(E60&lt;&gt;0,E60&gt;0),IF((AB$57*3)&gt;=E60,0,1),IF(AND(E60&lt;&gt;0,E60&lt;0),IF((AB$57*3)&lt;=E60,0,1),0))</f>
        <v>0</v>
      </c>
      <c r="AF60" s="1431">
        <f t="shared" ref="AF60:AF65" si="160">IF(AND(E60&lt;&gt;0,E60&gt;0),IF((AB$57*4)&gt;=E60,0,1),IF(AND(E60&lt;&gt;0,E60&lt;0),IF((AB$57*4)&lt;=E60,0,1),0))</f>
        <v>0</v>
      </c>
      <c r="AG60" s="1431">
        <f t="shared" ref="AG60:AG65" si="161">IF(AND(E60&lt;&gt;0,E60&gt;0),IF((AB$57*5)&gt;=E60,0,1),IF(AND(E60&lt;&gt;0,E60&lt;0),IF((AB$57*5)&lt;=E60,0,1),0))</f>
        <v>0</v>
      </c>
      <c r="AH60" s="1431">
        <f t="shared" ref="AH60:AH65" si="162">IF(AND(E60&lt;&gt;0,E60&gt;0),IF((AB$57*6)&gt;=E60,0,1),IF(AND(E60&lt;&gt;0,E60&lt;0),IF((AB$57*6)&lt;=E60,0,1),0))</f>
        <v>0</v>
      </c>
      <c r="AI60" s="1431">
        <f t="shared" ref="AI60:AI65" si="163">IF(AND(E60&lt;&gt;0,E60&gt;0),IF((AB$57*7)&gt;=E60,0,1),IF(AND(E60&lt;&gt;0,E60&lt;0),IF((AB$57*7)&lt;=E60,0,1),0))</f>
        <v>0</v>
      </c>
      <c r="AJ60" s="1431">
        <f t="shared" ref="AJ60:AJ65" si="164">IF(AND(E60&lt;&gt;0,E60&gt;0),IF((AB$57*8)&gt;=E60,0,1),IF(AND(E60&lt;&gt;0,E60&lt;0),IF((AB$57*8)&lt;=E60,0,1),0))</f>
        <v>0</v>
      </c>
      <c r="AK60" s="1431">
        <f t="shared" ref="AK60:AK65" si="165">IF(AND(E60&lt;&gt;0,E60&gt;0),IF((AB$57*9)&gt;=E60,0,1),IF(AND(E60&lt;&gt;0,E60&lt;0),IF((AB$57*9)&lt;=E60,0,1),0))</f>
        <v>0</v>
      </c>
      <c r="AL60" s="32"/>
      <c r="AM60" s="1431">
        <f t="shared" ref="AM60:AM65" si="166">IF(AND(BI60&lt;&gt;0,BI60&gt;0),IF((AX$57*9)&gt;=BI60,0,1),IF(AND(BI60&lt;&gt;0,BI60&lt;0),IF((AX$57*9)&lt;=BI60,0,1),0))</f>
        <v>0</v>
      </c>
      <c r="AN60" s="1431">
        <f t="shared" ref="AN60:AN65" si="167">IF(AND(BI60&lt;&gt;0,BI60&gt;0),IF((AX$57*8)&gt;=BI60,0,1),IF(AND(BI60&lt;&gt;0,BI60&lt;0),IF((AX$57*8)&lt;=BI60,0,1),0))</f>
        <v>0</v>
      </c>
      <c r="AO60" s="1431">
        <f t="shared" ref="AO60:AO65" si="168">IF(AND(BI60&lt;&gt;0,BI60&gt;0),IF((AX$57*7)&gt;=BI60,0,1),IF(AND(BI60&lt;&gt;0,BI60&lt;0),IF((AX$57*7)&lt;=BI60,0,1),0))</f>
        <v>0</v>
      </c>
      <c r="AP60" s="1431">
        <f t="shared" ref="AP60:AP65" si="169">IF(AND(BI60&lt;&gt;0,BI60&gt;0),IF((AX$57*6)&gt;=BI60,0,1),IF(AND(BI60&lt;&gt;0,BI60&lt;0),IF((AX$57*6)&lt;=BI60,0,1),0))</f>
        <v>0</v>
      </c>
      <c r="AQ60" s="1431">
        <f t="shared" ref="AQ60:AQ65" si="170">IF(AND(BI60&lt;&gt;0,BI60&gt;0),IF((AX$57*5)&gt;=BI60,0,1),IF(AND(BI60&lt;&gt;0,BI60&lt;0),IF((AX$57*5)&lt;=BI60,0,1),0))</f>
        <v>0</v>
      </c>
      <c r="AR60" s="1431">
        <f t="shared" ref="AR60:AR65" si="171">IF(AND(BI60&lt;&gt;0,BI60&gt;0),IF((AX$57*4)&gt;=BI60,0,1),IF(AND(BI60&lt;&gt;0,BI60&lt;0),IF((AX$57*4)&lt;=BI60,0,1),0))</f>
        <v>0</v>
      </c>
      <c r="AS60" s="1431">
        <f t="shared" ref="AS60:AS65" si="172">IF(AND(BI60&lt;&gt;0,BI60&gt;0),IF((AX$57*3)&gt;=BI60,0,1),IF(AND(BI60&lt;&gt;0,BI60&lt;0),IF((AX$57*3)&lt;=BI60,0,1),0))</f>
        <v>0</v>
      </c>
      <c r="AT60" s="1431">
        <f t="shared" ref="AT60:AT65" si="173">IF(AND(BI60&lt;&gt;0,BI60&gt;0),IF((AX$57*2)&gt;=BI60,0,1),IF(AND(BI60&lt;&gt;0,BI60&lt;0),IF((AX$57*2)&lt;=BI60,0,1),0))</f>
        <v>0</v>
      </c>
      <c r="AU60" s="1431">
        <f t="shared" ref="AU60:AU65" si="174">IF(AND(BI60&lt;&gt;0,BI60&gt;0),IF((AX$57*1)&gt;=BI60,0,1),IF(AND(BI60&lt;&gt;0,BI60&lt;0),IF((AX$57*1)&lt;=BI60,0,1),0))</f>
        <v>0</v>
      </c>
      <c r="AV60" s="1431">
        <f t="shared" ref="AV60:AV65" si="175">IF(BI60&lt;&gt;0,1,0)</f>
        <v>0</v>
      </c>
      <c r="AW60" s="1432"/>
      <c r="AX60" s="1431">
        <f t="shared" ref="AX60:AX65" si="176">IF(BJ60&lt;&gt;0,1,0)</f>
        <v>0</v>
      </c>
      <c r="AY60" s="1431">
        <f t="shared" ref="AY60:AY65" si="177">IF(AND(BJ60&lt;&gt;0,BJ60&gt;0),IF((AX$57*1)&gt;=BJ60,0,1),IF(AND(BJ60&lt;&gt;0,BJ60&lt;0),IF((AX$57*1)&lt;=BJ60,0,1),0))</f>
        <v>0</v>
      </c>
      <c r="AZ60" s="1431">
        <f t="shared" ref="AZ60:AZ65" si="178">IF(AND(BJ60&lt;&gt;0,BJ60&gt;0),IF((AX$57*2)&gt;=BJ60,0,1),IF(AND(BJ60&lt;&gt;0,BJ60&lt;0),IF((AX$57*2)&lt;=BJ60,0,1),0))</f>
        <v>0</v>
      </c>
      <c r="BA60" s="1431">
        <f t="shared" ref="BA60:BA65" si="179">IF(AND(BJ60&lt;&gt;0,BJ60&gt;0),IF((AX$57*3)&gt;=BJ60,0,1),IF(AND(BJ60&lt;&gt;0,BJ60&lt;0),IF((AX$57*3)&lt;=BJ60,0,1),0))</f>
        <v>0</v>
      </c>
      <c r="BB60" s="1431">
        <f t="shared" ref="BB60:BB65" si="180">IF(AND(BJ60&lt;&gt;0,BJ60&gt;0),IF((AX$57*4)&gt;=BJ60,0,1),IF(AND(BJ60&lt;&gt;0,BJ60&lt;0),IF((AX$57*4)&lt;=BJ60,0,1),0))</f>
        <v>0</v>
      </c>
      <c r="BC60" s="1431">
        <f t="shared" ref="BC60:BC65" si="181">IF(AND(BJ60&lt;&gt;0,BJ60&gt;0),IF((AX$57*5)&gt;=BJ60,0,1),IF(AND(BJ60&lt;&gt;0,BJ60&lt;0),IF((AX$57*5)&lt;=BJ60,0,1),0))</f>
        <v>0</v>
      </c>
      <c r="BD60" s="1431">
        <f t="shared" ref="BD60:BD65" si="182">IF(AND(BJ60&lt;&gt;0,BJ60&gt;0),IF((AX$57*6)&gt;=BJ60,0,1),IF(AND(BJ60&lt;&gt;0,BJ60&lt;0),IF((AX$57*6)&lt;=BJ60,0,1),0))</f>
        <v>0</v>
      </c>
      <c r="BE60" s="1431">
        <f t="shared" ref="BE60:BE65" si="183">IF(AND(BJ60&lt;&gt;0,BJ60&gt;0),IF((AX$57*7)&gt;=BJ60,0,1),IF(AND(BJ60&lt;&gt;0,BJ60&lt;0),IF((AX$57*7)&lt;=BJ60,0,1),0))</f>
        <v>0</v>
      </c>
      <c r="BF60" s="1431">
        <f t="shared" ref="BF60:BF65" si="184">IF(AND(BJ60&lt;&gt;0,BJ60&gt;0),IF((AX$57*8)&gt;=BJ60,0,1),IF(AND(BJ60&lt;&gt;0,BJ60&lt;0),IF((AX$57*8)&lt;=BJ60,0,1),0))</f>
        <v>0</v>
      </c>
      <c r="BG60" s="1431">
        <f t="shared" ref="BG60:BG65" si="185">IF(AND(BJ60&lt;&gt;0,BJ60&gt;0),IF((AX$57*9)&gt;=BJ60,0,1),IF(AND(BJ60&lt;&gt;0,BJ60&lt;0),IF((AX$57*9)&lt;=BJ60,0,1),0))</f>
        <v>0</v>
      </c>
      <c r="BH60" s="32"/>
      <c r="BI60" s="1070">
        <f t="shared" si="139"/>
        <v>0</v>
      </c>
      <c r="BJ60" s="1070">
        <f t="shared" si="140"/>
        <v>0</v>
      </c>
      <c r="BK60" s="32"/>
    </row>
    <row r="61" spans="1:63" ht="19.5" customHeight="1" x14ac:dyDescent="0.2">
      <c r="A61" s="32"/>
      <c r="B61" s="2592" t="e">
        <f>RIEPILOGO!B100</f>
        <v>#N/A</v>
      </c>
      <c r="C61" s="2592"/>
      <c r="D61" s="792">
        <f>SUMIF(CASSA!AM114:AM479,"X",CASSA!BX114:BX479)</f>
        <v>0</v>
      </c>
      <c r="E61" s="419">
        <f>SUMIF(CASSA!AL114:AL479,"Y",CASSA!BX114:BX479)</f>
        <v>0</v>
      </c>
      <c r="F61" s="784" t="e">
        <f t="shared" si="141"/>
        <v>#DIV/0!</v>
      </c>
      <c r="G61" s="785" t="e">
        <f t="shared" si="142"/>
        <v>#DIV/0!</v>
      </c>
      <c r="H61" s="786" t="e">
        <f t="shared" si="143"/>
        <v>#DIV/0!</v>
      </c>
      <c r="I61" s="787" t="e">
        <f t="shared" si="144"/>
        <v>#DIV/0!</v>
      </c>
      <c r="J61" s="32"/>
      <c r="K61" s="32"/>
      <c r="L61" s="32"/>
      <c r="N61" s="123"/>
      <c r="O61" s="1074">
        <f t="shared" si="145"/>
        <v>0</v>
      </c>
      <c r="P61" s="32"/>
      <c r="Q61" s="1431">
        <f t="shared" si="146"/>
        <v>0</v>
      </c>
      <c r="R61" s="1431">
        <f t="shared" si="147"/>
        <v>0</v>
      </c>
      <c r="S61" s="1431">
        <f t="shared" si="148"/>
        <v>0</v>
      </c>
      <c r="T61" s="1431">
        <f t="shared" si="149"/>
        <v>0</v>
      </c>
      <c r="U61" s="1431">
        <f t="shared" si="150"/>
        <v>0</v>
      </c>
      <c r="V61" s="1431">
        <f t="shared" si="151"/>
        <v>0</v>
      </c>
      <c r="W61" s="1431">
        <f t="shared" si="152"/>
        <v>0</v>
      </c>
      <c r="X61" s="1431">
        <f t="shared" si="153"/>
        <v>0</v>
      </c>
      <c r="Y61" s="1431">
        <f t="shared" si="154"/>
        <v>0</v>
      </c>
      <c r="Z61" s="1431">
        <f t="shared" si="155"/>
        <v>0</v>
      </c>
      <c r="AA61" s="1432"/>
      <c r="AB61" s="1431">
        <f t="shared" si="156"/>
        <v>0</v>
      </c>
      <c r="AC61" s="1431">
        <f t="shared" si="157"/>
        <v>0</v>
      </c>
      <c r="AD61" s="1431">
        <f t="shared" si="158"/>
        <v>0</v>
      </c>
      <c r="AE61" s="1431">
        <f t="shared" si="159"/>
        <v>0</v>
      </c>
      <c r="AF61" s="1431">
        <f t="shared" si="160"/>
        <v>0</v>
      </c>
      <c r="AG61" s="1431">
        <f t="shared" si="161"/>
        <v>0</v>
      </c>
      <c r="AH61" s="1431">
        <f t="shared" si="162"/>
        <v>0</v>
      </c>
      <c r="AI61" s="1431">
        <f t="shared" si="163"/>
        <v>0</v>
      </c>
      <c r="AJ61" s="1431">
        <f t="shared" si="164"/>
        <v>0</v>
      </c>
      <c r="AK61" s="1431">
        <f t="shared" si="165"/>
        <v>0</v>
      </c>
      <c r="AL61" s="32"/>
      <c r="AM61" s="1431">
        <f t="shared" si="166"/>
        <v>0</v>
      </c>
      <c r="AN61" s="1431">
        <f t="shared" si="167"/>
        <v>0</v>
      </c>
      <c r="AO61" s="1431">
        <f t="shared" si="168"/>
        <v>0</v>
      </c>
      <c r="AP61" s="1431">
        <f t="shared" si="169"/>
        <v>0</v>
      </c>
      <c r="AQ61" s="1431">
        <f t="shared" si="170"/>
        <v>0</v>
      </c>
      <c r="AR61" s="1431">
        <f t="shared" si="171"/>
        <v>0</v>
      </c>
      <c r="AS61" s="1431">
        <f t="shared" si="172"/>
        <v>0</v>
      </c>
      <c r="AT61" s="1431">
        <f t="shared" si="173"/>
        <v>0</v>
      </c>
      <c r="AU61" s="1431">
        <f t="shared" si="174"/>
        <v>0</v>
      </c>
      <c r="AV61" s="1431">
        <f t="shared" si="175"/>
        <v>0</v>
      </c>
      <c r="AW61" s="1432"/>
      <c r="AX61" s="1431">
        <f t="shared" si="176"/>
        <v>0</v>
      </c>
      <c r="AY61" s="1431">
        <f t="shared" si="177"/>
        <v>0</v>
      </c>
      <c r="AZ61" s="1431">
        <f t="shared" si="178"/>
        <v>0</v>
      </c>
      <c r="BA61" s="1431">
        <f t="shared" si="179"/>
        <v>0</v>
      </c>
      <c r="BB61" s="1431">
        <f t="shared" si="180"/>
        <v>0</v>
      </c>
      <c r="BC61" s="1431">
        <f t="shared" si="181"/>
        <v>0</v>
      </c>
      <c r="BD61" s="1431">
        <f t="shared" si="182"/>
        <v>0</v>
      </c>
      <c r="BE61" s="1431">
        <f t="shared" si="183"/>
        <v>0</v>
      </c>
      <c r="BF61" s="1431">
        <f t="shared" si="184"/>
        <v>0</v>
      </c>
      <c r="BG61" s="1431">
        <f t="shared" si="185"/>
        <v>0</v>
      </c>
      <c r="BH61" s="32"/>
      <c r="BI61" s="1070">
        <f t="shared" si="139"/>
        <v>0</v>
      </c>
      <c r="BJ61" s="1070">
        <f t="shared" si="140"/>
        <v>0</v>
      </c>
      <c r="BK61" s="32"/>
    </row>
    <row r="62" spans="1:63" ht="19.5" customHeight="1" x14ac:dyDescent="0.2">
      <c r="A62" s="32"/>
      <c r="B62" s="2592" t="e">
        <f>RIEPILOGO!B101</f>
        <v>#N/A</v>
      </c>
      <c r="C62" s="2592"/>
      <c r="D62" s="792">
        <f>SUMIF(CASSA!AM114:AM479,"X",CASSA!BY114:BY479)</f>
        <v>0</v>
      </c>
      <c r="E62" s="419">
        <f>SUMIF(CASSA!AL114:AL479,"Y",CASSA!BY114:BY479)</f>
        <v>0</v>
      </c>
      <c r="F62" s="784" t="e">
        <f t="shared" si="141"/>
        <v>#DIV/0!</v>
      </c>
      <c r="G62" s="785" t="e">
        <f t="shared" si="142"/>
        <v>#DIV/0!</v>
      </c>
      <c r="H62" s="786" t="e">
        <f t="shared" si="143"/>
        <v>#DIV/0!</v>
      </c>
      <c r="I62" s="787" t="e">
        <f t="shared" si="144"/>
        <v>#DIV/0!</v>
      </c>
      <c r="J62" s="32"/>
      <c r="K62" s="32"/>
      <c r="L62" s="32"/>
      <c r="N62" s="123"/>
      <c r="O62" s="1074">
        <f t="shared" si="145"/>
        <v>0</v>
      </c>
      <c r="P62" s="32"/>
      <c r="Q62" s="1431">
        <f t="shared" si="146"/>
        <v>0</v>
      </c>
      <c r="R62" s="1431">
        <f t="shared" si="147"/>
        <v>0</v>
      </c>
      <c r="S62" s="1431">
        <f t="shared" si="148"/>
        <v>0</v>
      </c>
      <c r="T62" s="1431">
        <f t="shared" si="149"/>
        <v>0</v>
      </c>
      <c r="U62" s="1431">
        <f t="shared" si="150"/>
        <v>0</v>
      </c>
      <c r="V62" s="1431">
        <f t="shared" si="151"/>
        <v>0</v>
      </c>
      <c r="W62" s="1431">
        <f t="shared" si="152"/>
        <v>0</v>
      </c>
      <c r="X62" s="1431">
        <f t="shared" si="153"/>
        <v>0</v>
      </c>
      <c r="Y62" s="1431">
        <f t="shared" si="154"/>
        <v>0</v>
      </c>
      <c r="Z62" s="1431">
        <f t="shared" si="155"/>
        <v>0</v>
      </c>
      <c r="AA62" s="1432"/>
      <c r="AB62" s="1431">
        <f t="shared" si="156"/>
        <v>0</v>
      </c>
      <c r="AC62" s="1431">
        <f t="shared" si="157"/>
        <v>0</v>
      </c>
      <c r="AD62" s="1431">
        <f t="shared" si="158"/>
        <v>0</v>
      </c>
      <c r="AE62" s="1431">
        <f t="shared" si="159"/>
        <v>0</v>
      </c>
      <c r="AF62" s="1431">
        <f t="shared" si="160"/>
        <v>0</v>
      </c>
      <c r="AG62" s="1431">
        <f t="shared" si="161"/>
        <v>0</v>
      </c>
      <c r="AH62" s="1431">
        <f t="shared" si="162"/>
        <v>0</v>
      </c>
      <c r="AI62" s="1431">
        <f t="shared" si="163"/>
        <v>0</v>
      </c>
      <c r="AJ62" s="1431">
        <f t="shared" si="164"/>
        <v>0</v>
      </c>
      <c r="AK62" s="1431">
        <f t="shared" si="165"/>
        <v>0</v>
      </c>
      <c r="AL62" s="32"/>
      <c r="AM62" s="1431">
        <f t="shared" si="166"/>
        <v>0</v>
      </c>
      <c r="AN62" s="1431">
        <f t="shared" si="167"/>
        <v>0</v>
      </c>
      <c r="AO62" s="1431">
        <f t="shared" si="168"/>
        <v>0</v>
      </c>
      <c r="AP62" s="1431">
        <f t="shared" si="169"/>
        <v>0</v>
      </c>
      <c r="AQ62" s="1431">
        <f t="shared" si="170"/>
        <v>0</v>
      </c>
      <c r="AR62" s="1431">
        <f t="shared" si="171"/>
        <v>0</v>
      </c>
      <c r="AS62" s="1431">
        <f t="shared" si="172"/>
        <v>0</v>
      </c>
      <c r="AT62" s="1431">
        <f t="shared" si="173"/>
        <v>0</v>
      </c>
      <c r="AU62" s="1431">
        <f t="shared" si="174"/>
        <v>0</v>
      </c>
      <c r="AV62" s="1431">
        <f t="shared" si="175"/>
        <v>0</v>
      </c>
      <c r="AW62" s="1432"/>
      <c r="AX62" s="1431">
        <f t="shared" si="176"/>
        <v>0</v>
      </c>
      <c r="AY62" s="1431">
        <f t="shared" si="177"/>
        <v>0</v>
      </c>
      <c r="AZ62" s="1431">
        <f t="shared" si="178"/>
        <v>0</v>
      </c>
      <c r="BA62" s="1431">
        <f t="shared" si="179"/>
        <v>0</v>
      </c>
      <c r="BB62" s="1431">
        <f t="shared" si="180"/>
        <v>0</v>
      </c>
      <c r="BC62" s="1431">
        <f t="shared" si="181"/>
        <v>0</v>
      </c>
      <c r="BD62" s="1431">
        <f t="shared" si="182"/>
        <v>0</v>
      </c>
      <c r="BE62" s="1431">
        <f t="shared" si="183"/>
        <v>0</v>
      </c>
      <c r="BF62" s="1431">
        <f t="shared" si="184"/>
        <v>0</v>
      </c>
      <c r="BG62" s="1431">
        <f t="shared" si="185"/>
        <v>0</v>
      </c>
      <c r="BH62" s="32"/>
      <c r="BI62" s="1070">
        <f t="shared" si="139"/>
        <v>0</v>
      </c>
      <c r="BJ62" s="1070">
        <f t="shared" si="140"/>
        <v>0</v>
      </c>
      <c r="BK62" s="32"/>
    </row>
    <row r="63" spans="1:63" ht="19.5" customHeight="1" x14ac:dyDescent="0.2">
      <c r="A63" s="32"/>
      <c r="B63" s="2592" t="e">
        <f>RIEPILOGO!B102</f>
        <v>#N/A</v>
      </c>
      <c r="C63" s="2592"/>
      <c r="D63" s="792">
        <f>SUMIF(CASSA!AM114:AM479,"X",CASSA!BZ114:BZ479)</f>
        <v>0</v>
      </c>
      <c r="E63" s="419">
        <f>SUMIF(CASSA!AL114:AL479,"Y",CASSA!BZ114:BZ479)</f>
        <v>0</v>
      </c>
      <c r="F63" s="784" t="e">
        <f t="shared" si="141"/>
        <v>#DIV/0!</v>
      </c>
      <c r="G63" s="785" t="e">
        <f t="shared" si="142"/>
        <v>#DIV/0!</v>
      </c>
      <c r="H63" s="786" t="e">
        <f t="shared" si="143"/>
        <v>#DIV/0!</v>
      </c>
      <c r="I63" s="787" t="e">
        <f t="shared" si="144"/>
        <v>#DIV/0!</v>
      </c>
      <c r="J63" s="32"/>
      <c r="K63" s="32"/>
      <c r="L63" s="32"/>
      <c r="N63" s="123"/>
      <c r="O63" s="1074">
        <f t="shared" si="145"/>
        <v>0</v>
      </c>
      <c r="P63" s="32"/>
      <c r="Q63" s="1431">
        <f t="shared" si="146"/>
        <v>0</v>
      </c>
      <c r="R63" s="1431">
        <f t="shared" si="147"/>
        <v>0</v>
      </c>
      <c r="S63" s="1431">
        <f t="shared" si="148"/>
        <v>0</v>
      </c>
      <c r="T63" s="1431">
        <f t="shared" si="149"/>
        <v>0</v>
      </c>
      <c r="U63" s="1431">
        <f t="shared" si="150"/>
        <v>0</v>
      </c>
      <c r="V63" s="1431">
        <f t="shared" si="151"/>
        <v>0</v>
      </c>
      <c r="W63" s="1431">
        <f t="shared" si="152"/>
        <v>0</v>
      </c>
      <c r="X63" s="1431">
        <f t="shared" si="153"/>
        <v>0</v>
      </c>
      <c r="Y63" s="1431">
        <f t="shared" si="154"/>
        <v>0</v>
      </c>
      <c r="Z63" s="1431">
        <f t="shared" si="155"/>
        <v>0</v>
      </c>
      <c r="AA63" s="1432"/>
      <c r="AB63" s="1431">
        <f t="shared" si="156"/>
        <v>0</v>
      </c>
      <c r="AC63" s="1431">
        <f t="shared" si="157"/>
        <v>0</v>
      </c>
      <c r="AD63" s="1431">
        <f t="shared" si="158"/>
        <v>0</v>
      </c>
      <c r="AE63" s="1431">
        <f t="shared" si="159"/>
        <v>0</v>
      </c>
      <c r="AF63" s="1431">
        <f t="shared" si="160"/>
        <v>0</v>
      </c>
      <c r="AG63" s="1431">
        <f t="shared" si="161"/>
        <v>0</v>
      </c>
      <c r="AH63" s="1431">
        <f t="shared" si="162"/>
        <v>0</v>
      </c>
      <c r="AI63" s="1431">
        <f t="shared" si="163"/>
        <v>0</v>
      </c>
      <c r="AJ63" s="1431">
        <f t="shared" si="164"/>
        <v>0</v>
      </c>
      <c r="AK63" s="1431">
        <f t="shared" si="165"/>
        <v>0</v>
      </c>
      <c r="AL63" s="32"/>
      <c r="AM63" s="1431">
        <f t="shared" si="166"/>
        <v>0</v>
      </c>
      <c r="AN63" s="1431">
        <f t="shared" si="167"/>
        <v>0</v>
      </c>
      <c r="AO63" s="1431">
        <f t="shared" si="168"/>
        <v>0</v>
      </c>
      <c r="AP63" s="1431">
        <f t="shared" si="169"/>
        <v>0</v>
      </c>
      <c r="AQ63" s="1431">
        <f t="shared" si="170"/>
        <v>0</v>
      </c>
      <c r="AR63" s="1431">
        <f t="shared" si="171"/>
        <v>0</v>
      </c>
      <c r="AS63" s="1431">
        <f t="shared" si="172"/>
        <v>0</v>
      </c>
      <c r="AT63" s="1431">
        <f t="shared" si="173"/>
        <v>0</v>
      </c>
      <c r="AU63" s="1431">
        <f t="shared" si="174"/>
        <v>0</v>
      </c>
      <c r="AV63" s="1431">
        <f t="shared" si="175"/>
        <v>0</v>
      </c>
      <c r="AW63" s="1432"/>
      <c r="AX63" s="1431">
        <f t="shared" si="176"/>
        <v>0</v>
      </c>
      <c r="AY63" s="1431">
        <f t="shared" si="177"/>
        <v>0</v>
      </c>
      <c r="AZ63" s="1431">
        <f t="shared" si="178"/>
        <v>0</v>
      </c>
      <c r="BA63" s="1431">
        <f t="shared" si="179"/>
        <v>0</v>
      </c>
      <c r="BB63" s="1431">
        <f t="shared" si="180"/>
        <v>0</v>
      </c>
      <c r="BC63" s="1431">
        <f t="shared" si="181"/>
        <v>0</v>
      </c>
      <c r="BD63" s="1431">
        <f t="shared" si="182"/>
        <v>0</v>
      </c>
      <c r="BE63" s="1431">
        <f t="shared" si="183"/>
        <v>0</v>
      </c>
      <c r="BF63" s="1431">
        <f t="shared" si="184"/>
        <v>0</v>
      </c>
      <c r="BG63" s="1431">
        <f t="shared" si="185"/>
        <v>0</v>
      </c>
      <c r="BH63" s="32"/>
      <c r="BI63" s="1070">
        <f t="shared" si="139"/>
        <v>0</v>
      </c>
      <c r="BJ63" s="1070">
        <f t="shared" si="140"/>
        <v>0</v>
      </c>
      <c r="BK63" s="32"/>
    </row>
    <row r="64" spans="1:63" ht="19.5" customHeight="1" x14ac:dyDescent="0.2">
      <c r="A64" s="32"/>
      <c r="B64" s="2592" t="e">
        <f>RIEPILOGO!B103</f>
        <v>#N/A</v>
      </c>
      <c r="C64" s="2592"/>
      <c r="D64" s="792">
        <f>SUMIF(CASSA!AM114:AM479,"X",CASSA!CC114:CC479)</f>
        <v>0</v>
      </c>
      <c r="E64" s="419">
        <f>SUMIF(CASSA!AL114:AL479,"Y",CASSA!CC114:CC479)</f>
        <v>0</v>
      </c>
      <c r="F64" s="784" t="e">
        <f t="shared" si="141"/>
        <v>#DIV/0!</v>
      </c>
      <c r="G64" s="785" t="e">
        <f t="shared" si="142"/>
        <v>#DIV/0!</v>
      </c>
      <c r="H64" s="786" t="e">
        <f t="shared" si="143"/>
        <v>#DIV/0!</v>
      </c>
      <c r="I64" s="787" t="e">
        <f t="shared" si="144"/>
        <v>#DIV/0!</v>
      </c>
      <c r="J64" s="32"/>
      <c r="K64" s="32"/>
      <c r="L64" s="32"/>
      <c r="N64" s="123"/>
      <c r="O64" s="1074">
        <f t="shared" si="145"/>
        <v>0</v>
      </c>
      <c r="P64" s="32"/>
      <c r="Q64" s="1431">
        <f t="shared" si="146"/>
        <v>0</v>
      </c>
      <c r="R64" s="1431">
        <f t="shared" si="147"/>
        <v>0</v>
      </c>
      <c r="S64" s="1431">
        <f t="shared" si="148"/>
        <v>0</v>
      </c>
      <c r="T64" s="1431">
        <f t="shared" si="149"/>
        <v>0</v>
      </c>
      <c r="U64" s="1431">
        <f t="shared" si="150"/>
        <v>0</v>
      </c>
      <c r="V64" s="1431">
        <f t="shared" si="151"/>
        <v>0</v>
      </c>
      <c r="W64" s="1431">
        <f t="shared" si="152"/>
        <v>0</v>
      </c>
      <c r="X64" s="1431">
        <f t="shared" si="153"/>
        <v>0</v>
      </c>
      <c r="Y64" s="1431">
        <f t="shared" si="154"/>
        <v>0</v>
      </c>
      <c r="Z64" s="1431">
        <f t="shared" si="155"/>
        <v>0</v>
      </c>
      <c r="AA64" s="1432"/>
      <c r="AB64" s="1431">
        <f t="shared" si="156"/>
        <v>0</v>
      </c>
      <c r="AC64" s="1431">
        <f t="shared" si="157"/>
        <v>0</v>
      </c>
      <c r="AD64" s="1431">
        <f t="shared" si="158"/>
        <v>0</v>
      </c>
      <c r="AE64" s="1431">
        <f t="shared" si="159"/>
        <v>0</v>
      </c>
      <c r="AF64" s="1431">
        <f t="shared" si="160"/>
        <v>0</v>
      </c>
      <c r="AG64" s="1431">
        <f t="shared" si="161"/>
        <v>0</v>
      </c>
      <c r="AH64" s="1431">
        <f t="shared" si="162"/>
        <v>0</v>
      </c>
      <c r="AI64" s="1431">
        <f t="shared" si="163"/>
        <v>0</v>
      </c>
      <c r="AJ64" s="1431">
        <f t="shared" si="164"/>
        <v>0</v>
      </c>
      <c r="AK64" s="1431">
        <f t="shared" si="165"/>
        <v>0</v>
      </c>
      <c r="AL64" s="32"/>
      <c r="AM64" s="1431">
        <f t="shared" si="166"/>
        <v>0</v>
      </c>
      <c r="AN64" s="1431">
        <f t="shared" si="167"/>
        <v>0</v>
      </c>
      <c r="AO64" s="1431">
        <f t="shared" si="168"/>
        <v>0</v>
      </c>
      <c r="AP64" s="1431">
        <f t="shared" si="169"/>
        <v>0</v>
      </c>
      <c r="AQ64" s="1431">
        <f t="shared" si="170"/>
        <v>0</v>
      </c>
      <c r="AR64" s="1431">
        <f t="shared" si="171"/>
        <v>0</v>
      </c>
      <c r="AS64" s="1431">
        <f t="shared" si="172"/>
        <v>0</v>
      </c>
      <c r="AT64" s="1431">
        <f t="shared" si="173"/>
        <v>0</v>
      </c>
      <c r="AU64" s="1431">
        <f t="shared" si="174"/>
        <v>0</v>
      </c>
      <c r="AV64" s="1431">
        <f t="shared" si="175"/>
        <v>0</v>
      </c>
      <c r="AW64" s="1432"/>
      <c r="AX64" s="1431">
        <f t="shared" si="176"/>
        <v>0</v>
      </c>
      <c r="AY64" s="1431">
        <f t="shared" si="177"/>
        <v>0</v>
      </c>
      <c r="AZ64" s="1431">
        <f t="shared" si="178"/>
        <v>0</v>
      </c>
      <c r="BA64" s="1431">
        <f t="shared" si="179"/>
        <v>0</v>
      </c>
      <c r="BB64" s="1431">
        <f t="shared" si="180"/>
        <v>0</v>
      </c>
      <c r="BC64" s="1431">
        <f t="shared" si="181"/>
        <v>0</v>
      </c>
      <c r="BD64" s="1431">
        <f t="shared" si="182"/>
        <v>0</v>
      </c>
      <c r="BE64" s="1431">
        <f t="shared" si="183"/>
        <v>0</v>
      </c>
      <c r="BF64" s="1431">
        <f t="shared" si="184"/>
        <v>0</v>
      </c>
      <c r="BG64" s="1431">
        <f t="shared" si="185"/>
        <v>0</v>
      </c>
      <c r="BH64" s="32"/>
      <c r="BI64" s="1070">
        <f t="shared" si="139"/>
        <v>0</v>
      </c>
      <c r="BJ64" s="1070">
        <f t="shared" si="140"/>
        <v>0</v>
      </c>
      <c r="BK64" s="32"/>
    </row>
    <row r="65" spans="1:63" ht="19.5" customHeight="1" x14ac:dyDescent="0.2">
      <c r="A65" s="32"/>
      <c r="B65" s="2592" t="e">
        <f>RIEPILOGO!B104</f>
        <v>#N/A</v>
      </c>
      <c r="C65" s="2592"/>
      <c r="D65" s="793">
        <f>SUMIF(CASSA!AM114:AM479,"X",CASSA!CD114:CD479)</f>
        <v>0</v>
      </c>
      <c r="E65" s="431">
        <f>SUMIF(CASSA!AL114:AL479,"Y",CASSA!CD114:CD479)</f>
        <v>0</v>
      </c>
      <c r="F65" s="784" t="e">
        <f t="shared" si="141"/>
        <v>#DIV/0!</v>
      </c>
      <c r="G65" s="785" t="e">
        <f t="shared" si="142"/>
        <v>#DIV/0!</v>
      </c>
      <c r="H65" s="786" t="e">
        <f t="shared" si="143"/>
        <v>#DIV/0!</v>
      </c>
      <c r="I65" s="787" t="e">
        <f t="shared" si="144"/>
        <v>#DIV/0!</v>
      </c>
      <c r="J65" s="32"/>
      <c r="K65" s="32"/>
      <c r="L65" s="32"/>
      <c r="N65" s="123"/>
      <c r="O65" s="1076">
        <f t="shared" si="145"/>
        <v>0</v>
      </c>
      <c r="P65" s="32"/>
      <c r="Q65" s="1431">
        <f t="shared" si="146"/>
        <v>0</v>
      </c>
      <c r="R65" s="1431">
        <f t="shared" si="147"/>
        <v>0</v>
      </c>
      <c r="S65" s="1431">
        <f t="shared" si="148"/>
        <v>0</v>
      </c>
      <c r="T65" s="1431">
        <f t="shared" si="149"/>
        <v>0</v>
      </c>
      <c r="U65" s="1431">
        <f t="shared" si="150"/>
        <v>0</v>
      </c>
      <c r="V65" s="1431">
        <f t="shared" si="151"/>
        <v>0</v>
      </c>
      <c r="W65" s="1431">
        <f t="shared" si="152"/>
        <v>0</v>
      </c>
      <c r="X65" s="1431">
        <f t="shared" si="153"/>
        <v>0</v>
      </c>
      <c r="Y65" s="1431">
        <f t="shared" si="154"/>
        <v>0</v>
      </c>
      <c r="Z65" s="1431">
        <f t="shared" si="155"/>
        <v>0</v>
      </c>
      <c r="AA65" s="1432"/>
      <c r="AB65" s="1431">
        <f t="shared" si="156"/>
        <v>0</v>
      </c>
      <c r="AC65" s="1431">
        <f t="shared" si="157"/>
        <v>0</v>
      </c>
      <c r="AD65" s="1431">
        <f t="shared" si="158"/>
        <v>0</v>
      </c>
      <c r="AE65" s="1431">
        <f t="shared" si="159"/>
        <v>0</v>
      </c>
      <c r="AF65" s="1431">
        <f t="shared" si="160"/>
        <v>0</v>
      </c>
      <c r="AG65" s="1431">
        <f t="shared" si="161"/>
        <v>0</v>
      </c>
      <c r="AH65" s="1431">
        <f t="shared" si="162"/>
        <v>0</v>
      </c>
      <c r="AI65" s="1431">
        <f t="shared" si="163"/>
        <v>0</v>
      </c>
      <c r="AJ65" s="1431">
        <f t="shared" si="164"/>
        <v>0</v>
      </c>
      <c r="AK65" s="1431">
        <f t="shared" si="165"/>
        <v>0</v>
      </c>
      <c r="AL65" s="32"/>
      <c r="AM65" s="1431">
        <f t="shared" si="166"/>
        <v>0</v>
      </c>
      <c r="AN65" s="1431">
        <f t="shared" si="167"/>
        <v>0</v>
      </c>
      <c r="AO65" s="1431">
        <f t="shared" si="168"/>
        <v>0</v>
      </c>
      <c r="AP65" s="1431">
        <f t="shared" si="169"/>
        <v>0</v>
      </c>
      <c r="AQ65" s="1431">
        <f t="shared" si="170"/>
        <v>0</v>
      </c>
      <c r="AR65" s="1431">
        <f t="shared" si="171"/>
        <v>0</v>
      </c>
      <c r="AS65" s="1431">
        <f t="shared" si="172"/>
        <v>0</v>
      </c>
      <c r="AT65" s="1431">
        <f t="shared" si="173"/>
        <v>0</v>
      </c>
      <c r="AU65" s="1431">
        <f t="shared" si="174"/>
        <v>0</v>
      </c>
      <c r="AV65" s="1431">
        <f t="shared" si="175"/>
        <v>0</v>
      </c>
      <c r="AW65" s="1432"/>
      <c r="AX65" s="1431">
        <f t="shared" si="176"/>
        <v>0</v>
      </c>
      <c r="AY65" s="1431">
        <f t="shared" si="177"/>
        <v>0</v>
      </c>
      <c r="AZ65" s="1431">
        <f t="shared" si="178"/>
        <v>0</v>
      </c>
      <c r="BA65" s="1431">
        <f t="shared" si="179"/>
        <v>0</v>
      </c>
      <c r="BB65" s="1431">
        <f t="shared" si="180"/>
        <v>0</v>
      </c>
      <c r="BC65" s="1431">
        <f t="shared" si="181"/>
        <v>0</v>
      </c>
      <c r="BD65" s="1431">
        <f t="shared" si="182"/>
        <v>0</v>
      </c>
      <c r="BE65" s="1431">
        <f t="shared" si="183"/>
        <v>0</v>
      </c>
      <c r="BF65" s="1431">
        <f t="shared" si="184"/>
        <v>0</v>
      </c>
      <c r="BG65" s="1431">
        <f t="shared" si="185"/>
        <v>0</v>
      </c>
      <c r="BH65" s="32"/>
      <c r="BI65" s="1070">
        <f t="shared" si="139"/>
        <v>0</v>
      </c>
      <c r="BJ65" s="1070">
        <f t="shared" si="140"/>
        <v>0</v>
      </c>
      <c r="BK65" s="32"/>
    </row>
    <row r="66" spans="1:63" ht="19.5" customHeight="1" x14ac:dyDescent="0.2">
      <c r="A66" s="32"/>
      <c r="B66" s="32"/>
      <c r="C66" s="466"/>
      <c r="D66" s="490" t="e">
        <f>D67/SUM($D67:$E67)*100</f>
        <v>#DIV/0!</v>
      </c>
      <c r="E66" s="490" t="e">
        <f>E67/SUM($D67:$E67)*100</f>
        <v>#DIV/0!</v>
      </c>
      <c r="F66" s="940"/>
      <c r="G66" s="466"/>
      <c r="H66" s="444"/>
      <c r="I66" s="444"/>
      <c r="J66" s="32"/>
      <c r="K66" s="32"/>
      <c r="L66" s="32"/>
      <c r="N66" s="123"/>
      <c r="O66" s="123"/>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row>
    <row r="67" spans="1:63" ht="19.5" customHeight="1" x14ac:dyDescent="0.2">
      <c r="A67" s="32"/>
      <c r="B67" s="2596" t="s">
        <v>652</v>
      </c>
      <c r="C67" s="2597"/>
      <c r="D67" s="794">
        <f>SUM(D59:D65)</f>
        <v>0</v>
      </c>
      <c r="E67" s="348">
        <f>SUM(E59:E65)</f>
        <v>0</v>
      </c>
      <c r="F67" s="784" t="e">
        <f>D67/D$67*100</f>
        <v>#DIV/0!</v>
      </c>
      <c r="G67" s="785" t="e">
        <f>E67/E$67*100</f>
        <v>#DIV/0!</v>
      </c>
      <c r="H67" s="786" t="e">
        <f>(D67-E67)/E67*100</f>
        <v>#DIV/0!</v>
      </c>
      <c r="I67" s="787" t="e">
        <f>(E67-D67)/D67*100</f>
        <v>#DIV/0!</v>
      </c>
      <c r="J67" s="32"/>
      <c r="K67" s="32"/>
      <c r="L67" s="32"/>
      <c r="N67" s="123"/>
      <c r="O67" s="123"/>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row>
    <row r="68" spans="1:63" ht="33.75" customHeight="1" x14ac:dyDescent="0.2">
      <c r="A68" s="32"/>
      <c r="B68" s="32"/>
      <c r="C68" s="443"/>
      <c r="D68" s="443"/>
      <c r="E68" s="443"/>
      <c r="F68" s="65"/>
      <c r="G68" s="32"/>
      <c r="H68" s="32"/>
      <c r="I68" s="162"/>
      <c r="J68" s="162"/>
      <c r="K68" s="32"/>
      <c r="L68" s="32"/>
      <c r="N68" s="54"/>
      <c r="O68" s="54"/>
      <c r="P68" s="54"/>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row>
    <row r="69" spans="1:63" ht="18" customHeight="1" x14ac:dyDescent="0.2">
      <c r="A69" s="123"/>
      <c r="B69" s="476"/>
      <c r="C69" s="2588" t="e">
        <f>J152</f>
        <v>#N/A</v>
      </c>
      <c r="D69" s="2588"/>
      <c r="E69" s="2588"/>
      <c r="F69" s="2588"/>
      <c r="G69" s="2588"/>
      <c r="H69" s="2588"/>
      <c r="I69" s="2588"/>
      <c r="J69" s="477"/>
      <c r="K69" s="476"/>
      <c r="L69" s="32"/>
      <c r="N69" s="54"/>
      <c r="O69" s="54"/>
      <c r="P69" s="54"/>
      <c r="Q69" s="476"/>
      <c r="R69" s="476"/>
      <c r="S69" s="476"/>
      <c r="T69" s="476"/>
      <c r="U69" s="476"/>
      <c r="V69" s="476"/>
      <c r="W69" s="476"/>
      <c r="X69" s="476"/>
      <c r="Y69" s="476"/>
      <c r="Z69" s="476"/>
      <c r="AA69" s="476"/>
      <c r="AB69" s="476"/>
      <c r="AC69" s="476"/>
      <c r="AD69" s="476"/>
      <c r="AE69" s="476"/>
      <c r="AF69" s="476"/>
      <c r="AG69" s="476"/>
      <c r="AH69" s="476"/>
      <c r="AI69" s="476"/>
      <c r="AJ69" s="476"/>
      <c r="AK69" s="476"/>
      <c r="AL69" s="476"/>
      <c r="AM69" s="476"/>
      <c r="AN69" s="476"/>
      <c r="AO69" s="476"/>
      <c r="AP69" s="476"/>
      <c r="AQ69" s="476"/>
      <c r="AR69" s="476"/>
      <c r="AS69" s="476"/>
      <c r="AT69" s="476"/>
      <c r="AU69" s="476"/>
      <c r="AV69" s="476"/>
      <c r="AW69" s="476"/>
      <c r="AX69" s="476"/>
      <c r="AY69" s="476"/>
      <c r="AZ69" s="476"/>
      <c r="BA69" s="476"/>
      <c r="BB69" s="476"/>
      <c r="BC69" s="476"/>
      <c r="BD69" s="476"/>
      <c r="BE69" s="476"/>
      <c r="BF69" s="476"/>
      <c r="BG69" s="476"/>
      <c r="BH69" s="476"/>
    </row>
    <row r="70" spans="1:63" ht="22.5" customHeight="1" x14ac:dyDescent="0.2">
      <c r="A70" s="32"/>
      <c r="B70" s="32"/>
      <c r="C70" s="32"/>
      <c r="D70" s="32"/>
      <c r="E70" s="32"/>
      <c r="F70" s="65"/>
      <c r="G70" s="32"/>
      <c r="H70" s="32"/>
      <c r="I70" s="162"/>
      <c r="J70" s="162"/>
      <c r="K70" s="32"/>
      <c r="L70" s="32"/>
      <c r="N70" s="54"/>
      <c r="O70" s="54"/>
      <c r="P70" s="54"/>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row>
    <row r="71" spans="1:63" ht="22.5" customHeight="1" x14ac:dyDescent="0.2">
      <c r="A71" s="32"/>
      <c r="B71" s="810" t="s">
        <v>222</v>
      </c>
      <c r="C71" s="2587"/>
      <c r="D71" s="2587"/>
      <c r="E71" s="2587"/>
      <c r="F71" s="2587"/>
      <c r="G71" s="2587"/>
      <c r="H71" s="2587"/>
      <c r="I71" s="2587"/>
      <c r="J71" s="162"/>
      <c r="K71" s="32"/>
      <c r="L71" s="123"/>
      <c r="M71" s="777"/>
      <c r="N71" s="777"/>
      <c r="O71" s="777"/>
      <c r="P71" s="54"/>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row>
    <row r="72" spans="1:63" ht="22.5" customHeight="1" x14ac:dyDescent="0.2">
      <c r="A72" s="32"/>
      <c r="B72" s="123"/>
      <c r="C72" s="2587"/>
      <c r="D72" s="2587"/>
      <c r="E72" s="2587"/>
      <c r="F72" s="2587"/>
      <c r="G72" s="2587"/>
      <c r="H72" s="2587"/>
      <c r="I72" s="2587"/>
      <c r="J72" s="162"/>
      <c r="K72" s="32"/>
      <c r="L72" s="123"/>
      <c r="M72" s="777"/>
      <c r="N72" s="777"/>
      <c r="O72" s="777"/>
      <c r="P72" s="54"/>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row>
    <row r="73" spans="1:63" ht="22.5" customHeight="1" x14ac:dyDescent="0.2">
      <c r="A73" s="32"/>
      <c r="B73" s="123"/>
      <c r="C73" s="2587"/>
      <c r="D73" s="2587"/>
      <c r="E73" s="2587"/>
      <c r="F73" s="2587"/>
      <c r="G73" s="2587"/>
      <c r="H73" s="2587"/>
      <c r="I73" s="2587"/>
      <c r="J73" s="162"/>
      <c r="K73" s="32"/>
      <c r="L73" s="123"/>
      <c r="M73" s="777"/>
      <c r="N73" s="777"/>
      <c r="O73" s="777"/>
      <c r="P73" s="54"/>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row>
    <row r="74" spans="1:63" ht="22.5" customHeight="1" x14ac:dyDescent="0.2">
      <c r="A74" s="32"/>
      <c r="B74" s="123"/>
      <c r="C74" s="2587"/>
      <c r="D74" s="2587"/>
      <c r="E74" s="2587"/>
      <c r="F74" s="2587"/>
      <c r="G74" s="2587"/>
      <c r="H74" s="2587"/>
      <c r="I74" s="2587"/>
      <c r="J74" s="162"/>
      <c r="K74" s="32"/>
      <c r="L74" s="123"/>
      <c r="M74" s="777"/>
      <c r="N74" s="777"/>
      <c r="O74" s="777"/>
      <c r="P74" s="54"/>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row>
    <row r="75" spans="1:63" ht="22.5" customHeight="1" x14ac:dyDescent="0.2">
      <c r="A75" s="32"/>
      <c r="B75" s="123"/>
      <c r="C75" s="2587"/>
      <c r="D75" s="2587"/>
      <c r="E75" s="2587"/>
      <c r="F75" s="2587"/>
      <c r="G75" s="2587"/>
      <c r="H75" s="2587"/>
      <c r="I75" s="2587"/>
      <c r="J75" s="162"/>
      <c r="K75" s="32"/>
      <c r="L75" s="123"/>
      <c r="M75" s="777"/>
      <c r="N75" s="777"/>
      <c r="O75" s="777"/>
      <c r="P75" s="54"/>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row>
    <row r="76" spans="1:63" ht="22.5" customHeight="1" x14ac:dyDescent="0.2">
      <c r="A76" s="32"/>
      <c r="B76" s="123"/>
      <c r="C76" s="2587"/>
      <c r="D76" s="2587"/>
      <c r="E76" s="2587"/>
      <c r="F76" s="2587"/>
      <c r="G76" s="2587"/>
      <c r="H76" s="2587"/>
      <c r="I76" s="2587"/>
      <c r="J76" s="162"/>
      <c r="K76" s="32"/>
      <c r="L76" s="123"/>
      <c r="M76" s="777"/>
      <c r="N76" s="777"/>
      <c r="O76" s="777"/>
      <c r="P76" s="54"/>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row>
    <row r="77" spans="1:63" ht="22.5" customHeight="1" x14ac:dyDescent="0.2">
      <c r="A77" s="32"/>
      <c r="B77" s="123"/>
      <c r="C77" s="2587"/>
      <c r="D77" s="2587"/>
      <c r="E77" s="2587"/>
      <c r="F77" s="2587"/>
      <c r="G77" s="2587"/>
      <c r="H77" s="2587"/>
      <c r="I77" s="2587"/>
      <c r="J77" s="162"/>
      <c r="K77" s="32"/>
      <c r="L77" s="123"/>
      <c r="M77" s="777"/>
      <c r="N77" s="777"/>
      <c r="O77" s="777"/>
      <c r="P77" s="54"/>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row>
    <row r="78" spans="1:63" ht="33.75" customHeight="1" x14ac:dyDescent="0.2">
      <c r="A78" s="32"/>
      <c r="B78" s="629"/>
      <c r="C78" s="629"/>
      <c r="D78" s="499"/>
      <c r="E78" s="444"/>
      <c r="F78" s="629"/>
      <c r="G78" s="629"/>
      <c r="H78" s="500"/>
      <c r="I78" s="630"/>
      <c r="J78" s="32"/>
      <c r="K78" s="32"/>
      <c r="L78" s="32"/>
      <c r="N78" s="54"/>
      <c r="O78" s="777"/>
      <c r="P78" s="54"/>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row>
    <row r="79" spans="1:63" ht="18" customHeight="1" x14ac:dyDescent="0.2">
      <c r="A79" s="32"/>
      <c r="B79" s="32"/>
      <c r="C79" s="466"/>
      <c r="D79" s="483"/>
      <c r="E79" s="483"/>
      <c r="F79" s="483"/>
      <c r="G79" s="483"/>
      <c r="H79" s="499"/>
      <c r="I79" s="32"/>
      <c r="J79" s="500"/>
      <c r="K79" s="32"/>
      <c r="L79" s="32"/>
      <c r="N79" s="54"/>
      <c r="O79" s="54"/>
      <c r="P79" s="54"/>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633" t="str">
        <f ca="1">Presentazione!$H$13</f>
        <v/>
      </c>
    </row>
    <row r="80" spans="1:63" ht="18" customHeight="1" x14ac:dyDescent="0.2">
      <c r="A80" s="32"/>
      <c r="B80" s="811" t="str">
        <f>STORICO!B95</f>
        <v>www.marcopiccoli.it   -   Registro dei Corrispettivi 5.2.4 3txt - per EXCEL .xlsm</v>
      </c>
      <c r="C80" s="466"/>
      <c r="D80" s="483"/>
      <c r="E80" s="483"/>
      <c r="F80" s="483"/>
      <c r="G80" s="483"/>
      <c r="H80" s="499"/>
      <c r="I80" s="32"/>
      <c r="J80" s="500"/>
      <c r="K80" s="32"/>
      <c r="L80" s="32"/>
      <c r="N80" s="54"/>
      <c r="O80" s="54"/>
      <c r="P80" s="54"/>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812" t="str">
        <f ca="1">IF(Presentazione!$J$165=Presentazione!$K$83,CONCATENATE(Presentazione!$F$77,"   -   ","P.I./C.F ",Presentazione!$K$79),Presentazione!$I$157)</f>
        <v>Sistema parzialmente attivato. Inserisci il tuo CODICE di PROPRIETA' nel foglio Presentazione.</v>
      </c>
    </row>
    <row r="81" spans="1:63" ht="22.5" customHeight="1" x14ac:dyDescent="0.2">
      <c r="A81" s="32"/>
      <c r="B81" s="629"/>
      <c r="C81" s="629"/>
      <c r="D81" s="499"/>
      <c r="E81" s="444"/>
      <c r="F81" s="629"/>
      <c r="G81" s="629"/>
      <c r="H81" s="500"/>
      <c r="I81" s="630"/>
      <c r="J81" s="32"/>
      <c r="K81" s="32"/>
      <c r="L81" s="32"/>
      <c r="N81" s="54"/>
      <c r="O81" s="777"/>
      <c r="P81" s="54"/>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row>
    <row r="82" spans="1:63" ht="22.5" customHeight="1" x14ac:dyDescent="0.3">
      <c r="A82" s="487"/>
      <c r="B82" s="2598" t="s">
        <v>786</v>
      </c>
      <c r="C82" s="2598"/>
      <c r="D82" s="2598"/>
      <c r="E82" s="2598"/>
      <c r="F82" s="629"/>
      <c r="G82" s="629"/>
      <c r="H82" s="500"/>
      <c r="I82" s="630"/>
      <c r="J82" s="32"/>
      <c r="K82" s="32"/>
      <c r="L82" s="32"/>
      <c r="N82" s="54"/>
      <c r="O82" s="777"/>
      <c r="P82" s="54"/>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row>
    <row r="83" spans="1:63" ht="19.5" customHeight="1" x14ac:dyDescent="0.2">
      <c r="A83" s="32"/>
      <c r="B83" s="32"/>
      <c r="C83" s="467"/>
      <c r="D83" s="773" t="s">
        <v>370</v>
      </c>
      <c r="E83" s="413" t="s">
        <v>638</v>
      </c>
      <c r="F83" s="2599" t="s">
        <v>632</v>
      </c>
      <c r="G83" s="2599"/>
      <c r="H83" s="2599" t="s">
        <v>773</v>
      </c>
      <c r="I83" s="2599"/>
      <c r="J83" s="32"/>
      <c r="K83" s="32"/>
      <c r="L83" s="32"/>
      <c r="N83" s="1071">
        <f>IF(O83=0,0,N$17)</f>
        <v>0</v>
      </c>
      <c r="O83" s="1071">
        <f>IF(AB15="",0,MAX(D85:E93))</f>
        <v>0</v>
      </c>
      <c r="P83" s="32"/>
      <c r="Q83" s="1077"/>
      <c r="R83" s="2590" t="s">
        <v>587</v>
      </c>
      <c r="S83" s="2590"/>
      <c r="T83" s="2590"/>
      <c r="U83" s="2590"/>
      <c r="V83" s="2590"/>
      <c r="W83" s="2590"/>
      <c r="X83" s="2590"/>
      <c r="Y83" s="2590"/>
      <c r="Z83" s="2590"/>
      <c r="AB83" s="2591">
        <f>IF(AB$15=F$115,N83/10,O83/10)</f>
        <v>0</v>
      </c>
      <c r="AC83" s="2591"/>
      <c r="AD83" s="2591"/>
      <c r="AE83" s="2591"/>
      <c r="AF83" s="2591"/>
      <c r="AG83" s="2591"/>
      <c r="AH83" s="2591"/>
      <c r="AI83" s="2591"/>
      <c r="AJ83" s="2591"/>
      <c r="AK83" s="2591"/>
      <c r="AL83" s="32"/>
      <c r="AM83" s="1077"/>
      <c r="AN83" s="2590" t="s">
        <v>772</v>
      </c>
      <c r="AO83" s="2590"/>
      <c r="AP83" s="2590"/>
      <c r="AQ83" s="2590"/>
      <c r="AR83" s="2590"/>
      <c r="AS83" s="2590"/>
      <c r="AT83" s="2590"/>
      <c r="AU83" s="2590"/>
      <c r="AV83" s="2590"/>
      <c r="AX83" s="2589">
        <v>10</v>
      </c>
      <c r="AY83" s="2589"/>
      <c r="AZ83" s="2589"/>
      <c r="BA83" s="2589"/>
      <c r="BB83" s="2589"/>
      <c r="BC83" s="2589"/>
      <c r="BD83" s="2589"/>
      <c r="BE83" s="2589"/>
      <c r="BF83" s="2589"/>
      <c r="BG83" s="2589"/>
      <c r="BH83" s="32"/>
      <c r="BI83" s="32"/>
      <c r="BJ83" s="32"/>
      <c r="BK83" s="32"/>
    </row>
    <row r="84" spans="1:63" ht="19.5" customHeight="1" x14ac:dyDescent="0.2">
      <c r="A84" s="32"/>
      <c r="B84" s="32"/>
      <c r="C84" s="789" t="s">
        <v>636</v>
      </c>
      <c r="D84" s="774" t="s">
        <v>394</v>
      </c>
      <c r="E84" s="411" t="e">
        <f>VLOOKUP(TRUE,J127:K131,2,FALSE)</f>
        <v>#N/A</v>
      </c>
      <c r="F84" s="782" t="s">
        <v>633</v>
      </c>
      <c r="G84" s="783" t="s">
        <v>631</v>
      </c>
      <c r="H84" s="782" t="s">
        <v>634</v>
      </c>
      <c r="I84" s="783" t="s">
        <v>635</v>
      </c>
      <c r="J84" s="32"/>
      <c r="K84" s="32"/>
      <c r="L84" s="32"/>
      <c r="N84" s="123"/>
      <c r="O84" s="1072"/>
      <c r="P84" s="32"/>
      <c r="Q84" s="1068"/>
      <c r="R84" s="1068"/>
      <c r="S84" s="1069"/>
      <c r="T84" s="123"/>
      <c r="U84" s="123"/>
      <c r="V84" s="123"/>
      <c r="W84" s="123"/>
      <c r="X84" s="123"/>
      <c r="Y84" s="123"/>
      <c r="Z84" s="123"/>
      <c r="AA84" s="123"/>
      <c r="AB84" s="123"/>
      <c r="AC84" s="32"/>
      <c r="AD84" s="32"/>
      <c r="AE84" s="32"/>
      <c r="AF84" s="32"/>
      <c r="AG84" s="32"/>
      <c r="AH84" s="32"/>
      <c r="AI84" s="32"/>
      <c r="AJ84" s="32"/>
      <c r="AK84" s="32"/>
      <c r="AL84" s="32"/>
      <c r="AM84" s="1068"/>
      <c r="AN84" s="1068"/>
      <c r="AO84" s="1069"/>
      <c r="AP84" s="123"/>
      <c r="AQ84" s="123"/>
      <c r="AR84" s="123"/>
      <c r="AS84" s="123"/>
      <c r="AT84" s="123"/>
      <c r="AU84" s="123"/>
      <c r="AV84" s="123"/>
      <c r="AW84" s="123"/>
      <c r="AX84" s="123"/>
      <c r="AY84" s="32"/>
      <c r="AZ84" s="32"/>
      <c r="BA84" s="32"/>
      <c r="BB84" s="32"/>
      <c r="BC84" s="32"/>
      <c r="BD84" s="32"/>
      <c r="BE84" s="32"/>
      <c r="BF84" s="32"/>
      <c r="BG84" s="32"/>
      <c r="BH84" s="32"/>
      <c r="BI84" s="32"/>
      <c r="BJ84" s="32"/>
      <c r="BK84" s="32"/>
    </row>
    <row r="85" spans="1:63" ht="19.5" customHeight="1" x14ac:dyDescent="0.2">
      <c r="A85" s="32"/>
      <c r="B85" s="32"/>
      <c r="C85" s="422" t="str">
        <f>C19</f>
        <v>LORDO</v>
      </c>
      <c r="D85" s="513">
        <f>SUMIF(CASSA!AM114:AM479,"X",CASSA!CJ114:CJ479)</f>
        <v>0</v>
      </c>
      <c r="E85" s="512">
        <f>SUMIF(CASSA!AL114:AL479,"Y",CASSA!CJ114:CJ479)</f>
        <v>0</v>
      </c>
      <c r="F85" s="784" t="e">
        <f>D85/D$85*100</f>
        <v>#DIV/0!</v>
      </c>
      <c r="G85" s="785" t="e">
        <f>E85/E$85*100</f>
        <v>#DIV/0!</v>
      </c>
      <c r="H85" s="786" t="e">
        <f>(D85-E85)/E85*100</f>
        <v>#DIV/0!</v>
      </c>
      <c r="I85" s="787" t="e">
        <f>(E85-D85)/D85*100</f>
        <v>#DIV/0!</v>
      </c>
      <c r="J85" s="32"/>
      <c r="K85" s="32"/>
      <c r="L85" s="32"/>
      <c r="N85" s="32"/>
      <c r="O85" s="1073">
        <f>D85+E85</f>
        <v>0</v>
      </c>
      <c r="P85" s="32"/>
      <c r="Q85" s="1431">
        <f>IF(AND(D85&lt;&gt;0,D85&gt;0),IF((AB$83*9)&gt;=D85,0,1),IF(AND(D85&lt;&gt;0,D85&lt;0),IF((AB$83*9)&lt;=D85,0,1),0))</f>
        <v>0</v>
      </c>
      <c r="R85" s="1431">
        <f>IF(AND(D85&lt;&gt;0,D85&gt;0),IF((AB$83*8)&gt;=D85,0,1),IF(AND(D85&lt;&gt;0,D85&lt;0),IF((AB$83*8)&lt;=D85,0,1),0))</f>
        <v>0</v>
      </c>
      <c r="S85" s="1431">
        <f>IF(AND(D85&lt;&gt;0,D85&gt;0),IF((AB$83*7)&gt;=D85,0,1),IF(AND(D85&lt;&gt;0,D85&lt;0),IF((AB$83*7)&lt;=D85,0,1),0))</f>
        <v>0</v>
      </c>
      <c r="T85" s="1431">
        <f>IF(AND(D85&lt;&gt;0,D85&gt;0),IF((AB$83*6)&gt;=D85,0,1),IF(AND(D85&lt;&gt;0,D85&lt;0),IF((AB$83*6)&lt;=D85,0,1),0))</f>
        <v>0</v>
      </c>
      <c r="U85" s="1431">
        <f>IF(AND(D85&lt;&gt;0,D85&gt;0),IF((AB$83*5)&gt;=D85,0,1),IF(AND(D85&lt;&gt;0,D85&lt;0),IF((AB$83*5)&lt;=D85,0,1),0))</f>
        <v>0</v>
      </c>
      <c r="V85" s="1431">
        <f>IF(AND(D85&lt;&gt;0,D85&gt;0),IF((AB$83*4)&gt;=D85,0,1),IF(AND(D85&lt;&gt;0,D85&lt;0),IF((AB$83*4)&lt;=D85,0,1),0))</f>
        <v>0</v>
      </c>
      <c r="W85" s="1431">
        <f>IF(AND(D85&lt;&gt;0,D85&gt;0),IF((AB$83*3)&gt;=D85,0,1),IF(AND(D85&lt;&gt;0,D85&lt;0),IF((AB$83*3)&lt;=D85,0,1),0))</f>
        <v>0</v>
      </c>
      <c r="X85" s="1431">
        <f>IF(AND(D85&lt;&gt;0,D85&gt;0),IF((AB$83*2)&gt;=D85,0,1),IF(AND(D85&lt;&gt;0,D85&lt;0),IF((AB$83*2)&lt;=D85,0,1),0))</f>
        <v>0</v>
      </c>
      <c r="Y85" s="1431">
        <f>IF(AND(D85&lt;&gt;0,D85&gt;0),IF((AB$83*1)&gt;=D85,0,1),IF(AND(D85&lt;&gt;0,D85&lt;0),IF((AB$83*1)&lt;=D85,0,1),0))</f>
        <v>0</v>
      </c>
      <c r="Z85" s="1431">
        <f>IF(D85&lt;&gt;0,1,0)</f>
        <v>0</v>
      </c>
      <c r="AA85" s="1432"/>
      <c r="AB85" s="1431">
        <f>IF(E85&lt;&gt;0,1,0)</f>
        <v>0</v>
      </c>
      <c r="AC85" s="1431">
        <f>IF(AND(E85&lt;&gt;0,E85&gt;0),IF((AB$83*1)&gt;=E85,0,1),IF(AND(E85&lt;&gt;0,E85&lt;0),IF((AB$83*1)&lt;=E85,0,1),0))</f>
        <v>0</v>
      </c>
      <c r="AD85" s="1431">
        <f>IF(AND(E85&lt;&gt;0,E85&gt;0),IF((AB$83*2)&gt;=E85,0,1),IF(AND(E85&lt;&gt;0,E85&lt;0),IF((AB$83*2)&lt;=E85,0,1),0))</f>
        <v>0</v>
      </c>
      <c r="AE85" s="1431">
        <f>IF(AND(E85&lt;&gt;0,E85&gt;0),IF((AB$83*3)&gt;=E85,0,1),IF(AND(E85&lt;&gt;0,E85&lt;0),IF((AB$83*3)&lt;=E85,0,1),0))</f>
        <v>0</v>
      </c>
      <c r="AF85" s="1431">
        <f>IF(AND(E85&lt;&gt;0,E85&gt;0),IF((AB$83*4)&gt;=E85,0,1),IF(AND(E85&lt;&gt;0,E85&lt;0),IF((AB$83*4)&lt;=E85,0,1),0))</f>
        <v>0</v>
      </c>
      <c r="AG85" s="1431">
        <f>IF(AND(E85&lt;&gt;0,E85&gt;0),IF((AB$83*5)&gt;=E85,0,1),IF(AND(E85&lt;&gt;0,E85&lt;0),IF((AB$83*5)&lt;=E85,0,1),0))</f>
        <v>0</v>
      </c>
      <c r="AH85" s="1431">
        <f>IF(AND(E85&lt;&gt;0,E85&gt;0),IF((AB$83*6)&gt;=E85,0,1),IF(AND(E85&lt;&gt;0,E85&lt;0),IF((AB$83*6)&lt;=E85,0,1),0))</f>
        <v>0</v>
      </c>
      <c r="AI85" s="1431">
        <f>IF(AND(E85&lt;&gt;0,E85&gt;0),IF((AB$83*7)&gt;=E85,0,1),IF(AND(E85&lt;&gt;0,E85&lt;0),IF((AB$83*7)&lt;=E85,0,1),0))</f>
        <v>0</v>
      </c>
      <c r="AJ85" s="1431">
        <f>IF(AND(E85&lt;&gt;0,E85&gt;0),IF((AB$83*8)&gt;=E85,0,1),IF(AND(E85&lt;&gt;0,E85&lt;0),IF((AB$83*8)&lt;=E85,0,1),0))</f>
        <v>0</v>
      </c>
      <c r="AK85" s="1431">
        <f>IF(AND(E85&lt;&gt;0,E85&gt;0),IF((AB$83*9)&gt;=E85,0,1),IF(AND(E85&lt;&gt;0,E85&lt;0),IF((AB$83*9)&lt;=E85,0,1),0))</f>
        <v>0</v>
      </c>
      <c r="AL85" s="32"/>
      <c r="AM85" s="1431">
        <f>IF(AND(BI85&lt;&gt;0,BI85&gt;0),IF((AX$83*9)&gt;=BI85,0,1),IF(AND(BI85&lt;&gt;0,BI85&lt;0),IF((AX$83*9)&lt;=BI85,0,1),0))</f>
        <v>0</v>
      </c>
      <c r="AN85" s="1431">
        <f>IF(AND(BI85&lt;&gt;0,BI85&gt;0),IF((AX$83*8)&gt;=BI85,0,1),IF(AND(BI85&lt;&gt;0,BI85&lt;0),IF((AX$83*8)&lt;=BI85,0,1),0))</f>
        <v>0</v>
      </c>
      <c r="AO85" s="1431">
        <f>IF(AND(BI85&lt;&gt;0,BI85&gt;0),IF((AX$83*7)&gt;=BI85,0,1),IF(AND(BI85&lt;&gt;0,BI85&lt;0),IF((AX$83*7)&lt;=BI85,0,1),0))</f>
        <v>0</v>
      </c>
      <c r="AP85" s="1431">
        <f>IF(AND(BI85&lt;&gt;0,BI85&gt;0),IF((AX$83*6)&gt;=BI85,0,1),IF(AND(BI85&lt;&gt;0,BI85&lt;0),IF((AX$83*6)&lt;=BI85,0,1),0))</f>
        <v>0</v>
      </c>
      <c r="AQ85" s="1431">
        <f>IF(AND(BI85&lt;&gt;0,BI85&gt;0),IF((AX$83*5)&gt;=BI85,0,1),IF(AND(BI85&lt;&gt;0,BI85&lt;0),IF((AX$83*5)&lt;=BI85,0,1),0))</f>
        <v>0</v>
      </c>
      <c r="AR85" s="1431">
        <f>IF(AND(BI85&lt;&gt;0,BI85&gt;0),IF((AX$83*4)&gt;=BI85,0,1),IF(AND(BI85&lt;&gt;0,BI85&lt;0),IF((AX$83*4)&lt;=BI85,0,1),0))</f>
        <v>0</v>
      </c>
      <c r="AS85" s="1431">
        <f>IF(AND(BI85&lt;&gt;0,BI85&gt;0),IF((AX$83*3)&gt;=BI85,0,1),IF(AND(BI85&lt;&gt;0,BI85&lt;0),IF((AX$83*3)&lt;=BI85,0,1),0))</f>
        <v>0</v>
      </c>
      <c r="AT85" s="1431">
        <f>IF(AND(BI85&lt;&gt;0,BI85&gt;0),IF((AX$83*2)&gt;=BI85,0,1),IF(AND(BI85&lt;&gt;0,BI85&lt;0),IF((AX$83*2)&lt;=BI85,0,1),0))</f>
        <v>0</v>
      </c>
      <c r="AU85" s="1431">
        <f>IF(AND(BI85&lt;&gt;0,BI85&gt;0),IF((AX$83*1)&gt;=BI85,0,1),IF(AND(BI85&lt;&gt;0,BI85&lt;0),IF((AX$83*1)&lt;=BI85,0,1),0))</f>
        <v>0</v>
      </c>
      <c r="AV85" s="1431">
        <f>IF(BI85&lt;&gt;0,1,0)</f>
        <v>0</v>
      </c>
      <c r="AW85" s="1432"/>
      <c r="AX85" s="1431">
        <f>IF(BJ85&lt;&gt;0,1,0)</f>
        <v>0</v>
      </c>
      <c r="AY85" s="1431">
        <f>IF(AND(BJ85&lt;&gt;0,BJ85&gt;0),IF((AX$83*1)&gt;=BJ85,0,1),IF(AND(BJ85&lt;&gt;0,BJ85&lt;0),IF((AX$83*1)&lt;=BJ85,0,1),0))</f>
        <v>0</v>
      </c>
      <c r="AZ85" s="1431">
        <f>IF(AND(BJ85&lt;&gt;0,BJ85&gt;0),IF((AX$83*2)&gt;=BJ85,0,1),IF(AND(BJ85&lt;&gt;0,BJ85&lt;0),IF((AX$83*2)&lt;=BJ85,0,1),0))</f>
        <v>0</v>
      </c>
      <c r="BA85" s="1431">
        <f>IF(AND(BJ85&lt;&gt;0,BJ85&gt;0),IF((AX$83*3)&gt;=BJ85,0,1),IF(AND(BJ85&lt;&gt;0,BJ85&lt;0),IF((AX$83*3)&lt;=BJ85,0,1),0))</f>
        <v>0</v>
      </c>
      <c r="BB85" s="1431">
        <f>IF(AND(BJ85&lt;&gt;0,BJ85&gt;0),IF((AX$83*4)&gt;=BJ85,0,1),IF(AND(BJ85&lt;&gt;0,BJ85&lt;0),IF((AX$83*4)&lt;=BJ85,0,1),0))</f>
        <v>0</v>
      </c>
      <c r="BC85" s="1431">
        <f>IF(AND(BJ85&lt;&gt;0,BJ85&gt;0),IF((AX$83*5)&gt;=BJ85,0,1),IF(AND(BJ85&lt;&gt;0,BJ85&lt;0),IF((AX$83*5)&lt;=BJ85,0,1),0))</f>
        <v>0</v>
      </c>
      <c r="BD85" s="1431">
        <f>IF(AND(BJ85&lt;&gt;0,BJ85&gt;0),IF((AX$83*6)&gt;=BJ85,0,1),IF(AND(BJ85&lt;&gt;0,BJ85&lt;0),IF((AX$83*6)&lt;=BJ85,0,1),0))</f>
        <v>0</v>
      </c>
      <c r="BE85" s="1431">
        <f>IF(AND(BJ85&lt;&gt;0,BJ85&gt;0),IF((AX$83*7)&gt;=BJ85,0,1),IF(AND(BJ85&lt;&gt;0,BJ85&lt;0),IF((AX$83*7)&lt;=BJ85,0,1),0))</f>
        <v>0</v>
      </c>
      <c r="BF85" s="1431">
        <f>IF(AND(BJ85&lt;&gt;0,BJ85&gt;0),IF((AX$83*8)&gt;=BJ85,0,1),IF(AND(BJ85&lt;&gt;0,BJ85&lt;0),IF((AX$83*8)&lt;=BJ85,0,1),0))</f>
        <v>0</v>
      </c>
      <c r="BG85" s="1431">
        <f>IF(AND(BJ85&lt;&gt;0,BJ85&gt;0),IF((AX$83*9)&gt;=BJ85,0,1),IF(AND(BJ85&lt;&gt;0,BJ85&lt;0),IF((AX$83*9)&lt;=BJ85,0,1),0))</f>
        <v>0</v>
      </c>
      <c r="BH85" s="32"/>
      <c r="BI85" s="1070">
        <f>IF(ISERROR(D85/O85*100),0,IF(D85&gt;=E85,ROUND(D85/O85*100,-1),100-BJ85))</f>
        <v>0</v>
      </c>
      <c r="BJ85" s="1070">
        <f>IF(ISERROR(E85/O85*100),0,IF(E85&gt;=D85,ROUND(E85/O85*100,-1),100-BI85))</f>
        <v>0</v>
      </c>
      <c r="BK85" s="32"/>
    </row>
    <row r="86" spans="1:63" ht="19.5" customHeight="1" x14ac:dyDescent="0.2">
      <c r="A86" s="32"/>
      <c r="B86" s="32"/>
      <c r="C86" s="430" t="str">
        <f>C20</f>
        <v>NETTO</v>
      </c>
      <c r="D86" s="420">
        <f>IF(D85=0,0,IF(C$112=0,D85,SUM(D85-D93)))</f>
        <v>0</v>
      </c>
      <c r="E86" s="347">
        <f>IF(E85=0,0,IF(C$112=0,E85,SUM(E85-E93)))</f>
        <v>0</v>
      </c>
      <c r="F86" s="784" t="e">
        <f>D86/D$85*100</f>
        <v>#DIV/0!</v>
      </c>
      <c r="G86" s="785" t="e">
        <f>E86/E$85*100</f>
        <v>#DIV/0!</v>
      </c>
      <c r="H86" s="786" t="e">
        <f>(D86-E86)/E86*100</f>
        <v>#DIV/0!</v>
      </c>
      <c r="I86" s="787" t="e">
        <f>(E86-D86)/D86*100</f>
        <v>#DIV/0!</v>
      </c>
      <c r="J86" s="32"/>
      <c r="K86" s="32"/>
      <c r="L86" s="32"/>
      <c r="N86" s="32"/>
      <c r="O86" s="1074">
        <f>D86+E86</f>
        <v>0</v>
      </c>
      <c r="P86" s="32"/>
      <c r="Q86" s="1431">
        <f>IF(AND(D86&lt;&gt;0,D86&gt;0),IF((AB$83*9)&gt;=D86,0,1),IF(AND(D86&lt;&gt;0,D86&lt;0),IF((AB$83*9)&lt;=D86,0,1),0))</f>
        <v>0</v>
      </c>
      <c r="R86" s="1431">
        <f>IF(AND(D86&lt;&gt;0,D86&gt;0),IF((AB$83*8)&gt;=D86,0,1),IF(AND(D86&lt;&gt;0,D86&lt;0),IF((AB$83*8)&lt;=D86,0,1),0))</f>
        <v>0</v>
      </c>
      <c r="S86" s="1431">
        <f>IF(AND(D86&lt;&gt;0,D86&gt;0),IF((AB$83*7)&gt;=D86,0,1),IF(AND(D86&lt;&gt;0,D86&lt;0),IF((AB$83*7)&lt;=D86,0,1),0))</f>
        <v>0</v>
      </c>
      <c r="T86" s="1431">
        <f>IF(AND(D86&lt;&gt;0,D86&gt;0),IF((AB$83*6)&gt;=D86,0,1),IF(AND(D86&lt;&gt;0,D86&lt;0),IF((AB$83*6)&lt;=D86,0,1),0))</f>
        <v>0</v>
      </c>
      <c r="U86" s="1431">
        <f>IF(AND(D86&lt;&gt;0,D86&gt;0),IF((AB$83*5)&gt;=D86,0,1),IF(AND(D86&lt;&gt;0,D86&lt;0),IF((AB$83*5)&lt;=D86,0,1),0))</f>
        <v>0</v>
      </c>
      <c r="V86" s="1431">
        <f>IF(AND(D86&lt;&gt;0,D86&gt;0),IF((AB$83*4)&gt;=D86,0,1),IF(AND(D86&lt;&gt;0,D86&lt;0),IF((AB$83*4)&lt;=D86,0,1),0))</f>
        <v>0</v>
      </c>
      <c r="W86" s="1431">
        <f>IF(AND(D86&lt;&gt;0,D86&gt;0),IF((AB$83*3)&gt;=D86,0,1),IF(AND(D86&lt;&gt;0,D86&lt;0),IF((AB$83*3)&lt;=D86,0,1),0))</f>
        <v>0</v>
      </c>
      <c r="X86" s="1431">
        <f>IF(AND(D86&lt;&gt;0,D86&gt;0),IF((AB$83*2)&gt;=D86,0,1),IF(AND(D86&lt;&gt;0,D86&lt;0),IF((AB$83*2)&lt;=D86,0,1),0))</f>
        <v>0</v>
      </c>
      <c r="Y86" s="1431">
        <f>IF(AND(D86&lt;&gt;0,D86&gt;0),IF((AB$83*1)&gt;=D86,0,1),IF(AND(D86&lt;&gt;0,D86&lt;0),IF((AB$83*1)&lt;=D86,0,1),0))</f>
        <v>0</v>
      </c>
      <c r="Z86" s="1431">
        <f>IF(D86&lt;&gt;0,1,0)</f>
        <v>0</v>
      </c>
      <c r="AA86" s="1432"/>
      <c r="AB86" s="1431">
        <f>IF(E86&lt;&gt;0,1,0)</f>
        <v>0</v>
      </c>
      <c r="AC86" s="1431">
        <f>IF(AND(E86&lt;&gt;0,E86&gt;0),IF((AB$83*1)&gt;=E86,0,1),IF(AND(E86&lt;&gt;0,E86&lt;0),IF((AB$83*1)&lt;=E86,0,1),0))</f>
        <v>0</v>
      </c>
      <c r="AD86" s="1431">
        <f>IF(AND(E86&lt;&gt;0,E86&gt;0),IF((AB$83*2)&gt;=E86,0,1),IF(AND(E86&lt;&gt;0,E86&lt;0),IF((AB$83*2)&lt;=E86,0,1),0))</f>
        <v>0</v>
      </c>
      <c r="AE86" s="1431">
        <f>IF(AND(E86&lt;&gt;0,E86&gt;0),IF((AB$83*3)&gt;=E86,0,1),IF(AND(E86&lt;&gt;0,E86&lt;0),IF((AB$83*3)&lt;=E86,0,1),0))</f>
        <v>0</v>
      </c>
      <c r="AF86" s="1431">
        <f>IF(AND(E86&lt;&gt;0,E86&gt;0),IF((AB$83*4)&gt;=E86,0,1),IF(AND(E86&lt;&gt;0,E86&lt;0),IF((AB$83*4)&lt;=E86,0,1),0))</f>
        <v>0</v>
      </c>
      <c r="AG86" s="1431">
        <f>IF(AND(E86&lt;&gt;0,E86&gt;0),IF((AB$83*5)&gt;=E86,0,1),IF(AND(E86&lt;&gt;0,E86&lt;0),IF((AB$83*5)&lt;=E86,0,1),0))</f>
        <v>0</v>
      </c>
      <c r="AH86" s="1431">
        <f>IF(AND(E86&lt;&gt;0,E86&gt;0),IF((AB$83*6)&gt;=E86,0,1),IF(AND(E86&lt;&gt;0,E86&lt;0),IF((AB$83*6)&lt;=E86,0,1),0))</f>
        <v>0</v>
      </c>
      <c r="AI86" s="1431">
        <f>IF(AND(E86&lt;&gt;0,E86&gt;0),IF((AB$83*7)&gt;=E86,0,1),IF(AND(E86&lt;&gt;0,E86&lt;0),IF((AB$83*7)&lt;=E86,0,1),0))</f>
        <v>0</v>
      </c>
      <c r="AJ86" s="1431">
        <f>IF(AND(E86&lt;&gt;0,E86&gt;0),IF((AB$83*8)&gt;=E86,0,1),IF(AND(E86&lt;&gt;0,E86&lt;0),IF((AB$83*8)&lt;=E86,0,1),0))</f>
        <v>0</v>
      </c>
      <c r="AK86" s="1431">
        <f>IF(AND(E86&lt;&gt;0,E86&gt;0),IF((AB$83*9)&gt;=E86,0,1),IF(AND(E86&lt;&gt;0,E86&lt;0),IF((AB$83*9)&lt;=E86,0,1),0))</f>
        <v>0</v>
      </c>
      <c r="AL86" s="32"/>
      <c r="AM86" s="1431">
        <f>IF(AND(BI86&lt;&gt;0,BI86&gt;0),IF((AX$83*9)&gt;=BI86,0,1),IF(AND(BI86&lt;&gt;0,BI86&lt;0),IF((AX$83*9)&lt;=BI86,0,1),0))</f>
        <v>0</v>
      </c>
      <c r="AN86" s="1431">
        <f>IF(AND(BI86&lt;&gt;0,BI86&gt;0),IF((AX$83*8)&gt;=BI86,0,1),IF(AND(BI86&lt;&gt;0,BI86&lt;0),IF((AX$83*8)&lt;=BI86,0,1),0))</f>
        <v>0</v>
      </c>
      <c r="AO86" s="1431">
        <f>IF(AND(BI86&lt;&gt;0,BI86&gt;0),IF((AX$83*7)&gt;=BI86,0,1),IF(AND(BI86&lt;&gt;0,BI86&lt;0),IF((AX$83*7)&lt;=BI86,0,1),0))</f>
        <v>0</v>
      </c>
      <c r="AP86" s="1431">
        <f>IF(AND(BI86&lt;&gt;0,BI86&gt;0),IF((AX$83*6)&gt;=BI86,0,1),IF(AND(BI86&lt;&gt;0,BI86&lt;0),IF((AX$83*6)&lt;=BI86,0,1),0))</f>
        <v>0</v>
      </c>
      <c r="AQ86" s="1431">
        <f>IF(AND(BI86&lt;&gt;0,BI86&gt;0),IF((AX$83*5)&gt;=BI86,0,1),IF(AND(BI86&lt;&gt;0,BI86&lt;0),IF((AX$83*5)&lt;=BI86,0,1),0))</f>
        <v>0</v>
      </c>
      <c r="AR86" s="1431">
        <f>IF(AND(BI86&lt;&gt;0,BI86&gt;0),IF((AX$83*4)&gt;=BI86,0,1),IF(AND(BI86&lt;&gt;0,BI86&lt;0),IF((AX$83*4)&lt;=BI86,0,1),0))</f>
        <v>0</v>
      </c>
      <c r="AS86" s="1431">
        <f>IF(AND(BI86&lt;&gt;0,BI86&gt;0),IF((AX$83*3)&gt;=BI86,0,1),IF(AND(BI86&lt;&gt;0,BI86&lt;0),IF((AX$83*3)&lt;=BI86,0,1),0))</f>
        <v>0</v>
      </c>
      <c r="AT86" s="1431">
        <f>IF(AND(BI86&lt;&gt;0,BI86&gt;0),IF((AX$83*2)&gt;=BI86,0,1),IF(AND(BI86&lt;&gt;0,BI86&lt;0),IF((AX$83*2)&lt;=BI86,0,1),0))</f>
        <v>0</v>
      </c>
      <c r="AU86" s="1431">
        <f>IF(AND(BI86&lt;&gt;0,BI86&gt;0),IF((AX$83*1)&gt;=BI86,0,1),IF(AND(BI86&lt;&gt;0,BI86&lt;0),IF((AX$83*1)&lt;=BI86,0,1),0))</f>
        <v>0</v>
      </c>
      <c r="AV86" s="1431">
        <f>IF(BI86&lt;&gt;0,1,0)</f>
        <v>0</v>
      </c>
      <c r="AW86" s="1432"/>
      <c r="AX86" s="1431">
        <f>IF(BJ86&lt;&gt;0,1,0)</f>
        <v>0</v>
      </c>
      <c r="AY86" s="1431">
        <f>IF(AND(BJ86&lt;&gt;0,BJ86&gt;0),IF((AX$83*1)&gt;=BJ86,0,1),IF(AND(BJ86&lt;&gt;0,BJ86&lt;0),IF((AX$83*1)&lt;=BJ86,0,1),0))</f>
        <v>0</v>
      </c>
      <c r="AZ86" s="1431">
        <f>IF(AND(BJ86&lt;&gt;0,BJ86&gt;0),IF((AX$83*2)&gt;=BJ86,0,1),IF(AND(BJ86&lt;&gt;0,BJ86&lt;0),IF((AX$83*2)&lt;=BJ86,0,1),0))</f>
        <v>0</v>
      </c>
      <c r="BA86" s="1431">
        <f>IF(AND(BJ86&lt;&gt;0,BJ86&gt;0),IF((AX$83*3)&gt;=BJ86,0,1),IF(AND(BJ86&lt;&gt;0,BJ86&lt;0),IF((AX$83*3)&lt;=BJ86,0,1),0))</f>
        <v>0</v>
      </c>
      <c r="BB86" s="1431">
        <f>IF(AND(BJ86&lt;&gt;0,BJ86&gt;0),IF((AX$83*4)&gt;=BJ86,0,1),IF(AND(BJ86&lt;&gt;0,BJ86&lt;0),IF((AX$83*4)&lt;=BJ86,0,1),0))</f>
        <v>0</v>
      </c>
      <c r="BC86" s="1431">
        <f>IF(AND(BJ86&lt;&gt;0,BJ86&gt;0),IF((AX$83*5)&gt;=BJ86,0,1),IF(AND(BJ86&lt;&gt;0,BJ86&lt;0),IF((AX$83*5)&lt;=BJ86,0,1),0))</f>
        <v>0</v>
      </c>
      <c r="BD86" s="1431">
        <f>IF(AND(BJ86&lt;&gt;0,BJ86&gt;0),IF((AX$83*6)&gt;=BJ86,0,1),IF(AND(BJ86&lt;&gt;0,BJ86&lt;0),IF((AX$83*6)&lt;=BJ86,0,1),0))</f>
        <v>0</v>
      </c>
      <c r="BE86" s="1431">
        <f>IF(AND(BJ86&lt;&gt;0,BJ86&gt;0),IF((AX$83*7)&gt;=BJ86,0,1),IF(AND(BJ86&lt;&gt;0,BJ86&lt;0),IF((AX$83*7)&lt;=BJ86,0,1),0))</f>
        <v>0</v>
      </c>
      <c r="BF86" s="1431">
        <f>IF(AND(BJ86&lt;&gt;0,BJ86&gt;0),IF((AX$83*8)&gt;=BJ86,0,1),IF(AND(BJ86&lt;&gt;0,BJ86&lt;0),IF((AX$83*8)&lt;=BJ86,0,1),0))</f>
        <v>0</v>
      </c>
      <c r="BG86" s="1431">
        <f>IF(AND(BJ86&lt;&gt;0,BJ86&gt;0),IF((AX$83*9)&gt;=BJ86,0,1),IF(AND(BJ86&lt;&gt;0,BJ86&lt;0),IF((AX$83*9)&lt;=BJ86,0,1),0))</f>
        <v>0</v>
      </c>
      <c r="BH86" s="32"/>
      <c r="BI86" s="1070">
        <f>IF(ISERROR(D86/O86*100),0,IF(D86&gt;=E86,ROUND(D86/O86*100,-1),100-BJ86))</f>
        <v>0</v>
      </c>
      <c r="BJ86" s="1070">
        <f>IF(ISERROR(E86/O86*100),0,IF(E86&gt;=D86,ROUND(E86/O86*100,-1),100-BI86))</f>
        <v>0</v>
      </c>
      <c r="BK86" s="32"/>
    </row>
    <row r="87" spans="1:63" ht="15.75" customHeight="1" x14ac:dyDescent="0.2">
      <c r="A87" s="32"/>
      <c r="B87" s="32"/>
      <c r="C87" s="1049" t="s">
        <v>768</v>
      </c>
      <c r="D87" s="417"/>
      <c r="E87" s="343"/>
      <c r="F87" s="784"/>
      <c r="G87" s="785"/>
      <c r="H87" s="786"/>
      <c r="I87" s="787"/>
      <c r="J87" s="32"/>
      <c r="K87" s="32"/>
      <c r="L87" s="32"/>
      <c r="N87" s="32"/>
      <c r="O87" s="1075"/>
      <c r="P87" s="32"/>
      <c r="Q87" s="32"/>
      <c r="R87" s="32"/>
      <c r="S87" s="32"/>
      <c r="T87" s="32"/>
      <c r="U87" s="32"/>
      <c r="V87" s="32"/>
      <c r="W87" s="32"/>
      <c r="X87" s="32"/>
      <c r="Y87" s="32"/>
      <c r="Z87" s="123"/>
      <c r="AA87" s="1432"/>
      <c r="AB87" s="32"/>
      <c r="AC87" s="32"/>
      <c r="AD87" s="32"/>
      <c r="AE87" s="32"/>
      <c r="AF87" s="32"/>
      <c r="AG87" s="32"/>
      <c r="AH87" s="32"/>
      <c r="AI87" s="32"/>
      <c r="AJ87" s="32"/>
      <c r="AK87" s="32"/>
      <c r="AL87" s="32"/>
      <c r="AM87" s="32"/>
      <c r="AN87" s="32"/>
      <c r="AO87" s="32"/>
      <c r="AP87" s="32"/>
      <c r="AQ87" s="32"/>
      <c r="AR87" s="32"/>
      <c r="AS87" s="32"/>
      <c r="AT87" s="32"/>
      <c r="AU87" s="32"/>
      <c r="AV87" s="32"/>
      <c r="AW87" s="1432"/>
      <c r="AX87" s="32"/>
      <c r="AY87" s="32"/>
      <c r="AZ87" s="32"/>
      <c r="BA87" s="32"/>
      <c r="BB87" s="32"/>
      <c r="BC87" s="32"/>
      <c r="BD87" s="32"/>
      <c r="BE87" s="32"/>
      <c r="BF87" s="32"/>
      <c r="BG87" s="32"/>
      <c r="BH87" s="32"/>
      <c r="BI87" s="32"/>
      <c r="BJ87" s="32"/>
      <c r="BK87" s="32"/>
    </row>
    <row r="88" spans="1:63" ht="19.5" customHeight="1" x14ac:dyDescent="0.2">
      <c r="A88" s="32"/>
      <c r="B88" s="32"/>
      <c r="C88" s="442" t="str">
        <f t="shared" ref="C88:C93" si="186">C22</f>
        <v>Aliquota 22 %</v>
      </c>
      <c r="D88" s="1048">
        <f>IF(C112=0,0,SUMIF(CASSA!AM114:AM479,"X",CASSA!CK114:CK479)+SUMIF(CASSA!AM114:AM479,"X",CASSA!CP114:CP479))</f>
        <v>0</v>
      </c>
      <c r="E88" s="746">
        <f>IF(C112=0,0,SUMIF(CASSA!AL114:AL479,"Y",CASSA!CK114:CK479)+SUMIF(CASSA!AL114:AL479,"Y",CASSA!CP114:CP479))</f>
        <v>0</v>
      </c>
      <c r="F88" s="1070" t="e">
        <f t="shared" ref="F88:G93" si="187">D88/D$85*100</f>
        <v>#DIV/0!</v>
      </c>
      <c r="G88" s="1387" t="e">
        <f t="shared" si="187"/>
        <v>#DIV/0!</v>
      </c>
      <c r="H88" s="1388" t="e">
        <f t="shared" ref="H88:H93" si="188">(D88-E88)/E88*100</f>
        <v>#DIV/0!</v>
      </c>
      <c r="I88" s="1389" t="e">
        <f t="shared" ref="I88:I93" si="189">(E88-D88)/D88*100</f>
        <v>#DIV/0!</v>
      </c>
      <c r="J88" s="32"/>
      <c r="K88" s="32"/>
      <c r="L88" s="32"/>
      <c r="N88" s="32"/>
      <c r="O88" s="1074">
        <f t="shared" ref="O88:O93" si="190">D88+E88</f>
        <v>0</v>
      </c>
      <c r="P88" s="32"/>
      <c r="Q88" s="1431">
        <f t="shared" ref="Q88:Q93" si="191">IF(AND(D88&lt;&gt;0,D88&gt;0),IF((AB$83*9)&gt;=D88,0,1),IF(AND(D88&lt;&gt;0,D88&lt;0),IF((AB$83*9)&lt;=D88,0,1),0))</f>
        <v>0</v>
      </c>
      <c r="R88" s="1431">
        <f t="shared" ref="R88:R93" si="192">IF(AND(D88&lt;&gt;0,D88&gt;0),IF((AB$83*8)&gt;=D88,0,1),IF(AND(D88&lt;&gt;0,D88&lt;0),IF((AB$83*8)&lt;=D88,0,1),0))</f>
        <v>0</v>
      </c>
      <c r="S88" s="1431">
        <f t="shared" ref="S88:S93" si="193">IF(AND(D88&lt;&gt;0,D88&gt;0),IF((AB$83*7)&gt;=D88,0,1),IF(AND(D88&lt;&gt;0,D88&lt;0),IF((AB$83*7)&lt;=D88,0,1),0))</f>
        <v>0</v>
      </c>
      <c r="T88" s="1431">
        <f t="shared" ref="T88:T93" si="194">IF(AND(D88&lt;&gt;0,D88&gt;0),IF((AB$83*6)&gt;=D88,0,1),IF(AND(D88&lt;&gt;0,D88&lt;0),IF((AB$83*6)&lt;=D88,0,1),0))</f>
        <v>0</v>
      </c>
      <c r="U88" s="1431">
        <f t="shared" ref="U88:U93" si="195">IF(AND(D88&lt;&gt;0,D88&gt;0),IF((AB$83*5)&gt;=D88,0,1),IF(AND(D88&lt;&gt;0,D88&lt;0),IF((AB$83*5)&lt;=D88,0,1),0))</f>
        <v>0</v>
      </c>
      <c r="V88" s="1431">
        <f t="shared" ref="V88:V93" si="196">IF(AND(D88&lt;&gt;0,D88&gt;0),IF((AB$83*4)&gt;=D88,0,1),IF(AND(D88&lt;&gt;0,D88&lt;0),IF((AB$83*4)&lt;=D88,0,1),0))</f>
        <v>0</v>
      </c>
      <c r="W88" s="1431">
        <f t="shared" ref="W88:W93" si="197">IF(AND(D88&lt;&gt;0,D88&gt;0),IF((AB$83*3)&gt;=D88,0,1),IF(AND(D88&lt;&gt;0,D88&lt;0),IF((AB$83*3)&lt;=D88,0,1),0))</f>
        <v>0</v>
      </c>
      <c r="X88" s="1431">
        <f t="shared" ref="X88:X93" si="198">IF(AND(D88&lt;&gt;0,D88&gt;0),IF((AB$83*2)&gt;=D88,0,1),IF(AND(D88&lt;&gt;0,D88&lt;0),IF((AB$83*2)&lt;=D88,0,1),0))</f>
        <v>0</v>
      </c>
      <c r="Y88" s="1431">
        <f t="shared" ref="Y88:Y93" si="199">IF(AND(D88&lt;&gt;0,D88&gt;0),IF((AB$83*1)&gt;=D88,0,1),IF(AND(D88&lt;&gt;0,D88&lt;0),IF((AB$83*1)&lt;=D88,0,1),0))</f>
        <v>0</v>
      </c>
      <c r="Z88" s="1431">
        <f t="shared" ref="Z88:Z93" si="200">IF(D88&lt;&gt;0,1,0)</f>
        <v>0</v>
      </c>
      <c r="AA88" s="1432"/>
      <c r="AB88" s="1431">
        <f t="shared" ref="AB88:AB93" si="201">IF(E88&lt;&gt;0,1,0)</f>
        <v>0</v>
      </c>
      <c r="AC88" s="1431">
        <f t="shared" ref="AC88:AC93" si="202">IF(AND(E88&lt;&gt;0,E88&gt;0),IF((AB$83*1)&gt;=E88,0,1),IF(AND(E88&lt;&gt;0,E88&lt;0),IF((AB$83*1)&lt;=E88,0,1),0))</f>
        <v>0</v>
      </c>
      <c r="AD88" s="1431">
        <f t="shared" ref="AD88:AD93" si="203">IF(AND(E88&lt;&gt;0,E88&gt;0),IF((AB$83*2)&gt;=E88,0,1),IF(AND(E88&lt;&gt;0,E88&lt;0),IF((AB$83*2)&lt;=E88,0,1),0))</f>
        <v>0</v>
      </c>
      <c r="AE88" s="1431">
        <f t="shared" ref="AE88:AE93" si="204">IF(AND(E88&lt;&gt;0,E88&gt;0),IF((AB$83*3)&gt;=E88,0,1),IF(AND(E88&lt;&gt;0,E88&lt;0),IF((AB$83*3)&lt;=E88,0,1),0))</f>
        <v>0</v>
      </c>
      <c r="AF88" s="1431">
        <f t="shared" ref="AF88:AF93" si="205">IF(AND(E88&lt;&gt;0,E88&gt;0),IF((AB$83*4)&gt;=E88,0,1),IF(AND(E88&lt;&gt;0,E88&lt;0),IF((AB$83*4)&lt;=E88,0,1),0))</f>
        <v>0</v>
      </c>
      <c r="AG88" s="1431">
        <f t="shared" ref="AG88:AG93" si="206">IF(AND(E88&lt;&gt;0,E88&gt;0),IF((AB$83*5)&gt;=E88,0,1),IF(AND(E88&lt;&gt;0,E88&lt;0),IF((AB$83*5)&lt;=E88,0,1),0))</f>
        <v>0</v>
      </c>
      <c r="AH88" s="1431">
        <f t="shared" ref="AH88:AH93" si="207">IF(AND(E88&lt;&gt;0,E88&gt;0),IF((AB$83*6)&gt;=E88,0,1),IF(AND(E88&lt;&gt;0,E88&lt;0),IF((AB$83*6)&lt;=E88,0,1),0))</f>
        <v>0</v>
      </c>
      <c r="AI88" s="1431">
        <f t="shared" ref="AI88:AI93" si="208">IF(AND(E88&lt;&gt;0,E88&gt;0),IF((AB$83*7)&gt;=E88,0,1),IF(AND(E88&lt;&gt;0,E88&lt;0),IF((AB$83*7)&lt;=E88,0,1),0))</f>
        <v>0</v>
      </c>
      <c r="AJ88" s="1431">
        <f t="shared" ref="AJ88:AJ93" si="209">IF(AND(E88&lt;&gt;0,E88&gt;0),IF((AB$83*8)&gt;=E88,0,1),IF(AND(E88&lt;&gt;0,E88&lt;0),IF((AB$83*8)&lt;=E88,0,1),0))</f>
        <v>0</v>
      </c>
      <c r="AK88" s="1431">
        <f t="shared" ref="AK88:AK93" si="210">IF(AND(E88&lt;&gt;0,E88&gt;0),IF((AB$83*9)&gt;=E88,0,1),IF(AND(E88&lt;&gt;0,E88&lt;0),IF((AB$83*9)&lt;=E88,0,1),0))</f>
        <v>0</v>
      </c>
      <c r="AL88" s="32"/>
      <c r="AM88" s="1431">
        <f t="shared" ref="AM88:AM93" si="211">IF(AND(BI88&lt;&gt;0,BI88&gt;0),IF((AX$83*9)&gt;=BI88,0,1),IF(AND(BI88&lt;&gt;0,BI88&lt;0),IF((AX$83*9)&lt;=BI88,0,1),0))</f>
        <v>0</v>
      </c>
      <c r="AN88" s="1431">
        <f t="shared" ref="AN88:AN93" si="212">IF(AND(BI88&lt;&gt;0,BI88&gt;0),IF((AX$83*8)&gt;=BI88,0,1),IF(AND(BI88&lt;&gt;0,BI88&lt;0),IF((AX$83*8)&lt;=BI88,0,1),0))</f>
        <v>0</v>
      </c>
      <c r="AO88" s="1431">
        <f t="shared" ref="AO88:AO93" si="213">IF(AND(BI88&lt;&gt;0,BI88&gt;0),IF((AX$83*7)&gt;=BI88,0,1),IF(AND(BI88&lt;&gt;0,BI88&lt;0),IF((AX$83*7)&lt;=BI88,0,1),0))</f>
        <v>0</v>
      </c>
      <c r="AP88" s="1431">
        <f t="shared" ref="AP88:AP93" si="214">IF(AND(BI88&lt;&gt;0,BI88&gt;0),IF((AX$83*6)&gt;=BI88,0,1),IF(AND(BI88&lt;&gt;0,BI88&lt;0),IF((AX$83*6)&lt;=BI88,0,1),0))</f>
        <v>0</v>
      </c>
      <c r="AQ88" s="1431">
        <f t="shared" ref="AQ88:AQ93" si="215">IF(AND(BI88&lt;&gt;0,BI88&gt;0),IF((AX$83*5)&gt;=BI88,0,1),IF(AND(BI88&lt;&gt;0,BI88&lt;0),IF((AX$83*5)&lt;=BI88,0,1),0))</f>
        <v>0</v>
      </c>
      <c r="AR88" s="1431">
        <f t="shared" ref="AR88:AR93" si="216">IF(AND(BI88&lt;&gt;0,BI88&gt;0),IF((AX$83*4)&gt;=BI88,0,1),IF(AND(BI88&lt;&gt;0,BI88&lt;0),IF((AX$83*4)&lt;=BI88,0,1),0))</f>
        <v>0</v>
      </c>
      <c r="AS88" s="1431">
        <f t="shared" ref="AS88:AS93" si="217">IF(AND(BI88&lt;&gt;0,BI88&gt;0),IF((AX$83*3)&gt;=BI88,0,1),IF(AND(BI88&lt;&gt;0,BI88&lt;0),IF((AX$83*3)&lt;=BI88,0,1),0))</f>
        <v>0</v>
      </c>
      <c r="AT88" s="1431">
        <f t="shared" ref="AT88:AT93" si="218">IF(AND(BI88&lt;&gt;0,BI88&gt;0),IF((AX$83*2)&gt;=BI88,0,1),IF(AND(BI88&lt;&gt;0,BI88&lt;0),IF((AX$83*2)&lt;=BI88,0,1),0))</f>
        <v>0</v>
      </c>
      <c r="AU88" s="1431">
        <f t="shared" ref="AU88:AU93" si="219">IF(AND(BI88&lt;&gt;0,BI88&gt;0),IF((AX$83*1)&gt;=BI88,0,1),IF(AND(BI88&lt;&gt;0,BI88&lt;0),IF((AX$83*1)&lt;=BI88,0,1),0))</f>
        <v>0</v>
      </c>
      <c r="AV88" s="1431">
        <f t="shared" ref="AV88:AV93" si="220">IF(BI88&lt;&gt;0,1,0)</f>
        <v>0</v>
      </c>
      <c r="AW88" s="1432"/>
      <c r="AX88" s="1431">
        <f t="shared" ref="AX88:AX93" si="221">IF(BJ88&lt;&gt;0,1,0)</f>
        <v>0</v>
      </c>
      <c r="AY88" s="1431">
        <f t="shared" ref="AY88:AY93" si="222">IF(AND(BJ88&lt;&gt;0,BJ88&gt;0),IF((AX$83*1)&gt;=BJ88,0,1),IF(AND(BJ88&lt;&gt;0,BJ88&lt;0),IF((AX$83*1)&lt;=BJ88,0,1),0))</f>
        <v>0</v>
      </c>
      <c r="AZ88" s="1431">
        <f t="shared" ref="AZ88:AZ93" si="223">IF(AND(BJ88&lt;&gt;0,BJ88&gt;0),IF((AX$83*2)&gt;=BJ88,0,1),IF(AND(BJ88&lt;&gt;0,BJ88&lt;0),IF((AX$83*2)&lt;=BJ88,0,1),0))</f>
        <v>0</v>
      </c>
      <c r="BA88" s="1431">
        <f t="shared" ref="BA88:BA93" si="224">IF(AND(BJ88&lt;&gt;0,BJ88&gt;0),IF((AX$83*3)&gt;=BJ88,0,1),IF(AND(BJ88&lt;&gt;0,BJ88&lt;0),IF((AX$83*3)&lt;=BJ88,0,1),0))</f>
        <v>0</v>
      </c>
      <c r="BB88" s="1431">
        <f t="shared" ref="BB88:BB93" si="225">IF(AND(BJ88&lt;&gt;0,BJ88&gt;0),IF((AX$83*4)&gt;=BJ88,0,1),IF(AND(BJ88&lt;&gt;0,BJ88&lt;0),IF((AX$83*4)&lt;=BJ88,0,1),0))</f>
        <v>0</v>
      </c>
      <c r="BC88" s="1431">
        <f t="shared" ref="BC88:BC93" si="226">IF(AND(BJ88&lt;&gt;0,BJ88&gt;0),IF((AX$83*5)&gt;=BJ88,0,1),IF(AND(BJ88&lt;&gt;0,BJ88&lt;0),IF((AX$83*5)&lt;=BJ88,0,1),0))</f>
        <v>0</v>
      </c>
      <c r="BD88" s="1431">
        <f t="shared" ref="BD88:BD93" si="227">IF(AND(BJ88&lt;&gt;0,BJ88&gt;0),IF((AX$83*6)&gt;=BJ88,0,1),IF(AND(BJ88&lt;&gt;0,BJ88&lt;0),IF((AX$83*6)&lt;=BJ88,0,1),0))</f>
        <v>0</v>
      </c>
      <c r="BE88" s="1431">
        <f t="shared" ref="BE88:BE93" si="228">IF(AND(BJ88&lt;&gt;0,BJ88&gt;0),IF((AX$83*7)&gt;=BJ88,0,1),IF(AND(BJ88&lt;&gt;0,BJ88&lt;0),IF((AX$83*7)&lt;=BJ88,0,1),0))</f>
        <v>0</v>
      </c>
      <c r="BF88" s="1431">
        <f t="shared" ref="BF88:BF93" si="229">IF(AND(BJ88&lt;&gt;0,BJ88&gt;0),IF((AX$83*8)&gt;=BJ88,0,1),IF(AND(BJ88&lt;&gt;0,BJ88&lt;0),IF((AX$83*8)&lt;=BJ88,0,1),0))</f>
        <v>0</v>
      </c>
      <c r="BG88" s="1431">
        <f t="shared" ref="BG88:BG93" si="230">IF(AND(BJ88&lt;&gt;0,BJ88&gt;0),IF((AX$83*9)&gt;=BJ88,0,1),IF(AND(BJ88&lt;&gt;0,BJ88&lt;0),IF((AX$83*9)&lt;=BJ88,0,1),0))</f>
        <v>0</v>
      </c>
      <c r="BH88" s="32"/>
      <c r="BI88" s="1070">
        <f t="shared" ref="BI88:BI93" si="231">IF(ISERROR(D88/O88*100),0,IF(D88&gt;=E88,ROUND(D88/O88*100,-1),100-BJ88))</f>
        <v>0</v>
      </c>
      <c r="BJ88" s="1070">
        <f t="shared" ref="BJ88:BJ93" si="232">IF(ISERROR(E88/O88*100),0,IF(E88&gt;=D88,ROUND(E88/O88*100,-1),100-BI88))</f>
        <v>0</v>
      </c>
      <c r="BK88" s="32"/>
    </row>
    <row r="89" spans="1:63" ht="19.5" customHeight="1" x14ac:dyDescent="0.2">
      <c r="A89" s="32"/>
      <c r="B89" s="32"/>
      <c r="C89" s="423" t="str">
        <f t="shared" si="186"/>
        <v>Aliquota 10 %</v>
      </c>
      <c r="D89" s="418">
        <f>IF(C112=0,0,SUMIF(CASSA!AM114:AM479,"X",CASSA!CL114:CL479)+SUMIF(CASSA!AM114:AM479,"X",CASSA!CQ114:CQ479))</f>
        <v>0</v>
      </c>
      <c r="E89" s="344">
        <f>IF(C112=0,0,SUMIF(CASSA!AL114:AL479,"Y",CASSA!CL114:CL479)+SUMIF(CASSA!AL114:AL479,"Y",CASSA!CQ114:CQ479))</f>
        <v>0</v>
      </c>
      <c r="F89" s="1070" t="e">
        <f t="shared" si="187"/>
        <v>#DIV/0!</v>
      </c>
      <c r="G89" s="1387" t="e">
        <f t="shared" si="187"/>
        <v>#DIV/0!</v>
      </c>
      <c r="H89" s="1388" t="e">
        <f t="shared" si="188"/>
        <v>#DIV/0!</v>
      </c>
      <c r="I89" s="1389" t="e">
        <f t="shared" si="189"/>
        <v>#DIV/0!</v>
      </c>
      <c r="J89" s="32"/>
      <c r="K89" s="32"/>
      <c r="L89" s="32"/>
      <c r="N89" s="32"/>
      <c r="O89" s="1074">
        <f t="shared" si="190"/>
        <v>0</v>
      </c>
      <c r="P89" s="32"/>
      <c r="Q89" s="1431">
        <f t="shared" si="191"/>
        <v>0</v>
      </c>
      <c r="R89" s="1431">
        <f t="shared" si="192"/>
        <v>0</v>
      </c>
      <c r="S89" s="1431">
        <f t="shared" si="193"/>
        <v>0</v>
      </c>
      <c r="T89" s="1431">
        <f t="shared" si="194"/>
        <v>0</v>
      </c>
      <c r="U89" s="1431">
        <f t="shared" si="195"/>
        <v>0</v>
      </c>
      <c r="V89" s="1431">
        <f t="shared" si="196"/>
        <v>0</v>
      </c>
      <c r="W89" s="1431">
        <f t="shared" si="197"/>
        <v>0</v>
      </c>
      <c r="X89" s="1431">
        <f t="shared" si="198"/>
        <v>0</v>
      </c>
      <c r="Y89" s="1431">
        <f t="shared" si="199"/>
        <v>0</v>
      </c>
      <c r="Z89" s="1431">
        <f t="shared" si="200"/>
        <v>0</v>
      </c>
      <c r="AA89" s="1432"/>
      <c r="AB89" s="1431">
        <f t="shared" si="201"/>
        <v>0</v>
      </c>
      <c r="AC89" s="1431">
        <f t="shared" si="202"/>
        <v>0</v>
      </c>
      <c r="AD89" s="1431">
        <f t="shared" si="203"/>
        <v>0</v>
      </c>
      <c r="AE89" s="1431">
        <f t="shared" si="204"/>
        <v>0</v>
      </c>
      <c r="AF89" s="1431">
        <f t="shared" si="205"/>
        <v>0</v>
      </c>
      <c r="AG89" s="1431">
        <f t="shared" si="206"/>
        <v>0</v>
      </c>
      <c r="AH89" s="1431">
        <f t="shared" si="207"/>
        <v>0</v>
      </c>
      <c r="AI89" s="1431">
        <f t="shared" si="208"/>
        <v>0</v>
      </c>
      <c r="AJ89" s="1431">
        <f t="shared" si="209"/>
        <v>0</v>
      </c>
      <c r="AK89" s="1431">
        <f t="shared" si="210"/>
        <v>0</v>
      </c>
      <c r="AL89" s="32"/>
      <c r="AM89" s="1431">
        <f t="shared" si="211"/>
        <v>0</v>
      </c>
      <c r="AN89" s="1431">
        <f t="shared" si="212"/>
        <v>0</v>
      </c>
      <c r="AO89" s="1431">
        <f t="shared" si="213"/>
        <v>0</v>
      </c>
      <c r="AP89" s="1431">
        <f t="shared" si="214"/>
        <v>0</v>
      </c>
      <c r="AQ89" s="1431">
        <f t="shared" si="215"/>
        <v>0</v>
      </c>
      <c r="AR89" s="1431">
        <f t="shared" si="216"/>
        <v>0</v>
      </c>
      <c r="AS89" s="1431">
        <f t="shared" si="217"/>
        <v>0</v>
      </c>
      <c r="AT89" s="1431">
        <f t="shared" si="218"/>
        <v>0</v>
      </c>
      <c r="AU89" s="1431">
        <f t="shared" si="219"/>
        <v>0</v>
      </c>
      <c r="AV89" s="1431">
        <f t="shared" si="220"/>
        <v>0</v>
      </c>
      <c r="AW89" s="1432"/>
      <c r="AX89" s="1431">
        <f t="shared" si="221"/>
        <v>0</v>
      </c>
      <c r="AY89" s="1431">
        <f t="shared" si="222"/>
        <v>0</v>
      </c>
      <c r="AZ89" s="1431">
        <f t="shared" si="223"/>
        <v>0</v>
      </c>
      <c r="BA89" s="1431">
        <f t="shared" si="224"/>
        <v>0</v>
      </c>
      <c r="BB89" s="1431">
        <f t="shared" si="225"/>
        <v>0</v>
      </c>
      <c r="BC89" s="1431">
        <f t="shared" si="226"/>
        <v>0</v>
      </c>
      <c r="BD89" s="1431">
        <f t="shared" si="227"/>
        <v>0</v>
      </c>
      <c r="BE89" s="1431">
        <f t="shared" si="228"/>
        <v>0</v>
      </c>
      <c r="BF89" s="1431">
        <f t="shared" si="229"/>
        <v>0</v>
      </c>
      <c r="BG89" s="1431">
        <f t="shared" si="230"/>
        <v>0</v>
      </c>
      <c r="BH89" s="32"/>
      <c r="BI89" s="1070">
        <f t="shared" si="231"/>
        <v>0</v>
      </c>
      <c r="BJ89" s="1070">
        <f t="shared" si="232"/>
        <v>0</v>
      </c>
      <c r="BK89" s="32"/>
    </row>
    <row r="90" spans="1:63" ht="19.5" customHeight="1" x14ac:dyDescent="0.2">
      <c r="A90" s="32"/>
      <c r="B90" s="32"/>
      <c r="C90" s="423" t="str">
        <f t="shared" si="186"/>
        <v>Aliquota 4 %</v>
      </c>
      <c r="D90" s="418">
        <f>IF(C112=0,0,SUMIF(CASSA!AM114:AM479,"X",CASSA!CM114:CM479)+SUMIF(CASSA!AM114:AM479,"X",CASSA!CR114:CR479))</f>
        <v>0</v>
      </c>
      <c r="E90" s="344">
        <f>IF(C112=0,0,SUMIF(CASSA!AL114:AL479,"Y",CASSA!CM114:CM479)+SUMIF(CASSA!AL114:AL479,"Y",CASSA!CR114:CR479))</f>
        <v>0</v>
      </c>
      <c r="F90" s="1070" t="e">
        <f t="shared" si="187"/>
        <v>#DIV/0!</v>
      </c>
      <c r="G90" s="1387" t="e">
        <f t="shared" si="187"/>
        <v>#DIV/0!</v>
      </c>
      <c r="H90" s="1388" t="e">
        <f t="shared" si="188"/>
        <v>#DIV/0!</v>
      </c>
      <c r="I90" s="1389" t="e">
        <f t="shared" si="189"/>
        <v>#DIV/0!</v>
      </c>
      <c r="J90" s="32"/>
      <c r="K90" s="32"/>
      <c r="L90" s="32"/>
      <c r="N90" s="32"/>
      <c r="O90" s="1074">
        <f t="shared" si="190"/>
        <v>0</v>
      </c>
      <c r="P90" s="32"/>
      <c r="Q90" s="1431">
        <f t="shared" si="191"/>
        <v>0</v>
      </c>
      <c r="R90" s="1431">
        <f t="shared" si="192"/>
        <v>0</v>
      </c>
      <c r="S90" s="1431">
        <f t="shared" si="193"/>
        <v>0</v>
      </c>
      <c r="T90" s="1431">
        <f t="shared" si="194"/>
        <v>0</v>
      </c>
      <c r="U90" s="1431">
        <f t="shared" si="195"/>
        <v>0</v>
      </c>
      <c r="V90" s="1431">
        <f t="shared" si="196"/>
        <v>0</v>
      </c>
      <c r="W90" s="1431">
        <f t="shared" si="197"/>
        <v>0</v>
      </c>
      <c r="X90" s="1431">
        <f t="shared" si="198"/>
        <v>0</v>
      </c>
      <c r="Y90" s="1431">
        <f t="shared" si="199"/>
        <v>0</v>
      </c>
      <c r="Z90" s="1431">
        <f t="shared" si="200"/>
        <v>0</v>
      </c>
      <c r="AA90" s="1432"/>
      <c r="AB90" s="1431">
        <f t="shared" si="201"/>
        <v>0</v>
      </c>
      <c r="AC90" s="1431">
        <f t="shared" si="202"/>
        <v>0</v>
      </c>
      <c r="AD90" s="1431">
        <f t="shared" si="203"/>
        <v>0</v>
      </c>
      <c r="AE90" s="1431">
        <f t="shared" si="204"/>
        <v>0</v>
      </c>
      <c r="AF90" s="1431">
        <f t="shared" si="205"/>
        <v>0</v>
      </c>
      <c r="AG90" s="1431">
        <f t="shared" si="206"/>
        <v>0</v>
      </c>
      <c r="AH90" s="1431">
        <f t="shared" si="207"/>
        <v>0</v>
      </c>
      <c r="AI90" s="1431">
        <f t="shared" si="208"/>
        <v>0</v>
      </c>
      <c r="AJ90" s="1431">
        <f t="shared" si="209"/>
        <v>0</v>
      </c>
      <c r="AK90" s="1431">
        <f t="shared" si="210"/>
        <v>0</v>
      </c>
      <c r="AL90" s="32"/>
      <c r="AM90" s="1431">
        <f t="shared" si="211"/>
        <v>0</v>
      </c>
      <c r="AN90" s="1431">
        <f t="shared" si="212"/>
        <v>0</v>
      </c>
      <c r="AO90" s="1431">
        <f t="shared" si="213"/>
        <v>0</v>
      </c>
      <c r="AP90" s="1431">
        <f t="shared" si="214"/>
        <v>0</v>
      </c>
      <c r="AQ90" s="1431">
        <f t="shared" si="215"/>
        <v>0</v>
      </c>
      <c r="AR90" s="1431">
        <f t="shared" si="216"/>
        <v>0</v>
      </c>
      <c r="AS90" s="1431">
        <f t="shared" si="217"/>
        <v>0</v>
      </c>
      <c r="AT90" s="1431">
        <f t="shared" si="218"/>
        <v>0</v>
      </c>
      <c r="AU90" s="1431">
        <f t="shared" si="219"/>
        <v>0</v>
      </c>
      <c r="AV90" s="1431">
        <f t="shared" si="220"/>
        <v>0</v>
      </c>
      <c r="AW90" s="1432"/>
      <c r="AX90" s="1431">
        <f t="shared" si="221"/>
        <v>0</v>
      </c>
      <c r="AY90" s="1431">
        <f t="shared" si="222"/>
        <v>0</v>
      </c>
      <c r="AZ90" s="1431">
        <f t="shared" si="223"/>
        <v>0</v>
      </c>
      <c r="BA90" s="1431">
        <f t="shared" si="224"/>
        <v>0</v>
      </c>
      <c r="BB90" s="1431">
        <f t="shared" si="225"/>
        <v>0</v>
      </c>
      <c r="BC90" s="1431">
        <f t="shared" si="226"/>
        <v>0</v>
      </c>
      <c r="BD90" s="1431">
        <f t="shared" si="227"/>
        <v>0</v>
      </c>
      <c r="BE90" s="1431">
        <f t="shared" si="228"/>
        <v>0</v>
      </c>
      <c r="BF90" s="1431">
        <f t="shared" si="229"/>
        <v>0</v>
      </c>
      <c r="BG90" s="1431">
        <f t="shared" si="230"/>
        <v>0</v>
      </c>
      <c r="BH90" s="32"/>
      <c r="BI90" s="1070">
        <f t="shared" si="231"/>
        <v>0</v>
      </c>
      <c r="BJ90" s="1070">
        <f t="shared" si="232"/>
        <v>0</v>
      </c>
      <c r="BK90" s="32"/>
    </row>
    <row r="91" spans="1:63" ht="19.5" customHeight="1" x14ac:dyDescent="0.2">
      <c r="A91" s="32"/>
      <c r="B91" s="32"/>
      <c r="C91" s="430" t="str">
        <f t="shared" si="186"/>
        <v/>
      </c>
      <c r="D91" s="420">
        <f>IF(C112=0,0,SUMIF(CASSA!AM114:AM479,"X",CASSA!CN114:CN479)+SUMIF(CASSA!AM114:AM479,"X",CASSA!CS114:CS479))</f>
        <v>0</v>
      </c>
      <c r="E91" s="347">
        <f>IF(C112=0,0,SUMIF(CASSA!AL114:AL479,"Y",CASSA!CN114:CN479)+SUMIF(CASSA!AL114:AL479,"Y",CASSA!CS114:CS479))</f>
        <v>0</v>
      </c>
      <c r="F91" s="1070" t="e">
        <f t="shared" si="187"/>
        <v>#DIV/0!</v>
      </c>
      <c r="G91" s="1387" t="e">
        <f t="shared" si="187"/>
        <v>#DIV/0!</v>
      </c>
      <c r="H91" s="1388" t="e">
        <f t="shared" si="188"/>
        <v>#DIV/0!</v>
      </c>
      <c r="I91" s="1389" t="e">
        <f t="shared" si="189"/>
        <v>#DIV/0!</v>
      </c>
      <c r="J91" s="32"/>
      <c r="K91" s="32"/>
      <c r="L91" s="32"/>
      <c r="N91" s="32"/>
      <c r="O91" s="1074">
        <f t="shared" si="190"/>
        <v>0</v>
      </c>
      <c r="P91" s="32"/>
      <c r="Q91" s="1431">
        <f t="shared" si="191"/>
        <v>0</v>
      </c>
      <c r="R91" s="1431">
        <f t="shared" si="192"/>
        <v>0</v>
      </c>
      <c r="S91" s="1431">
        <f t="shared" si="193"/>
        <v>0</v>
      </c>
      <c r="T91" s="1431">
        <f t="shared" si="194"/>
        <v>0</v>
      </c>
      <c r="U91" s="1431">
        <f t="shared" si="195"/>
        <v>0</v>
      </c>
      <c r="V91" s="1431">
        <f t="shared" si="196"/>
        <v>0</v>
      </c>
      <c r="W91" s="1431">
        <f t="shared" si="197"/>
        <v>0</v>
      </c>
      <c r="X91" s="1431">
        <f t="shared" si="198"/>
        <v>0</v>
      </c>
      <c r="Y91" s="1431">
        <f t="shared" si="199"/>
        <v>0</v>
      </c>
      <c r="Z91" s="1431">
        <f t="shared" si="200"/>
        <v>0</v>
      </c>
      <c r="AA91" s="1432"/>
      <c r="AB91" s="1431">
        <f t="shared" si="201"/>
        <v>0</v>
      </c>
      <c r="AC91" s="1431">
        <f t="shared" si="202"/>
        <v>0</v>
      </c>
      <c r="AD91" s="1431">
        <f t="shared" si="203"/>
        <v>0</v>
      </c>
      <c r="AE91" s="1431">
        <f t="shared" si="204"/>
        <v>0</v>
      </c>
      <c r="AF91" s="1431">
        <f t="shared" si="205"/>
        <v>0</v>
      </c>
      <c r="AG91" s="1431">
        <f t="shared" si="206"/>
        <v>0</v>
      </c>
      <c r="AH91" s="1431">
        <f t="shared" si="207"/>
        <v>0</v>
      </c>
      <c r="AI91" s="1431">
        <f t="shared" si="208"/>
        <v>0</v>
      </c>
      <c r="AJ91" s="1431">
        <f t="shared" si="209"/>
        <v>0</v>
      </c>
      <c r="AK91" s="1431">
        <f t="shared" si="210"/>
        <v>0</v>
      </c>
      <c r="AL91" s="32"/>
      <c r="AM91" s="1431">
        <f t="shared" si="211"/>
        <v>0</v>
      </c>
      <c r="AN91" s="1431">
        <f t="shared" si="212"/>
        <v>0</v>
      </c>
      <c r="AO91" s="1431">
        <f t="shared" si="213"/>
        <v>0</v>
      </c>
      <c r="AP91" s="1431">
        <f t="shared" si="214"/>
        <v>0</v>
      </c>
      <c r="AQ91" s="1431">
        <f t="shared" si="215"/>
        <v>0</v>
      </c>
      <c r="AR91" s="1431">
        <f t="shared" si="216"/>
        <v>0</v>
      </c>
      <c r="AS91" s="1431">
        <f t="shared" si="217"/>
        <v>0</v>
      </c>
      <c r="AT91" s="1431">
        <f t="shared" si="218"/>
        <v>0</v>
      </c>
      <c r="AU91" s="1431">
        <f t="shared" si="219"/>
        <v>0</v>
      </c>
      <c r="AV91" s="1431">
        <f t="shared" si="220"/>
        <v>0</v>
      </c>
      <c r="AW91" s="1432"/>
      <c r="AX91" s="1431">
        <f t="shared" si="221"/>
        <v>0</v>
      </c>
      <c r="AY91" s="1431">
        <f t="shared" si="222"/>
        <v>0</v>
      </c>
      <c r="AZ91" s="1431">
        <f t="shared" si="223"/>
        <v>0</v>
      </c>
      <c r="BA91" s="1431">
        <f t="shared" si="224"/>
        <v>0</v>
      </c>
      <c r="BB91" s="1431">
        <f t="shared" si="225"/>
        <v>0</v>
      </c>
      <c r="BC91" s="1431">
        <f t="shared" si="226"/>
        <v>0</v>
      </c>
      <c r="BD91" s="1431">
        <f t="shared" si="227"/>
        <v>0</v>
      </c>
      <c r="BE91" s="1431">
        <f t="shared" si="228"/>
        <v>0</v>
      </c>
      <c r="BF91" s="1431">
        <f t="shared" si="229"/>
        <v>0</v>
      </c>
      <c r="BG91" s="1431">
        <f t="shared" si="230"/>
        <v>0</v>
      </c>
      <c r="BH91" s="32"/>
      <c r="BI91" s="1070">
        <f t="shared" si="231"/>
        <v>0</v>
      </c>
      <c r="BJ91" s="1070">
        <f t="shared" si="232"/>
        <v>0</v>
      </c>
      <c r="BK91" s="32"/>
    </row>
    <row r="92" spans="1:63" ht="19.5" hidden="1" customHeight="1" x14ac:dyDescent="0.2">
      <c r="A92" s="32"/>
      <c r="B92" s="32"/>
      <c r="C92" s="421" t="str">
        <f t="shared" si="186"/>
        <v>IVA Ventilata</v>
      </c>
      <c r="D92" s="420">
        <f>IF(C112=0,0,SUMIF(CASSA!AM114:AM479,"X",CASSA!CT114:CT479))</f>
        <v>0</v>
      </c>
      <c r="E92" s="347">
        <f>IF(C112=0,0,SUMIF(CASSA!AL114:AL479,"Y",CASSA!CT114:CT479))</f>
        <v>0</v>
      </c>
      <c r="F92" s="1070" t="e">
        <f t="shared" si="187"/>
        <v>#DIV/0!</v>
      </c>
      <c r="G92" s="1387" t="e">
        <f t="shared" si="187"/>
        <v>#DIV/0!</v>
      </c>
      <c r="H92" s="1388" t="e">
        <f t="shared" si="188"/>
        <v>#DIV/0!</v>
      </c>
      <c r="I92" s="1389" t="e">
        <f t="shared" si="189"/>
        <v>#DIV/0!</v>
      </c>
      <c r="J92" s="32"/>
      <c r="K92" s="32"/>
      <c r="L92" s="32"/>
      <c r="N92" s="32"/>
      <c r="O92" s="1074">
        <f t="shared" si="190"/>
        <v>0</v>
      </c>
      <c r="P92" s="32"/>
      <c r="Q92" s="1431">
        <f t="shared" si="191"/>
        <v>0</v>
      </c>
      <c r="R92" s="1431">
        <f t="shared" si="192"/>
        <v>0</v>
      </c>
      <c r="S92" s="1431">
        <f t="shared" si="193"/>
        <v>0</v>
      </c>
      <c r="T92" s="1431">
        <f t="shared" si="194"/>
        <v>0</v>
      </c>
      <c r="U92" s="1431">
        <f t="shared" si="195"/>
        <v>0</v>
      </c>
      <c r="V92" s="1431">
        <f t="shared" si="196"/>
        <v>0</v>
      </c>
      <c r="W92" s="1431">
        <f t="shared" si="197"/>
        <v>0</v>
      </c>
      <c r="X92" s="1431">
        <f t="shared" si="198"/>
        <v>0</v>
      </c>
      <c r="Y92" s="1431">
        <f t="shared" si="199"/>
        <v>0</v>
      </c>
      <c r="Z92" s="1431">
        <f t="shared" si="200"/>
        <v>0</v>
      </c>
      <c r="AA92" s="1432"/>
      <c r="AB92" s="1431">
        <f t="shared" si="201"/>
        <v>0</v>
      </c>
      <c r="AC92" s="1431">
        <f t="shared" si="202"/>
        <v>0</v>
      </c>
      <c r="AD92" s="1431">
        <f t="shared" si="203"/>
        <v>0</v>
      </c>
      <c r="AE92" s="1431">
        <f t="shared" si="204"/>
        <v>0</v>
      </c>
      <c r="AF92" s="1431">
        <f t="shared" si="205"/>
        <v>0</v>
      </c>
      <c r="AG92" s="1431">
        <f t="shared" si="206"/>
        <v>0</v>
      </c>
      <c r="AH92" s="1431">
        <f t="shared" si="207"/>
        <v>0</v>
      </c>
      <c r="AI92" s="1431">
        <f t="shared" si="208"/>
        <v>0</v>
      </c>
      <c r="AJ92" s="1431">
        <f t="shared" si="209"/>
        <v>0</v>
      </c>
      <c r="AK92" s="1431">
        <f t="shared" si="210"/>
        <v>0</v>
      </c>
      <c r="AL92" s="32"/>
      <c r="AM92" s="1431">
        <f t="shared" si="211"/>
        <v>0</v>
      </c>
      <c r="AN92" s="1431">
        <f t="shared" si="212"/>
        <v>0</v>
      </c>
      <c r="AO92" s="1431">
        <f t="shared" si="213"/>
        <v>0</v>
      </c>
      <c r="AP92" s="1431">
        <f t="shared" si="214"/>
        <v>0</v>
      </c>
      <c r="AQ92" s="1431">
        <f t="shared" si="215"/>
        <v>0</v>
      </c>
      <c r="AR92" s="1431">
        <f t="shared" si="216"/>
        <v>0</v>
      </c>
      <c r="AS92" s="1431">
        <f t="shared" si="217"/>
        <v>0</v>
      </c>
      <c r="AT92" s="1431">
        <f t="shared" si="218"/>
        <v>0</v>
      </c>
      <c r="AU92" s="1431">
        <f t="shared" si="219"/>
        <v>0</v>
      </c>
      <c r="AV92" s="1431">
        <f t="shared" si="220"/>
        <v>0</v>
      </c>
      <c r="AW92" s="1432"/>
      <c r="AX92" s="1431">
        <f t="shared" si="221"/>
        <v>0</v>
      </c>
      <c r="AY92" s="1431">
        <f t="shared" si="222"/>
        <v>0</v>
      </c>
      <c r="AZ92" s="1431">
        <f t="shared" si="223"/>
        <v>0</v>
      </c>
      <c r="BA92" s="1431">
        <f t="shared" si="224"/>
        <v>0</v>
      </c>
      <c r="BB92" s="1431">
        <f t="shared" si="225"/>
        <v>0</v>
      </c>
      <c r="BC92" s="1431">
        <f t="shared" si="226"/>
        <v>0</v>
      </c>
      <c r="BD92" s="1431">
        <f t="shared" si="227"/>
        <v>0</v>
      </c>
      <c r="BE92" s="1431">
        <f t="shared" si="228"/>
        <v>0</v>
      </c>
      <c r="BF92" s="1431">
        <f t="shared" si="229"/>
        <v>0</v>
      </c>
      <c r="BG92" s="1431">
        <f t="shared" si="230"/>
        <v>0</v>
      </c>
      <c r="BH92" s="32"/>
      <c r="BI92" s="1070">
        <f t="shared" si="231"/>
        <v>0</v>
      </c>
      <c r="BJ92" s="1070">
        <f t="shared" si="232"/>
        <v>0</v>
      </c>
      <c r="BK92" s="32"/>
    </row>
    <row r="93" spans="1:63" ht="19.5" customHeight="1" x14ac:dyDescent="0.2">
      <c r="A93" s="32"/>
      <c r="B93" s="32"/>
      <c r="C93" s="421" t="str">
        <f t="shared" si="186"/>
        <v>IVA a DEBITO</v>
      </c>
      <c r="D93" s="1067">
        <f>SUM(D88:D92)</f>
        <v>0</v>
      </c>
      <c r="E93" s="748">
        <f>SUM(E88:E92)</f>
        <v>0</v>
      </c>
      <c r="F93" s="784" t="e">
        <f t="shared" si="187"/>
        <v>#DIV/0!</v>
      </c>
      <c r="G93" s="785" t="e">
        <f t="shared" si="187"/>
        <v>#DIV/0!</v>
      </c>
      <c r="H93" s="786" t="e">
        <f t="shared" si="188"/>
        <v>#DIV/0!</v>
      </c>
      <c r="I93" s="787" t="e">
        <f t="shared" si="189"/>
        <v>#DIV/0!</v>
      </c>
      <c r="J93" s="32"/>
      <c r="K93" s="32"/>
      <c r="L93" s="32"/>
      <c r="N93" s="32"/>
      <c r="O93" s="1076">
        <f t="shared" si="190"/>
        <v>0</v>
      </c>
      <c r="P93" s="32"/>
      <c r="Q93" s="1431">
        <f t="shared" si="191"/>
        <v>0</v>
      </c>
      <c r="R93" s="1431">
        <f t="shared" si="192"/>
        <v>0</v>
      </c>
      <c r="S93" s="1431">
        <f t="shared" si="193"/>
        <v>0</v>
      </c>
      <c r="T93" s="1431">
        <f t="shared" si="194"/>
        <v>0</v>
      </c>
      <c r="U93" s="1431">
        <f t="shared" si="195"/>
        <v>0</v>
      </c>
      <c r="V93" s="1431">
        <f t="shared" si="196"/>
        <v>0</v>
      </c>
      <c r="W93" s="1431">
        <f t="shared" si="197"/>
        <v>0</v>
      </c>
      <c r="X93" s="1431">
        <f t="shared" si="198"/>
        <v>0</v>
      </c>
      <c r="Y93" s="1431">
        <f t="shared" si="199"/>
        <v>0</v>
      </c>
      <c r="Z93" s="1431">
        <f t="shared" si="200"/>
        <v>0</v>
      </c>
      <c r="AA93" s="1432"/>
      <c r="AB93" s="1431">
        <f t="shared" si="201"/>
        <v>0</v>
      </c>
      <c r="AC93" s="1431">
        <f t="shared" si="202"/>
        <v>0</v>
      </c>
      <c r="AD93" s="1431">
        <f t="shared" si="203"/>
        <v>0</v>
      </c>
      <c r="AE93" s="1431">
        <f t="shared" si="204"/>
        <v>0</v>
      </c>
      <c r="AF93" s="1431">
        <f t="shared" si="205"/>
        <v>0</v>
      </c>
      <c r="AG93" s="1431">
        <f t="shared" si="206"/>
        <v>0</v>
      </c>
      <c r="AH93" s="1431">
        <f t="shared" si="207"/>
        <v>0</v>
      </c>
      <c r="AI93" s="1431">
        <f t="shared" si="208"/>
        <v>0</v>
      </c>
      <c r="AJ93" s="1431">
        <f t="shared" si="209"/>
        <v>0</v>
      </c>
      <c r="AK93" s="1431">
        <f t="shared" si="210"/>
        <v>0</v>
      </c>
      <c r="AL93" s="32"/>
      <c r="AM93" s="1431">
        <f t="shared" si="211"/>
        <v>0</v>
      </c>
      <c r="AN93" s="1431">
        <f t="shared" si="212"/>
        <v>0</v>
      </c>
      <c r="AO93" s="1431">
        <f t="shared" si="213"/>
        <v>0</v>
      </c>
      <c r="AP93" s="1431">
        <f t="shared" si="214"/>
        <v>0</v>
      </c>
      <c r="AQ93" s="1431">
        <f t="shared" si="215"/>
        <v>0</v>
      </c>
      <c r="AR93" s="1431">
        <f t="shared" si="216"/>
        <v>0</v>
      </c>
      <c r="AS93" s="1431">
        <f t="shared" si="217"/>
        <v>0</v>
      </c>
      <c r="AT93" s="1431">
        <f t="shared" si="218"/>
        <v>0</v>
      </c>
      <c r="AU93" s="1431">
        <f t="shared" si="219"/>
        <v>0</v>
      </c>
      <c r="AV93" s="1431">
        <f t="shared" si="220"/>
        <v>0</v>
      </c>
      <c r="AW93" s="1432"/>
      <c r="AX93" s="1431">
        <f t="shared" si="221"/>
        <v>0</v>
      </c>
      <c r="AY93" s="1431">
        <f t="shared" si="222"/>
        <v>0</v>
      </c>
      <c r="AZ93" s="1431">
        <f t="shared" si="223"/>
        <v>0</v>
      </c>
      <c r="BA93" s="1431">
        <f t="shared" si="224"/>
        <v>0</v>
      </c>
      <c r="BB93" s="1431">
        <f t="shared" si="225"/>
        <v>0</v>
      </c>
      <c r="BC93" s="1431">
        <f t="shared" si="226"/>
        <v>0</v>
      </c>
      <c r="BD93" s="1431">
        <f t="shared" si="227"/>
        <v>0</v>
      </c>
      <c r="BE93" s="1431">
        <f t="shared" si="228"/>
        <v>0</v>
      </c>
      <c r="BF93" s="1431">
        <f t="shared" si="229"/>
        <v>0</v>
      </c>
      <c r="BG93" s="1431">
        <f t="shared" si="230"/>
        <v>0</v>
      </c>
      <c r="BH93" s="32"/>
      <c r="BI93" s="1070">
        <f t="shared" si="231"/>
        <v>0</v>
      </c>
      <c r="BJ93" s="1070">
        <f t="shared" si="232"/>
        <v>0</v>
      </c>
      <c r="BK93" s="32"/>
    </row>
    <row r="94" spans="1:63" ht="19.5" customHeight="1" x14ac:dyDescent="0.2">
      <c r="A94" s="32"/>
      <c r="B94" s="32"/>
      <c r="C94" s="460"/>
      <c r="D94" s="490" t="e">
        <f>D85/SUM(D85:E85)*100</f>
        <v>#DIV/0!</v>
      </c>
      <c r="E94" s="490" t="e">
        <f>E85/SUM(D85:E85)*100</f>
        <v>#DIV/0!</v>
      </c>
      <c r="F94" s="39"/>
      <c r="G94" s="32"/>
      <c r="H94" s="32"/>
      <c r="I94" s="32"/>
      <c r="J94" s="123"/>
      <c r="K94" s="123"/>
      <c r="L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c r="BI94" s="32"/>
      <c r="BJ94" s="32"/>
      <c r="BK94" s="32"/>
    </row>
    <row r="95" spans="1:63" ht="33.75" customHeight="1" x14ac:dyDescent="0.2">
      <c r="A95" s="32"/>
      <c r="B95" s="32"/>
      <c r="C95" s="443"/>
      <c r="D95" s="443"/>
      <c r="E95" s="443"/>
      <c r="F95" s="65"/>
      <c r="G95" s="32"/>
      <c r="H95" s="32"/>
      <c r="I95" s="162"/>
      <c r="J95" s="162"/>
      <c r="K95" s="32"/>
      <c r="L95" s="123"/>
      <c r="M95" s="777"/>
      <c r="N95" s="777"/>
      <c r="O95" s="777"/>
      <c r="P95" s="54"/>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row>
    <row r="96" spans="1:63" ht="18" customHeight="1" x14ac:dyDescent="0.2">
      <c r="A96" s="123"/>
      <c r="B96" s="476"/>
      <c r="C96" s="2588" t="e">
        <f>C69</f>
        <v>#N/A</v>
      </c>
      <c r="D96" s="2588"/>
      <c r="E96" s="2588"/>
      <c r="F96" s="2588"/>
      <c r="G96" s="2588"/>
      <c r="H96" s="2588"/>
      <c r="I96" s="2588"/>
      <c r="J96" s="477"/>
      <c r="K96" s="476"/>
      <c r="L96" s="123"/>
      <c r="M96" s="777"/>
      <c r="N96" s="777"/>
      <c r="O96" s="777"/>
      <c r="P96" s="54"/>
      <c r="Q96" s="476"/>
      <c r="R96" s="476"/>
      <c r="S96" s="476"/>
      <c r="T96" s="476"/>
      <c r="U96" s="476"/>
      <c r="V96" s="476"/>
      <c r="W96" s="476"/>
      <c r="X96" s="476"/>
      <c r="Y96" s="476"/>
      <c r="Z96" s="476"/>
      <c r="AA96" s="476"/>
      <c r="AB96" s="476"/>
      <c r="AC96" s="476"/>
      <c r="AD96" s="476"/>
      <c r="AE96" s="476"/>
      <c r="AF96" s="476"/>
      <c r="AG96" s="476"/>
      <c r="AH96" s="476"/>
      <c r="AI96" s="476"/>
      <c r="AJ96" s="476"/>
      <c r="AK96" s="476"/>
      <c r="AL96" s="476"/>
      <c r="AM96" s="476"/>
      <c r="AN96" s="476"/>
      <c r="AO96" s="476"/>
      <c r="AP96" s="476"/>
      <c r="AQ96" s="476"/>
      <c r="AR96" s="476"/>
      <c r="AS96" s="476"/>
      <c r="AT96" s="476"/>
      <c r="AU96" s="476"/>
      <c r="AV96" s="476"/>
      <c r="AW96" s="476"/>
      <c r="AX96" s="476"/>
      <c r="AY96" s="476"/>
      <c r="AZ96" s="476"/>
      <c r="BA96" s="476"/>
      <c r="BB96" s="476"/>
      <c r="BC96" s="476"/>
      <c r="BD96" s="476"/>
      <c r="BE96" s="476"/>
      <c r="BF96" s="476"/>
      <c r="BG96" s="476"/>
      <c r="BH96" s="476"/>
    </row>
    <row r="97" spans="1:60" ht="22.5" customHeight="1" x14ac:dyDescent="0.2">
      <c r="A97" s="32"/>
      <c r="B97" s="32"/>
      <c r="C97" s="32"/>
      <c r="D97" s="32"/>
      <c r="E97" s="32"/>
      <c r="F97" s="65"/>
      <c r="G97" s="32"/>
      <c r="H97" s="32"/>
      <c r="I97" s="162"/>
      <c r="J97" s="162"/>
      <c r="K97" s="32"/>
      <c r="L97" s="123"/>
      <c r="M97" s="777"/>
      <c r="N97" s="777"/>
      <c r="O97" s="777"/>
      <c r="P97" s="54"/>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row>
    <row r="98" spans="1:60" ht="22.5" customHeight="1" x14ac:dyDescent="0.2">
      <c r="A98" s="32"/>
      <c r="B98" s="810" t="s">
        <v>222</v>
      </c>
      <c r="C98" s="2587"/>
      <c r="D98" s="2587"/>
      <c r="E98" s="2587"/>
      <c r="F98" s="2587"/>
      <c r="G98" s="2587"/>
      <c r="H98" s="2587"/>
      <c r="I98" s="2587"/>
      <c r="J98" s="162"/>
      <c r="K98" s="32"/>
      <c r="L98" s="123"/>
      <c r="M98" s="777"/>
      <c r="N98" s="777"/>
      <c r="O98" s="777"/>
      <c r="P98" s="54"/>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row>
    <row r="99" spans="1:60" ht="22.5" customHeight="1" x14ac:dyDescent="0.2">
      <c r="A99" s="32"/>
      <c r="B99" s="123"/>
      <c r="C99" s="2587"/>
      <c r="D99" s="2587"/>
      <c r="E99" s="2587"/>
      <c r="F99" s="2587"/>
      <c r="G99" s="2587"/>
      <c r="H99" s="2587"/>
      <c r="I99" s="2587"/>
      <c r="J99" s="162"/>
      <c r="K99" s="32"/>
      <c r="L99" s="123"/>
      <c r="M99" s="777"/>
      <c r="N99" s="777"/>
      <c r="O99" s="777"/>
      <c r="P99" s="54"/>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row>
    <row r="100" spans="1:60" ht="22.5" customHeight="1" x14ac:dyDescent="0.2">
      <c r="A100" s="32"/>
      <c r="B100" s="123"/>
      <c r="C100" s="2587"/>
      <c r="D100" s="2587"/>
      <c r="E100" s="2587"/>
      <c r="F100" s="2587"/>
      <c r="G100" s="2587"/>
      <c r="H100" s="2587"/>
      <c r="I100" s="2587"/>
      <c r="J100" s="162"/>
      <c r="K100" s="32"/>
      <c r="L100" s="123"/>
      <c r="M100" s="777"/>
      <c r="N100" s="777"/>
      <c r="O100" s="777"/>
      <c r="P100" s="54"/>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row>
    <row r="101" spans="1:60" ht="22.5" customHeight="1" x14ac:dyDescent="0.2">
      <c r="A101" s="32"/>
      <c r="B101" s="123"/>
      <c r="C101" s="2587"/>
      <c r="D101" s="2587"/>
      <c r="E101" s="2587"/>
      <c r="F101" s="2587"/>
      <c r="G101" s="2587"/>
      <c r="H101" s="2587"/>
      <c r="I101" s="2587"/>
      <c r="J101" s="162"/>
      <c r="K101" s="32"/>
      <c r="L101" s="123"/>
      <c r="M101" s="777"/>
      <c r="N101" s="777"/>
      <c r="O101" s="777"/>
      <c r="P101" s="54"/>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row>
    <row r="102" spans="1:60" ht="22.5" customHeight="1" x14ac:dyDescent="0.2">
      <c r="A102" s="32"/>
      <c r="B102" s="123"/>
      <c r="C102" s="2587"/>
      <c r="D102" s="2587"/>
      <c r="E102" s="2587"/>
      <c r="F102" s="2587"/>
      <c r="G102" s="2587"/>
      <c r="H102" s="2587"/>
      <c r="I102" s="2587"/>
      <c r="J102" s="162"/>
      <c r="K102" s="32"/>
      <c r="L102" s="123"/>
      <c r="M102" s="777"/>
      <c r="N102" s="777"/>
      <c r="O102" s="777"/>
      <c r="P102" s="54"/>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row>
    <row r="103" spans="1:60" ht="22.5" customHeight="1" x14ac:dyDescent="0.2">
      <c r="A103" s="32"/>
      <c r="B103" s="123"/>
      <c r="C103" s="2587"/>
      <c r="D103" s="2587"/>
      <c r="E103" s="2587"/>
      <c r="F103" s="2587"/>
      <c r="G103" s="2587"/>
      <c r="H103" s="2587"/>
      <c r="I103" s="2587"/>
      <c r="J103" s="162"/>
      <c r="K103" s="32"/>
      <c r="L103" s="123"/>
      <c r="M103" s="777"/>
      <c r="N103" s="777"/>
      <c r="O103" s="777"/>
      <c r="P103" s="54"/>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row>
    <row r="104" spans="1:60" ht="22.5" customHeight="1" x14ac:dyDescent="0.2">
      <c r="A104" s="32"/>
      <c r="B104" s="123"/>
      <c r="C104" s="2587"/>
      <c r="D104" s="2587"/>
      <c r="E104" s="2587"/>
      <c r="F104" s="2587"/>
      <c r="G104" s="2587"/>
      <c r="H104" s="2587"/>
      <c r="I104" s="2587"/>
      <c r="J104" s="162"/>
      <c r="K104" s="32"/>
      <c r="L104" s="123"/>
      <c r="M104" s="777"/>
      <c r="N104" s="777"/>
      <c r="O104" s="777"/>
      <c r="P104" s="54"/>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row>
    <row r="105" spans="1:60" ht="33.75" customHeight="1" x14ac:dyDescent="0.2">
      <c r="A105" s="32"/>
      <c r="B105" s="32"/>
      <c r="C105" s="466"/>
      <c r="D105" s="483"/>
      <c r="E105" s="483"/>
      <c r="F105" s="483"/>
      <c r="G105" s="483"/>
      <c r="H105" s="499"/>
      <c r="I105" s="444"/>
      <c r="J105" s="500"/>
      <c r="K105" s="630"/>
      <c r="L105" s="123"/>
      <c r="M105" s="777"/>
      <c r="N105" s="777"/>
      <c r="O105" s="54"/>
      <c r="P105" s="54"/>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row>
    <row r="106" spans="1:60" ht="18" customHeight="1" x14ac:dyDescent="0.2">
      <c r="A106" s="32"/>
      <c r="B106" s="32"/>
      <c r="C106" s="466"/>
      <c r="D106" s="483"/>
      <c r="E106" s="483"/>
      <c r="F106" s="483"/>
      <c r="G106" s="483"/>
      <c r="H106" s="499"/>
      <c r="I106" s="32"/>
      <c r="J106" s="500"/>
      <c r="K106" s="630"/>
      <c r="L106" s="123"/>
      <c r="M106" s="777"/>
      <c r="N106" s="777"/>
      <c r="O106" s="54"/>
      <c r="P106" s="54"/>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633" t="str">
        <f ca="1">BH79</f>
        <v/>
      </c>
    </row>
    <row r="107" spans="1:60" ht="18" customHeight="1" x14ac:dyDescent="0.2">
      <c r="A107" s="32"/>
      <c r="B107" s="811" t="str">
        <f>B80</f>
        <v>www.marcopiccoli.it   -   Registro dei Corrispettivi 5.2.4 3txt - per EXCEL .xlsm</v>
      </c>
      <c r="C107" s="466"/>
      <c r="D107" s="483"/>
      <c r="E107" s="483"/>
      <c r="F107" s="483"/>
      <c r="G107" s="483"/>
      <c r="H107" s="499"/>
      <c r="I107" s="32"/>
      <c r="J107" s="500"/>
      <c r="K107" s="630"/>
      <c r="L107" s="123"/>
      <c r="M107" s="777"/>
      <c r="N107" s="777"/>
      <c r="O107" s="54"/>
      <c r="P107" s="54"/>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812" t="str">
        <f ca="1">BH80</f>
        <v>Sistema parzialmente attivato. Inserisci il tuo CODICE di PROPRIETA' nel foglio Presentazione.</v>
      </c>
    </row>
    <row r="108" spans="1:60" ht="18" hidden="1" customHeight="1" x14ac:dyDescent="0.2">
      <c r="A108" s="32"/>
      <c r="B108" s="123"/>
      <c r="C108" s="123"/>
      <c r="D108" s="123"/>
      <c r="E108" s="123"/>
      <c r="F108" s="65"/>
      <c r="G108" s="123"/>
      <c r="H108" s="123"/>
      <c r="I108" s="162"/>
      <c r="J108" s="162"/>
      <c r="K108" s="32"/>
      <c r="L108" s="123"/>
      <c r="M108" s="777"/>
      <c r="N108" s="777"/>
      <c r="O108" s="777"/>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row>
    <row r="109" spans="1:60" ht="18" hidden="1" customHeight="1" x14ac:dyDescent="0.2">
      <c r="A109" s="32"/>
      <c r="B109" s="32"/>
      <c r="C109" s="32"/>
      <c r="D109" s="32"/>
      <c r="E109" s="32"/>
      <c r="F109" s="65"/>
      <c r="G109" s="32"/>
      <c r="H109" s="32"/>
      <c r="I109" s="162"/>
      <c r="J109" s="162"/>
      <c r="K109" s="32"/>
      <c r="L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row>
    <row r="110" spans="1:60" hidden="1" x14ac:dyDescent="0.2">
      <c r="A110" s="32"/>
      <c r="B110" s="32"/>
      <c r="C110" s="32"/>
      <c r="D110" s="32"/>
      <c r="E110" s="32"/>
      <c r="F110" s="2593"/>
      <c r="G110" s="2593"/>
      <c r="H110" s="32"/>
      <c r="I110" s="32"/>
      <c r="J110" s="32"/>
      <c r="K110" s="32"/>
      <c r="L110" s="32"/>
      <c r="M110" s="32"/>
      <c r="N110" s="32"/>
      <c r="O110" s="32"/>
    </row>
    <row r="111" spans="1:60" hidden="1" x14ac:dyDescent="0.2">
      <c r="A111" s="32"/>
      <c r="B111" s="32"/>
      <c r="C111" s="32"/>
      <c r="D111" s="32"/>
      <c r="E111" s="32"/>
      <c r="F111" s="32"/>
      <c r="G111" s="32"/>
      <c r="H111" s="149" t="s">
        <v>542</v>
      </c>
      <c r="I111" s="32"/>
      <c r="J111" s="32"/>
      <c r="K111" s="32"/>
      <c r="L111" s="32"/>
      <c r="M111" s="32"/>
      <c r="N111" s="32"/>
      <c r="O111" s="32"/>
    </row>
    <row r="112" spans="1:60" hidden="1" x14ac:dyDescent="0.2">
      <c r="A112" s="32"/>
      <c r="B112" s="32"/>
      <c r="C112" s="217">
        <f>IMPOSTAZIONI!Y153</f>
        <v>0</v>
      </c>
      <c r="D112" s="183" t="s">
        <v>463</v>
      </c>
      <c r="E112" s="32"/>
      <c r="F112" s="32"/>
      <c r="G112" s="32"/>
      <c r="H112" s="149"/>
      <c r="I112" s="32"/>
      <c r="J112" s="32"/>
      <c r="K112" s="32"/>
      <c r="L112" s="32"/>
      <c r="M112" s="32"/>
      <c r="N112" s="32"/>
      <c r="O112" s="32"/>
    </row>
    <row r="113" spans="1:15" hidden="1" x14ac:dyDescent="0.2">
      <c r="A113" s="32"/>
      <c r="B113" s="32"/>
      <c r="C113" s="217" t="str">
        <f>IMPOSTAZIONI!AM138</f>
        <v>OK</v>
      </c>
      <c r="D113" s="32"/>
      <c r="E113" s="32"/>
      <c r="F113" s="32"/>
      <c r="G113" s="32"/>
      <c r="H113" s="124">
        <f>CASSA!E114</f>
        <v>45292</v>
      </c>
      <c r="I113" s="122"/>
      <c r="J113" s="124"/>
      <c r="K113" s="147">
        <v>0</v>
      </c>
      <c r="L113" s="32"/>
      <c r="M113" s="32"/>
      <c r="N113" s="463" t="s">
        <v>537</v>
      </c>
      <c r="O113" s="464">
        <v>1</v>
      </c>
    </row>
    <row r="114" spans="1:15" hidden="1" x14ac:dyDescent="0.2">
      <c r="A114" s="32"/>
      <c r="B114" s="32"/>
      <c r="C114" s="32"/>
      <c r="D114" s="32"/>
      <c r="E114" s="32"/>
      <c r="F114" s="765" t="s">
        <v>775</v>
      </c>
      <c r="G114" s="32"/>
      <c r="H114" s="125">
        <f>CASSA!E115</f>
        <v>45293</v>
      </c>
      <c r="I114" s="122"/>
      <c r="J114" s="125" t="s">
        <v>373</v>
      </c>
      <c r="K114" s="147">
        <v>1</v>
      </c>
      <c r="L114" s="135">
        <v>31</v>
      </c>
      <c r="M114" s="32"/>
      <c r="N114" s="463" t="s">
        <v>538</v>
      </c>
      <c r="O114" s="464">
        <v>2</v>
      </c>
    </row>
    <row r="115" spans="1:15" hidden="1" x14ac:dyDescent="0.2">
      <c r="A115" s="32"/>
      <c r="B115" s="32"/>
      <c r="C115" s="32"/>
      <c r="D115" s="32"/>
      <c r="E115" s="32"/>
      <c r="F115" s="766" t="s">
        <v>774</v>
      </c>
      <c r="G115" s="32"/>
      <c r="H115" s="125">
        <f>CASSA!E116</f>
        <v>45294</v>
      </c>
      <c r="I115" s="122"/>
      <c r="J115" s="125" t="s">
        <v>374</v>
      </c>
      <c r="K115" s="147">
        <v>2</v>
      </c>
      <c r="L115" s="150">
        <f>IF(E136=365,28,29)</f>
        <v>29</v>
      </c>
      <c r="M115" s="32"/>
      <c r="N115" s="463"/>
      <c r="O115" s="464">
        <v>3</v>
      </c>
    </row>
    <row r="116" spans="1:15" hidden="1" x14ac:dyDescent="0.2">
      <c r="A116" s="32"/>
      <c r="B116" s="1311" t="str">
        <f>RIEPILOGO!F204</f>
        <v>IVA a CREDITO</v>
      </c>
      <c r="C116" s="51">
        <v>1</v>
      </c>
      <c r="D116" s="170" t="s">
        <v>398</v>
      </c>
      <c r="E116" s="32"/>
      <c r="F116" s="32"/>
      <c r="G116" s="32"/>
      <c r="H116" s="125">
        <f>CASSA!E117</f>
        <v>45295</v>
      </c>
      <c r="I116" s="122"/>
      <c r="J116" s="125" t="s">
        <v>375</v>
      </c>
      <c r="K116" s="147">
        <v>3</v>
      </c>
      <c r="L116" s="135">
        <v>31</v>
      </c>
      <c r="M116" s="32"/>
      <c r="N116" s="32"/>
      <c r="O116" s="32"/>
    </row>
    <row r="117" spans="1:15" hidden="1" x14ac:dyDescent="0.2">
      <c r="A117" s="32"/>
      <c r="B117" s="32"/>
      <c r="C117" s="32"/>
      <c r="D117" s="32"/>
      <c r="E117" s="32"/>
      <c r="F117" s="32"/>
      <c r="G117" s="32"/>
      <c r="H117" s="125">
        <f>CASSA!E118</f>
        <v>45296</v>
      </c>
      <c r="I117" s="122"/>
      <c r="J117" s="125" t="s">
        <v>376</v>
      </c>
      <c r="K117" s="147">
        <v>4</v>
      </c>
      <c r="L117" s="135">
        <v>30</v>
      </c>
      <c r="M117" s="32"/>
      <c r="N117" s="32"/>
      <c r="O117" s="32"/>
    </row>
    <row r="118" spans="1:15" hidden="1" x14ac:dyDescent="0.2">
      <c r="A118" s="32"/>
      <c r="B118" s="161" t="s">
        <v>400</v>
      </c>
      <c r="C118" s="51">
        <f>Presentazione!K159</f>
        <v>18</v>
      </c>
      <c r="D118" s="170" t="s">
        <v>398</v>
      </c>
      <c r="E118" s="814" t="b">
        <f>IF(B$5=F118,TRUE,FALSE)</f>
        <v>1</v>
      </c>
      <c r="F118" s="765" t="s">
        <v>623</v>
      </c>
      <c r="G118" s="259" t="s">
        <v>641</v>
      </c>
      <c r="H118" s="125">
        <f>CASSA!E119</f>
        <v>45297</v>
      </c>
      <c r="I118" s="259" t="s">
        <v>642</v>
      </c>
      <c r="J118" s="125" t="s">
        <v>377</v>
      </c>
      <c r="K118" s="147">
        <v>5</v>
      </c>
      <c r="L118" s="135">
        <v>31</v>
      </c>
      <c r="M118" s="818" t="s">
        <v>648</v>
      </c>
      <c r="N118" s="818" t="s">
        <v>649</v>
      </c>
      <c r="O118" s="32"/>
    </row>
    <row r="119" spans="1:15" hidden="1" x14ac:dyDescent="0.2">
      <c r="A119" s="32"/>
      <c r="B119" s="161" t="s">
        <v>356</v>
      </c>
      <c r="C119" s="32"/>
      <c r="D119" s="32"/>
      <c r="E119" s="815" t="b">
        <f>IF(B$5=F119,TRUE,FALSE)</f>
        <v>0</v>
      </c>
      <c r="F119" s="766" t="s">
        <v>624</v>
      </c>
      <c r="G119" s="804" t="s">
        <v>288</v>
      </c>
      <c r="H119" s="125">
        <f>CASSA!E120</f>
        <v>45298</v>
      </c>
      <c r="I119" s="258" t="s">
        <v>628</v>
      </c>
      <c r="J119" s="125" t="s">
        <v>378</v>
      </c>
      <c r="K119" s="147">
        <v>6</v>
      </c>
      <c r="L119" s="135">
        <v>30</v>
      </c>
      <c r="M119" s="819" t="s">
        <v>650</v>
      </c>
      <c r="N119" s="819" t="s">
        <v>651</v>
      </c>
      <c r="O119" s="32"/>
    </row>
    <row r="120" spans="1:15" hidden="1" x14ac:dyDescent="0.2">
      <c r="A120" s="32"/>
      <c r="B120" s="32"/>
      <c r="C120" s="47">
        <f ca="1">Presentazione!H159</f>
        <v>0</v>
      </c>
      <c r="D120" s="510" t="s">
        <v>343</v>
      </c>
      <c r="E120" s="32"/>
      <c r="F120" s="32"/>
      <c r="G120" s="32"/>
      <c r="H120" s="125">
        <f>CASSA!E121</f>
        <v>45299</v>
      </c>
      <c r="I120" s="122"/>
      <c r="J120" s="125" t="s">
        <v>379</v>
      </c>
      <c r="K120" s="147">
        <v>7</v>
      </c>
      <c r="L120" s="135">
        <v>31</v>
      </c>
      <c r="M120" s="32"/>
      <c r="N120" s="32"/>
      <c r="O120" s="32"/>
    </row>
    <row r="121" spans="1:15" hidden="1" x14ac:dyDescent="0.2">
      <c r="A121" s="32"/>
      <c r="B121" s="32"/>
      <c r="C121" s="47">
        <f>Presentazione!E159</f>
        <v>0</v>
      </c>
      <c r="D121" s="511" t="s">
        <v>549</v>
      </c>
      <c r="E121" s="60"/>
      <c r="F121" s="32"/>
      <c r="G121" s="767">
        <v>0</v>
      </c>
      <c r="H121" s="125">
        <f>CASSA!E122</f>
        <v>45300</v>
      </c>
      <c r="I121" s="122"/>
      <c r="J121" s="125" t="s">
        <v>380</v>
      </c>
      <c r="K121" s="147">
        <v>8</v>
      </c>
      <c r="L121" s="135">
        <v>31</v>
      </c>
      <c r="M121" s="32"/>
      <c r="N121" s="32"/>
      <c r="O121" s="32"/>
    </row>
    <row r="122" spans="1:15" hidden="1" x14ac:dyDescent="0.2">
      <c r="A122" s="32"/>
      <c r="B122" s="32"/>
      <c r="C122" s="32"/>
      <c r="D122" s="32"/>
      <c r="E122" s="32"/>
      <c r="F122" s="767">
        <v>1</v>
      </c>
      <c r="G122" s="767">
        <v>1</v>
      </c>
      <c r="H122" s="125">
        <f>CASSA!E123</f>
        <v>45301</v>
      </c>
      <c r="I122" s="122"/>
      <c r="J122" s="125" t="s">
        <v>381</v>
      </c>
      <c r="K122" s="147">
        <v>9</v>
      </c>
      <c r="L122" s="135">
        <v>30</v>
      </c>
      <c r="M122" s="32"/>
      <c r="N122" s="32"/>
      <c r="O122" s="32"/>
    </row>
    <row r="123" spans="1:15" hidden="1" x14ac:dyDescent="0.2">
      <c r="A123" s="32"/>
      <c r="B123" s="32"/>
      <c r="C123" s="32"/>
      <c r="D123" s="32"/>
      <c r="E123" s="929">
        <f>DATE(YEAR(H113),1,1)</f>
        <v>45292</v>
      </c>
      <c r="F123" s="767">
        <v>2</v>
      </c>
      <c r="G123" s="767">
        <v>2</v>
      </c>
      <c r="H123" s="125">
        <f>CASSA!E124</f>
        <v>45302</v>
      </c>
      <c r="I123" s="122"/>
      <c r="J123" s="133" t="s">
        <v>382</v>
      </c>
      <c r="K123" s="147">
        <v>10</v>
      </c>
      <c r="L123" s="135">
        <v>31</v>
      </c>
      <c r="M123" s="32"/>
      <c r="N123" s="32"/>
      <c r="O123" s="32"/>
    </row>
    <row r="124" spans="1:15" hidden="1" x14ac:dyDescent="0.2">
      <c r="A124" s="32"/>
      <c r="B124" s="873" t="str">
        <f>J114</f>
        <v>GEN</v>
      </c>
      <c r="C124" s="874" t="s">
        <v>228</v>
      </c>
      <c r="D124" s="147">
        <f>HLOOKUP(C124,IMPOSTAZIONI!$D$400:$AM$408,9,FALSE)</f>
        <v>1</v>
      </c>
      <c r="E124" s="928">
        <f>DATE(YEAR(H$113),VLOOKUP(B124,J$114:K$125,2,FALSE),VLOOKUP(B124,J$114:L$125,3,FALSE))</f>
        <v>45322</v>
      </c>
      <c r="F124" s="767">
        <v>3</v>
      </c>
      <c r="G124" s="767">
        <v>3</v>
      </c>
      <c r="H124" s="125">
        <f>CASSA!E125</f>
        <v>45303</v>
      </c>
      <c r="I124" s="122"/>
      <c r="J124" s="133" t="s">
        <v>383</v>
      </c>
      <c r="K124" s="147">
        <v>11</v>
      </c>
      <c r="L124" s="135">
        <v>30</v>
      </c>
      <c r="M124" s="32"/>
      <c r="N124" s="32"/>
      <c r="O124" s="32"/>
    </row>
    <row r="125" spans="1:15" hidden="1" x14ac:dyDescent="0.2">
      <c r="A125" s="32"/>
      <c r="B125" s="875" t="str">
        <f t="shared" ref="B125:B135" si="233">J115</f>
        <v>FEB</v>
      </c>
      <c r="C125" s="876" t="s">
        <v>229</v>
      </c>
      <c r="D125" s="147">
        <f>HLOOKUP(C125,IMPOSTAZIONI!$D$400:$AM$408,9,FALSE)</f>
        <v>1</v>
      </c>
      <c r="E125" s="929">
        <f>E126-31</f>
        <v>45351</v>
      </c>
      <c r="F125" s="767">
        <v>4</v>
      </c>
      <c r="G125" s="767">
        <v>4</v>
      </c>
      <c r="H125" s="125">
        <f>CASSA!E126</f>
        <v>45304</v>
      </c>
      <c r="I125" s="122"/>
      <c r="J125" s="126" t="s">
        <v>384</v>
      </c>
      <c r="K125" s="147">
        <v>12</v>
      </c>
      <c r="L125" s="135">
        <v>31</v>
      </c>
      <c r="M125" s="32"/>
      <c r="N125" s="32"/>
      <c r="O125" s="32"/>
    </row>
    <row r="126" spans="1:15" hidden="1" x14ac:dyDescent="0.2">
      <c r="A126" s="32"/>
      <c r="B126" s="875" t="str">
        <f t="shared" si="233"/>
        <v>MAR</v>
      </c>
      <c r="C126" s="876" t="s">
        <v>230</v>
      </c>
      <c r="D126" s="147">
        <f>HLOOKUP(C126,IMPOSTAZIONI!$D$400:$AM$408,9,FALSE)</f>
        <v>1</v>
      </c>
      <c r="E126" s="928">
        <f t="shared" ref="E126:E135" si="234">DATE(YEAR(H$113),VLOOKUP(B126,J$114:K$125,2,FALSE),VLOOKUP(B126,J$114:L$125,3,FALSE))</f>
        <v>45382</v>
      </c>
      <c r="F126" s="767">
        <v>5</v>
      </c>
      <c r="G126" s="767">
        <v>5</v>
      </c>
      <c r="H126" s="125">
        <f>CASSA!E127</f>
        <v>45305</v>
      </c>
      <c r="I126" s="122"/>
      <c r="J126" s="32"/>
      <c r="K126" s="32"/>
      <c r="L126" s="32"/>
      <c r="M126" s="32"/>
      <c r="N126" s="32"/>
      <c r="O126" s="32"/>
    </row>
    <row r="127" spans="1:15" hidden="1" x14ac:dyDescent="0.2">
      <c r="A127" s="32"/>
      <c r="B127" s="875" t="str">
        <f t="shared" si="233"/>
        <v>APR</v>
      </c>
      <c r="C127" s="876" t="s">
        <v>232</v>
      </c>
      <c r="D127" s="147">
        <f>HLOOKUP(C127,IMPOSTAZIONI!$D$400:$AM$408,9,FALSE)</f>
        <v>0</v>
      </c>
      <c r="E127" s="928">
        <f t="shared" si="234"/>
        <v>45412</v>
      </c>
      <c r="F127" s="767">
        <v>6</v>
      </c>
      <c r="G127" s="767">
        <v>6</v>
      </c>
      <c r="H127" s="125">
        <f>CASSA!E128</f>
        <v>45306</v>
      </c>
      <c r="I127" s="122"/>
      <c r="J127" s="520" t="b">
        <f>IF(C$11=J140,TRUE,FALSE)</f>
        <v>0</v>
      </c>
      <c r="K127" s="226" t="s">
        <v>637</v>
      </c>
      <c r="L127" s="439">
        <v>1</v>
      </c>
      <c r="M127" s="441">
        <f>I10-G10+1</f>
        <v>1</v>
      </c>
      <c r="N127" s="183" t="s">
        <v>645</v>
      </c>
      <c r="O127" s="32"/>
    </row>
    <row r="128" spans="1:15" hidden="1" x14ac:dyDescent="0.2">
      <c r="A128" s="32"/>
      <c r="B128" s="875" t="str">
        <f t="shared" si="233"/>
        <v>MAG</v>
      </c>
      <c r="C128" s="876" t="s">
        <v>233</v>
      </c>
      <c r="D128" s="147">
        <f>HLOOKUP(C128,IMPOSTAZIONI!$D$400:$AM$408,9,FALSE)</f>
        <v>0</v>
      </c>
      <c r="E128" s="928">
        <f t="shared" si="234"/>
        <v>45443</v>
      </c>
      <c r="F128" s="767">
        <v>7</v>
      </c>
      <c r="G128" s="767">
        <v>7</v>
      </c>
      <c r="H128" s="125">
        <f>CASSA!E129</f>
        <v>45307</v>
      </c>
      <c r="I128" s="122"/>
      <c r="J128" s="520" t="b">
        <f>IF(C$11=J141,TRUE,FALSE)</f>
        <v>0</v>
      </c>
      <c r="K128" s="226" t="str">
        <f>CONCATENATE("Mese ",E$13)</f>
        <v xml:space="preserve">Mese </v>
      </c>
      <c r="L128" s="439">
        <v>2</v>
      </c>
      <c r="M128" s="441" t="e">
        <f>VLOOKUP(E13,J114:L125,3,FALSE)</f>
        <v>#N/A</v>
      </c>
      <c r="N128" s="183" t="str">
        <f>CONCATENATE("Singolo mese specificato [ ",E$13," ]")</f>
        <v>Singolo mese specificato [  ]</v>
      </c>
      <c r="O128" s="32"/>
    </row>
    <row r="129" spans="1:16" hidden="1" x14ac:dyDescent="0.2">
      <c r="A129" s="32"/>
      <c r="B129" s="875" t="str">
        <f t="shared" si="233"/>
        <v>GIU</v>
      </c>
      <c r="C129" s="876" t="s">
        <v>234</v>
      </c>
      <c r="D129" s="147">
        <f>HLOOKUP(C129,IMPOSTAZIONI!$D$400:$AM$408,9,FALSE)</f>
        <v>0</v>
      </c>
      <c r="E129" s="928">
        <f t="shared" si="234"/>
        <v>45473</v>
      </c>
      <c r="F129" s="767">
        <v>8</v>
      </c>
      <c r="G129" s="767">
        <v>8</v>
      </c>
      <c r="H129" s="125">
        <f>CASSA!E130</f>
        <v>45308</v>
      </c>
      <c r="I129" s="122"/>
      <c r="J129" s="520" t="b">
        <f>IF(C$11=J142,TRUE,FALSE)</f>
        <v>0</v>
      </c>
      <c r="K129" s="226" t="s">
        <v>643</v>
      </c>
      <c r="L129" s="461">
        <v>4</v>
      </c>
      <c r="M129" s="441">
        <f>I13-G13+1</f>
        <v>1</v>
      </c>
      <c r="N129" s="183" t="str">
        <f>CONCATENATE("Date specificate  dal ",TEXT(G$13,"gg/mm/aaaa")," al ",TEXT(I$13,"gg/mm/aaaa"))</f>
        <v>Date specificate  dal 00/01/1900 al 00/01/1900</v>
      </c>
      <c r="O129" s="32"/>
    </row>
    <row r="130" spans="1:16" hidden="1" x14ac:dyDescent="0.2">
      <c r="A130" s="32"/>
      <c r="B130" s="875" t="str">
        <f t="shared" si="233"/>
        <v>LUG</v>
      </c>
      <c r="C130" s="876" t="s">
        <v>236</v>
      </c>
      <c r="D130" s="147">
        <f>HLOOKUP(C130,IMPOSTAZIONI!$D$400:$AM$408,9,FALSE)</f>
        <v>0</v>
      </c>
      <c r="E130" s="928">
        <f t="shared" si="234"/>
        <v>45504</v>
      </c>
      <c r="F130" s="767">
        <v>9</v>
      </c>
      <c r="G130" s="767">
        <v>9</v>
      </c>
      <c r="H130" s="125">
        <f>CASSA!E131</f>
        <v>45309</v>
      </c>
      <c r="I130" s="122"/>
      <c r="J130" s="520" t="b">
        <f>IF(C$11=J143,TRUE,FALSE)</f>
        <v>0</v>
      </c>
      <c r="K130" s="226" t="s">
        <v>644</v>
      </c>
      <c r="L130" s="461">
        <v>5</v>
      </c>
      <c r="M130" s="809">
        <f>I10-G10+1</f>
        <v>1</v>
      </c>
      <c r="N130" s="183" t="str">
        <f>CONCATENATE("Settimane specificate dalla ",CONCATENATE(G$15," °")," alla ",CONCATENATE(I$15," °"))</f>
        <v>Settimane specificate dalla  ° alla  °</v>
      </c>
      <c r="O130" s="32"/>
    </row>
    <row r="131" spans="1:16" hidden="1" x14ac:dyDescent="0.2">
      <c r="A131" s="32"/>
      <c r="B131" s="875" t="str">
        <f t="shared" si="233"/>
        <v>AGO</v>
      </c>
      <c r="C131" s="876" t="s">
        <v>237</v>
      </c>
      <c r="D131" s="147">
        <f>HLOOKUP(C131,IMPOSTAZIONI!$D$400:$AM$408,9,FALSE)</f>
        <v>0</v>
      </c>
      <c r="E131" s="928">
        <f t="shared" si="234"/>
        <v>45535</v>
      </c>
      <c r="F131" s="767">
        <v>10</v>
      </c>
      <c r="G131" s="767">
        <v>10</v>
      </c>
      <c r="H131" s="125">
        <f>CASSA!E132</f>
        <v>45310</v>
      </c>
      <c r="I131" s="122"/>
      <c r="J131" s="520" t="b">
        <f>IF(C$11=J144,TRUE,FALSE)</f>
        <v>0</v>
      </c>
      <c r="K131" s="440" t="str">
        <f>CONCATENATE("ANNO ",RIEPILOGO!T3)</f>
        <v>ANNO 2024</v>
      </c>
      <c r="L131" s="461">
        <v>3</v>
      </c>
      <c r="M131" s="809">
        <f>I10-G10+1</f>
        <v>1</v>
      </c>
      <c r="N131" s="183" t="str">
        <f>CONCATENATE("Totali nel sistema per ",K131)</f>
        <v>Totali nel sistema per ANNO 2024</v>
      </c>
      <c r="O131" s="32"/>
    </row>
    <row r="132" spans="1:16" hidden="1" x14ac:dyDescent="0.2">
      <c r="A132" s="32"/>
      <c r="B132" s="875" t="str">
        <f t="shared" si="233"/>
        <v>SET</v>
      </c>
      <c r="C132" s="876" t="s">
        <v>238</v>
      </c>
      <c r="D132" s="147">
        <f>HLOOKUP(C132,IMPOSTAZIONI!$D$400:$AM$408,9,FALSE)</f>
        <v>0</v>
      </c>
      <c r="E132" s="928">
        <f t="shared" si="234"/>
        <v>45565</v>
      </c>
      <c r="F132" s="767">
        <v>11</v>
      </c>
      <c r="G132" s="767">
        <v>11</v>
      </c>
      <c r="H132" s="125">
        <f>CASSA!E133</f>
        <v>45311</v>
      </c>
      <c r="I132" s="122"/>
      <c r="J132" s="32"/>
      <c r="K132" s="32"/>
      <c r="L132" s="32"/>
      <c r="M132" s="32"/>
      <c r="N132" s="32"/>
      <c r="O132" s="32"/>
    </row>
    <row r="133" spans="1:16" hidden="1" x14ac:dyDescent="0.2">
      <c r="A133" s="32"/>
      <c r="B133" s="875" t="str">
        <f t="shared" si="233"/>
        <v>OTT</v>
      </c>
      <c r="C133" s="876" t="s">
        <v>240</v>
      </c>
      <c r="D133" s="147">
        <f>HLOOKUP(C133,IMPOSTAZIONI!$D$400:$AM$408,9,FALSE)</f>
        <v>0</v>
      </c>
      <c r="E133" s="928">
        <f t="shared" si="234"/>
        <v>45596</v>
      </c>
      <c r="F133" s="767">
        <v>12</v>
      </c>
      <c r="G133" s="767">
        <v>12</v>
      </c>
      <c r="H133" s="125">
        <f>CASSA!E134</f>
        <v>45312</v>
      </c>
      <c r="I133" s="122"/>
      <c r="J133" s="32"/>
      <c r="K133" s="32"/>
      <c r="L133" s="32"/>
      <c r="M133" s="32"/>
      <c r="N133" s="32"/>
      <c r="O133" s="32"/>
    </row>
    <row r="134" spans="1:16" hidden="1" x14ac:dyDescent="0.2">
      <c r="A134" s="32"/>
      <c r="B134" s="875" t="str">
        <f t="shared" si="233"/>
        <v>NOV</v>
      </c>
      <c r="C134" s="876" t="s">
        <v>241</v>
      </c>
      <c r="D134" s="147">
        <f>HLOOKUP(C134,IMPOSTAZIONI!$D$400:$AM$408,9,FALSE)</f>
        <v>0</v>
      </c>
      <c r="E134" s="928">
        <f t="shared" si="234"/>
        <v>45626</v>
      </c>
      <c r="F134" s="767">
        <v>13</v>
      </c>
      <c r="G134" s="767">
        <v>13</v>
      </c>
      <c r="H134" s="125">
        <f>CASSA!E135</f>
        <v>45313</v>
      </c>
      <c r="I134" s="122"/>
      <c r="J134" s="32"/>
      <c r="K134" s="32"/>
      <c r="L134" s="32"/>
      <c r="M134" s="32"/>
      <c r="N134" s="32"/>
      <c r="O134" s="32"/>
    </row>
    <row r="135" spans="1:16" hidden="1" x14ac:dyDescent="0.2">
      <c r="A135" s="32"/>
      <c r="B135" s="877" t="str">
        <f t="shared" si="233"/>
        <v>DIC</v>
      </c>
      <c r="C135" s="878" t="s">
        <v>242</v>
      </c>
      <c r="D135" s="147">
        <f>HLOOKUP(C135,IMPOSTAZIONI!$D$400:$AM$408,9,FALSE)</f>
        <v>0</v>
      </c>
      <c r="E135" s="928">
        <f t="shared" si="234"/>
        <v>45657</v>
      </c>
      <c r="F135" s="767">
        <v>14</v>
      </c>
      <c r="G135" s="767">
        <v>14</v>
      </c>
      <c r="H135" s="125">
        <f>CASSA!E136</f>
        <v>45314</v>
      </c>
      <c r="I135" s="122"/>
      <c r="J135" s="32"/>
      <c r="K135" s="32"/>
      <c r="L135" s="32"/>
      <c r="M135" s="32"/>
      <c r="N135" s="32"/>
      <c r="O135" s="32"/>
    </row>
    <row r="136" spans="1:16" hidden="1" x14ac:dyDescent="0.2">
      <c r="A136" s="32"/>
      <c r="B136" s="2594" t="e">
        <f>VLOOKUP(E13,B124:D135,3,FALSE)</f>
        <v>#N/A</v>
      </c>
      <c r="C136" s="879" t="e">
        <f>IF(B136=0,C138,"")</f>
        <v>#N/A</v>
      </c>
      <c r="D136" s="32"/>
      <c r="E136" s="1047">
        <f>E135-E123+1</f>
        <v>366</v>
      </c>
      <c r="F136" s="767">
        <v>15</v>
      </c>
      <c r="G136" s="767">
        <v>15</v>
      </c>
      <c r="H136" s="125">
        <f>CASSA!E137</f>
        <v>45315</v>
      </c>
      <c r="I136" s="122"/>
      <c r="J136" s="32"/>
      <c r="K136" s="32"/>
      <c r="L136" s="32"/>
      <c r="M136" s="32"/>
      <c r="N136" s="32"/>
      <c r="O136" s="32"/>
    </row>
    <row r="137" spans="1:16" hidden="1" x14ac:dyDescent="0.2">
      <c r="A137" s="32"/>
      <c r="B137" s="2595"/>
      <c r="C137" s="195" t="e">
        <f>IF(B136=0,C139,"")</f>
        <v>#N/A</v>
      </c>
      <c r="D137" s="32"/>
      <c r="E137" s="32"/>
      <c r="F137" s="767">
        <v>16</v>
      </c>
      <c r="G137" s="767">
        <v>16</v>
      </c>
      <c r="H137" s="125">
        <f>CASSA!E138</f>
        <v>45316</v>
      </c>
      <c r="I137" s="122"/>
      <c r="J137" s="32"/>
      <c r="K137" s="32"/>
      <c r="L137" s="32"/>
      <c r="M137" s="32"/>
      <c r="N137" s="32"/>
      <c r="O137" s="32"/>
    </row>
    <row r="138" spans="1:16" hidden="1" x14ac:dyDescent="0.2">
      <c r="A138" s="32"/>
      <c r="B138" s="32"/>
      <c r="C138" s="814" t="s">
        <v>858</v>
      </c>
      <c r="D138" s="32"/>
      <c r="E138" s="32"/>
      <c r="F138" s="767">
        <v>17</v>
      </c>
      <c r="G138" s="767">
        <v>17</v>
      </c>
      <c r="H138" s="125">
        <f>CASSA!E139</f>
        <v>45317</v>
      </c>
      <c r="I138" s="122"/>
      <c r="J138" s="32"/>
      <c r="K138" s="32"/>
      <c r="L138" s="32"/>
      <c r="M138" s="32"/>
      <c r="N138" s="32"/>
      <c r="O138" s="32"/>
    </row>
    <row r="139" spans="1:16" hidden="1" x14ac:dyDescent="0.2">
      <c r="A139" s="32"/>
      <c r="B139" s="32"/>
      <c r="C139" s="815" t="s">
        <v>859</v>
      </c>
      <c r="D139" s="32"/>
      <c r="E139" s="32"/>
      <c r="F139" s="767">
        <v>18</v>
      </c>
      <c r="G139" s="767">
        <v>18</v>
      </c>
      <c r="H139" s="125">
        <f>CASSA!E140</f>
        <v>45318</v>
      </c>
      <c r="I139" s="122"/>
      <c r="J139" s="32"/>
      <c r="K139" s="32"/>
      <c r="L139" s="32"/>
      <c r="M139" s="32"/>
      <c r="N139" s="32"/>
      <c r="O139" s="32"/>
    </row>
    <row r="140" spans="1:16" hidden="1" x14ac:dyDescent="0.2">
      <c r="A140" s="32"/>
      <c r="B140" s="32"/>
      <c r="C140" s="32"/>
      <c r="D140" s="32"/>
      <c r="E140" s="32"/>
      <c r="F140" s="767">
        <v>19</v>
      </c>
      <c r="G140" s="767">
        <v>19</v>
      </c>
      <c r="H140" s="125">
        <f>CASSA!E141</f>
        <v>45319</v>
      </c>
      <c r="I140" s="122"/>
      <c r="J140" s="1728" t="s">
        <v>694</v>
      </c>
      <c r="K140" s="1586"/>
      <c r="L140" s="183">
        <v>2</v>
      </c>
      <c r="M140" s="32"/>
      <c r="N140" s="32"/>
      <c r="O140" s="32"/>
    </row>
    <row r="141" spans="1:16" hidden="1" x14ac:dyDescent="0.2">
      <c r="A141" s="32"/>
      <c r="B141" s="32"/>
      <c r="C141" s="32"/>
      <c r="D141" s="32"/>
      <c r="E141" s="32"/>
      <c r="F141" s="767">
        <v>20</v>
      </c>
      <c r="G141" s="767">
        <v>20</v>
      </c>
      <c r="H141" s="125">
        <f>CASSA!E142</f>
        <v>45320</v>
      </c>
      <c r="I141" s="122"/>
      <c r="J141" s="1728" t="s">
        <v>533</v>
      </c>
      <c r="K141" s="1586"/>
      <c r="L141" s="183">
        <v>1</v>
      </c>
      <c r="M141" s="32"/>
      <c r="N141" s="32"/>
      <c r="O141" s="32"/>
      <c r="P141" s="54"/>
    </row>
    <row r="142" spans="1:16" hidden="1" x14ac:dyDescent="0.2">
      <c r="A142" s="32"/>
      <c r="B142" s="32"/>
      <c r="C142" s="32"/>
      <c r="D142" s="32"/>
      <c r="E142" s="32"/>
      <c r="F142" s="767">
        <v>21</v>
      </c>
      <c r="G142" s="767">
        <v>21</v>
      </c>
      <c r="H142" s="125">
        <f>CASSA!E143</f>
        <v>45321</v>
      </c>
      <c r="I142" s="122"/>
      <c r="J142" s="1728" t="s">
        <v>625</v>
      </c>
      <c r="K142" s="1586"/>
      <c r="L142" s="183">
        <v>1</v>
      </c>
      <c r="M142" s="32"/>
      <c r="N142" s="32"/>
      <c r="O142" s="32"/>
      <c r="P142" s="54"/>
    </row>
    <row r="143" spans="1:16" hidden="1" x14ac:dyDescent="0.2">
      <c r="E143" s="32"/>
      <c r="F143" s="767">
        <v>22</v>
      </c>
      <c r="G143" s="767">
        <v>22</v>
      </c>
      <c r="H143" s="125">
        <f>CASSA!E144</f>
        <v>45322</v>
      </c>
      <c r="I143" s="122"/>
      <c r="J143" s="1728" t="s">
        <v>626</v>
      </c>
      <c r="K143" s="1586"/>
      <c r="L143" s="183">
        <v>1</v>
      </c>
      <c r="M143" s="32"/>
      <c r="N143" s="32"/>
      <c r="O143" s="32"/>
      <c r="P143" s="54"/>
    </row>
    <row r="144" spans="1:16" hidden="1" x14ac:dyDescent="0.2">
      <c r="E144" s="32"/>
      <c r="F144" s="767">
        <v>23</v>
      </c>
      <c r="G144" s="767">
        <v>23</v>
      </c>
      <c r="H144" s="125">
        <f>CASSA!E145</f>
        <v>45323</v>
      </c>
      <c r="I144" s="122"/>
      <c r="J144" s="1728" t="s">
        <v>535</v>
      </c>
      <c r="K144" s="1586"/>
      <c r="L144" s="183">
        <v>1</v>
      </c>
      <c r="M144" s="32"/>
      <c r="N144" s="32"/>
      <c r="O144" s="32"/>
      <c r="P144" s="54"/>
    </row>
    <row r="145" spans="5:16" hidden="1" x14ac:dyDescent="0.2">
      <c r="E145" s="32"/>
      <c r="F145" s="767">
        <v>24</v>
      </c>
      <c r="G145" s="767">
        <v>24</v>
      </c>
      <c r="H145" s="125">
        <f>CASSA!E146</f>
        <v>45324</v>
      </c>
      <c r="I145" s="122"/>
      <c r="J145" s="1728"/>
      <c r="K145" s="1586"/>
      <c r="L145" s="183">
        <v>0</v>
      </c>
      <c r="M145" s="32"/>
      <c r="N145" s="32"/>
      <c r="O145" s="32"/>
      <c r="P145" s="54"/>
    </row>
    <row r="146" spans="5:16" hidden="1" x14ac:dyDescent="0.2">
      <c r="E146" s="32"/>
      <c r="F146" s="767">
        <v>25</v>
      </c>
      <c r="G146" s="767">
        <v>25</v>
      </c>
      <c r="H146" s="125">
        <f>CASSA!E147</f>
        <v>45325</v>
      </c>
      <c r="I146" s="122"/>
      <c r="J146" s="32"/>
      <c r="K146" s="32"/>
      <c r="L146" s="32"/>
      <c r="M146" s="32"/>
      <c r="N146" s="32"/>
      <c r="O146" s="32"/>
      <c r="P146" s="54"/>
    </row>
    <row r="147" spans="5:16" hidden="1" x14ac:dyDescent="0.2">
      <c r="E147" s="32"/>
      <c r="F147" s="767">
        <v>26</v>
      </c>
      <c r="G147" s="767">
        <v>26</v>
      </c>
      <c r="H147" s="125">
        <f>CASSA!E148</f>
        <v>45326</v>
      </c>
      <c r="I147" s="122"/>
      <c r="J147" s="814" t="s">
        <v>646</v>
      </c>
      <c r="K147" s="32"/>
      <c r="L147" s="32"/>
      <c r="M147" s="32"/>
      <c r="N147" s="32"/>
      <c r="O147" s="32"/>
      <c r="P147" s="54"/>
    </row>
    <row r="148" spans="5:16" hidden="1" x14ac:dyDescent="0.2">
      <c r="E148" s="32"/>
      <c r="F148" s="767">
        <v>27</v>
      </c>
      <c r="G148" s="767">
        <v>27</v>
      </c>
      <c r="H148" s="125">
        <f>CASSA!E149</f>
        <v>45327</v>
      </c>
      <c r="I148" s="122"/>
      <c r="J148" s="815" t="str">
        <f>VLOOKUP(TRUE,E118:M119,9,FALSE)</f>
        <v>Selezione per DATE dal</v>
      </c>
      <c r="K148" s="32"/>
      <c r="L148" s="32"/>
      <c r="M148" s="816" t="str">
        <f>IF(E118,CONCATENATE(TEXT(K154,"gg/mm/aaaa")," ",VLOOKUP(TRUE,E118:N119,10,FALSE)," ",TEXT(K155,"gg/mm/aaaa")),CONCATENATE(CONCATENATE(J154," °")," ",VLOOKUP(TRUE,E118:N119,10,FALSE)," ",CONCATENATE(J155," °")))</f>
        <v>00/01/1900 al 00/01/1900</v>
      </c>
      <c r="N148" s="32"/>
      <c r="O148" s="32"/>
      <c r="P148" s="54"/>
    </row>
    <row r="149" spans="5:16" hidden="1" x14ac:dyDescent="0.2">
      <c r="E149" s="32"/>
      <c r="F149" s="767">
        <v>28</v>
      </c>
      <c r="G149" s="767">
        <v>28</v>
      </c>
      <c r="H149" s="125">
        <f>CASSA!E150</f>
        <v>45328</v>
      </c>
      <c r="I149" s="122"/>
      <c r="J149" s="814" t="s">
        <v>647</v>
      </c>
      <c r="K149" s="32"/>
      <c r="L149" s="32"/>
      <c r="M149" s="32"/>
      <c r="N149" s="32"/>
      <c r="O149" s="32"/>
      <c r="P149" s="54"/>
    </row>
    <row r="150" spans="5:16" hidden="1" x14ac:dyDescent="0.2">
      <c r="E150" s="32"/>
      <c r="F150" s="767">
        <v>29</v>
      </c>
      <c r="G150" s="767">
        <v>29</v>
      </c>
      <c r="H150" s="125">
        <f>CASSA!E151</f>
        <v>45329</v>
      </c>
      <c r="I150" s="122"/>
      <c r="J150" s="815" t="e">
        <f>VLOOKUP(TRUE,J127:N131,5,FALSE)</f>
        <v>#N/A</v>
      </c>
      <c r="K150" s="32"/>
      <c r="L150" s="32"/>
      <c r="M150" s="32"/>
      <c r="N150" s="32"/>
      <c r="O150" s="32"/>
      <c r="P150" s="54"/>
    </row>
    <row r="151" spans="5:16" hidden="1" x14ac:dyDescent="0.2">
      <c r="E151" s="32"/>
      <c r="F151" s="767">
        <v>30</v>
      </c>
      <c r="G151" s="767">
        <v>30</v>
      </c>
      <c r="H151" s="125">
        <f>CASSA!E152</f>
        <v>45330</v>
      </c>
      <c r="I151" s="122"/>
      <c r="J151" s="32"/>
      <c r="K151" s="32"/>
      <c r="L151" s="32"/>
      <c r="M151" s="32"/>
      <c r="N151" s="32"/>
      <c r="O151" s="32"/>
      <c r="P151" s="54"/>
    </row>
    <row r="152" spans="5:16" hidden="1" x14ac:dyDescent="0.2">
      <c r="E152" s="32"/>
      <c r="F152" s="767">
        <v>31</v>
      </c>
      <c r="G152" s="767">
        <v>31</v>
      </c>
      <c r="H152" s="125">
        <f>CASSA!E153</f>
        <v>45331</v>
      </c>
      <c r="I152" s="122"/>
      <c r="J152" s="170" t="e">
        <f>CONCATENATE(J147," ",J148," ",M148,"  |  ",J149," ",J150)</f>
        <v>#N/A</v>
      </c>
      <c r="K152" s="32"/>
      <c r="L152" s="32"/>
      <c r="M152" s="32"/>
      <c r="N152" s="32"/>
      <c r="O152" s="32"/>
      <c r="P152" s="54"/>
    </row>
    <row r="153" spans="5:16" hidden="1" x14ac:dyDescent="0.2">
      <c r="E153" s="32"/>
      <c r="F153" s="767">
        <v>32</v>
      </c>
      <c r="G153" s="767">
        <v>32</v>
      </c>
      <c r="H153" s="125">
        <f>CASSA!E154</f>
        <v>45332</v>
      </c>
      <c r="I153" s="122"/>
      <c r="J153" s="32"/>
      <c r="K153" s="32"/>
      <c r="L153" s="32"/>
      <c r="M153" s="32"/>
      <c r="N153" s="32"/>
      <c r="O153" s="32"/>
      <c r="P153" s="54"/>
    </row>
    <row r="154" spans="5:16" hidden="1" x14ac:dyDescent="0.2">
      <c r="E154" s="32"/>
      <c r="F154" s="767">
        <v>33</v>
      </c>
      <c r="G154" s="767">
        <v>33</v>
      </c>
      <c r="H154" s="125">
        <f>CASSA!E155</f>
        <v>45333</v>
      </c>
      <c r="I154" s="122"/>
      <c r="J154" s="817">
        <f>D7</f>
        <v>0</v>
      </c>
      <c r="K154" s="520">
        <f>D5</f>
        <v>0</v>
      </c>
      <c r="L154" s="32"/>
      <c r="M154" s="32"/>
      <c r="N154" s="32"/>
      <c r="O154" s="32"/>
      <c r="P154" s="54"/>
    </row>
    <row r="155" spans="5:16" hidden="1" x14ac:dyDescent="0.2">
      <c r="E155" s="32"/>
      <c r="F155" s="767">
        <v>34</v>
      </c>
      <c r="G155" s="767">
        <v>34</v>
      </c>
      <c r="H155" s="125">
        <f>CASSA!E156</f>
        <v>45334</v>
      </c>
      <c r="I155" s="122"/>
      <c r="J155" s="817">
        <f>E7</f>
        <v>0</v>
      </c>
      <c r="K155" s="520">
        <f>E5</f>
        <v>0</v>
      </c>
      <c r="L155" s="32"/>
      <c r="M155" s="32"/>
      <c r="N155" s="32"/>
      <c r="O155" s="32"/>
      <c r="P155" s="54"/>
    </row>
    <row r="156" spans="5:16" hidden="1" x14ac:dyDescent="0.2">
      <c r="E156" s="32"/>
      <c r="F156" s="767">
        <v>35</v>
      </c>
      <c r="G156" s="767">
        <v>35</v>
      </c>
      <c r="H156" s="125">
        <f>CASSA!E157</f>
        <v>45335</v>
      </c>
      <c r="I156" s="122"/>
      <c r="J156" s="32"/>
      <c r="K156" s="32"/>
      <c r="L156" s="32"/>
      <c r="M156" s="32"/>
      <c r="N156" s="32"/>
      <c r="O156" s="32"/>
      <c r="P156" s="54"/>
    </row>
    <row r="157" spans="5:16" hidden="1" x14ac:dyDescent="0.2">
      <c r="E157" s="32"/>
      <c r="F157" s="767">
        <v>36</v>
      </c>
      <c r="G157" s="767">
        <v>36</v>
      </c>
      <c r="H157" s="125">
        <f>CASSA!E158</f>
        <v>45336</v>
      </c>
      <c r="I157" s="122"/>
      <c r="J157" s="54"/>
      <c r="K157" s="54"/>
      <c r="L157" s="54"/>
      <c r="M157" s="54"/>
      <c r="N157" s="54"/>
      <c r="O157" s="54"/>
      <c r="P157" s="54"/>
    </row>
    <row r="158" spans="5:16" hidden="1" x14ac:dyDescent="0.2">
      <c r="E158" s="32"/>
      <c r="F158" s="767">
        <v>37</v>
      </c>
      <c r="G158" s="767">
        <v>37</v>
      </c>
      <c r="H158" s="125">
        <f>CASSA!E159</f>
        <v>45337</v>
      </c>
      <c r="I158" s="122"/>
      <c r="J158" s="54"/>
      <c r="K158" s="54"/>
      <c r="L158" s="54"/>
      <c r="M158" s="54"/>
      <c r="N158" s="54"/>
      <c r="O158" s="54"/>
      <c r="P158" s="54"/>
    </row>
    <row r="159" spans="5:16" hidden="1" x14ac:dyDescent="0.2">
      <c r="E159" s="32"/>
      <c r="F159" s="767">
        <v>38</v>
      </c>
      <c r="G159" s="767">
        <v>38</v>
      </c>
      <c r="H159" s="125">
        <f>CASSA!E160</f>
        <v>45338</v>
      </c>
      <c r="I159" s="122"/>
      <c r="J159" s="54"/>
      <c r="K159" s="54"/>
      <c r="L159" s="54"/>
      <c r="M159" s="54"/>
      <c r="N159" s="54"/>
      <c r="O159" s="54"/>
      <c r="P159" s="54"/>
    </row>
    <row r="160" spans="5:16" hidden="1" x14ac:dyDescent="0.2">
      <c r="E160" s="32"/>
      <c r="F160" s="767">
        <v>39</v>
      </c>
      <c r="G160" s="767">
        <v>39</v>
      </c>
      <c r="H160" s="125">
        <f>CASSA!E161</f>
        <v>45339</v>
      </c>
      <c r="I160" s="122"/>
      <c r="J160" s="54"/>
      <c r="K160" s="54"/>
      <c r="L160" s="54"/>
      <c r="M160" s="54"/>
      <c r="N160" s="54"/>
      <c r="O160" s="54"/>
      <c r="P160" s="54"/>
    </row>
    <row r="161" spans="5:16" hidden="1" x14ac:dyDescent="0.2">
      <c r="E161" s="32"/>
      <c r="F161" s="767">
        <v>40</v>
      </c>
      <c r="G161" s="767">
        <v>40</v>
      </c>
      <c r="H161" s="125">
        <f>CASSA!E162</f>
        <v>45340</v>
      </c>
      <c r="I161" s="122"/>
      <c r="J161" s="54"/>
      <c r="K161" s="54"/>
      <c r="L161" s="54"/>
      <c r="M161" s="54"/>
      <c r="N161" s="54"/>
      <c r="O161" s="54"/>
      <c r="P161" s="54"/>
    </row>
    <row r="162" spans="5:16" hidden="1" x14ac:dyDescent="0.2">
      <c r="E162" s="32"/>
      <c r="F162" s="767">
        <v>41</v>
      </c>
      <c r="G162" s="767">
        <v>41</v>
      </c>
      <c r="H162" s="125">
        <f>CASSA!E163</f>
        <v>45341</v>
      </c>
      <c r="I162" s="122"/>
      <c r="J162" s="54"/>
      <c r="K162" s="54"/>
      <c r="L162" s="54"/>
      <c r="M162" s="54"/>
      <c r="N162" s="54"/>
      <c r="O162" s="54"/>
      <c r="P162" s="54"/>
    </row>
    <row r="163" spans="5:16" hidden="1" x14ac:dyDescent="0.2">
      <c r="E163" s="32"/>
      <c r="F163" s="767">
        <v>42</v>
      </c>
      <c r="G163" s="767">
        <v>42</v>
      </c>
      <c r="H163" s="125">
        <f>CASSA!E164</f>
        <v>45342</v>
      </c>
      <c r="I163" s="122"/>
      <c r="J163" s="54"/>
      <c r="K163" s="54"/>
      <c r="L163" s="54"/>
      <c r="M163" s="54"/>
      <c r="N163" s="54"/>
      <c r="O163" s="54"/>
      <c r="P163" s="54"/>
    </row>
    <row r="164" spans="5:16" hidden="1" x14ac:dyDescent="0.2">
      <c r="E164" s="32"/>
      <c r="F164" s="767">
        <v>43</v>
      </c>
      <c r="G164" s="767">
        <v>43</v>
      </c>
      <c r="H164" s="125">
        <f>CASSA!E165</f>
        <v>45343</v>
      </c>
      <c r="I164" s="122"/>
      <c r="J164" s="54"/>
      <c r="K164" s="54"/>
      <c r="L164" s="54"/>
      <c r="M164" s="54"/>
      <c r="N164" s="54"/>
      <c r="O164" s="54"/>
      <c r="P164" s="54"/>
    </row>
    <row r="165" spans="5:16" hidden="1" x14ac:dyDescent="0.2">
      <c r="E165" s="32"/>
      <c r="F165" s="767">
        <v>44</v>
      </c>
      <c r="G165" s="767">
        <v>44</v>
      </c>
      <c r="H165" s="125">
        <f>CASSA!E166</f>
        <v>45344</v>
      </c>
      <c r="I165" s="122"/>
      <c r="J165" s="54"/>
      <c r="K165" s="54"/>
      <c r="L165" s="54"/>
      <c r="M165" s="54"/>
      <c r="N165" s="54"/>
      <c r="O165" s="54"/>
      <c r="P165" s="54"/>
    </row>
    <row r="166" spans="5:16" hidden="1" x14ac:dyDescent="0.2">
      <c r="E166" s="32"/>
      <c r="F166" s="767">
        <v>45</v>
      </c>
      <c r="G166" s="767">
        <v>45</v>
      </c>
      <c r="H166" s="125">
        <f>CASSA!E167</f>
        <v>45345</v>
      </c>
      <c r="I166" s="122"/>
      <c r="J166" s="54"/>
      <c r="K166" s="54"/>
      <c r="L166" s="54"/>
      <c r="M166" s="54"/>
      <c r="N166" s="54"/>
      <c r="O166" s="54"/>
      <c r="P166" s="54"/>
    </row>
    <row r="167" spans="5:16" hidden="1" x14ac:dyDescent="0.2">
      <c r="E167" s="32"/>
      <c r="F167" s="767">
        <v>46</v>
      </c>
      <c r="G167" s="767">
        <v>46</v>
      </c>
      <c r="H167" s="125">
        <f>CASSA!E168</f>
        <v>45346</v>
      </c>
      <c r="I167" s="122"/>
      <c r="J167" s="54"/>
      <c r="K167" s="54"/>
      <c r="L167" s="54"/>
      <c r="M167" s="54"/>
      <c r="N167" s="54"/>
      <c r="O167" s="54"/>
      <c r="P167" s="54"/>
    </row>
    <row r="168" spans="5:16" hidden="1" x14ac:dyDescent="0.2">
      <c r="E168" s="32"/>
      <c r="F168" s="767">
        <v>47</v>
      </c>
      <c r="G168" s="767">
        <v>47</v>
      </c>
      <c r="H168" s="125">
        <f>CASSA!E169</f>
        <v>45347</v>
      </c>
      <c r="I168" s="122"/>
      <c r="J168" s="54"/>
      <c r="K168" s="54"/>
      <c r="L168" s="54"/>
      <c r="M168" s="54"/>
      <c r="N168" s="54"/>
      <c r="O168" s="54"/>
      <c r="P168" s="54"/>
    </row>
    <row r="169" spans="5:16" hidden="1" x14ac:dyDescent="0.2">
      <c r="E169" s="32"/>
      <c r="F169" s="767">
        <v>48</v>
      </c>
      <c r="G169" s="767">
        <v>48</v>
      </c>
      <c r="H169" s="125">
        <f>CASSA!E170</f>
        <v>45348</v>
      </c>
      <c r="I169" s="122"/>
      <c r="J169" s="54"/>
      <c r="K169" s="54"/>
      <c r="L169" s="54"/>
      <c r="M169" s="54"/>
      <c r="N169" s="54"/>
      <c r="O169" s="54"/>
      <c r="P169" s="54"/>
    </row>
    <row r="170" spans="5:16" hidden="1" x14ac:dyDescent="0.2">
      <c r="E170" s="32"/>
      <c r="F170" s="767">
        <v>49</v>
      </c>
      <c r="G170" s="767">
        <v>49</v>
      </c>
      <c r="H170" s="125">
        <f>CASSA!E171</f>
        <v>45349</v>
      </c>
      <c r="I170" s="122"/>
      <c r="J170" s="54"/>
      <c r="K170" s="54"/>
      <c r="L170" s="54"/>
      <c r="M170" s="54"/>
      <c r="N170" s="54"/>
      <c r="O170" s="54"/>
      <c r="P170" s="54"/>
    </row>
    <row r="171" spans="5:16" hidden="1" x14ac:dyDescent="0.2">
      <c r="E171" s="32"/>
      <c r="F171" s="767">
        <v>50</v>
      </c>
      <c r="G171" s="767">
        <v>50</v>
      </c>
      <c r="H171" s="125">
        <f>CASSA!E172</f>
        <v>45350</v>
      </c>
      <c r="I171" s="122"/>
      <c r="J171" s="54"/>
      <c r="K171" s="54"/>
      <c r="L171" s="54"/>
      <c r="M171" s="54"/>
      <c r="N171" s="54"/>
      <c r="O171" s="54"/>
      <c r="P171" s="54"/>
    </row>
    <row r="172" spans="5:16" hidden="1" x14ac:dyDescent="0.2">
      <c r="E172" s="32"/>
      <c r="F172" s="767">
        <v>51</v>
      </c>
      <c r="G172" s="767">
        <v>51</v>
      </c>
      <c r="H172" s="125">
        <f>CASSA!E173</f>
        <v>45351</v>
      </c>
      <c r="I172" s="122"/>
      <c r="J172" s="54"/>
      <c r="K172" s="54"/>
      <c r="L172" s="54"/>
      <c r="M172" s="54"/>
      <c r="N172" s="54"/>
      <c r="O172" s="54"/>
      <c r="P172" s="54"/>
    </row>
    <row r="173" spans="5:16" hidden="1" x14ac:dyDescent="0.2">
      <c r="E173" s="32"/>
      <c r="F173" s="767" t="str">
        <f>IF(F174=7,52,"")</f>
        <v/>
      </c>
      <c r="G173" s="767">
        <v>52</v>
      </c>
      <c r="H173" s="125">
        <f>CASSA!E174</f>
        <v>45352</v>
      </c>
      <c r="I173" s="122"/>
      <c r="J173" s="54"/>
      <c r="K173" s="54"/>
      <c r="L173" s="54"/>
      <c r="M173" s="54"/>
      <c r="N173" s="54"/>
      <c r="O173" s="54"/>
      <c r="P173" s="54"/>
    </row>
    <row r="174" spans="5:16" hidden="1" x14ac:dyDescent="0.2">
      <c r="E174" s="32"/>
      <c r="F174" s="801">
        <f>CASSA!N479</f>
        <v>5</v>
      </c>
      <c r="G174" s="32"/>
      <c r="H174" s="125">
        <f>CASSA!E175</f>
        <v>45353</v>
      </c>
      <c r="I174" s="122"/>
      <c r="J174" s="54"/>
      <c r="K174" s="54"/>
      <c r="L174" s="54"/>
      <c r="M174" s="54"/>
      <c r="N174" s="54"/>
      <c r="O174" s="54"/>
      <c r="P174" s="54"/>
    </row>
    <row r="175" spans="5:16" hidden="1" x14ac:dyDescent="0.2">
      <c r="E175" s="32"/>
      <c r="F175" s="32"/>
      <c r="G175" s="32"/>
      <c r="H175" s="125">
        <f>CASSA!E176</f>
        <v>45354</v>
      </c>
      <c r="I175" s="122"/>
      <c r="J175" s="54"/>
      <c r="K175" s="54"/>
      <c r="L175" s="54"/>
      <c r="M175" s="54"/>
      <c r="N175" s="54"/>
      <c r="O175" s="54"/>
      <c r="P175" s="54"/>
    </row>
    <row r="176" spans="5:16" hidden="1" x14ac:dyDescent="0.2">
      <c r="G176" s="32"/>
      <c r="H176" s="125">
        <f>CASSA!E177</f>
        <v>45355</v>
      </c>
      <c r="I176" s="122"/>
      <c r="J176" s="54"/>
      <c r="K176" s="54"/>
      <c r="L176" s="54"/>
      <c r="M176" s="54"/>
      <c r="N176" s="54"/>
      <c r="O176" s="54"/>
      <c r="P176" s="54"/>
    </row>
    <row r="177" spans="7:16" hidden="1" x14ac:dyDescent="0.2">
      <c r="G177" s="32"/>
      <c r="H177" s="125">
        <f>CASSA!E178</f>
        <v>45356</v>
      </c>
      <c r="I177" s="122"/>
      <c r="J177" s="54"/>
      <c r="K177" s="54"/>
      <c r="L177" s="54"/>
      <c r="M177" s="54"/>
      <c r="N177" s="54"/>
      <c r="O177" s="54"/>
      <c r="P177" s="54"/>
    </row>
    <row r="178" spans="7:16" hidden="1" x14ac:dyDescent="0.2">
      <c r="G178" s="32"/>
      <c r="H178" s="125">
        <f>CASSA!E179</f>
        <v>45357</v>
      </c>
      <c r="I178" s="122"/>
      <c r="J178" s="54"/>
      <c r="K178" s="54"/>
      <c r="L178" s="54"/>
      <c r="M178" s="54"/>
      <c r="N178" s="54"/>
      <c r="O178" s="54"/>
      <c r="P178" s="54"/>
    </row>
    <row r="179" spans="7:16" hidden="1" x14ac:dyDescent="0.2">
      <c r="G179" s="32"/>
      <c r="H179" s="125">
        <f>CASSA!E180</f>
        <v>45358</v>
      </c>
      <c r="I179" s="122"/>
      <c r="J179" s="54"/>
      <c r="K179" s="54"/>
      <c r="L179" s="54"/>
      <c r="M179" s="54"/>
      <c r="N179" s="54"/>
      <c r="O179" s="54"/>
      <c r="P179" s="54"/>
    </row>
    <row r="180" spans="7:16" hidden="1" x14ac:dyDescent="0.2">
      <c r="G180" s="32"/>
      <c r="H180" s="125">
        <f>CASSA!E181</f>
        <v>45359</v>
      </c>
      <c r="I180" s="122"/>
      <c r="J180" s="54"/>
      <c r="K180" s="54"/>
      <c r="L180" s="54"/>
      <c r="M180" s="54"/>
    </row>
    <row r="181" spans="7:16" hidden="1" x14ac:dyDescent="0.2">
      <c r="G181" s="32"/>
      <c r="H181" s="125">
        <f>CASSA!E182</f>
        <v>45360</v>
      </c>
      <c r="I181" s="122"/>
      <c r="J181" s="54"/>
      <c r="K181" s="54"/>
    </row>
    <row r="182" spans="7:16" hidden="1" x14ac:dyDescent="0.2">
      <c r="G182" s="32"/>
      <c r="H182" s="125">
        <f>CASSA!E183</f>
        <v>45361</v>
      </c>
      <c r="I182" s="122"/>
      <c r="J182" s="54"/>
      <c r="K182" s="54"/>
    </row>
    <row r="183" spans="7:16" hidden="1" x14ac:dyDescent="0.2">
      <c r="G183" s="32"/>
      <c r="H183" s="125">
        <f>CASSA!E184</f>
        <v>45362</v>
      </c>
      <c r="I183" s="122"/>
      <c r="J183" s="54"/>
      <c r="K183" s="54"/>
    </row>
    <row r="184" spans="7:16" hidden="1" x14ac:dyDescent="0.2">
      <c r="G184" s="32"/>
      <c r="H184" s="125">
        <f>CASSA!E185</f>
        <v>45363</v>
      </c>
      <c r="I184" s="122"/>
      <c r="J184" s="54"/>
      <c r="K184" s="54"/>
    </row>
    <row r="185" spans="7:16" hidden="1" x14ac:dyDescent="0.2">
      <c r="G185" s="32"/>
      <c r="H185" s="125">
        <f>CASSA!E186</f>
        <v>45364</v>
      </c>
      <c r="I185" s="122"/>
      <c r="J185" s="54"/>
      <c r="K185" s="54"/>
    </row>
    <row r="186" spans="7:16" hidden="1" x14ac:dyDescent="0.2">
      <c r="G186" s="32"/>
      <c r="H186" s="125">
        <f>CASSA!E187</f>
        <v>45365</v>
      </c>
      <c r="I186" s="122"/>
      <c r="J186" s="54"/>
      <c r="K186" s="54"/>
    </row>
    <row r="187" spans="7:16" hidden="1" x14ac:dyDescent="0.2">
      <c r="G187" s="32"/>
      <c r="H187" s="125">
        <f>CASSA!E188</f>
        <v>45366</v>
      </c>
      <c r="I187" s="122"/>
      <c r="J187" s="54"/>
      <c r="K187" s="54"/>
    </row>
    <row r="188" spans="7:16" hidden="1" x14ac:dyDescent="0.2">
      <c r="G188" s="32"/>
      <c r="H188" s="125">
        <f>CASSA!E189</f>
        <v>45367</v>
      </c>
      <c r="I188" s="122"/>
    </row>
    <row r="189" spans="7:16" hidden="1" x14ac:dyDescent="0.2">
      <c r="G189" s="32"/>
      <c r="H189" s="125">
        <f>CASSA!E190</f>
        <v>45368</v>
      </c>
      <c r="I189" s="122"/>
    </row>
    <row r="190" spans="7:16" hidden="1" x14ac:dyDescent="0.2">
      <c r="G190" s="32"/>
      <c r="H190" s="125">
        <f>CASSA!E191</f>
        <v>45369</v>
      </c>
      <c r="I190" s="122"/>
    </row>
    <row r="191" spans="7:16" hidden="1" x14ac:dyDescent="0.2">
      <c r="G191" s="32"/>
      <c r="H191" s="125">
        <f>CASSA!E192</f>
        <v>45370</v>
      </c>
      <c r="I191" s="122"/>
    </row>
    <row r="192" spans="7:16" hidden="1" x14ac:dyDescent="0.2">
      <c r="G192" s="32"/>
      <c r="H192" s="125">
        <f>CASSA!E193</f>
        <v>45371</v>
      </c>
      <c r="I192" s="122"/>
    </row>
    <row r="193" spans="7:9" hidden="1" x14ac:dyDescent="0.2">
      <c r="G193" s="32"/>
      <c r="H193" s="125">
        <f>CASSA!E194</f>
        <v>45372</v>
      </c>
      <c r="I193" s="122"/>
    </row>
    <row r="194" spans="7:9" hidden="1" x14ac:dyDescent="0.2">
      <c r="G194" s="32"/>
      <c r="H194" s="125">
        <f>CASSA!E195</f>
        <v>45373</v>
      </c>
      <c r="I194" s="122"/>
    </row>
    <row r="195" spans="7:9" hidden="1" x14ac:dyDescent="0.2">
      <c r="G195" s="32"/>
      <c r="H195" s="125">
        <f>CASSA!E196</f>
        <v>45374</v>
      </c>
      <c r="I195" s="122"/>
    </row>
    <row r="196" spans="7:9" hidden="1" x14ac:dyDescent="0.2">
      <c r="G196" s="32"/>
      <c r="H196" s="125">
        <f>CASSA!E197</f>
        <v>45375</v>
      </c>
      <c r="I196" s="122"/>
    </row>
    <row r="197" spans="7:9" hidden="1" x14ac:dyDescent="0.2">
      <c r="G197" s="32"/>
      <c r="H197" s="125">
        <f>CASSA!E198</f>
        <v>45376</v>
      </c>
      <c r="I197" s="122"/>
    </row>
    <row r="198" spans="7:9" hidden="1" x14ac:dyDescent="0.2">
      <c r="G198" s="32"/>
      <c r="H198" s="125">
        <f>CASSA!E199</f>
        <v>45377</v>
      </c>
      <c r="I198" s="122"/>
    </row>
    <row r="199" spans="7:9" hidden="1" x14ac:dyDescent="0.2">
      <c r="G199" s="32"/>
      <c r="H199" s="125">
        <f>CASSA!E200</f>
        <v>45378</v>
      </c>
      <c r="I199" s="122"/>
    </row>
    <row r="200" spans="7:9" hidden="1" x14ac:dyDescent="0.2">
      <c r="G200" s="32"/>
      <c r="H200" s="125">
        <f>CASSA!E201</f>
        <v>45379</v>
      </c>
      <c r="I200" s="122"/>
    </row>
    <row r="201" spans="7:9" hidden="1" x14ac:dyDescent="0.2">
      <c r="G201" s="32"/>
      <c r="H201" s="125">
        <f>CASSA!E202</f>
        <v>45380</v>
      </c>
      <c r="I201" s="122"/>
    </row>
    <row r="202" spans="7:9" hidden="1" x14ac:dyDescent="0.2">
      <c r="G202" s="32"/>
      <c r="H202" s="125">
        <f>CASSA!E203</f>
        <v>45381</v>
      </c>
      <c r="I202" s="122"/>
    </row>
    <row r="203" spans="7:9" hidden="1" x14ac:dyDescent="0.2">
      <c r="G203" s="32"/>
      <c r="H203" s="125">
        <f>CASSA!E204</f>
        <v>45382</v>
      </c>
      <c r="I203" s="122"/>
    </row>
    <row r="204" spans="7:9" hidden="1" x14ac:dyDescent="0.2">
      <c r="G204" s="32"/>
      <c r="H204" s="125">
        <f>CASSA!E205</f>
        <v>45383</v>
      </c>
      <c r="I204" s="122"/>
    </row>
    <row r="205" spans="7:9" hidden="1" x14ac:dyDescent="0.2">
      <c r="G205" s="32"/>
      <c r="H205" s="125">
        <f>CASSA!E206</f>
        <v>45384</v>
      </c>
      <c r="I205" s="122"/>
    </row>
    <row r="206" spans="7:9" hidden="1" x14ac:dyDescent="0.2">
      <c r="G206" s="32"/>
      <c r="H206" s="125">
        <f>CASSA!E207</f>
        <v>45385</v>
      </c>
      <c r="I206" s="122"/>
    </row>
    <row r="207" spans="7:9" hidden="1" x14ac:dyDescent="0.2">
      <c r="G207" s="32"/>
      <c r="H207" s="125">
        <f>CASSA!E208</f>
        <v>45386</v>
      </c>
      <c r="I207" s="122"/>
    </row>
    <row r="208" spans="7:9" hidden="1" x14ac:dyDescent="0.2">
      <c r="G208" s="32"/>
      <c r="H208" s="125">
        <f>CASSA!E209</f>
        <v>45387</v>
      </c>
      <c r="I208" s="122"/>
    </row>
    <row r="209" spans="7:9" hidden="1" x14ac:dyDescent="0.2">
      <c r="G209" s="32"/>
      <c r="H209" s="125">
        <f>CASSA!E210</f>
        <v>45388</v>
      </c>
      <c r="I209" s="122"/>
    </row>
    <row r="210" spans="7:9" hidden="1" x14ac:dyDescent="0.2">
      <c r="G210" s="32"/>
      <c r="H210" s="125">
        <f>CASSA!E211</f>
        <v>45389</v>
      </c>
      <c r="I210" s="122"/>
    </row>
    <row r="211" spans="7:9" hidden="1" x14ac:dyDescent="0.2">
      <c r="G211" s="32"/>
      <c r="H211" s="125">
        <f>CASSA!E212</f>
        <v>45390</v>
      </c>
      <c r="I211" s="122"/>
    </row>
    <row r="212" spans="7:9" hidden="1" x14ac:dyDescent="0.2">
      <c r="G212" s="32"/>
      <c r="H212" s="125">
        <f>CASSA!E213</f>
        <v>45391</v>
      </c>
      <c r="I212" s="122"/>
    </row>
    <row r="213" spans="7:9" hidden="1" x14ac:dyDescent="0.2">
      <c r="G213" s="32"/>
      <c r="H213" s="125">
        <f>CASSA!E214</f>
        <v>45392</v>
      </c>
      <c r="I213" s="122"/>
    </row>
    <row r="214" spans="7:9" hidden="1" x14ac:dyDescent="0.2">
      <c r="G214" s="32"/>
      <c r="H214" s="125">
        <f>CASSA!E215</f>
        <v>45393</v>
      </c>
      <c r="I214" s="122"/>
    </row>
    <row r="215" spans="7:9" hidden="1" x14ac:dyDescent="0.2">
      <c r="G215" s="32"/>
      <c r="H215" s="125">
        <f>CASSA!E216</f>
        <v>45394</v>
      </c>
      <c r="I215" s="122"/>
    </row>
    <row r="216" spans="7:9" hidden="1" x14ac:dyDescent="0.2">
      <c r="G216" s="32"/>
      <c r="H216" s="125">
        <f>CASSA!E217</f>
        <v>45395</v>
      </c>
      <c r="I216" s="122"/>
    </row>
    <row r="217" spans="7:9" hidden="1" x14ac:dyDescent="0.2">
      <c r="G217" s="32"/>
      <c r="H217" s="125">
        <f>CASSA!E218</f>
        <v>45396</v>
      </c>
      <c r="I217" s="122"/>
    </row>
    <row r="218" spans="7:9" hidden="1" x14ac:dyDescent="0.2">
      <c r="G218" s="32"/>
      <c r="H218" s="125">
        <f>CASSA!E219</f>
        <v>45397</v>
      </c>
      <c r="I218" s="122"/>
    </row>
    <row r="219" spans="7:9" hidden="1" x14ac:dyDescent="0.2">
      <c r="G219" s="32"/>
      <c r="H219" s="125">
        <f>CASSA!E220</f>
        <v>45398</v>
      </c>
      <c r="I219" s="122"/>
    </row>
    <row r="220" spans="7:9" hidden="1" x14ac:dyDescent="0.2">
      <c r="G220" s="32"/>
      <c r="H220" s="125">
        <f>CASSA!E221</f>
        <v>45399</v>
      </c>
      <c r="I220" s="122"/>
    </row>
    <row r="221" spans="7:9" hidden="1" x14ac:dyDescent="0.2">
      <c r="G221" s="32"/>
      <c r="H221" s="125">
        <f>CASSA!E222</f>
        <v>45400</v>
      </c>
      <c r="I221" s="122"/>
    </row>
    <row r="222" spans="7:9" hidden="1" x14ac:dyDescent="0.2">
      <c r="G222" s="32"/>
      <c r="H222" s="125">
        <f>CASSA!E223</f>
        <v>45401</v>
      </c>
      <c r="I222" s="122"/>
    </row>
    <row r="223" spans="7:9" hidden="1" x14ac:dyDescent="0.2">
      <c r="G223" s="32"/>
      <c r="H223" s="125">
        <f>CASSA!E224</f>
        <v>45402</v>
      </c>
      <c r="I223" s="122"/>
    </row>
    <row r="224" spans="7:9" hidden="1" x14ac:dyDescent="0.2">
      <c r="G224" s="32"/>
      <c r="H224" s="125">
        <f>CASSA!E225</f>
        <v>45403</v>
      </c>
      <c r="I224" s="122"/>
    </row>
    <row r="225" spans="7:9" hidden="1" x14ac:dyDescent="0.2">
      <c r="G225" s="32"/>
      <c r="H225" s="125">
        <f>CASSA!E226</f>
        <v>45404</v>
      </c>
      <c r="I225" s="122"/>
    </row>
    <row r="226" spans="7:9" hidden="1" x14ac:dyDescent="0.2">
      <c r="G226" s="32"/>
      <c r="H226" s="125">
        <f>CASSA!E227</f>
        <v>45405</v>
      </c>
      <c r="I226" s="122"/>
    </row>
    <row r="227" spans="7:9" hidden="1" x14ac:dyDescent="0.2">
      <c r="G227" s="32"/>
      <c r="H227" s="125">
        <f>CASSA!E228</f>
        <v>45406</v>
      </c>
      <c r="I227" s="122"/>
    </row>
    <row r="228" spans="7:9" hidden="1" x14ac:dyDescent="0.2">
      <c r="G228" s="32"/>
      <c r="H228" s="125">
        <f>CASSA!E229</f>
        <v>45407</v>
      </c>
      <c r="I228" s="122"/>
    </row>
    <row r="229" spans="7:9" hidden="1" x14ac:dyDescent="0.2">
      <c r="G229" s="32"/>
      <c r="H229" s="125">
        <f>CASSA!E230</f>
        <v>45408</v>
      </c>
      <c r="I229" s="122"/>
    </row>
    <row r="230" spans="7:9" hidden="1" x14ac:dyDescent="0.2">
      <c r="G230" s="32"/>
      <c r="H230" s="125">
        <f>CASSA!E231</f>
        <v>45409</v>
      </c>
      <c r="I230" s="122"/>
    </row>
    <row r="231" spans="7:9" hidden="1" x14ac:dyDescent="0.2">
      <c r="G231" s="32"/>
      <c r="H231" s="125">
        <f>CASSA!E232</f>
        <v>45410</v>
      </c>
      <c r="I231" s="122"/>
    </row>
    <row r="232" spans="7:9" hidden="1" x14ac:dyDescent="0.2">
      <c r="G232" s="32"/>
      <c r="H232" s="125">
        <f>CASSA!E233</f>
        <v>45411</v>
      </c>
      <c r="I232" s="122"/>
    </row>
    <row r="233" spans="7:9" hidden="1" x14ac:dyDescent="0.2">
      <c r="G233" s="32"/>
      <c r="H233" s="125">
        <f>CASSA!E234</f>
        <v>45412</v>
      </c>
      <c r="I233" s="122"/>
    </row>
    <row r="234" spans="7:9" hidden="1" x14ac:dyDescent="0.2">
      <c r="G234" s="32"/>
      <c r="H234" s="125">
        <f>CASSA!E235</f>
        <v>45413</v>
      </c>
      <c r="I234" s="122"/>
    </row>
    <row r="235" spans="7:9" hidden="1" x14ac:dyDescent="0.2">
      <c r="G235" s="32"/>
      <c r="H235" s="125">
        <f>CASSA!E236</f>
        <v>45414</v>
      </c>
      <c r="I235" s="122"/>
    </row>
    <row r="236" spans="7:9" hidden="1" x14ac:dyDescent="0.2">
      <c r="G236" s="32"/>
      <c r="H236" s="125">
        <f>CASSA!E237</f>
        <v>45415</v>
      </c>
      <c r="I236" s="122"/>
    </row>
    <row r="237" spans="7:9" hidden="1" x14ac:dyDescent="0.2">
      <c r="G237" s="32"/>
      <c r="H237" s="125">
        <f>CASSA!E238</f>
        <v>45416</v>
      </c>
      <c r="I237" s="122"/>
    </row>
    <row r="238" spans="7:9" hidden="1" x14ac:dyDescent="0.2">
      <c r="G238" s="32"/>
      <c r="H238" s="125">
        <f>CASSA!E239</f>
        <v>45417</v>
      </c>
      <c r="I238" s="122"/>
    </row>
    <row r="239" spans="7:9" hidden="1" x14ac:dyDescent="0.2">
      <c r="G239" s="32"/>
      <c r="H239" s="125">
        <f>CASSA!E240</f>
        <v>45418</v>
      </c>
      <c r="I239" s="122"/>
    </row>
    <row r="240" spans="7:9" hidden="1" x14ac:dyDescent="0.2">
      <c r="G240" s="32"/>
      <c r="H240" s="125">
        <f>CASSA!E241</f>
        <v>45419</v>
      </c>
      <c r="I240" s="122"/>
    </row>
    <row r="241" spans="7:9" hidden="1" x14ac:dyDescent="0.2">
      <c r="G241" s="32"/>
      <c r="H241" s="125">
        <f>CASSA!E242</f>
        <v>45420</v>
      </c>
      <c r="I241" s="122"/>
    </row>
    <row r="242" spans="7:9" hidden="1" x14ac:dyDescent="0.2">
      <c r="G242" s="32"/>
      <c r="H242" s="125">
        <f>CASSA!E243</f>
        <v>45421</v>
      </c>
      <c r="I242" s="122"/>
    </row>
    <row r="243" spans="7:9" hidden="1" x14ac:dyDescent="0.2">
      <c r="G243" s="32"/>
      <c r="H243" s="125">
        <f>CASSA!E244</f>
        <v>45422</v>
      </c>
      <c r="I243" s="122"/>
    </row>
    <row r="244" spans="7:9" hidden="1" x14ac:dyDescent="0.2">
      <c r="G244" s="32"/>
      <c r="H244" s="125">
        <f>CASSA!E245</f>
        <v>45423</v>
      </c>
      <c r="I244" s="122"/>
    </row>
    <row r="245" spans="7:9" hidden="1" x14ac:dyDescent="0.2">
      <c r="G245" s="32"/>
      <c r="H245" s="125">
        <f>CASSA!E246</f>
        <v>45424</v>
      </c>
      <c r="I245" s="122"/>
    </row>
    <row r="246" spans="7:9" hidden="1" x14ac:dyDescent="0.2">
      <c r="G246" s="32"/>
      <c r="H246" s="125">
        <f>CASSA!E247</f>
        <v>45425</v>
      </c>
      <c r="I246" s="122"/>
    </row>
    <row r="247" spans="7:9" hidden="1" x14ac:dyDescent="0.2">
      <c r="G247" s="32"/>
      <c r="H247" s="125">
        <f>CASSA!E248</f>
        <v>45426</v>
      </c>
      <c r="I247" s="122"/>
    </row>
    <row r="248" spans="7:9" hidden="1" x14ac:dyDescent="0.2">
      <c r="G248" s="32"/>
      <c r="H248" s="125">
        <f>CASSA!E249</f>
        <v>45427</v>
      </c>
      <c r="I248" s="122"/>
    </row>
    <row r="249" spans="7:9" hidden="1" x14ac:dyDescent="0.2">
      <c r="G249" s="32"/>
      <c r="H249" s="125">
        <f>CASSA!E250</f>
        <v>45428</v>
      </c>
      <c r="I249" s="122"/>
    </row>
    <row r="250" spans="7:9" hidden="1" x14ac:dyDescent="0.2">
      <c r="G250" s="32"/>
      <c r="H250" s="125">
        <f>CASSA!E251</f>
        <v>45429</v>
      </c>
      <c r="I250" s="122"/>
    </row>
    <row r="251" spans="7:9" hidden="1" x14ac:dyDescent="0.2">
      <c r="G251" s="32"/>
      <c r="H251" s="125">
        <f>CASSA!E252</f>
        <v>45430</v>
      </c>
      <c r="I251" s="122"/>
    </row>
    <row r="252" spans="7:9" hidden="1" x14ac:dyDescent="0.2">
      <c r="G252" s="32"/>
      <c r="H252" s="125">
        <f>CASSA!E253</f>
        <v>45431</v>
      </c>
      <c r="I252" s="122"/>
    </row>
    <row r="253" spans="7:9" hidden="1" x14ac:dyDescent="0.2">
      <c r="G253" s="32"/>
      <c r="H253" s="125">
        <f>CASSA!E254</f>
        <v>45432</v>
      </c>
      <c r="I253" s="122"/>
    </row>
    <row r="254" spans="7:9" hidden="1" x14ac:dyDescent="0.2">
      <c r="G254" s="32"/>
      <c r="H254" s="125">
        <f>CASSA!E255</f>
        <v>45433</v>
      </c>
      <c r="I254" s="122"/>
    </row>
    <row r="255" spans="7:9" hidden="1" x14ac:dyDescent="0.2">
      <c r="G255" s="32"/>
      <c r="H255" s="125">
        <f>CASSA!E256</f>
        <v>45434</v>
      </c>
      <c r="I255" s="122"/>
    </row>
    <row r="256" spans="7:9" hidden="1" x14ac:dyDescent="0.2">
      <c r="G256" s="32"/>
      <c r="H256" s="125">
        <f>CASSA!E257</f>
        <v>45435</v>
      </c>
      <c r="I256" s="122"/>
    </row>
    <row r="257" spans="7:9" hidden="1" x14ac:dyDescent="0.2">
      <c r="G257" s="32"/>
      <c r="H257" s="125">
        <f>CASSA!E258</f>
        <v>45436</v>
      </c>
      <c r="I257" s="122"/>
    </row>
    <row r="258" spans="7:9" hidden="1" x14ac:dyDescent="0.2">
      <c r="G258" s="32"/>
      <c r="H258" s="125">
        <f>CASSA!E259</f>
        <v>45437</v>
      </c>
      <c r="I258" s="122"/>
    </row>
    <row r="259" spans="7:9" hidden="1" x14ac:dyDescent="0.2">
      <c r="G259" s="32"/>
      <c r="H259" s="125">
        <f>CASSA!E260</f>
        <v>45438</v>
      </c>
      <c r="I259" s="122"/>
    </row>
    <row r="260" spans="7:9" hidden="1" x14ac:dyDescent="0.2">
      <c r="G260" s="32"/>
      <c r="H260" s="125">
        <f>CASSA!E261</f>
        <v>45439</v>
      </c>
      <c r="I260" s="122"/>
    </row>
    <row r="261" spans="7:9" hidden="1" x14ac:dyDescent="0.2">
      <c r="G261" s="32"/>
      <c r="H261" s="125">
        <f>CASSA!E262</f>
        <v>45440</v>
      </c>
      <c r="I261" s="122"/>
    </row>
    <row r="262" spans="7:9" hidden="1" x14ac:dyDescent="0.2">
      <c r="G262" s="32"/>
      <c r="H262" s="125">
        <f>CASSA!E263</f>
        <v>45441</v>
      </c>
      <c r="I262" s="122"/>
    </row>
    <row r="263" spans="7:9" hidden="1" x14ac:dyDescent="0.2">
      <c r="G263" s="32"/>
      <c r="H263" s="125">
        <f>CASSA!E264</f>
        <v>45442</v>
      </c>
      <c r="I263" s="122"/>
    </row>
    <row r="264" spans="7:9" hidden="1" x14ac:dyDescent="0.2">
      <c r="G264" s="32"/>
      <c r="H264" s="125">
        <f>CASSA!E265</f>
        <v>45443</v>
      </c>
      <c r="I264" s="122"/>
    </row>
    <row r="265" spans="7:9" hidden="1" x14ac:dyDescent="0.2">
      <c r="G265" s="32"/>
      <c r="H265" s="125">
        <f>CASSA!E266</f>
        <v>45444</v>
      </c>
      <c r="I265" s="122"/>
    </row>
    <row r="266" spans="7:9" hidden="1" x14ac:dyDescent="0.2">
      <c r="G266" s="32"/>
      <c r="H266" s="125">
        <f>CASSA!E267</f>
        <v>45445</v>
      </c>
      <c r="I266" s="122"/>
    </row>
    <row r="267" spans="7:9" hidden="1" x14ac:dyDescent="0.2">
      <c r="G267" s="32"/>
      <c r="H267" s="125">
        <f>CASSA!E268</f>
        <v>45446</v>
      </c>
      <c r="I267" s="122"/>
    </row>
    <row r="268" spans="7:9" hidden="1" x14ac:dyDescent="0.2">
      <c r="G268" s="32"/>
      <c r="H268" s="125">
        <f>CASSA!E269</f>
        <v>45447</v>
      </c>
      <c r="I268" s="122"/>
    </row>
    <row r="269" spans="7:9" hidden="1" x14ac:dyDescent="0.2">
      <c r="G269" s="32"/>
      <c r="H269" s="125">
        <f>CASSA!E270</f>
        <v>45448</v>
      </c>
      <c r="I269" s="122"/>
    </row>
    <row r="270" spans="7:9" hidden="1" x14ac:dyDescent="0.2">
      <c r="G270" s="32"/>
      <c r="H270" s="125">
        <f>CASSA!E271</f>
        <v>45449</v>
      </c>
      <c r="I270" s="122"/>
    </row>
    <row r="271" spans="7:9" hidden="1" x14ac:dyDescent="0.2">
      <c r="G271" s="32"/>
      <c r="H271" s="125">
        <f>CASSA!E272</f>
        <v>45450</v>
      </c>
      <c r="I271" s="122"/>
    </row>
    <row r="272" spans="7:9" hidden="1" x14ac:dyDescent="0.2">
      <c r="G272" s="32"/>
      <c r="H272" s="125">
        <f>CASSA!E273</f>
        <v>45451</v>
      </c>
      <c r="I272" s="122"/>
    </row>
    <row r="273" spans="7:9" hidden="1" x14ac:dyDescent="0.2">
      <c r="G273" s="32"/>
      <c r="H273" s="125">
        <f>CASSA!E274</f>
        <v>45452</v>
      </c>
      <c r="I273" s="122"/>
    </row>
    <row r="274" spans="7:9" hidden="1" x14ac:dyDescent="0.2">
      <c r="G274" s="32"/>
      <c r="H274" s="125">
        <f>CASSA!E275</f>
        <v>45453</v>
      </c>
      <c r="I274" s="122"/>
    </row>
    <row r="275" spans="7:9" hidden="1" x14ac:dyDescent="0.2">
      <c r="G275" s="32"/>
      <c r="H275" s="125">
        <f>CASSA!E276</f>
        <v>45454</v>
      </c>
      <c r="I275" s="122"/>
    </row>
    <row r="276" spans="7:9" hidden="1" x14ac:dyDescent="0.2">
      <c r="G276" s="32"/>
      <c r="H276" s="125">
        <f>CASSA!E277</f>
        <v>45455</v>
      </c>
      <c r="I276" s="122"/>
    </row>
    <row r="277" spans="7:9" hidden="1" x14ac:dyDescent="0.2">
      <c r="G277" s="32"/>
      <c r="H277" s="125">
        <f>CASSA!E278</f>
        <v>45456</v>
      </c>
      <c r="I277" s="122"/>
    </row>
    <row r="278" spans="7:9" hidden="1" x14ac:dyDescent="0.2">
      <c r="G278" s="32"/>
      <c r="H278" s="125">
        <f>CASSA!E279</f>
        <v>45457</v>
      </c>
      <c r="I278" s="122"/>
    </row>
    <row r="279" spans="7:9" hidden="1" x14ac:dyDescent="0.2">
      <c r="G279" s="32"/>
      <c r="H279" s="125">
        <f>CASSA!E280</f>
        <v>45458</v>
      </c>
      <c r="I279" s="122"/>
    </row>
    <row r="280" spans="7:9" hidden="1" x14ac:dyDescent="0.2">
      <c r="G280" s="32"/>
      <c r="H280" s="125">
        <f>CASSA!E281</f>
        <v>45459</v>
      </c>
      <c r="I280" s="122"/>
    </row>
    <row r="281" spans="7:9" hidden="1" x14ac:dyDescent="0.2">
      <c r="G281" s="32"/>
      <c r="H281" s="125">
        <f>CASSA!E282</f>
        <v>45460</v>
      </c>
      <c r="I281" s="122"/>
    </row>
    <row r="282" spans="7:9" hidden="1" x14ac:dyDescent="0.2">
      <c r="G282" s="32"/>
      <c r="H282" s="125">
        <f>CASSA!E283</f>
        <v>45461</v>
      </c>
      <c r="I282" s="122"/>
    </row>
    <row r="283" spans="7:9" hidden="1" x14ac:dyDescent="0.2">
      <c r="G283" s="32"/>
      <c r="H283" s="125">
        <f>CASSA!E284</f>
        <v>45462</v>
      </c>
      <c r="I283" s="122"/>
    </row>
    <row r="284" spans="7:9" hidden="1" x14ac:dyDescent="0.2">
      <c r="G284" s="32"/>
      <c r="H284" s="125">
        <f>CASSA!E285</f>
        <v>45463</v>
      </c>
      <c r="I284" s="122"/>
    </row>
    <row r="285" spans="7:9" hidden="1" x14ac:dyDescent="0.2">
      <c r="G285" s="32"/>
      <c r="H285" s="125">
        <f>CASSA!E286</f>
        <v>45464</v>
      </c>
      <c r="I285" s="122"/>
    </row>
    <row r="286" spans="7:9" hidden="1" x14ac:dyDescent="0.2">
      <c r="G286" s="32"/>
      <c r="H286" s="125">
        <f>CASSA!E287</f>
        <v>45465</v>
      </c>
      <c r="I286" s="122"/>
    </row>
    <row r="287" spans="7:9" hidden="1" x14ac:dyDescent="0.2">
      <c r="G287" s="32"/>
      <c r="H287" s="125">
        <f>CASSA!E288</f>
        <v>45466</v>
      </c>
      <c r="I287" s="122"/>
    </row>
    <row r="288" spans="7:9" hidden="1" x14ac:dyDescent="0.2">
      <c r="G288" s="32"/>
      <c r="H288" s="125">
        <f>CASSA!E289</f>
        <v>45467</v>
      </c>
      <c r="I288" s="122"/>
    </row>
    <row r="289" spans="7:9" hidden="1" x14ac:dyDescent="0.2">
      <c r="G289" s="32"/>
      <c r="H289" s="125">
        <f>CASSA!E290</f>
        <v>45468</v>
      </c>
      <c r="I289" s="122"/>
    </row>
    <row r="290" spans="7:9" hidden="1" x14ac:dyDescent="0.2">
      <c r="G290" s="32"/>
      <c r="H290" s="125">
        <f>CASSA!E291</f>
        <v>45469</v>
      </c>
      <c r="I290" s="122"/>
    </row>
    <row r="291" spans="7:9" hidden="1" x14ac:dyDescent="0.2">
      <c r="G291" s="32"/>
      <c r="H291" s="125">
        <f>CASSA!E292</f>
        <v>45470</v>
      </c>
      <c r="I291" s="122"/>
    </row>
    <row r="292" spans="7:9" hidden="1" x14ac:dyDescent="0.2">
      <c r="G292" s="32"/>
      <c r="H292" s="125">
        <f>CASSA!E293</f>
        <v>45471</v>
      </c>
      <c r="I292" s="122"/>
    </row>
    <row r="293" spans="7:9" hidden="1" x14ac:dyDescent="0.2">
      <c r="G293" s="32"/>
      <c r="H293" s="125">
        <f>CASSA!E294</f>
        <v>45472</v>
      </c>
      <c r="I293" s="122"/>
    </row>
    <row r="294" spans="7:9" hidden="1" x14ac:dyDescent="0.2">
      <c r="G294" s="32"/>
      <c r="H294" s="125">
        <f>CASSA!E295</f>
        <v>45473</v>
      </c>
      <c r="I294" s="122"/>
    </row>
    <row r="295" spans="7:9" hidden="1" x14ac:dyDescent="0.2">
      <c r="G295" s="32"/>
      <c r="H295" s="125">
        <f>CASSA!E296</f>
        <v>45474</v>
      </c>
      <c r="I295" s="122"/>
    </row>
    <row r="296" spans="7:9" hidden="1" x14ac:dyDescent="0.2">
      <c r="G296" s="32"/>
      <c r="H296" s="125">
        <f>CASSA!E297</f>
        <v>45475</v>
      </c>
      <c r="I296" s="122"/>
    </row>
    <row r="297" spans="7:9" hidden="1" x14ac:dyDescent="0.2">
      <c r="G297" s="32"/>
      <c r="H297" s="125">
        <f>CASSA!E298</f>
        <v>45476</v>
      </c>
      <c r="I297" s="122"/>
    </row>
    <row r="298" spans="7:9" hidden="1" x14ac:dyDescent="0.2">
      <c r="G298" s="32"/>
      <c r="H298" s="125">
        <f>CASSA!E299</f>
        <v>45477</v>
      </c>
      <c r="I298" s="122"/>
    </row>
    <row r="299" spans="7:9" hidden="1" x14ac:dyDescent="0.2">
      <c r="G299" s="32"/>
      <c r="H299" s="125">
        <f>CASSA!E300</f>
        <v>45478</v>
      </c>
      <c r="I299" s="122"/>
    </row>
    <row r="300" spans="7:9" hidden="1" x14ac:dyDescent="0.2">
      <c r="G300" s="32"/>
      <c r="H300" s="125">
        <f>CASSA!E301</f>
        <v>45479</v>
      </c>
      <c r="I300" s="122"/>
    </row>
    <row r="301" spans="7:9" hidden="1" x14ac:dyDescent="0.2">
      <c r="G301" s="32"/>
      <c r="H301" s="125">
        <f>CASSA!E302</f>
        <v>45480</v>
      </c>
      <c r="I301" s="122"/>
    </row>
    <row r="302" spans="7:9" hidden="1" x14ac:dyDescent="0.2">
      <c r="G302" s="32"/>
      <c r="H302" s="125">
        <f>CASSA!E303</f>
        <v>45481</v>
      </c>
      <c r="I302" s="122"/>
    </row>
    <row r="303" spans="7:9" hidden="1" x14ac:dyDescent="0.2">
      <c r="G303" s="32"/>
      <c r="H303" s="125">
        <f>CASSA!E304</f>
        <v>45482</v>
      </c>
      <c r="I303" s="122"/>
    </row>
    <row r="304" spans="7:9" hidden="1" x14ac:dyDescent="0.2">
      <c r="G304" s="32"/>
      <c r="H304" s="125">
        <f>CASSA!E305</f>
        <v>45483</v>
      </c>
      <c r="I304" s="122"/>
    </row>
    <row r="305" spans="7:9" hidden="1" x14ac:dyDescent="0.2">
      <c r="G305" s="32"/>
      <c r="H305" s="125">
        <f>CASSA!E306</f>
        <v>45484</v>
      </c>
      <c r="I305" s="122"/>
    </row>
    <row r="306" spans="7:9" hidden="1" x14ac:dyDescent="0.2">
      <c r="G306" s="32"/>
      <c r="H306" s="125">
        <f>CASSA!E307</f>
        <v>45485</v>
      </c>
      <c r="I306" s="122"/>
    </row>
    <row r="307" spans="7:9" hidden="1" x14ac:dyDescent="0.2">
      <c r="G307" s="32"/>
      <c r="H307" s="125">
        <f>CASSA!E308</f>
        <v>45486</v>
      </c>
      <c r="I307" s="122"/>
    </row>
    <row r="308" spans="7:9" hidden="1" x14ac:dyDescent="0.2">
      <c r="G308" s="32"/>
      <c r="H308" s="125">
        <f>CASSA!E309</f>
        <v>45487</v>
      </c>
      <c r="I308" s="122"/>
    </row>
    <row r="309" spans="7:9" hidden="1" x14ac:dyDescent="0.2">
      <c r="G309" s="32"/>
      <c r="H309" s="125">
        <f>CASSA!E310</f>
        <v>45488</v>
      </c>
      <c r="I309" s="122"/>
    </row>
    <row r="310" spans="7:9" hidden="1" x14ac:dyDescent="0.2">
      <c r="G310" s="32"/>
      <c r="H310" s="125">
        <f>CASSA!E311</f>
        <v>45489</v>
      </c>
      <c r="I310" s="122"/>
    </row>
    <row r="311" spans="7:9" hidden="1" x14ac:dyDescent="0.2">
      <c r="G311" s="32"/>
      <c r="H311" s="125">
        <f>CASSA!E312</f>
        <v>45490</v>
      </c>
      <c r="I311" s="122"/>
    </row>
    <row r="312" spans="7:9" hidden="1" x14ac:dyDescent="0.2">
      <c r="G312" s="32"/>
      <c r="H312" s="125">
        <f>CASSA!E313</f>
        <v>45491</v>
      </c>
      <c r="I312" s="122"/>
    </row>
    <row r="313" spans="7:9" hidden="1" x14ac:dyDescent="0.2">
      <c r="G313" s="32"/>
      <c r="H313" s="125">
        <f>CASSA!E314</f>
        <v>45492</v>
      </c>
      <c r="I313" s="122"/>
    </row>
    <row r="314" spans="7:9" hidden="1" x14ac:dyDescent="0.2">
      <c r="G314" s="32"/>
      <c r="H314" s="125">
        <f>CASSA!E315</f>
        <v>45493</v>
      </c>
      <c r="I314" s="122"/>
    </row>
    <row r="315" spans="7:9" hidden="1" x14ac:dyDescent="0.2">
      <c r="G315" s="32"/>
      <c r="H315" s="125">
        <f>CASSA!E316</f>
        <v>45494</v>
      </c>
      <c r="I315" s="122"/>
    </row>
    <row r="316" spans="7:9" hidden="1" x14ac:dyDescent="0.2">
      <c r="G316" s="32"/>
      <c r="H316" s="125">
        <f>CASSA!E317</f>
        <v>45495</v>
      </c>
      <c r="I316" s="122"/>
    </row>
    <row r="317" spans="7:9" hidden="1" x14ac:dyDescent="0.2">
      <c r="G317" s="32"/>
      <c r="H317" s="125">
        <f>CASSA!E318</f>
        <v>45496</v>
      </c>
      <c r="I317" s="122"/>
    </row>
    <row r="318" spans="7:9" hidden="1" x14ac:dyDescent="0.2">
      <c r="G318" s="32"/>
      <c r="H318" s="125">
        <f>CASSA!E319</f>
        <v>45497</v>
      </c>
      <c r="I318" s="122"/>
    </row>
    <row r="319" spans="7:9" hidden="1" x14ac:dyDescent="0.2">
      <c r="G319" s="32"/>
      <c r="H319" s="125">
        <f>CASSA!E320</f>
        <v>45498</v>
      </c>
      <c r="I319" s="122"/>
    </row>
    <row r="320" spans="7:9" hidden="1" x14ac:dyDescent="0.2">
      <c r="G320" s="32"/>
      <c r="H320" s="125">
        <f>CASSA!E321</f>
        <v>45499</v>
      </c>
      <c r="I320" s="122"/>
    </row>
    <row r="321" spans="7:9" hidden="1" x14ac:dyDescent="0.2">
      <c r="G321" s="32"/>
      <c r="H321" s="125">
        <f>CASSA!E322</f>
        <v>45500</v>
      </c>
      <c r="I321" s="122"/>
    </row>
    <row r="322" spans="7:9" hidden="1" x14ac:dyDescent="0.2">
      <c r="G322" s="32"/>
      <c r="H322" s="125">
        <f>CASSA!E323</f>
        <v>45501</v>
      </c>
      <c r="I322" s="122"/>
    </row>
    <row r="323" spans="7:9" hidden="1" x14ac:dyDescent="0.2">
      <c r="G323" s="32"/>
      <c r="H323" s="125">
        <f>CASSA!E324</f>
        <v>45502</v>
      </c>
      <c r="I323" s="122"/>
    </row>
    <row r="324" spans="7:9" hidden="1" x14ac:dyDescent="0.2">
      <c r="G324" s="32"/>
      <c r="H324" s="125">
        <f>CASSA!E325</f>
        <v>45503</v>
      </c>
      <c r="I324" s="122"/>
    </row>
    <row r="325" spans="7:9" hidden="1" x14ac:dyDescent="0.2">
      <c r="G325" s="32"/>
      <c r="H325" s="125">
        <f>CASSA!E326</f>
        <v>45504</v>
      </c>
      <c r="I325" s="122"/>
    </row>
    <row r="326" spans="7:9" hidden="1" x14ac:dyDescent="0.2">
      <c r="G326" s="32"/>
      <c r="H326" s="125">
        <f>CASSA!E327</f>
        <v>45505</v>
      </c>
      <c r="I326" s="122"/>
    </row>
    <row r="327" spans="7:9" hidden="1" x14ac:dyDescent="0.2">
      <c r="G327" s="32"/>
      <c r="H327" s="125">
        <f>CASSA!E328</f>
        <v>45506</v>
      </c>
      <c r="I327" s="122"/>
    </row>
    <row r="328" spans="7:9" hidden="1" x14ac:dyDescent="0.2">
      <c r="G328" s="32"/>
      <c r="H328" s="125">
        <f>CASSA!E329</f>
        <v>45507</v>
      </c>
      <c r="I328" s="122"/>
    </row>
    <row r="329" spans="7:9" hidden="1" x14ac:dyDescent="0.2">
      <c r="G329" s="32"/>
      <c r="H329" s="125">
        <f>CASSA!E330</f>
        <v>45508</v>
      </c>
      <c r="I329" s="122"/>
    </row>
    <row r="330" spans="7:9" hidden="1" x14ac:dyDescent="0.2">
      <c r="G330" s="32"/>
      <c r="H330" s="125">
        <f>CASSA!E331</f>
        <v>45509</v>
      </c>
      <c r="I330" s="122"/>
    </row>
    <row r="331" spans="7:9" hidden="1" x14ac:dyDescent="0.2">
      <c r="G331" s="32"/>
      <c r="H331" s="125">
        <f>CASSA!E332</f>
        <v>45510</v>
      </c>
      <c r="I331" s="122"/>
    </row>
    <row r="332" spans="7:9" hidden="1" x14ac:dyDescent="0.2">
      <c r="G332" s="32"/>
      <c r="H332" s="125">
        <f>CASSA!E333</f>
        <v>45511</v>
      </c>
      <c r="I332" s="122"/>
    </row>
    <row r="333" spans="7:9" hidden="1" x14ac:dyDescent="0.2">
      <c r="G333" s="32"/>
      <c r="H333" s="125">
        <f>CASSA!E334</f>
        <v>45512</v>
      </c>
      <c r="I333" s="122"/>
    </row>
    <row r="334" spans="7:9" hidden="1" x14ac:dyDescent="0.2">
      <c r="G334" s="32"/>
      <c r="H334" s="125">
        <f>CASSA!E335</f>
        <v>45513</v>
      </c>
      <c r="I334" s="122"/>
    </row>
    <row r="335" spans="7:9" hidden="1" x14ac:dyDescent="0.2">
      <c r="G335" s="32"/>
      <c r="H335" s="125">
        <f>CASSA!E336</f>
        <v>45514</v>
      </c>
      <c r="I335" s="122"/>
    </row>
    <row r="336" spans="7:9" hidden="1" x14ac:dyDescent="0.2">
      <c r="G336" s="32"/>
      <c r="H336" s="125">
        <f>CASSA!E337</f>
        <v>45515</v>
      </c>
      <c r="I336" s="122"/>
    </row>
    <row r="337" spans="7:9" hidden="1" x14ac:dyDescent="0.2">
      <c r="G337" s="32"/>
      <c r="H337" s="125">
        <f>CASSA!E338</f>
        <v>45516</v>
      </c>
      <c r="I337" s="122"/>
    </row>
    <row r="338" spans="7:9" hidden="1" x14ac:dyDescent="0.2">
      <c r="G338" s="32"/>
      <c r="H338" s="125">
        <f>CASSA!E339</f>
        <v>45517</v>
      </c>
      <c r="I338" s="122"/>
    </row>
    <row r="339" spans="7:9" hidden="1" x14ac:dyDescent="0.2">
      <c r="G339" s="32"/>
      <c r="H339" s="125">
        <f>CASSA!E340</f>
        <v>45518</v>
      </c>
      <c r="I339" s="122"/>
    </row>
    <row r="340" spans="7:9" hidden="1" x14ac:dyDescent="0.2">
      <c r="G340" s="32"/>
      <c r="H340" s="125">
        <f>CASSA!E341</f>
        <v>45519</v>
      </c>
      <c r="I340" s="122"/>
    </row>
    <row r="341" spans="7:9" hidden="1" x14ac:dyDescent="0.2">
      <c r="G341" s="32"/>
      <c r="H341" s="125">
        <f>CASSA!E342</f>
        <v>45520</v>
      </c>
      <c r="I341" s="122"/>
    </row>
    <row r="342" spans="7:9" hidden="1" x14ac:dyDescent="0.2">
      <c r="G342" s="32"/>
      <c r="H342" s="125">
        <f>CASSA!E343</f>
        <v>45521</v>
      </c>
      <c r="I342" s="122"/>
    </row>
    <row r="343" spans="7:9" hidden="1" x14ac:dyDescent="0.2">
      <c r="G343" s="32"/>
      <c r="H343" s="125">
        <f>CASSA!E344</f>
        <v>45522</v>
      </c>
      <c r="I343" s="122"/>
    </row>
    <row r="344" spans="7:9" hidden="1" x14ac:dyDescent="0.2">
      <c r="G344" s="32"/>
      <c r="H344" s="125">
        <f>CASSA!E345</f>
        <v>45523</v>
      </c>
      <c r="I344" s="122"/>
    </row>
    <row r="345" spans="7:9" hidden="1" x14ac:dyDescent="0.2">
      <c r="G345" s="32"/>
      <c r="H345" s="125">
        <f>CASSA!E346</f>
        <v>45524</v>
      </c>
      <c r="I345" s="122"/>
    </row>
    <row r="346" spans="7:9" hidden="1" x14ac:dyDescent="0.2">
      <c r="G346" s="32"/>
      <c r="H346" s="125">
        <f>CASSA!E347</f>
        <v>45525</v>
      </c>
      <c r="I346" s="122"/>
    </row>
    <row r="347" spans="7:9" hidden="1" x14ac:dyDescent="0.2">
      <c r="G347" s="32"/>
      <c r="H347" s="125">
        <f>CASSA!E348</f>
        <v>45526</v>
      </c>
      <c r="I347" s="122"/>
    </row>
    <row r="348" spans="7:9" hidden="1" x14ac:dyDescent="0.2">
      <c r="G348" s="32"/>
      <c r="H348" s="125">
        <f>CASSA!E349</f>
        <v>45527</v>
      </c>
      <c r="I348" s="122"/>
    </row>
    <row r="349" spans="7:9" hidden="1" x14ac:dyDescent="0.2">
      <c r="G349" s="32"/>
      <c r="H349" s="125">
        <f>CASSA!E350</f>
        <v>45528</v>
      </c>
      <c r="I349" s="122"/>
    </row>
    <row r="350" spans="7:9" hidden="1" x14ac:dyDescent="0.2">
      <c r="G350" s="32"/>
      <c r="H350" s="125">
        <f>CASSA!E351</f>
        <v>45529</v>
      </c>
      <c r="I350" s="122"/>
    </row>
    <row r="351" spans="7:9" hidden="1" x14ac:dyDescent="0.2">
      <c r="G351" s="32"/>
      <c r="H351" s="125">
        <f>CASSA!E352</f>
        <v>45530</v>
      </c>
      <c r="I351" s="122"/>
    </row>
    <row r="352" spans="7:9" hidden="1" x14ac:dyDescent="0.2">
      <c r="G352" s="32"/>
      <c r="H352" s="125">
        <f>CASSA!E353</f>
        <v>45531</v>
      </c>
      <c r="I352" s="122"/>
    </row>
    <row r="353" spans="7:9" hidden="1" x14ac:dyDescent="0.2">
      <c r="G353" s="32"/>
      <c r="H353" s="125">
        <f>CASSA!E354</f>
        <v>45532</v>
      </c>
      <c r="I353" s="122"/>
    </row>
    <row r="354" spans="7:9" hidden="1" x14ac:dyDescent="0.2">
      <c r="G354" s="32"/>
      <c r="H354" s="125">
        <f>CASSA!E355</f>
        <v>45533</v>
      </c>
      <c r="I354" s="122"/>
    </row>
    <row r="355" spans="7:9" hidden="1" x14ac:dyDescent="0.2">
      <c r="G355" s="32"/>
      <c r="H355" s="125">
        <f>CASSA!E356</f>
        <v>45534</v>
      </c>
      <c r="I355" s="122"/>
    </row>
    <row r="356" spans="7:9" hidden="1" x14ac:dyDescent="0.2">
      <c r="G356" s="32"/>
      <c r="H356" s="125">
        <f>CASSA!E357</f>
        <v>45535</v>
      </c>
      <c r="I356" s="122"/>
    </row>
    <row r="357" spans="7:9" hidden="1" x14ac:dyDescent="0.2">
      <c r="G357" s="32"/>
      <c r="H357" s="125">
        <f>CASSA!E358</f>
        <v>45536</v>
      </c>
      <c r="I357" s="122"/>
    </row>
    <row r="358" spans="7:9" hidden="1" x14ac:dyDescent="0.2">
      <c r="G358" s="32"/>
      <c r="H358" s="125">
        <f>CASSA!E359</f>
        <v>45537</v>
      </c>
      <c r="I358" s="122"/>
    </row>
    <row r="359" spans="7:9" hidden="1" x14ac:dyDescent="0.2">
      <c r="G359" s="32"/>
      <c r="H359" s="125">
        <f>CASSA!E360</f>
        <v>45538</v>
      </c>
      <c r="I359" s="122"/>
    </row>
    <row r="360" spans="7:9" hidden="1" x14ac:dyDescent="0.2">
      <c r="G360" s="32"/>
      <c r="H360" s="125">
        <f>CASSA!E361</f>
        <v>45539</v>
      </c>
      <c r="I360" s="122"/>
    </row>
    <row r="361" spans="7:9" hidden="1" x14ac:dyDescent="0.2">
      <c r="G361" s="32"/>
      <c r="H361" s="125">
        <f>CASSA!E362</f>
        <v>45540</v>
      </c>
      <c r="I361" s="122"/>
    </row>
    <row r="362" spans="7:9" hidden="1" x14ac:dyDescent="0.2">
      <c r="G362" s="32"/>
      <c r="H362" s="125">
        <f>CASSA!E363</f>
        <v>45541</v>
      </c>
      <c r="I362" s="122"/>
    </row>
    <row r="363" spans="7:9" hidden="1" x14ac:dyDescent="0.2">
      <c r="G363" s="32"/>
      <c r="H363" s="125">
        <f>CASSA!E364</f>
        <v>45542</v>
      </c>
      <c r="I363" s="122"/>
    </row>
    <row r="364" spans="7:9" hidden="1" x14ac:dyDescent="0.2">
      <c r="G364" s="32"/>
      <c r="H364" s="125">
        <f>CASSA!E365</f>
        <v>45543</v>
      </c>
      <c r="I364" s="122"/>
    </row>
    <row r="365" spans="7:9" hidden="1" x14ac:dyDescent="0.2">
      <c r="G365" s="32"/>
      <c r="H365" s="125">
        <f>CASSA!E366</f>
        <v>45544</v>
      </c>
      <c r="I365" s="122"/>
    </row>
    <row r="366" spans="7:9" hidden="1" x14ac:dyDescent="0.2">
      <c r="G366" s="32"/>
      <c r="H366" s="125">
        <f>CASSA!E367</f>
        <v>45545</v>
      </c>
      <c r="I366" s="122"/>
    </row>
    <row r="367" spans="7:9" hidden="1" x14ac:dyDescent="0.2">
      <c r="G367" s="32"/>
      <c r="H367" s="125">
        <f>CASSA!E368</f>
        <v>45546</v>
      </c>
      <c r="I367" s="122"/>
    </row>
    <row r="368" spans="7:9" hidden="1" x14ac:dyDescent="0.2">
      <c r="G368" s="32"/>
      <c r="H368" s="125">
        <f>CASSA!E369</f>
        <v>45547</v>
      </c>
      <c r="I368" s="122"/>
    </row>
    <row r="369" spans="7:9" hidden="1" x14ac:dyDescent="0.2">
      <c r="G369" s="32"/>
      <c r="H369" s="125">
        <f>CASSA!E370</f>
        <v>45548</v>
      </c>
      <c r="I369" s="122"/>
    </row>
    <row r="370" spans="7:9" hidden="1" x14ac:dyDescent="0.2">
      <c r="G370" s="32"/>
      <c r="H370" s="125">
        <f>CASSA!E371</f>
        <v>45549</v>
      </c>
      <c r="I370" s="122"/>
    </row>
    <row r="371" spans="7:9" hidden="1" x14ac:dyDescent="0.2">
      <c r="G371" s="32"/>
      <c r="H371" s="125">
        <f>CASSA!E372</f>
        <v>45550</v>
      </c>
      <c r="I371" s="122"/>
    </row>
    <row r="372" spans="7:9" hidden="1" x14ac:dyDescent="0.2">
      <c r="G372" s="32"/>
      <c r="H372" s="125">
        <f>CASSA!E373</f>
        <v>45551</v>
      </c>
      <c r="I372" s="122"/>
    </row>
    <row r="373" spans="7:9" hidden="1" x14ac:dyDescent="0.2">
      <c r="G373" s="32"/>
      <c r="H373" s="125">
        <f>CASSA!E374</f>
        <v>45552</v>
      </c>
      <c r="I373" s="122"/>
    </row>
    <row r="374" spans="7:9" hidden="1" x14ac:dyDescent="0.2">
      <c r="G374" s="32"/>
      <c r="H374" s="125">
        <f>CASSA!E375</f>
        <v>45553</v>
      </c>
      <c r="I374" s="122"/>
    </row>
    <row r="375" spans="7:9" hidden="1" x14ac:dyDescent="0.2">
      <c r="G375" s="32"/>
      <c r="H375" s="125">
        <f>CASSA!E376</f>
        <v>45554</v>
      </c>
      <c r="I375" s="122"/>
    </row>
    <row r="376" spans="7:9" hidden="1" x14ac:dyDescent="0.2">
      <c r="G376" s="32"/>
      <c r="H376" s="125">
        <f>CASSA!E377</f>
        <v>45555</v>
      </c>
      <c r="I376" s="122"/>
    </row>
    <row r="377" spans="7:9" hidden="1" x14ac:dyDescent="0.2">
      <c r="G377" s="32"/>
      <c r="H377" s="125">
        <f>CASSA!E378</f>
        <v>45556</v>
      </c>
      <c r="I377" s="122"/>
    </row>
    <row r="378" spans="7:9" hidden="1" x14ac:dyDescent="0.2">
      <c r="G378" s="32"/>
      <c r="H378" s="125">
        <f>CASSA!E379</f>
        <v>45557</v>
      </c>
      <c r="I378" s="122"/>
    </row>
    <row r="379" spans="7:9" hidden="1" x14ac:dyDescent="0.2">
      <c r="G379" s="32"/>
      <c r="H379" s="125">
        <f>CASSA!E380</f>
        <v>45558</v>
      </c>
      <c r="I379" s="122"/>
    </row>
    <row r="380" spans="7:9" hidden="1" x14ac:dyDescent="0.2">
      <c r="G380" s="32"/>
      <c r="H380" s="125">
        <f>CASSA!E381</f>
        <v>45559</v>
      </c>
      <c r="I380" s="122"/>
    </row>
    <row r="381" spans="7:9" hidden="1" x14ac:dyDescent="0.2">
      <c r="G381" s="32"/>
      <c r="H381" s="125">
        <f>CASSA!E382</f>
        <v>45560</v>
      </c>
      <c r="I381" s="122"/>
    </row>
    <row r="382" spans="7:9" hidden="1" x14ac:dyDescent="0.2">
      <c r="G382" s="32"/>
      <c r="H382" s="125">
        <f>CASSA!E383</f>
        <v>45561</v>
      </c>
      <c r="I382" s="122"/>
    </row>
    <row r="383" spans="7:9" hidden="1" x14ac:dyDescent="0.2">
      <c r="G383" s="32"/>
      <c r="H383" s="125">
        <f>CASSA!E384</f>
        <v>45562</v>
      </c>
      <c r="I383" s="122"/>
    </row>
    <row r="384" spans="7:9" hidden="1" x14ac:dyDescent="0.2">
      <c r="G384" s="32"/>
      <c r="H384" s="125">
        <f>CASSA!E385</f>
        <v>45563</v>
      </c>
      <c r="I384" s="122"/>
    </row>
    <row r="385" spans="7:9" hidden="1" x14ac:dyDescent="0.2">
      <c r="G385" s="32"/>
      <c r="H385" s="125">
        <f>CASSA!E386</f>
        <v>45564</v>
      </c>
      <c r="I385" s="122"/>
    </row>
    <row r="386" spans="7:9" hidden="1" x14ac:dyDescent="0.2">
      <c r="G386" s="32"/>
      <c r="H386" s="125">
        <f>CASSA!E387</f>
        <v>45565</v>
      </c>
      <c r="I386" s="122"/>
    </row>
    <row r="387" spans="7:9" hidden="1" x14ac:dyDescent="0.2">
      <c r="G387" s="32"/>
      <c r="H387" s="125">
        <f>CASSA!E388</f>
        <v>45566</v>
      </c>
      <c r="I387" s="122"/>
    </row>
    <row r="388" spans="7:9" hidden="1" x14ac:dyDescent="0.2">
      <c r="G388" s="32"/>
      <c r="H388" s="125">
        <f>CASSA!E389</f>
        <v>45567</v>
      </c>
      <c r="I388" s="122"/>
    </row>
    <row r="389" spans="7:9" hidden="1" x14ac:dyDescent="0.2">
      <c r="G389" s="32"/>
      <c r="H389" s="125">
        <f>CASSA!E390</f>
        <v>45568</v>
      </c>
      <c r="I389" s="122"/>
    </row>
    <row r="390" spans="7:9" hidden="1" x14ac:dyDescent="0.2">
      <c r="G390" s="32"/>
      <c r="H390" s="125">
        <f>CASSA!E391</f>
        <v>45569</v>
      </c>
      <c r="I390" s="122"/>
    </row>
    <row r="391" spans="7:9" hidden="1" x14ac:dyDescent="0.2">
      <c r="G391" s="32"/>
      <c r="H391" s="125">
        <f>CASSA!E392</f>
        <v>45570</v>
      </c>
      <c r="I391" s="122"/>
    </row>
    <row r="392" spans="7:9" hidden="1" x14ac:dyDescent="0.2">
      <c r="G392" s="32"/>
      <c r="H392" s="125">
        <f>CASSA!E393</f>
        <v>45571</v>
      </c>
      <c r="I392" s="122"/>
    </row>
    <row r="393" spans="7:9" hidden="1" x14ac:dyDescent="0.2">
      <c r="G393" s="32"/>
      <c r="H393" s="125">
        <f>CASSA!E394</f>
        <v>45572</v>
      </c>
      <c r="I393" s="122"/>
    </row>
    <row r="394" spans="7:9" hidden="1" x14ac:dyDescent="0.2">
      <c r="G394" s="32"/>
      <c r="H394" s="125">
        <f>CASSA!E395</f>
        <v>45573</v>
      </c>
      <c r="I394" s="122"/>
    </row>
    <row r="395" spans="7:9" hidden="1" x14ac:dyDescent="0.2">
      <c r="G395" s="32"/>
      <c r="H395" s="125">
        <f>CASSA!E396</f>
        <v>45574</v>
      </c>
      <c r="I395" s="122"/>
    </row>
    <row r="396" spans="7:9" hidden="1" x14ac:dyDescent="0.2">
      <c r="G396" s="32"/>
      <c r="H396" s="125">
        <f>CASSA!E397</f>
        <v>45575</v>
      </c>
      <c r="I396" s="122"/>
    </row>
    <row r="397" spans="7:9" hidden="1" x14ac:dyDescent="0.2">
      <c r="G397" s="32"/>
      <c r="H397" s="125">
        <f>CASSA!E398</f>
        <v>45576</v>
      </c>
      <c r="I397" s="122"/>
    </row>
    <row r="398" spans="7:9" hidden="1" x14ac:dyDescent="0.2">
      <c r="G398" s="32"/>
      <c r="H398" s="125">
        <f>CASSA!E399</f>
        <v>45577</v>
      </c>
      <c r="I398" s="122"/>
    </row>
    <row r="399" spans="7:9" hidden="1" x14ac:dyDescent="0.2">
      <c r="G399" s="32"/>
      <c r="H399" s="125">
        <f>CASSA!E400</f>
        <v>45578</v>
      </c>
      <c r="I399" s="122"/>
    </row>
    <row r="400" spans="7:9" hidden="1" x14ac:dyDescent="0.2">
      <c r="G400" s="32"/>
      <c r="H400" s="125">
        <f>CASSA!E401</f>
        <v>45579</v>
      </c>
      <c r="I400" s="122"/>
    </row>
    <row r="401" spans="7:9" hidden="1" x14ac:dyDescent="0.2">
      <c r="G401" s="32"/>
      <c r="H401" s="125">
        <f>CASSA!E402</f>
        <v>45580</v>
      </c>
      <c r="I401" s="122"/>
    </row>
    <row r="402" spans="7:9" hidden="1" x14ac:dyDescent="0.2">
      <c r="G402" s="32"/>
      <c r="H402" s="125">
        <f>CASSA!E403</f>
        <v>45581</v>
      </c>
      <c r="I402" s="122"/>
    </row>
    <row r="403" spans="7:9" hidden="1" x14ac:dyDescent="0.2">
      <c r="G403" s="32"/>
      <c r="H403" s="125">
        <f>CASSA!E404</f>
        <v>45582</v>
      </c>
      <c r="I403" s="122"/>
    </row>
    <row r="404" spans="7:9" hidden="1" x14ac:dyDescent="0.2">
      <c r="G404" s="32"/>
      <c r="H404" s="125">
        <f>CASSA!E405</f>
        <v>45583</v>
      </c>
      <c r="I404" s="122"/>
    </row>
    <row r="405" spans="7:9" hidden="1" x14ac:dyDescent="0.2">
      <c r="G405" s="32"/>
      <c r="H405" s="125">
        <f>CASSA!E406</f>
        <v>45584</v>
      </c>
      <c r="I405" s="122"/>
    </row>
    <row r="406" spans="7:9" hidden="1" x14ac:dyDescent="0.2">
      <c r="G406" s="32"/>
      <c r="H406" s="125">
        <f>CASSA!E407</f>
        <v>45585</v>
      </c>
      <c r="I406" s="122"/>
    </row>
    <row r="407" spans="7:9" hidden="1" x14ac:dyDescent="0.2">
      <c r="G407" s="32"/>
      <c r="H407" s="125">
        <f>CASSA!E408</f>
        <v>45586</v>
      </c>
      <c r="I407" s="122"/>
    </row>
    <row r="408" spans="7:9" hidden="1" x14ac:dyDescent="0.2">
      <c r="G408" s="32"/>
      <c r="H408" s="125">
        <f>CASSA!E409</f>
        <v>45587</v>
      </c>
      <c r="I408" s="122"/>
    </row>
    <row r="409" spans="7:9" hidden="1" x14ac:dyDescent="0.2">
      <c r="G409" s="32"/>
      <c r="H409" s="125">
        <f>CASSA!E410</f>
        <v>45588</v>
      </c>
      <c r="I409" s="122"/>
    </row>
    <row r="410" spans="7:9" hidden="1" x14ac:dyDescent="0.2">
      <c r="G410" s="32"/>
      <c r="H410" s="125">
        <f>CASSA!E411</f>
        <v>45589</v>
      </c>
      <c r="I410" s="122"/>
    </row>
    <row r="411" spans="7:9" hidden="1" x14ac:dyDescent="0.2">
      <c r="G411" s="32"/>
      <c r="H411" s="125">
        <f>CASSA!E412</f>
        <v>45590</v>
      </c>
      <c r="I411" s="122"/>
    </row>
    <row r="412" spans="7:9" hidden="1" x14ac:dyDescent="0.2">
      <c r="G412" s="32"/>
      <c r="H412" s="125">
        <f>CASSA!E413</f>
        <v>45591</v>
      </c>
      <c r="I412" s="122"/>
    </row>
    <row r="413" spans="7:9" hidden="1" x14ac:dyDescent="0.2">
      <c r="G413" s="32"/>
      <c r="H413" s="125">
        <f>CASSA!E414</f>
        <v>45592</v>
      </c>
      <c r="I413" s="122"/>
    </row>
    <row r="414" spans="7:9" hidden="1" x14ac:dyDescent="0.2">
      <c r="G414" s="32"/>
      <c r="H414" s="125">
        <f>CASSA!E415</f>
        <v>45593</v>
      </c>
      <c r="I414" s="122"/>
    </row>
    <row r="415" spans="7:9" hidden="1" x14ac:dyDescent="0.2">
      <c r="G415" s="32"/>
      <c r="H415" s="125">
        <f>CASSA!E416</f>
        <v>45594</v>
      </c>
      <c r="I415" s="122"/>
    </row>
    <row r="416" spans="7:9" hidden="1" x14ac:dyDescent="0.2">
      <c r="G416" s="32"/>
      <c r="H416" s="125">
        <f>CASSA!E417</f>
        <v>45595</v>
      </c>
      <c r="I416" s="122"/>
    </row>
    <row r="417" spans="7:9" hidden="1" x14ac:dyDescent="0.2">
      <c r="G417" s="32"/>
      <c r="H417" s="125">
        <f>CASSA!E418</f>
        <v>45596</v>
      </c>
      <c r="I417" s="122"/>
    </row>
    <row r="418" spans="7:9" hidden="1" x14ac:dyDescent="0.2">
      <c r="G418" s="32"/>
      <c r="H418" s="125">
        <f>CASSA!E419</f>
        <v>45597</v>
      </c>
      <c r="I418" s="122"/>
    </row>
    <row r="419" spans="7:9" hidden="1" x14ac:dyDescent="0.2">
      <c r="G419" s="32"/>
      <c r="H419" s="125">
        <f>CASSA!E420</f>
        <v>45598</v>
      </c>
      <c r="I419" s="122"/>
    </row>
    <row r="420" spans="7:9" hidden="1" x14ac:dyDescent="0.2">
      <c r="G420" s="32"/>
      <c r="H420" s="125">
        <f>CASSA!E421</f>
        <v>45599</v>
      </c>
      <c r="I420" s="122"/>
    </row>
    <row r="421" spans="7:9" hidden="1" x14ac:dyDescent="0.2">
      <c r="G421" s="32"/>
      <c r="H421" s="125">
        <f>CASSA!E422</f>
        <v>45600</v>
      </c>
      <c r="I421" s="122"/>
    </row>
    <row r="422" spans="7:9" hidden="1" x14ac:dyDescent="0.2">
      <c r="G422" s="32"/>
      <c r="H422" s="125">
        <f>CASSA!E423</f>
        <v>45601</v>
      </c>
      <c r="I422" s="122"/>
    </row>
    <row r="423" spans="7:9" hidden="1" x14ac:dyDescent="0.2">
      <c r="G423" s="32"/>
      <c r="H423" s="125">
        <f>CASSA!E424</f>
        <v>45602</v>
      </c>
      <c r="I423" s="122"/>
    </row>
    <row r="424" spans="7:9" hidden="1" x14ac:dyDescent="0.2">
      <c r="G424" s="32"/>
      <c r="H424" s="125">
        <f>CASSA!E425</f>
        <v>45603</v>
      </c>
      <c r="I424" s="122"/>
    </row>
    <row r="425" spans="7:9" hidden="1" x14ac:dyDescent="0.2">
      <c r="G425" s="32"/>
      <c r="H425" s="125">
        <f>CASSA!E426</f>
        <v>45604</v>
      </c>
      <c r="I425" s="122"/>
    </row>
    <row r="426" spans="7:9" hidden="1" x14ac:dyDescent="0.2">
      <c r="G426" s="32"/>
      <c r="H426" s="125">
        <f>CASSA!E427</f>
        <v>45605</v>
      </c>
      <c r="I426" s="122"/>
    </row>
    <row r="427" spans="7:9" hidden="1" x14ac:dyDescent="0.2">
      <c r="G427" s="32"/>
      <c r="H427" s="125">
        <f>CASSA!E428</f>
        <v>45606</v>
      </c>
      <c r="I427" s="122"/>
    </row>
    <row r="428" spans="7:9" hidden="1" x14ac:dyDescent="0.2">
      <c r="G428" s="32"/>
      <c r="H428" s="125">
        <f>CASSA!E429</f>
        <v>45607</v>
      </c>
      <c r="I428" s="122"/>
    </row>
    <row r="429" spans="7:9" hidden="1" x14ac:dyDescent="0.2">
      <c r="G429" s="32"/>
      <c r="H429" s="125">
        <f>CASSA!E430</f>
        <v>45608</v>
      </c>
      <c r="I429" s="122"/>
    </row>
    <row r="430" spans="7:9" hidden="1" x14ac:dyDescent="0.2">
      <c r="G430" s="32"/>
      <c r="H430" s="125">
        <f>CASSA!E431</f>
        <v>45609</v>
      </c>
      <c r="I430" s="122"/>
    </row>
    <row r="431" spans="7:9" hidden="1" x14ac:dyDescent="0.2">
      <c r="G431" s="32"/>
      <c r="H431" s="125">
        <f>CASSA!E432</f>
        <v>45610</v>
      </c>
      <c r="I431" s="122"/>
    </row>
    <row r="432" spans="7:9" hidden="1" x14ac:dyDescent="0.2">
      <c r="G432" s="32"/>
      <c r="H432" s="125">
        <f>CASSA!E433</f>
        <v>45611</v>
      </c>
      <c r="I432" s="122"/>
    </row>
    <row r="433" spans="7:9" hidden="1" x14ac:dyDescent="0.2">
      <c r="G433" s="32"/>
      <c r="H433" s="125">
        <f>CASSA!E434</f>
        <v>45612</v>
      </c>
      <c r="I433" s="122"/>
    </row>
    <row r="434" spans="7:9" hidden="1" x14ac:dyDescent="0.2">
      <c r="G434" s="32"/>
      <c r="H434" s="125">
        <f>CASSA!E435</f>
        <v>45613</v>
      </c>
      <c r="I434" s="122"/>
    </row>
    <row r="435" spans="7:9" hidden="1" x14ac:dyDescent="0.2">
      <c r="G435" s="32"/>
      <c r="H435" s="125">
        <f>CASSA!E436</f>
        <v>45614</v>
      </c>
      <c r="I435" s="122"/>
    </row>
    <row r="436" spans="7:9" hidden="1" x14ac:dyDescent="0.2">
      <c r="G436" s="32"/>
      <c r="H436" s="125">
        <f>CASSA!E437</f>
        <v>45615</v>
      </c>
      <c r="I436" s="122"/>
    </row>
    <row r="437" spans="7:9" hidden="1" x14ac:dyDescent="0.2">
      <c r="G437" s="32"/>
      <c r="H437" s="125">
        <f>CASSA!E438</f>
        <v>45616</v>
      </c>
      <c r="I437" s="122"/>
    </row>
    <row r="438" spans="7:9" hidden="1" x14ac:dyDescent="0.2">
      <c r="G438" s="32"/>
      <c r="H438" s="125">
        <f>CASSA!E439</f>
        <v>45617</v>
      </c>
      <c r="I438" s="122"/>
    </row>
    <row r="439" spans="7:9" hidden="1" x14ac:dyDescent="0.2">
      <c r="G439" s="32"/>
      <c r="H439" s="125">
        <f>CASSA!E440</f>
        <v>45618</v>
      </c>
      <c r="I439" s="122"/>
    </row>
    <row r="440" spans="7:9" hidden="1" x14ac:dyDescent="0.2">
      <c r="G440" s="32"/>
      <c r="H440" s="125">
        <f>CASSA!E441</f>
        <v>45619</v>
      </c>
      <c r="I440" s="122"/>
    </row>
    <row r="441" spans="7:9" hidden="1" x14ac:dyDescent="0.2">
      <c r="G441" s="32"/>
      <c r="H441" s="125">
        <f>CASSA!E442</f>
        <v>45620</v>
      </c>
      <c r="I441" s="122"/>
    </row>
    <row r="442" spans="7:9" hidden="1" x14ac:dyDescent="0.2">
      <c r="G442" s="32"/>
      <c r="H442" s="125">
        <f>CASSA!E443</f>
        <v>45621</v>
      </c>
      <c r="I442" s="122"/>
    </row>
    <row r="443" spans="7:9" hidden="1" x14ac:dyDescent="0.2">
      <c r="G443" s="32"/>
      <c r="H443" s="125">
        <f>CASSA!E444</f>
        <v>45622</v>
      </c>
      <c r="I443" s="122"/>
    </row>
    <row r="444" spans="7:9" hidden="1" x14ac:dyDescent="0.2">
      <c r="G444" s="32"/>
      <c r="H444" s="125">
        <f>CASSA!E445</f>
        <v>45623</v>
      </c>
      <c r="I444" s="122"/>
    </row>
    <row r="445" spans="7:9" hidden="1" x14ac:dyDescent="0.2">
      <c r="G445" s="32"/>
      <c r="H445" s="125">
        <f>CASSA!E446</f>
        <v>45624</v>
      </c>
      <c r="I445" s="122"/>
    </row>
    <row r="446" spans="7:9" hidden="1" x14ac:dyDescent="0.2">
      <c r="G446" s="32"/>
      <c r="H446" s="125">
        <f>CASSA!E447</f>
        <v>45625</v>
      </c>
      <c r="I446" s="122"/>
    </row>
    <row r="447" spans="7:9" hidden="1" x14ac:dyDescent="0.2">
      <c r="G447" s="32"/>
      <c r="H447" s="125">
        <f>CASSA!E448</f>
        <v>45626</v>
      </c>
      <c r="I447" s="122"/>
    </row>
    <row r="448" spans="7:9" hidden="1" x14ac:dyDescent="0.2">
      <c r="G448" s="32"/>
      <c r="H448" s="125">
        <f>CASSA!E449</f>
        <v>45627</v>
      </c>
      <c r="I448" s="122"/>
    </row>
    <row r="449" spans="7:9" hidden="1" x14ac:dyDescent="0.2">
      <c r="G449" s="32"/>
      <c r="H449" s="125">
        <f>CASSA!E450</f>
        <v>45628</v>
      </c>
      <c r="I449" s="122"/>
    </row>
    <row r="450" spans="7:9" hidden="1" x14ac:dyDescent="0.2">
      <c r="G450" s="32"/>
      <c r="H450" s="125">
        <f>CASSA!E451</f>
        <v>45629</v>
      </c>
      <c r="I450" s="122"/>
    </row>
    <row r="451" spans="7:9" hidden="1" x14ac:dyDescent="0.2">
      <c r="G451" s="32"/>
      <c r="H451" s="125">
        <f>CASSA!E452</f>
        <v>45630</v>
      </c>
      <c r="I451" s="122"/>
    </row>
    <row r="452" spans="7:9" hidden="1" x14ac:dyDescent="0.2">
      <c r="G452" s="32"/>
      <c r="H452" s="125">
        <f>CASSA!E453</f>
        <v>45631</v>
      </c>
      <c r="I452" s="122"/>
    </row>
    <row r="453" spans="7:9" hidden="1" x14ac:dyDescent="0.2">
      <c r="G453" s="32"/>
      <c r="H453" s="125">
        <f>CASSA!E454</f>
        <v>45632</v>
      </c>
      <c r="I453" s="122"/>
    </row>
    <row r="454" spans="7:9" hidden="1" x14ac:dyDescent="0.2">
      <c r="G454" s="32"/>
      <c r="H454" s="125">
        <f>CASSA!E455</f>
        <v>45633</v>
      </c>
      <c r="I454" s="122"/>
    </row>
    <row r="455" spans="7:9" hidden="1" x14ac:dyDescent="0.2">
      <c r="G455" s="32"/>
      <c r="H455" s="125">
        <f>CASSA!E456</f>
        <v>45634</v>
      </c>
      <c r="I455" s="122"/>
    </row>
    <row r="456" spans="7:9" hidden="1" x14ac:dyDescent="0.2">
      <c r="G456" s="32"/>
      <c r="H456" s="125">
        <f>CASSA!E457</f>
        <v>45635</v>
      </c>
      <c r="I456" s="122"/>
    </row>
    <row r="457" spans="7:9" hidden="1" x14ac:dyDescent="0.2">
      <c r="G457" s="32"/>
      <c r="H457" s="125">
        <f>CASSA!E458</f>
        <v>45636</v>
      </c>
      <c r="I457" s="122"/>
    </row>
    <row r="458" spans="7:9" hidden="1" x14ac:dyDescent="0.2">
      <c r="G458" s="32"/>
      <c r="H458" s="125">
        <f>CASSA!E459</f>
        <v>45637</v>
      </c>
      <c r="I458" s="122"/>
    </row>
    <row r="459" spans="7:9" hidden="1" x14ac:dyDescent="0.2">
      <c r="G459" s="32"/>
      <c r="H459" s="125">
        <f>CASSA!E460</f>
        <v>45638</v>
      </c>
      <c r="I459" s="122"/>
    </row>
    <row r="460" spans="7:9" hidden="1" x14ac:dyDescent="0.2">
      <c r="G460" s="32"/>
      <c r="H460" s="125">
        <f>CASSA!E461</f>
        <v>45639</v>
      </c>
      <c r="I460" s="122"/>
    </row>
    <row r="461" spans="7:9" hidden="1" x14ac:dyDescent="0.2">
      <c r="G461" s="32"/>
      <c r="H461" s="125">
        <f>CASSA!E462</f>
        <v>45640</v>
      </c>
      <c r="I461" s="122"/>
    </row>
    <row r="462" spans="7:9" hidden="1" x14ac:dyDescent="0.2">
      <c r="G462" s="32"/>
      <c r="H462" s="125">
        <f>CASSA!E463</f>
        <v>45641</v>
      </c>
      <c r="I462" s="122"/>
    </row>
    <row r="463" spans="7:9" hidden="1" x14ac:dyDescent="0.2">
      <c r="G463" s="32"/>
      <c r="H463" s="125">
        <f>CASSA!E464</f>
        <v>45642</v>
      </c>
      <c r="I463" s="122"/>
    </row>
    <row r="464" spans="7:9" hidden="1" x14ac:dyDescent="0.2">
      <c r="G464" s="32"/>
      <c r="H464" s="125">
        <f>CASSA!E465</f>
        <v>45643</v>
      </c>
      <c r="I464" s="122"/>
    </row>
    <row r="465" spans="1:60" hidden="1" x14ac:dyDescent="0.2">
      <c r="G465" s="32"/>
      <c r="H465" s="125">
        <f>CASSA!E466</f>
        <v>45644</v>
      </c>
      <c r="I465" s="122"/>
    </row>
    <row r="466" spans="1:60" hidden="1" x14ac:dyDescent="0.2">
      <c r="G466" s="32"/>
      <c r="H466" s="125">
        <f>CASSA!E467</f>
        <v>45645</v>
      </c>
      <c r="I466" s="122"/>
    </row>
    <row r="467" spans="1:60" hidden="1" x14ac:dyDescent="0.2">
      <c r="G467" s="32"/>
      <c r="H467" s="125">
        <f>CASSA!E468</f>
        <v>45646</v>
      </c>
      <c r="I467" s="122"/>
    </row>
    <row r="468" spans="1:60" hidden="1" x14ac:dyDescent="0.2">
      <c r="G468" s="32"/>
      <c r="H468" s="125">
        <f>CASSA!E469</f>
        <v>45647</v>
      </c>
      <c r="I468" s="122"/>
    </row>
    <row r="469" spans="1:60" hidden="1" x14ac:dyDescent="0.2">
      <c r="G469" s="32"/>
      <c r="H469" s="125">
        <f>CASSA!E470</f>
        <v>45648</v>
      </c>
      <c r="I469" s="122"/>
    </row>
    <row r="470" spans="1:60" hidden="1" x14ac:dyDescent="0.2">
      <c r="G470" s="32"/>
      <c r="H470" s="125">
        <f>CASSA!E471</f>
        <v>45649</v>
      </c>
      <c r="I470" s="122"/>
    </row>
    <row r="471" spans="1:60" hidden="1" x14ac:dyDescent="0.2">
      <c r="G471" s="32"/>
      <c r="H471" s="125">
        <f>CASSA!E472</f>
        <v>45650</v>
      </c>
      <c r="I471" s="122"/>
    </row>
    <row r="472" spans="1:60" hidden="1" x14ac:dyDescent="0.2">
      <c r="G472" s="32"/>
      <c r="H472" s="125">
        <f>CASSA!E473</f>
        <v>45651</v>
      </c>
      <c r="I472" s="122"/>
    </row>
    <row r="473" spans="1:60" hidden="1" x14ac:dyDescent="0.2">
      <c r="G473" s="32"/>
      <c r="H473" s="125">
        <f>CASSA!E474</f>
        <v>45652</v>
      </c>
      <c r="I473" s="122"/>
    </row>
    <row r="474" spans="1:60" hidden="1" x14ac:dyDescent="0.2">
      <c r="G474" s="32"/>
      <c r="H474" s="125">
        <f>CASSA!E475</f>
        <v>45653</v>
      </c>
      <c r="I474" s="122"/>
    </row>
    <row r="475" spans="1:60" hidden="1" x14ac:dyDescent="0.2">
      <c r="G475" s="32"/>
      <c r="H475" s="125">
        <f>CASSA!E476</f>
        <v>45654</v>
      </c>
      <c r="I475" s="122"/>
    </row>
    <row r="476" spans="1:60" hidden="1" x14ac:dyDescent="0.2">
      <c r="G476" s="32"/>
      <c r="H476" s="125">
        <f>CASSA!E477</f>
        <v>45655</v>
      </c>
      <c r="I476" s="122"/>
    </row>
    <row r="477" spans="1:60" hidden="1" x14ac:dyDescent="0.2">
      <c r="G477" s="32"/>
      <c r="H477" s="125">
        <f>CASSA!E478</f>
        <v>45656</v>
      </c>
      <c r="I477" s="122"/>
    </row>
    <row r="478" spans="1:60" hidden="1" x14ac:dyDescent="0.2">
      <c r="G478" s="32"/>
      <c r="H478" s="126">
        <f>CASSA!E479</f>
        <v>45657</v>
      </c>
      <c r="I478" s="122"/>
    </row>
    <row r="479" spans="1:60" hidden="1" x14ac:dyDescent="0.2">
      <c r="G479" s="32"/>
      <c r="H479" s="32"/>
      <c r="I479" s="123"/>
    </row>
    <row r="480" spans="1:60" ht="9" customHeight="1" x14ac:dyDescent="0.2">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c r="AE480" s="32"/>
      <c r="AF480" s="32"/>
      <c r="AG480" s="32"/>
      <c r="AH480" s="32"/>
      <c r="AI480" s="32"/>
      <c r="AJ480" s="32"/>
      <c r="AK480" s="32"/>
      <c r="AL480" s="32"/>
      <c r="AM480" s="32"/>
      <c r="AN480" s="32"/>
      <c r="AO480" s="32"/>
      <c r="AP480" s="32"/>
      <c r="AQ480" s="32"/>
      <c r="AR480" s="32"/>
      <c r="AS480" s="32"/>
      <c r="AT480" s="32"/>
      <c r="AU480" s="32"/>
      <c r="AV480" s="32"/>
      <c r="AW480" s="32"/>
      <c r="AX480" s="32"/>
      <c r="AY480" s="32"/>
      <c r="AZ480" s="32"/>
      <c r="BA480" s="32"/>
      <c r="BB480" s="32"/>
      <c r="BC480" s="32"/>
      <c r="BD480" s="32"/>
      <c r="BE480" s="32"/>
      <c r="BF480" s="32"/>
      <c r="BG480" s="32"/>
      <c r="BH480" s="32"/>
    </row>
    <row r="481" spans="1:60" ht="18" customHeight="1" x14ac:dyDescent="0.2">
      <c r="A481" s="32"/>
      <c r="B481" s="32"/>
      <c r="C481" s="1256" t="s">
        <v>72</v>
      </c>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c r="AE481" s="32"/>
      <c r="AF481" s="32"/>
      <c r="AG481" s="32"/>
      <c r="AH481" s="32"/>
      <c r="AI481" s="32"/>
      <c r="AJ481" s="32"/>
      <c r="AK481" s="32"/>
      <c r="AL481" s="32"/>
      <c r="AM481" s="32"/>
      <c r="AN481" s="32"/>
      <c r="AO481" s="32"/>
      <c r="AP481" s="32"/>
      <c r="AQ481" s="32"/>
      <c r="AR481" s="32"/>
      <c r="AS481" s="32"/>
      <c r="AT481" s="32"/>
      <c r="AU481" s="32"/>
      <c r="AV481" s="32"/>
      <c r="AW481" s="32"/>
      <c r="AX481" s="32"/>
      <c r="AY481" s="32"/>
      <c r="AZ481" s="32"/>
      <c r="BA481" s="32"/>
      <c r="BB481" s="32"/>
      <c r="BC481" s="32"/>
      <c r="BD481" s="32"/>
      <c r="BE481" s="32"/>
      <c r="BF481" s="32"/>
      <c r="BG481" s="32"/>
      <c r="BH481" s="32"/>
    </row>
    <row r="482" spans="1:60" ht="18" customHeight="1" x14ac:dyDescent="0.2">
      <c r="A482" s="32"/>
      <c r="B482" s="32"/>
      <c r="C482" s="1257" t="s">
        <v>73</v>
      </c>
      <c r="D482" s="32"/>
      <c r="E482" s="32"/>
      <c r="F482" s="32"/>
      <c r="G482" s="32"/>
      <c r="H482" s="1264" t="s">
        <v>572</v>
      </c>
      <c r="I482" s="32"/>
      <c r="J482" s="32"/>
      <c r="K482" s="32"/>
      <c r="L482" s="32"/>
      <c r="M482" s="32"/>
      <c r="N482" s="32"/>
      <c r="O482" s="32"/>
      <c r="P482" s="32"/>
      <c r="Q482" s="32"/>
      <c r="R482" s="32"/>
      <c r="S482" s="32"/>
      <c r="T482" s="32"/>
      <c r="U482" s="32"/>
      <c r="V482" s="32"/>
      <c r="W482" s="32"/>
      <c r="X482" s="32"/>
      <c r="Y482" s="32"/>
      <c r="Z482" s="32"/>
      <c r="AA482" s="32"/>
      <c r="AB482" s="32"/>
      <c r="AC482" s="32"/>
      <c r="AD482" s="32"/>
      <c r="AE482" s="32"/>
      <c r="AF482" s="32"/>
      <c r="AG482" s="32"/>
      <c r="AH482" s="32"/>
      <c r="AI482" s="32"/>
      <c r="AJ482" s="32"/>
      <c r="AK482" s="32"/>
      <c r="AL482" s="32"/>
      <c r="AM482" s="32"/>
      <c r="AN482" s="32"/>
      <c r="AO482" s="32"/>
      <c r="AP482" s="32"/>
      <c r="AQ482" s="32"/>
      <c r="AR482" s="32"/>
      <c r="AS482" s="32"/>
      <c r="AT482" s="32"/>
      <c r="AU482" s="32"/>
      <c r="AV482" s="32"/>
      <c r="AW482" s="32"/>
      <c r="AX482" s="32"/>
      <c r="AY482" s="32"/>
      <c r="AZ482" s="32"/>
      <c r="BA482" s="32"/>
      <c r="BB482" s="32"/>
      <c r="BC482" s="32"/>
      <c r="BD482" s="32"/>
      <c r="BE482" s="32"/>
      <c r="BF482" s="32"/>
      <c r="BG482" s="32"/>
      <c r="BH482" s="32"/>
    </row>
    <row r="483" spans="1:60" ht="16.5" customHeight="1" x14ac:dyDescent="0.2">
      <c r="A483" s="32"/>
      <c r="B483" s="32"/>
      <c r="C483" s="1305" t="s">
        <v>653</v>
      </c>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c r="AE483" s="32"/>
      <c r="AF483" s="32"/>
      <c r="AG483" s="32"/>
      <c r="AH483" s="32"/>
      <c r="AI483" s="32"/>
      <c r="AJ483" s="32"/>
      <c r="AK483" s="32"/>
      <c r="AL483" s="32"/>
      <c r="AM483" s="32"/>
      <c r="AN483" s="32"/>
      <c r="AO483" s="32"/>
      <c r="AP483" s="32"/>
      <c r="AQ483" s="32"/>
      <c r="AR483" s="32"/>
      <c r="AS483" s="32"/>
      <c r="AT483" s="32"/>
      <c r="AU483" s="32"/>
      <c r="AV483" s="32"/>
      <c r="AW483" s="32"/>
      <c r="AX483" s="32"/>
      <c r="AY483" s="32"/>
      <c r="AZ483" s="32"/>
      <c r="BA483" s="32"/>
      <c r="BB483" s="32"/>
      <c r="BC483" s="32"/>
      <c r="BD483" s="32"/>
      <c r="BE483" s="32"/>
      <c r="BF483" s="32"/>
      <c r="BG483" s="32"/>
      <c r="BH483" s="32"/>
    </row>
    <row r="484" spans="1:60" ht="16.5" customHeight="1" x14ac:dyDescent="0.2">
      <c r="A484" s="32"/>
      <c r="B484" s="32"/>
      <c r="C484" s="1312" t="s">
        <v>654</v>
      </c>
      <c r="D484" s="32"/>
      <c r="E484" s="32"/>
      <c r="F484" s="32"/>
      <c r="G484" s="32"/>
      <c r="H484" s="32"/>
      <c r="I484" s="1313" t="s">
        <v>572</v>
      </c>
      <c r="J484" s="32"/>
      <c r="K484" s="32"/>
      <c r="L484" s="32"/>
      <c r="M484" s="32"/>
      <c r="N484" s="32"/>
      <c r="O484" s="32"/>
      <c r="P484" s="32"/>
      <c r="Q484" s="32"/>
      <c r="R484" s="32"/>
      <c r="S484" s="32"/>
      <c r="T484" s="32"/>
      <c r="U484" s="32"/>
      <c r="V484" s="32"/>
      <c r="W484" s="32"/>
      <c r="X484" s="32"/>
      <c r="Y484" s="32"/>
      <c r="Z484" s="32"/>
      <c r="AA484" s="32"/>
      <c r="AB484" s="32"/>
      <c r="AC484" s="32"/>
      <c r="AD484" s="32"/>
      <c r="AE484" s="32"/>
      <c r="AF484" s="32"/>
      <c r="AG484" s="32"/>
      <c r="AH484" s="32"/>
      <c r="AI484" s="32"/>
      <c r="AJ484" s="32"/>
      <c r="AK484" s="32"/>
      <c r="AL484" s="32"/>
      <c r="AM484" s="32"/>
      <c r="AN484" s="32"/>
      <c r="AO484" s="32"/>
      <c r="AP484" s="32"/>
      <c r="AQ484" s="32"/>
      <c r="AR484" s="32"/>
      <c r="AS484" s="32"/>
      <c r="AT484" s="32"/>
      <c r="AU484" s="32"/>
      <c r="AV484" s="32"/>
      <c r="AW484" s="32"/>
      <c r="AX484" s="32"/>
      <c r="AY484" s="32"/>
      <c r="AZ484" s="32"/>
      <c r="BA484" s="32"/>
      <c r="BB484" s="32"/>
      <c r="BC484" s="32"/>
      <c r="BD484" s="32"/>
      <c r="BE484" s="32"/>
      <c r="BF484" s="32"/>
      <c r="BG484" s="32"/>
      <c r="BH484" s="32"/>
    </row>
    <row r="485" spans="1:60" ht="18" customHeight="1" x14ac:dyDescent="0.2">
      <c r="A485" s="32"/>
      <c r="B485" s="32"/>
      <c r="C485" s="172" t="s">
        <v>75</v>
      </c>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c r="AE485" s="32"/>
      <c r="AF485" s="32"/>
      <c r="AG485" s="32"/>
      <c r="AH485" s="32"/>
      <c r="AI485" s="32"/>
      <c r="AJ485" s="32"/>
      <c r="AK485" s="32"/>
      <c r="AL485" s="32"/>
      <c r="AM485" s="32"/>
      <c r="AN485" s="32"/>
      <c r="AO485" s="32"/>
      <c r="AP485" s="32"/>
      <c r="AQ485" s="32"/>
      <c r="AR485" s="32"/>
      <c r="AS485" s="32"/>
      <c r="AT485" s="32"/>
      <c r="AU485" s="32"/>
      <c r="AV485" s="32"/>
      <c r="AW485" s="32"/>
      <c r="AX485" s="32"/>
      <c r="AY485" s="32"/>
      <c r="AZ485" s="32"/>
      <c r="BA485" s="32"/>
      <c r="BB485" s="32"/>
      <c r="BC485" s="32"/>
      <c r="BD485" s="32"/>
      <c r="BE485" s="32"/>
      <c r="BF485" s="32"/>
      <c r="BG485" s="32"/>
      <c r="BH485" s="32"/>
    </row>
    <row r="486" spans="1:60" ht="18" customHeight="1" x14ac:dyDescent="0.2">
      <c r="A486" s="32"/>
      <c r="B486" s="32"/>
      <c r="C486" s="521" t="str">
        <f>CONCATENATE("Per i periodi iniziali, i giorni lavorativi PRECEDENTI per il sistema sono comunque solo quelli disponibili dall' 01/01/",IMPOSTAZIONI!AH52)</f>
        <v>Per i periodi iniziali, i giorni lavorativi PRECEDENTI per il sistema sono comunque solo quelli disponibili dall' 01/01/2024</v>
      </c>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c r="AE486" s="32"/>
      <c r="AF486" s="32"/>
      <c r="AG486" s="32"/>
      <c r="AH486" s="32"/>
      <c r="AI486" s="32"/>
      <c r="AJ486" s="32"/>
      <c r="AK486" s="32"/>
      <c r="AL486" s="32"/>
      <c r="AM486" s="32"/>
      <c r="AN486" s="32"/>
      <c r="AO486" s="32"/>
      <c r="AP486" s="32"/>
      <c r="AQ486" s="32"/>
      <c r="AR486" s="32"/>
      <c r="AS486" s="32"/>
      <c r="AT486" s="32"/>
      <c r="AU486" s="32"/>
      <c r="AV486" s="32"/>
      <c r="AW486" s="32"/>
      <c r="AX486" s="32"/>
      <c r="AY486" s="32"/>
      <c r="AZ486" s="32"/>
      <c r="BA486" s="32"/>
      <c r="BB486" s="32"/>
      <c r="BC486" s="32"/>
      <c r="BD486" s="32"/>
      <c r="BE486" s="32"/>
      <c r="BF486" s="32"/>
      <c r="BG486" s="32"/>
      <c r="BH486" s="32"/>
    </row>
    <row r="487" spans="1:60" x14ac:dyDescent="0.2">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c r="AE487" s="32"/>
      <c r="AF487" s="32"/>
      <c r="AG487" s="32"/>
      <c r="AH487" s="32"/>
      <c r="AI487" s="32"/>
      <c r="AJ487" s="32"/>
      <c r="AK487" s="32"/>
      <c r="AL487" s="32"/>
      <c r="AM487" s="32"/>
      <c r="AN487" s="32"/>
      <c r="AO487" s="32"/>
      <c r="AP487" s="32"/>
      <c r="AQ487" s="32"/>
      <c r="AR487" s="32"/>
      <c r="AS487" s="32"/>
      <c r="AT487" s="32"/>
      <c r="AU487" s="32"/>
      <c r="AV487" s="32"/>
      <c r="AW487" s="32"/>
      <c r="AX487" s="32"/>
      <c r="AY487" s="32"/>
      <c r="AZ487" s="32"/>
      <c r="BA487" s="32"/>
      <c r="BB487" s="32"/>
      <c r="BC487" s="32"/>
      <c r="BD487" s="32"/>
      <c r="BE487" s="32"/>
      <c r="BF487" s="32"/>
      <c r="BG487" s="32"/>
      <c r="BH487" s="32"/>
    </row>
  </sheetData>
  <sheetProtection algorithmName="SHA-512" hashValue="lLMkXYGUi5FHl6WQJvBrMqHHm6VGA6QlwzC6QZlAV5tjZLJ3KObfel2ASozu+MZlcWJHJ72YQJG2N0vheozaMw==" saltValue="x1xhu/Bb5tSd8DQSKwE3dA==" spinCount="100000" sheet="1" objects="1" scenarios="1" selectLockedCells="1"/>
  <mergeCells count="96">
    <mergeCell ref="Q14:AK14"/>
    <mergeCell ref="AB15:AI15"/>
    <mergeCell ref="Q15:AA15"/>
    <mergeCell ref="Q11:AK11"/>
    <mergeCell ref="AM11:BG11"/>
    <mergeCell ref="Q12:AK12"/>
    <mergeCell ref="AM12:BG12"/>
    <mergeCell ref="Q13:AK13"/>
    <mergeCell ref="AM13:BG13"/>
    <mergeCell ref="AN83:AV83"/>
    <mergeCell ref="AX83:BG83"/>
    <mergeCell ref="F83:G83"/>
    <mergeCell ref="H83:I83"/>
    <mergeCell ref="R83:Z83"/>
    <mergeCell ref="AB83:AK83"/>
    <mergeCell ref="AX57:BG57"/>
    <mergeCell ref="R44:Z44"/>
    <mergeCell ref="AB44:AK44"/>
    <mergeCell ref="AN44:AV44"/>
    <mergeCell ref="AX44:BG44"/>
    <mergeCell ref="R57:Z57"/>
    <mergeCell ref="AB57:AK57"/>
    <mergeCell ref="AN57:AV57"/>
    <mergeCell ref="B37:C37"/>
    <mergeCell ref="B46:C46"/>
    <mergeCell ref="C9:E9"/>
    <mergeCell ref="C10:E10"/>
    <mergeCell ref="B3:J3"/>
    <mergeCell ref="F17:G17"/>
    <mergeCell ref="H17:I17"/>
    <mergeCell ref="H44:I44"/>
    <mergeCell ref="B34:C34"/>
    <mergeCell ref="F31:G31"/>
    <mergeCell ref="H31:I31"/>
    <mergeCell ref="B35:C35"/>
    <mergeCell ref="C72:I72"/>
    <mergeCell ref="B49:C49"/>
    <mergeCell ref="B50:C50"/>
    <mergeCell ref="B54:C54"/>
    <mergeCell ref="B59:C59"/>
    <mergeCell ref="B64:C64"/>
    <mergeCell ref="H57:I57"/>
    <mergeCell ref="B51:C51"/>
    <mergeCell ref="F57:G57"/>
    <mergeCell ref="B63:C63"/>
    <mergeCell ref="B62:C62"/>
    <mergeCell ref="B60:C60"/>
    <mergeCell ref="B47:C47"/>
    <mergeCell ref="B38:C38"/>
    <mergeCell ref="B39:C39"/>
    <mergeCell ref="B61:C61"/>
    <mergeCell ref="B52:C52"/>
    <mergeCell ref="B56:E56"/>
    <mergeCell ref="B2:E2"/>
    <mergeCell ref="B33:C33"/>
    <mergeCell ref="B5:C5"/>
    <mergeCell ref="B7:C7"/>
    <mergeCell ref="C11:E11"/>
    <mergeCell ref="J145:K145"/>
    <mergeCell ref="J143:K143"/>
    <mergeCell ref="J140:K140"/>
    <mergeCell ref="J144:K144"/>
    <mergeCell ref="J142:K142"/>
    <mergeCell ref="J141:K141"/>
    <mergeCell ref="C75:I75"/>
    <mergeCell ref="B48:C48"/>
    <mergeCell ref="F110:G110"/>
    <mergeCell ref="B136:B137"/>
    <mergeCell ref="B36:C36"/>
    <mergeCell ref="C77:I77"/>
    <mergeCell ref="C76:I76"/>
    <mergeCell ref="B67:C67"/>
    <mergeCell ref="B65:C65"/>
    <mergeCell ref="B41:C41"/>
    <mergeCell ref="C69:I69"/>
    <mergeCell ref="B82:E82"/>
    <mergeCell ref="C71:I71"/>
    <mergeCell ref="C73:I73"/>
    <mergeCell ref="C74:I74"/>
    <mergeCell ref="F44:G44"/>
    <mergeCell ref="AX17:BG17"/>
    <mergeCell ref="R31:Z31"/>
    <mergeCell ref="AB31:AK31"/>
    <mergeCell ref="AN31:AV31"/>
    <mergeCell ref="AX31:BG31"/>
    <mergeCell ref="AN17:AV17"/>
    <mergeCell ref="R17:Z17"/>
    <mergeCell ref="AB17:AK17"/>
    <mergeCell ref="C101:I101"/>
    <mergeCell ref="C102:I102"/>
    <mergeCell ref="C103:I103"/>
    <mergeCell ref="C104:I104"/>
    <mergeCell ref="C96:I96"/>
    <mergeCell ref="C98:I98"/>
    <mergeCell ref="C99:I99"/>
    <mergeCell ref="C100:I100"/>
  </mergeCells>
  <phoneticPr fontId="4" type="noConversion"/>
  <conditionalFormatting sqref="B33:C39 B59:C65 B46:C52">
    <cfRule type="expression" dxfId="1090" priority="993" stopIfTrue="1">
      <formula>ISERROR(B33)</formula>
    </cfRule>
    <cfRule type="expression" dxfId="1089" priority="994" stopIfTrue="1">
      <formula>AND($D33=0,$E33=0)</formula>
    </cfRule>
  </conditionalFormatting>
  <conditionalFormatting sqref="D33:D39 D59:D65">
    <cfRule type="expression" dxfId="1088" priority="995" stopIfTrue="1">
      <formula>ISERROR(B33)</formula>
    </cfRule>
    <cfRule type="cellIs" dxfId="1087" priority="996" stopIfTrue="1" operator="equal">
      <formula>0</formula>
    </cfRule>
  </conditionalFormatting>
  <conditionalFormatting sqref="D46:D52">
    <cfRule type="expression" dxfId="1086" priority="997" stopIfTrue="1">
      <formula>ISERROR(B46)</formula>
    </cfRule>
    <cfRule type="expression" dxfId="1085" priority="998" stopIfTrue="1">
      <formula>B46=""</formula>
    </cfRule>
    <cfRule type="cellIs" dxfId="1084" priority="999" stopIfTrue="1" operator="equal">
      <formula>0</formula>
    </cfRule>
  </conditionalFormatting>
  <conditionalFormatting sqref="E59:E65 E33:E39">
    <cfRule type="expression" dxfId="1083" priority="1000" stopIfTrue="1">
      <formula>ISERROR(B33)</formula>
    </cfRule>
    <cfRule type="cellIs" dxfId="1082" priority="1001" stopIfTrue="1" operator="equal">
      <formula>0</formula>
    </cfRule>
  </conditionalFormatting>
  <conditionalFormatting sqref="E46:E52">
    <cfRule type="expression" dxfId="1081" priority="1002" stopIfTrue="1">
      <formula>ISERROR(B46)</formula>
    </cfRule>
    <cfRule type="expression" dxfId="1080" priority="1003" stopIfTrue="1">
      <formula>B46=""</formula>
    </cfRule>
    <cfRule type="cellIs" dxfId="1079" priority="1004" stopIfTrue="1" operator="equal">
      <formula>0</formula>
    </cfRule>
  </conditionalFormatting>
  <conditionalFormatting sqref="G14">
    <cfRule type="expression" dxfId="1078" priority="1005" stopIfTrue="1">
      <formula>J15=0</formula>
    </cfRule>
  </conditionalFormatting>
  <conditionalFormatting sqref="I14">
    <cfRule type="expression" dxfId="1077" priority="1006" stopIfTrue="1">
      <formula>J15=0</formula>
    </cfRule>
  </conditionalFormatting>
  <conditionalFormatting sqref="G11:H11">
    <cfRule type="expression" dxfId="1076" priority="1007" stopIfTrue="1">
      <formula>ISERROR($J11)</formula>
    </cfRule>
  </conditionalFormatting>
  <conditionalFormatting sqref="F33:G39 F46:G52 F54:G54 F59:G65 F22:G26 F67:G67 F88:G92">
    <cfRule type="expression" dxfId="1075" priority="1008" stopIfTrue="1">
      <formula>ISERROR(F22)</formula>
    </cfRule>
    <cfRule type="expression" dxfId="1074" priority="1009" stopIfTrue="1">
      <formula>D22=0</formula>
    </cfRule>
    <cfRule type="cellIs" dxfId="1073" priority="1010" stopIfTrue="1" operator="equal">
      <formula>0</formula>
    </cfRule>
  </conditionalFormatting>
  <conditionalFormatting sqref="I11">
    <cfRule type="expression" dxfId="1072" priority="1011" stopIfTrue="1">
      <formula>ISERROR($J11)</formula>
    </cfRule>
    <cfRule type="expression" dxfId="1071" priority="1012" stopIfTrue="1">
      <formula>$I$11&lt;0</formula>
    </cfRule>
  </conditionalFormatting>
  <conditionalFormatting sqref="F5 F7">
    <cfRule type="expression" dxfId="1070" priority="1013" stopIfTrue="1">
      <formula>OR(ISBLANK($D5),ISBLANK($E5))</formula>
    </cfRule>
  </conditionalFormatting>
  <conditionalFormatting sqref="H10">
    <cfRule type="expression" dxfId="1069" priority="1014" stopIfTrue="1">
      <formula>ISERROR(J11)</formula>
    </cfRule>
    <cfRule type="expression" dxfId="1068" priority="1015" stopIfTrue="1">
      <formula>J13=1</formula>
    </cfRule>
  </conditionalFormatting>
  <conditionalFormatting sqref="H15">
    <cfRule type="expression" dxfId="1067" priority="1016" stopIfTrue="1">
      <formula>J15=0</formula>
    </cfRule>
    <cfRule type="expression" dxfId="1066" priority="1017" stopIfTrue="1">
      <formula>J14&lt;&gt;0</formula>
    </cfRule>
    <cfRule type="expression" dxfId="1065" priority="1018" stopIfTrue="1">
      <formula>AND(G15&lt;&gt;"",I15&lt;&gt;"",J14=0)</formula>
    </cfRule>
  </conditionalFormatting>
  <conditionalFormatting sqref="H79:H80 H105:H107">
    <cfRule type="expression" dxfId="1064" priority="1019" stopIfTrue="1">
      <formula>ISERROR(F79)</formula>
    </cfRule>
  </conditionalFormatting>
  <conditionalFormatting sqref="G15 I15">
    <cfRule type="expression" dxfId="1063" priority="1020" stopIfTrue="1">
      <formula>$J15=0</formula>
    </cfRule>
    <cfRule type="expression" dxfId="1062" priority="1021" stopIfTrue="1">
      <formula>$J14&lt;&gt;0</formula>
    </cfRule>
    <cfRule type="expression" dxfId="1061" priority="1022" stopIfTrue="1">
      <formula>G15=""</formula>
    </cfRule>
  </conditionalFormatting>
  <conditionalFormatting sqref="G10">
    <cfRule type="expression" dxfId="1060" priority="1023" stopIfTrue="1">
      <formula>OR(G10=0,ISERROR(J11))</formula>
    </cfRule>
    <cfRule type="expression" dxfId="1059" priority="1024" stopIfTrue="1">
      <formula>ISERROR(G10)</formula>
    </cfRule>
  </conditionalFormatting>
  <conditionalFormatting sqref="I10">
    <cfRule type="expression" dxfId="1058" priority="1025" stopIfTrue="1">
      <formula>OR(I10=0,ISERROR(J11))</formula>
    </cfRule>
    <cfRule type="expression" dxfId="1057" priority="1026" stopIfTrue="1">
      <formula>ISERROR(I10)</formula>
    </cfRule>
  </conditionalFormatting>
  <conditionalFormatting sqref="F109 F70 F68">
    <cfRule type="expression" dxfId="1056" priority="1079" stopIfTrue="1">
      <formula>OR(F68=0,ISERROR(F68))</formula>
    </cfRule>
    <cfRule type="expression" dxfId="1055" priority="1080" stopIfTrue="1">
      <formula>ISERROR(F68)</formula>
    </cfRule>
    <cfRule type="expression" dxfId="1054" priority="1081" stopIfTrue="1">
      <formula>$C$120=1</formula>
    </cfRule>
  </conditionalFormatting>
  <conditionalFormatting sqref="D124:D135">
    <cfRule type="cellIs" dxfId="1053" priority="1082" stopIfTrue="1" operator="equal">
      <formula>0</formula>
    </cfRule>
  </conditionalFormatting>
  <conditionalFormatting sqref="F108">
    <cfRule type="expression" dxfId="1052" priority="1095" stopIfTrue="1">
      <formula>OR(F108=0,ISERROR(F108))</formula>
    </cfRule>
    <cfRule type="expression" dxfId="1051" priority="1096" stopIfTrue="1">
      <formula>ISERROR(F108)</formula>
    </cfRule>
    <cfRule type="expression" dxfId="1050" priority="1097" stopIfTrue="1">
      <formula>$C$108=1</formula>
    </cfRule>
  </conditionalFormatting>
  <conditionalFormatting sqref="I105">
    <cfRule type="expression" dxfId="1049" priority="1098" stopIfTrue="1">
      <formula>ISERROR(F105)</formula>
    </cfRule>
  </conditionalFormatting>
  <conditionalFormatting sqref="F94">
    <cfRule type="expression" dxfId="1048" priority="1099" stopIfTrue="1">
      <formula>ISERROR(F94)</formula>
    </cfRule>
    <cfRule type="expression" dxfId="1047" priority="1100" stopIfTrue="1">
      <formula>$C94=""</formula>
    </cfRule>
    <cfRule type="expression" dxfId="1046" priority="1101" stopIfTrue="1">
      <formula>$C$118=1</formula>
    </cfRule>
  </conditionalFormatting>
  <conditionalFormatting sqref="G5">
    <cfRule type="expression" dxfId="1045" priority="1102" stopIfTrue="1">
      <formula>OR(ISBLANK(D5),ISBLANK(E5),$B$5="")</formula>
    </cfRule>
    <cfRule type="expression" dxfId="1044" priority="1103" stopIfTrue="1">
      <formula>B5=$F$119</formula>
    </cfRule>
    <cfRule type="expression" dxfId="1043" priority="1104" stopIfTrue="1">
      <formula>$F5=$B$119</formula>
    </cfRule>
  </conditionalFormatting>
  <conditionalFormatting sqref="H5">
    <cfRule type="expression" dxfId="1042" priority="1105" stopIfTrue="1">
      <formula>B5=$F$119</formula>
    </cfRule>
    <cfRule type="expression" dxfId="1041" priority="1106" stopIfTrue="1">
      <formula>SUM($D5:$E5)=0</formula>
    </cfRule>
    <cfRule type="expression" dxfId="1040" priority="1107" stopIfTrue="1">
      <formula>$B$5=""</formula>
    </cfRule>
  </conditionalFormatting>
  <conditionalFormatting sqref="H7">
    <cfRule type="expression" dxfId="1039" priority="1108" stopIfTrue="1">
      <formula>B5=$F$118</formula>
    </cfRule>
    <cfRule type="expression" dxfId="1038" priority="1109" stopIfTrue="1">
      <formula>SUM($D7:$E7)=0</formula>
    </cfRule>
    <cfRule type="expression" dxfId="1037" priority="1110" stopIfTrue="1">
      <formula>$B$5=""</formula>
    </cfRule>
  </conditionalFormatting>
  <conditionalFormatting sqref="G7">
    <cfRule type="expression" dxfId="1036" priority="1111" stopIfTrue="1">
      <formula>OR(ISBLANK(D7),ISBLANK(E7),D7="",$F7=$B$119,$B$5="")</formula>
    </cfRule>
    <cfRule type="expression" dxfId="1035" priority="1112" stopIfTrue="1">
      <formula>B5=$F$118</formula>
    </cfRule>
    <cfRule type="expression" dxfId="1034" priority="1113" stopIfTrue="1">
      <formula>$F7=$B$118</formula>
    </cfRule>
  </conditionalFormatting>
  <conditionalFormatting sqref="J79:J80 J105:J107">
    <cfRule type="expression" dxfId="1033" priority="1114" stopIfTrue="1">
      <formula>ISERROR(#REF!)</formula>
    </cfRule>
  </conditionalFormatting>
  <conditionalFormatting sqref="D67:E67 E45 E32 D54:E54 E18 E58 AO45 E41 E14:E16 C69 S18 AX17 AO18 AB17 S32 AX31 AO32 AB44 S58 AX57 AO58 AB31 S45 AX44 AB57 E84 S84 AX83 AO84 AB83 C96">
    <cfRule type="expression" dxfId="1032" priority="1115" stopIfTrue="1">
      <formula>ISERROR(C14)</formula>
    </cfRule>
  </conditionalFormatting>
  <conditionalFormatting sqref="I5">
    <cfRule type="cellIs" dxfId="1031" priority="1116" stopIfTrue="1" operator="equal">
      <formula>0</formula>
    </cfRule>
    <cfRule type="expression" dxfId="1030" priority="1117" stopIfTrue="1">
      <formula>OR(ISERROR(I5),$E5="",$F5=$B$119,$I5&gt;366,$B$5="")</formula>
    </cfRule>
    <cfRule type="expression" dxfId="1029" priority="1118" stopIfTrue="1">
      <formula>$B5=$F$119</formula>
    </cfRule>
  </conditionalFormatting>
  <conditionalFormatting sqref="I7">
    <cfRule type="expression" dxfId="1028" priority="1119" stopIfTrue="1">
      <formula>OR(ISBLANK(E7),E7="",$B5=$F$118,$F7=$B$119,$B$5="")</formula>
    </cfRule>
    <cfRule type="cellIs" dxfId="1027" priority="1120" stopIfTrue="1" operator="equal">
      <formula>0</formula>
    </cfRule>
    <cfRule type="expression" dxfId="1026" priority="1121" stopIfTrue="1">
      <formula>OR(ISERROR(I7),$E7="",$F7=$B$118,$I7&gt;366,ISBLANK($D7))</formula>
    </cfRule>
  </conditionalFormatting>
  <conditionalFormatting sqref="D41">
    <cfRule type="expression" dxfId="1025" priority="1122" stopIfTrue="1">
      <formula>ISERROR(D41)</formula>
    </cfRule>
  </conditionalFormatting>
  <conditionalFormatting sqref="D66:E66 D53:E53 D40:E40 D28:E28 D94:E94">
    <cfRule type="cellIs" dxfId="1024" priority="1123" stopIfTrue="1" operator="equal">
      <formula>0</formula>
    </cfRule>
    <cfRule type="expression" dxfId="1023" priority="1124" stopIfTrue="1">
      <formula>ISERROR(D28)</formula>
    </cfRule>
  </conditionalFormatting>
  <conditionalFormatting sqref="C23:C25 C89:C91">
    <cfRule type="expression" dxfId="1022" priority="1125" stopIfTrue="1">
      <formula>$H$110=1</formula>
    </cfRule>
  </conditionalFormatting>
  <conditionalFormatting sqref="E85">
    <cfRule type="expression" dxfId="1021" priority="1126" stopIfTrue="1">
      <formula>OR(ISERROR($C$118),AND($C$120=1,$C$121=0))</formula>
    </cfRule>
  </conditionalFormatting>
  <conditionalFormatting sqref="E20:E21 E27 E86:E87 E93">
    <cfRule type="expression" dxfId="1020" priority="1127" stopIfTrue="1">
      <formula>OR(ISERROR($C$118),AND($C$120=1,$C$121=0))</formula>
    </cfRule>
    <cfRule type="expression" dxfId="1019" priority="1128" stopIfTrue="1">
      <formula>ISERROR(E20)</formula>
    </cfRule>
  </conditionalFormatting>
  <conditionalFormatting sqref="D19 D85">
    <cfRule type="expression" dxfId="1018" priority="1129" stopIfTrue="1">
      <formula>OR(ISERROR($C$118),AND($C$120=1,$C$121=0))</formula>
    </cfRule>
    <cfRule type="expression" dxfId="1017" priority="1130" stopIfTrue="1">
      <formula>ISERROR($D$19)</formula>
    </cfRule>
  </conditionalFormatting>
  <conditionalFormatting sqref="D20:D21 D27 D86:D87 D93">
    <cfRule type="expression" dxfId="1016" priority="1131" stopIfTrue="1">
      <formula>OR(ISERROR($C$118),AND($C$120=1,$C$121=0))</formula>
    </cfRule>
    <cfRule type="expression" dxfId="1015" priority="1132" stopIfTrue="1">
      <formula>ISERROR(D20)</formula>
    </cfRule>
  </conditionalFormatting>
  <conditionalFormatting sqref="C17 C83">
    <cfRule type="expression" dxfId="1014" priority="1133" stopIfTrue="1">
      <formula>OR(ISBLANK($D$5),ISBLANK($E$5))</formula>
    </cfRule>
  </conditionalFormatting>
  <conditionalFormatting sqref="D22:D26 D88:D92">
    <cfRule type="expression" dxfId="1013" priority="1134" stopIfTrue="1">
      <formula>OR(ISERROR($C$118),AND($C$120=1,$C$121=0))</formula>
    </cfRule>
    <cfRule type="expression" dxfId="1012" priority="1135" stopIfTrue="1">
      <formula>ISERROR(D22)</formula>
    </cfRule>
    <cfRule type="cellIs" dxfId="1011" priority="1136" stopIfTrue="1" operator="equal">
      <formula>0</formula>
    </cfRule>
  </conditionalFormatting>
  <conditionalFormatting sqref="E22:E26 E88:E92">
    <cfRule type="expression" dxfId="1010" priority="1137" stopIfTrue="1">
      <formula>OR(ISERROR($C$118),AND($C$120=1,$C$121=0))</formula>
    </cfRule>
    <cfRule type="expression" dxfId="1009" priority="1138" stopIfTrue="1">
      <formula>ISERROR(E22)</formula>
    </cfRule>
    <cfRule type="cellIs" dxfId="1008" priority="1139" stopIfTrue="1" operator="equal">
      <formula>0</formula>
    </cfRule>
  </conditionalFormatting>
  <conditionalFormatting sqref="G12">
    <cfRule type="expression" dxfId="1007" priority="1140" stopIfTrue="1">
      <formula>$J$13=0</formula>
    </cfRule>
  </conditionalFormatting>
  <conditionalFormatting sqref="I12">
    <cfRule type="expression" dxfId="1006" priority="1141" stopIfTrue="1">
      <formula>$J$13=0</formula>
    </cfRule>
  </conditionalFormatting>
  <conditionalFormatting sqref="H13">
    <cfRule type="expression" dxfId="1005" priority="1142" stopIfTrue="1">
      <formula>$J$13=0</formula>
    </cfRule>
    <cfRule type="expression" dxfId="1004" priority="1143" stopIfTrue="1">
      <formula>$J$12&lt;&gt;0</formula>
    </cfRule>
    <cfRule type="expression" dxfId="1003" priority="1144" stopIfTrue="1">
      <formula>AND($G$13&gt;0,$I$13&gt;0,$J$12=0)</formula>
    </cfRule>
  </conditionalFormatting>
  <conditionalFormatting sqref="C12">
    <cfRule type="expression" dxfId="1002" priority="1145" stopIfTrue="1">
      <formula>ISERROR(C12)</formula>
    </cfRule>
    <cfRule type="expression" dxfId="1001" priority="1146" stopIfTrue="1">
      <formula>C12=0</formula>
    </cfRule>
    <cfRule type="expression" dxfId="1000" priority="1147" stopIfTrue="1">
      <formula>$C$120=1</formula>
    </cfRule>
  </conditionalFormatting>
  <conditionalFormatting sqref="D13 C13:C14">
    <cfRule type="expression" dxfId="999" priority="1148" stopIfTrue="1">
      <formula>$F$13=0</formula>
    </cfRule>
    <cfRule type="expression" dxfId="998" priority="1149" stopIfTrue="1">
      <formula>$E$13=""</formula>
    </cfRule>
  </conditionalFormatting>
  <conditionalFormatting sqref="J6 J8">
    <cfRule type="cellIs" dxfId="997" priority="1150" stopIfTrue="1" operator="lessThan">
      <formula>0</formula>
    </cfRule>
    <cfRule type="expression" dxfId="996" priority="1151" stopIfTrue="1">
      <formula>ISBLANK($D$5)</formula>
    </cfRule>
  </conditionalFormatting>
  <conditionalFormatting sqref="F27:G27 F41:I41 H33:I39 H46:I52 H54:I54 H59:I65 H19:I27 F19:G21 H67:I67 F93:G93 H85:I93 F85:G87">
    <cfRule type="expression" dxfId="995" priority="1152" stopIfTrue="1">
      <formula>ISERROR(F19)</formula>
    </cfRule>
    <cfRule type="cellIs" dxfId="994" priority="1153" stopIfTrue="1" operator="equal">
      <formula>0</formula>
    </cfRule>
  </conditionalFormatting>
  <conditionalFormatting sqref="D7:E7">
    <cfRule type="expression" dxfId="993" priority="1154" stopIfTrue="1">
      <formula>$F$7=$B$119</formula>
    </cfRule>
    <cfRule type="expression" dxfId="992" priority="1155" stopIfTrue="1">
      <formula>$B$5=$F$118</formula>
    </cfRule>
    <cfRule type="expression" dxfId="991" priority="1156" stopIfTrue="1">
      <formula>$B$5=""</formula>
    </cfRule>
  </conditionalFormatting>
  <conditionalFormatting sqref="D5:E5">
    <cfRule type="expression" dxfId="990" priority="1157" stopIfTrue="1">
      <formula>$F$5=$B$119</formula>
    </cfRule>
    <cfRule type="expression" dxfId="989" priority="1158" stopIfTrue="1">
      <formula>$B$5=$F$119</formula>
    </cfRule>
    <cfRule type="expression" dxfId="988" priority="1159" stopIfTrue="1">
      <formula>$B$5=""</formula>
    </cfRule>
  </conditionalFormatting>
  <conditionalFormatting sqref="B7:C7">
    <cfRule type="expression" dxfId="987" priority="1160" stopIfTrue="1">
      <formula>$B$5=$F$118</formula>
    </cfRule>
    <cfRule type="expression" dxfId="986" priority="1161" stopIfTrue="1">
      <formula>$B$5=""</formula>
    </cfRule>
  </conditionalFormatting>
  <conditionalFormatting sqref="B5:C5">
    <cfRule type="expression" dxfId="985" priority="1162" stopIfTrue="1">
      <formula>$B$5=$F$119</formula>
    </cfRule>
  </conditionalFormatting>
  <conditionalFormatting sqref="J10">
    <cfRule type="expression" dxfId="984" priority="1163" stopIfTrue="1">
      <formula>$J$134=FALSE</formula>
    </cfRule>
    <cfRule type="expression" dxfId="983" priority="1164" stopIfTrue="1">
      <formula>$G$10=0</formula>
    </cfRule>
  </conditionalFormatting>
  <conditionalFormatting sqref="G8 I8">
    <cfRule type="expression" dxfId="982" priority="1165" stopIfTrue="1">
      <formula>ISERROR(G8)</formula>
    </cfRule>
    <cfRule type="expression" dxfId="981" priority="1166" stopIfTrue="1">
      <formula>AND($D$5="",$E$5="",$D$7="",$E$7="")</formula>
    </cfRule>
  </conditionalFormatting>
  <conditionalFormatting sqref="F8">
    <cfRule type="expression" dxfId="980" priority="1167" stopIfTrue="1">
      <formula>ISERROR($F$8)</formula>
    </cfRule>
    <cfRule type="expression" dxfId="979" priority="1168" stopIfTrue="1">
      <formula>AND($D$5="",$E$5="")</formula>
    </cfRule>
  </conditionalFormatting>
  <conditionalFormatting sqref="E13">
    <cfRule type="expression" dxfId="978" priority="1169" stopIfTrue="1">
      <formula>$F$13=0</formula>
    </cfRule>
    <cfRule type="expression" dxfId="977" priority="1170" stopIfTrue="1">
      <formula>$E$13=""</formula>
    </cfRule>
  </conditionalFormatting>
  <conditionalFormatting sqref="G13 I13">
    <cfRule type="expression" dxfId="976" priority="1171" stopIfTrue="1">
      <formula>$J$13=0</formula>
    </cfRule>
    <cfRule type="expression" dxfId="975" priority="1172" stopIfTrue="1">
      <formula>$J$12&lt;&gt;0</formula>
    </cfRule>
    <cfRule type="expression" dxfId="974" priority="1173" stopIfTrue="1">
      <formula>G13=""</formula>
    </cfRule>
  </conditionalFormatting>
  <conditionalFormatting sqref="H14">
    <cfRule type="expression" dxfId="973" priority="1174" stopIfTrue="1">
      <formula>AND($J$13=1,$G$13="",$I$13="")</formula>
    </cfRule>
  </conditionalFormatting>
  <conditionalFormatting sqref="H16">
    <cfRule type="expression" dxfId="972" priority="1175" stopIfTrue="1">
      <formula>AND($J$15=1,$G$15="",$I$15="")</formula>
    </cfRule>
  </conditionalFormatting>
  <conditionalFormatting sqref="E12">
    <cfRule type="expression" dxfId="971" priority="1176" stopIfTrue="1">
      <formula>$F$13=0</formula>
    </cfRule>
    <cfRule type="expression" dxfId="970" priority="1177" stopIfTrue="1">
      <formula>$E$13&lt;&gt;""</formula>
    </cfRule>
  </conditionalFormatting>
  <conditionalFormatting sqref="H8">
    <cfRule type="expression" dxfId="969" priority="1178" stopIfTrue="1">
      <formula>ISERROR($H$8)</formula>
    </cfRule>
    <cfRule type="expression" dxfId="968" priority="1179" stopIfTrue="1">
      <formula>AND($D$5="",$E$5="",$D$7="",$E$7="")</formula>
    </cfRule>
    <cfRule type="expression" dxfId="967" priority="1180" stopIfTrue="1">
      <formula>AND(ISERROR($G$8),ISERROR($I$8))</formula>
    </cfRule>
  </conditionalFormatting>
  <conditionalFormatting sqref="E19">
    <cfRule type="expression" dxfId="966" priority="1190" stopIfTrue="1">
      <formula>OR(ISERROR($C$118),AND($C$120=1,$C$121=0))</formula>
    </cfRule>
    <cfRule type="expression" dxfId="965" priority="1191" stopIfTrue="1">
      <formula>ISERROR($E$19)</formula>
    </cfRule>
  </conditionalFormatting>
  <conditionalFormatting sqref="F97 F95">
    <cfRule type="expression" dxfId="964" priority="1194" stopIfTrue="1">
      <formula>OR(F95=0,ISERROR(F95))</formula>
    </cfRule>
    <cfRule type="expression" dxfId="963" priority="1195" stopIfTrue="1">
      <formula>ISERROR(F95)</formula>
    </cfRule>
    <cfRule type="expression" dxfId="962" priority="1196" stopIfTrue="1">
      <formula>$C$118=1</formula>
    </cfRule>
  </conditionalFormatting>
  <conditionalFormatting sqref="K105:K107">
    <cfRule type="expression" dxfId="961" priority="1197" stopIfTrue="1">
      <formula>ISERROR(#REF!)</formula>
    </cfRule>
  </conditionalFormatting>
  <conditionalFormatting sqref="C27 C93">
    <cfRule type="cellIs" dxfId="960" priority="1198" stopIfTrue="1" operator="equal">
      <formula>0</formula>
    </cfRule>
  </conditionalFormatting>
  <conditionalFormatting sqref="C92 C26">
    <cfRule type="expression" dxfId="959" priority="1199" stopIfTrue="1">
      <formula>$C$27=$B$116</formula>
    </cfRule>
  </conditionalFormatting>
  <conditionalFormatting sqref="AK22">
    <cfRule type="expression" dxfId="958" priority="992" stopIfTrue="1">
      <formula>AND(AK22=1,AJ22=1)</formula>
    </cfRule>
  </conditionalFormatting>
  <conditionalFormatting sqref="AJ22">
    <cfRule type="expression" dxfId="957" priority="990" stopIfTrue="1">
      <formula>AND(AJ22=0,AJ22=1,AI22=1)</formula>
    </cfRule>
    <cfRule type="expression" dxfId="956" priority="991" stopIfTrue="1">
      <formula>AND(AK22=1,AI22=1)</formula>
    </cfRule>
  </conditionalFormatting>
  <conditionalFormatting sqref="AB22">
    <cfRule type="expression" dxfId="955" priority="988" stopIfTrue="1">
      <formula>AND(AB22=1,AC22=1)</formula>
    </cfRule>
    <cfRule type="expression" dxfId="954" priority="989" stopIfTrue="1">
      <formula>AND(AC22=0,AB22=1)</formula>
    </cfRule>
  </conditionalFormatting>
  <conditionalFormatting sqref="AC22:AI22">
    <cfRule type="expression" dxfId="953" priority="986" stopIfTrue="1">
      <formula>AND(AD22=0,AC22=1,AB22=1)</formula>
    </cfRule>
    <cfRule type="expression" dxfId="952" priority="987" stopIfTrue="1">
      <formula>AND(AD22=1,AB22=1)</formula>
    </cfRule>
  </conditionalFormatting>
  <conditionalFormatting sqref="Z22">
    <cfRule type="expression" dxfId="951" priority="984" stopIfTrue="1">
      <formula>AND(Z22=1,Y22=1)</formula>
    </cfRule>
    <cfRule type="expression" dxfId="950" priority="985" stopIfTrue="1">
      <formula>AND(Y22=0,Z22=1)</formula>
    </cfRule>
  </conditionalFormatting>
  <conditionalFormatting sqref="Y22">
    <cfRule type="expression" dxfId="949" priority="982" stopIfTrue="1">
      <formula>AND(X22=0,Y22=1,Z22=1)</formula>
    </cfRule>
    <cfRule type="expression" dxfId="948" priority="983" stopIfTrue="1">
      <formula>AND(X22=1,Z22=1)</formula>
    </cfRule>
  </conditionalFormatting>
  <conditionalFormatting sqref="Q22">
    <cfRule type="expression" dxfId="947" priority="981" stopIfTrue="1">
      <formula>AND(Q22=1,R22=1)</formula>
    </cfRule>
  </conditionalFormatting>
  <conditionalFormatting sqref="R22">
    <cfRule type="expression" dxfId="946" priority="979" stopIfTrue="1">
      <formula>AND(Q22=0,R22=1,S22=1)</formula>
    </cfRule>
    <cfRule type="expression" dxfId="945" priority="980" stopIfTrue="1">
      <formula>AND(Q22=1,S22=1)</formula>
    </cfRule>
  </conditionalFormatting>
  <conditionalFormatting sqref="S22">
    <cfRule type="expression" dxfId="944" priority="977" stopIfTrue="1">
      <formula>AND(R22=0,S22=1,T22=1)</formula>
    </cfRule>
    <cfRule type="expression" dxfId="943" priority="978" stopIfTrue="1">
      <formula>AND(R22=1,T22=1)</formula>
    </cfRule>
  </conditionalFormatting>
  <conditionalFormatting sqref="T22:X22">
    <cfRule type="expression" dxfId="942" priority="975" stopIfTrue="1">
      <formula>AND(S22=0,T22=1,U22=1)</formula>
    </cfRule>
    <cfRule type="expression" dxfId="941" priority="976" stopIfTrue="1">
      <formula>AND(S22=1,U22=1)</formula>
    </cfRule>
  </conditionalFormatting>
  <conditionalFormatting sqref="AK23">
    <cfRule type="expression" dxfId="940" priority="974" stopIfTrue="1">
      <formula>AND(AK23=1,AJ23=1)</formula>
    </cfRule>
  </conditionalFormatting>
  <conditionalFormatting sqref="AJ23">
    <cfRule type="expression" dxfId="939" priority="972" stopIfTrue="1">
      <formula>AND(AJ23=0,AJ23=1,AI23=1)</formula>
    </cfRule>
    <cfRule type="expression" dxfId="938" priority="973" stopIfTrue="1">
      <formula>AND(AK23=1,AI23=1)</formula>
    </cfRule>
  </conditionalFormatting>
  <conditionalFormatting sqref="AB23">
    <cfRule type="expression" dxfId="937" priority="970" stopIfTrue="1">
      <formula>AND(AB23=1,AC23=1)</formula>
    </cfRule>
    <cfRule type="expression" dxfId="936" priority="971" stopIfTrue="1">
      <formula>AND(AC23=0,AB23=1)</formula>
    </cfRule>
  </conditionalFormatting>
  <conditionalFormatting sqref="AC23:AI23">
    <cfRule type="expression" dxfId="935" priority="968" stopIfTrue="1">
      <formula>AND(AD23=0,AC23=1,AB23=1)</formula>
    </cfRule>
    <cfRule type="expression" dxfId="934" priority="969" stopIfTrue="1">
      <formula>AND(AD23=1,AB23=1)</formula>
    </cfRule>
  </conditionalFormatting>
  <conditionalFormatting sqref="Z23">
    <cfRule type="expression" dxfId="933" priority="966" stopIfTrue="1">
      <formula>AND(Z23=1,Y23=1)</formula>
    </cfRule>
    <cfRule type="expression" dxfId="932" priority="967" stopIfTrue="1">
      <formula>AND(Y23=0,Z23=1)</formula>
    </cfRule>
  </conditionalFormatting>
  <conditionalFormatting sqref="Y23">
    <cfRule type="expression" dxfId="931" priority="964" stopIfTrue="1">
      <formula>AND(X23=0,Y23=1,Z23=1)</formula>
    </cfRule>
    <cfRule type="expression" dxfId="930" priority="965" stopIfTrue="1">
      <formula>AND(X23=1,Z23=1)</formula>
    </cfRule>
  </conditionalFormatting>
  <conditionalFormatting sqref="Q23">
    <cfRule type="expression" dxfId="929" priority="963" stopIfTrue="1">
      <formula>AND(Q23=1,R23=1)</formula>
    </cfRule>
  </conditionalFormatting>
  <conditionalFormatting sqref="R23">
    <cfRule type="expression" dxfId="928" priority="961" stopIfTrue="1">
      <formula>AND(Q23=0,R23=1,S23=1)</formula>
    </cfRule>
    <cfRule type="expression" dxfId="927" priority="962" stopIfTrue="1">
      <formula>AND(Q23=1,S23=1)</formula>
    </cfRule>
  </conditionalFormatting>
  <conditionalFormatting sqref="S23">
    <cfRule type="expression" dxfId="926" priority="959" stopIfTrue="1">
      <formula>AND(R23=0,S23=1,T23=1)</formula>
    </cfRule>
    <cfRule type="expression" dxfId="925" priority="960" stopIfTrue="1">
      <formula>AND(R23=1,T23=1)</formula>
    </cfRule>
  </conditionalFormatting>
  <conditionalFormatting sqref="T23:X23">
    <cfRule type="expression" dxfId="924" priority="957" stopIfTrue="1">
      <formula>AND(S23=0,T23=1,U23=1)</formula>
    </cfRule>
    <cfRule type="expression" dxfId="923" priority="958" stopIfTrue="1">
      <formula>AND(S23=1,U23=1)</formula>
    </cfRule>
  </conditionalFormatting>
  <conditionalFormatting sqref="AK24">
    <cfRule type="expression" dxfId="922" priority="956" stopIfTrue="1">
      <formula>AND(AK24=1,AJ24=1)</formula>
    </cfRule>
  </conditionalFormatting>
  <conditionalFormatting sqref="AJ24">
    <cfRule type="expression" dxfId="921" priority="954" stopIfTrue="1">
      <formula>AND(AJ24=0,AJ24=1,AI24=1)</formula>
    </cfRule>
    <cfRule type="expression" dxfId="920" priority="955" stopIfTrue="1">
      <formula>AND(AK24=1,AI24=1)</formula>
    </cfRule>
  </conditionalFormatting>
  <conditionalFormatting sqref="AB24">
    <cfRule type="expression" dxfId="919" priority="952" stopIfTrue="1">
      <formula>AND(AB24=1,AC24=1)</formula>
    </cfRule>
    <cfRule type="expression" dxfId="918" priority="953" stopIfTrue="1">
      <formula>AND(AC24=0,AB24=1)</formula>
    </cfRule>
  </conditionalFormatting>
  <conditionalFormatting sqref="AC24:AI24">
    <cfRule type="expression" dxfId="917" priority="950" stopIfTrue="1">
      <formula>AND(AD24=0,AC24=1,AB24=1)</formula>
    </cfRule>
    <cfRule type="expression" dxfId="916" priority="951" stopIfTrue="1">
      <formula>AND(AD24=1,AB24=1)</formula>
    </cfRule>
  </conditionalFormatting>
  <conditionalFormatting sqref="Z24">
    <cfRule type="expression" dxfId="915" priority="948" stopIfTrue="1">
      <formula>AND(Z24=1,Y24=1)</formula>
    </cfRule>
    <cfRule type="expression" dxfId="914" priority="949" stopIfTrue="1">
      <formula>AND(Y24=0,Z24=1)</formula>
    </cfRule>
  </conditionalFormatting>
  <conditionalFormatting sqref="Y24">
    <cfRule type="expression" dxfId="913" priority="946" stopIfTrue="1">
      <formula>AND(X24=0,Y24=1,Z24=1)</formula>
    </cfRule>
    <cfRule type="expression" dxfId="912" priority="947" stopIfTrue="1">
      <formula>AND(X24=1,Z24=1)</formula>
    </cfRule>
  </conditionalFormatting>
  <conditionalFormatting sqref="Q24">
    <cfRule type="expression" dxfId="911" priority="945" stopIfTrue="1">
      <formula>AND(Q24=1,R24=1)</formula>
    </cfRule>
  </conditionalFormatting>
  <conditionalFormatting sqref="R24">
    <cfRule type="expression" dxfId="910" priority="943" stopIfTrue="1">
      <formula>AND(Q24=0,R24=1,S24=1)</formula>
    </cfRule>
    <cfRule type="expression" dxfId="909" priority="944" stopIfTrue="1">
      <formula>AND(Q24=1,S24=1)</formula>
    </cfRule>
  </conditionalFormatting>
  <conditionalFormatting sqref="S24">
    <cfRule type="expression" dxfId="908" priority="941" stopIfTrue="1">
      <formula>AND(R24=0,S24=1,T24=1)</formula>
    </cfRule>
    <cfRule type="expression" dxfId="907" priority="942" stopIfTrue="1">
      <formula>AND(R24=1,T24=1)</formula>
    </cfRule>
  </conditionalFormatting>
  <conditionalFormatting sqref="T24:X24">
    <cfRule type="expression" dxfId="906" priority="939" stopIfTrue="1">
      <formula>AND(S24=0,T24=1,U24=1)</formula>
    </cfRule>
    <cfRule type="expression" dxfId="905" priority="940" stopIfTrue="1">
      <formula>AND(S24=1,U24=1)</formula>
    </cfRule>
  </conditionalFormatting>
  <conditionalFormatting sqref="AK25">
    <cfRule type="expression" dxfId="904" priority="938" stopIfTrue="1">
      <formula>AND(AK25=1,AJ25=1)</formula>
    </cfRule>
  </conditionalFormatting>
  <conditionalFormatting sqref="AJ25">
    <cfRule type="expression" dxfId="903" priority="936" stopIfTrue="1">
      <formula>AND(AJ25=0,AJ25=1,AI25=1)</formula>
    </cfRule>
    <cfRule type="expression" dxfId="902" priority="937" stopIfTrue="1">
      <formula>AND(AK25=1,AI25=1)</formula>
    </cfRule>
  </conditionalFormatting>
  <conditionalFormatting sqref="AB25">
    <cfRule type="expression" dxfId="901" priority="934" stopIfTrue="1">
      <formula>AND(AB25=1,AC25=1)</formula>
    </cfRule>
    <cfRule type="expression" dxfId="900" priority="935" stopIfTrue="1">
      <formula>AND(AC25=0,AB25=1)</formula>
    </cfRule>
  </conditionalFormatting>
  <conditionalFormatting sqref="AC25:AI25">
    <cfRule type="expression" dxfId="899" priority="932" stopIfTrue="1">
      <formula>AND(AD25=0,AC25=1,AB25=1)</formula>
    </cfRule>
    <cfRule type="expression" dxfId="898" priority="933" stopIfTrue="1">
      <formula>AND(AD25=1,AB25=1)</formula>
    </cfRule>
  </conditionalFormatting>
  <conditionalFormatting sqref="Z25">
    <cfRule type="expression" dxfId="897" priority="930" stopIfTrue="1">
      <formula>AND(Z25=1,Y25=1)</formula>
    </cfRule>
    <cfRule type="expression" dxfId="896" priority="931" stopIfTrue="1">
      <formula>AND(Y25=0,Z25=1)</formula>
    </cfRule>
  </conditionalFormatting>
  <conditionalFormatting sqref="Y25">
    <cfRule type="expression" dxfId="895" priority="928" stopIfTrue="1">
      <formula>AND(X25=0,Y25=1,Z25=1)</formula>
    </cfRule>
    <cfRule type="expression" dxfId="894" priority="929" stopIfTrue="1">
      <formula>AND(X25=1,Z25=1)</formula>
    </cfRule>
  </conditionalFormatting>
  <conditionalFormatting sqref="Q25">
    <cfRule type="expression" dxfId="893" priority="927" stopIfTrue="1">
      <formula>AND(Q25=1,R25=1)</formula>
    </cfRule>
  </conditionalFormatting>
  <conditionalFormatting sqref="R25">
    <cfRule type="expression" dxfId="892" priority="925" stopIfTrue="1">
      <formula>AND(Q25=0,R25=1,S25=1)</formula>
    </cfRule>
    <cfRule type="expression" dxfId="891" priority="926" stopIfTrue="1">
      <formula>AND(Q25=1,S25=1)</formula>
    </cfRule>
  </conditionalFormatting>
  <conditionalFormatting sqref="S25">
    <cfRule type="expression" dxfId="890" priority="923" stopIfTrue="1">
      <formula>AND(R25=0,S25=1,T25=1)</formula>
    </cfRule>
    <cfRule type="expression" dxfId="889" priority="924" stopIfTrue="1">
      <formula>AND(R25=1,T25=1)</formula>
    </cfRule>
  </conditionalFormatting>
  <conditionalFormatting sqref="T25:X25">
    <cfRule type="expression" dxfId="888" priority="921" stopIfTrue="1">
      <formula>AND(S25=0,T25=1,U25=1)</formula>
    </cfRule>
    <cfRule type="expression" dxfId="887" priority="922" stopIfTrue="1">
      <formula>AND(S25=1,U25=1)</formula>
    </cfRule>
  </conditionalFormatting>
  <conditionalFormatting sqref="AK26">
    <cfRule type="expression" dxfId="886" priority="920" stopIfTrue="1">
      <formula>AND(AK26=1,AJ26=1)</formula>
    </cfRule>
  </conditionalFormatting>
  <conditionalFormatting sqref="AJ26">
    <cfRule type="expression" dxfId="885" priority="918" stopIfTrue="1">
      <formula>AND(AJ26=0,AJ26=1,AI26=1)</formula>
    </cfRule>
    <cfRule type="expression" dxfId="884" priority="919" stopIfTrue="1">
      <formula>AND(AK26=1,AI26=1)</formula>
    </cfRule>
  </conditionalFormatting>
  <conditionalFormatting sqref="AB26">
    <cfRule type="expression" dxfId="883" priority="916" stopIfTrue="1">
      <formula>AND(AB26=1,AC26=1)</formula>
    </cfRule>
    <cfRule type="expression" dxfId="882" priority="917" stopIfTrue="1">
      <formula>AND(AC26=0,AB26=1)</formula>
    </cfRule>
  </conditionalFormatting>
  <conditionalFormatting sqref="AC26:AI26">
    <cfRule type="expression" dxfId="881" priority="914" stopIfTrue="1">
      <formula>AND(AD26=0,AC26=1,AB26=1)</formula>
    </cfRule>
    <cfRule type="expression" dxfId="880" priority="915" stopIfTrue="1">
      <formula>AND(AD26=1,AB26=1)</formula>
    </cfRule>
  </conditionalFormatting>
  <conditionalFormatting sqref="Z26">
    <cfRule type="expression" dxfId="879" priority="912" stopIfTrue="1">
      <formula>AND(Z26=1,Y26=1)</formula>
    </cfRule>
    <cfRule type="expression" dxfId="878" priority="913" stopIfTrue="1">
      <formula>AND(Y26=0,Z26=1)</formula>
    </cfRule>
  </conditionalFormatting>
  <conditionalFormatting sqref="Y26">
    <cfRule type="expression" dxfId="877" priority="910" stopIfTrue="1">
      <formula>AND(X26=0,Y26=1,Z26=1)</formula>
    </cfRule>
    <cfRule type="expression" dxfId="876" priority="911" stopIfTrue="1">
      <formula>AND(X26=1,Z26=1)</formula>
    </cfRule>
  </conditionalFormatting>
  <conditionalFormatting sqref="Q26">
    <cfRule type="expression" dxfId="875" priority="909" stopIfTrue="1">
      <formula>AND(Q26=1,R26=1)</formula>
    </cfRule>
  </conditionalFormatting>
  <conditionalFormatting sqref="R26">
    <cfRule type="expression" dxfId="874" priority="907" stopIfTrue="1">
      <formula>AND(Q26=0,R26=1,S26=1)</formula>
    </cfRule>
    <cfRule type="expression" dxfId="873" priority="908" stopIfTrue="1">
      <formula>AND(Q26=1,S26=1)</formula>
    </cfRule>
  </conditionalFormatting>
  <conditionalFormatting sqref="S26">
    <cfRule type="expression" dxfId="872" priority="905" stopIfTrue="1">
      <formula>AND(R26=0,S26=1,T26=1)</formula>
    </cfRule>
    <cfRule type="expression" dxfId="871" priority="906" stopIfTrue="1">
      <formula>AND(R26=1,T26=1)</formula>
    </cfRule>
  </conditionalFormatting>
  <conditionalFormatting sqref="T26:X26">
    <cfRule type="expression" dxfId="870" priority="903" stopIfTrue="1">
      <formula>AND(S26=0,T26=1,U26=1)</formula>
    </cfRule>
    <cfRule type="expression" dxfId="869" priority="904" stopIfTrue="1">
      <formula>AND(S26=1,U26=1)</formula>
    </cfRule>
  </conditionalFormatting>
  <conditionalFormatting sqref="AB21">
    <cfRule type="expression" dxfId="868" priority="900" stopIfTrue="1">
      <formula>SUM($D$19:$E$19)=0</formula>
    </cfRule>
    <cfRule type="expression" dxfId="867" priority="901" stopIfTrue="1">
      <formula>AND(AB21=1,AC21=0)</formula>
    </cfRule>
    <cfRule type="cellIs" dxfId="866" priority="902" stopIfTrue="1" operator="equal">
      <formula>0</formula>
    </cfRule>
  </conditionalFormatting>
  <conditionalFormatting sqref="Z21">
    <cfRule type="expression" dxfId="865" priority="897" stopIfTrue="1">
      <formula>SUM($D$19:$E$19)=0</formula>
    </cfRule>
    <cfRule type="expression" dxfId="864" priority="898" stopIfTrue="1">
      <formula>AND(Z21=1,Y21=0)</formula>
    </cfRule>
    <cfRule type="cellIs" dxfId="863" priority="899" stopIfTrue="1" operator="equal">
      <formula>0</formula>
    </cfRule>
  </conditionalFormatting>
  <conditionalFormatting sqref="Z19">
    <cfRule type="expression" dxfId="862" priority="895" stopIfTrue="1">
      <formula>AND(Z19=1,Y19=1)</formula>
    </cfRule>
    <cfRule type="expression" dxfId="861" priority="896" stopIfTrue="1">
      <formula>AND(Y19=0,Z19=1)</formula>
    </cfRule>
  </conditionalFormatting>
  <conditionalFormatting sqref="Y19">
    <cfRule type="expression" dxfId="860" priority="893" stopIfTrue="1">
      <formula>AND(X19=0,Y19=1,Z19=1)</formula>
    </cfRule>
    <cfRule type="expression" dxfId="859" priority="894" stopIfTrue="1">
      <formula>AND(X19=1,Z19=1)</formula>
    </cfRule>
  </conditionalFormatting>
  <conditionalFormatting sqref="Q19">
    <cfRule type="expression" dxfId="858" priority="892" stopIfTrue="1">
      <formula>AND(Q19=1,R19=1)</formula>
    </cfRule>
  </conditionalFormatting>
  <conditionalFormatting sqref="R19">
    <cfRule type="expression" dxfId="857" priority="890" stopIfTrue="1">
      <formula>AND(Q19=0,R19=1,S19=1)</formula>
    </cfRule>
    <cfRule type="expression" dxfId="856" priority="891" stopIfTrue="1">
      <formula>AND(Q19=1,S19=1)</formula>
    </cfRule>
  </conditionalFormatting>
  <conditionalFormatting sqref="S19">
    <cfRule type="expression" dxfId="855" priority="888" stopIfTrue="1">
      <formula>AND(R19=0,S19=1,T19=1)</formula>
    </cfRule>
    <cfRule type="expression" dxfId="854" priority="889" stopIfTrue="1">
      <formula>AND(R19=1,T19=1)</formula>
    </cfRule>
  </conditionalFormatting>
  <conditionalFormatting sqref="T19:X19">
    <cfRule type="expression" dxfId="853" priority="886" stopIfTrue="1">
      <formula>AND(S19=0,T19=1,U19=1)</formula>
    </cfRule>
    <cfRule type="expression" dxfId="852" priority="887" stopIfTrue="1">
      <formula>AND(S19=1,U19=1)</formula>
    </cfRule>
  </conditionalFormatting>
  <conditionalFormatting sqref="Z20">
    <cfRule type="expression" dxfId="851" priority="884" stopIfTrue="1">
      <formula>AND(Z20=1,Y20=1)</formula>
    </cfRule>
    <cfRule type="expression" dxfId="850" priority="885" stopIfTrue="1">
      <formula>AND(Y20=0,Z20=1)</formula>
    </cfRule>
  </conditionalFormatting>
  <conditionalFormatting sqref="Y20">
    <cfRule type="expression" dxfId="849" priority="882" stopIfTrue="1">
      <formula>AND(X20=0,Y20=1,Z20=1)</formula>
    </cfRule>
    <cfRule type="expression" dxfId="848" priority="883" stopIfTrue="1">
      <formula>AND(X20=1,Z20=1)</formula>
    </cfRule>
  </conditionalFormatting>
  <conditionalFormatting sqref="R20">
    <cfRule type="expression" dxfId="847" priority="880" stopIfTrue="1">
      <formula>AND(Q20=0,R20=1,S20=1)</formula>
    </cfRule>
    <cfRule type="expression" dxfId="846" priority="881" stopIfTrue="1">
      <formula>AND(Q20=1,S20=1)</formula>
    </cfRule>
  </conditionalFormatting>
  <conditionalFormatting sqref="S20">
    <cfRule type="expression" dxfId="845" priority="878" stopIfTrue="1">
      <formula>AND(R20=0,S20=1,T20=1)</formula>
    </cfRule>
    <cfRule type="expression" dxfId="844" priority="879" stopIfTrue="1">
      <formula>AND(R20=1,T20=1)</formula>
    </cfRule>
  </conditionalFormatting>
  <conditionalFormatting sqref="T20:X20">
    <cfRule type="expression" dxfId="843" priority="876" stopIfTrue="1">
      <formula>AND(S20=0,T20=1,U20=1)</formula>
    </cfRule>
    <cfRule type="expression" dxfId="842" priority="877" stopIfTrue="1">
      <formula>AND(S20=1,U20=1)</formula>
    </cfRule>
  </conditionalFormatting>
  <conditionalFormatting sqref="Q20">
    <cfRule type="expression" dxfId="841" priority="875" stopIfTrue="1">
      <formula>AND(Q20=1,R20=1)</formula>
    </cfRule>
  </conditionalFormatting>
  <conditionalFormatting sqref="AK19">
    <cfRule type="expression" dxfId="840" priority="874" stopIfTrue="1">
      <formula>AND(AK19=1,AJ19=1)</formula>
    </cfRule>
  </conditionalFormatting>
  <conditionalFormatting sqref="AB19">
    <cfRule type="expression" dxfId="839" priority="872" stopIfTrue="1">
      <formula>AND(AB19=1,AC19=1)</formula>
    </cfRule>
    <cfRule type="expression" dxfId="838" priority="873" stopIfTrue="1">
      <formula>AND(AC19=0,AB19=1)</formula>
    </cfRule>
  </conditionalFormatting>
  <conditionalFormatting sqref="AK20">
    <cfRule type="expression" dxfId="837" priority="871" stopIfTrue="1">
      <formula>AND(AK20=1,AJ20=1)</formula>
    </cfRule>
  </conditionalFormatting>
  <conditionalFormatting sqref="AB20">
    <cfRule type="expression" dxfId="836" priority="869" stopIfTrue="1">
      <formula>AND(AB20=1,AC20=1)</formula>
    </cfRule>
    <cfRule type="expression" dxfId="835" priority="870" stopIfTrue="1">
      <formula>AND(AC20=0,AB20=1)</formula>
    </cfRule>
  </conditionalFormatting>
  <conditionalFormatting sqref="AC19:AI19">
    <cfRule type="expression" dxfId="834" priority="867" stopIfTrue="1">
      <formula>AND(AD19=0,AC19=1,AB19=1)</formula>
    </cfRule>
    <cfRule type="expression" dxfId="833" priority="868" stopIfTrue="1">
      <formula>AND(AD19=1,AB19=1)</formula>
    </cfRule>
  </conditionalFormatting>
  <conditionalFormatting sqref="AC20:AI20">
    <cfRule type="expression" dxfId="832" priority="865" stopIfTrue="1">
      <formula>AND(AD20=0,AC20=1,AB20=1)</formula>
    </cfRule>
    <cfRule type="expression" dxfId="831" priority="866" stopIfTrue="1">
      <formula>AND(AD20=1,AB20=1)</formula>
    </cfRule>
  </conditionalFormatting>
  <conditionalFormatting sqref="AJ19:AJ20">
    <cfRule type="expression" dxfId="830" priority="863" stopIfTrue="1">
      <formula>AND(AK19=0,AJ19=1,AI19=1)</formula>
    </cfRule>
    <cfRule type="expression" dxfId="829" priority="864" stopIfTrue="1">
      <formula>AND(AK19=1,AI19=1)</formula>
    </cfRule>
  </conditionalFormatting>
  <conditionalFormatting sqref="Z27">
    <cfRule type="expression" dxfId="828" priority="861" stopIfTrue="1">
      <formula>AND(Z27=1,Y27=1)</formula>
    </cfRule>
    <cfRule type="expression" dxfId="827" priority="862" stopIfTrue="1">
      <formula>AND(Y27=0,Z27=1)</formula>
    </cfRule>
  </conditionalFormatting>
  <conditionalFormatting sqref="Y27">
    <cfRule type="expression" dxfId="826" priority="859" stopIfTrue="1">
      <formula>AND(X27=0,Y27=1,Z27=1)</formula>
    </cfRule>
    <cfRule type="expression" dxfId="825" priority="860" stopIfTrue="1">
      <formula>AND(X27=1,Z27=1)</formula>
    </cfRule>
  </conditionalFormatting>
  <conditionalFormatting sqref="Q27">
    <cfRule type="expression" dxfId="824" priority="858" stopIfTrue="1">
      <formula>AND(Q27=1,R27=1)</formula>
    </cfRule>
  </conditionalFormatting>
  <conditionalFormatting sqref="R27">
    <cfRule type="expression" dxfId="823" priority="856" stopIfTrue="1">
      <formula>AND(Q27=0,R27=1,S27=1)</formula>
    </cfRule>
    <cfRule type="expression" dxfId="822" priority="857" stopIfTrue="1">
      <formula>AND(Q27=1,S27=1)</formula>
    </cfRule>
  </conditionalFormatting>
  <conditionalFormatting sqref="S27">
    <cfRule type="expression" dxfId="821" priority="854" stopIfTrue="1">
      <formula>AND(R27=0,S27=1,T27=1)</formula>
    </cfRule>
    <cfRule type="expression" dxfId="820" priority="855" stopIfTrue="1">
      <formula>AND(R27=1,T27=1)</formula>
    </cfRule>
  </conditionalFormatting>
  <conditionalFormatting sqref="T27:X27">
    <cfRule type="expression" dxfId="819" priority="852" stopIfTrue="1">
      <formula>AND(S27=0,T27=1,U27=1)</formula>
    </cfRule>
    <cfRule type="expression" dxfId="818" priority="853" stopIfTrue="1">
      <formula>AND(S27=1,U27=1)</formula>
    </cfRule>
  </conditionalFormatting>
  <conditionalFormatting sqref="AK27">
    <cfRule type="expression" dxfId="817" priority="851" stopIfTrue="1">
      <formula>AND(AK27=1,AJ27=1)</formula>
    </cfRule>
  </conditionalFormatting>
  <conditionalFormatting sqref="AB27">
    <cfRule type="expression" dxfId="816" priority="849" stopIfTrue="1">
      <formula>AND(AB27=1,AC27=1)</formula>
    </cfRule>
    <cfRule type="expression" dxfId="815" priority="850" stopIfTrue="1">
      <formula>AND(AC27=0,AB27=1)</formula>
    </cfRule>
  </conditionalFormatting>
  <conditionalFormatting sqref="AC27:AI27">
    <cfRule type="expression" dxfId="814" priority="847" stopIfTrue="1">
      <formula>AND(AD27=0,AC27=1,AB27=1)</formula>
    </cfRule>
    <cfRule type="expression" dxfId="813" priority="848" stopIfTrue="1">
      <formula>AND(AD27=1,AB27=1)</formula>
    </cfRule>
  </conditionalFormatting>
  <conditionalFormatting sqref="AJ27">
    <cfRule type="expression" dxfId="812" priority="845" stopIfTrue="1">
      <formula>AND(AK27=0,AJ27=1,AI27=1)</formula>
    </cfRule>
    <cfRule type="expression" dxfId="811" priority="846" stopIfTrue="1">
      <formula>AND(AK27=1,AI27=1)</formula>
    </cfRule>
  </conditionalFormatting>
  <conditionalFormatting sqref="AV21">
    <cfRule type="expression" dxfId="810" priority="839" stopIfTrue="1">
      <formula>SUM($D$19:$E$19)=0</formula>
    </cfRule>
    <cfRule type="expression" dxfId="809" priority="840" stopIfTrue="1">
      <formula>AND(AV21=1,AU21=0)</formula>
    </cfRule>
    <cfRule type="cellIs" dxfId="808" priority="841" stopIfTrue="1" operator="equal">
      <formula>0</formula>
    </cfRule>
  </conditionalFormatting>
  <conditionalFormatting sqref="AX21">
    <cfRule type="expression" dxfId="807" priority="842" stopIfTrue="1">
      <formula>SUM($D$19:$E$19)=0</formula>
    </cfRule>
    <cfRule type="expression" dxfId="806" priority="843" stopIfTrue="1">
      <formula>AND(AX21=1,AY21=0)</formula>
    </cfRule>
    <cfRule type="cellIs" dxfId="805" priority="844" stopIfTrue="1" operator="equal">
      <formula>0</formula>
    </cfRule>
  </conditionalFormatting>
  <conditionalFormatting sqref="AV19">
    <cfRule type="expression" dxfId="804" priority="837" stopIfTrue="1">
      <formula>AND(AV19=1,AU19=1)</formula>
    </cfRule>
    <cfRule type="expression" dxfId="803" priority="838" stopIfTrue="1">
      <formula>AND(AU19=0,AV19=1)</formula>
    </cfRule>
  </conditionalFormatting>
  <conditionalFormatting sqref="AU19">
    <cfRule type="expression" dxfId="802" priority="835" stopIfTrue="1">
      <formula>AND(AT19=0,AU19=1,AV19=1)</formula>
    </cfRule>
    <cfRule type="expression" dxfId="801" priority="836" stopIfTrue="1">
      <formula>AND(AT19=1,AV19=1)</formula>
    </cfRule>
  </conditionalFormatting>
  <conditionalFormatting sqref="AN19">
    <cfRule type="expression" dxfId="800" priority="833" stopIfTrue="1">
      <formula>AND(AM19=0,AN19=1,AO19=1)</formula>
    </cfRule>
    <cfRule type="expression" dxfId="799" priority="834" stopIfTrue="1">
      <formula>AND(AM19=1,AO19=1)</formula>
    </cfRule>
  </conditionalFormatting>
  <conditionalFormatting sqref="AO19">
    <cfRule type="expression" dxfId="798" priority="831" stopIfTrue="1">
      <formula>AND(AN19=0,AO19=1,AP19=1)</formula>
    </cfRule>
    <cfRule type="expression" dxfId="797" priority="832" stopIfTrue="1">
      <formula>AND(AN19=1,AP19=1)</formula>
    </cfRule>
  </conditionalFormatting>
  <conditionalFormatting sqref="AP19:AT19">
    <cfRule type="expression" dxfId="796" priority="829" stopIfTrue="1">
      <formula>AND(AO19=0,AP19=1,AQ19=1)</formula>
    </cfRule>
    <cfRule type="expression" dxfId="795" priority="830" stopIfTrue="1">
      <formula>AND(AO19=1,AQ19=1)</formula>
    </cfRule>
  </conditionalFormatting>
  <conditionalFormatting sqref="AV20">
    <cfRule type="expression" dxfId="794" priority="827" stopIfTrue="1">
      <formula>AND(AV20=1,AU20=1)</formula>
    </cfRule>
    <cfRule type="expression" dxfId="793" priority="828" stopIfTrue="1">
      <formula>AND(AU20=0,AV20=1)</formula>
    </cfRule>
  </conditionalFormatting>
  <conditionalFormatting sqref="AU20">
    <cfRule type="expression" dxfId="792" priority="825" stopIfTrue="1">
      <formula>AND(AT20=0,AU20=1,AV20=1)</formula>
    </cfRule>
    <cfRule type="expression" dxfId="791" priority="826" stopIfTrue="1">
      <formula>AND(AT20=1,AV20=1)</formula>
    </cfRule>
  </conditionalFormatting>
  <conditionalFormatting sqref="AN20">
    <cfRule type="expression" dxfId="790" priority="823" stopIfTrue="1">
      <formula>AND(AM20=0,AN20=1,AO20=1)</formula>
    </cfRule>
    <cfRule type="expression" dxfId="789" priority="824" stopIfTrue="1">
      <formula>AND(AM20=1,AO20=1)</formula>
    </cfRule>
  </conditionalFormatting>
  <conditionalFormatting sqref="AO20">
    <cfRule type="expression" dxfId="788" priority="821" stopIfTrue="1">
      <formula>AND(AN20=0,AO20=1,AP20=1)</formula>
    </cfRule>
    <cfRule type="expression" dxfId="787" priority="822" stopIfTrue="1">
      <formula>AND(AN20=1,AP20=1)</formula>
    </cfRule>
  </conditionalFormatting>
  <conditionalFormatting sqref="AP20:AT20">
    <cfRule type="expression" dxfId="786" priority="819" stopIfTrue="1">
      <formula>AND(AO20=0,AP20=1,AQ20=1)</formula>
    </cfRule>
    <cfRule type="expression" dxfId="785" priority="820" stopIfTrue="1">
      <formula>AND(AO20=1,AQ20=1)</formula>
    </cfRule>
  </conditionalFormatting>
  <conditionalFormatting sqref="AM19">
    <cfRule type="expression" dxfId="784" priority="818" stopIfTrue="1">
      <formula>AND(AM19=1,AN19=1)</formula>
    </cfRule>
  </conditionalFormatting>
  <conditionalFormatting sqref="AM20">
    <cfRule type="expression" dxfId="783" priority="817" stopIfTrue="1">
      <formula>AND(AM20=1,AN20=1)</formula>
    </cfRule>
  </conditionalFormatting>
  <conditionalFormatting sqref="BG19">
    <cfRule type="expression" dxfId="782" priority="816" stopIfTrue="1">
      <formula>AND(BG19=1,BF19=1)</formula>
    </cfRule>
  </conditionalFormatting>
  <conditionalFormatting sqref="BF19">
    <cfRule type="expression" dxfId="781" priority="814" stopIfTrue="1">
      <formula>AND(BF19=0,BF19=1,BE19=1)</formula>
    </cfRule>
    <cfRule type="expression" dxfId="780" priority="815" stopIfTrue="1">
      <formula>AND(BG19=1,BE19=1)</formula>
    </cfRule>
  </conditionalFormatting>
  <conditionalFormatting sqref="AX19">
    <cfRule type="expression" dxfId="779" priority="812" stopIfTrue="1">
      <formula>AND(AX19=1,AY19=1)</formula>
    </cfRule>
    <cfRule type="expression" dxfId="778" priority="813" stopIfTrue="1">
      <formula>AND(AY19=0,AX19=1)</formula>
    </cfRule>
  </conditionalFormatting>
  <conditionalFormatting sqref="AY19:BE19">
    <cfRule type="expression" dxfId="777" priority="810" stopIfTrue="1">
      <formula>AND(AZ19=0,AY19=1,AX19=1)</formula>
    </cfRule>
    <cfRule type="expression" dxfId="776" priority="811" stopIfTrue="1">
      <formula>AND(AZ19=1,AX19=1)</formula>
    </cfRule>
  </conditionalFormatting>
  <conditionalFormatting sqref="BG20">
    <cfRule type="expression" dxfId="775" priority="809" stopIfTrue="1">
      <formula>AND(BG20=1,BF20=1)</formula>
    </cfRule>
  </conditionalFormatting>
  <conditionalFormatting sqref="BF20">
    <cfRule type="expression" dxfId="774" priority="807" stopIfTrue="1">
      <formula>AND(BF20=0,BF20=1,BE20=1)</formula>
    </cfRule>
    <cfRule type="expression" dxfId="773" priority="808" stopIfTrue="1">
      <formula>AND(BG20=1,BE20=1)</formula>
    </cfRule>
  </conditionalFormatting>
  <conditionalFormatting sqref="AX20">
    <cfRule type="expression" dxfId="772" priority="805" stopIfTrue="1">
      <formula>AND(AX20=1,AY20=1)</formula>
    </cfRule>
    <cfRule type="expression" dxfId="771" priority="806" stopIfTrue="1">
      <formula>AND(AY20=0,AX20=1)</formula>
    </cfRule>
  </conditionalFormatting>
  <conditionalFormatting sqref="AY20:BE20">
    <cfRule type="expression" dxfId="770" priority="803" stopIfTrue="1">
      <formula>AND(AZ20=0,AY20=1,AX20=1)</formula>
    </cfRule>
    <cfRule type="expression" dxfId="769" priority="804" stopIfTrue="1">
      <formula>AND(AZ20=1,AX20=1)</formula>
    </cfRule>
  </conditionalFormatting>
  <conditionalFormatting sqref="BG22">
    <cfRule type="expression" dxfId="768" priority="802" stopIfTrue="1">
      <formula>AND(BG22=1,BF22=1)</formula>
    </cfRule>
  </conditionalFormatting>
  <conditionalFormatting sqref="BF22">
    <cfRule type="expression" dxfId="767" priority="800" stopIfTrue="1">
      <formula>AND(BF22=0,BF22=1,BE22=1)</formula>
    </cfRule>
    <cfRule type="expression" dxfId="766" priority="801" stopIfTrue="1">
      <formula>AND(BG22=1,BE22=1)</formula>
    </cfRule>
  </conditionalFormatting>
  <conditionalFormatting sqref="AX22">
    <cfRule type="expression" dxfId="765" priority="798" stopIfTrue="1">
      <formula>AND(AX22=1,AY22=1)</formula>
    </cfRule>
    <cfRule type="expression" dxfId="764" priority="799" stopIfTrue="1">
      <formula>AND(AY22=0,AX22=1)</formula>
    </cfRule>
  </conditionalFormatting>
  <conditionalFormatting sqref="AY22:BE22">
    <cfRule type="expression" dxfId="763" priority="796" stopIfTrue="1">
      <formula>AND(AZ22=0,AY22=1,AX22=1)</formula>
    </cfRule>
    <cfRule type="expression" dxfId="762" priority="797" stopIfTrue="1">
      <formula>AND(AZ22=1,AX22=1)</formula>
    </cfRule>
  </conditionalFormatting>
  <conditionalFormatting sqref="AV22">
    <cfRule type="expression" dxfId="761" priority="794" stopIfTrue="1">
      <formula>AND(AV22=1,AU22=1)</formula>
    </cfRule>
    <cfRule type="expression" dxfId="760" priority="795" stopIfTrue="1">
      <formula>AND(AU22=0,AV22=1)</formula>
    </cfRule>
  </conditionalFormatting>
  <conditionalFormatting sqref="AU22">
    <cfRule type="expression" dxfId="759" priority="792" stopIfTrue="1">
      <formula>AND(AT22=0,AU22=1,AV22=1)</formula>
    </cfRule>
    <cfRule type="expression" dxfId="758" priority="793" stopIfTrue="1">
      <formula>AND(AT22=1,AV22=1)</formula>
    </cfRule>
  </conditionalFormatting>
  <conditionalFormatting sqref="AM22">
    <cfRule type="expression" dxfId="757" priority="791" stopIfTrue="1">
      <formula>AND(AM22=1,AN22=1)</formula>
    </cfRule>
  </conditionalFormatting>
  <conditionalFormatting sqref="AN22">
    <cfRule type="expression" dxfId="756" priority="789" stopIfTrue="1">
      <formula>AND(AM22=0,AN22=1,AO22=1)</formula>
    </cfRule>
    <cfRule type="expression" dxfId="755" priority="790" stopIfTrue="1">
      <formula>AND(AM22=1,AO22=1)</formula>
    </cfRule>
  </conditionalFormatting>
  <conditionalFormatting sqref="AO22">
    <cfRule type="expression" dxfId="754" priority="787" stopIfTrue="1">
      <formula>AND(AN22=0,AO22=1,AP22=1)</formula>
    </cfRule>
    <cfRule type="expression" dxfId="753" priority="788" stopIfTrue="1">
      <formula>AND(AN22=1,AP22=1)</formula>
    </cfRule>
  </conditionalFormatting>
  <conditionalFormatting sqref="AP22:AT22">
    <cfRule type="expression" dxfId="752" priority="785" stopIfTrue="1">
      <formula>AND(AO22=0,AP22=1,AQ22=1)</formula>
    </cfRule>
    <cfRule type="expression" dxfId="751" priority="786" stopIfTrue="1">
      <formula>AND(AO22=1,AQ22=1)</formula>
    </cfRule>
  </conditionalFormatting>
  <conditionalFormatting sqref="BG23">
    <cfRule type="expression" dxfId="750" priority="784" stopIfTrue="1">
      <formula>AND(BG23=1,BF23=1)</formula>
    </cfRule>
  </conditionalFormatting>
  <conditionalFormatting sqref="BF23">
    <cfRule type="expression" dxfId="749" priority="782" stopIfTrue="1">
      <formula>AND(BF23=0,BF23=1,BE23=1)</formula>
    </cfRule>
    <cfRule type="expression" dxfId="748" priority="783" stopIfTrue="1">
      <formula>AND(BG23=1,BE23=1)</formula>
    </cfRule>
  </conditionalFormatting>
  <conditionalFormatting sqref="AX23">
    <cfRule type="expression" dxfId="747" priority="780" stopIfTrue="1">
      <formula>AND(AX23=1,AY23=1)</formula>
    </cfRule>
    <cfRule type="expression" dxfId="746" priority="781" stopIfTrue="1">
      <formula>AND(AY23=0,AX23=1)</formula>
    </cfRule>
  </conditionalFormatting>
  <conditionalFormatting sqref="AY23:BE23">
    <cfRule type="expression" dxfId="745" priority="778" stopIfTrue="1">
      <formula>AND(AZ23=0,AY23=1,AX23=1)</formula>
    </cfRule>
    <cfRule type="expression" dxfId="744" priority="779" stopIfTrue="1">
      <formula>AND(AZ23=1,AX23=1)</formula>
    </cfRule>
  </conditionalFormatting>
  <conditionalFormatting sqref="AV23">
    <cfRule type="expression" dxfId="743" priority="776" stopIfTrue="1">
      <formula>AND(AV23=1,AU23=1)</formula>
    </cfRule>
    <cfRule type="expression" dxfId="742" priority="777" stopIfTrue="1">
      <formula>AND(AU23=0,AV23=1)</formula>
    </cfRule>
  </conditionalFormatting>
  <conditionalFormatting sqref="AU23">
    <cfRule type="expression" dxfId="741" priority="774" stopIfTrue="1">
      <formula>AND(AT23=0,AU23=1,AV23=1)</formula>
    </cfRule>
    <cfRule type="expression" dxfId="740" priority="775" stopIfTrue="1">
      <formula>AND(AT23=1,AV23=1)</formula>
    </cfRule>
  </conditionalFormatting>
  <conditionalFormatting sqref="AM23">
    <cfRule type="expression" dxfId="739" priority="773" stopIfTrue="1">
      <formula>AND(AM23=1,AN23=1)</formula>
    </cfRule>
  </conditionalFormatting>
  <conditionalFormatting sqref="AN23">
    <cfRule type="expression" dxfId="738" priority="771" stopIfTrue="1">
      <formula>AND(AM23=0,AN23=1,AO23=1)</formula>
    </cfRule>
    <cfRule type="expression" dxfId="737" priority="772" stopIfTrue="1">
      <formula>AND(AM23=1,AO23=1)</formula>
    </cfRule>
  </conditionalFormatting>
  <conditionalFormatting sqref="AO23">
    <cfRule type="expression" dxfId="736" priority="769" stopIfTrue="1">
      <formula>AND(AN23=0,AO23=1,AP23=1)</formula>
    </cfRule>
    <cfRule type="expression" dxfId="735" priority="770" stopIfTrue="1">
      <formula>AND(AN23=1,AP23=1)</formula>
    </cfRule>
  </conditionalFormatting>
  <conditionalFormatting sqref="AP23:AT23">
    <cfRule type="expression" dxfId="734" priority="767" stopIfTrue="1">
      <formula>AND(AO23=0,AP23=1,AQ23=1)</formula>
    </cfRule>
    <cfRule type="expression" dxfId="733" priority="768" stopIfTrue="1">
      <formula>AND(AO23=1,AQ23=1)</formula>
    </cfRule>
  </conditionalFormatting>
  <conditionalFormatting sqref="BG24">
    <cfRule type="expression" dxfId="732" priority="766" stopIfTrue="1">
      <formula>AND(BG24=1,BF24=1)</formula>
    </cfRule>
  </conditionalFormatting>
  <conditionalFormatting sqref="BF24">
    <cfRule type="expression" dxfId="731" priority="764" stopIfTrue="1">
      <formula>AND(BF24=0,BF24=1,BE24=1)</formula>
    </cfRule>
    <cfRule type="expression" dxfId="730" priority="765" stopIfTrue="1">
      <formula>AND(BG24=1,BE24=1)</formula>
    </cfRule>
  </conditionalFormatting>
  <conditionalFormatting sqref="AX24">
    <cfRule type="expression" dxfId="729" priority="762" stopIfTrue="1">
      <formula>AND(AX24=1,AY24=1)</formula>
    </cfRule>
    <cfRule type="expression" dxfId="728" priority="763" stopIfTrue="1">
      <formula>AND(AY24=0,AX24=1)</formula>
    </cfRule>
  </conditionalFormatting>
  <conditionalFormatting sqref="AY24:BE24">
    <cfRule type="expression" dxfId="727" priority="760" stopIfTrue="1">
      <formula>AND(AZ24=0,AY24=1,AX24=1)</formula>
    </cfRule>
    <cfRule type="expression" dxfId="726" priority="761" stopIfTrue="1">
      <formula>AND(AZ24=1,AX24=1)</formula>
    </cfRule>
  </conditionalFormatting>
  <conditionalFormatting sqref="AV24">
    <cfRule type="expression" dxfId="725" priority="758" stopIfTrue="1">
      <formula>AND(AV24=1,AU24=1)</formula>
    </cfRule>
    <cfRule type="expression" dxfId="724" priority="759" stopIfTrue="1">
      <formula>AND(AU24=0,AV24=1)</formula>
    </cfRule>
  </conditionalFormatting>
  <conditionalFormatting sqref="AU24">
    <cfRule type="expression" dxfId="723" priority="756" stopIfTrue="1">
      <formula>AND(AT24=0,AU24=1,AV24=1)</formula>
    </cfRule>
    <cfRule type="expression" dxfId="722" priority="757" stopIfTrue="1">
      <formula>AND(AT24=1,AV24=1)</formula>
    </cfRule>
  </conditionalFormatting>
  <conditionalFormatting sqref="AM24">
    <cfRule type="expression" dxfId="721" priority="755" stopIfTrue="1">
      <formula>AND(AM24=1,AN24=1)</formula>
    </cfRule>
  </conditionalFormatting>
  <conditionalFormatting sqref="AN24">
    <cfRule type="expression" dxfId="720" priority="753" stopIfTrue="1">
      <formula>AND(AM24=0,AN24=1,AO24=1)</formula>
    </cfRule>
    <cfRule type="expression" dxfId="719" priority="754" stopIfTrue="1">
      <formula>AND(AM24=1,AO24=1)</formula>
    </cfRule>
  </conditionalFormatting>
  <conditionalFormatting sqref="AO24">
    <cfRule type="expression" dxfId="718" priority="751" stopIfTrue="1">
      <formula>AND(AN24=0,AO24=1,AP24=1)</formula>
    </cfRule>
    <cfRule type="expression" dxfId="717" priority="752" stopIfTrue="1">
      <formula>AND(AN24=1,AP24=1)</formula>
    </cfRule>
  </conditionalFormatting>
  <conditionalFormatting sqref="AP24:AT24">
    <cfRule type="expression" dxfId="716" priority="749" stopIfTrue="1">
      <formula>AND(AO24=0,AP24=1,AQ24=1)</formula>
    </cfRule>
    <cfRule type="expression" dxfId="715" priority="750" stopIfTrue="1">
      <formula>AND(AO24=1,AQ24=1)</formula>
    </cfRule>
  </conditionalFormatting>
  <conditionalFormatting sqref="BG25">
    <cfRule type="expression" dxfId="714" priority="748" stopIfTrue="1">
      <formula>AND(BG25=1,BF25=1)</formula>
    </cfRule>
  </conditionalFormatting>
  <conditionalFormatting sqref="BF25">
    <cfRule type="expression" dxfId="713" priority="746" stopIfTrue="1">
      <formula>AND(BF25=0,BF25=1,BE25=1)</formula>
    </cfRule>
    <cfRule type="expression" dxfId="712" priority="747" stopIfTrue="1">
      <formula>AND(BG25=1,BE25=1)</formula>
    </cfRule>
  </conditionalFormatting>
  <conditionalFormatting sqref="AX25">
    <cfRule type="expression" dxfId="711" priority="744" stopIfTrue="1">
      <formula>AND(AX25=1,AY25=1)</formula>
    </cfRule>
    <cfRule type="expression" dxfId="710" priority="745" stopIfTrue="1">
      <formula>AND(AY25=0,AX25=1)</formula>
    </cfRule>
  </conditionalFormatting>
  <conditionalFormatting sqref="AY25:BE25">
    <cfRule type="expression" dxfId="709" priority="742" stopIfTrue="1">
      <formula>AND(AZ25=0,AY25=1,AX25=1)</formula>
    </cfRule>
    <cfRule type="expression" dxfId="708" priority="743" stopIfTrue="1">
      <formula>AND(AZ25=1,AX25=1)</formula>
    </cfRule>
  </conditionalFormatting>
  <conditionalFormatting sqref="AV25">
    <cfRule type="expression" dxfId="707" priority="740" stopIfTrue="1">
      <formula>AND(AV25=1,AU25=1)</formula>
    </cfRule>
    <cfRule type="expression" dxfId="706" priority="741" stopIfTrue="1">
      <formula>AND(AU25=0,AV25=1)</formula>
    </cfRule>
  </conditionalFormatting>
  <conditionalFormatting sqref="AU25">
    <cfRule type="expression" dxfId="705" priority="738" stopIfTrue="1">
      <formula>AND(AT25=0,AU25=1,AV25=1)</formula>
    </cfRule>
    <cfRule type="expression" dxfId="704" priority="739" stopIfTrue="1">
      <formula>AND(AT25=1,AV25=1)</formula>
    </cfRule>
  </conditionalFormatting>
  <conditionalFormatting sqref="AM25">
    <cfRule type="expression" dxfId="703" priority="737" stopIfTrue="1">
      <formula>AND(AM25=1,AN25=1)</formula>
    </cfRule>
  </conditionalFormatting>
  <conditionalFormatting sqref="AN25">
    <cfRule type="expression" dxfId="702" priority="735" stopIfTrue="1">
      <formula>AND(AM25=0,AN25=1,AO25=1)</formula>
    </cfRule>
    <cfRule type="expression" dxfId="701" priority="736" stopIfTrue="1">
      <formula>AND(AM25=1,AO25=1)</formula>
    </cfRule>
  </conditionalFormatting>
  <conditionalFormatting sqref="AO25">
    <cfRule type="expression" dxfId="700" priority="733" stopIfTrue="1">
      <formula>AND(AN25=0,AO25=1,AP25=1)</formula>
    </cfRule>
    <cfRule type="expression" dxfId="699" priority="734" stopIfTrue="1">
      <formula>AND(AN25=1,AP25=1)</formula>
    </cfRule>
  </conditionalFormatting>
  <conditionalFormatting sqref="AP25:AT25">
    <cfRule type="expression" dxfId="698" priority="731" stopIfTrue="1">
      <formula>AND(AO25=0,AP25=1,AQ25=1)</formula>
    </cfRule>
    <cfRule type="expression" dxfId="697" priority="732" stopIfTrue="1">
      <formula>AND(AO25=1,AQ25=1)</formula>
    </cfRule>
  </conditionalFormatting>
  <conditionalFormatting sqref="BG26">
    <cfRule type="expression" dxfId="696" priority="730" stopIfTrue="1">
      <formula>AND(BG26=1,BF26=1)</formula>
    </cfRule>
  </conditionalFormatting>
  <conditionalFormatting sqref="BF26">
    <cfRule type="expression" dxfId="695" priority="728" stopIfTrue="1">
      <formula>AND(BF26=0,BF26=1,BE26=1)</formula>
    </cfRule>
    <cfRule type="expression" dxfId="694" priority="729" stopIfTrue="1">
      <formula>AND(BG26=1,BE26=1)</formula>
    </cfRule>
  </conditionalFormatting>
  <conditionalFormatting sqref="AX26">
    <cfRule type="expression" dxfId="693" priority="726" stopIfTrue="1">
      <formula>AND(AX26=1,AY26=1)</formula>
    </cfRule>
    <cfRule type="expression" dxfId="692" priority="727" stopIfTrue="1">
      <formula>AND(AY26=0,AX26=1)</formula>
    </cfRule>
  </conditionalFormatting>
  <conditionalFormatting sqref="AY26:BE26">
    <cfRule type="expression" dxfId="691" priority="724" stopIfTrue="1">
      <formula>AND(AZ26=0,AY26=1,AX26=1)</formula>
    </cfRule>
    <cfRule type="expression" dxfId="690" priority="725" stopIfTrue="1">
      <formula>AND(AZ26=1,AX26=1)</formula>
    </cfRule>
  </conditionalFormatting>
  <conditionalFormatting sqref="AV26">
    <cfRule type="expression" dxfId="689" priority="722" stopIfTrue="1">
      <formula>AND(AV26=1,AU26=1)</formula>
    </cfRule>
    <cfRule type="expression" dxfId="688" priority="723" stopIfTrue="1">
      <formula>AND(AU26=0,AV26=1)</formula>
    </cfRule>
  </conditionalFormatting>
  <conditionalFormatting sqref="AU26">
    <cfRule type="expression" dxfId="687" priority="720" stopIfTrue="1">
      <formula>AND(AT26=0,AU26=1,AV26=1)</formula>
    </cfRule>
    <cfRule type="expression" dxfId="686" priority="721" stopIfTrue="1">
      <formula>AND(AT26=1,AV26=1)</formula>
    </cfRule>
  </conditionalFormatting>
  <conditionalFormatting sqref="AM26">
    <cfRule type="expression" dxfId="685" priority="719" stopIfTrue="1">
      <formula>AND(AM26=1,AN26=1)</formula>
    </cfRule>
  </conditionalFormatting>
  <conditionalFormatting sqref="AN26">
    <cfRule type="expression" dxfId="684" priority="717" stopIfTrue="1">
      <formula>AND(AM26=0,AN26=1,AO26=1)</formula>
    </cfRule>
    <cfRule type="expression" dxfId="683" priority="718" stopIfTrue="1">
      <formula>AND(AM26=1,AO26=1)</formula>
    </cfRule>
  </conditionalFormatting>
  <conditionalFormatting sqref="AO26">
    <cfRule type="expression" dxfId="682" priority="715" stopIfTrue="1">
      <formula>AND(AN26=0,AO26=1,AP26=1)</formula>
    </cfRule>
    <cfRule type="expression" dxfId="681" priority="716" stopIfTrue="1">
      <formula>AND(AN26=1,AP26=1)</formula>
    </cfRule>
  </conditionalFormatting>
  <conditionalFormatting sqref="AP26:AT26">
    <cfRule type="expression" dxfId="680" priority="713" stopIfTrue="1">
      <formula>AND(AO26=0,AP26=1,AQ26=1)</formula>
    </cfRule>
    <cfRule type="expression" dxfId="679" priority="714" stopIfTrue="1">
      <formula>AND(AO26=1,AQ26=1)</formula>
    </cfRule>
  </conditionalFormatting>
  <conditionalFormatting sqref="AV27">
    <cfRule type="expression" dxfId="678" priority="711" stopIfTrue="1">
      <formula>AND(AV27=1,AU27=1)</formula>
    </cfRule>
    <cfRule type="expression" dxfId="677" priority="712" stopIfTrue="1">
      <formula>AND(AU27=0,AV27=1)</formula>
    </cfRule>
  </conditionalFormatting>
  <conditionalFormatting sqref="AU27">
    <cfRule type="expression" dxfId="676" priority="709" stopIfTrue="1">
      <formula>AND(AT27=0,AU27=1,AV27=1)</formula>
    </cfRule>
    <cfRule type="expression" dxfId="675" priority="710" stopIfTrue="1">
      <formula>AND(AT27=1,AV27=1)</formula>
    </cfRule>
  </conditionalFormatting>
  <conditionalFormatting sqref="AN27">
    <cfRule type="expression" dxfId="674" priority="707" stopIfTrue="1">
      <formula>AND(AM27=0,AN27=1,AO27=1)</formula>
    </cfRule>
    <cfRule type="expression" dxfId="673" priority="708" stopIfTrue="1">
      <formula>AND(AM27=1,AO27=1)</formula>
    </cfRule>
  </conditionalFormatting>
  <conditionalFormatting sqref="AO27">
    <cfRule type="expression" dxfId="672" priority="705" stopIfTrue="1">
      <formula>AND(AN27=0,AO27=1,AP27=1)</formula>
    </cfRule>
    <cfRule type="expression" dxfId="671" priority="706" stopIfTrue="1">
      <formula>AND(AN27=1,AP27=1)</formula>
    </cfRule>
  </conditionalFormatting>
  <conditionalFormatting sqref="AP27:AT27">
    <cfRule type="expression" dxfId="670" priority="703" stopIfTrue="1">
      <formula>AND(AO27=0,AP27=1,AQ27=1)</formula>
    </cfRule>
    <cfRule type="expression" dxfId="669" priority="704" stopIfTrue="1">
      <formula>AND(AO27=1,AQ27=1)</formula>
    </cfRule>
  </conditionalFormatting>
  <conditionalFormatting sqref="AM27">
    <cfRule type="expression" dxfId="668" priority="702" stopIfTrue="1">
      <formula>AND(AM27=1,AN27=1)</formula>
    </cfRule>
  </conditionalFormatting>
  <conditionalFormatting sqref="BG27">
    <cfRule type="expression" dxfId="667" priority="701" stopIfTrue="1">
      <formula>AND(BG27=1,BF27=1)</formula>
    </cfRule>
  </conditionalFormatting>
  <conditionalFormatting sqref="BF27">
    <cfRule type="expression" dxfId="666" priority="699" stopIfTrue="1">
      <formula>AND(BF27=0,BF27=1,BE27=1)</formula>
    </cfRule>
    <cfRule type="expression" dxfId="665" priority="700" stopIfTrue="1">
      <formula>AND(BG27=1,BE27=1)</formula>
    </cfRule>
  </conditionalFormatting>
  <conditionalFormatting sqref="AX27">
    <cfRule type="expression" dxfId="664" priority="697" stopIfTrue="1">
      <formula>AND(AX27=1,AY27=1)</formula>
    </cfRule>
    <cfRule type="expression" dxfId="663" priority="698" stopIfTrue="1">
      <formula>AND(AY27=0,AX27=1)</formula>
    </cfRule>
  </conditionalFormatting>
  <conditionalFormatting sqref="AY27:BE27">
    <cfRule type="expression" dxfId="662" priority="695" stopIfTrue="1">
      <formula>AND(AZ27=0,AY27=1,AX27=1)</formula>
    </cfRule>
    <cfRule type="expression" dxfId="661" priority="696" stopIfTrue="1">
      <formula>AND(AZ27=1,AX27=1)</formula>
    </cfRule>
  </conditionalFormatting>
  <conditionalFormatting sqref="Z33">
    <cfRule type="expression" dxfId="660" priority="693" stopIfTrue="1">
      <formula>AND(Z33=1,Y33=1)</formula>
    </cfRule>
    <cfRule type="expression" dxfId="659" priority="694" stopIfTrue="1">
      <formula>AND(Y33=0,Z33=1)</formula>
    </cfRule>
  </conditionalFormatting>
  <conditionalFormatting sqref="Y33">
    <cfRule type="expression" dxfId="658" priority="691" stopIfTrue="1">
      <formula>AND(X33=0,Y33=1,Z33=1)</formula>
    </cfRule>
    <cfRule type="expression" dxfId="657" priority="692" stopIfTrue="1">
      <formula>AND(X33=1,Z33=1)</formula>
    </cfRule>
  </conditionalFormatting>
  <conditionalFormatting sqref="Q33">
    <cfRule type="expression" dxfId="656" priority="690" stopIfTrue="1">
      <formula>AND(Q33=1,R33=1)</formula>
    </cfRule>
  </conditionalFormatting>
  <conditionalFormatting sqref="R33">
    <cfRule type="expression" dxfId="655" priority="688" stopIfTrue="1">
      <formula>AND(Q33=0,R33=1,S33=1)</formula>
    </cfRule>
    <cfRule type="expression" dxfId="654" priority="689" stopIfTrue="1">
      <formula>AND(Q33=1,S33=1)</formula>
    </cfRule>
  </conditionalFormatting>
  <conditionalFormatting sqref="S33">
    <cfRule type="expression" dxfId="653" priority="686" stopIfTrue="1">
      <formula>AND(R33=0,S33=1,T33=1)</formula>
    </cfRule>
    <cfRule type="expression" dxfId="652" priority="687" stopIfTrue="1">
      <formula>AND(R33=1,T33=1)</formula>
    </cfRule>
  </conditionalFormatting>
  <conditionalFormatting sqref="T33:X33">
    <cfRule type="expression" dxfId="651" priority="684" stopIfTrue="1">
      <formula>AND(S33=0,T33=1,U33=1)</formula>
    </cfRule>
    <cfRule type="expression" dxfId="650" priority="685" stopIfTrue="1">
      <formula>AND(S33=1,U33=1)</formula>
    </cfRule>
  </conditionalFormatting>
  <conditionalFormatting sqref="AK33">
    <cfRule type="expression" dxfId="649" priority="683" stopIfTrue="1">
      <formula>AND(AK33=1,AJ33=1)</formula>
    </cfRule>
  </conditionalFormatting>
  <conditionalFormatting sqref="AB33">
    <cfRule type="expression" dxfId="648" priority="681" stopIfTrue="1">
      <formula>AND(AB33=1,AC33=1)</formula>
    </cfRule>
    <cfRule type="expression" dxfId="647" priority="682" stopIfTrue="1">
      <formula>AND(AC33=0,AB33=1)</formula>
    </cfRule>
  </conditionalFormatting>
  <conditionalFormatting sqref="AC33:AI33">
    <cfRule type="expression" dxfId="646" priority="679" stopIfTrue="1">
      <formula>AND(AD33=0,AC33=1,AB33=1)</formula>
    </cfRule>
    <cfRule type="expression" dxfId="645" priority="680" stopIfTrue="1">
      <formula>AND(AD33=1,AB33=1)</formula>
    </cfRule>
  </conditionalFormatting>
  <conditionalFormatting sqref="AJ33">
    <cfRule type="expression" dxfId="644" priority="677" stopIfTrue="1">
      <formula>AND(AK33=0,AJ33=1,AI33=1)</formula>
    </cfRule>
    <cfRule type="expression" dxfId="643" priority="678" stopIfTrue="1">
      <formula>AND(AK33=1,AI33=1)</formula>
    </cfRule>
  </conditionalFormatting>
  <conditionalFormatting sqref="Z34">
    <cfRule type="expression" dxfId="642" priority="675" stopIfTrue="1">
      <formula>AND(Z34=1,Y34=1)</formula>
    </cfRule>
    <cfRule type="expression" dxfId="641" priority="676" stopIfTrue="1">
      <formula>AND(Y34=0,Z34=1)</formula>
    </cfRule>
  </conditionalFormatting>
  <conditionalFormatting sqref="Y34">
    <cfRule type="expression" dxfId="640" priority="673" stopIfTrue="1">
      <formula>AND(X34=0,Y34=1,Z34=1)</formula>
    </cfRule>
    <cfRule type="expression" dxfId="639" priority="674" stopIfTrue="1">
      <formula>AND(X34=1,Z34=1)</formula>
    </cfRule>
  </conditionalFormatting>
  <conditionalFormatting sqref="Q34">
    <cfRule type="expression" dxfId="638" priority="672" stopIfTrue="1">
      <formula>AND(Q34=1,R34=1)</formula>
    </cfRule>
  </conditionalFormatting>
  <conditionalFormatting sqref="R34">
    <cfRule type="expression" dxfId="637" priority="670" stopIfTrue="1">
      <formula>AND(Q34=0,R34=1,S34=1)</formula>
    </cfRule>
    <cfRule type="expression" dxfId="636" priority="671" stopIfTrue="1">
      <formula>AND(Q34=1,S34=1)</formula>
    </cfRule>
  </conditionalFormatting>
  <conditionalFormatting sqref="S34">
    <cfRule type="expression" dxfId="635" priority="668" stopIfTrue="1">
      <formula>AND(R34=0,S34=1,T34=1)</formula>
    </cfRule>
    <cfRule type="expression" dxfId="634" priority="669" stopIfTrue="1">
      <formula>AND(R34=1,T34=1)</formula>
    </cfRule>
  </conditionalFormatting>
  <conditionalFormatting sqref="T34:X34">
    <cfRule type="expression" dxfId="633" priority="666" stopIfTrue="1">
      <formula>AND(S34=0,T34=1,U34=1)</formula>
    </cfRule>
    <cfRule type="expression" dxfId="632" priority="667" stopIfTrue="1">
      <formula>AND(S34=1,U34=1)</formula>
    </cfRule>
  </conditionalFormatting>
  <conditionalFormatting sqref="AK34">
    <cfRule type="expression" dxfId="631" priority="665" stopIfTrue="1">
      <formula>AND(AK34=1,AJ34=1)</formula>
    </cfRule>
  </conditionalFormatting>
  <conditionalFormatting sqref="AB34">
    <cfRule type="expression" dxfId="630" priority="663" stopIfTrue="1">
      <formula>AND(AB34=1,AC34=1)</formula>
    </cfRule>
    <cfRule type="expression" dxfId="629" priority="664" stopIfTrue="1">
      <formula>AND(AC34=0,AB34=1)</formula>
    </cfRule>
  </conditionalFormatting>
  <conditionalFormatting sqref="AC34:AI34">
    <cfRule type="expression" dxfId="628" priority="661" stopIfTrue="1">
      <formula>AND(AD34=0,AC34=1,AB34=1)</formula>
    </cfRule>
    <cfRule type="expression" dxfId="627" priority="662" stopIfTrue="1">
      <formula>AND(AD34=1,AB34=1)</formula>
    </cfRule>
  </conditionalFormatting>
  <conditionalFormatting sqref="AJ34">
    <cfRule type="expression" dxfId="626" priority="659" stopIfTrue="1">
      <formula>AND(AK34=0,AJ34=1,AI34=1)</formula>
    </cfRule>
    <cfRule type="expression" dxfId="625" priority="660" stopIfTrue="1">
      <formula>AND(AK34=1,AI34=1)</formula>
    </cfRule>
  </conditionalFormatting>
  <conditionalFormatting sqref="Z35">
    <cfRule type="expression" dxfId="624" priority="657" stopIfTrue="1">
      <formula>AND(Z35=1,Y35=1)</formula>
    </cfRule>
    <cfRule type="expression" dxfId="623" priority="658" stopIfTrue="1">
      <formula>AND(Y35=0,Z35=1)</formula>
    </cfRule>
  </conditionalFormatting>
  <conditionalFormatting sqref="Y35">
    <cfRule type="expression" dxfId="622" priority="655" stopIfTrue="1">
      <formula>AND(X35=0,Y35=1,Z35=1)</formula>
    </cfRule>
    <cfRule type="expression" dxfId="621" priority="656" stopIfTrue="1">
      <formula>AND(X35=1,Z35=1)</formula>
    </cfRule>
  </conditionalFormatting>
  <conditionalFormatting sqref="Q35">
    <cfRule type="expression" dxfId="620" priority="654" stopIfTrue="1">
      <formula>AND(Q35=1,R35=1)</formula>
    </cfRule>
  </conditionalFormatting>
  <conditionalFormatting sqref="R35">
    <cfRule type="expression" dxfId="619" priority="652" stopIfTrue="1">
      <formula>AND(Q35=0,R35=1,S35=1)</formula>
    </cfRule>
    <cfRule type="expression" dxfId="618" priority="653" stopIfTrue="1">
      <formula>AND(Q35=1,S35=1)</formula>
    </cfRule>
  </conditionalFormatting>
  <conditionalFormatting sqref="S35">
    <cfRule type="expression" dxfId="617" priority="650" stopIfTrue="1">
      <formula>AND(R35=0,S35=1,T35=1)</formula>
    </cfRule>
    <cfRule type="expression" dxfId="616" priority="651" stopIfTrue="1">
      <formula>AND(R35=1,T35=1)</formula>
    </cfRule>
  </conditionalFormatting>
  <conditionalFormatting sqref="T35:X35">
    <cfRule type="expression" dxfId="615" priority="648" stopIfTrue="1">
      <formula>AND(S35=0,T35=1,U35=1)</formula>
    </cfRule>
    <cfRule type="expression" dxfId="614" priority="649" stopIfTrue="1">
      <formula>AND(S35=1,U35=1)</formula>
    </cfRule>
  </conditionalFormatting>
  <conditionalFormatting sqref="AK35">
    <cfRule type="expression" dxfId="613" priority="647" stopIfTrue="1">
      <formula>AND(AK35=1,AJ35=1)</formula>
    </cfRule>
  </conditionalFormatting>
  <conditionalFormatting sqref="AB35">
    <cfRule type="expression" dxfId="612" priority="645" stopIfTrue="1">
      <formula>AND(AB35=1,AC35=1)</formula>
    </cfRule>
    <cfRule type="expression" dxfId="611" priority="646" stopIfTrue="1">
      <formula>AND(AC35=0,AB35=1)</formula>
    </cfRule>
  </conditionalFormatting>
  <conditionalFormatting sqref="AC35:AI35">
    <cfRule type="expression" dxfId="610" priority="643" stopIfTrue="1">
      <formula>AND(AD35=0,AC35=1,AB35=1)</formula>
    </cfRule>
    <cfRule type="expression" dxfId="609" priority="644" stopIfTrue="1">
      <formula>AND(AD35=1,AB35=1)</formula>
    </cfRule>
  </conditionalFormatting>
  <conditionalFormatting sqref="AJ35">
    <cfRule type="expression" dxfId="608" priority="641" stopIfTrue="1">
      <formula>AND(AK35=0,AJ35=1,AI35=1)</formula>
    </cfRule>
    <cfRule type="expression" dxfId="607" priority="642" stopIfTrue="1">
      <formula>AND(AK35=1,AI35=1)</formula>
    </cfRule>
  </conditionalFormatting>
  <conditionalFormatting sqref="Z36">
    <cfRule type="expression" dxfId="606" priority="639" stopIfTrue="1">
      <formula>AND(Z36=1,Y36=1)</formula>
    </cfRule>
    <cfRule type="expression" dxfId="605" priority="640" stopIfTrue="1">
      <formula>AND(Y36=0,Z36=1)</formula>
    </cfRule>
  </conditionalFormatting>
  <conditionalFormatting sqref="Y36">
    <cfRule type="expression" dxfId="604" priority="637" stopIfTrue="1">
      <formula>AND(X36=0,Y36=1,Z36=1)</formula>
    </cfRule>
    <cfRule type="expression" dxfId="603" priority="638" stopIfTrue="1">
      <formula>AND(X36=1,Z36=1)</formula>
    </cfRule>
  </conditionalFormatting>
  <conditionalFormatting sqref="Q36">
    <cfRule type="expression" dxfId="602" priority="636" stopIfTrue="1">
      <formula>AND(Q36=1,R36=1)</formula>
    </cfRule>
  </conditionalFormatting>
  <conditionalFormatting sqref="R36">
    <cfRule type="expression" dxfId="601" priority="634" stopIfTrue="1">
      <formula>AND(Q36=0,R36=1,S36=1)</formula>
    </cfRule>
    <cfRule type="expression" dxfId="600" priority="635" stopIfTrue="1">
      <formula>AND(Q36=1,S36=1)</formula>
    </cfRule>
  </conditionalFormatting>
  <conditionalFormatting sqref="S36">
    <cfRule type="expression" dxfId="599" priority="632" stopIfTrue="1">
      <formula>AND(R36=0,S36=1,T36=1)</formula>
    </cfRule>
    <cfRule type="expression" dxfId="598" priority="633" stopIfTrue="1">
      <formula>AND(R36=1,T36=1)</formula>
    </cfRule>
  </conditionalFormatting>
  <conditionalFormatting sqref="T36:X36">
    <cfRule type="expression" dxfId="597" priority="630" stopIfTrue="1">
      <formula>AND(S36=0,T36=1,U36=1)</formula>
    </cfRule>
    <cfRule type="expression" dxfId="596" priority="631" stopIfTrue="1">
      <formula>AND(S36=1,U36=1)</formula>
    </cfRule>
  </conditionalFormatting>
  <conditionalFormatting sqref="AK36">
    <cfRule type="expression" dxfId="595" priority="629" stopIfTrue="1">
      <formula>AND(AK36=1,AJ36=1)</formula>
    </cfRule>
  </conditionalFormatting>
  <conditionalFormatting sqref="AB36">
    <cfRule type="expression" dxfId="594" priority="627" stopIfTrue="1">
      <formula>AND(AB36=1,AC36=1)</formula>
    </cfRule>
    <cfRule type="expression" dxfId="593" priority="628" stopIfTrue="1">
      <formula>AND(AC36=0,AB36=1)</formula>
    </cfRule>
  </conditionalFormatting>
  <conditionalFormatting sqref="AC36:AI36">
    <cfRule type="expression" dxfId="592" priority="625" stopIfTrue="1">
      <formula>AND(AD36=0,AC36=1,AB36=1)</formula>
    </cfRule>
    <cfRule type="expression" dxfId="591" priority="626" stopIfTrue="1">
      <formula>AND(AD36=1,AB36=1)</formula>
    </cfRule>
  </conditionalFormatting>
  <conditionalFormatting sqref="AJ36">
    <cfRule type="expression" dxfId="590" priority="623" stopIfTrue="1">
      <formula>AND(AK36=0,AJ36=1,AI36=1)</formula>
    </cfRule>
    <cfRule type="expression" dxfId="589" priority="624" stopIfTrue="1">
      <formula>AND(AK36=1,AI36=1)</formula>
    </cfRule>
  </conditionalFormatting>
  <conditionalFormatting sqref="Z37">
    <cfRule type="expression" dxfId="588" priority="621" stopIfTrue="1">
      <formula>AND(Z37=1,Y37=1)</formula>
    </cfRule>
    <cfRule type="expression" dxfId="587" priority="622" stopIfTrue="1">
      <formula>AND(Y37=0,Z37=1)</formula>
    </cfRule>
  </conditionalFormatting>
  <conditionalFormatting sqref="Y37">
    <cfRule type="expression" dxfId="586" priority="619" stopIfTrue="1">
      <formula>AND(X37=0,Y37=1,Z37=1)</formula>
    </cfRule>
    <cfRule type="expression" dxfId="585" priority="620" stopIfTrue="1">
      <formula>AND(X37=1,Z37=1)</formula>
    </cfRule>
  </conditionalFormatting>
  <conditionalFormatting sqref="Q37">
    <cfRule type="expression" dxfId="584" priority="618" stopIfTrue="1">
      <formula>AND(Q37=1,R37=1)</formula>
    </cfRule>
  </conditionalFormatting>
  <conditionalFormatting sqref="R37">
    <cfRule type="expression" dxfId="583" priority="616" stopIfTrue="1">
      <formula>AND(Q37=0,R37=1,S37=1)</formula>
    </cfRule>
    <cfRule type="expression" dxfId="582" priority="617" stopIfTrue="1">
      <formula>AND(Q37=1,S37=1)</formula>
    </cfRule>
  </conditionalFormatting>
  <conditionalFormatting sqref="S37">
    <cfRule type="expression" dxfId="581" priority="614" stopIfTrue="1">
      <formula>AND(R37=0,S37=1,T37=1)</formula>
    </cfRule>
    <cfRule type="expression" dxfId="580" priority="615" stopIfTrue="1">
      <formula>AND(R37=1,T37=1)</formula>
    </cfRule>
  </conditionalFormatting>
  <conditionalFormatting sqref="T37:X37">
    <cfRule type="expression" dxfId="579" priority="612" stopIfTrue="1">
      <formula>AND(S37=0,T37=1,U37=1)</formula>
    </cfRule>
    <cfRule type="expression" dxfId="578" priority="613" stopIfTrue="1">
      <formula>AND(S37=1,U37=1)</formula>
    </cfRule>
  </conditionalFormatting>
  <conditionalFormatting sqref="AK37">
    <cfRule type="expression" dxfId="577" priority="611" stopIfTrue="1">
      <formula>AND(AK37=1,AJ37=1)</formula>
    </cfRule>
  </conditionalFormatting>
  <conditionalFormatting sqref="AB37">
    <cfRule type="expression" dxfId="576" priority="609" stopIfTrue="1">
      <formula>AND(AB37=1,AC37=1)</formula>
    </cfRule>
    <cfRule type="expression" dxfId="575" priority="610" stopIfTrue="1">
      <formula>AND(AC37=0,AB37=1)</formula>
    </cfRule>
  </conditionalFormatting>
  <conditionalFormatting sqref="AC37:AI37">
    <cfRule type="expression" dxfId="574" priority="607" stopIfTrue="1">
      <formula>AND(AD37=0,AC37=1,AB37=1)</formula>
    </cfRule>
    <cfRule type="expression" dxfId="573" priority="608" stopIfTrue="1">
      <formula>AND(AD37=1,AB37=1)</formula>
    </cfRule>
  </conditionalFormatting>
  <conditionalFormatting sqref="AJ37">
    <cfRule type="expression" dxfId="572" priority="605" stopIfTrue="1">
      <formula>AND(AK37=0,AJ37=1,AI37=1)</formula>
    </cfRule>
    <cfRule type="expression" dxfId="571" priority="606" stopIfTrue="1">
      <formula>AND(AK37=1,AI37=1)</formula>
    </cfRule>
  </conditionalFormatting>
  <conditionalFormatting sqref="Z38">
    <cfRule type="expression" dxfId="570" priority="603" stopIfTrue="1">
      <formula>AND(Z38=1,Y38=1)</formula>
    </cfRule>
    <cfRule type="expression" dxfId="569" priority="604" stopIfTrue="1">
      <formula>AND(Y38=0,Z38=1)</formula>
    </cfRule>
  </conditionalFormatting>
  <conditionalFormatting sqref="Y38">
    <cfRule type="expression" dxfId="568" priority="601" stopIfTrue="1">
      <formula>AND(X38=0,Y38=1,Z38=1)</formula>
    </cfRule>
    <cfRule type="expression" dxfId="567" priority="602" stopIfTrue="1">
      <formula>AND(X38=1,Z38=1)</formula>
    </cfRule>
  </conditionalFormatting>
  <conditionalFormatting sqref="Q38">
    <cfRule type="expression" dxfId="566" priority="600" stopIfTrue="1">
      <formula>AND(Q38=1,R38=1)</formula>
    </cfRule>
  </conditionalFormatting>
  <conditionalFormatting sqref="R38">
    <cfRule type="expression" dxfId="565" priority="598" stopIfTrue="1">
      <formula>AND(Q38=0,R38=1,S38=1)</formula>
    </cfRule>
    <cfRule type="expression" dxfId="564" priority="599" stopIfTrue="1">
      <formula>AND(Q38=1,S38=1)</formula>
    </cfRule>
  </conditionalFormatting>
  <conditionalFormatting sqref="S38">
    <cfRule type="expression" dxfId="563" priority="596" stopIfTrue="1">
      <formula>AND(R38=0,S38=1,T38=1)</formula>
    </cfRule>
    <cfRule type="expression" dxfId="562" priority="597" stopIfTrue="1">
      <formula>AND(R38=1,T38=1)</formula>
    </cfRule>
  </conditionalFormatting>
  <conditionalFormatting sqref="T38:X38">
    <cfRule type="expression" dxfId="561" priority="594" stopIfTrue="1">
      <formula>AND(S38=0,T38=1,U38=1)</formula>
    </cfRule>
    <cfRule type="expression" dxfId="560" priority="595" stopIfTrue="1">
      <formula>AND(S38=1,U38=1)</formula>
    </cfRule>
  </conditionalFormatting>
  <conditionalFormatting sqref="AK38">
    <cfRule type="expression" dxfId="559" priority="593" stopIfTrue="1">
      <formula>AND(AK38=1,AJ38=1)</formula>
    </cfRule>
  </conditionalFormatting>
  <conditionalFormatting sqref="AB38">
    <cfRule type="expression" dxfId="558" priority="591" stopIfTrue="1">
      <formula>AND(AB38=1,AC38=1)</formula>
    </cfRule>
    <cfRule type="expression" dxfId="557" priority="592" stopIfTrue="1">
      <formula>AND(AC38=0,AB38=1)</formula>
    </cfRule>
  </conditionalFormatting>
  <conditionalFormatting sqref="AC38:AI38">
    <cfRule type="expression" dxfId="556" priority="589" stopIfTrue="1">
      <formula>AND(AD38=0,AC38=1,AB38=1)</formula>
    </cfRule>
    <cfRule type="expression" dxfId="555" priority="590" stopIfTrue="1">
      <formula>AND(AD38=1,AB38=1)</formula>
    </cfRule>
  </conditionalFormatting>
  <conditionalFormatting sqref="AJ38">
    <cfRule type="expression" dxfId="554" priority="587" stopIfTrue="1">
      <formula>AND(AK38=0,AJ38=1,AI38=1)</formula>
    </cfRule>
    <cfRule type="expression" dxfId="553" priority="588" stopIfTrue="1">
      <formula>AND(AK38=1,AI38=1)</formula>
    </cfRule>
  </conditionalFormatting>
  <conditionalFormatting sqref="Z39">
    <cfRule type="expression" dxfId="552" priority="585" stopIfTrue="1">
      <formula>AND(Z39=1,Y39=1)</formula>
    </cfRule>
    <cfRule type="expression" dxfId="551" priority="586" stopIfTrue="1">
      <formula>AND(Y39=0,Z39=1)</formula>
    </cfRule>
  </conditionalFormatting>
  <conditionalFormatting sqref="Y39">
    <cfRule type="expression" dxfId="550" priority="583" stopIfTrue="1">
      <formula>AND(X39=0,Y39=1,Z39=1)</formula>
    </cfRule>
    <cfRule type="expression" dxfId="549" priority="584" stopIfTrue="1">
      <formula>AND(X39=1,Z39=1)</formula>
    </cfRule>
  </conditionalFormatting>
  <conditionalFormatting sqref="Q39">
    <cfRule type="expression" dxfId="548" priority="582" stopIfTrue="1">
      <formula>AND(Q39=1,R39=1)</formula>
    </cfRule>
  </conditionalFormatting>
  <conditionalFormatting sqref="R39">
    <cfRule type="expression" dxfId="547" priority="580" stopIfTrue="1">
      <formula>AND(Q39=0,R39=1,S39=1)</formula>
    </cfRule>
    <cfRule type="expression" dxfId="546" priority="581" stopIfTrue="1">
      <formula>AND(Q39=1,S39=1)</formula>
    </cfRule>
  </conditionalFormatting>
  <conditionalFormatting sqref="S39">
    <cfRule type="expression" dxfId="545" priority="578" stopIfTrue="1">
      <formula>AND(R39=0,S39=1,T39=1)</formula>
    </cfRule>
    <cfRule type="expression" dxfId="544" priority="579" stopIfTrue="1">
      <formula>AND(R39=1,T39=1)</formula>
    </cfRule>
  </conditionalFormatting>
  <conditionalFormatting sqref="T39:X39">
    <cfRule type="expression" dxfId="543" priority="576" stopIfTrue="1">
      <formula>AND(S39=0,T39=1,U39=1)</formula>
    </cfRule>
    <cfRule type="expression" dxfId="542" priority="577" stopIfTrue="1">
      <formula>AND(S39=1,U39=1)</formula>
    </cfRule>
  </conditionalFormatting>
  <conditionalFormatting sqref="AK39">
    <cfRule type="expression" dxfId="541" priority="575" stopIfTrue="1">
      <formula>AND(AK39=1,AJ39=1)</formula>
    </cfRule>
  </conditionalFormatting>
  <conditionalFormatting sqref="AB39">
    <cfRule type="expression" dxfId="540" priority="573" stopIfTrue="1">
      <formula>AND(AB39=1,AC39=1)</formula>
    </cfRule>
    <cfRule type="expression" dxfId="539" priority="574" stopIfTrue="1">
      <formula>AND(AC39=0,AB39=1)</formula>
    </cfRule>
  </conditionalFormatting>
  <conditionalFormatting sqref="AC39:AI39">
    <cfRule type="expression" dxfId="538" priority="571" stopIfTrue="1">
      <formula>AND(AD39=0,AC39=1,AB39=1)</formula>
    </cfRule>
    <cfRule type="expression" dxfId="537" priority="572" stopIfTrue="1">
      <formula>AND(AD39=1,AB39=1)</formula>
    </cfRule>
  </conditionalFormatting>
  <conditionalFormatting sqref="AJ39">
    <cfRule type="expression" dxfId="536" priority="569" stopIfTrue="1">
      <formula>AND(AK39=0,AJ39=1,AI39=1)</formula>
    </cfRule>
    <cfRule type="expression" dxfId="535" priority="570" stopIfTrue="1">
      <formula>AND(AK39=1,AI39=1)</formula>
    </cfRule>
  </conditionalFormatting>
  <conditionalFormatting sqref="AV33">
    <cfRule type="expression" dxfId="534" priority="531" stopIfTrue="1">
      <formula>AND(AV33=1,AU33=1)</formula>
    </cfRule>
    <cfRule type="expression" dxfId="533" priority="532" stopIfTrue="1">
      <formula>AND(AU33=0,AV33=1)</formula>
    </cfRule>
  </conditionalFormatting>
  <conditionalFormatting sqref="AU33">
    <cfRule type="expression" dxfId="532" priority="529" stopIfTrue="1">
      <formula>AND(AT33=0,AU33=1,AV33=1)</formula>
    </cfRule>
    <cfRule type="expression" dxfId="531" priority="530" stopIfTrue="1">
      <formula>AND(AT33=1,AV33=1)</formula>
    </cfRule>
  </conditionalFormatting>
  <conditionalFormatting sqref="AN33">
    <cfRule type="expression" dxfId="530" priority="527" stopIfTrue="1">
      <formula>AND(AM33=0,AN33=1,AO33=1)</formula>
    </cfRule>
    <cfRule type="expression" dxfId="529" priority="528" stopIfTrue="1">
      <formula>AND(AM33=1,AO33=1)</formula>
    </cfRule>
  </conditionalFormatting>
  <conditionalFormatting sqref="AO33">
    <cfRule type="expression" dxfId="528" priority="525" stopIfTrue="1">
      <formula>AND(AN33=0,AO33=1,AP33=1)</formula>
    </cfRule>
    <cfRule type="expression" dxfId="527" priority="526" stopIfTrue="1">
      <formula>AND(AN33=1,AP33=1)</formula>
    </cfRule>
  </conditionalFormatting>
  <conditionalFormatting sqref="AP33:AT33">
    <cfRule type="expression" dxfId="526" priority="523" stopIfTrue="1">
      <formula>AND(AO33=0,AP33=1,AQ33=1)</formula>
    </cfRule>
    <cfRule type="expression" dxfId="525" priority="524" stopIfTrue="1">
      <formula>AND(AO33=1,AQ33=1)</formula>
    </cfRule>
  </conditionalFormatting>
  <conditionalFormatting sqref="AM33">
    <cfRule type="expression" dxfId="524" priority="522" stopIfTrue="1">
      <formula>AND(AM33=1,AN33=1)</formula>
    </cfRule>
  </conditionalFormatting>
  <conditionalFormatting sqref="BG33">
    <cfRule type="expression" dxfId="523" priority="521" stopIfTrue="1">
      <formula>AND(BG33=1,BF33=1)</formula>
    </cfRule>
  </conditionalFormatting>
  <conditionalFormatting sqref="BF33">
    <cfRule type="expression" dxfId="522" priority="519" stopIfTrue="1">
      <formula>AND(BF33=0,BF33=1,BE33=1)</formula>
    </cfRule>
    <cfRule type="expression" dxfId="521" priority="520" stopIfTrue="1">
      <formula>AND(BG33=1,BE33=1)</formula>
    </cfRule>
  </conditionalFormatting>
  <conditionalFormatting sqref="AX33">
    <cfRule type="expression" dxfId="520" priority="517" stopIfTrue="1">
      <formula>AND(AX33=1,AY33=1)</formula>
    </cfRule>
    <cfRule type="expression" dxfId="519" priority="518" stopIfTrue="1">
      <formula>AND(AY33=0,AX33=1)</formula>
    </cfRule>
  </conditionalFormatting>
  <conditionalFormatting sqref="AY33:BE33">
    <cfRule type="expression" dxfId="518" priority="515" stopIfTrue="1">
      <formula>AND(AZ33=0,AY33=1,AX33=1)</formula>
    </cfRule>
    <cfRule type="expression" dxfId="517" priority="516" stopIfTrue="1">
      <formula>AND(AZ33=1,AX33=1)</formula>
    </cfRule>
  </conditionalFormatting>
  <conditionalFormatting sqref="AV34">
    <cfRule type="expression" dxfId="516" priority="513" stopIfTrue="1">
      <formula>AND(AV34=1,AU34=1)</formula>
    </cfRule>
    <cfRule type="expression" dxfId="515" priority="514" stopIfTrue="1">
      <formula>AND(AU34=0,AV34=1)</formula>
    </cfRule>
  </conditionalFormatting>
  <conditionalFormatting sqref="AU34">
    <cfRule type="expression" dxfId="514" priority="511" stopIfTrue="1">
      <formula>AND(AT34=0,AU34=1,AV34=1)</formula>
    </cfRule>
    <cfRule type="expression" dxfId="513" priority="512" stopIfTrue="1">
      <formula>AND(AT34=1,AV34=1)</formula>
    </cfRule>
  </conditionalFormatting>
  <conditionalFormatting sqref="AN34">
    <cfRule type="expression" dxfId="512" priority="509" stopIfTrue="1">
      <formula>AND(AM34=0,AN34=1,AO34=1)</formula>
    </cfRule>
    <cfRule type="expression" dxfId="511" priority="510" stopIfTrue="1">
      <formula>AND(AM34=1,AO34=1)</formula>
    </cfRule>
  </conditionalFormatting>
  <conditionalFormatting sqref="AO34">
    <cfRule type="expression" dxfId="510" priority="507" stopIfTrue="1">
      <formula>AND(AN34=0,AO34=1,AP34=1)</formula>
    </cfRule>
    <cfRule type="expression" dxfId="509" priority="508" stopIfTrue="1">
      <formula>AND(AN34=1,AP34=1)</formula>
    </cfRule>
  </conditionalFormatting>
  <conditionalFormatting sqref="AP34:AT34">
    <cfRule type="expression" dxfId="508" priority="505" stopIfTrue="1">
      <formula>AND(AO34=0,AP34=1,AQ34=1)</formula>
    </cfRule>
    <cfRule type="expression" dxfId="507" priority="506" stopIfTrue="1">
      <formula>AND(AO34=1,AQ34=1)</formula>
    </cfRule>
  </conditionalFormatting>
  <conditionalFormatting sqref="AM34">
    <cfRule type="expression" dxfId="506" priority="504" stopIfTrue="1">
      <formula>AND(AM34=1,AN34=1)</formula>
    </cfRule>
  </conditionalFormatting>
  <conditionalFormatting sqref="BG34">
    <cfRule type="expression" dxfId="505" priority="503" stopIfTrue="1">
      <formula>AND(BG34=1,BF34=1)</formula>
    </cfRule>
  </conditionalFormatting>
  <conditionalFormatting sqref="BF34">
    <cfRule type="expression" dxfId="504" priority="501" stopIfTrue="1">
      <formula>AND(BF34=0,BF34=1,BE34=1)</formula>
    </cfRule>
    <cfRule type="expression" dxfId="503" priority="502" stopIfTrue="1">
      <formula>AND(BG34=1,BE34=1)</formula>
    </cfRule>
  </conditionalFormatting>
  <conditionalFormatting sqref="AX34">
    <cfRule type="expression" dxfId="502" priority="499" stopIfTrue="1">
      <formula>AND(AX34=1,AY34=1)</formula>
    </cfRule>
    <cfRule type="expression" dxfId="501" priority="500" stopIfTrue="1">
      <formula>AND(AY34=0,AX34=1)</formula>
    </cfRule>
  </conditionalFormatting>
  <conditionalFormatting sqref="AY34:BE34">
    <cfRule type="expression" dxfId="500" priority="497" stopIfTrue="1">
      <formula>AND(AZ34=0,AY34=1,AX34=1)</formula>
    </cfRule>
    <cfRule type="expression" dxfId="499" priority="498" stopIfTrue="1">
      <formula>AND(AZ34=1,AX34=1)</formula>
    </cfRule>
  </conditionalFormatting>
  <conditionalFormatting sqref="AV35">
    <cfRule type="expression" dxfId="498" priority="495" stopIfTrue="1">
      <formula>AND(AV35=1,AU35=1)</formula>
    </cfRule>
    <cfRule type="expression" dxfId="497" priority="496" stopIfTrue="1">
      <formula>AND(AU35=0,AV35=1)</formula>
    </cfRule>
  </conditionalFormatting>
  <conditionalFormatting sqref="AU35">
    <cfRule type="expression" dxfId="496" priority="493" stopIfTrue="1">
      <formula>AND(AT35=0,AU35=1,AV35=1)</formula>
    </cfRule>
    <cfRule type="expression" dxfId="495" priority="494" stopIfTrue="1">
      <formula>AND(AT35=1,AV35=1)</formula>
    </cfRule>
  </conditionalFormatting>
  <conditionalFormatting sqref="AN35">
    <cfRule type="expression" dxfId="494" priority="491" stopIfTrue="1">
      <formula>AND(AM35=0,AN35=1,AO35=1)</formula>
    </cfRule>
    <cfRule type="expression" dxfId="493" priority="492" stopIfTrue="1">
      <formula>AND(AM35=1,AO35=1)</formula>
    </cfRule>
  </conditionalFormatting>
  <conditionalFormatting sqref="AO35">
    <cfRule type="expression" dxfId="492" priority="489" stopIfTrue="1">
      <formula>AND(AN35=0,AO35=1,AP35=1)</formula>
    </cfRule>
    <cfRule type="expression" dxfId="491" priority="490" stopIfTrue="1">
      <formula>AND(AN35=1,AP35=1)</formula>
    </cfRule>
  </conditionalFormatting>
  <conditionalFormatting sqref="AP35:AT35">
    <cfRule type="expression" dxfId="490" priority="487" stopIfTrue="1">
      <formula>AND(AO35=0,AP35=1,AQ35=1)</formula>
    </cfRule>
    <cfRule type="expression" dxfId="489" priority="488" stopIfTrue="1">
      <formula>AND(AO35=1,AQ35=1)</formula>
    </cfRule>
  </conditionalFormatting>
  <conditionalFormatting sqref="AM35">
    <cfRule type="expression" dxfId="488" priority="486" stopIfTrue="1">
      <formula>AND(AM35=1,AN35=1)</formula>
    </cfRule>
  </conditionalFormatting>
  <conditionalFormatting sqref="BG35">
    <cfRule type="expression" dxfId="487" priority="485" stopIfTrue="1">
      <formula>AND(BG35=1,BF35=1)</formula>
    </cfRule>
  </conditionalFormatting>
  <conditionalFormatting sqref="BF35">
    <cfRule type="expression" dxfId="486" priority="483" stopIfTrue="1">
      <formula>AND(BF35=0,BF35=1,BE35=1)</formula>
    </cfRule>
    <cfRule type="expression" dxfId="485" priority="484" stopIfTrue="1">
      <formula>AND(BG35=1,BE35=1)</formula>
    </cfRule>
  </conditionalFormatting>
  <conditionalFormatting sqref="AX35">
    <cfRule type="expression" dxfId="484" priority="481" stopIfTrue="1">
      <formula>AND(AX35=1,AY35=1)</formula>
    </cfRule>
    <cfRule type="expression" dxfId="483" priority="482" stopIfTrue="1">
      <formula>AND(AY35=0,AX35=1)</formula>
    </cfRule>
  </conditionalFormatting>
  <conditionalFormatting sqref="AY35:BE35">
    <cfRule type="expression" dxfId="482" priority="479" stopIfTrue="1">
      <formula>AND(AZ35=0,AY35=1,AX35=1)</formula>
    </cfRule>
    <cfRule type="expression" dxfId="481" priority="480" stopIfTrue="1">
      <formula>AND(AZ35=1,AX35=1)</formula>
    </cfRule>
  </conditionalFormatting>
  <conditionalFormatting sqref="AV36">
    <cfRule type="expression" dxfId="480" priority="477" stopIfTrue="1">
      <formula>AND(AV36=1,AU36=1)</formula>
    </cfRule>
    <cfRule type="expression" dxfId="479" priority="478" stopIfTrue="1">
      <formula>AND(AU36=0,AV36=1)</formula>
    </cfRule>
  </conditionalFormatting>
  <conditionalFormatting sqref="AU36">
    <cfRule type="expression" dxfId="478" priority="475" stopIfTrue="1">
      <formula>AND(AT36=0,AU36=1,AV36=1)</formula>
    </cfRule>
    <cfRule type="expression" dxfId="477" priority="476" stopIfTrue="1">
      <formula>AND(AT36=1,AV36=1)</formula>
    </cfRule>
  </conditionalFormatting>
  <conditionalFormatting sqref="AN36">
    <cfRule type="expression" dxfId="476" priority="473" stopIfTrue="1">
      <formula>AND(AM36=0,AN36=1,AO36=1)</formula>
    </cfRule>
    <cfRule type="expression" dxfId="475" priority="474" stopIfTrue="1">
      <formula>AND(AM36=1,AO36=1)</formula>
    </cfRule>
  </conditionalFormatting>
  <conditionalFormatting sqref="AO36">
    <cfRule type="expression" dxfId="474" priority="471" stopIfTrue="1">
      <formula>AND(AN36=0,AO36=1,AP36=1)</formula>
    </cfRule>
    <cfRule type="expression" dxfId="473" priority="472" stopIfTrue="1">
      <formula>AND(AN36=1,AP36=1)</formula>
    </cfRule>
  </conditionalFormatting>
  <conditionalFormatting sqref="AP36:AT36">
    <cfRule type="expression" dxfId="472" priority="469" stopIfTrue="1">
      <formula>AND(AO36=0,AP36=1,AQ36=1)</formula>
    </cfRule>
    <cfRule type="expression" dxfId="471" priority="470" stopIfTrue="1">
      <formula>AND(AO36=1,AQ36=1)</formula>
    </cfRule>
  </conditionalFormatting>
  <conditionalFormatting sqref="AM36">
    <cfRule type="expression" dxfId="470" priority="468" stopIfTrue="1">
      <formula>AND(AM36=1,AN36=1)</formula>
    </cfRule>
  </conditionalFormatting>
  <conditionalFormatting sqref="BG36">
    <cfRule type="expression" dxfId="469" priority="467" stopIfTrue="1">
      <formula>AND(BG36=1,BF36=1)</formula>
    </cfRule>
  </conditionalFormatting>
  <conditionalFormatting sqref="BF36">
    <cfRule type="expression" dxfId="468" priority="465" stopIfTrue="1">
      <formula>AND(BF36=0,BF36=1,BE36=1)</formula>
    </cfRule>
    <cfRule type="expression" dxfId="467" priority="466" stopIfTrue="1">
      <formula>AND(BG36=1,BE36=1)</formula>
    </cfRule>
  </conditionalFormatting>
  <conditionalFormatting sqref="AX36">
    <cfRule type="expression" dxfId="466" priority="463" stopIfTrue="1">
      <formula>AND(AX36=1,AY36=1)</formula>
    </cfRule>
    <cfRule type="expression" dxfId="465" priority="464" stopIfTrue="1">
      <formula>AND(AY36=0,AX36=1)</formula>
    </cfRule>
  </conditionalFormatting>
  <conditionalFormatting sqref="AY36:BE36">
    <cfRule type="expression" dxfId="464" priority="461" stopIfTrue="1">
      <formula>AND(AZ36=0,AY36=1,AX36=1)</formula>
    </cfRule>
    <cfRule type="expression" dxfId="463" priority="462" stopIfTrue="1">
      <formula>AND(AZ36=1,AX36=1)</formula>
    </cfRule>
  </conditionalFormatting>
  <conditionalFormatting sqref="AV37">
    <cfRule type="expression" dxfId="462" priority="459" stopIfTrue="1">
      <formula>AND(AV37=1,AU37=1)</formula>
    </cfRule>
    <cfRule type="expression" dxfId="461" priority="460" stopIfTrue="1">
      <formula>AND(AU37=0,AV37=1)</formula>
    </cfRule>
  </conditionalFormatting>
  <conditionalFormatting sqref="AU37">
    <cfRule type="expression" dxfId="460" priority="457" stopIfTrue="1">
      <formula>AND(AT37=0,AU37=1,AV37=1)</formula>
    </cfRule>
    <cfRule type="expression" dxfId="459" priority="458" stopIfTrue="1">
      <formula>AND(AT37=1,AV37=1)</formula>
    </cfRule>
  </conditionalFormatting>
  <conditionalFormatting sqref="AN37">
    <cfRule type="expression" dxfId="458" priority="455" stopIfTrue="1">
      <formula>AND(AM37=0,AN37=1,AO37=1)</formula>
    </cfRule>
    <cfRule type="expression" dxfId="457" priority="456" stopIfTrue="1">
      <formula>AND(AM37=1,AO37=1)</formula>
    </cfRule>
  </conditionalFormatting>
  <conditionalFormatting sqref="AO37">
    <cfRule type="expression" dxfId="456" priority="453" stopIfTrue="1">
      <formula>AND(AN37=0,AO37=1,AP37=1)</formula>
    </cfRule>
    <cfRule type="expression" dxfId="455" priority="454" stopIfTrue="1">
      <formula>AND(AN37=1,AP37=1)</formula>
    </cfRule>
  </conditionalFormatting>
  <conditionalFormatting sqref="AP37:AT37">
    <cfRule type="expression" dxfId="454" priority="451" stopIfTrue="1">
      <formula>AND(AO37=0,AP37=1,AQ37=1)</formula>
    </cfRule>
    <cfRule type="expression" dxfId="453" priority="452" stopIfTrue="1">
      <formula>AND(AO37=1,AQ37=1)</formula>
    </cfRule>
  </conditionalFormatting>
  <conditionalFormatting sqref="AM37">
    <cfRule type="expression" dxfId="452" priority="450" stopIfTrue="1">
      <formula>AND(AM37=1,AN37=1)</formula>
    </cfRule>
  </conditionalFormatting>
  <conditionalFormatting sqref="BG37">
    <cfRule type="expression" dxfId="451" priority="449" stopIfTrue="1">
      <formula>AND(BG37=1,BF37=1)</formula>
    </cfRule>
  </conditionalFormatting>
  <conditionalFormatting sqref="BF37">
    <cfRule type="expression" dxfId="450" priority="447" stopIfTrue="1">
      <formula>AND(BF37=0,BF37=1,BE37=1)</formula>
    </cfRule>
    <cfRule type="expression" dxfId="449" priority="448" stopIfTrue="1">
      <formula>AND(BG37=1,BE37=1)</formula>
    </cfRule>
  </conditionalFormatting>
  <conditionalFormatting sqref="AX37">
    <cfRule type="expression" dxfId="448" priority="445" stopIfTrue="1">
      <formula>AND(AX37=1,AY37=1)</formula>
    </cfRule>
    <cfRule type="expression" dxfId="447" priority="446" stopIfTrue="1">
      <formula>AND(AY37=0,AX37=1)</formula>
    </cfRule>
  </conditionalFormatting>
  <conditionalFormatting sqref="AY37:BE37">
    <cfRule type="expression" dxfId="446" priority="443" stopIfTrue="1">
      <formula>AND(AZ37=0,AY37=1,AX37=1)</formula>
    </cfRule>
    <cfRule type="expression" dxfId="445" priority="444" stopIfTrue="1">
      <formula>AND(AZ37=1,AX37=1)</formula>
    </cfRule>
  </conditionalFormatting>
  <conditionalFormatting sqref="AV38">
    <cfRule type="expression" dxfId="444" priority="441" stopIfTrue="1">
      <formula>AND(AV38=1,AU38=1)</formula>
    </cfRule>
    <cfRule type="expression" dxfId="443" priority="442" stopIfTrue="1">
      <formula>AND(AU38=0,AV38=1)</formula>
    </cfRule>
  </conditionalFormatting>
  <conditionalFormatting sqref="AU38">
    <cfRule type="expression" dxfId="442" priority="439" stopIfTrue="1">
      <formula>AND(AT38=0,AU38=1,AV38=1)</formula>
    </cfRule>
    <cfRule type="expression" dxfId="441" priority="440" stopIfTrue="1">
      <formula>AND(AT38=1,AV38=1)</formula>
    </cfRule>
  </conditionalFormatting>
  <conditionalFormatting sqref="AN38">
    <cfRule type="expression" dxfId="440" priority="437" stopIfTrue="1">
      <formula>AND(AM38=0,AN38=1,AO38=1)</formula>
    </cfRule>
    <cfRule type="expression" dxfId="439" priority="438" stopIfTrue="1">
      <formula>AND(AM38=1,AO38=1)</formula>
    </cfRule>
  </conditionalFormatting>
  <conditionalFormatting sqref="AO38">
    <cfRule type="expression" dxfId="438" priority="435" stopIfTrue="1">
      <formula>AND(AN38=0,AO38=1,AP38=1)</formula>
    </cfRule>
    <cfRule type="expression" dxfId="437" priority="436" stopIfTrue="1">
      <formula>AND(AN38=1,AP38=1)</formula>
    </cfRule>
  </conditionalFormatting>
  <conditionalFormatting sqref="AP38:AT38">
    <cfRule type="expression" dxfId="436" priority="433" stopIfTrue="1">
      <formula>AND(AO38=0,AP38=1,AQ38=1)</formula>
    </cfRule>
    <cfRule type="expression" dxfId="435" priority="434" stopIfTrue="1">
      <formula>AND(AO38=1,AQ38=1)</formula>
    </cfRule>
  </conditionalFormatting>
  <conditionalFormatting sqref="AM38">
    <cfRule type="expression" dxfId="434" priority="432" stopIfTrue="1">
      <formula>AND(AM38=1,AN38=1)</formula>
    </cfRule>
  </conditionalFormatting>
  <conditionalFormatting sqref="BG38">
    <cfRule type="expression" dxfId="433" priority="431" stopIfTrue="1">
      <formula>AND(BG38=1,BF38=1)</formula>
    </cfRule>
  </conditionalFormatting>
  <conditionalFormatting sqref="BF38">
    <cfRule type="expression" dxfId="432" priority="429" stopIfTrue="1">
      <formula>AND(BF38=0,BF38=1,BE38=1)</formula>
    </cfRule>
    <cfRule type="expression" dxfId="431" priority="430" stopIfTrue="1">
      <formula>AND(BG38=1,BE38=1)</formula>
    </cfRule>
  </conditionalFormatting>
  <conditionalFormatting sqref="AX38">
    <cfRule type="expression" dxfId="430" priority="427" stopIfTrue="1">
      <formula>AND(AX38=1,AY38=1)</formula>
    </cfRule>
    <cfRule type="expression" dxfId="429" priority="428" stopIfTrue="1">
      <formula>AND(AY38=0,AX38=1)</formula>
    </cfRule>
  </conditionalFormatting>
  <conditionalFormatting sqref="AY38:BE38">
    <cfRule type="expression" dxfId="428" priority="425" stopIfTrue="1">
      <formula>AND(AZ38=0,AY38=1,AX38=1)</formula>
    </cfRule>
    <cfRule type="expression" dxfId="427" priority="426" stopIfTrue="1">
      <formula>AND(AZ38=1,AX38=1)</formula>
    </cfRule>
  </conditionalFormatting>
  <conditionalFormatting sqref="AV39">
    <cfRule type="expression" dxfId="426" priority="423" stopIfTrue="1">
      <formula>AND(AV39=1,AU39=1)</formula>
    </cfRule>
    <cfRule type="expression" dxfId="425" priority="424" stopIfTrue="1">
      <formula>AND(AU39=0,AV39=1)</formula>
    </cfRule>
  </conditionalFormatting>
  <conditionalFormatting sqref="AU39">
    <cfRule type="expression" dxfId="424" priority="421" stopIfTrue="1">
      <formula>AND(AT39=0,AU39=1,AV39=1)</formula>
    </cfRule>
    <cfRule type="expression" dxfId="423" priority="422" stopIfTrue="1">
      <formula>AND(AT39=1,AV39=1)</formula>
    </cfRule>
  </conditionalFormatting>
  <conditionalFormatting sqref="AN39">
    <cfRule type="expression" dxfId="422" priority="419" stopIfTrue="1">
      <formula>AND(AM39=0,AN39=1,AO39=1)</formula>
    </cfRule>
    <cfRule type="expression" dxfId="421" priority="420" stopIfTrue="1">
      <formula>AND(AM39=1,AO39=1)</formula>
    </cfRule>
  </conditionalFormatting>
  <conditionalFormatting sqref="AO39">
    <cfRule type="expression" dxfId="420" priority="417" stopIfTrue="1">
      <formula>AND(AN39=0,AO39=1,AP39=1)</formula>
    </cfRule>
    <cfRule type="expression" dxfId="419" priority="418" stopIfTrue="1">
      <formula>AND(AN39=1,AP39=1)</formula>
    </cfRule>
  </conditionalFormatting>
  <conditionalFormatting sqref="AP39:AT39">
    <cfRule type="expression" dxfId="418" priority="415" stopIfTrue="1">
      <formula>AND(AO39=0,AP39=1,AQ39=1)</formula>
    </cfRule>
    <cfRule type="expression" dxfId="417" priority="416" stopIfTrue="1">
      <formula>AND(AO39=1,AQ39=1)</formula>
    </cfRule>
  </conditionalFormatting>
  <conditionalFormatting sqref="AM39">
    <cfRule type="expression" dxfId="416" priority="414" stopIfTrue="1">
      <formula>AND(AM39=1,AN39=1)</formula>
    </cfRule>
  </conditionalFormatting>
  <conditionalFormatting sqref="BG39">
    <cfRule type="expression" dxfId="415" priority="413" stopIfTrue="1">
      <formula>AND(BG39=1,BF39=1)</formula>
    </cfRule>
  </conditionalFormatting>
  <conditionalFormatting sqref="BF39">
    <cfRule type="expression" dxfId="414" priority="411" stopIfTrue="1">
      <formula>AND(BF39=0,BF39=1,BE39=1)</formula>
    </cfRule>
    <cfRule type="expression" dxfId="413" priority="412" stopIfTrue="1">
      <formula>AND(BG39=1,BE39=1)</formula>
    </cfRule>
  </conditionalFormatting>
  <conditionalFormatting sqref="AX39">
    <cfRule type="expression" dxfId="412" priority="409" stopIfTrue="1">
      <formula>AND(AX39=1,AY39=1)</formula>
    </cfRule>
    <cfRule type="expression" dxfId="411" priority="410" stopIfTrue="1">
      <formula>AND(AY39=0,AX39=1)</formula>
    </cfRule>
  </conditionalFormatting>
  <conditionalFormatting sqref="AY39:BE39">
    <cfRule type="expression" dxfId="410" priority="407" stopIfTrue="1">
      <formula>AND(AZ39=0,AY39=1,AX39=1)</formula>
    </cfRule>
    <cfRule type="expression" dxfId="409" priority="408" stopIfTrue="1">
      <formula>AND(AZ39=1,AX39=1)</formula>
    </cfRule>
  </conditionalFormatting>
  <conditionalFormatting sqref="Z46:Z52">
    <cfRule type="expression" dxfId="408" priority="369" stopIfTrue="1">
      <formula>AND(Z46=1,Y46=1)</formula>
    </cfRule>
    <cfRule type="expression" dxfId="407" priority="370" stopIfTrue="1">
      <formula>AND(Y46=0,Z46=1)</formula>
    </cfRule>
  </conditionalFormatting>
  <conditionalFormatting sqref="Y46:Y52">
    <cfRule type="expression" dxfId="406" priority="367" stopIfTrue="1">
      <formula>AND(X46=0,Y46=1,Z46=1)</formula>
    </cfRule>
    <cfRule type="expression" dxfId="405" priority="368" stopIfTrue="1">
      <formula>AND(X46=1,Z46=1)</formula>
    </cfRule>
  </conditionalFormatting>
  <conditionalFormatting sqref="Q46:Q52">
    <cfRule type="expression" dxfId="404" priority="366" stopIfTrue="1">
      <formula>AND(Q46=1,R46=1)</formula>
    </cfRule>
  </conditionalFormatting>
  <conditionalFormatting sqref="R46:R52">
    <cfRule type="expression" dxfId="403" priority="364" stopIfTrue="1">
      <formula>AND(Q46=0,R46=1,S46=1)</formula>
    </cfRule>
    <cfRule type="expression" dxfId="402" priority="365" stopIfTrue="1">
      <formula>AND(Q46=1,S46=1)</formula>
    </cfRule>
  </conditionalFormatting>
  <conditionalFormatting sqref="S46:S52">
    <cfRule type="expression" dxfId="401" priority="362" stopIfTrue="1">
      <formula>AND(R46=0,S46=1,T46=1)</formula>
    </cfRule>
    <cfRule type="expression" dxfId="400" priority="363" stopIfTrue="1">
      <formula>AND(R46=1,T46=1)</formula>
    </cfRule>
  </conditionalFormatting>
  <conditionalFormatting sqref="T46:X52">
    <cfRule type="expression" dxfId="399" priority="360" stopIfTrue="1">
      <formula>AND(S46=0,T46=1,U46=1)</formula>
    </cfRule>
    <cfRule type="expression" dxfId="398" priority="361" stopIfTrue="1">
      <formula>AND(S46=1,U46=1)</formula>
    </cfRule>
  </conditionalFormatting>
  <conditionalFormatting sqref="AK46:AK52">
    <cfRule type="expression" dxfId="397" priority="359" stopIfTrue="1">
      <formula>AND(AK46=1,AJ46=1)</formula>
    </cfRule>
  </conditionalFormatting>
  <conditionalFormatting sqref="AB46:AB52">
    <cfRule type="expression" dxfId="396" priority="357" stopIfTrue="1">
      <formula>AND(AB46=1,AC46=1)</formula>
    </cfRule>
    <cfRule type="expression" dxfId="395" priority="358" stopIfTrue="1">
      <formula>AND(AC46=0,AB46=1)</formula>
    </cfRule>
  </conditionalFormatting>
  <conditionalFormatting sqref="AC46:AI52">
    <cfRule type="expression" dxfId="394" priority="355" stopIfTrue="1">
      <formula>AND(AD46=0,AC46=1,AB46=1)</formula>
    </cfRule>
    <cfRule type="expression" dxfId="393" priority="356" stopIfTrue="1">
      <formula>AND(AD46=1,AB46=1)</formula>
    </cfRule>
  </conditionalFormatting>
  <conditionalFormatting sqref="AJ46:AJ52">
    <cfRule type="expression" dxfId="392" priority="353" stopIfTrue="1">
      <formula>AND(AK46=0,AJ46=1,AI46=1)</formula>
    </cfRule>
    <cfRule type="expression" dxfId="391" priority="354" stopIfTrue="1">
      <formula>AND(AK46=1,AI46=1)</formula>
    </cfRule>
  </conditionalFormatting>
  <conditionalFormatting sqref="AV46:AV52">
    <cfRule type="expression" dxfId="390" priority="351" stopIfTrue="1">
      <formula>AND(AV46=1,AU46=1)</formula>
    </cfRule>
    <cfRule type="expression" dxfId="389" priority="352" stopIfTrue="1">
      <formula>AND(AU46=0,AV46=1)</formula>
    </cfRule>
  </conditionalFormatting>
  <conditionalFormatting sqref="AU46:AU52">
    <cfRule type="expression" dxfId="388" priority="349" stopIfTrue="1">
      <formula>AND(AT46=0,AU46=1,AV46=1)</formula>
    </cfRule>
    <cfRule type="expression" dxfId="387" priority="350" stopIfTrue="1">
      <formula>AND(AT46=1,AV46=1)</formula>
    </cfRule>
  </conditionalFormatting>
  <conditionalFormatting sqref="AN46:AN52">
    <cfRule type="expression" dxfId="386" priority="347" stopIfTrue="1">
      <formula>AND(AM46=0,AN46=1,AO46=1)</formula>
    </cfRule>
    <cfRule type="expression" dxfId="385" priority="348" stopIfTrue="1">
      <formula>AND(AM46=1,AO46=1)</formula>
    </cfRule>
  </conditionalFormatting>
  <conditionalFormatting sqref="AO46:AO52">
    <cfRule type="expression" dxfId="384" priority="345" stopIfTrue="1">
      <formula>AND(AN46=0,AO46=1,AP46=1)</formula>
    </cfRule>
    <cfRule type="expression" dxfId="383" priority="346" stopIfTrue="1">
      <formula>AND(AN46=1,AP46=1)</formula>
    </cfRule>
  </conditionalFormatting>
  <conditionalFormatting sqref="AP46:AT52">
    <cfRule type="expression" dxfId="382" priority="343" stopIfTrue="1">
      <formula>AND(AO46=0,AP46=1,AQ46=1)</formula>
    </cfRule>
    <cfRule type="expression" dxfId="381" priority="344" stopIfTrue="1">
      <formula>AND(AO46=1,AQ46=1)</formula>
    </cfRule>
  </conditionalFormatting>
  <conditionalFormatting sqref="AM46:AM52">
    <cfRule type="expression" dxfId="380" priority="342" stopIfTrue="1">
      <formula>AND(AM46=1,AN46=1)</formula>
    </cfRule>
  </conditionalFormatting>
  <conditionalFormatting sqref="BG46:BG52">
    <cfRule type="expression" dxfId="379" priority="341" stopIfTrue="1">
      <formula>AND(BG46=1,BF46=1)</formula>
    </cfRule>
  </conditionalFormatting>
  <conditionalFormatting sqref="BF46:BF52">
    <cfRule type="expression" dxfId="378" priority="339" stopIfTrue="1">
      <formula>AND(BF46=0,BF46=1,BE46=1)</formula>
    </cfRule>
    <cfRule type="expression" dxfId="377" priority="340" stopIfTrue="1">
      <formula>AND(BG46=1,BE46=1)</formula>
    </cfRule>
  </conditionalFormatting>
  <conditionalFormatting sqref="AX46:AX52">
    <cfRule type="expression" dxfId="376" priority="337" stopIfTrue="1">
      <formula>AND(AX46=1,AY46=1)</formula>
    </cfRule>
    <cfRule type="expression" dxfId="375" priority="338" stopIfTrue="1">
      <formula>AND(AY46=0,AX46=1)</formula>
    </cfRule>
  </conditionalFormatting>
  <conditionalFormatting sqref="AY46:BE52">
    <cfRule type="expression" dxfId="374" priority="335" stopIfTrue="1">
      <formula>AND(AZ46=0,AY46=1,AX46=1)</formula>
    </cfRule>
    <cfRule type="expression" dxfId="373" priority="336" stopIfTrue="1">
      <formula>AND(AZ46=1,AX46=1)</formula>
    </cfRule>
  </conditionalFormatting>
  <conditionalFormatting sqref="Z59:Z65">
    <cfRule type="expression" dxfId="372" priority="333" stopIfTrue="1">
      <formula>AND(Z59=1,Y59=1)</formula>
    </cfRule>
    <cfRule type="expression" dxfId="371" priority="334" stopIfTrue="1">
      <formula>AND(Y59=0,Z59=1)</formula>
    </cfRule>
  </conditionalFormatting>
  <conditionalFormatting sqref="Y59:Y65">
    <cfRule type="expression" dxfId="370" priority="331" stopIfTrue="1">
      <formula>AND(X59=0,Y59=1,Z59=1)</formula>
    </cfRule>
    <cfRule type="expression" dxfId="369" priority="332" stopIfTrue="1">
      <formula>AND(X59=1,Z59=1)</formula>
    </cfRule>
  </conditionalFormatting>
  <conditionalFormatting sqref="Q59:Q65">
    <cfRule type="expression" dxfId="368" priority="330" stopIfTrue="1">
      <formula>AND(Q59=1,R59=1)</formula>
    </cfRule>
  </conditionalFormatting>
  <conditionalFormatting sqref="R59:R65">
    <cfRule type="expression" dxfId="367" priority="328" stopIfTrue="1">
      <formula>AND(Q59=0,R59=1,S59=1)</formula>
    </cfRule>
    <cfRule type="expression" dxfId="366" priority="329" stopIfTrue="1">
      <formula>AND(Q59=1,S59=1)</formula>
    </cfRule>
  </conditionalFormatting>
  <conditionalFormatting sqref="S59:S65">
    <cfRule type="expression" dxfId="365" priority="326" stopIfTrue="1">
      <formula>AND(R59=0,S59=1,T59=1)</formula>
    </cfRule>
    <cfRule type="expression" dxfId="364" priority="327" stopIfTrue="1">
      <formula>AND(R59=1,T59=1)</formula>
    </cfRule>
  </conditionalFormatting>
  <conditionalFormatting sqref="T59:X65">
    <cfRule type="expression" dxfId="363" priority="324" stopIfTrue="1">
      <formula>AND(S59=0,T59=1,U59=1)</formula>
    </cfRule>
    <cfRule type="expression" dxfId="362" priority="325" stopIfTrue="1">
      <formula>AND(S59=1,U59=1)</formula>
    </cfRule>
  </conditionalFormatting>
  <conditionalFormatting sqref="AK59:AK65">
    <cfRule type="expression" dxfId="361" priority="323" stopIfTrue="1">
      <formula>AND(AK59=1,AJ59=1)</formula>
    </cfRule>
  </conditionalFormatting>
  <conditionalFormatting sqref="AB59:AB65">
    <cfRule type="expression" dxfId="360" priority="321" stopIfTrue="1">
      <formula>AND(AB59=1,AC59=1)</formula>
    </cfRule>
    <cfRule type="expression" dxfId="359" priority="322" stopIfTrue="1">
      <formula>AND(AC59=0,AB59=1)</formula>
    </cfRule>
  </conditionalFormatting>
  <conditionalFormatting sqref="AC59:AI65">
    <cfRule type="expression" dxfId="358" priority="319" stopIfTrue="1">
      <formula>AND(AD59=0,AC59=1,AB59=1)</formula>
    </cfRule>
    <cfRule type="expression" dxfId="357" priority="320" stopIfTrue="1">
      <formula>AND(AD59=1,AB59=1)</formula>
    </cfRule>
  </conditionalFormatting>
  <conditionalFormatting sqref="AJ59:AJ65">
    <cfRule type="expression" dxfId="356" priority="317" stopIfTrue="1">
      <formula>AND(AK59=0,AJ59=1,AI59=1)</formula>
    </cfRule>
    <cfRule type="expression" dxfId="355" priority="318" stopIfTrue="1">
      <formula>AND(AK59=1,AI59=1)</formula>
    </cfRule>
  </conditionalFormatting>
  <conditionalFormatting sqref="AV59:AV65">
    <cfRule type="expression" dxfId="354" priority="315" stopIfTrue="1">
      <formula>AND(AV59=1,AU59=1)</formula>
    </cfRule>
    <cfRule type="expression" dxfId="353" priority="316" stopIfTrue="1">
      <formula>AND(AU59=0,AV59=1)</formula>
    </cfRule>
  </conditionalFormatting>
  <conditionalFormatting sqref="AU59:AU65">
    <cfRule type="expression" dxfId="352" priority="313" stopIfTrue="1">
      <formula>AND(AT59=0,AU59=1,AV59=1)</formula>
    </cfRule>
    <cfRule type="expression" dxfId="351" priority="314" stopIfTrue="1">
      <formula>AND(AT59=1,AV59=1)</formula>
    </cfRule>
  </conditionalFormatting>
  <conditionalFormatting sqref="AN59:AN65">
    <cfRule type="expression" dxfId="350" priority="311" stopIfTrue="1">
      <formula>AND(AM59=0,AN59=1,AO59=1)</formula>
    </cfRule>
    <cfRule type="expression" dxfId="349" priority="312" stopIfTrue="1">
      <formula>AND(AM59=1,AO59=1)</formula>
    </cfRule>
  </conditionalFormatting>
  <conditionalFormatting sqref="AO59:AO65">
    <cfRule type="expression" dxfId="348" priority="309" stopIfTrue="1">
      <formula>AND(AN59=0,AO59=1,AP59=1)</formula>
    </cfRule>
    <cfRule type="expression" dxfId="347" priority="310" stopIfTrue="1">
      <formula>AND(AN59=1,AP59=1)</formula>
    </cfRule>
  </conditionalFormatting>
  <conditionalFormatting sqref="AP59:AT65">
    <cfRule type="expression" dxfId="346" priority="307" stopIfTrue="1">
      <formula>AND(AO59=0,AP59=1,AQ59=1)</formula>
    </cfRule>
    <cfRule type="expression" dxfId="345" priority="308" stopIfTrue="1">
      <formula>AND(AO59=1,AQ59=1)</formula>
    </cfRule>
  </conditionalFormatting>
  <conditionalFormatting sqref="AM59:AM65">
    <cfRule type="expression" dxfId="344" priority="306" stopIfTrue="1">
      <formula>AND(AM59=1,AN59=1)</formula>
    </cfRule>
  </conditionalFormatting>
  <conditionalFormatting sqref="BG59:BG65">
    <cfRule type="expression" dxfId="343" priority="305" stopIfTrue="1">
      <formula>AND(BG59=1,BF59=1)</formula>
    </cfRule>
  </conditionalFormatting>
  <conditionalFormatting sqref="BF59:BF65">
    <cfRule type="expression" dxfId="342" priority="303" stopIfTrue="1">
      <formula>AND(BF59=0,BF59=1,BE59=1)</formula>
    </cfRule>
    <cfRule type="expression" dxfId="341" priority="304" stopIfTrue="1">
      <formula>AND(BG59=1,BE59=1)</formula>
    </cfRule>
  </conditionalFormatting>
  <conditionalFormatting sqref="AX59:AX65">
    <cfRule type="expression" dxfId="340" priority="301" stopIfTrue="1">
      <formula>AND(AX59=1,AY59=1)</formula>
    </cfRule>
    <cfRule type="expression" dxfId="339" priority="302" stopIfTrue="1">
      <formula>AND(AY59=0,AX59=1)</formula>
    </cfRule>
  </conditionalFormatting>
  <conditionalFormatting sqref="AY59:BE65">
    <cfRule type="expression" dxfId="338" priority="299" stopIfTrue="1">
      <formula>AND(AZ59=0,AY59=1,AX59=1)</formula>
    </cfRule>
    <cfRule type="expression" dxfId="337" priority="300" stopIfTrue="1">
      <formula>AND(AZ59=1,AX59=1)</formula>
    </cfRule>
  </conditionalFormatting>
  <conditionalFormatting sqref="AK88">
    <cfRule type="expression" dxfId="336" priority="298" stopIfTrue="1">
      <formula>AND(AK88=1,AJ88=1)</formula>
    </cfRule>
  </conditionalFormatting>
  <conditionalFormatting sqref="AJ88">
    <cfRule type="expression" dxfId="335" priority="296" stopIfTrue="1">
      <formula>AND(AJ88=0,AJ88=1,AI88=1)</formula>
    </cfRule>
    <cfRule type="expression" dxfId="334" priority="297" stopIfTrue="1">
      <formula>AND(AK88=1,AI88=1)</formula>
    </cfRule>
  </conditionalFormatting>
  <conditionalFormatting sqref="AB88">
    <cfRule type="expression" dxfId="333" priority="294" stopIfTrue="1">
      <formula>AND(AB88=1,AC88=1)</formula>
    </cfRule>
    <cfRule type="expression" dxfId="332" priority="295" stopIfTrue="1">
      <formula>AND(AC88=0,AB88=1)</formula>
    </cfRule>
  </conditionalFormatting>
  <conditionalFormatting sqref="AC88:AI88">
    <cfRule type="expression" dxfId="331" priority="292" stopIfTrue="1">
      <formula>AND(AD88=0,AC88=1,AB88=1)</formula>
    </cfRule>
    <cfRule type="expression" dxfId="330" priority="293" stopIfTrue="1">
      <formula>AND(AD88=1,AB88=1)</formula>
    </cfRule>
  </conditionalFormatting>
  <conditionalFormatting sqref="Z88">
    <cfRule type="expression" dxfId="329" priority="290" stopIfTrue="1">
      <formula>AND(Z88=1,Y88=1)</formula>
    </cfRule>
    <cfRule type="expression" dxfId="328" priority="291" stopIfTrue="1">
      <formula>AND(Y88=0,Z88=1)</formula>
    </cfRule>
  </conditionalFormatting>
  <conditionalFormatting sqref="Y88">
    <cfRule type="expression" dxfId="327" priority="288" stopIfTrue="1">
      <formula>AND(X88=0,Y88=1,Z88=1)</formula>
    </cfRule>
    <cfRule type="expression" dxfId="326" priority="289" stopIfTrue="1">
      <formula>AND(X88=1,Z88=1)</formula>
    </cfRule>
  </conditionalFormatting>
  <conditionalFormatting sqref="Q88">
    <cfRule type="expression" dxfId="325" priority="287" stopIfTrue="1">
      <formula>AND(Q88=1,R88=1)</formula>
    </cfRule>
  </conditionalFormatting>
  <conditionalFormatting sqref="R88">
    <cfRule type="expression" dxfId="324" priority="285" stopIfTrue="1">
      <formula>AND(Q88=0,R88=1,S88=1)</formula>
    </cfRule>
    <cfRule type="expression" dxfId="323" priority="286" stopIfTrue="1">
      <formula>AND(Q88=1,S88=1)</formula>
    </cfRule>
  </conditionalFormatting>
  <conditionalFormatting sqref="S88">
    <cfRule type="expression" dxfId="322" priority="283" stopIfTrue="1">
      <formula>AND(R88=0,S88=1,T88=1)</formula>
    </cfRule>
    <cfRule type="expression" dxfId="321" priority="284" stopIfTrue="1">
      <formula>AND(R88=1,T88=1)</formula>
    </cfRule>
  </conditionalFormatting>
  <conditionalFormatting sqref="T88:X88">
    <cfRule type="expression" dxfId="320" priority="281" stopIfTrue="1">
      <formula>AND(S88=0,T88=1,U88=1)</formula>
    </cfRule>
    <cfRule type="expression" dxfId="319" priority="282" stopIfTrue="1">
      <formula>AND(S88=1,U88=1)</formula>
    </cfRule>
  </conditionalFormatting>
  <conditionalFormatting sqref="AK89">
    <cfRule type="expression" dxfId="318" priority="280" stopIfTrue="1">
      <formula>AND(AK89=1,AJ89=1)</formula>
    </cfRule>
  </conditionalFormatting>
  <conditionalFormatting sqref="AJ89">
    <cfRule type="expression" dxfId="317" priority="278" stopIfTrue="1">
      <formula>AND(AJ89=0,AJ89=1,AI89=1)</formula>
    </cfRule>
    <cfRule type="expression" dxfId="316" priority="279" stopIfTrue="1">
      <formula>AND(AK89=1,AI89=1)</formula>
    </cfRule>
  </conditionalFormatting>
  <conditionalFormatting sqref="AB89">
    <cfRule type="expression" dxfId="315" priority="276" stopIfTrue="1">
      <formula>AND(AB89=1,AC89=1)</formula>
    </cfRule>
    <cfRule type="expression" dxfId="314" priority="277" stopIfTrue="1">
      <formula>AND(AC89=0,AB89=1)</formula>
    </cfRule>
  </conditionalFormatting>
  <conditionalFormatting sqref="AC89:AI89">
    <cfRule type="expression" dxfId="313" priority="274" stopIfTrue="1">
      <formula>AND(AD89=0,AC89=1,AB89=1)</formula>
    </cfRule>
    <cfRule type="expression" dxfId="312" priority="275" stopIfTrue="1">
      <formula>AND(AD89=1,AB89=1)</formula>
    </cfRule>
  </conditionalFormatting>
  <conditionalFormatting sqref="Z89">
    <cfRule type="expression" dxfId="311" priority="272" stopIfTrue="1">
      <formula>AND(Z89=1,Y89=1)</formula>
    </cfRule>
    <cfRule type="expression" dxfId="310" priority="273" stopIfTrue="1">
      <formula>AND(Y89=0,Z89=1)</formula>
    </cfRule>
  </conditionalFormatting>
  <conditionalFormatting sqref="Y89">
    <cfRule type="expression" dxfId="309" priority="270" stopIfTrue="1">
      <formula>AND(X89=0,Y89=1,Z89=1)</formula>
    </cfRule>
    <cfRule type="expression" dxfId="308" priority="271" stopIfTrue="1">
      <formula>AND(X89=1,Z89=1)</formula>
    </cfRule>
  </conditionalFormatting>
  <conditionalFormatting sqref="Q89">
    <cfRule type="expression" dxfId="307" priority="269" stopIfTrue="1">
      <formula>AND(Q89=1,R89=1)</formula>
    </cfRule>
  </conditionalFormatting>
  <conditionalFormatting sqref="R89">
    <cfRule type="expression" dxfId="306" priority="267" stopIfTrue="1">
      <formula>AND(Q89=0,R89=1,S89=1)</formula>
    </cfRule>
    <cfRule type="expression" dxfId="305" priority="268" stopIfTrue="1">
      <formula>AND(Q89=1,S89=1)</formula>
    </cfRule>
  </conditionalFormatting>
  <conditionalFormatting sqref="S89">
    <cfRule type="expression" dxfId="304" priority="265" stopIfTrue="1">
      <formula>AND(R89=0,S89=1,T89=1)</formula>
    </cfRule>
    <cfRule type="expression" dxfId="303" priority="266" stopIfTrue="1">
      <formula>AND(R89=1,T89=1)</formula>
    </cfRule>
  </conditionalFormatting>
  <conditionalFormatting sqref="T89:X89">
    <cfRule type="expression" dxfId="302" priority="263" stopIfTrue="1">
      <formula>AND(S89=0,T89=1,U89=1)</formula>
    </cfRule>
    <cfRule type="expression" dxfId="301" priority="264" stopIfTrue="1">
      <formula>AND(S89=1,U89=1)</formula>
    </cfRule>
  </conditionalFormatting>
  <conditionalFormatting sqref="AK90">
    <cfRule type="expression" dxfId="300" priority="262" stopIfTrue="1">
      <formula>AND(AK90=1,AJ90=1)</formula>
    </cfRule>
  </conditionalFormatting>
  <conditionalFormatting sqref="AJ90">
    <cfRule type="expression" dxfId="299" priority="260" stopIfTrue="1">
      <formula>AND(AJ90=0,AJ90=1,AI90=1)</formula>
    </cfRule>
    <cfRule type="expression" dxfId="298" priority="261" stopIfTrue="1">
      <formula>AND(AK90=1,AI90=1)</formula>
    </cfRule>
  </conditionalFormatting>
  <conditionalFormatting sqref="AB90">
    <cfRule type="expression" dxfId="297" priority="258" stopIfTrue="1">
      <formula>AND(AB90=1,AC90=1)</formula>
    </cfRule>
    <cfRule type="expression" dxfId="296" priority="259" stopIfTrue="1">
      <formula>AND(AC90=0,AB90=1)</formula>
    </cfRule>
  </conditionalFormatting>
  <conditionalFormatting sqref="AC90:AI90">
    <cfRule type="expression" dxfId="295" priority="256" stopIfTrue="1">
      <formula>AND(AD90=0,AC90=1,AB90=1)</formula>
    </cfRule>
    <cfRule type="expression" dxfId="294" priority="257" stopIfTrue="1">
      <formula>AND(AD90=1,AB90=1)</formula>
    </cfRule>
  </conditionalFormatting>
  <conditionalFormatting sqref="Z90">
    <cfRule type="expression" dxfId="293" priority="254" stopIfTrue="1">
      <formula>AND(Z90=1,Y90=1)</formula>
    </cfRule>
    <cfRule type="expression" dxfId="292" priority="255" stopIfTrue="1">
      <formula>AND(Y90=0,Z90=1)</formula>
    </cfRule>
  </conditionalFormatting>
  <conditionalFormatting sqref="Y90">
    <cfRule type="expression" dxfId="291" priority="252" stopIfTrue="1">
      <formula>AND(X90=0,Y90=1,Z90=1)</formula>
    </cfRule>
    <cfRule type="expression" dxfId="290" priority="253" stopIfTrue="1">
      <formula>AND(X90=1,Z90=1)</formula>
    </cfRule>
  </conditionalFormatting>
  <conditionalFormatting sqref="Q90">
    <cfRule type="expression" dxfId="289" priority="251" stopIfTrue="1">
      <formula>AND(Q90=1,R90=1)</formula>
    </cfRule>
  </conditionalFormatting>
  <conditionalFormatting sqref="R90">
    <cfRule type="expression" dxfId="288" priority="249" stopIfTrue="1">
      <formula>AND(Q90=0,R90=1,S90=1)</formula>
    </cfRule>
    <cfRule type="expression" dxfId="287" priority="250" stopIfTrue="1">
      <formula>AND(Q90=1,S90=1)</formula>
    </cfRule>
  </conditionalFormatting>
  <conditionalFormatting sqref="S90">
    <cfRule type="expression" dxfId="286" priority="247" stopIfTrue="1">
      <formula>AND(R90=0,S90=1,T90=1)</formula>
    </cfRule>
    <cfRule type="expression" dxfId="285" priority="248" stopIfTrue="1">
      <formula>AND(R90=1,T90=1)</formula>
    </cfRule>
  </conditionalFormatting>
  <conditionalFormatting sqref="T90:X90">
    <cfRule type="expression" dxfId="284" priority="245" stopIfTrue="1">
      <formula>AND(S90=0,T90=1,U90=1)</formula>
    </cfRule>
    <cfRule type="expression" dxfId="283" priority="246" stopIfTrue="1">
      <formula>AND(S90=1,U90=1)</formula>
    </cfRule>
  </conditionalFormatting>
  <conditionalFormatting sqref="AK91">
    <cfRule type="expression" dxfId="282" priority="244" stopIfTrue="1">
      <formula>AND(AK91=1,AJ91=1)</formula>
    </cfRule>
  </conditionalFormatting>
  <conditionalFormatting sqref="AJ91">
    <cfRule type="expression" dxfId="281" priority="242" stopIfTrue="1">
      <formula>AND(AJ91=0,AJ91=1,AI91=1)</formula>
    </cfRule>
    <cfRule type="expression" dxfId="280" priority="243" stopIfTrue="1">
      <formula>AND(AK91=1,AI91=1)</formula>
    </cfRule>
  </conditionalFormatting>
  <conditionalFormatting sqref="AB91">
    <cfRule type="expression" dxfId="279" priority="240" stopIfTrue="1">
      <formula>AND(AB91=1,AC91=1)</formula>
    </cfRule>
    <cfRule type="expression" dxfId="278" priority="241" stopIfTrue="1">
      <formula>AND(AC91=0,AB91=1)</formula>
    </cfRule>
  </conditionalFormatting>
  <conditionalFormatting sqref="AC91:AI91">
    <cfRule type="expression" dxfId="277" priority="238" stopIfTrue="1">
      <formula>AND(AD91=0,AC91=1,AB91=1)</formula>
    </cfRule>
    <cfRule type="expression" dxfId="276" priority="239" stopIfTrue="1">
      <formula>AND(AD91=1,AB91=1)</formula>
    </cfRule>
  </conditionalFormatting>
  <conditionalFormatting sqref="Z91">
    <cfRule type="expression" dxfId="275" priority="236" stopIfTrue="1">
      <formula>AND(Z91=1,Y91=1)</formula>
    </cfRule>
    <cfRule type="expression" dxfId="274" priority="237" stopIfTrue="1">
      <formula>AND(Y91=0,Z91=1)</formula>
    </cfRule>
  </conditionalFormatting>
  <conditionalFormatting sqref="Y91">
    <cfRule type="expression" dxfId="273" priority="234" stopIfTrue="1">
      <formula>AND(X91=0,Y91=1,Z91=1)</formula>
    </cfRule>
    <cfRule type="expression" dxfId="272" priority="235" stopIfTrue="1">
      <formula>AND(X91=1,Z91=1)</formula>
    </cfRule>
  </conditionalFormatting>
  <conditionalFormatting sqref="Q91">
    <cfRule type="expression" dxfId="271" priority="233" stopIfTrue="1">
      <formula>AND(Q91=1,R91=1)</formula>
    </cfRule>
  </conditionalFormatting>
  <conditionalFormatting sqref="R91">
    <cfRule type="expression" dxfId="270" priority="231" stopIfTrue="1">
      <formula>AND(Q91=0,R91=1,S91=1)</formula>
    </cfRule>
    <cfRule type="expression" dxfId="269" priority="232" stopIfTrue="1">
      <formula>AND(Q91=1,S91=1)</formula>
    </cfRule>
  </conditionalFormatting>
  <conditionalFormatting sqref="S91">
    <cfRule type="expression" dxfId="268" priority="229" stopIfTrue="1">
      <formula>AND(R91=0,S91=1,T91=1)</formula>
    </cfRule>
    <cfRule type="expression" dxfId="267" priority="230" stopIfTrue="1">
      <formula>AND(R91=1,T91=1)</formula>
    </cfRule>
  </conditionalFormatting>
  <conditionalFormatting sqref="T91:X91">
    <cfRule type="expression" dxfId="266" priority="227" stopIfTrue="1">
      <formula>AND(S91=0,T91=1,U91=1)</formula>
    </cfRule>
    <cfRule type="expression" dxfId="265" priority="228" stopIfTrue="1">
      <formula>AND(S91=1,U91=1)</formula>
    </cfRule>
  </conditionalFormatting>
  <conditionalFormatting sqref="AK92">
    <cfRule type="expression" dxfId="264" priority="226" stopIfTrue="1">
      <formula>AND(AK92=1,AJ92=1)</formula>
    </cfRule>
  </conditionalFormatting>
  <conditionalFormatting sqref="AJ92">
    <cfRule type="expression" dxfId="263" priority="224" stopIfTrue="1">
      <formula>AND(AJ92=0,AJ92=1,AI92=1)</formula>
    </cfRule>
    <cfRule type="expression" dxfId="262" priority="225" stopIfTrue="1">
      <formula>AND(AK92=1,AI92=1)</formula>
    </cfRule>
  </conditionalFormatting>
  <conditionalFormatting sqref="AB92">
    <cfRule type="expression" dxfId="261" priority="222" stopIfTrue="1">
      <formula>AND(AB92=1,AC92=1)</formula>
    </cfRule>
    <cfRule type="expression" dxfId="260" priority="223" stopIfTrue="1">
      <formula>AND(AC92=0,AB92=1)</formula>
    </cfRule>
  </conditionalFormatting>
  <conditionalFormatting sqref="AC92:AI92">
    <cfRule type="expression" dxfId="259" priority="220" stopIfTrue="1">
      <formula>AND(AD92=0,AC92=1,AB92=1)</formula>
    </cfRule>
    <cfRule type="expression" dxfId="258" priority="221" stopIfTrue="1">
      <formula>AND(AD92=1,AB92=1)</formula>
    </cfRule>
  </conditionalFormatting>
  <conditionalFormatting sqref="Z92">
    <cfRule type="expression" dxfId="257" priority="218" stopIfTrue="1">
      <formula>AND(Z92=1,Y92=1)</formula>
    </cfRule>
    <cfRule type="expression" dxfId="256" priority="219" stopIfTrue="1">
      <formula>AND(Y92=0,Z92=1)</formula>
    </cfRule>
  </conditionalFormatting>
  <conditionalFormatting sqref="Y92">
    <cfRule type="expression" dxfId="255" priority="216" stopIfTrue="1">
      <formula>AND(X92=0,Y92=1,Z92=1)</formula>
    </cfRule>
    <cfRule type="expression" dxfId="254" priority="217" stopIfTrue="1">
      <formula>AND(X92=1,Z92=1)</formula>
    </cfRule>
  </conditionalFormatting>
  <conditionalFormatting sqref="Q92">
    <cfRule type="expression" dxfId="253" priority="215" stopIfTrue="1">
      <formula>AND(Q92=1,R92=1)</formula>
    </cfRule>
  </conditionalFormatting>
  <conditionalFormatting sqref="R92">
    <cfRule type="expression" dxfId="252" priority="213" stopIfTrue="1">
      <formula>AND(Q92=0,R92=1,S92=1)</formula>
    </cfRule>
    <cfRule type="expression" dxfId="251" priority="214" stopIfTrue="1">
      <formula>AND(Q92=1,S92=1)</formula>
    </cfRule>
  </conditionalFormatting>
  <conditionalFormatting sqref="S92">
    <cfRule type="expression" dxfId="250" priority="211" stopIfTrue="1">
      <formula>AND(R92=0,S92=1,T92=1)</formula>
    </cfRule>
    <cfRule type="expression" dxfId="249" priority="212" stopIfTrue="1">
      <formula>AND(R92=1,T92=1)</formula>
    </cfRule>
  </conditionalFormatting>
  <conditionalFormatting sqref="T92:X92">
    <cfRule type="expression" dxfId="248" priority="209" stopIfTrue="1">
      <formula>AND(S92=0,T92=1,U92=1)</formula>
    </cfRule>
    <cfRule type="expression" dxfId="247" priority="210" stopIfTrue="1">
      <formula>AND(S92=1,U92=1)</formula>
    </cfRule>
  </conditionalFormatting>
  <conditionalFormatting sqref="AB87">
    <cfRule type="expression" dxfId="246" priority="206" stopIfTrue="1">
      <formula>SUM($D$19:$E$19)=0</formula>
    </cfRule>
    <cfRule type="expression" dxfId="245" priority="207" stopIfTrue="1">
      <formula>AND(AB87=1,AC87=0)</formula>
    </cfRule>
    <cfRule type="cellIs" dxfId="244" priority="208" stopIfTrue="1" operator="equal">
      <formula>0</formula>
    </cfRule>
  </conditionalFormatting>
  <conditionalFormatting sqref="Z87">
    <cfRule type="expression" dxfId="243" priority="203" stopIfTrue="1">
      <formula>SUM($D$19:$E$19)=0</formula>
    </cfRule>
    <cfRule type="expression" dxfId="242" priority="204" stopIfTrue="1">
      <formula>AND(Z87=1,Y87=0)</formula>
    </cfRule>
    <cfRule type="cellIs" dxfId="241" priority="205" stopIfTrue="1" operator="equal">
      <formula>0</formula>
    </cfRule>
  </conditionalFormatting>
  <conditionalFormatting sqref="Z85">
    <cfRule type="expression" dxfId="240" priority="201" stopIfTrue="1">
      <formula>AND(Z85=1,Y85=1)</formula>
    </cfRule>
    <cfRule type="expression" dxfId="239" priority="202" stopIfTrue="1">
      <formula>AND(Y85=0,Z85=1)</formula>
    </cfRule>
  </conditionalFormatting>
  <conditionalFormatting sqref="Y85">
    <cfRule type="expression" dxfId="238" priority="199" stopIfTrue="1">
      <formula>AND(X85=0,Y85=1,Z85=1)</formula>
    </cfRule>
    <cfRule type="expression" dxfId="237" priority="200" stopIfTrue="1">
      <formula>AND(X85=1,Z85=1)</formula>
    </cfRule>
  </conditionalFormatting>
  <conditionalFormatting sqref="Q85">
    <cfRule type="expression" dxfId="236" priority="198" stopIfTrue="1">
      <formula>AND(Q85=1,R85=1)</formula>
    </cfRule>
  </conditionalFormatting>
  <conditionalFormatting sqref="R85">
    <cfRule type="expression" dxfId="235" priority="196" stopIfTrue="1">
      <formula>AND(Q85=0,R85=1,S85=1)</formula>
    </cfRule>
    <cfRule type="expression" dxfId="234" priority="197" stopIfTrue="1">
      <formula>AND(Q85=1,S85=1)</formula>
    </cfRule>
  </conditionalFormatting>
  <conditionalFormatting sqref="S85">
    <cfRule type="expression" dxfId="233" priority="194" stopIfTrue="1">
      <formula>AND(R85=0,S85=1,T85=1)</formula>
    </cfRule>
    <cfRule type="expression" dxfId="232" priority="195" stopIfTrue="1">
      <formula>AND(R85=1,T85=1)</formula>
    </cfRule>
  </conditionalFormatting>
  <conditionalFormatting sqref="T85:X85">
    <cfRule type="expression" dxfId="231" priority="192" stopIfTrue="1">
      <formula>AND(S85=0,T85=1,U85=1)</formula>
    </cfRule>
    <cfRule type="expression" dxfId="230" priority="193" stopIfTrue="1">
      <formula>AND(S85=1,U85=1)</formula>
    </cfRule>
  </conditionalFormatting>
  <conditionalFormatting sqref="Z86">
    <cfRule type="expression" dxfId="229" priority="190" stopIfTrue="1">
      <formula>AND(Z86=1,Y86=1)</formula>
    </cfRule>
    <cfRule type="expression" dxfId="228" priority="191" stopIfTrue="1">
      <formula>AND(Y86=0,Z86=1)</formula>
    </cfRule>
  </conditionalFormatting>
  <conditionalFormatting sqref="Y86">
    <cfRule type="expression" dxfId="227" priority="188" stopIfTrue="1">
      <formula>AND(X86=0,Y86=1,Z86=1)</formula>
    </cfRule>
    <cfRule type="expression" dxfId="226" priority="189" stopIfTrue="1">
      <formula>AND(X86=1,Z86=1)</formula>
    </cfRule>
  </conditionalFormatting>
  <conditionalFormatting sqref="R86">
    <cfRule type="expression" dxfId="225" priority="186" stopIfTrue="1">
      <formula>AND(Q86=0,R86=1,S86=1)</formula>
    </cfRule>
    <cfRule type="expression" dxfId="224" priority="187" stopIfTrue="1">
      <formula>AND(Q86=1,S86=1)</formula>
    </cfRule>
  </conditionalFormatting>
  <conditionalFormatting sqref="S86">
    <cfRule type="expression" dxfId="223" priority="184" stopIfTrue="1">
      <formula>AND(R86=0,S86=1,T86=1)</formula>
    </cfRule>
    <cfRule type="expression" dxfId="222" priority="185" stopIfTrue="1">
      <formula>AND(R86=1,T86=1)</formula>
    </cfRule>
  </conditionalFormatting>
  <conditionalFormatting sqref="T86:X86">
    <cfRule type="expression" dxfId="221" priority="182" stopIfTrue="1">
      <formula>AND(S86=0,T86=1,U86=1)</formula>
    </cfRule>
    <cfRule type="expression" dxfId="220" priority="183" stopIfTrue="1">
      <formula>AND(S86=1,U86=1)</formula>
    </cfRule>
  </conditionalFormatting>
  <conditionalFormatting sqref="Q86">
    <cfRule type="expression" dxfId="219" priority="181" stopIfTrue="1">
      <formula>AND(Q86=1,R86=1)</formula>
    </cfRule>
  </conditionalFormatting>
  <conditionalFormatting sqref="AK85">
    <cfRule type="expression" dxfId="218" priority="180" stopIfTrue="1">
      <formula>AND(AK85=1,AJ85=1)</formula>
    </cfRule>
  </conditionalFormatting>
  <conditionalFormatting sqref="AB85">
    <cfRule type="expression" dxfId="217" priority="178" stopIfTrue="1">
      <formula>AND(AB85=1,AC85=1)</formula>
    </cfRule>
    <cfRule type="expression" dxfId="216" priority="179" stopIfTrue="1">
      <formula>AND(AC85=0,AB85=1)</formula>
    </cfRule>
  </conditionalFormatting>
  <conditionalFormatting sqref="AK86">
    <cfRule type="expression" dxfId="215" priority="177" stopIfTrue="1">
      <formula>AND(AK86=1,AJ86=1)</formula>
    </cfRule>
  </conditionalFormatting>
  <conditionalFormatting sqref="AB86">
    <cfRule type="expression" dxfId="214" priority="175" stopIfTrue="1">
      <formula>AND(AB86=1,AC86=1)</formula>
    </cfRule>
    <cfRule type="expression" dxfId="213" priority="176" stopIfTrue="1">
      <formula>AND(AC86=0,AB86=1)</formula>
    </cfRule>
  </conditionalFormatting>
  <conditionalFormatting sqref="AC85:AI85">
    <cfRule type="expression" dxfId="212" priority="173" stopIfTrue="1">
      <formula>AND(AD85=0,AC85=1,AB85=1)</formula>
    </cfRule>
    <cfRule type="expression" dxfId="211" priority="174" stopIfTrue="1">
      <formula>AND(AD85=1,AB85=1)</formula>
    </cfRule>
  </conditionalFormatting>
  <conditionalFormatting sqref="AC86:AI86">
    <cfRule type="expression" dxfId="210" priority="171" stopIfTrue="1">
      <formula>AND(AD86=0,AC86=1,AB86=1)</formula>
    </cfRule>
    <cfRule type="expression" dxfId="209" priority="172" stopIfTrue="1">
      <formula>AND(AD86=1,AB86=1)</formula>
    </cfRule>
  </conditionalFormatting>
  <conditionalFormatting sqref="AJ85:AJ86">
    <cfRule type="expression" dxfId="208" priority="169" stopIfTrue="1">
      <formula>AND(AK85=0,AJ85=1,AI85=1)</formula>
    </cfRule>
    <cfRule type="expression" dxfId="207" priority="170" stopIfTrue="1">
      <formula>AND(AK85=1,AI85=1)</formula>
    </cfRule>
  </conditionalFormatting>
  <conditionalFormatting sqref="Z93">
    <cfRule type="expression" dxfId="206" priority="167" stopIfTrue="1">
      <formula>AND(Z93=1,Y93=1)</formula>
    </cfRule>
    <cfRule type="expression" dxfId="205" priority="168" stopIfTrue="1">
      <formula>AND(Y93=0,Z93=1)</formula>
    </cfRule>
  </conditionalFormatting>
  <conditionalFormatting sqref="Y93">
    <cfRule type="expression" dxfId="204" priority="165" stopIfTrue="1">
      <formula>AND(X93=0,Y93=1,Z93=1)</formula>
    </cfRule>
    <cfRule type="expression" dxfId="203" priority="166" stopIfTrue="1">
      <formula>AND(X93=1,Z93=1)</formula>
    </cfRule>
  </conditionalFormatting>
  <conditionalFormatting sqref="Q93">
    <cfRule type="expression" dxfId="202" priority="164" stopIfTrue="1">
      <formula>AND(Q93=1,R93=1)</formula>
    </cfRule>
  </conditionalFormatting>
  <conditionalFormatting sqref="R93">
    <cfRule type="expression" dxfId="201" priority="162" stopIfTrue="1">
      <formula>AND(Q93=0,R93=1,S93=1)</formula>
    </cfRule>
    <cfRule type="expression" dxfId="200" priority="163" stopIfTrue="1">
      <formula>AND(Q93=1,S93=1)</formula>
    </cfRule>
  </conditionalFormatting>
  <conditionalFormatting sqref="S93">
    <cfRule type="expression" dxfId="199" priority="160" stopIfTrue="1">
      <formula>AND(R93=0,S93=1,T93=1)</formula>
    </cfRule>
    <cfRule type="expression" dxfId="198" priority="161" stopIfTrue="1">
      <formula>AND(R93=1,T93=1)</formula>
    </cfRule>
  </conditionalFormatting>
  <conditionalFormatting sqref="T93:X93">
    <cfRule type="expression" dxfId="197" priority="158" stopIfTrue="1">
      <formula>AND(S93=0,T93=1,U93=1)</formula>
    </cfRule>
    <cfRule type="expression" dxfId="196" priority="159" stopIfTrue="1">
      <formula>AND(S93=1,U93=1)</formula>
    </cfRule>
  </conditionalFormatting>
  <conditionalFormatting sqref="AK93">
    <cfRule type="expression" dxfId="195" priority="157" stopIfTrue="1">
      <formula>AND(AK93=1,AJ93=1)</formula>
    </cfRule>
  </conditionalFormatting>
  <conditionalFormatting sqref="AB93">
    <cfRule type="expression" dxfId="194" priority="155" stopIfTrue="1">
      <formula>AND(AB93=1,AC93=1)</formula>
    </cfRule>
    <cfRule type="expression" dxfId="193" priority="156" stopIfTrue="1">
      <formula>AND(AC93=0,AB93=1)</formula>
    </cfRule>
  </conditionalFormatting>
  <conditionalFormatting sqref="AC93:AI93">
    <cfRule type="expression" dxfId="192" priority="153" stopIfTrue="1">
      <formula>AND(AD93=0,AC93=1,AB93=1)</formula>
    </cfRule>
    <cfRule type="expression" dxfId="191" priority="154" stopIfTrue="1">
      <formula>AND(AD93=1,AB93=1)</formula>
    </cfRule>
  </conditionalFormatting>
  <conditionalFormatting sqref="AJ93">
    <cfRule type="expression" dxfId="190" priority="151" stopIfTrue="1">
      <formula>AND(AK93=0,AJ93=1,AI93=1)</formula>
    </cfRule>
    <cfRule type="expression" dxfId="189" priority="152" stopIfTrue="1">
      <formula>AND(AK93=1,AI93=1)</formula>
    </cfRule>
  </conditionalFormatting>
  <conditionalFormatting sqref="AV87">
    <cfRule type="expression" dxfId="188" priority="145" stopIfTrue="1">
      <formula>SUM($D$19:$E$19)=0</formula>
    </cfRule>
    <cfRule type="expression" dxfId="187" priority="146" stopIfTrue="1">
      <formula>AND(AV87=1,AU87=0)</formula>
    </cfRule>
    <cfRule type="cellIs" dxfId="186" priority="147" stopIfTrue="1" operator="equal">
      <formula>0</formula>
    </cfRule>
  </conditionalFormatting>
  <conditionalFormatting sqref="AX87">
    <cfRule type="expression" dxfId="185" priority="148" stopIfTrue="1">
      <formula>SUM($D$19:$E$19)=0</formula>
    </cfRule>
    <cfRule type="expression" dxfId="184" priority="149" stopIfTrue="1">
      <formula>AND(AX87=1,AY87=0)</formula>
    </cfRule>
    <cfRule type="cellIs" dxfId="183" priority="150" stopIfTrue="1" operator="equal">
      <formula>0</formula>
    </cfRule>
  </conditionalFormatting>
  <conditionalFormatting sqref="AV85">
    <cfRule type="expression" dxfId="182" priority="143" stopIfTrue="1">
      <formula>AND(AV85=1,AU85=1)</formula>
    </cfRule>
    <cfRule type="expression" dxfId="181" priority="144" stopIfTrue="1">
      <formula>AND(AU85=0,AV85=1)</formula>
    </cfRule>
  </conditionalFormatting>
  <conditionalFormatting sqref="AU85">
    <cfRule type="expression" dxfId="180" priority="141" stopIfTrue="1">
      <formula>AND(AT85=0,AU85=1,AV85=1)</formula>
    </cfRule>
    <cfRule type="expression" dxfId="179" priority="142" stopIfTrue="1">
      <formula>AND(AT85=1,AV85=1)</formula>
    </cfRule>
  </conditionalFormatting>
  <conditionalFormatting sqref="AN85">
    <cfRule type="expression" dxfId="178" priority="139" stopIfTrue="1">
      <formula>AND(AM85=0,AN85=1,AO85=1)</formula>
    </cfRule>
    <cfRule type="expression" dxfId="177" priority="140" stopIfTrue="1">
      <formula>AND(AM85=1,AO85=1)</formula>
    </cfRule>
  </conditionalFormatting>
  <conditionalFormatting sqref="AO85">
    <cfRule type="expression" dxfId="176" priority="137" stopIfTrue="1">
      <formula>AND(AN85=0,AO85=1,AP85=1)</formula>
    </cfRule>
    <cfRule type="expression" dxfId="175" priority="138" stopIfTrue="1">
      <formula>AND(AN85=1,AP85=1)</formula>
    </cfRule>
  </conditionalFormatting>
  <conditionalFormatting sqref="AP85:AT85">
    <cfRule type="expression" dxfId="174" priority="135" stopIfTrue="1">
      <formula>AND(AO85=0,AP85=1,AQ85=1)</formula>
    </cfRule>
    <cfRule type="expression" dxfId="173" priority="136" stopIfTrue="1">
      <formula>AND(AO85=1,AQ85=1)</formula>
    </cfRule>
  </conditionalFormatting>
  <conditionalFormatting sqref="AV86">
    <cfRule type="expression" dxfId="172" priority="133" stopIfTrue="1">
      <formula>AND(AV86=1,AU86=1)</formula>
    </cfRule>
    <cfRule type="expression" dxfId="171" priority="134" stopIfTrue="1">
      <formula>AND(AU86=0,AV86=1)</formula>
    </cfRule>
  </conditionalFormatting>
  <conditionalFormatting sqref="AU86">
    <cfRule type="expression" dxfId="170" priority="131" stopIfTrue="1">
      <formula>AND(AT86=0,AU86=1,AV86=1)</formula>
    </cfRule>
    <cfRule type="expression" dxfId="169" priority="132" stopIfTrue="1">
      <formula>AND(AT86=1,AV86=1)</formula>
    </cfRule>
  </conditionalFormatting>
  <conditionalFormatting sqref="AN86">
    <cfRule type="expression" dxfId="168" priority="129" stopIfTrue="1">
      <formula>AND(AM86=0,AN86=1,AO86=1)</formula>
    </cfRule>
    <cfRule type="expression" dxfId="167" priority="130" stopIfTrue="1">
      <formula>AND(AM86=1,AO86=1)</formula>
    </cfRule>
  </conditionalFormatting>
  <conditionalFormatting sqref="AO86">
    <cfRule type="expression" dxfId="166" priority="127" stopIfTrue="1">
      <formula>AND(AN86=0,AO86=1,AP86=1)</formula>
    </cfRule>
    <cfRule type="expression" dxfId="165" priority="128" stopIfTrue="1">
      <formula>AND(AN86=1,AP86=1)</formula>
    </cfRule>
  </conditionalFormatting>
  <conditionalFormatting sqref="AP86:AT86">
    <cfRule type="expression" dxfId="164" priority="125" stopIfTrue="1">
      <formula>AND(AO86=0,AP86=1,AQ86=1)</formula>
    </cfRule>
    <cfRule type="expression" dxfId="163" priority="126" stopIfTrue="1">
      <formula>AND(AO86=1,AQ86=1)</formula>
    </cfRule>
  </conditionalFormatting>
  <conditionalFormatting sqref="AM85">
    <cfRule type="expression" dxfId="162" priority="124" stopIfTrue="1">
      <formula>AND(AM85=1,AN85=1)</formula>
    </cfRule>
  </conditionalFormatting>
  <conditionalFormatting sqref="AM86">
    <cfRule type="expression" dxfId="161" priority="123" stopIfTrue="1">
      <formula>AND(AM86=1,AN86=1)</formula>
    </cfRule>
  </conditionalFormatting>
  <conditionalFormatting sqref="BG85">
    <cfRule type="expression" dxfId="160" priority="122" stopIfTrue="1">
      <formula>AND(BG85=1,BF85=1)</formula>
    </cfRule>
  </conditionalFormatting>
  <conditionalFormatting sqref="BF85">
    <cfRule type="expression" dxfId="159" priority="120" stopIfTrue="1">
      <formula>AND(BF85=0,BF85=1,BE85=1)</formula>
    </cfRule>
    <cfRule type="expression" dxfId="158" priority="121" stopIfTrue="1">
      <formula>AND(BG85=1,BE85=1)</formula>
    </cfRule>
  </conditionalFormatting>
  <conditionalFormatting sqref="AX85">
    <cfRule type="expression" dxfId="157" priority="118" stopIfTrue="1">
      <formula>AND(AX85=1,AY85=1)</formula>
    </cfRule>
    <cfRule type="expression" dxfId="156" priority="119" stopIfTrue="1">
      <formula>AND(AY85=0,AX85=1)</formula>
    </cfRule>
  </conditionalFormatting>
  <conditionalFormatting sqref="AY85:BE85">
    <cfRule type="expression" dxfId="155" priority="116" stopIfTrue="1">
      <formula>AND(AZ85=0,AY85=1,AX85=1)</formula>
    </cfRule>
    <cfRule type="expression" dxfId="154" priority="117" stopIfTrue="1">
      <formula>AND(AZ85=1,AX85=1)</formula>
    </cfRule>
  </conditionalFormatting>
  <conditionalFormatting sqref="BG86">
    <cfRule type="expression" dxfId="153" priority="115" stopIfTrue="1">
      <formula>AND(BG86=1,BF86=1)</formula>
    </cfRule>
  </conditionalFormatting>
  <conditionalFormatting sqref="BF86">
    <cfRule type="expression" dxfId="152" priority="113" stopIfTrue="1">
      <formula>AND(BF86=0,BF86=1,BE86=1)</formula>
    </cfRule>
    <cfRule type="expression" dxfId="151" priority="114" stopIfTrue="1">
      <formula>AND(BG86=1,BE86=1)</formula>
    </cfRule>
  </conditionalFormatting>
  <conditionalFormatting sqref="AX86">
    <cfRule type="expression" dxfId="150" priority="111" stopIfTrue="1">
      <formula>AND(AX86=1,AY86=1)</formula>
    </cfRule>
    <cfRule type="expression" dxfId="149" priority="112" stopIfTrue="1">
      <formula>AND(AY86=0,AX86=1)</formula>
    </cfRule>
  </conditionalFormatting>
  <conditionalFormatting sqref="AY86:BE86">
    <cfRule type="expression" dxfId="148" priority="109" stopIfTrue="1">
      <formula>AND(AZ86=0,AY86=1,AX86=1)</formula>
    </cfRule>
    <cfRule type="expression" dxfId="147" priority="110" stopIfTrue="1">
      <formula>AND(AZ86=1,AX86=1)</formula>
    </cfRule>
  </conditionalFormatting>
  <conditionalFormatting sqref="BG88">
    <cfRule type="expression" dxfId="146" priority="108" stopIfTrue="1">
      <formula>AND(BG88=1,BF88=1)</formula>
    </cfRule>
  </conditionalFormatting>
  <conditionalFormatting sqref="BF88">
    <cfRule type="expression" dxfId="145" priority="106" stopIfTrue="1">
      <formula>AND(BF88=0,BF88=1,BE88=1)</formula>
    </cfRule>
    <cfRule type="expression" dxfId="144" priority="107" stopIfTrue="1">
      <formula>AND(BG88=1,BE88=1)</formula>
    </cfRule>
  </conditionalFormatting>
  <conditionalFormatting sqref="AX88">
    <cfRule type="expression" dxfId="143" priority="104" stopIfTrue="1">
      <formula>AND(AX88=1,AY88=1)</formula>
    </cfRule>
    <cfRule type="expression" dxfId="142" priority="105" stopIfTrue="1">
      <formula>AND(AY88=0,AX88=1)</formula>
    </cfRule>
  </conditionalFormatting>
  <conditionalFormatting sqref="AY88:BE88">
    <cfRule type="expression" dxfId="141" priority="102" stopIfTrue="1">
      <formula>AND(AZ88=0,AY88=1,AX88=1)</formula>
    </cfRule>
    <cfRule type="expression" dxfId="140" priority="103" stopIfTrue="1">
      <formula>AND(AZ88=1,AX88=1)</formula>
    </cfRule>
  </conditionalFormatting>
  <conditionalFormatting sqref="AV88">
    <cfRule type="expression" dxfId="139" priority="100" stopIfTrue="1">
      <formula>AND(AV88=1,AU88=1)</formula>
    </cfRule>
    <cfRule type="expression" dxfId="138" priority="101" stopIfTrue="1">
      <formula>AND(AU88=0,AV88=1)</formula>
    </cfRule>
  </conditionalFormatting>
  <conditionalFormatting sqref="AU88">
    <cfRule type="expression" dxfId="137" priority="98" stopIfTrue="1">
      <formula>AND(AT88=0,AU88=1,AV88=1)</formula>
    </cfRule>
    <cfRule type="expression" dxfId="136" priority="99" stopIfTrue="1">
      <formula>AND(AT88=1,AV88=1)</formula>
    </cfRule>
  </conditionalFormatting>
  <conditionalFormatting sqref="AM88">
    <cfRule type="expression" dxfId="135" priority="97" stopIfTrue="1">
      <formula>AND(AM88=1,AN88=1)</formula>
    </cfRule>
  </conditionalFormatting>
  <conditionalFormatting sqref="AN88">
    <cfRule type="expression" dxfId="134" priority="95" stopIfTrue="1">
      <formula>AND(AM88=0,AN88=1,AO88=1)</formula>
    </cfRule>
    <cfRule type="expression" dxfId="133" priority="96" stopIfTrue="1">
      <formula>AND(AM88=1,AO88=1)</formula>
    </cfRule>
  </conditionalFormatting>
  <conditionalFormatting sqref="AO88">
    <cfRule type="expression" dxfId="132" priority="93" stopIfTrue="1">
      <formula>AND(AN88=0,AO88=1,AP88=1)</formula>
    </cfRule>
    <cfRule type="expression" dxfId="131" priority="94" stopIfTrue="1">
      <formula>AND(AN88=1,AP88=1)</formula>
    </cfRule>
  </conditionalFormatting>
  <conditionalFormatting sqref="AP88:AT88">
    <cfRule type="expression" dxfId="130" priority="91" stopIfTrue="1">
      <formula>AND(AO88=0,AP88=1,AQ88=1)</formula>
    </cfRule>
    <cfRule type="expression" dxfId="129" priority="92" stopIfTrue="1">
      <formula>AND(AO88=1,AQ88=1)</formula>
    </cfRule>
  </conditionalFormatting>
  <conditionalFormatting sqref="BG89">
    <cfRule type="expression" dxfId="128" priority="90" stopIfTrue="1">
      <formula>AND(BG89=1,BF89=1)</formula>
    </cfRule>
  </conditionalFormatting>
  <conditionalFormatting sqref="BF89">
    <cfRule type="expression" dxfId="127" priority="88" stopIfTrue="1">
      <formula>AND(BF89=0,BF89=1,BE89=1)</formula>
    </cfRule>
    <cfRule type="expression" dxfId="126" priority="89" stopIfTrue="1">
      <formula>AND(BG89=1,BE89=1)</formula>
    </cfRule>
  </conditionalFormatting>
  <conditionalFormatting sqref="AX89">
    <cfRule type="expression" dxfId="125" priority="86" stopIfTrue="1">
      <formula>AND(AX89=1,AY89=1)</formula>
    </cfRule>
    <cfRule type="expression" dxfId="124" priority="87" stopIfTrue="1">
      <formula>AND(AY89=0,AX89=1)</formula>
    </cfRule>
  </conditionalFormatting>
  <conditionalFormatting sqref="AY89:BE89">
    <cfRule type="expression" dxfId="123" priority="84" stopIfTrue="1">
      <formula>AND(AZ89=0,AY89=1,AX89=1)</formula>
    </cfRule>
    <cfRule type="expression" dxfId="122" priority="85" stopIfTrue="1">
      <formula>AND(AZ89=1,AX89=1)</formula>
    </cfRule>
  </conditionalFormatting>
  <conditionalFormatting sqref="AV89">
    <cfRule type="expression" dxfId="121" priority="82" stopIfTrue="1">
      <formula>AND(AV89=1,AU89=1)</formula>
    </cfRule>
    <cfRule type="expression" dxfId="120" priority="83" stopIfTrue="1">
      <formula>AND(AU89=0,AV89=1)</formula>
    </cfRule>
  </conditionalFormatting>
  <conditionalFormatting sqref="AU89">
    <cfRule type="expression" dxfId="119" priority="80" stopIfTrue="1">
      <formula>AND(AT89=0,AU89=1,AV89=1)</formula>
    </cfRule>
    <cfRule type="expression" dxfId="118" priority="81" stopIfTrue="1">
      <formula>AND(AT89=1,AV89=1)</formula>
    </cfRule>
  </conditionalFormatting>
  <conditionalFormatting sqref="AM89">
    <cfRule type="expression" dxfId="117" priority="79" stopIfTrue="1">
      <formula>AND(AM89=1,AN89=1)</formula>
    </cfRule>
  </conditionalFormatting>
  <conditionalFormatting sqref="AN89">
    <cfRule type="expression" dxfId="116" priority="77" stopIfTrue="1">
      <formula>AND(AM89=0,AN89=1,AO89=1)</formula>
    </cfRule>
    <cfRule type="expression" dxfId="115" priority="78" stopIfTrue="1">
      <formula>AND(AM89=1,AO89=1)</formula>
    </cfRule>
  </conditionalFormatting>
  <conditionalFormatting sqref="AO89">
    <cfRule type="expression" dxfId="114" priority="75" stopIfTrue="1">
      <formula>AND(AN89=0,AO89=1,AP89=1)</formula>
    </cfRule>
    <cfRule type="expression" dxfId="113" priority="76" stopIfTrue="1">
      <formula>AND(AN89=1,AP89=1)</formula>
    </cfRule>
  </conditionalFormatting>
  <conditionalFormatting sqref="AP89:AT89">
    <cfRule type="expression" dxfId="112" priority="73" stopIfTrue="1">
      <formula>AND(AO89=0,AP89=1,AQ89=1)</formula>
    </cfRule>
    <cfRule type="expression" dxfId="111" priority="74" stopIfTrue="1">
      <formula>AND(AO89=1,AQ89=1)</formula>
    </cfRule>
  </conditionalFormatting>
  <conditionalFormatting sqref="BG90">
    <cfRule type="expression" dxfId="110" priority="72" stopIfTrue="1">
      <formula>AND(BG90=1,BF90=1)</formula>
    </cfRule>
  </conditionalFormatting>
  <conditionalFormatting sqref="BF90">
    <cfRule type="expression" dxfId="109" priority="70" stopIfTrue="1">
      <formula>AND(BF90=0,BF90=1,BE90=1)</formula>
    </cfRule>
    <cfRule type="expression" dxfId="108" priority="71" stopIfTrue="1">
      <formula>AND(BG90=1,BE90=1)</formula>
    </cfRule>
  </conditionalFormatting>
  <conditionalFormatting sqref="AX90">
    <cfRule type="expression" dxfId="107" priority="68" stopIfTrue="1">
      <formula>AND(AX90=1,AY90=1)</formula>
    </cfRule>
    <cfRule type="expression" dxfId="106" priority="69" stopIfTrue="1">
      <formula>AND(AY90=0,AX90=1)</formula>
    </cfRule>
  </conditionalFormatting>
  <conditionalFormatting sqref="AY90:BE90">
    <cfRule type="expression" dxfId="105" priority="66" stopIfTrue="1">
      <formula>AND(AZ90=0,AY90=1,AX90=1)</formula>
    </cfRule>
    <cfRule type="expression" dxfId="104" priority="67" stopIfTrue="1">
      <formula>AND(AZ90=1,AX90=1)</formula>
    </cfRule>
  </conditionalFormatting>
  <conditionalFormatting sqref="AV90">
    <cfRule type="expression" dxfId="103" priority="64" stopIfTrue="1">
      <formula>AND(AV90=1,AU90=1)</formula>
    </cfRule>
    <cfRule type="expression" dxfId="102" priority="65" stopIfTrue="1">
      <formula>AND(AU90=0,AV90=1)</formula>
    </cfRule>
  </conditionalFormatting>
  <conditionalFormatting sqref="AU90">
    <cfRule type="expression" dxfId="101" priority="62" stopIfTrue="1">
      <formula>AND(AT90=0,AU90=1,AV90=1)</formula>
    </cfRule>
    <cfRule type="expression" dxfId="100" priority="63" stopIfTrue="1">
      <formula>AND(AT90=1,AV90=1)</formula>
    </cfRule>
  </conditionalFormatting>
  <conditionalFormatting sqref="AM90">
    <cfRule type="expression" dxfId="99" priority="61" stopIfTrue="1">
      <formula>AND(AM90=1,AN90=1)</formula>
    </cfRule>
  </conditionalFormatting>
  <conditionalFormatting sqref="AN90">
    <cfRule type="expression" dxfId="98" priority="59" stopIfTrue="1">
      <formula>AND(AM90=0,AN90=1,AO90=1)</formula>
    </cfRule>
    <cfRule type="expression" dxfId="97" priority="60" stopIfTrue="1">
      <formula>AND(AM90=1,AO90=1)</formula>
    </cfRule>
  </conditionalFormatting>
  <conditionalFormatting sqref="AO90">
    <cfRule type="expression" dxfId="96" priority="57" stopIfTrue="1">
      <formula>AND(AN90=0,AO90=1,AP90=1)</formula>
    </cfRule>
    <cfRule type="expression" dxfId="95" priority="58" stopIfTrue="1">
      <formula>AND(AN90=1,AP90=1)</formula>
    </cfRule>
  </conditionalFormatting>
  <conditionalFormatting sqref="AP90:AT90">
    <cfRule type="expression" dxfId="94" priority="55" stopIfTrue="1">
      <formula>AND(AO90=0,AP90=1,AQ90=1)</formula>
    </cfRule>
    <cfRule type="expression" dxfId="93" priority="56" stopIfTrue="1">
      <formula>AND(AO90=1,AQ90=1)</formula>
    </cfRule>
  </conditionalFormatting>
  <conditionalFormatting sqref="BG91">
    <cfRule type="expression" dxfId="92" priority="54" stopIfTrue="1">
      <formula>AND(BG91=1,BF91=1)</formula>
    </cfRule>
  </conditionalFormatting>
  <conditionalFormatting sqref="BF91">
    <cfRule type="expression" dxfId="91" priority="52" stopIfTrue="1">
      <formula>AND(BF91=0,BF91=1,BE91=1)</formula>
    </cfRule>
    <cfRule type="expression" dxfId="90" priority="53" stopIfTrue="1">
      <formula>AND(BG91=1,BE91=1)</formula>
    </cfRule>
  </conditionalFormatting>
  <conditionalFormatting sqref="AX91">
    <cfRule type="expression" dxfId="89" priority="50" stopIfTrue="1">
      <formula>AND(AX91=1,AY91=1)</formula>
    </cfRule>
    <cfRule type="expression" dxfId="88" priority="51" stopIfTrue="1">
      <formula>AND(AY91=0,AX91=1)</formula>
    </cfRule>
  </conditionalFormatting>
  <conditionalFormatting sqref="AY91:BE91">
    <cfRule type="expression" dxfId="87" priority="48" stopIfTrue="1">
      <formula>AND(AZ91=0,AY91=1,AX91=1)</formula>
    </cfRule>
    <cfRule type="expression" dxfId="86" priority="49" stopIfTrue="1">
      <formula>AND(AZ91=1,AX91=1)</formula>
    </cfRule>
  </conditionalFormatting>
  <conditionalFormatting sqref="AV91">
    <cfRule type="expression" dxfId="85" priority="46" stopIfTrue="1">
      <formula>AND(AV91=1,AU91=1)</formula>
    </cfRule>
    <cfRule type="expression" dxfId="84" priority="47" stopIfTrue="1">
      <formula>AND(AU91=0,AV91=1)</formula>
    </cfRule>
  </conditionalFormatting>
  <conditionalFormatting sqref="AU91">
    <cfRule type="expression" dxfId="83" priority="44" stopIfTrue="1">
      <formula>AND(AT91=0,AU91=1,AV91=1)</formula>
    </cfRule>
    <cfRule type="expression" dxfId="82" priority="45" stopIfTrue="1">
      <formula>AND(AT91=1,AV91=1)</formula>
    </cfRule>
  </conditionalFormatting>
  <conditionalFormatting sqref="AM91">
    <cfRule type="expression" dxfId="81" priority="43" stopIfTrue="1">
      <formula>AND(AM91=1,AN91=1)</formula>
    </cfRule>
  </conditionalFormatting>
  <conditionalFormatting sqref="AN91">
    <cfRule type="expression" dxfId="80" priority="41" stopIfTrue="1">
      <formula>AND(AM91=0,AN91=1,AO91=1)</formula>
    </cfRule>
    <cfRule type="expression" dxfId="79" priority="42" stopIfTrue="1">
      <formula>AND(AM91=1,AO91=1)</formula>
    </cfRule>
  </conditionalFormatting>
  <conditionalFormatting sqref="AO91">
    <cfRule type="expression" dxfId="78" priority="39" stopIfTrue="1">
      <formula>AND(AN91=0,AO91=1,AP91=1)</formula>
    </cfRule>
    <cfRule type="expression" dxfId="77" priority="40" stopIfTrue="1">
      <formula>AND(AN91=1,AP91=1)</formula>
    </cfRule>
  </conditionalFormatting>
  <conditionalFormatting sqref="AP91:AT91">
    <cfRule type="expression" dxfId="76" priority="37" stopIfTrue="1">
      <formula>AND(AO91=0,AP91=1,AQ91=1)</formula>
    </cfRule>
    <cfRule type="expression" dxfId="75" priority="38" stopIfTrue="1">
      <formula>AND(AO91=1,AQ91=1)</formula>
    </cfRule>
  </conditionalFormatting>
  <conditionalFormatting sqref="BG92">
    <cfRule type="expression" dxfId="74" priority="36" stopIfTrue="1">
      <formula>AND(BG92=1,BF92=1)</formula>
    </cfRule>
  </conditionalFormatting>
  <conditionalFormatting sqref="BF92">
    <cfRule type="expression" dxfId="73" priority="34" stopIfTrue="1">
      <formula>AND(BF92=0,BF92=1,BE92=1)</formula>
    </cfRule>
    <cfRule type="expression" dxfId="72" priority="35" stopIfTrue="1">
      <formula>AND(BG92=1,BE92=1)</formula>
    </cfRule>
  </conditionalFormatting>
  <conditionalFormatting sqref="AX92">
    <cfRule type="expression" dxfId="71" priority="32" stopIfTrue="1">
      <formula>AND(AX92=1,AY92=1)</formula>
    </cfRule>
    <cfRule type="expression" dxfId="70" priority="33" stopIfTrue="1">
      <formula>AND(AY92=0,AX92=1)</formula>
    </cfRule>
  </conditionalFormatting>
  <conditionalFormatting sqref="AY92:BE92">
    <cfRule type="expression" dxfId="69" priority="30" stopIfTrue="1">
      <formula>AND(AZ92=0,AY92=1,AX92=1)</formula>
    </cfRule>
    <cfRule type="expression" dxfId="68" priority="31" stopIfTrue="1">
      <formula>AND(AZ92=1,AX92=1)</formula>
    </cfRule>
  </conditionalFormatting>
  <conditionalFormatting sqref="AV92">
    <cfRule type="expression" dxfId="67" priority="28" stopIfTrue="1">
      <formula>AND(AV92=1,AU92=1)</formula>
    </cfRule>
    <cfRule type="expression" dxfId="66" priority="29" stopIfTrue="1">
      <formula>AND(AU92=0,AV92=1)</formula>
    </cfRule>
  </conditionalFormatting>
  <conditionalFormatting sqref="AU92">
    <cfRule type="expression" dxfId="65" priority="26" stopIfTrue="1">
      <formula>AND(AT92=0,AU92=1,AV92=1)</formula>
    </cfRule>
    <cfRule type="expression" dxfId="64" priority="27" stopIfTrue="1">
      <formula>AND(AT92=1,AV92=1)</formula>
    </cfRule>
  </conditionalFormatting>
  <conditionalFormatting sqref="AM92">
    <cfRule type="expression" dxfId="63" priority="25" stopIfTrue="1">
      <formula>AND(AM92=1,AN92=1)</formula>
    </cfRule>
  </conditionalFormatting>
  <conditionalFormatting sqref="AN92">
    <cfRule type="expression" dxfId="62" priority="23" stopIfTrue="1">
      <formula>AND(AM92=0,AN92=1,AO92=1)</formula>
    </cfRule>
    <cfRule type="expression" dxfId="61" priority="24" stopIfTrue="1">
      <formula>AND(AM92=1,AO92=1)</formula>
    </cfRule>
  </conditionalFormatting>
  <conditionalFormatting sqref="AO92">
    <cfRule type="expression" dxfId="60" priority="21" stopIfTrue="1">
      <formula>AND(AN92=0,AO92=1,AP92=1)</formula>
    </cfRule>
    <cfRule type="expression" dxfId="59" priority="22" stopIfTrue="1">
      <formula>AND(AN92=1,AP92=1)</formula>
    </cfRule>
  </conditionalFormatting>
  <conditionalFormatting sqref="AP92:AT92">
    <cfRule type="expression" dxfId="58" priority="19" stopIfTrue="1">
      <formula>AND(AO92=0,AP92=1,AQ92=1)</formula>
    </cfRule>
    <cfRule type="expression" dxfId="57" priority="20" stopIfTrue="1">
      <formula>AND(AO92=1,AQ92=1)</formula>
    </cfRule>
  </conditionalFormatting>
  <conditionalFormatting sqref="AV93">
    <cfRule type="expression" dxfId="56" priority="17" stopIfTrue="1">
      <formula>AND(AV93=1,AU93=1)</formula>
    </cfRule>
    <cfRule type="expression" dxfId="55" priority="18" stopIfTrue="1">
      <formula>AND(AU93=0,AV93=1)</formula>
    </cfRule>
  </conditionalFormatting>
  <conditionalFormatting sqref="AU93">
    <cfRule type="expression" dxfId="54" priority="15" stopIfTrue="1">
      <formula>AND(AT93=0,AU93=1,AV93=1)</formula>
    </cfRule>
    <cfRule type="expression" dxfId="53" priority="16" stopIfTrue="1">
      <formula>AND(AT93=1,AV93=1)</formula>
    </cfRule>
  </conditionalFormatting>
  <conditionalFormatting sqref="AN93">
    <cfRule type="expression" dxfId="52" priority="13" stopIfTrue="1">
      <formula>AND(AM93=0,AN93=1,AO93=1)</formula>
    </cfRule>
    <cfRule type="expression" dxfId="51" priority="14" stopIfTrue="1">
      <formula>AND(AM93=1,AO93=1)</formula>
    </cfRule>
  </conditionalFormatting>
  <conditionalFormatting sqref="AO93">
    <cfRule type="expression" dxfId="50" priority="11" stopIfTrue="1">
      <formula>AND(AN93=0,AO93=1,AP93=1)</formula>
    </cfRule>
    <cfRule type="expression" dxfId="49" priority="12" stopIfTrue="1">
      <formula>AND(AN93=1,AP93=1)</formula>
    </cfRule>
  </conditionalFormatting>
  <conditionalFormatting sqref="AP93:AT93">
    <cfRule type="expression" dxfId="48" priority="9" stopIfTrue="1">
      <formula>AND(AO93=0,AP93=1,AQ93=1)</formula>
    </cfRule>
    <cfRule type="expression" dxfId="47" priority="10" stopIfTrue="1">
      <formula>AND(AO93=1,AQ93=1)</formula>
    </cfRule>
  </conditionalFormatting>
  <conditionalFormatting sqref="AM93">
    <cfRule type="expression" dxfId="46" priority="8" stopIfTrue="1">
      <formula>AND(AM93=1,AN93=1)</formula>
    </cfRule>
  </conditionalFormatting>
  <conditionalFormatting sqref="BG93">
    <cfRule type="expression" dxfId="45" priority="7" stopIfTrue="1">
      <formula>AND(BG93=1,BF93=1)</formula>
    </cfRule>
  </conditionalFormatting>
  <conditionalFormatting sqref="BF93">
    <cfRule type="expression" dxfId="44" priority="5" stopIfTrue="1">
      <formula>AND(BF93=0,BF93=1,BE93=1)</formula>
    </cfRule>
    <cfRule type="expression" dxfId="43" priority="6" stopIfTrue="1">
      <formula>AND(BG93=1,BE93=1)</formula>
    </cfRule>
  </conditionalFormatting>
  <conditionalFormatting sqref="AX93">
    <cfRule type="expression" dxfId="42" priority="3" stopIfTrue="1">
      <formula>AND(AX93=1,AY93=1)</formula>
    </cfRule>
    <cfRule type="expression" dxfId="41" priority="4" stopIfTrue="1">
      <formula>AND(AY93=0,AX93=1)</formula>
    </cfRule>
  </conditionalFormatting>
  <conditionalFormatting sqref="AY93:BE93">
    <cfRule type="expression" dxfId="40" priority="1" stopIfTrue="1">
      <formula>AND(AZ93=0,AY93=1,AX93=1)</formula>
    </cfRule>
    <cfRule type="expression" dxfId="39" priority="2" stopIfTrue="1">
      <formula>AND(AZ93=1,AX93=1)</formula>
    </cfRule>
  </conditionalFormatting>
  <dataValidations count="8">
    <dataValidation type="list" allowBlank="1" showInputMessage="1" showErrorMessage="1" sqref="I13 G13">
      <formula1>$H$113:$H$478</formula1>
    </dataValidation>
    <dataValidation type="list" allowBlank="1" showInputMessage="1" showErrorMessage="1" sqref="E13">
      <formula1>$J$113:$J$125</formula1>
    </dataValidation>
    <dataValidation type="list" allowBlank="1" showInputMessage="1" showErrorMessage="1" sqref="C11:E11">
      <formula1>$J$140:$J$145</formula1>
    </dataValidation>
    <dataValidation type="list" allowBlank="1" showInputMessage="1" showErrorMessage="1" sqref="B5:C5">
      <formula1>$F$118:$F$120</formula1>
    </dataValidation>
    <dataValidation type="list" allowBlank="1" showInputMessage="1" showErrorMessage="1" sqref="D5:E5">
      <formula1>$H$112:$H$478</formula1>
    </dataValidation>
    <dataValidation type="list" allowBlank="1" showInputMessage="1" showErrorMessage="1" sqref="G15 I15">
      <formula1>$G$120:$G$173</formula1>
    </dataValidation>
    <dataValidation type="list" allowBlank="1" showInputMessage="1" showErrorMessage="1" sqref="D7:E7">
      <formula1>$F$121:$F$173</formula1>
    </dataValidation>
    <dataValidation type="list" allowBlank="1" showInputMessage="1" showErrorMessage="1" sqref="AB15:AI15">
      <formula1>$F$113:$F$115</formula1>
    </dataValidation>
  </dataValidations>
  <hyperlinks>
    <hyperlink ref="H482" location="IMPOSTAZIONI!C55:P55" display="QUI"/>
    <hyperlink ref="I484" location="IMPOSTAZIONI!J60:M65" display="QUI"/>
  </hyperlinks>
  <pageMargins left="0.47244094488188981" right="0" top="0.39370078740157483" bottom="0.19685039370078741" header="0.51181102362204722" footer="0.19685039370078741"/>
  <pageSetup paperSize="9" scale="72" fitToWidth="0" fitToHeight="0" orientation="landscape" r:id="rId1"/>
  <headerFooter alignWithMargins="0"/>
  <rowBreaks count="2" manualBreakCount="2">
    <brk id="42" max="16383" man="1"/>
    <brk id="80"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8">
    <pageSetUpPr autoPageBreaks="0"/>
  </sheetPr>
  <dimension ref="A1:AS204"/>
  <sheetViews>
    <sheetView showGridLines="0" showRowColHeaders="0" workbookViewId="0"/>
  </sheetViews>
  <sheetFormatPr defaultRowHeight="12.75" x14ac:dyDescent="0.2"/>
  <cols>
    <col min="1" max="1" width="7.140625" style="80" customWidth="1"/>
    <col min="2" max="2" width="5.7109375" style="80" customWidth="1"/>
    <col min="3" max="44" width="4.28515625" style="80" customWidth="1"/>
    <col min="45" max="16384" width="9.140625" style="80"/>
  </cols>
  <sheetData>
    <row r="1" spans="1:45" ht="11.25" customHeight="1" x14ac:dyDescent="0.2">
      <c r="A1" s="643"/>
      <c r="B1" s="186"/>
      <c r="C1" s="186"/>
      <c r="D1" s="186"/>
      <c r="E1" s="186"/>
      <c r="F1" s="186"/>
      <c r="G1" s="186"/>
      <c r="H1" s="186"/>
      <c r="I1" s="186"/>
      <c r="J1" s="186"/>
      <c r="K1" s="186"/>
      <c r="L1" s="186"/>
      <c r="M1" s="186"/>
      <c r="N1" s="186"/>
      <c r="O1" s="186"/>
      <c r="P1" s="186"/>
      <c r="Q1" s="186"/>
      <c r="R1" s="186"/>
      <c r="S1" s="186"/>
      <c r="T1" s="186"/>
      <c r="U1" s="186"/>
      <c r="V1" s="186"/>
      <c r="W1" s="186"/>
      <c r="X1" s="186"/>
      <c r="Y1" s="186"/>
      <c r="Z1" s="186"/>
      <c r="AA1" s="186"/>
      <c r="AB1" s="186"/>
      <c r="AC1" s="186"/>
      <c r="AD1" s="186"/>
      <c r="AE1" s="50"/>
      <c r="AF1" s="50"/>
      <c r="AG1" s="50"/>
      <c r="AH1" s="50"/>
      <c r="AI1" s="50"/>
      <c r="AJ1" s="50"/>
      <c r="AK1" s="50"/>
      <c r="AL1" s="50"/>
      <c r="AM1" s="50"/>
      <c r="AN1" s="48"/>
      <c r="AO1" s="48"/>
      <c r="AP1" s="48"/>
      <c r="AQ1" s="48"/>
      <c r="AR1" s="48"/>
      <c r="AS1" s="48"/>
    </row>
    <row r="2" spans="1:45" ht="18" customHeight="1" x14ac:dyDescent="0.2">
      <c r="A2" s="48"/>
      <c r="B2" s="1581" t="str">
        <f>CONCATENATE("STORICO del ",Presentazione!G35)</f>
        <v>STORICO del Registro dei Corrispettivi 5.2.4 3txt - per EXCEL .xlsm</v>
      </c>
      <c r="C2" s="1581"/>
      <c r="D2" s="1581"/>
      <c r="E2" s="1581"/>
      <c r="F2" s="1581"/>
      <c r="G2" s="1581"/>
      <c r="H2" s="1581"/>
      <c r="I2" s="1581"/>
      <c r="J2" s="1581"/>
      <c r="K2" s="1581"/>
      <c r="L2" s="1581"/>
      <c r="M2" s="1581"/>
      <c r="N2" s="1581"/>
      <c r="O2" s="1581"/>
      <c r="P2" s="1581"/>
      <c r="Q2" s="1581"/>
      <c r="R2" s="1581"/>
      <c r="S2" s="1581"/>
      <c r="T2" s="1581"/>
      <c r="U2" s="1581"/>
      <c r="V2" s="1581"/>
      <c r="W2" s="2735" t="str">
        <f>IF(ISERROR(O142),Presentazione!D70,"")</f>
        <v/>
      </c>
      <c r="X2" s="2735"/>
      <c r="Y2" s="2735"/>
      <c r="Z2" s="2735"/>
      <c r="AA2" s="2735"/>
      <c r="AB2" s="2735"/>
      <c r="AC2" s="2735"/>
      <c r="AD2" s="2735"/>
      <c r="AE2" s="2735"/>
      <c r="AF2" s="2735"/>
      <c r="AG2" s="2735"/>
      <c r="AH2" s="2735"/>
      <c r="AI2" s="2735"/>
      <c r="AJ2" s="2735"/>
      <c r="AK2" s="2735"/>
      <c r="AL2" s="2735"/>
      <c r="AM2" s="2735"/>
      <c r="AN2" s="48"/>
      <c r="AO2" s="48"/>
      <c r="AP2" s="48"/>
      <c r="AQ2" s="48"/>
      <c r="AR2" s="48"/>
      <c r="AS2" s="48"/>
    </row>
    <row r="3" spans="1:45" ht="18" customHeight="1" x14ac:dyDescent="0.25">
      <c r="A3" s="48"/>
      <c r="B3" s="585" t="s">
        <v>78</v>
      </c>
      <c r="C3" s="585"/>
      <c r="D3" s="585"/>
      <c r="E3" s="585"/>
      <c r="F3" s="585"/>
      <c r="G3" s="585"/>
      <c r="H3" s="585"/>
      <c r="I3" s="585"/>
      <c r="J3" s="585"/>
      <c r="K3" s="585"/>
      <c r="L3" s="585"/>
      <c r="M3" s="585"/>
      <c r="N3" s="585"/>
      <c r="O3" s="585"/>
      <c r="P3" s="585"/>
      <c r="Q3" s="585"/>
      <c r="R3" s="585"/>
      <c r="S3" s="585"/>
      <c r="T3" s="585"/>
      <c r="U3" s="585"/>
      <c r="V3" s="585"/>
      <c r="W3" s="585"/>
      <c r="X3" s="585"/>
      <c r="Y3" s="585"/>
      <c r="Z3" s="585"/>
      <c r="AA3" s="585"/>
      <c r="AB3" s="585"/>
      <c r="AC3" s="585"/>
      <c r="AD3" s="585"/>
      <c r="AE3" s="585"/>
      <c r="AF3" s="585"/>
      <c r="AG3" s="585"/>
      <c r="AH3" s="585"/>
      <c r="AI3" s="585"/>
      <c r="AJ3" s="585"/>
      <c r="AK3" s="585"/>
      <c r="AL3" s="197"/>
      <c r="AM3" s="195"/>
      <c r="AN3" s="48"/>
      <c r="AO3" s="48"/>
      <c r="AP3" s="48"/>
      <c r="AQ3" s="48"/>
      <c r="AR3" s="48"/>
      <c r="AS3" s="48"/>
    </row>
    <row r="4" spans="1:45" ht="18" customHeight="1" x14ac:dyDescent="0.2">
      <c r="A4" s="48"/>
      <c r="B4" s="894" t="s">
        <v>79</v>
      </c>
      <c r="C4" s="583"/>
      <c r="D4" s="583"/>
      <c r="E4" s="583"/>
      <c r="F4" s="583"/>
      <c r="G4" s="583"/>
      <c r="H4" s="583"/>
      <c r="I4" s="583"/>
      <c r="J4" s="583"/>
      <c r="K4" s="583"/>
      <c r="L4" s="583"/>
      <c r="M4" s="583"/>
      <c r="N4" s="583"/>
      <c r="O4" s="583"/>
      <c r="P4" s="583"/>
      <c r="Q4" s="583"/>
      <c r="R4" s="583"/>
      <c r="S4" s="583"/>
      <c r="T4" s="583"/>
      <c r="U4" s="583"/>
      <c r="V4" s="583"/>
      <c r="W4" s="583"/>
      <c r="X4" s="583"/>
      <c r="Y4" s="583"/>
      <c r="Z4" s="583"/>
      <c r="AA4" s="583"/>
      <c r="AB4" s="583"/>
      <c r="AC4" s="583"/>
      <c r="AD4" s="583"/>
      <c r="AE4" s="583"/>
      <c r="AF4" s="583"/>
      <c r="AG4" s="583"/>
      <c r="AH4" s="583"/>
      <c r="AI4" s="583"/>
      <c r="AJ4" s="583"/>
      <c r="AK4" s="583"/>
      <c r="AL4" s="176"/>
      <c r="AM4" s="1"/>
      <c r="AN4" s="48"/>
      <c r="AO4" s="48"/>
      <c r="AP4" s="48"/>
      <c r="AQ4" s="48"/>
      <c r="AR4" s="48"/>
      <c r="AS4" s="48"/>
    </row>
    <row r="5" spans="1:45" ht="18" customHeight="1" x14ac:dyDescent="0.2">
      <c r="A5" s="48"/>
      <c r="B5" s="2756" t="s">
        <v>577</v>
      </c>
      <c r="C5" s="2756"/>
      <c r="D5" s="2756"/>
      <c r="E5" s="2756"/>
      <c r="F5" s="2756"/>
      <c r="G5" s="2756"/>
      <c r="H5" s="2756"/>
      <c r="I5" s="1319"/>
      <c r="J5" s="1319"/>
      <c r="K5" s="1319"/>
      <c r="L5" s="1319"/>
      <c r="M5" s="1319"/>
      <c r="N5" s="1319"/>
      <c r="O5" s="1319"/>
      <c r="P5" s="1319"/>
      <c r="Q5" s="1319"/>
      <c r="R5" s="1319"/>
      <c r="S5" s="1319"/>
      <c r="T5" s="1319"/>
      <c r="U5" s="1319"/>
      <c r="V5" s="1319"/>
      <c r="W5" s="192"/>
      <c r="X5" s="192"/>
      <c r="Y5" s="192"/>
      <c r="Z5" s="192"/>
      <c r="AA5" s="192"/>
      <c r="AB5" s="192"/>
      <c r="AC5" s="192"/>
      <c r="AD5" s="176"/>
      <c r="AE5" s="176"/>
      <c r="AF5" s="176"/>
      <c r="AG5" s="176"/>
      <c r="AH5" s="176"/>
      <c r="AI5" s="176"/>
      <c r="AJ5" s="176"/>
      <c r="AK5" s="176"/>
      <c r="AL5" s="176"/>
      <c r="AM5" s="1"/>
      <c r="AN5" s="48"/>
      <c r="AO5" s="48"/>
      <c r="AP5" s="48"/>
      <c r="AQ5" s="48"/>
      <c r="AR5" s="48"/>
      <c r="AS5" s="48"/>
    </row>
    <row r="6" spans="1:45" ht="18" customHeight="1" x14ac:dyDescent="0.25">
      <c r="A6" s="48"/>
      <c r="B6" s="585" t="s">
        <v>77</v>
      </c>
      <c r="C6" s="585"/>
      <c r="D6" s="585"/>
      <c r="E6" s="585"/>
      <c r="F6" s="585"/>
      <c r="G6" s="585"/>
      <c r="H6" s="585"/>
      <c r="I6" s="585"/>
      <c r="J6" s="585"/>
      <c r="K6" s="585"/>
      <c r="L6" s="585"/>
      <c r="M6" s="585"/>
      <c r="N6" s="585"/>
      <c r="O6" s="585"/>
      <c r="P6" s="585"/>
      <c r="Q6" s="585"/>
      <c r="R6" s="585"/>
      <c r="S6" s="585"/>
      <c r="T6" s="585"/>
      <c r="U6" s="585"/>
      <c r="V6" s="585"/>
      <c r="W6" s="585"/>
      <c r="X6" s="585"/>
      <c r="Y6" s="585"/>
      <c r="Z6" s="585"/>
      <c r="AA6" s="585"/>
      <c r="AB6" s="585"/>
      <c r="AC6" s="585"/>
      <c r="AD6" s="585"/>
      <c r="AE6" s="585"/>
      <c r="AF6" s="585"/>
      <c r="AG6" s="585"/>
      <c r="AH6" s="585"/>
      <c r="AI6" s="585"/>
      <c r="AJ6" s="585"/>
      <c r="AK6" s="585"/>
      <c r="AL6" s="176"/>
      <c r="AM6" s="1"/>
      <c r="AN6" s="48"/>
      <c r="AO6" s="48"/>
      <c r="AP6" s="48"/>
      <c r="AQ6" s="48"/>
      <c r="AR6" s="48"/>
      <c r="AS6" s="48"/>
    </row>
    <row r="7" spans="1:45" ht="18" customHeight="1" x14ac:dyDescent="0.2">
      <c r="A7" s="48"/>
      <c r="B7" s="1645" t="s">
        <v>578</v>
      </c>
      <c r="C7" s="1645"/>
      <c r="D7" s="1645"/>
      <c r="E7" s="1645"/>
      <c r="F7" s="1645"/>
      <c r="G7" s="1645"/>
      <c r="H7" s="1645"/>
      <c r="I7" s="2757" t="str">
        <f>IF(IMPOSTAZIONI!AD44=0,IMPOSTAZIONI!AF132,IMPOSTAZIONI!AD44)</f>
        <v>Non convalidato</v>
      </c>
      <c r="J7" s="2757"/>
      <c r="K7" s="2757"/>
      <c r="L7" s="2757"/>
      <c r="M7" s="1320" t="s">
        <v>572</v>
      </c>
      <c r="N7" s="583"/>
      <c r="O7" s="583"/>
      <c r="P7" s="583"/>
      <c r="Q7" s="583"/>
      <c r="R7" s="583"/>
      <c r="S7" s="583"/>
      <c r="T7" s="583"/>
      <c r="U7" s="583"/>
      <c r="V7" s="583"/>
      <c r="W7" s="583"/>
      <c r="X7" s="583"/>
      <c r="Y7" s="583"/>
      <c r="Z7" s="583"/>
      <c r="AA7" s="583"/>
      <c r="AB7" s="583"/>
      <c r="AC7" s="583"/>
      <c r="AD7" s="583"/>
      <c r="AE7" s="583"/>
      <c r="AF7" s="583"/>
      <c r="AG7" s="583"/>
      <c r="AH7" s="583"/>
      <c r="AI7" s="583"/>
      <c r="AJ7" s="583"/>
      <c r="AK7" s="583"/>
      <c r="AL7" s="176"/>
      <c r="AM7" s="1"/>
      <c r="AN7" s="48"/>
      <c r="AO7" s="48"/>
      <c r="AP7" s="48"/>
      <c r="AQ7" s="48"/>
      <c r="AR7" s="48"/>
      <c r="AS7" s="48"/>
    </row>
    <row r="8" spans="1:45" ht="12" customHeight="1" x14ac:dyDescent="0.2">
      <c r="A8" s="48"/>
      <c r="B8" s="48"/>
      <c r="C8" s="192"/>
      <c r="D8" s="192"/>
      <c r="E8" s="192"/>
      <c r="F8" s="1869"/>
      <c r="G8" s="1869"/>
      <c r="H8" s="525"/>
      <c r="I8" s="525"/>
      <c r="J8" s="1869"/>
      <c r="K8" s="1869"/>
      <c r="L8" s="525"/>
      <c r="M8" s="525"/>
      <c r="N8" s="1869"/>
      <c r="O8" s="1869"/>
      <c r="P8" s="525"/>
      <c r="Q8" s="526"/>
      <c r="R8" s="1869"/>
      <c r="S8" s="1869"/>
      <c r="T8" s="176"/>
      <c r="U8" s="176"/>
      <c r="V8" s="176"/>
      <c r="W8" s="176"/>
      <c r="X8" s="1"/>
      <c r="Y8" s="48"/>
      <c r="Z8" s="48"/>
      <c r="AA8" s="48"/>
      <c r="AB8" s="48"/>
      <c r="AC8" s="48"/>
      <c r="AD8" s="48"/>
      <c r="AE8" s="48"/>
      <c r="AF8" s="48"/>
      <c r="AG8" s="48"/>
      <c r="AH8" s="48"/>
      <c r="AI8" s="48"/>
      <c r="AJ8" s="48"/>
      <c r="AK8" s="48"/>
      <c r="AL8" s="48"/>
      <c r="AM8" s="48"/>
      <c r="AN8" s="48"/>
      <c r="AO8" s="48"/>
      <c r="AP8" s="48"/>
      <c r="AQ8" s="48"/>
      <c r="AR8" s="48"/>
      <c r="AS8" s="48"/>
    </row>
    <row r="9" spans="1:45" ht="18" hidden="1" customHeight="1" x14ac:dyDescent="0.2">
      <c r="A9" s="48"/>
      <c r="B9" s="186"/>
      <c r="C9" s="185"/>
      <c r="D9" s="185"/>
      <c r="E9" s="48"/>
      <c r="F9" s="48"/>
      <c r="G9" s="48"/>
      <c r="H9" s="48"/>
      <c r="I9" s="48"/>
      <c r="J9" s="2729" t="str">
        <f>IMPOSTAZIONI!$B234</f>
        <v>--</v>
      </c>
      <c r="K9" s="2727"/>
      <c r="L9" s="2727"/>
      <c r="M9" s="2727"/>
      <c r="N9" s="2727" t="str">
        <f>IMPOSTAZIONI!$B237</f>
        <v>--</v>
      </c>
      <c r="O9" s="2727"/>
      <c r="P9" s="2727"/>
      <c r="Q9" s="2727"/>
      <c r="R9" s="2727" t="str">
        <f>IMPOSTAZIONI!$B240</f>
        <v>--</v>
      </c>
      <c r="S9" s="2727"/>
      <c r="T9" s="2727"/>
      <c r="U9" s="2727"/>
      <c r="V9" s="2727" t="str">
        <f>IMPOSTAZIONI!$B243</f>
        <v>--</v>
      </c>
      <c r="W9" s="2727"/>
      <c r="X9" s="2727"/>
      <c r="Y9" s="2728"/>
      <c r="Z9" s="48"/>
      <c r="AA9" s="2729" t="str">
        <f>IMPOSTAZIONI!AB183</f>
        <v/>
      </c>
      <c r="AB9" s="2727"/>
      <c r="AC9" s="2727"/>
      <c r="AD9" s="2727"/>
      <c r="AE9" s="2727" t="str">
        <f>IMPOSTAZIONI!AE183</f>
        <v/>
      </c>
      <c r="AF9" s="2727"/>
      <c r="AG9" s="2727"/>
      <c r="AH9" s="2727"/>
      <c r="AI9" s="2727" t="str">
        <f>IMPOSTAZIONI!AH183</f>
        <v/>
      </c>
      <c r="AJ9" s="2727"/>
      <c r="AK9" s="2727"/>
      <c r="AL9" s="2728"/>
      <c r="AM9" s="48"/>
      <c r="AN9" s="48"/>
      <c r="AO9" s="48"/>
      <c r="AP9" s="48"/>
      <c r="AQ9" s="48"/>
      <c r="AR9" s="48"/>
      <c r="AS9" s="48"/>
    </row>
    <row r="10" spans="1:45" ht="18" hidden="1" customHeight="1" x14ac:dyDescent="0.2">
      <c r="A10" s="48"/>
      <c r="B10" s="186"/>
      <c r="C10" s="185"/>
      <c r="D10" s="185"/>
      <c r="E10" s="48"/>
      <c r="F10" s="48"/>
      <c r="G10" s="48"/>
      <c r="H10" s="48"/>
      <c r="I10" s="48"/>
      <c r="J10" s="604" t="str">
        <f>MID(J9,4,2)</f>
        <v/>
      </c>
      <c r="K10" s="2723" t="e">
        <f>VLOOKUP(J10,IMPOSTAZIONI!$R$131:$X$143,7,FALSE)</f>
        <v>#N/A</v>
      </c>
      <c r="L10" s="2723"/>
      <c r="M10" s="605" t="e">
        <f>VLOOKUP(J10,IMPOSTAZIONI!$R$131:$W$143,6,FALSE)</f>
        <v>#N/A</v>
      </c>
      <c r="N10" s="606" t="str">
        <f>MID(N9,4,2)</f>
        <v/>
      </c>
      <c r="O10" s="2723" t="e">
        <f>VLOOKUP(N10,IMPOSTAZIONI!$R$131:$X$143,7,FALSE)</f>
        <v>#N/A</v>
      </c>
      <c r="P10" s="2723"/>
      <c r="Q10" s="605" t="e">
        <f>VLOOKUP(N10,IMPOSTAZIONI!$R$131:$W$143,6,FALSE)</f>
        <v>#N/A</v>
      </c>
      <c r="R10" s="606" t="str">
        <f>MID(R9,4,2)</f>
        <v/>
      </c>
      <c r="S10" s="2723" t="e">
        <f>VLOOKUP(R10,IMPOSTAZIONI!$R$131:$X$143,7,FALSE)</f>
        <v>#N/A</v>
      </c>
      <c r="T10" s="2723"/>
      <c r="U10" s="605" t="e">
        <f>VLOOKUP(R10,IMPOSTAZIONI!$R$131:$W$143,6,FALSE)</f>
        <v>#N/A</v>
      </c>
      <c r="V10" s="606" t="str">
        <f>MID(V9,4,2)</f>
        <v/>
      </c>
      <c r="W10" s="2723" t="e">
        <f>VLOOKUP(V10,IMPOSTAZIONI!$R$131:$X$143,7,FALSE)</f>
        <v>#N/A</v>
      </c>
      <c r="X10" s="2723"/>
      <c r="Y10" s="607" t="e">
        <f>VLOOKUP(V10,IMPOSTAZIONI!$R$131:$W$143,6,FALSE)</f>
        <v>#N/A</v>
      </c>
      <c r="Z10" s="48"/>
      <c r="AA10" s="604" t="str">
        <f>MID(AA9,4,2)</f>
        <v/>
      </c>
      <c r="AB10" s="2723" t="e">
        <f>VLOOKUP(AA10,IMPOSTAZIONI!$R$131:$X$143,7,FALSE)</f>
        <v>#N/A</v>
      </c>
      <c r="AC10" s="2723"/>
      <c r="AD10" s="605" t="e">
        <f>VLOOKUP(AA10,IMPOSTAZIONI!$R$131:$W$143,6,FALSE)</f>
        <v>#N/A</v>
      </c>
      <c r="AE10" s="606" t="str">
        <f>MID(AE9,4,2)</f>
        <v/>
      </c>
      <c r="AF10" s="2723" t="e">
        <f>VLOOKUP(AE10,IMPOSTAZIONI!$R$131:$X$143,7,FALSE)</f>
        <v>#N/A</v>
      </c>
      <c r="AG10" s="2723"/>
      <c r="AH10" s="605" t="e">
        <f>VLOOKUP(AE10,IMPOSTAZIONI!$R$131:$W$143,6,FALSE)</f>
        <v>#N/A</v>
      </c>
      <c r="AI10" s="606" t="str">
        <f>MID(AI9,4,2)</f>
        <v/>
      </c>
      <c r="AJ10" s="2723" t="e">
        <f>VLOOKUP(AI10,IMPOSTAZIONI!$R$131:$X$143,7,FALSE)</f>
        <v>#N/A</v>
      </c>
      <c r="AK10" s="2723"/>
      <c r="AL10" s="607" t="e">
        <f>VLOOKUP(AI10,IMPOSTAZIONI!$R$131:$W$143,6,FALSE)</f>
        <v>#N/A</v>
      </c>
      <c r="AM10" s="48"/>
      <c r="AN10" s="48"/>
      <c r="AO10" s="48"/>
      <c r="AP10" s="48"/>
      <c r="AQ10" s="48"/>
      <c r="AR10" s="48"/>
      <c r="AS10" s="48"/>
    </row>
    <row r="11" spans="1:45" ht="18" customHeight="1" x14ac:dyDescent="0.2">
      <c r="A11" s="48"/>
      <c r="B11" s="48"/>
      <c r="C11" s="586"/>
      <c r="D11" s="586"/>
      <c r="E11" s="186"/>
      <c r="F11" s="186"/>
      <c r="G11" s="48"/>
      <c r="H11" s="48"/>
      <c r="I11" s="48"/>
      <c r="J11" s="1883" t="s">
        <v>436</v>
      </c>
      <c r="K11" s="1883"/>
      <c r="L11" s="1883"/>
      <c r="M11" s="1883"/>
      <c r="N11" s="1883" t="s">
        <v>437</v>
      </c>
      <c r="O11" s="1883"/>
      <c r="P11" s="1883"/>
      <c r="Q11" s="1883"/>
      <c r="R11" s="1883" t="s">
        <v>438</v>
      </c>
      <c r="S11" s="1883"/>
      <c r="T11" s="1883"/>
      <c r="U11" s="1883"/>
      <c r="V11" s="1883" t="s">
        <v>439</v>
      </c>
      <c r="W11" s="1883"/>
      <c r="X11" s="1883"/>
      <c r="Y11" s="1883"/>
      <c r="Z11" s="186"/>
      <c r="AA11" s="1883" t="s">
        <v>80</v>
      </c>
      <c r="AB11" s="1883"/>
      <c r="AC11" s="1883"/>
      <c r="AD11" s="1883"/>
      <c r="AE11" s="1883" t="s">
        <v>81</v>
      </c>
      <c r="AF11" s="1883"/>
      <c r="AG11" s="1883"/>
      <c r="AH11" s="1883"/>
      <c r="AI11" s="1883" t="s">
        <v>82</v>
      </c>
      <c r="AJ11" s="1883"/>
      <c r="AK11" s="1883"/>
      <c r="AL11" s="1883"/>
      <c r="AM11" s="48"/>
      <c r="AN11" s="48"/>
      <c r="AO11" s="48"/>
      <c r="AP11" s="48"/>
      <c r="AQ11" s="48"/>
      <c r="AR11" s="48"/>
      <c r="AS11" s="48"/>
    </row>
    <row r="12" spans="1:45" ht="19.5" customHeight="1" x14ac:dyDescent="0.2">
      <c r="A12" s="48"/>
      <c r="B12" s="48"/>
      <c r="C12" s="587"/>
      <c r="D12" s="587"/>
      <c r="E12" s="200"/>
      <c r="F12" s="200"/>
      <c r="G12" s="200"/>
      <c r="H12" s="200"/>
      <c r="I12" s="48"/>
      <c r="J12" s="1748" t="str">
        <f>IMPOSTAZIONI!I24</f>
        <v/>
      </c>
      <c r="K12" s="1749"/>
      <c r="L12" s="1749"/>
      <c r="M12" s="1796"/>
      <c r="N12" s="1795" t="str">
        <f>IMPOSTAZIONI!M24</f>
        <v/>
      </c>
      <c r="O12" s="1749"/>
      <c r="P12" s="1749"/>
      <c r="Q12" s="1796"/>
      <c r="R12" s="1795" t="str">
        <f>IMPOSTAZIONI!U24</f>
        <v/>
      </c>
      <c r="S12" s="1749"/>
      <c r="T12" s="1749"/>
      <c r="U12" s="1796"/>
      <c r="V12" s="1795" t="str">
        <f>IMPOSTAZIONI!AC24</f>
        <v/>
      </c>
      <c r="W12" s="1749"/>
      <c r="X12" s="1749"/>
      <c r="Y12" s="1750"/>
      <c r="Z12" s="48"/>
      <c r="AA12" s="1748" t="str">
        <f>IMPOSTAZIONI!AB185</f>
        <v/>
      </c>
      <c r="AB12" s="1749"/>
      <c r="AC12" s="1749"/>
      <c r="AD12" s="1796"/>
      <c r="AE12" s="1795" t="str">
        <f>IMPOSTAZIONI!AE185</f>
        <v/>
      </c>
      <c r="AF12" s="1749"/>
      <c r="AG12" s="1749"/>
      <c r="AH12" s="1796"/>
      <c r="AI12" s="1795" t="str">
        <f>IMPOSTAZIONI!AH185</f>
        <v/>
      </c>
      <c r="AJ12" s="1749"/>
      <c r="AK12" s="1749"/>
      <c r="AL12" s="1750"/>
      <c r="AM12" s="48"/>
      <c r="AN12" s="48"/>
      <c r="AO12" s="48"/>
      <c r="AP12" s="48"/>
      <c r="AQ12" s="48"/>
      <c r="AR12" s="48"/>
      <c r="AS12" s="48"/>
    </row>
    <row r="13" spans="1:45" ht="15" customHeight="1" x14ac:dyDescent="0.2">
      <c r="A13" s="48"/>
      <c r="B13" s="48"/>
      <c r="C13" s="2721" t="s">
        <v>175</v>
      </c>
      <c r="D13" s="2721"/>
      <c r="E13" s="200"/>
      <c r="F13" s="200"/>
      <c r="G13" s="200"/>
      <c r="H13" s="200"/>
      <c r="I13" s="48"/>
      <c r="J13" s="1754" t="str">
        <f>IMPOSTAZIONI!I25</f>
        <v>- - - - - - -</v>
      </c>
      <c r="K13" s="1755"/>
      <c r="L13" s="1755"/>
      <c r="M13" s="1772"/>
      <c r="N13" s="1771" t="str">
        <f>IMPOSTAZIONI!M25</f>
        <v>- - - - - - -</v>
      </c>
      <c r="O13" s="1755"/>
      <c r="P13" s="1755"/>
      <c r="Q13" s="1772"/>
      <c r="R13" s="1771" t="str">
        <f>IMPOSTAZIONI!U25</f>
        <v>- - - - - - -</v>
      </c>
      <c r="S13" s="1755"/>
      <c r="T13" s="1755"/>
      <c r="U13" s="1772"/>
      <c r="V13" s="1771" t="str">
        <f>IMPOSTAZIONI!AC25</f>
        <v>- - - - - - -</v>
      </c>
      <c r="W13" s="1755"/>
      <c r="X13" s="1755"/>
      <c r="Y13" s="1756"/>
      <c r="Z13" s="48"/>
      <c r="AA13" s="1754" t="str">
        <f>IMPOSTAZIONI!AB186</f>
        <v/>
      </c>
      <c r="AB13" s="1755"/>
      <c r="AC13" s="1755"/>
      <c r="AD13" s="1772"/>
      <c r="AE13" s="1771" t="str">
        <f>IMPOSTAZIONI!AE186</f>
        <v/>
      </c>
      <c r="AF13" s="1755"/>
      <c r="AG13" s="1755"/>
      <c r="AH13" s="1772"/>
      <c r="AI13" s="1771" t="str">
        <f>IMPOSTAZIONI!AH186</f>
        <v/>
      </c>
      <c r="AJ13" s="1755"/>
      <c r="AK13" s="1755"/>
      <c r="AL13" s="1756"/>
      <c r="AM13" s="48"/>
      <c r="AN13" s="48"/>
      <c r="AO13" s="48"/>
      <c r="AP13" s="48"/>
      <c r="AQ13" s="48"/>
      <c r="AR13" s="48"/>
      <c r="AS13" s="48"/>
    </row>
    <row r="14" spans="1:45" ht="19.5" customHeight="1" x14ac:dyDescent="0.2">
      <c r="A14" s="48"/>
      <c r="B14" s="48"/>
      <c r="C14" s="2722" t="s">
        <v>580</v>
      </c>
      <c r="D14" s="2722"/>
      <c r="E14" s="2667" t="s">
        <v>658</v>
      </c>
      <c r="F14" s="2667"/>
      <c r="G14" s="2667"/>
      <c r="H14" s="2667"/>
      <c r="I14" s="48"/>
      <c r="J14" s="1862" t="str">
        <f>IMPOSTAZIONI!I26</f>
        <v/>
      </c>
      <c r="K14" s="1863"/>
      <c r="L14" s="1863"/>
      <c r="M14" s="1864"/>
      <c r="N14" s="1827" t="str">
        <f>IMPOSTAZIONI!M26</f>
        <v/>
      </c>
      <c r="O14" s="1828"/>
      <c r="P14" s="1828"/>
      <c r="Q14" s="1838"/>
      <c r="R14" s="1827" t="str">
        <f>IMPOSTAZIONI!U26</f>
        <v/>
      </c>
      <c r="S14" s="1828"/>
      <c r="T14" s="1828"/>
      <c r="U14" s="1838"/>
      <c r="V14" s="1827" t="str">
        <f>IMPOSTAZIONI!AC26</f>
        <v/>
      </c>
      <c r="W14" s="1828"/>
      <c r="X14" s="1828"/>
      <c r="Y14" s="1829"/>
      <c r="Z14" s="48"/>
      <c r="AA14" s="1862" t="str">
        <f>IMPOSTAZIONI!AB187</f>
        <v/>
      </c>
      <c r="AB14" s="1828"/>
      <c r="AC14" s="1828"/>
      <c r="AD14" s="1838"/>
      <c r="AE14" s="1827" t="str">
        <f>IMPOSTAZIONI!AE187</f>
        <v/>
      </c>
      <c r="AF14" s="1828"/>
      <c r="AG14" s="1828"/>
      <c r="AH14" s="1838"/>
      <c r="AI14" s="1827" t="str">
        <f>IMPOSTAZIONI!AH187</f>
        <v/>
      </c>
      <c r="AJ14" s="1828"/>
      <c r="AK14" s="1828"/>
      <c r="AL14" s="1829"/>
      <c r="AM14" s="48"/>
      <c r="AN14" s="48"/>
      <c r="AO14" s="48"/>
      <c r="AP14" s="48"/>
      <c r="AQ14" s="48"/>
      <c r="AR14" s="48"/>
      <c r="AS14" s="48"/>
    </row>
    <row r="15" spans="1:45" ht="4.5" customHeight="1" x14ac:dyDescent="0.2">
      <c r="A15" s="48"/>
      <c r="B15" s="48"/>
      <c r="C15" s="185"/>
      <c r="D15" s="185"/>
      <c r="E15" s="186"/>
      <c r="F15" s="186"/>
      <c r="G15" s="186"/>
      <c r="H15" s="186"/>
      <c r="I15" s="186"/>
      <c r="J15" s="185"/>
      <c r="K15" s="185"/>
      <c r="L15" s="185"/>
      <c r="M15" s="185"/>
      <c r="N15" s="185"/>
      <c r="O15" s="185"/>
      <c r="P15" s="185"/>
      <c r="Q15" s="185"/>
      <c r="R15" s="185"/>
      <c r="S15" s="185"/>
      <c r="T15" s="185"/>
      <c r="U15" s="185"/>
      <c r="V15" s="185"/>
      <c r="W15" s="185"/>
      <c r="X15" s="185"/>
      <c r="Y15" s="621"/>
      <c r="Z15" s="186"/>
      <c r="AA15" s="185"/>
      <c r="AB15" s="185"/>
      <c r="AC15" s="185"/>
      <c r="AD15" s="185"/>
      <c r="AE15" s="185"/>
      <c r="AF15" s="185"/>
      <c r="AG15" s="185"/>
      <c r="AH15" s="185"/>
      <c r="AI15" s="186"/>
      <c r="AJ15" s="186"/>
      <c r="AK15" s="186"/>
      <c r="AL15" s="186"/>
      <c r="AM15" s="48"/>
      <c r="AN15" s="48"/>
      <c r="AO15" s="48"/>
      <c r="AP15" s="48"/>
      <c r="AQ15" s="48"/>
      <c r="AR15" s="48"/>
      <c r="AS15" s="48"/>
    </row>
    <row r="16" spans="1:45" ht="19.5" customHeight="1" x14ac:dyDescent="0.2">
      <c r="A16" s="48"/>
      <c r="B16" s="613" t="str">
        <f>$K$98</f>
        <v>LORDO</v>
      </c>
      <c r="C16" s="2678">
        <f>IMPOSTAZIONI!AH52</f>
        <v>2024</v>
      </c>
      <c r="D16" s="2679"/>
      <c r="E16" s="2668">
        <f ca="1">IF(OR(AND($H$142=0,$C$142&lt;0),ISERROR($O$142)),0,ROUND(SUM(J16:Y16)+SUM(AA16:AL16),2))</f>
        <v>0</v>
      </c>
      <c r="F16" s="2669"/>
      <c r="G16" s="2669"/>
      <c r="H16" s="2670"/>
      <c r="I16" s="619"/>
      <c r="J16" s="2733">
        <f>IF(OR($I$7=$Q$98,$AB$142=FALSE),0,VLOOKUP(J9,IMPOSTAZIONI!$B$257:$AN$263,39,FALSE))</f>
        <v>0</v>
      </c>
      <c r="K16" s="2734"/>
      <c r="L16" s="2734"/>
      <c r="M16" s="2734"/>
      <c r="N16" s="2734">
        <f>IF(OR($I$7=$Q$98,$AB$142=FALSE),0,VLOOKUP(N9,IMPOSTAZIONI!$B$257:$AN$263,39,FALSE))</f>
        <v>0</v>
      </c>
      <c r="O16" s="2734"/>
      <c r="P16" s="2734"/>
      <c r="Q16" s="2734"/>
      <c r="R16" s="2720">
        <f>IF(OR($I$7=$Q$98,$AB$142=FALSE),0,VLOOKUP(R9,IMPOSTAZIONI!$B$257:$AN$263,39,FALSE))</f>
        <v>0</v>
      </c>
      <c r="S16" s="2669"/>
      <c r="T16" s="2669"/>
      <c r="U16" s="2724"/>
      <c r="V16" s="2720">
        <f>IF(OR($I$7=$Q$98,$AB$142=FALSE),0,VLOOKUP(V9,IMPOSTAZIONI!$B$257:$AN$263,39,FALSE))</f>
        <v>0</v>
      </c>
      <c r="W16" s="2669"/>
      <c r="X16" s="2669"/>
      <c r="Y16" s="2670"/>
      <c r="Z16" s="186"/>
      <c r="AA16" s="2668">
        <f>IF(OR($I$7=$Q$98,$AB$142=FALSE),0,VLOOKUP(AA9,IMPOSTAZIONI!$B$257:$AN$263,39,FALSE))</f>
        <v>0</v>
      </c>
      <c r="AB16" s="2669"/>
      <c r="AC16" s="2669"/>
      <c r="AD16" s="2724"/>
      <c r="AE16" s="2720">
        <f>IF(OR($I$7=$Q$98,$AB$142=FALSE),0,VLOOKUP(AE9,IMPOSTAZIONI!$B$257:$AN$263,39,FALSE))</f>
        <v>0</v>
      </c>
      <c r="AF16" s="2669"/>
      <c r="AG16" s="2669"/>
      <c r="AH16" s="2724"/>
      <c r="AI16" s="2720">
        <f>IF(OR($I$7=$Q$98,$AB$142=FALSE),0,VLOOKUP(AI9,IMPOSTAZIONI!$B$257:$AN$263,39,FALSE))</f>
        <v>0</v>
      </c>
      <c r="AJ16" s="2669"/>
      <c r="AK16" s="2669"/>
      <c r="AL16" s="2670"/>
      <c r="AM16" s="48"/>
      <c r="AN16" s="845" t="str">
        <f ca="1">IF(E16=0,"",IF(E16&lt;&gt;AP16,"ERROR",""))</f>
        <v/>
      </c>
      <c r="AO16" s="48"/>
      <c r="AP16" s="2641">
        <f>ROUND(RIEPILOGO!T5+RIEPILOGO!T169,2)</f>
        <v>1000</v>
      </c>
      <c r="AQ16" s="2641"/>
      <c r="AR16" s="2641"/>
      <c r="AS16" s="48"/>
    </row>
    <row r="17" spans="1:45" ht="4.5" customHeight="1" x14ac:dyDescent="0.2">
      <c r="A17" s="48"/>
      <c r="B17" s="613"/>
      <c r="C17" s="185"/>
      <c r="D17" s="185"/>
      <c r="E17" s="186"/>
      <c r="F17" s="186"/>
      <c r="G17" s="186"/>
      <c r="H17" s="186"/>
      <c r="I17" s="186"/>
      <c r="J17" s="185"/>
      <c r="K17" s="185"/>
      <c r="L17" s="185"/>
      <c r="M17" s="185"/>
      <c r="N17" s="185"/>
      <c r="O17" s="185"/>
      <c r="P17" s="185"/>
      <c r="Q17" s="185"/>
      <c r="R17" s="185"/>
      <c r="S17" s="185"/>
      <c r="T17" s="185"/>
      <c r="U17" s="185"/>
      <c r="V17" s="185"/>
      <c r="W17" s="185"/>
      <c r="X17" s="185"/>
      <c r="Y17" s="621"/>
      <c r="Z17" s="186"/>
      <c r="AA17" s="185"/>
      <c r="AB17" s="185"/>
      <c r="AC17" s="185"/>
      <c r="AD17" s="185"/>
      <c r="AE17" s="185"/>
      <c r="AF17" s="185"/>
      <c r="AG17" s="185"/>
      <c r="AH17" s="185"/>
      <c r="AI17" s="186"/>
      <c r="AJ17" s="186"/>
      <c r="AK17" s="186"/>
      <c r="AL17" s="186"/>
      <c r="AM17" s="48"/>
      <c r="AN17" s="48"/>
      <c r="AO17" s="48"/>
      <c r="AP17" s="48"/>
      <c r="AQ17" s="48"/>
      <c r="AR17" s="48"/>
      <c r="AS17" s="48"/>
    </row>
    <row r="18" spans="1:45" ht="19.5" customHeight="1" x14ac:dyDescent="0.2">
      <c r="A18" s="48"/>
      <c r="B18" s="613" t="str">
        <f>$L$98</f>
        <v>NETTO</v>
      </c>
      <c r="C18" s="2680" t="s">
        <v>194</v>
      </c>
      <c r="D18" s="2681"/>
      <c r="E18" s="1891">
        <f ca="1">IF(OR(AND($H$142=0,$C$142&lt;0),ISERROR($O$142)),0,SUM(J18:Y18)+SUM(AA18:AL18))</f>
        <v>0</v>
      </c>
      <c r="F18" s="1892"/>
      <c r="G18" s="1892"/>
      <c r="H18" s="1893"/>
      <c r="I18" s="48"/>
      <c r="J18" s="1891">
        <f>IF(ISERROR(K10),0,IF(J16&lt;&gt;0,VLOOKUP(J9,IMPOSTAZIONI!$B$391:$AK$397,36,FALSE),0))</f>
        <v>0</v>
      </c>
      <c r="K18" s="1892"/>
      <c r="L18" s="1892"/>
      <c r="M18" s="1902"/>
      <c r="N18" s="1911">
        <f>IF(ISERROR(O10),0,IF(N16&lt;&gt;0,VLOOKUP(N9,IMPOSTAZIONI!$B$391:$AK$397,36,FALSE),0))</f>
        <v>0</v>
      </c>
      <c r="O18" s="1892"/>
      <c r="P18" s="1892"/>
      <c r="Q18" s="1902"/>
      <c r="R18" s="1911">
        <f>IF(ISERROR(S10),0,IF(R16&lt;&gt;0,VLOOKUP(R9,IMPOSTAZIONI!$B$391:$AK$397,36,FALSE),0))</f>
        <v>0</v>
      </c>
      <c r="S18" s="1892"/>
      <c r="T18" s="1892"/>
      <c r="U18" s="1902"/>
      <c r="V18" s="1911">
        <f>IF(ISERROR(W10),0,IF(V16&lt;&gt;0,VLOOKUP(V9,IMPOSTAZIONI!$B$391:$AK$397,36,FALSE),0))</f>
        <v>0</v>
      </c>
      <c r="W18" s="1892"/>
      <c r="X18" s="1892"/>
      <c r="Y18" s="1893"/>
      <c r="Z18" s="186"/>
      <c r="AA18" s="1891">
        <f>IF(ISERROR(AB10),0,IF(AA16&lt;&gt;0,VLOOKUP(AA9,IMPOSTAZIONI!$B$391:$AK$397,36,FALSE),0))</f>
        <v>0</v>
      </c>
      <c r="AB18" s="1892"/>
      <c r="AC18" s="1892"/>
      <c r="AD18" s="1902"/>
      <c r="AE18" s="1911">
        <f>IF(ISERROR(AF10),0,IF(AE16&lt;&gt;0,VLOOKUP(AE9,IMPOSTAZIONI!$B$391:$AK$397,36,FALSE),0))</f>
        <v>0</v>
      </c>
      <c r="AF18" s="1892"/>
      <c r="AG18" s="1892"/>
      <c r="AH18" s="1902"/>
      <c r="AI18" s="1911">
        <f>IF(ISERROR(AJ10),0,IF(AI16&lt;&gt;0,VLOOKUP(AI9,IMPOSTAZIONI!$B$391:$AK$397,36,FALSE),0))</f>
        <v>0</v>
      </c>
      <c r="AJ18" s="1892"/>
      <c r="AK18" s="1892"/>
      <c r="AL18" s="1893"/>
      <c r="AM18" s="48"/>
      <c r="AN18" s="48"/>
      <c r="AO18" s="48"/>
      <c r="AP18" s="48"/>
      <c r="AQ18" s="48"/>
      <c r="AR18" s="48"/>
      <c r="AS18" s="48"/>
    </row>
    <row r="19" spans="1:45" ht="19.5" customHeight="1" x14ac:dyDescent="0.2">
      <c r="A19" s="48"/>
      <c r="B19" s="613" t="str">
        <f>$M$98</f>
        <v>IVA</v>
      </c>
      <c r="C19" s="2676" t="s">
        <v>195</v>
      </c>
      <c r="D19" s="2677"/>
      <c r="E19" s="1818">
        <f ca="1">IF(OR(AND($H$142=0,$C$142&lt;0),ISERROR($O$142)),0,SUM(J19:Y19)+SUM(AA19:AL19))</f>
        <v>0</v>
      </c>
      <c r="F19" s="1819"/>
      <c r="G19" s="1819"/>
      <c r="H19" s="1820"/>
      <c r="I19" s="48"/>
      <c r="J19" s="1818">
        <f>IF(ISERROR(K10),0,IF(J16&lt;&gt;0,J16-J18,0))</f>
        <v>0</v>
      </c>
      <c r="K19" s="1819"/>
      <c r="L19" s="1819"/>
      <c r="M19" s="1906"/>
      <c r="N19" s="1912">
        <f>IF(ISERROR(O10),0,IF(N16&lt;&gt;0,N16-N18,0))</f>
        <v>0</v>
      </c>
      <c r="O19" s="1819"/>
      <c r="P19" s="1819"/>
      <c r="Q19" s="1906"/>
      <c r="R19" s="1912">
        <f>IF(ISERROR(S10),0,IF(R16&lt;&gt;0,R16-R18,0))</f>
        <v>0</v>
      </c>
      <c r="S19" s="1819"/>
      <c r="T19" s="1819"/>
      <c r="U19" s="1906"/>
      <c r="V19" s="1912">
        <f>IF(ISERROR(W10),0,IF(V16&lt;&gt;0,V16-V18,0))</f>
        <v>0</v>
      </c>
      <c r="W19" s="1819"/>
      <c r="X19" s="1819"/>
      <c r="Y19" s="1820"/>
      <c r="Z19" s="48"/>
      <c r="AA19" s="1818">
        <f>IF(ISERROR(AB10),0,IF(AA16&lt;&gt;0,AA16-AA18,0))</f>
        <v>0</v>
      </c>
      <c r="AB19" s="1819"/>
      <c r="AC19" s="1819"/>
      <c r="AD19" s="1906"/>
      <c r="AE19" s="1912">
        <f>IF(ISERROR(AF10),0,IF(AE16&lt;&gt;0,AE16-AE18,0))</f>
        <v>0</v>
      </c>
      <c r="AF19" s="1819"/>
      <c r="AG19" s="1819"/>
      <c r="AH19" s="1906"/>
      <c r="AI19" s="1912">
        <f>IF(ISERROR(AJ10),0,IF(AI16&lt;&gt;0,AI16-AI18,0))</f>
        <v>0</v>
      </c>
      <c r="AJ19" s="1819"/>
      <c r="AK19" s="1819"/>
      <c r="AL19" s="1820"/>
      <c r="AM19" s="48"/>
      <c r="AN19" s="48"/>
      <c r="AO19" s="48"/>
      <c r="AP19" s="48"/>
      <c r="AQ19" s="48"/>
      <c r="AR19" s="48"/>
      <c r="AS19" s="48"/>
    </row>
    <row r="20" spans="1:45" ht="15.75" customHeight="1" x14ac:dyDescent="0.2">
      <c r="A20" s="48"/>
      <c r="B20" s="614"/>
      <c r="C20" s="185"/>
      <c r="D20" s="185"/>
      <c r="E20" s="186"/>
      <c r="F20" s="186"/>
      <c r="G20" s="186"/>
      <c r="H20" s="186"/>
      <c r="I20" s="186"/>
      <c r="J20" s="2719" t="str">
        <f>IMPOSTAZIONI!I27</f>
        <v/>
      </c>
      <c r="K20" s="2719"/>
      <c r="L20" s="2719"/>
      <c r="M20" s="2719"/>
      <c r="N20" s="2719" t="str">
        <f>IMPOSTAZIONI!M27</f>
        <v/>
      </c>
      <c r="O20" s="2719"/>
      <c r="P20" s="2719"/>
      <c r="Q20" s="2719"/>
      <c r="R20" s="2719" t="str">
        <f>IMPOSTAZIONI!U27</f>
        <v/>
      </c>
      <c r="S20" s="2719"/>
      <c r="T20" s="2719"/>
      <c r="U20" s="2719"/>
      <c r="V20" s="2719" t="str">
        <f>IMPOSTAZIONI!AC27</f>
        <v/>
      </c>
      <c r="W20" s="2719"/>
      <c r="X20" s="2719"/>
      <c r="Y20" s="2719"/>
      <c r="Z20" s="186"/>
      <c r="AA20" s="2718" t="str">
        <f>IMPOSTAZIONI!T99</f>
        <v>Modificato nei MESI</v>
      </c>
      <c r="AB20" s="2718"/>
      <c r="AC20" s="2718"/>
      <c r="AD20" s="2718"/>
      <c r="AE20" s="2718"/>
      <c r="AF20" s="2718"/>
      <c r="AG20" s="2718"/>
      <c r="AH20" s="2718"/>
      <c r="AI20" s="2718"/>
      <c r="AJ20" s="2718"/>
      <c r="AK20" s="2718"/>
      <c r="AL20" s="2718"/>
      <c r="AM20" s="48"/>
      <c r="AN20" s="48"/>
      <c r="AO20" s="48"/>
      <c r="AP20" s="48"/>
      <c r="AQ20" s="48"/>
      <c r="AR20" s="48"/>
      <c r="AS20" s="48"/>
    </row>
    <row r="21" spans="1:45" ht="15" customHeight="1" x14ac:dyDescent="0.2">
      <c r="A21" s="48"/>
      <c r="B21" s="614"/>
      <c r="C21" s="2648" t="s">
        <v>83</v>
      </c>
      <c r="D21" s="2648"/>
      <c r="E21" s="2648"/>
      <c r="F21" s="2648"/>
      <c r="G21" s="2648"/>
      <c r="H21" s="2648"/>
      <c r="I21" s="2648"/>
      <c r="J21" s="2648"/>
      <c r="K21" s="2648"/>
      <c r="L21" s="2648"/>
      <c r="M21" s="2648"/>
      <c r="N21" s="2648"/>
      <c r="O21" s="2648"/>
      <c r="P21" s="2648"/>
      <c r="Q21" s="2648"/>
      <c r="R21" s="2648"/>
      <c r="S21" s="2648"/>
      <c r="T21" s="2648"/>
      <c r="U21" s="2648"/>
      <c r="V21" s="2648"/>
      <c r="W21" s="2648"/>
      <c r="X21" s="2648"/>
      <c r="Y21" s="2648"/>
      <c r="Z21" s="186"/>
      <c r="AA21" s="173" t="s">
        <v>144</v>
      </c>
      <c r="AB21" s="173"/>
      <c r="AC21" s="173"/>
      <c r="AD21" s="173"/>
      <c r="AE21" s="173"/>
      <c r="AF21" s="173"/>
      <c r="AG21" s="173"/>
      <c r="AH21" s="173"/>
      <c r="AI21" s="173"/>
      <c r="AJ21" s="173"/>
      <c r="AK21" s="173"/>
      <c r="AL21" s="173"/>
      <c r="AM21" s="48"/>
      <c r="AN21" s="48"/>
      <c r="AO21" s="48"/>
      <c r="AP21" s="48"/>
      <c r="AQ21" s="48"/>
      <c r="AR21" s="48"/>
      <c r="AS21" s="48"/>
    </row>
    <row r="22" spans="1:45" ht="15" customHeight="1" x14ac:dyDescent="0.2">
      <c r="A22" s="48"/>
      <c r="B22" s="614"/>
      <c r="C22" s="816" t="s">
        <v>84</v>
      </c>
      <c r="D22" s="185"/>
      <c r="E22" s="186"/>
      <c r="F22" s="186"/>
      <c r="G22" s="186"/>
      <c r="H22" s="186"/>
      <c r="I22" s="186"/>
      <c r="J22" s="844"/>
      <c r="K22" s="844"/>
      <c r="L22" s="844"/>
      <c r="M22" s="844"/>
      <c r="N22" s="844"/>
      <c r="O22" s="844"/>
      <c r="P22" s="844"/>
      <c r="Q22" s="844"/>
      <c r="R22" s="844"/>
      <c r="S22" s="844"/>
      <c r="T22" s="844"/>
      <c r="U22" s="844"/>
      <c r="V22" s="844"/>
      <c r="W22" s="844"/>
      <c r="X22" s="844"/>
      <c r="Y22" s="844"/>
      <c r="Z22" s="186"/>
      <c r="AA22" s="816" t="s">
        <v>143</v>
      </c>
      <c r="AB22" s="844"/>
      <c r="AC22" s="844"/>
      <c r="AD22" s="844"/>
      <c r="AE22" s="844"/>
      <c r="AF22" s="1321" t="s">
        <v>572</v>
      </c>
      <c r="AG22" s="844"/>
      <c r="AH22" s="844"/>
      <c r="AI22" s="844"/>
      <c r="AJ22" s="844"/>
      <c r="AK22" s="844"/>
      <c r="AL22" s="844"/>
      <c r="AM22" s="48"/>
      <c r="AN22" s="48"/>
      <c r="AO22" s="48"/>
      <c r="AP22" s="48"/>
      <c r="AQ22" s="48"/>
      <c r="AR22" s="48"/>
      <c r="AS22" s="48"/>
    </row>
    <row r="23" spans="1:45" ht="15.75" hidden="1" customHeight="1" x14ac:dyDescent="0.2">
      <c r="A23" s="48"/>
      <c r="B23" s="614"/>
      <c r="C23" s="846" t="s">
        <v>659</v>
      </c>
      <c r="D23" s="218"/>
      <c r="E23" s="608"/>
      <c r="F23" s="608"/>
      <c r="G23" s="608"/>
      <c r="H23" s="608"/>
      <c r="I23" s="608"/>
      <c r="J23" s="608"/>
      <c r="K23" s="608"/>
      <c r="L23" s="608"/>
      <c r="M23" s="608"/>
      <c r="N23" s="608"/>
      <c r="O23" s="608"/>
      <c r="P23" s="608"/>
      <c r="Q23" s="618" t="s">
        <v>572</v>
      </c>
      <c r="R23" s="844"/>
      <c r="S23" s="844"/>
      <c r="T23" s="844"/>
      <c r="U23" s="844"/>
      <c r="V23" s="844"/>
      <c r="W23" s="844"/>
      <c r="X23" s="844"/>
      <c r="Y23" s="844"/>
      <c r="Z23" s="186"/>
      <c r="AA23" s="844"/>
      <c r="AB23" s="844"/>
      <c r="AC23" s="844"/>
      <c r="AD23" s="844"/>
      <c r="AE23" s="844"/>
      <c r="AF23" s="844"/>
      <c r="AG23" s="844"/>
      <c r="AH23" s="844"/>
      <c r="AI23" s="844"/>
      <c r="AJ23" s="844"/>
      <c r="AK23" s="844"/>
      <c r="AL23" s="844"/>
      <c r="AM23" s="48"/>
      <c r="AN23" s="48"/>
      <c r="AO23" s="48"/>
      <c r="AP23" s="48"/>
      <c r="AQ23" s="48"/>
      <c r="AR23" s="48"/>
      <c r="AS23" s="48"/>
    </row>
    <row r="24" spans="1:45" ht="18.75" customHeight="1" x14ac:dyDescent="0.2">
      <c r="A24" s="48"/>
      <c r="B24" s="614"/>
      <c r="C24" s="2649" t="s">
        <v>85</v>
      </c>
      <c r="D24" s="2649"/>
      <c r="E24" s="2649"/>
      <c r="F24" s="2649"/>
      <c r="G24" s="2649"/>
      <c r="H24" s="2649"/>
      <c r="I24" s="2649"/>
      <c r="J24" s="2649"/>
      <c r="K24" s="2649"/>
      <c r="L24" s="2649"/>
      <c r="M24" s="2649"/>
      <c r="N24" s="2649"/>
      <c r="O24" s="2649"/>
      <c r="P24" s="2649"/>
      <c r="Q24" s="2649"/>
      <c r="R24" s="2649"/>
      <c r="S24" s="2649"/>
      <c r="T24" s="2649"/>
      <c r="U24" s="2649"/>
      <c r="V24" s="2649"/>
      <c r="W24" s="2649"/>
      <c r="X24" s="2649"/>
      <c r="Y24" s="2649"/>
      <c r="Z24" s="186"/>
      <c r="AA24" s="185"/>
      <c r="AB24" s="185"/>
      <c r="AC24" s="185"/>
      <c r="AD24" s="185"/>
      <c r="AE24" s="185"/>
      <c r="AF24" s="185"/>
      <c r="AG24" s="185"/>
      <c r="AH24" s="185"/>
      <c r="AI24" s="186"/>
      <c r="AJ24" s="186"/>
      <c r="AK24" s="186"/>
      <c r="AL24" s="186"/>
      <c r="AM24" s="48"/>
      <c r="AN24" s="48"/>
      <c r="AO24" s="48"/>
      <c r="AP24" s="48"/>
      <c r="AQ24" s="48"/>
      <c r="AR24" s="48"/>
      <c r="AS24" s="48"/>
    </row>
    <row r="25" spans="1:45" ht="7.5" customHeight="1" x14ac:dyDescent="0.2">
      <c r="A25" s="48"/>
      <c r="B25" s="614"/>
      <c r="C25" s="185"/>
      <c r="D25" s="185"/>
      <c r="E25" s="186"/>
      <c r="F25" s="186"/>
      <c r="G25" s="186"/>
      <c r="H25" s="186"/>
      <c r="I25" s="186"/>
      <c r="J25" s="2736"/>
      <c r="K25" s="2736"/>
      <c r="L25" s="2736"/>
      <c r="M25" s="2736"/>
      <c r="N25" s="2736"/>
      <c r="O25" s="2736"/>
      <c r="P25" s="2736"/>
      <c r="Q25" s="2736"/>
      <c r="R25" s="2736"/>
      <c r="S25" s="2736"/>
      <c r="T25" s="2736"/>
      <c r="U25" s="2736"/>
      <c r="V25" s="2736"/>
      <c r="W25" s="2736"/>
      <c r="X25" s="2736"/>
      <c r="Y25" s="2736"/>
      <c r="Z25" s="219"/>
      <c r="AA25" s="2731"/>
      <c r="AB25" s="2731"/>
      <c r="AC25" s="2731"/>
      <c r="AD25" s="2731"/>
      <c r="AE25" s="2731"/>
      <c r="AF25" s="2731"/>
      <c r="AG25" s="2731"/>
      <c r="AH25" s="2731"/>
      <c r="AI25" s="2731"/>
      <c r="AJ25" s="2731"/>
      <c r="AK25" s="2731"/>
      <c r="AL25" s="2731"/>
      <c r="AM25" s="48"/>
      <c r="AN25" s="48"/>
      <c r="AO25" s="48"/>
      <c r="AP25" s="48"/>
      <c r="AQ25" s="48"/>
      <c r="AR25" s="48"/>
      <c r="AS25" s="48"/>
    </row>
    <row r="26" spans="1:45" ht="18" customHeight="1" x14ac:dyDescent="0.2">
      <c r="A26" s="48"/>
      <c r="B26" s="614"/>
      <c r="C26" s="185"/>
      <c r="D26" s="185"/>
      <c r="E26" s="186"/>
      <c r="F26" s="186"/>
      <c r="G26" s="186"/>
      <c r="H26" s="186"/>
      <c r="I26" s="186"/>
      <c r="J26" s="611" t="s">
        <v>588</v>
      </c>
      <c r="K26" s="185"/>
      <c r="L26" s="185"/>
      <c r="M26" s="185"/>
      <c r="N26" s="185"/>
      <c r="O26" s="185"/>
      <c r="P26" s="185"/>
      <c r="Q26" s="185"/>
      <c r="R26" s="185"/>
      <c r="S26" s="185"/>
      <c r="T26" s="185"/>
      <c r="U26" s="185"/>
      <c r="V26" s="185"/>
      <c r="W26" s="185"/>
      <c r="X26" s="185"/>
      <c r="Y26" s="588"/>
      <c r="Z26" s="186"/>
      <c r="AA26" s="185"/>
      <c r="AB26" s="185"/>
      <c r="AC26" s="185"/>
      <c r="AD26" s="185"/>
      <c r="AE26" s="185"/>
      <c r="AF26" s="185"/>
      <c r="AG26" s="185"/>
      <c r="AH26" s="185"/>
      <c r="AI26" s="186"/>
      <c r="AJ26" s="186"/>
      <c r="AK26" s="186"/>
      <c r="AL26" s="186"/>
      <c r="AM26" s="48"/>
      <c r="AN26" s="48"/>
      <c r="AO26" s="48"/>
      <c r="AP26" s="48"/>
      <c r="AQ26" s="48"/>
      <c r="AR26" s="48"/>
      <c r="AS26" s="48"/>
    </row>
    <row r="27" spans="1:45" ht="19.5" customHeight="1" x14ac:dyDescent="0.2">
      <c r="A27" s="48"/>
      <c r="B27" s="613" t="str">
        <f>$K$98</f>
        <v>LORDO</v>
      </c>
      <c r="C27" s="2716">
        <f>C16-1</f>
        <v>2023</v>
      </c>
      <c r="D27" s="2717"/>
      <c r="E27" s="2671">
        <f ca="1">IF(OR(AND($H$142=0,$C$142&lt;0),ISERROR($O$142)),0,SUM(J27:Y27)+SUM(AA27:AL27))</f>
        <v>10000</v>
      </c>
      <c r="F27" s="2672"/>
      <c r="G27" s="2672"/>
      <c r="H27" s="2673"/>
      <c r="I27" s="619"/>
      <c r="J27" s="2710">
        <f ca="1">IF(OR(AND($H$142=0,$C$142&lt;0),ISERROR($O$142),$AB$142=FALSE),0,J29+J30)</f>
        <v>10000</v>
      </c>
      <c r="K27" s="2711"/>
      <c r="L27" s="2711"/>
      <c r="M27" s="2711"/>
      <c r="N27" s="2711">
        <f ca="1">IF(OR(AND($H$142=0,$C$142&lt;0),ISERROR($O$142),$AB$142=FALSE),0,N29+N30)</f>
        <v>0</v>
      </c>
      <c r="O27" s="2711"/>
      <c r="P27" s="2711"/>
      <c r="Q27" s="2711"/>
      <c r="R27" s="2712">
        <f ca="1">IF(OR(AND($H$142=0,$C$142&lt;0),ISERROR($O$142),$AB$142=FALSE),0,R29+R30)</f>
        <v>0</v>
      </c>
      <c r="S27" s="2672"/>
      <c r="T27" s="2672"/>
      <c r="U27" s="2713"/>
      <c r="V27" s="2712">
        <f ca="1">IF(OR(AND($H$142=0,$C$142&lt;0),ISERROR($O$142),$AB$142=FALSE),0,V29+V30)</f>
        <v>0</v>
      </c>
      <c r="W27" s="2672"/>
      <c r="X27" s="2672"/>
      <c r="Y27" s="2673"/>
      <c r="Z27" s="186"/>
      <c r="AA27" s="2671">
        <f ca="1">IF(OR(AND($H$142=0,$C$142&lt;0),ISERROR($O$142),$AB$142=FALSE),0,AA29+AA30)</f>
        <v>0</v>
      </c>
      <c r="AB27" s="2672"/>
      <c r="AC27" s="2672"/>
      <c r="AD27" s="2713"/>
      <c r="AE27" s="2712">
        <f ca="1">IF(OR(AND($H$142=0,$C$142&lt;0),ISERROR($O$142),$AB$142=FALSE),0,AE29+AE30)</f>
        <v>0</v>
      </c>
      <c r="AF27" s="2672"/>
      <c r="AG27" s="2672"/>
      <c r="AH27" s="2713"/>
      <c r="AI27" s="2712">
        <f ca="1">IF(OR(AND($H$142=0,$C$142&lt;0),ISERROR($O$142),$AB$142=FALSE),0,AI29+AI30)</f>
        <v>0</v>
      </c>
      <c r="AJ27" s="2672"/>
      <c r="AK27" s="2672"/>
      <c r="AL27" s="2673"/>
      <c r="AM27" s="48"/>
      <c r="AN27" s="48"/>
      <c r="AO27" s="48"/>
      <c r="AP27" s="48"/>
      <c r="AQ27" s="48"/>
      <c r="AR27" s="48"/>
      <c r="AS27" s="48"/>
    </row>
    <row r="28" spans="1:45" ht="4.5" customHeight="1" x14ac:dyDescent="0.2">
      <c r="A28" s="48"/>
      <c r="B28" s="613"/>
      <c r="C28" s="185"/>
      <c r="D28" s="185"/>
      <c r="E28" s="186"/>
      <c r="F28" s="186"/>
      <c r="G28" s="186"/>
      <c r="H28" s="186"/>
      <c r="I28" s="186"/>
      <c r="J28" s="185"/>
      <c r="K28" s="185"/>
      <c r="L28" s="185"/>
      <c r="M28" s="185"/>
      <c r="N28" s="185"/>
      <c r="O28" s="185"/>
      <c r="P28" s="185"/>
      <c r="Q28" s="185"/>
      <c r="R28" s="185"/>
      <c r="S28" s="185"/>
      <c r="T28" s="185"/>
      <c r="U28" s="185"/>
      <c r="V28" s="185"/>
      <c r="W28" s="185"/>
      <c r="X28" s="185"/>
      <c r="Y28" s="621"/>
      <c r="Z28" s="186"/>
      <c r="AA28" s="185"/>
      <c r="AB28" s="185"/>
      <c r="AC28" s="185"/>
      <c r="AD28" s="185"/>
      <c r="AE28" s="185"/>
      <c r="AF28" s="185"/>
      <c r="AG28" s="185"/>
      <c r="AH28" s="185"/>
      <c r="AI28" s="186"/>
      <c r="AJ28" s="186"/>
      <c r="AK28" s="186"/>
      <c r="AL28" s="186"/>
      <c r="AM28" s="48"/>
      <c r="AN28" s="48"/>
      <c r="AO28" s="48"/>
      <c r="AP28" s="48"/>
      <c r="AQ28" s="48"/>
      <c r="AR28" s="48"/>
      <c r="AS28" s="48"/>
    </row>
    <row r="29" spans="1:45" ht="19.5" customHeight="1" x14ac:dyDescent="0.2">
      <c r="A29" s="48"/>
      <c r="B29" s="613" t="str">
        <f>$L$98</f>
        <v>NETTO</v>
      </c>
      <c r="C29" s="2680" t="s">
        <v>194</v>
      </c>
      <c r="D29" s="2681"/>
      <c r="E29" s="1891">
        <f ca="1">IF(OR(AND($H$142=0,$C$142&lt;0),ISERROR($O$142)),0,SUM(J29:Y29)+SUM(AA29:AL29))</f>
        <v>9000</v>
      </c>
      <c r="F29" s="1892"/>
      <c r="G29" s="1892"/>
      <c r="H29" s="1893"/>
      <c r="I29" s="48"/>
      <c r="J29" s="2714">
        <v>9000</v>
      </c>
      <c r="K29" s="2708"/>
      <c r="L29" s="2708"/>
      <c r="M29" s="2715"/>
      <c r="N29" s="2707"/>
      <c r="O29" s="2708"/>
      <c r="P29" s="2708"/>
      <c r="Q29" s="2715"/>
      <c r="R29" s="2707"/>
      <c r="S29" s="2708"/>
      <c r="T29" s="2708"/>
      <c r="U29" s="2715"/>
      <c r="V29" s="2707"/>
      <c r="W29" s="2708"/>
      <c r="X29" s="2708"/>
      <c r="Y29" s="2709"/>
      <c r="Z29" s="186"/>
      <c r="AA29" s="2714"/>
      <c r="AB29" s="2708"/>
      <c r="AC29" s="2708"/>
      <c r="AD29" s="2715"/>
      <c r="AE29" s="2707"/>
      <c r="AF29" s="2708"/>
      <c r="AG29" s="2708"/>
      <c r="AH29" s="2715"/>
      <c r="AI29" s="2707"/>
      <c r="AJ29" s="2708"/>
      <c r="AK29" s="2708"/>
      <c r="AL29" s="2709"/>
      <c r="AM29" s="48"/>
      <c r="AN29" s="48"/>
      <c r="AO29" s="48"/>
      <c r="AP29" s="48"/>
      <c r="AQ29" s="48"/>
      <c r="AR29" s="48"/>
      <c r="AS29" s="48"/>
    </row>
    <row r="30" spans="1:45" ht="19.5" customHeight="1" x14ac:dyDescent="0.2">
      <c r="A30" s="48"/>
      <c r="B30" s="613" t="str">
        <f>$M$98</f>
        <v>IVA</v>
      </c>
      <c r="C30" s="2676" t="s">
        <v>195</v>
      </c>
      <c r="D30" s="2677"/>
      <c r="E30" s="1818">
        <f ca="1">IF(OR(AND($H$142=0,$C$142&lt;0),ISERROR($O$142)),0,SUM(J30:Y30)+SUM(AA30:AL30))</f>
        <v>1000</v>
      </c>
      <c r="F30" s="1819"/>
      <c r="G30" s="1819"/>
      <c r="H30" s="1820"/>
      <c r="I30" s="48"/>
      <c r="J30" s="2690">
        <v>1000</v>
      </c>
      <c r="K30" s="2691"/>
      <c r="L30" s="2691"/>
      <c r="M30" s="2692"/>
      <c r="N30" s="2693"/>
      <c r="O30" s="2691"/>
      <c r="P30" s="2691"/>
      <c r="Q30" s="2692"/>
      <c r="R30" s="2693"/>
      <c r="S30" s="2691"/>
      <c r="T30" s="2691"/>
      <c r="U30" s="2692"/>
      <c r="V30" s="2693"/>
      <c r="W30" s="2691"/>
      <c r="X30" s="2691"/>
      <c r="Y30" s="2705"/>
      <c r="Z30" s="48"/>
      <c r="AA30" s="2690"/>
      <c r="AB30" s="2691"/>
      <c r="AC30" s="2691"/>
      <c r="AD30" s="2692"/>
      <c r="AE30" s="2693"/>
      <c r="AF30" s="2691"/>
      <c r="AG30" s="2691"/>
      <c r="AH30" s="2692"/>
      <c r="AI30" s="2693"/>
      <c r="AJ30" s="2691"/>
      <c r="AK30" s="2691"/>
      <c r="AL30" s="2705"/>
      <c r="AM30" s="48"/>
      <c r="AN30" s="48"/>
      <c r="AO30" s="48"/>
      <c r="AP30" s="48"/>
      <c r="AQ30" s="48"/>
      <c r="AR30" s="48"/>
      <c r="AS30" s="48"/>
    </row>
    <row r="31" spans="1:45" ht="9" customHeight="1" x14ac:dyDescent="0.2">
      <c r="A31" s="48"/>
      <c r="B31" s="614"/>
      <c r="C31" s="185"/>
      <c r="D31" s="185"/>
      <c r="E31" s="186"/>
      <c r="F31" s="186"/>
      <c r="G31" s="186"/>
      <c r="H31" s="186"/>
      <c r="I31" s="186"/>
      <c r="J31" s="2706"/>
      <c r="K31" s="2706"/>
      <c r="L31" s="2706"/>
      <c r="M31" s="2706"/>
      <c r="N31" s="2706"/>
      <c r="O31" s="2706"/>
      <c r="P31" s="2706"/>
      <c r="Q31" s="2706"/>
      <c r="R31" s="2706"/>
      <c r="S31" s="2706"/>
      <c r="T31" s="2706"/>
      <c r="U31" s="2706"/>
      <c r="V31" s="2706"/>
      <c r="W31" s="2706"/>
      <c r="X31" s="2706"/>
      <c r="Y31" s="2706"/>
      <c r="Z31" s="186"/>
      <c r="AA31" s="2718"/>
      <c r="AB31" s="2718"/>
      <c r="AC31" s="2718"/>
      <c r="AD31" s="2718"/>
      <c r="AE31" s="2718"/>
      <c r="AF31" s="2718"/>
      <c r="AG31" s="2718"/>
      <c r="AH31" s="2718"/>
      <c r="AI31" s="2718"/>
      <c r="AJ31" s="2718"/>
      <c r="AK31" s="2718"/>
      <c r="AL31" s="2718"/>
      <c r="AM31" s="48"/>
      <c r="AN31" s="48"/>
      <c r="AO31" s="48"/>
      <c r="AP31" s="48"/>
      <c r="AQ31" s="48"/>
      <c r="AR31" s="48"/>
      <c r="AS31" s="48"/>
    </row>
    <row r="32" spans="1:45" ht="18" customHeight="1" x14ac:dyDescent="0.2">
      <c r="A32" s="48"/>
      <c r="B32" s="614"/>
      <c r="C32" s="185"/>
      <c r="D32" s="185"/>
      <c r="E32" s="186"/>
      <c r="F32" s="186"/>
      <c r="G32" s="186"/>
      <c r="H32" s="186"/>
      <c r="I32" s="186"/>
      <c r="J32" s="611" t="s">
        <v>589</v>
      </c>
      <c r="K32" s="608"/>
      <c r="L32" s="608"/>
      <c r="M32" s="608"/>
      <c r="N32" s="608"/>
      <c r="O32" s="608"/>
      <c r="P32" s="608"/>
      <c r="Q32" s="608"/>
      <c r="R32" s="608"/>
      <c r="S32" s="608"/>
      <c r="T32" s="608"/>
      <c r="U32" s="608"/>
      <c r="V32" s="609"/>
      <c r="W32" s="609"/>
      <c r="X32" s="609"/>
      <c r="Y32" s="609"/>
      <c r="Z32" s="186"/>
      <c r="AA32" s="610"/>
      <c r="AB32" s="610"/>
      <c r="AC32" s="610"/>
      <c r="AD32" s="610"/>
      <c r="AE32" s="610"/>
      <c r="AF32" s="610"/>
      <c r="AG32" s="610"/>
      <c r="AH32" s="610"/>
      <c r="AI32" s="610"/>
      <c r="AJ32" s="610"/>
      <c r="AK32" s="610"/>
      <c r="AL32" s="610"/>
      <c r="AM32" s="48"/>
      <c r="AN32" s="48"/>
      <c r="AO32" s="48"/>
      <c r="AP32" s="48"/>
      <c r="AQ32" s="48"/>
      <c r="AR32" s="48"/>
      <c r="AS32" s="48"/>
    </row>
    <row r="33" spans="1:45" ht="19.5" customHeight="1" x14ac:dyDescent="0.2">
      <c r="A33" s="48"/>
      <c r="B33" s="613" t="str">
        <f>$K$98</f>
        <v>LORDO</v>
      </c>
      <c r="C33" s="2716">
        <f>C27-1</f>
        <v>2022</v>
      </c>
      <c r="D33" s="2717"/>
      <c r="E33" s="2671">
        <f ca="1">IF(OR(AND($H$142=0,$C$142&lt;0),ISERROR($O$142)),0,SUM(J33:Y33)+SUM(AA33:AL33))</f>
        <v>0</v>
      </c>
      <c r="F33" s="2672"/>
      <c r="G33" s="2672"/>
      <c r="H33" s="2673"/>
      <c r="I33" s="619"/>
      <c r="J33" s="2710">
        <f ca="1">IF(OR(AND($H$142=0,$C$142&lt;0),ISERROR($O$142),$AB$142=FALSE),0,J35+J36)</f>
        <v>0</v>
      </c>
      <c r="K33" s="2711"/>
      <c r="L33" s="2711"/>
      <c r="M33" s="2711"/>
      <c r="N33" s="2711">
        <f ca="1">IF(OR(AND($H$142=0,$C$142&lt;0),ISERROR($O$142),$AB$142=FALSE),0,N35+N36)</f>
        <v>0</v>
      </c>
      <c r="O33" s="2711"/>
      <c r="P33" s="2711"/>
      <c r="Q33" s="2711"/>
      <c r="R33" s="2712">
        <f ca="1">IF(OR(AND($H$142=0,$C$142&lt;0),ISERROR($O$142),$AB$142=FALSE),0,R35+R36)</f>
        <v>0</v>
      </c>
      <c r="S33" s="2672"/>
      <c r="T33" s="2672"/>
      <c r="U33" s="2713"/>
      <c r="V33" s="2712">
        <f ca="1">IF(OR(AND($H$142=0,$C$142&lt;0),ISERROR($O$142),$AB$142=FALSE),0,V35+V36)</f>
        <v>0</v>
      </c>
      <c r="W33" s="2672"/>
      <c r="X33" s="2672"/>
      <c r="Y33" s="2673"/>
      <c r="Z33" s="186"/>
      <c r="AA33" s="2671">
        <f ca="1">IF(OR(AND($H$142=0,$C$142&lt;0),ISERROR($O$142),$AB$142=FALSE),0,AA35+AA36)</f>
        <v>0</v>
      </c>
      <c r="AB33" s="2672"/>
      <c r="AC33" s="2672"/>
      <c r="AD33" s="2713"/>
      <c r="AE33" s="2712">
        <f ca="1">IF(OR(AND($H$142=0,$C$142&lt;0),ISERROR($O$142),$AB$142=FALSE),0,AE35+AE36)</f>
        <v>0</v>
      </c>
      <c r="AF33" s="2672"/>
      <c r="AG33" s="2672"/>
      <c r="AH33" s="2713"/>
      <c r="AI33" s="2712">
        <f ca="1">IF(OR(AND($H$142=0,$C$142&lt;0),ISERROR($O$142),$AB$142=FALSE),0,AI35+AI36)</f>
        <v>0</v>
      </c>
      <c r="AJ33" s="2672"/>
      <c r="AK33" s="2672"/>
      <c r="AL33" s="2673"/>
      <c r="AM33" s="48"/>
      <c r="AN33" s="48"/>
      <c r="AO33" s="48"/>
      <c r="AP33" s="48"/>
      <c r="AQ33" s="48"/>
      <c r="AR33" s="48"/>
      <c r="AS33" s="48"/>
    </row>
    <row r="34" spans="1:45" ht="4.5" customHeight="1" x14ac:dyDescent="0.2">
      <c r="A34" s="48"/>
      <c r="B34" s="613"/>
      <c r="C34" s="185"/>
      <c r="D34" s="185"/>
      <c r="E34" s="186"/>
      <c r="F34" s="186"/>
      <c r="G34" s="186"/>
      <c r="H34" s="186"/>
      <c r="I34" s="186"/>
      <c r="J34" s="185"/>
      <c r="K34" s="185"/>
      <c r="L34" s="185"/>
      <c r="M34" s="185"/>
      <c r="N34" s="185"/>
      <c r="O34" s="185"/>
      <c r="P34" s="185"/>
      <c r="Q34" s="185"/>
      <c r="R34" s="185"/>
      <c r="S34" s="185"/>
      <c r="T34" s="185"/>
      <c r="U34" s="185"/>
      <c r="V34" s="185"/>
      <c r="W34" s="185"/>
      <c r="X34" s="185"/>
      <c r="Y34" s="621"/>
      <c r="Z34" s="186"/>
      <c r="AA34" s="185"/>
      <c r="AB34" s="185"/>
      <c r="AC34" s="185"/>
      <c r="AD34" s="185"/>
      <c r="AE34" s="185"/>
      <c r="AF34" s="185"/>
      <c r="AG34" s="185"/>
      <c r="AH34" s="185"/>
      <c r="AI34" s="186"/>
      <c r="AJ34" s="186"/>
      <c r="AK34" s="186"/>
      <c r="AL34" s="186"/>
      <c r="AM34" s="48"/>
      <c r="AN34" s="48"/>
      <c r="AO34" s="48"/>
      <c r="AP34" s="48"/>
      <c r="AQ34" s="48"/>
      <c r="AR34" s="48"/>
      <c r="AS34" s="48"/>
    </row>
    <row r="35" spans="1:45" ht="19.5" customHeight="1" x14ac:dyDescent="0.2">
      <c r="A35" s="48"/>
      <c r="B35" s="613" t="str">
        <f>$L$98</f>
        <v>NETTO</v>
      </c>
      <c r="C35" s="2680" t="s">
        <v>194</v>
      </c>
      <c r="D35" s="2681"/>
      <c r="E35" s="1891">
        <f ca="1">IF(OR(AND($H$142=0,$C$142&lt;0),ISERROR($O$142)),0,SUM(J35:Y35)+SUM(AA35:AL35))</f>
        <v>0</v>
      </c>
      <c r="F35" s="1892"/>
      <c r="G35" s="1892"/>
      <c r="H35" s="1893"/>
      <c r="I35" s="48"/>
      <c r="J35" s="2714"/>
      <c r="K35" s="2708"/>
      <c r="L35" s="2708"/>
      <c r="M35" s="2715"/>
      <c r="N35" s="2707"/>
      <c r="O35" s="2708"/>
      <c r="P35" s="2708"/>
      <c r="Q35" s="2715"/>
      <c r="R35" s="2707"/>
      <c r="S35" s="2708"/>
      <c r="T35" s="2708"/>
      <c r="U35" s="2715"/>
      <c r="V35" s="2707"/>
      <c r="W35" s="2708"/>
      <c r="X35" s="2708"/>
      <c r="Y35" s="2709"/>
      <c r="Z35" s="186"/>
      <c r="AA35" s="2714"/>
      <c r="AB35" s="2708"/>
      <c r="AC35" s="2708"/>
      <c r="AD35" s="2715"/>
      <c r="AE35" s="2707"/>
      <c r="AF35" s="2708"/>
      <c r="AG35" s="2708"/>
      <c r="AH35" s="2715"/>
      <c r="AI35" s="2707"/>
      <c r="AJ35" s="2708"/>
      <c r="AK35" s="2708"/>
      <c r="AL35" s="2709"/>
      <c r="AM35" s="48"/>
      <c r="AN35" s="48"/>
      <c r="AO35" s="48"/>
      <c r="AP35" s="48"/>
      <c r="AQ35" s="48"/>
      <c r="AR35" s="48"/>
      <c r="AS35" s="48"/>
    </row>
    <row r="36" spans="1:45" ht="19.5" customHeight="1" x14ac:dyDescent="0.2">
      <c r="A36" s="48"/>
      <c r="B36" s="613" t="str">
        <f>$M$98</f>
        <v>IVA</v>
      </c>
      <c r="C36" s="2676" t="s">
        <v>195</v>
      </c>
      <c r="D36" s="2677"/>
      <c r="E36" s="1818">
        <f ca="1">IF(OR(AND($H$142=0,$C$142&lt;0),ISERROR($O$142)),0,SUM(J36:Y36)+SUM(AA36:AL36))</f>
        <v>0</v>
      </c>
      <c r="F36" s="1819"/>
      <c r="G36" s="1819"/>
      <c r="H36" s="1820"/>
      <c r="I36" s="48"/>
      <c r="J36" s="2690"/>
      <c r="K36" s="2691"/>
      <c r="L36" s="2691"/>
      <c r="M36" s="2692"/>
      <c r="N36" s="2693"/>
      <c r="O36" s="2691"/>
      <c r="P36" s="2691"/>
      <c r="Q36" s="2692"/>
      <c r="R36" s="2693"/>
      <c r="S36" s="2691"/>
      <c r="T36" s="2691"/>
      <c r="U36" s="2692"/>
      <c r="V36" s="2693"/>
      <c r="W36" s="2691"/>
      <c r="X36" s="2691"/>
      <c r="Y36" s="2705"/>
      <c r="Z36" s="48"/>
      <c r="AA36" s="2690"/>
      <c r="AB36" s="2691"/>
      <c r="AC36" s="2691"/>
      <c r="AD36" s="2692"/>
      <c r="AE36" s="2693"/>
      <c r="AF36" s="2691"/>
      <c r="AG36" s="2691"/>
      <c r="AH36" s="2692"/>
      <c r="AI36" s="2693"/>
      <c r="AJ36" s="2691"/>
      <c r="AK36" s="2691"/>
      <c r="AL36" s="2705"/>
      <c r="AM36" s="48"/>
      <c r="AN36" s="48"/>
      <c r="AO36" s="48"/>
      <c r="AP36" s="48"/>
      <c r="AQ36" s="48"/>
      <c r="AR36" s="48"/>
      <c r="AS36" s="48"/>
    </row>
    <row r="37" spans="1:45" ht="9" customHeight="1" x14ac:dyDescent="0.2">
      <c r="A37" s="48"/>
      <c r="B37" s="614"/>
      <c r="C37" s="185"/>
      <c r="D37" s="185"/>
      <c r="E37" s="186"/>
      <c r="F37" s="186"/>
      <c r="G37" s="186"/>
      <c r="H37" s="186"/>
      <c r="I37" s="186"/>
      <c r="J37" s="2706"/>
      <c r="K37" s="2706"/>
      <c r="L37" s="2706"/>
      <c r="M37" s="2706"/>
      <c r="N37" s="2706"/>
      <c r="O37" s="2706"/>
      <c r="P37" s="2706"/>
      <c r="Q37" s="2706"/>
      <c r="R37" s="2706"/>
      <c r="S37" s="2706"/>
      <c r="T37" s="2706"/>
      <c r="U37" s="2706"/>
      <c r="V37" s="2706"/>
      <c r="W37" s="2706"/>
      <c r="X37" s="2706"/>
      <c r="Y37" s="2706"/>
      <c r="Z37" s="186"/>
      <c r="AA37" s="2718"/>
      <c r="AB37" s="2718"/>
      <c r="AC37" s="2718"/>
      <c r="AD37" s="2718"/>
      <c r="AE37" s="2718"/>
      <c r="AF37" s="2718"/>
      <c r="AG37" s="2718"/>
      <c r="AH37" s="2718"/>
      <c r="AI37" s="2718"/>
      <c r="AJ37" s="2718"/>
      <c r="AK37" s="2718"/>
      <c r="AL37" s="2718"/>
      <c r="AM37" s="48"/>
      <c r="AN37" s="48"/>
      <c r="AO37" s="48"/>
      <c r="AP37" s="48"/>
      <c r="AQ37" s="48"/>
      <c r="AR37" s="48"/>
      <c r="AS37" s="48"/>
    </row>
    <row r="38" spans="1:45" ht="18" customHeight="1" x14ac:dyDescent="0.2">
      <c r="A38" s="48"/>
      <c r="B38" s="614"/>
      <c r="C38" s="185"/>
      <c r="D38" s="185"/>
      <c r="E38" s="186"/>
      <c r="F38" s="186"/>
      <c r="G38" s="186"/>
      <c r="H38" s="186"/>
      <c r="I38" s="186"/>
      <c r="J38" s="611" t="s">
        <v>590</v>
      </c>
      <c r="K38" s="608"/>
      <c r="L38" s="608"/>
      <c r="M38" s="608"/>
      <c r="N38" s="608"/>
      <c r="O38" s="608"/>
      <c r="P38" s="608"/>
      <c r="Q38" s="608"/>
      <c r="R38" s="608"/>
      <c r="S38" s="608"/>
      <c r="T38" s="608"/>
      <c r="U38" s="608"/>
      <c r="V38" s="609"/>
      <c r="W38" s="609"/>
      <c r="X38" s="609"/>
      <c r="Y38" s="609"/>
      <c r="Z38" s="186"/>
      <c r="AA38" s="610"/>
      <c r="AB38" s="610"/>
      <c r="AC38" s="610"/>
      <c r="AD38" s="610"/>
      <c r="AE38" s="610"/>
      <c r="AF38" s="610"/>
      <c r="AG38" s="610"/>
      <c r="AH38" s="610"/>
      <c r="AI38" s="610"/>
      <c r="AJ38" s="610"/>
      <c r="AK38" s="610"/>
      <c r="AL38" s="610"/>
      <c r="AM38" s="48"/>
      <c r="AN38" s="48"/>
      <c r="AO38" s="48"/>
      <c r="AP38" s="48"/>
      <c r="AQ38" s="48"/>
      <c r="AR38" s="48"/>
      <c r="AS38" s="48"/>
    </row>
    <row r="39" spans="1:45" ht="19.5" customHeight="1" x14ac:dyDescent="0.2">
      <c r="A39" s="48"/>
      <c r="B39" s="613" t="str">
        <f>$K$98</f>
        <v>LORDO</v>
      </c>
      <c r="C39" s="2716">
        <f>C33-1</f>
        <v>2021</v>
      </c>
      <c r="D39" s="2717"/>
      <c r="E39" s="2671">
        <f ca="1">IF(OR(AND($H$142=0,$C$142&lt;0),ISERROR($O$142)),0,SUM(J39:Y39)+SUM(AA39:AL39))</f>
        <v>0</v>
      </c>
      <c r="F39" s="2672"/>
      <c r="G39" s="2672"/>
      <c r="H39" s="2673"/>
      <c r="I39" s="619"/>
      <c r="J39" s="2710">
        <f ca="1">IF(OR(AND($H$142=0,$C$142&lt;0),ISERROR($O$142),$AB$142=FALSE),0,J41+J42)</f>
        <v>0</v>
      </c>
      <c r="K39" s="2711"/>
      <c r="L39" s="2711"/>
      <c r="M39" s="2711"/>
      <c r="N39" s="2711">
        <f ca="1">IF(OR(AND($H$142=0,$C$142&lt;0),ISERROR($O$142),$AB$142=FALSE),0,N41+N42)</f>
        <v>0</v>
      </c>
      <c r="O39" s="2711"/>
      <c r="P39" s="2711"/>
      <c r="Q39" s="2711"/>
      <c r="R39" s="2712">
        <f ca="1">IF(OR(AND($H$142=0,$C$142&lt;0),ISERROR($O$142),$AB$142=FALSE),0,R41+R42)</f>
        <v>0</v>
      </c>
      <c r="S39" s="2672"/>
      <c r="T39" s="2672"/>
      <c r="U39" s="2713"/>
      <c r="V39" s="2712">
        <f ca="1">IF(OR(AND($H$142=0,$C$142&lt;0),ISERROR($O$142),$AB$142=FALSE),0,V41+V42)</f>
        <v>0</v>
      </c>
      <c r="W39" s="2672"/>
      <c r="X39" s="2672"/>
      <c r="Y39" s="2673"/>
      <c r="Z39" s="186"/>
      <c r="AA39" s="2671">
        <f ca="1">IF(OR(AND($H$142=0,$C$142&lt;0),ISERROR($O$142),$AB$142=FALSE),0,AA41+AA42)</f>
        <v>0</v>
      </c>
      <c r="AB39" s="2672"/>
      <c r="AC39" s="2672"/>
      <c r="AD39" s="2713"/>
      <c r="AE39" s="2712">
        <f ca="1">IF(OR(AND($H$142=0,$C$142&lt;0),ISERROR($O$142),$AB$142=FALSE),0,AE41+AE42)</f>
        <v>0</v>
      </c>
      <c r="AF39" s="2672"/>
      <c r="AG39" s="2672"/>
      <c r="AH39" s="2713"/>
      <c r="AI39" s="2712">
        <f ca="1">IF(OR(AND($H$142=0,$C$142&lt;0),ISERROR($O$142),$AB$142=FALSE),0,AI41+AI42)</f>
        <v>0</v>
      </c>
      <c r="AJ39" s="2672"/>
      <c r="AK39" s="2672"/>
      <c r="AL39" s="2673"/>
      <c r="AM39" s="48"/>
      <c r="AN39" s="48"/>
      <c r="AO39" s="48"/>
      <c r="AP39" s="48"/>
      <c r="AQ39" s="48"/>
      <c r="AR39" s="48"/>
      <c r="AS39" s="48"/>
    </row>
    <row r="40" spans="1:45" ht="4.5" customHeight="1" x14ac:dyDescent="0.2">
      <c r="A40" s="48"/>
      <c r="B40" s="613"/>
      <c r="C40" s="185"/>
      <c r="D40" s="185"/>
      <c r="E40" s="186"/>
      <c r="F40" s="186"/>
      <c r="G40" s="186"/>
      <c r="H40" s="186"/>
      <c r="I40" s="186"/>
      <c r="J40" s="185"/>
      <c r="K40" s="185"/>
      <c r="L40" s="185"/>
      <c r="M40" s="185"/>
      <c r="N40" s="185"/>
      <c r="O40" s="185"/>
      <c r="P40" s="185"/>
      <c r="Q40" s="185"/>
      <c r="R40" s="185"/>
      <c r="S40" s="185"/>
      <c r="T40" s="185"/>
      <c r="U40" s="185"/>
      <c r="V40" s="185"/>
      <c r="W40" s="185"/>
      <c r="X40" s="185"/>
      <c r="Y40" s="621"/>
      <c r="Z40" s="186"/>
      <c r="AA40" s="185"/>
      <c r="AB40" s="185"/>
      <c r="AC40" s="185"/>
      <c r="AD40" s="185"/>
      <c r="AE40" s="185"/>
      <c r="AF40" s="185"/>
      <c r="AG40" s="185"/>
      <c r="AH40" s="185"/>
      <c r="AI40" s="186"/>
      <c r="AJ40" s="186"/>
      <c r="AK40" s="186"/>
      <c r="AL40" s="186"/>
      <c r="AM40" s="48"/>
      <c r="AN40" s="48"/>
      <c r="AO40" s="48"/>
      <c r="AP40" s="48"/>
      <c r="AQ40" s="48"/>
      <c r="AR40" s="48"/>
      <c r="AS40" s="48"/>
    </row>
    <row r="41" spans="1:45" ht="19.5" customHeight="1" x14ac:dyDescent="0.2">
      <c r="A41" s="48"/>
      <c r="B41" s="613" t="str">
        <f>$L$98</f>
        <v>NETTO</v>
      </c>
      <c r="C41" s="2680" t="s">
        <v>194</v>
      </c>
      <c r="D41" s="2681"/>
      <c r="E41" s="1891">
        <f ca="1">IF(OR(AND($H$142=0,$C$142&lt;0),ISERROR($O$142)),0,SUM(J41:Y41)+SUM(AA41:AL41))</f>
        <v>0</v>
      </c>
      <c r="F41" s="1892"/>
      <c r="G41" s="1892"/>
      <c r="H41" s="1893"/>
      <c r="I41" s="48"/>
      <c r="J41" s="2714"/>
      <c r="K41" s="2708"/>
      <c r="L41" s="2708"/>
      <c r="M41" s="2715"/>
      <c r="N41" s="2707"/>
      <c r="O41" s="2708"/>
      <c r="P41" s="2708"/>
      <c r="Q41" s="2715"/>
      <c r="R41" s="2707"/>
      <c r="S41" s="2708"/>
      <c r="T41" s="2708"/>
      <c r="U41" s="2715"/>
      <c r="V41" s="2707"/>
      <c r="W41" s="2708"/>
      <c r="X41" s="2708"/>
      <c r="Y41" s="2709"/>
      <c r="Z41" s="186"/>
      <c r="AA41" s="2714"/>
      <c r="AB41" s="2708"/>
      <c r="AC41" s="2708"/>
      <c r="AD41" s="2715"/>
      <c r="AE41" s="2707"/>
      <c r="AF41" s="2708"/>
      <c r="AG41" s="2708"/>
      <c r="AH41" s="2715"/>
      <c r="AI41" s="2707"/>
      <c r="AJ41" s="2708"/>
      <c r="AK41" s="2708"/>
      <c r="AL41" s="2709"/>
      <c r="AM41" s="48"/>
      <c r="AN41" s="48"/>
      <c r="AO41" s="48"/>
      <c r="AP41" s="48"/>
      <c r="AQ41" s="48"/>
      <c r="AR41" s="48"/>
      <c r="AS41" s="48"/>
    </row>
    <row r="42" spans="1:45" ht="19.5" customHeight="1" x14ac:dyDescent="0.2">
      <c r="A42" s="48"/>
      <c r="B42" s="613" t="str">
        <f>$M$98</f>
        <v>IVA</v>
      </c>
      <c r="C42" s="2676" t="s">
        <v>195</v>
      </c>
      <c r="D42" s="2677"/>
      <c r="E42" s="1818">
        <f ca="1">IF(OR(AND($H$142=0,$C$142&lt;0),ISERROR($O$142)),0,SUM(J42:Y42)+SUM(AA42:AL42))</f>
        <v>0</v>
      </c>
      <c r="F42" s="1819"/>
      <c r="G42" s="1819"/>
      <c r="H42" s="1820"/>
      <c r="I42" s="48"/>
      <c r="J42" s="2690"/>
      <c r="K42" s="2691"/>
      <c r="L42" s="2691"/>
      <c r="M42" s="2692"/>
      <c r="N42" s="2693"/>
      <c r="O42" s="2691"/>
      <c r="P42" s="2691"/>
      <c r="Q42" s="2692"/>
      <c r="R42" s="2693"/>
      <c r="S42" s="2691"/>
      <c r="T42" s="2691"/>
      <c r="U42" s="2692"/>
      <c r="V42" s="2693"/>
      <c r="W42" s="2691"/>
      <c r="X42" s="2691"/>
      <c r="Y42" s="2705"/>
      <c r="Z42" s="48"/>
      <c r="AA42" s="2690"/>
      <c r="AB42" s="2691"/>
      <c r="AC42" s="2691"/>
      <c r="AD42" s="2692"/>
      <c r="AE42" s="2693"/>
      <c r="AF42" s="2691"/>
      <c r="AG42" s="2691"/>
      <c r="AH42" s="2692"/>
      <c r="AI42" s="2693"/>
      <c r="AJ42" s="2691"/>
      <c r="AK42" s="2691"/>
      <c r="AL42" s="2705"/>
      <c r="AM42" s="48"/>
      <c r="AN42" s="48"/>
      <c r="AO42" s="48"/>
      <c r="AP42" s="48"/>
      <c r="AQ42" s="48"/>
      <c r="AR42" s="48"/>
      <c r="AS42" s="48"/>
    </row>
    <row r="43" spans="1:45" ht="12" customHeight="1" x14ac:dyDescent="0.2">
      <c r="A43" s="48"/>
      <c r="B43" s="48"/>
      <c r="C43" s="185"/>
      <c r="D43" s="185"/>
      <c r="E43" s="186"/>
      <c r="F43" s="186"/>
      <c r="G43" s="186"/>
      <c r="H43" s="186"/>
      <c r="I43" s="186"/>
      <c r="J43" s="2706"/>
      <c r="K43" s="2706"/>
      <c r="L43" s="2706"/>
      <c r="M43" s="2706"/>
      <c r="N43" s="2706"/>
      <c r="O43" s="2706"/>
      <c r="P43" s="2706"/>
      <c r="Q43" s="2706"/>
      <c r="R43" s="2706"/>
      <c r="S43" s="2706"/>
      <c r="T43" s="2706"/>
      <c r="U43" s="2706"/>
      <c r="V43" s="2706"/>
      <c r="W43" s="2706"/>
      <c r="X43" s="2706"/>
      <c r="Y43" s="2706"/>
      <c r="Z43" s="186"/>
      <c r="AA43" s="2718"/>
      <c r="AB43" s="2718"/>
      <c r="AC43" s="2718"/>
      <c r="AD43" s="2718"/>
      <c r="AE43" s="2718"/>
      <c r="AF43" s="2718"/>
      <c r="AG43" s="2718"/>
      <c r="AH43" s="2718"/>
      <c r="AI43" s="2718"/>
      <c r="AJ43" s="2718"/>
      <c r="AK43" s="2718"/>
      <c r="AL43" s="2718"/>
      <c r="AM43" s="48"/>
      <c r="AN43" s="48"/>
      <c r="AO43" s="48"/>
      <c r="AP43" s="48"/>
      <c r="AQ43" s="48"/>
      <c r="AR43" s="48"/>
      <c r="AS43" s="48"/>
    </row>
    <row r="44" spans="1:45" ht="12" customHeight="1" x14ac:dyDescent="0.2">
      <c r="A44" s="48"/>
      <c r="B44" s="186"/>
      <c r="C44" s="218"/>
      <c r="D44" s="218"/>
      <c r="E44" s="48"/>
      <c r="F44" s="48"/>
      <c r="G44" s="48"/>
      <c r="H44" s="48"/>
      <c r="I44" s="200"/>
      <c r="J44" s="616">
        <v>9</v>
      </c>
      <c r="K44" s="617"/>
      <c r="L44" s="617"/>
      <c r="M44" s="617"/>
      <c r="N44" s="616">
        <f>J44+4</f>
        <v>13</v>
      </c>
      <c r="O44" s="617"/>
      <c r="P44" s="617"/>
      <c r="Q44" s="617"/>
      <c r="R44" s="616">
        <f>N44+4</f>
        <v>17</v>
      </c>
      <c r="S44" s="617"/>
      <c r="T44" s="617"/>
      <c r="U44" s="617"/>
      <c r="V44" s="616">
        <f>R44+4</f>
        <v>21</v>
      </c>
      <c r="W44" s="617"/>
      <c r="X44" s="617"/>
      <c r="Y44" s="617"/>
      <c r="Z44" s="200"/>
      <c r="AA44" s="616">
        <v>26</v>
      </c>
      <c r="AB44" s="617"/>
      <c r="AC44" s="617"/>
      <c r="AD44" s="617"/>
      <c r="AE44" s="616">
        <f>AA44+4</f>
        <v>30</v>
      </c>
      <c r="AF44" s="617"/>
      <c r="AG44" s="617"/>
      <c r="AH44" s="617"/>
      <c r="AI44" s="616">
        <f>AE44+4</f>
        <v>34</v>
      </c>
      <c r="AJ44" s="617"/>
      <c r="AK44" s="617"/>
      <c r="AL44" s="617"/>
      <c r="AM44" s="200"/>
      <c r="AN44" s="200"/>
      <c r="AO44" s="200"/>
      <c r="AP44" s="48"/>
      <c r="AQ44" s="48"/>
      <c r="AR44" s="48"/>
      <c r="AS44" s="48"/>
    </row>
    <row r="45" spans="1:45" ht="7.5" customHeight="1" x14ac:dyDescent="0.2">
      <c r="A45" s="48"/>
      <c r="B45" s="186"/>
      <c r="C45" s="218"/>
      <c r="D45" s="218"/>
      <c r="E45" s="2104" t="e">
        <f>IF(AND(E$55&lt;&gt;0,E$55&gt;0),IF(($AR$92*9)&gt;=E$55,0,1),IF(AND(E$55&lt;&gt;0,E$55&lt;0),IF(($AR$92*9)&lt;=E$55,0,1),0))</f>
        <v>#N/A</v>
      </c>
      <c r="F45" s="2675"/>
      <c r="G45" s="2675"/>
      <c r="H45" s="2105"/>
      <c r="I45" s="622"/>
      <c r="J45" s="2104" t="e">
        <f>IF(AND(J$55&lt;&gt;0,J$55&gt;0),IF(($AR$55*9)&gt;=J$55,0,1),IF(AND(J$55&lt;&gt;0,J$55&lt;0),IF(($AR$55*9)&lt;=J$55,0,1),0))</f>
        <v>#N/A</v>
      </c>
      <c r="K45" s="2675"/>
      <c r="L45" s="2675"/>
      <c r="M45" s="2105"/>
      <c r="N45" s="2104" t="e">
        <f>IF(AND(N$55&lt;&gt;0,N$55&gt;0),IF(($AR$55*9)&gt;=N$55,0,1),IF(AND(N$55&lt;&gt;0,N$55&lt;0),IF(($AR$55*9)&lt;=N$55,0,1),0))</f>
        <v>#N/A</v>
      </c>
      <c r="O45" s="2675"/>
      <c r="P45" s="2675"/>
      <c r="Q45" s="2105"/>
      <c r="R45" s="2104" t="e">
        <f>IF(AND(R$55&lt;&gt;0,R$55&gt;0),IF(($AR$55*9)&gt;=R$55,0,1),IF(AND(R$55&lt;&gt;0,R$55&lt;0),IF(($AR$55*9)&lt;=R$55,0,1),0))</f>
        <v>#N/A</v>
      </c>
      <c r="S45" s="2675"/>
      <c r="T45" s="2675"/>
      <c r="U45" s="2105"/>
      <c r="V45" s="2104" t="e">
        <f>IF(AND(V$55&lt;&gt;0,V$55&gt;0),IF(($AR$55*9)&gt;=V$55,0,1),IF(AND(V$55&lt;&gt;0,V$55&lt;0),IF(($AR$55*9)&lt;=V$55,0,1),0))</f>
        <v>#N/A</v>
      </c>
      <c r="W45" s="2675"/>
      <c r="X45" s="2675"/>
      <c r="Y45" s="2105"/>
      <c r="Z45" s="200"/>
      <c r="AA45" s="2104" t="e">
        <f>IF(AND(AA$55&lt;&gt;0,AA$55&gt;0),IF(($AR$55*9)&gt;=AA$55,0,1),IF(AND(AA$55&lt;&gt;0,AA$55&lt;0),IF(($AR$55*9)&lt;=AA$55,0,1),0))</f>
        <v>#N/A</v>
      </c>
      <c r="AB45" s="2675"/>
      <c r="AC45" s="2675"/>
      <c r="AD45" s="2105"/>
      <c r="AE45" s="2104" t="e">
        <f>IF(AND(AE$55&lt;&gt;0,AE$55&gt;0),IF(($AR$55*9)&gt;=AE$55,0,1),IF(AND(AE$55&lt;&gt;0,AE$55&lt;0),IF(($AR$55*9)&lt;=AE$55,0,1),0))</f>
        <v>#N/A</v>
      </c>
      <c r="AF45" s="2675"/>
      <c r="AG45" s="2675"/>
      <c r="AH45" s="2105"/>
      <c r="AI45" s="2104" t="e">
        <f>IF(AND(AI$55&lt;&gt;0,AI$55&gt;0),IF(($AR$55*9)&gt;=AI$55,0,1),IF(AND(AI$55&lt;&gt;0,AI$55&lt;0),IF(($AR$55*9)&lt;=AI$55,0,1),0))</f>
        <v>#N/A</v>
      </c>
      <c r="AJ45" s="2675"/>
      <c r="AK45" s="2675"/>
      <c r="AL45" s="2105"/>
      <c r="AM45" s="200"/>
      <c r="AN45" s="200"/>
      <c r="AO45" s="200"/>
      <c r="AP45" s="48"/>
      <c r="AQ45" s="48"/>
      <c r="AR45" s="48"/>
      <c r="AS45" s="48"/>
    </row>
    <row r="46" spans="1:45" ht="7.5" customHeight="1" x14ac:dyDescent="0.2">
      <c r="A46" s="48"/>
      <c r="B46" s="186"/>
      <c r="C46" s="218"/>
      <c r="D46" s="218"/>
      <c r="E46" s="2061" t="e">
        <f>IF(AND(E$55&lt;&gt;0,E$55&gt;0),IF(($AR$92*8)&gt;=E$55,0,1),IF(AND(E$55&lt;&gt;0,E$55&lt;0),IF(($AR$92*8)&lt;=E$55,0,1),0))</f>
        <v>#N/A</v>
      </c>
      <c r="F46" s="2665"/>
      <c r="G46" s="2665"/>
      <c r="H46" s="2062"/>
      <c r="I46" s="622"/>
      <c r="J46" s="2061" t="e">
        <f>IF(AND(J$55&lt;&gt;0,J$55&gt;0),IF(($AR$55*8)&gt;=J$55,0,1),IF(AND(J$55&lt;&gt;0,J$55&lt;0),IF(($AR$55*8)&lt;=J$55,0,1),0))</f>
        <v>#N/A</v>
      </c>
      <c r="K46" s="2665"/>
      <c r="L46" s="2665"/>
      <c r="M46" s="2062"/>
      <c r="N46" s="2061" t="e">
        <f>IF(AND(N$55&lt;&gt;0,N$55&gt;0),IF(($AR$55*8)&gt;=N$55,0,1),IF(AND(N$55&lt;&gt;0,N$55&lt;0),IF(($AR$55*8)&lt;=N$55,0,1),0))</f>
        <v>#N/A</v>
      </c>
      <c r="O46" s="2665"/>
      <c r="P46" s="2665"/>
      <c r="Q46" s="2062"/>
      <c r="R46" s="2061" t="e">
        <f>IF(AND(R$55&lt;&gt;0,R$55&gt;0),IF(($AR$55*8)&gt;=R$55,0,1),IF(AND(R$55&lt;&gt;0,R$55&lt;0),IF(($AR$55*8)&lt;=R$55,0,1),0))</f>
        <v>#N/A</v>
      </c>
      <c r="S46" s="2665"/>
      <c r="T46" s="2665"/>
      <c r="U46" s="2062"/>
      <c r="V46" s="2061" t="e">
        <f>IF(AND(V$55&lt;&gt;0,V$55&gt;0),IF(($AR$55*8)&gt;=V$55,0,1),IF(AND(V$55&lt;&gt;0,V$55&lt;0),IF(($AR$55*8)&lt;=V$55,0,1),0))</f>
        <v>#N/A</v>
      </c>
      <c r="W46" s="2665"/>
      <c r="X46" s="2665"/>
      <c r="Y46" s="2062"/>
      <c r="Z46" s="200"/>
      <c r="AA46" s="2061" t="e">
        <f>IF(AND(AA$55&lt;&gt;0,AA$55&gt;0),IF(($AR$55*8)&gt;=AA$55,0,1),IF(AND(AA$55&lt;&gt;0,AA$55&lt;0),IF(($AR$55*8)&lt;=AA$55,0,1),0))</f>
        <v>#N/A</v>
      </c>
      <c r="AB46" s="2665"/>
      <c r="AC46" s="2665"/>
      <c r="AD46" s="2062"/>
      <c r="AE46" s="2061" t="e">
        <f>IF(AND(AE$55&lt;&gt;0,AE$55&gt;0),IF(($AR$55*8)&gt;=AE$55,0,1),IF(AND(AE$55&lt;&gt;0,AE$55&lt;0),IF(($AR$55*8)&lt;=AE$55,0,1),0))</f>
        <v>#N/A</v>
      </c>
      <c r="AF46" s="2665"/>
      <c r="AG46" s="2665"/>
      <c r="AH46" s="2062"/>
      <c r="AI46" s="2061" t="e">
        <f>IF(AND(AI$55&lt;&gt;0,AI$55&gt;0),IF(($AR$55*8)&gt;=AI$55,0,1),IF(AND(AI$55&lt;&gt;0,AI$55&lt;0),IF(($AR$55*8)&lt;=AI$55,0,1),0))</f>
        <v>#N/A</v>
      </c>
      <c r="AJ46" s="2665"/>
      <c r="AK46" s="2665"/>
      <c r="AL46" s="2062"/>
      <c r="AM46" s="200"/>
      <c r="AN46" s="200"/>
      <c r="AO46" s="200"/>
      <c r="AP46" s="48"/>
      <c r="AQ46" s="48"/>
      <c r="AR46" s="48"/>
      <c r="AS46" s="48"/>
    </row>
    <row r="47" spans="1:45" ht="7.5" customHeight="1" x14ac:dyDescent="0.2">
      <c r="A47" s="48"/>
      <c r="B47" s="186"/>
      <c r="C47" s="218"/>
      <c r="D47" s="218"/>
      <c r="E47" s="2061" t="e">
        <f>IF(AND(E$55&lt;&gt;0,E$55&gt;0),IF(($AR$92*7)&gt;=E$55,0,1),IF(AND(E$55&lt;&gt;0,E$55&lt;0),IF(($AR$92*7)&lt;=E$55,0,1),0))</f>
        <v>#N/A</v>
      </c>
      <c r="F47" s="2665"/>
      <c r="G47" s="2665"/>
      <c r="H47" s="2062"/>
      <c r="I47" s="622"/>
      <c r="J47" s="2061" t="e">
        <f>IF(AND(J$55&lt;&gt;0,J$55&gt;0),IF(($AR$55*7)&gt;=J$55,0,1),IF(AND(J$55&lt;&gt;0,J$55&lt;0),IF(($AR$55*7)&lt;=J$55,0,1),0))</f>
        <v>#N/A</v>
      </c>
      <c r="K47" s="2665"/>
      <c r="L47" s="2665"/>
      <c r="M47" s="2062"/>
      <c r="N47" s="2061" t="e">
        <f>IF(AND(N$55&lt;&gt;0,N$55&gt;0),IF(($AR$55*7)&gt;=N$55,0,1),IF(AND(N$55&lt;&gt;0,N$55&lt;0),IF(($AR$55*7)&lt;=N$55,0,1),0))</f>
        <v>#N/A</v>
      </c>
      <c r="O47" s="2665"/>
      <c r="P47" s="2665"/>
      <c r="Q47" s="2062"/>
      <c r="R47" s="2061" t="e">
        <f>IF(AND(R$55&lt;&gt;0,R$55&gt;0),IF(($AR$55*7)&gt;=R$55,0,1),IF(AND(R$55&lt;&gt;0,R$55&lt;0),IF(($AR$55*7)&lt;=R$55,0,1),0))</f>
        <v>#N/A</v>
      </c>
      <c r="S47" s="2665"/>
      <c r="T47" s="2665"/>
      <c r="U47" s="2062"/>
      <c r="V47" s="2061" t="e">
        <f>IF(AND(V$55&lt;&gt;0,V$55&gt;0),IF(($AR$55*7)&gt;=V$55,0,1),IF(AND(V$55&lt;&gt;0,V$55&lt;0),IF(($AR$55*7)&lt;=V$55,0,1),0))</f>
        <v>#N/A</v>
      </c>
      <c r="W47" s="2665"/>
      <c r="X47" s="2665"/>
      <c r="Y47" s="2062"/>
      <c r="Z47" s="200"/>
      <c r="AA47" s="2061" t="e">
        <f>IF(AND(AA$55&lt;&gt;0,AA$55&gt;0),IF(($AR$55*7)&gt;=AA$55,0,1),IF(AND(AA$55&lt;&gt;0,AA$55&lt;0),IF(($AR$55*7)&lt;=AA$55,0,1),0))</f>
        <v>#N/A</v>
      </c>
      <c r="AB47" s="2665"/>
      <c r="AC47" s="2665"/>
      <c r="AD47" s="2062"/>
      <c r="AE47" s="2061" t="e">
        <f>IF(AND(AE$55&lt;&gt;0,AE$55&gt;0),IF(($AR$55*7)&gt;=AE$55,0,1),IF(AND(AE$55&lt;&gt;0,AE$55&lt;0),IF(($AR$55*7)&lt;=AE$55,0,1),0))</f>
        <v>#N/A</v>
      </c>
      <c r="AF47" s="2665"/>
      <c r="AG47" s="2665"/>
      <c r="AH47" s="2062"/>
      <c r="AI47" s="2061" t="e">
        <f>IF(AND(AI$55&lt;&gt;0,AI$55&gt;0),IF(($AR$55*7)&gt;=AI$55,0,1),IF(AND(AI$55&lt;&gt;0,AI$55&lt;0),IF(($AR$55*7)&lt;=AI$55,0,1),0))</f>
        <v>#N/A</v>
      </c>
      <c r="AJ47" s="2665"/>
      <c r="AK47" s="2665"/>
      <c r="AL47" s="2062"/>
      <c r="AM47" s="200"/>
      <c r="AN47" s="200"/>
      <c r="AO47" s="200"/>
      <c r="AP47" s="48"/>
      <c r="AQ47" s="48"/>
      <c r="AR47" s="48"/>
      <c r="AS47" s="48"/>
    </row>
    <row r="48" spans="1:45" ht="7.5" customHeight="1" x14ac:dyDescent="0.2">
      <c r="A48" s="48"/>
      <c r="B48" s="186"/>
      <c r="C48" s="1802" t="s">
        <v>175</v>
      </c>
      <c r="D48" s="1802"/>
      <c r="E48" s="2061" t="e">
        <f>IF(AND(E$55&lt;&gt;0,E$55&gt;0),IF(($AR$92*6)&gt;=E$55,0,1),IF(AND(E$55&lt;&gt;0,E$55&lt;0),IF(($AR$92*6)&lt;=E$55,0,1),0))</f>
        <v>#N/A</v>
      </c>
      <c r="F48" s="2665"/>
      <c r="G48" s="2665"/>
      <c r="H48" s="2062"/>
      <c r="I48" s="622"/>
      <c r="J48" s="2061" t="e">
        <f>IF(AND(J$55&lt;&gt;0,J$55&gt;0),IF(($AR$55*6)&gt;=J$55,0,1),IF(AND(J$55&lt;&gt;0,J$55&lt;0),IF(($AR$55*6)&lt;=J$55,0,1),0))</f>
        <v>#N/A</v>
      </c>
      <c r="K48" s="2665"/>
      <c r="L48" s="2665"/>
      <c r="M48" s="2062"/>
      <c r="N48" s="2061" t="e">
        <f>IF(AND(N$55&lt;&gt;0,N$55&gt;0),IF(($AR$55*6)&gt;=N$55,0,1),IF(AND(N$55&lt;&gt;0,N$55&lt;0),IF(($AR$55*6)&lt;=N$55,0,1),0))</f>
        <v>#N/A</v>
      </c>
      <c r="O48" s="2665"/>
      <c r="P48" s="2665"/>
      <c r="Q48" s="2062"/>
      <c r="R48" s="2061" t="e">
        <f>IF(AND(R$55&lt;&gt;0,R$55&gt;0),IF(($AR$55*6)&gt;=R$55,0,1),IF(AND(R$55&lt;&gt;0,R$55&lt;0),IF(($AR$55*6)&lt;=R$55,0,1),0))</f>
        <v>#N/A</v>
      </c>
      <c r="S48" s="2665"/>
      <c r="T48" s="2665"/>
      <c r="U48" s="2062"/>
      <c r="V48" s="2061" t="e">
        <f>IF(AND(V$55&lt;&gt;0,V$55&gt;0),IF(($AR$55*6)&gt;=V$55,0,1),IF(AND(V$55&lt;&gt;0,V$55&lt;0),IF(($AR$55*6)&lt;=V$55,0,1),0))</f>
        <v>#N/A</v>
      </c>
      <c r="W48" s="2665"/>
      <c r="X48" s="2665"/>
      <c r="Y48" s="2062"/>
      <c r="Z48" s="200"/>
      <c r="AA48" s="2061" t="e">
        <f>IF(AND(AA$55&lt;&gt;0,AA$55&gt;0),IF(($AR$55*6)&gt;=AA$55,0,1),IF(AND(AA$55&lt;&gt;0,AA$55&lt;0),IF(($AR$55*6)&lt;=AA$55,0,1),0))</f>
        <v>#N/A</v>
      </c>
      <c r="AB48" s="2665"/>
      <c r="AC48" s="2665"/>
      <c r="AD48" s="2062"/>
      <c r="AE48" s="2061" t="e">
        <f>IF(AND(AE$55&lt;&gt;0,AE$55&gt;0),IF(($AR$55*6)&gt;=AE$55,0,1),IF(AND(AE$55&lt;&gt;0,AE$55&lt;0),IF(($AR$55*6)&lt;=AE$55,0,1),0))</f>
        <v>#N/A</v>
      </c>
      <c r="AF48" s="2665"/>
      <c r="AG48" s="2665"/>
      <c r="AH48" s="2062"/>
      <c r="AI48" s="2061" t="e">
        <f>IF(AND(AI$55&lt;&gt;0,AI$55&gt;0),IF(($AR$55*6)&gt;=AI$55,0,1),IF(AND(AI$55&lt;&gt;0,AI$55&lt;0),IF(($AR$55*6)&lt;=AI$55,0,1),0))</f>
        <v>#N/A</v>
      </c>
      <c r="AJ48" s="2665"/>
      <c r="AK48" s="2665"/>
      <c r="AL48" s="2062"/>
      <c r="AM48" s="200"/>
      <c r="AN48" s="200"/>
      <c r="AO48" s="200"/>
      <c r="AP48" s="48"/>
      <c r="AQ48" s="48"/>
      <c r="AR48" s="48"/>
      <c r="AS48" s="48"/>
    </row>
    <row r="49" spans="1:45" ht="7.5" customHeight="1" x14ac:dyDescent="0.2">
      <c r="A49" s="48"/>
      <c r="B49" s="186"/>
      <c r="C49" s="1802"/>
      <c r="D49" s="1802"/>
      <c r="E49" s="2061" t="e">
        <f>IF(AND(E$55&lt;&gt;0,E$55&gt;0),IF(($AR$92*5)&gt;=E$55,0,1),IF(AND(E$55&lt;&gt;0,E$55&lt;0),IF(($AR$92*5)&lt;=E$55,0,1),0))</f>
        <v>#N/A</v>
      </c>
      <c r="F49" s="2665"/>
      <c r="G49" s="2665"/>
      <c r="H49" s="2062"/>
      <c r="I49" s="622"/>
      <c r="J49" s="2061" t="e">
        <f>IF(AND(J$55&lt;&gt;0,J$55&gt;0),IF(($AR$55*5)&gt;=J$55,0,1),IF(AND(J$55&lt;&gt;0,J$55&lt;0),IF(($AR$55*5)&lt;=J$55,0,1),0))</f>
        <v>#N/A</v>
      </c>
      <c r="K49" s="2665"/>
      <c r="L49" s="2665"/>
      <c r="M49" s="2062"/>
      <c r="N49" s="2061" t="e">
        <f>IF(AND(N$55&lt;&gt;0,N$55&gt;0),IF(($AR$55*5)&gt;=N$55,0,1),IF(AND(N$55&lt;&gt;0,N$55&lt;0),IF(($AR$55*5)&lt;=N$55,0,1),0))</f>
        <v>#N/A</v>
      </c>
      <c r="O49" s="2665"/>
      <c r="P49" s="2665"/>
      <c r="Q49" s="2062"/>
      <c r="R49" s="2061" t="e">
        <f>IF(AND(R$55&lt;&gt;0,R$55&gt;0),IF(($AR$55*5)&gt;=R$55,0,1),IF(AND(R$55&lt;&gt;0,R$55&lt;0),IF(($AR$55*5)&lt;=R$55,0,1),0))</f>
        <v>#N/A</v>
      </c>
      <c r="S49" s="2665"/>
      <c r="T49" s="2665"/>
      <c r="U49" s="2062"/>
      <c r="V49" s="2061" t="e">
        <f>IF(AND(V$55&lt;&gt;0,V$55&gt;0),IF(($AR$55*5)&gt;=V$55,0,1),IF(AND(V$55&lt;&gt;0,V$55&lt;0),IF(($AR$55*5)&lt;=V$55,0,1),0))</f>
        <v>#N/A</v>
      </c>
      <c r="W49" s="2665"/>
      <c r="X49" s="2665"/>
      <c r="Y49" s="2062"/>
      <c r="Z49" s="200"/>
      <c r="AA49" s="2061" t="e">
        <f>IF(AND(AA$55&lt;&gt;0,AA$55&gt;0),IF(($AR$55*5)&gt;=AA$55,0,1),IF(AND(AA$55&lt;&gt;0,AA$55&lt;0),IF(($AR$55*5)&lt;=AA$55,0,1),0))</f>
        <v>#N/A</v>
      </c>
      <c r="AB49" s="2665"/>
      <c r="AC49" s="2665"/>
      <c r="AD49" s="2062"/>
      <c r="AE49" s="2061" t="e">
        <f>IF(AND(AE$55&lt;&gt;0,AE$55&gt;0),IF(($AR$55*5)&gt;=AE$55,0,1),IF(AND(AE$55&lt;&gt;0,AE$55&lt;0),IF(($AR$55*5)&lt;=AE$55,0,1),0))</f>
        <v>#N/A</v>
      </c>
      <c r="AF49" s="2665"/>
      <c r="AG49" s="2665"/>
      <c r="AH49" s="2062"/>
      <c r="AI49" s="2061" t="e">
        <f>IF(AND(AI$55&lt;&gt;0,AI$55&gt;0),IF(($AR$55*5)&gt;=AI$55,0,1),IF(AND(AI$55&lt;&gt;0,AI$55&lt;0),IF(($AR$55*5)&lt;=AI$55,0,1),0))</f>
        <v>#N/A</v>
      </c>
      <c r="AJ49" s="2665"/>
      <c r="AK49" s="2665"/>
      <c r="AL49" s="2062"/>
      <c r="AM49" s="200"/>
      <c r="AN49" s="200"/>
      <c r="AO49" s="200"/>
      <c r="AP49" s="48"/>
      <c r="AQ49" s="48"/>
      <c r="AR49" s="48"/>
      <c r="AS49" s="48"/>
    </row>
    <row r="50" spans="1:45" ht="7.5" customHeight="1" x14ac:dyDescent="0.2">
      <c r="A50" s="48"/>
      <c r="B50" s="186"/>
      <c r="C50" s="1802"/>
      <c r="D50" s="1802"/>
      <c r="E50" s="2061" t="e">
        <f>IF(AND(E$55&lt;&gt;0,E$55&gt;0),IF(($AR$92*4)&gt;=E$55,0,1),IF(AND(E$55&lt;&gt;0,E$55&lt;0),IF(($AR$92*4)&lt;=E$55,0,1),0))</f>
        <v>#N/A</v>
      </c>
      <c r="F50" s="2665"/>
      <c r="G50" s="2665"/>
      <c r="H50" s="2062"/>
      <c r="I50" s="622"/>
      <c r="J50" s="2061" t="e">
        <f>IF(AND(J$55&lt;&gt;0,J$55&gt;0),IF(($AR$55*4)&gt;=J$55,0,1),IF(AND(J$55&lt;&gt;0,J$55&lt;0),IF(($AR$55*4)&lt;=J$55,0,1),0))</f>
        <v>#N/A</v>
      </c>
      <c r="K50" s="2665"/>
      <c r="L50" s="2665"/>
      <c r="M50" s="2062"/>
      <c r="N50" s="2061" t="e">
        <f>IF(AND(N$55&lt;&gt;0,N$55&gt;0),IF(($AR$55*4)&gt;=N$55,0,1),IF(AND(N$55&lt;&gt;0,N$55&lt;0),IF(($AR$55*4)&lt;=N$55,0,1),0))</f>
        <v>#N/A</v>
      </c>
      <c r="O50" s="2665"/>
      <c r="P50" s="2665"/>
      <c r="Q50" s="2062"/>
      <c r="R50" s="2061" t="e">
        <f>IF(AND(R$55&lt;&gt;0,R$55&gt;0),IF(($AR$55*4)&gt;=R$55,0,1),IF(AND(R$55&lt;&gt;0,R$55&lt;0),IF(($AR$55*4)&lt;=R$55,0,1),0))</f>
        <v>#N/A</v>
      </c>
      <c r="S50" s="2665"/>
      <c r="T50" s="2665"/>
      <c r="U50" s="2062"/>
      <c r="V50" s="2061" t="e">
        <f>IF(AND(V$55&lt;&gt;0,V$55&gt;0),IF(($AR$55*4)&gt;=V$55,0,1),IF(AND(V$55&lt;&gt;0,V$55&lt;0),IF(($AR$55*4)&lt;=V$55,0,1),0))</f>
        <v>#N/A</v>
      </c>
      <c r="W50" s="2665"/>
      <c r="X50" s="2665"/>
      <c r="Y50" s="2062"/>
      <c r="Z50" s="200"/>
      <c r="AA50" s="2061" t="e">
        <f>IF(AND(AA$55&lt;&gt;0,AA$55&gt;0),IF(($AR$55*4)&gt;=AA$55,0,1),IF(AND(AA$55&lt;&gt;0,AA$55&lt;0),IF(($AR$55*4)&lt;=AA$55,0,1),0))</f>
        <v>#N/A</v>
      </c>
      <c r="AB50" s="2665"/>
      <c r="AC50" s="2665"/>
      <c r="AD50" s="2062"/>
      <c r="AE50" s="2061" t="e">
        <f>IF(AND(AE$55&lt;&gt;0,AE$55&gt;0),IF(($AR$55*4)&gt;=AE$55,0,1),IF(AND(AE$55&lt;&gt;0,AE$55&lt;0),IF(($AR$55*4)&lt;=AE$55,0,1),0))</f>
        <v>#N/A</v>
      </c>
      <c r="AF50" s="2665"/>
      <c r="AG50" s="2665"/>
      <c r="AH50" s="2062"/>
      <c r="AI50" s="2061" t="e">
        <f>IF(AND(AI$55&lt;&gt;0,AI$55&gt;0),IF(($AR$55*4)&gt;=AI$55,0,1),IF(AND(AI$55&lt;&gt;0,AI$55&lt;0),IF(($AR$55*4)&lt;=AI$55,0,1),0))</f>
        <v>#N/A</v>
      </c>
      <c r="AJ50" s="2665"/>
      <c r="AK50" s="2665"/>
      <c r="AL50" s="2062"/>
      <c r="AM50" s="200"/>
      <c r="AN50" s="200"/>
      <c r="AO50" s="200"/>
      <c r="AP50" s="48"/>
      <c r="AQ50" s="48"/>
      <c r="AR50" s="48"/>
      <c r="AS50" s="48"/>
    </row>
    <row r="51" spans="1:45" ht="7.5" customHeight="1" x14ac:dyDescent="0.2">
      <c r="A51" s="48"/>
      <c r="B51" s="186"/>
      <c r="C51" s="1802"/>
      <c r="D51" s="1802"/>
      <c r="E51" s="2061" t="e">
        <f>IF(AND(E$55&lt;&gt;0,E$55&gt;0),IF(($AR$92*3)&gt;=E$55,0,1),IF(AND(E$55&lt;&gt;0,E$55&lt;0),IF(($AR$92*3)&lt;=E$55,0,1),0))</f>
        <v>#N/A</v>
      </c>
      <c r="F51" s="2665"/>
      <c r="G51" s="2665"/>
      <c r="H51" s="2062"/>
      <c r="I51" s="622"/>
      <c r="J51" s="2061" t="e">
        <f>IF(AND(J$55&lt;&gt;0,J$55&gt;0),IF(($AR$55*3)&gt;=J$55,0,1),IF(AND(J$55&lt;&gt;0,J$55&lt;0),IF(($AR$55*3)&lt;=J$55,0,1),0))</f>
        <v>#N/A</v>
      </c>
      <c r="K51" s="2665"/>
      <c r="L51" s="2665"/>
      <c r="M51" s="2062"/>
      <c r="N51" s="2061" t="e">
        <f>IF(AND(N$55&lt;&gt;0,N$55&gt;0),IF(($AR$55*3)&gt;=N$55,0,1),IF(AND(N$55&lt;&gt;0,N$55&lt;0),IF(($AR$55*3)&lt;=N$55,0,1),0))</f>
        <v>#N/A</v>
      </c>
      <c r="O51" s="2665"/>
      <c r="P51" s="2665"/>
      <c r="Q51" s="2062"/>
      <c r="R51" s="2061" t="e">
        <f>IF(AND(R$55&lt;&gt;0,R$55&gt;0),IF(($AR$55*3)&gt;=R$55,0,1),IF(AND(R$55&lt;&gt;0,R$55&lt;0),IF(($AR$55*3)&lt;=R$55,0,1),0))</f>
        <v>#N/A</v>
      </c>
      <c r="S51" s="2665"/>
      <c r="T51" s="2665"/>
      <c r="U51" s="2062"/>
      <c r="V51" s="2061" t="e">
        <f>IF(AND(V$55&lt;&gt;0,V$55&gt;0),IF(($AR$55*3)&gt;=V$55,0,1),IF(AND(V$55&lt;&gt;0,V$55&lt;0),IF(($AR$55*3)&lt;=V$55,0,1),0))</f>
        <v>#N/A</v>
      </c>
      <c r="W51" s="2665"/>
      <c r="X51" s="2665"/>
      <c r="Y51" s="2062"/>
      <c r="Z51" s="200"/>
      <c r="AA51" s="2061" t="e">
        <f>IF(AND(AA$55&lt;&gt;0,AA$55&gt;0),IF(($AR$55*3)&gt;=AA$55,0,1),IF(AND(AA$55&lt;&gt;0,AA$55&lt;0),IF(($AR$55*3)&lt;=AA$55,0,1),0))</f>
        <v>#N/A</v>
      </c>
      <c r="AB51" s="2665"/>
      <c r="AC51" s="2665"/>
      <c r="AD51" s="2062"/>
      <c r="AE51" s="2061" t="e">
        <f>IF(AND(AE$55&lt;&gt;0,AE$55&gt;0),IF(($AR$55*3)&gt;=AE$55,0,1),IF(AND(AE$55&lt;&gt;0,AE$55&lt;0),IF(($AR$55*3)&lt;=AE$55,0,1),0))</f>
        <v>#N/A</v>
      </c>
      <c r="AF51" s="2665"/>
      <c r="AG51" s="2665"/>
      <c r="AH51" s="2062"/>
      <c r="AI51" s="2061" t="e">
        <f>IF(AND(AI$55&lt;&gt;0,AI$55&gt;0),IF(($AR$55*3)&gt;=AI$55,0,1),IF(AND(AI$55&lt;&gt;0,AI$55&lt;0),IF(($AR$55*3)&lt;=AI$55,0,1),0))</f>
        <v>#N/A</v>
      </c>
      <c r="AJ51" s="2665"/>
      <c r="AK51" s="2665"/>
      <c r="AL51" s="2062"/>
      <c r="AM51" s="200"/>
      <c r="AN51" s="200"/>
      <c r="AO51" s="200"/>
      <c r="AP51" s="48"/>
      <c r="AQ51" s="48"/>
      <c r="AR51" s="48"/>
      <c r="AS51" s="48"/>
    </row>
    <row r="52" spans="1:45" ht="7.5" customHeight="1" x14ac:dyDescent="0.2">
      <c r="A52" s="48"/>
      <c r="B52" s="186"/>
      <c r="C52" s="1802"/>
      <c r="D52" s="1802"/>
      <c r="E52" s="2061" t="e">
        <f>IF(AND(E$55&lt;&gt;0,E$55&gt;0),IF(($AR$92*2)&gt;=E$55,0,1),IF(AND(E$55&lt;&gt;0,E$55&lt;0),IF(($AR$92*2)&lt;=E$55,0,1),0))</f>
        <v>#N/A</v>
      </c>
      <c r="F52" s="2665"/>
      <c r="G52" s="2665"/>
      <c r="H52" s="2062"/>
      <c r="I52" s="622"/>
      <c r="J52" s="2061" t="e">
        <f>IF(AND(J$55&lt;&gt;0,J$55&gt;0),IF(($AR$55*2)&gt;=J$55,0,1),IF(AND(J$55&lt;&gt;0,J$55&lt;0),IF(($AR$55*2)&lt;=J$55,0,1),0))</f>
        <v>#N/A</v>
      </c>
      <c r="K52" s="2665"/>
      <c r="L52" s="2665"/>
      <c r="M52" s="2062"/>
      <c r="N52" s="2061" t="e">
        <f>IF(AND(N$55&lt;&gt;0,N$55&gt;0),IF(($AR$55*2)&gt;=N$55,0,1),IF(AND(N$55&lt;&gt;0,N$55&lt;0),IF(($AR$55*2)&lt;=N$55,0,1),0))</f>
        <v>#N/A</v>
      </c>
      <c r="O52" s="2665"/>
      <c r="P52" s="2665"/>
      <c r="Q52" s="2062"/>
      <c r="R52" s="2061" t="e">
        <f>IF(AND(R$55&lt;&gt;0,R$55&gt;0),IF(($AR$55*2)&gt;=R$55,0,1),IF(AND(R$55&lt;&gt;0,R$55&lt;0),IF(($AR$55*2)&lt;=R$55,0,1),0))</f>
        <v>#N/A</v>
      </c>
      <c r="S52" s="2665"/>
      <c r="T52" s="2665"/>
      <c r="U52" s="2062"/>
      <c r="V52" s="2061" t="e">
        <f>IF(AND(V$55&lt;&gt;0,V$55&gt;0),IF(($AR$55*2)&gt;=V$55,0,1),IF(AND(V$55&lt;&gt;0,V$55&lt;0),IF(($AR$55*2)&lt;=V$55,0,1),0))</f>
        <v>#N/A</v>
      </c>
      <c r="W52" s="2665"/>
      <c r="X52" s="2665"/>
      <c r="Y52" s="2062"/>
      <c r="Z52" s="200"/>
      <c r="AA52" s="2061" t="e">
        <f>IF(AND(AA$55&lt;&gt;0,AA$55&gt;0),IF(($AR$55*2)&gt;=AA$55,0,1),IF(AND(AA$55&lt;&gt;0,AA$55&lt;0),IF(($AR$55*2)&lt;=AA$55,0,1),0))</f>
        <v>#N/A</v>
      </c>
      <c r="AB52" s="2665"/>
      <c r="AC52" s="2665"/>
      <c r="AD52" s="2062"/>
      <c r="AE52" s="2061" t="e">
        <f>IF(AND(AE$55&lt;&gt;0,AE$55&gt;0),IF(($AR$55*2)&gt;=AE$55,0,1),IF(AND(AE$55&lt;&gt;0,AE$55&lt;0),IF(($AR$55*2)&lt;=AE$55,0,1),0))</f>
        <v>#N/A</v>
      </c>
      <c r="AF52" s="2665"/>
      <c r="AG52" s="2665"/>
      <c r="AH52" s="2062"/>
      <c r="AI52" s="2061" t="e">
        <f>IF(AND(AI$55&lt;&gt;0,AI$55&gt;0),IF(($AR$55*2)&gt;=AI$55,0,1),IF(AND(AI$55&lt;&gt;0,AI$55&lt;0),IF(($AR$55*2)&lt;=AI$55,0,1),0))</f>
        <v>#N/A</v>
      </c>
      <c r="AJ52" s="2665"/>
      <c r="AK52" s="2665"/>
      <c r="AL52" s="2062"/>
      <c r="AM52" s="200"/>
      <c r="AN52" s="200"/>
      <c r="AO52" s="200"/>
      <c r="AP52" s="48"/>
      <c r="AQ52" s="48"/>
      <c r="AR52" s="48"/>
      <c r="AS52" s="48"/>
    </row>
    <row r="53" spans="1:45" ht="7.5" customHeight="1" x14ac:dyDescent="0.2">
      <c r="A53" s="48"/>
      <c r="B53" s="186"/>
      <c r="C53" s="1802"/>
      <c r="D53" s="1802"/>
      <c r="E53" s="2061" t="e">
        <f>IF(AND(E$55&lt;&gt;0,E$55&gt;0),IF(($AR$92*1)&gt;=E$55,0,1),IF(AND(E$55&lt;&gt;0,E$55&lt;0),IF(($AR$92*1)&lt;=E$55,0,1),0))</f>
        <v>#N/A</v>
      </c>
      <c r="F53" s="2665"/>
      <c r="G53" s="2665"/>
      <c r="H53" s="2062"/>
      <c r="I53" s="622"/>
      <c r="J53" s="2061" t="e">
        <f>IF(AND(J$55&lt;&gt;0,J$55&gt;0),IF(($AR$55*1)&gt;=J$55,0,1),IF(AND(J$55&lt;&gt;0,J$55&lt;0),IF(($AR$55*1)&lt;=J$55,0,1),0))</f>
        <v>#N/A</v>
      </c>
      <c r="K53" s="2665"/>
      <c r="L53" s="2665"/>
      <c r="M53" s="2062"/>
      <c r="N53" s="2061" t="e">
        <f>IF(AND(N$55&lt;&gt;0,N$55&gt;0),IF(($AR$55*1)&gt;=N$55,0,1),IF(AND(N$55&lt;&gt;0,N$55&lt;0),IF(($AR$55*1)&lt;=N$55,0,1),0))</f>
        <v>#N/A</v>
      </c>
      <c r="O53" s="2665"/>
      <c r="P53" s="2665"/>
      <c r="Q53" s="2062"/>
      <c r="R53" s="2061" t="e">
        <f>IF(AND(R$55&lt;&gt;0,R$55&gt;0),IF(($AR$55*1)&gt;=R$55,0,1),IF(AND(R$55&lt;&gt;0,R$55&lt;0),IF(($AR$55*1)&lt;=R$55,0,1),0))</f>
        <v>#N/A</v>
      </c>
      <c r="S53" s="2665"/>
      <c r="T53" s="2665"/>
      <c r="U53" s="2062"/>
      <c r="V53" s="2061" t="e">
        <f>IF(AND(V$55&lt;&gt;0,V$55&gt;0),IF(($AR$55*1)&gt;=V$55,0,1),IF(AND(V$55&lt;&gt;0,V$55&lt;0),IF(($AR$55*1)&lt;=V$55,0,1),0))</f>
        <v>#N/A</v>
      </c>
      <c r="W53" s="2665"/>
      <c r="X53" s="2665"/>
      <c r="Y53" s="2062"/>
      <c r="Z53" s="200"/>
      <c r="AA53" s="2061" t="e">
        <f>IF(AND(AA$55&lt;&gt;0,AA$55&gt;0),IF(($AR$55*1)&gt;=AA$55,0,1),IF(AND(AA$55&lt;&gt;0,AA$55&lt;0),IF(($AR$55*1)&lt;=AA$55,0,1),0))</f>
        <v>#N/A</v>
      </c>
      <c r="AB53" s="2665"/>
      <c r="AC53" s="2665"/>
      <c r="AD53" s="2062"/>
      <c r="AE53" s="2061" t="e">
        <f>IF(AND(AE$55&lt;&gt;0,AE$55&gt;0),IF(($AR$55*1)&gt;=AE$55,0,1),IF(AND(AE$55&lt;&gt;0,AE$55&lt;0),IF(($AR$55*1)&lt;=AE$55,0,1),0))</f>
        <v>#N/A</v>
      </c>
      <c r="AF53" s="2665"/>
      <c r="AG53" s="2665"/>
      <c r="AH53" s="2062"/>
      <c r="AI53" s="2061" t="e">
        <f>IF(AND(AI$55&lt;&gt;0,AI$55&gt;0),IF(($AR$55*1)&gt;=AI$55,0,1),IF(AND(AI$55&lt;&gt;0,AI$55&lt;0),IF(($AR$55*1)&lt;=AI$55,0,1),0))</f>
        <v>#N/A</v>
      </c>
      <c r="AJ53" s="2665"/>
      <c r="AK53" s="2665"/>
      <c r="AL53" s="2062"/>
      <c r="AM53" s="200"/>
      <c r="AN53" s="200"/>
      <c r="AO53" s="200"/>
      <c r="AP53" s="48"/>
      <c r="AQ53" s="48"/>
      <c r="AR53" s="48"/>
      <c r="AS53" s="48"/>
    </row>
    <row r="54" spans="1:45" ht="7.5" customHeight="1" x14ac:dyDescent="0.2">
      <c r="A54" s="48"/>
      <c r="B54" s="186"/>
      <c r="C54" s="1802"/>
      <c r="D54" s="1802"/>
      <c r="E54" s="2199" t="e">
        <f>IF(E55&lt;&gt;0,1,0)</f>
        <v>#N/A</v>
      </c>
      <c r="F54" s="2674"/>
      <c r="G54" s="2674"/>
      <c r="H54" s="2200"/>
      <c r="I54" s="622"/>
      <c r="J54" s="2199" t="e">
        <f>IF(J55&lt;&gt;0,1,0)</f>
        <v>#N/A</v>
      </c>
      <c r="K54" s="2674"/>
      <c r="L54" s="2674"/>
      <c r="M54" s="2200"/>
      <c r="N54" s="2199" t="e">
        <f>IF(N55&lt;&gt;0,1,0)</f>
        <v>#N/A</v>
      </c>
      <c r="O54" s="2674"/>
      <c r="P54" s="2674"/>
      <c r="Q54" s="2200"/>
      <c r="R54" s="2199" t="e">
        <f>IF(R55&lt;&gt;0,1,0)</f>
        <v>#N/A</v>
      </c>
      <c r="S54" s="2674"/>
      <c r="T54" s="2674"/>
      <c r="U54" s="2200"/>
      <c r="V54" s="2199" t="e">
        <f>IF(V55&lt;&gt;0,1,0)</f>
        <v>#N/A</v>
      </c>
      <c r="W54" s="2674"/>
      <c r="X54" s="2674"/>
      <c r="Y54" s="2200"/>
      <c r="Z54" s="200"/>
      <c r="AA54" s="2199" t="e">
        <f>IF(AA55&lt;&gt;0,1,0)</f>
        <v>#N/A</v>
      </c>
      <c r="AB54" s="2674"/>
      <c r="AC54" s="2674"/>
      <c r="AD54" s="2200"/>
      <c r="AE54" s="2199" t="e">
        <f>IF(AE55&lt;&gt;0,1,0)</f>
        <v>#N/A</v>
      </c>
      <c r="AF54" s="2674"/>
      <c r="AG54" s="2674"/>
      <c r="AH54" s="2200"/>
      <c r="AI54" s="2199" t="e">
        <f>IF(AI55&lt;&gt;0,1,0)</f>
        <v>#N/A</v>
      </c>
      <c r="AJ54" s="2674"/>
      <c r="AK54" s="2674"/>
      <c r="AL54" s="2200"/>
      <c r="AM54" s="200"/>
      <c r="AN54" s="200"/>
      <c r="AO54" s="200"/>
      <c r="AP54" s="48"/>
      <c r="AQ54" s="48"/>
      <c r="AR54" s="48"/>
      <c r="AS54" s="48"/>
    </row>
    <row r="55" spans="1:45" ht="18" customHeight="1" x14ac:dyDescent="0.2">
      <c r="A55" s="48"/>
      <c r="B55" s="186"/>
      <c r="C55" s="2666">
        <f>C16</f>
        <v>2024</v>
      </c>
      <c r="D55" s="2666"/>
      <c r="E55" s="2655" t="e">
        <f>SUM(J55:Y55)+SUM(AA55:AL55)</f>
        <v>#N/A</v>
      </c>
      <c r="F55" s="2655"/>
      <c r="G55" s="2655"/>
      <c r="H55" s="2655"/>
      <c r="I55" s="622"/>
      <c r="J55" s="2655" t="e">
        <f>VLOOKUP($C$93,$B16:M19,J$44,FALSE)</f>
        <v>#N/A</v>
      </c>
      <c r="K55" s="2655"/>
      <c r="L55" s="2655"/>
      <c r="M55" s="2655"/>
      <c r="N55" s="2655" t="e">
        <f>VLOOKUP($C$93,$B16:Q19,N$44,FALSE)</f>
        <v>#N/A</v>
      </c>
      <c r="O55" s="2655"/>
      <c r="P55" s="2655"/>
      <c r="Q55" s="2655"/>
      <c r="R55" s="2655" t="e">
        <f>VLOOKUP($C$93,$B16:U19,R$44,FALSE)</f>
        <v>#N/A</v>
      </c>
      <c r="S55" s="2655"/>
      <c r="T55" s="2655"/>
      <c r="U55" s="2655"/>
      <c r="V55" s="2655" t="e">
        <f>VLOOKUP($C$93,$B16:Y19,V$44,FALSE)</f>
        <v>#N/A</v>
      </c>
      <c r="W55" s="2655"/>
      <c r="X55" s="2655"/>
      <c r="Y55" s="2655"/>
      <c r="Z55" s="200"/>
      <c r="AA55" s="2655" t="e">
        <f>VLOOKUP($C$93,$B16:AD19,AA$44,FALSE)</f>
        <v>#N/A</v>
      </c>
      <c r="AB55" s="2655"/>
      <c r="AC55" s="2655"/>
      <c r="AD55" s="2655"/>
      <c r="AE55" s="2655" t="e">
        <f>VLOOKUP($C$93,$B16:AH19,AE$44,FALSE)</f>
        <v>#N/A</v>
      </c>
      <c r="AF55" s="2655"/>
      <c r="AG55" s="2655"/>
      <c r="AH55" s="2655"/>
      <c r="AI55" s="2655" t="e">
        <f>VLOOKUP($C$93,$B16:AL19,AI$44,FALSE)</f>
        <v>#N/A</v>
      </c>
      <c r="AJ55" s="2655"/>
      <c r="AK55" s="2655"/>
      <c r="AL55" s="2655"/>
      <c r="AM55" s="200"/>
      <c r="AN55" s="200"/>
      <c r="AO55" s="200"/>
      <c r="AP55" s="48"/>
      <c r="AQ55" s="48"/>
      <c r="AR55" s="1318" t="e">
        <f>MAX(J55,N55,R55,V55,AA55,AE55,AI55)/10</f>
        <v>#N/A</v>
      </c>
      <c r="AS55" s="48"/>
    </row>
    <row r="56" spans="1:45" ht="12.75" customHeight="1" x14ac:dyDescent="0.2">
      <c r="A56" s="48"/>
      <c r="B56" s="186"/>
      <c r="C56" s="218"/>
      <c r="D56" s="218"/>
      <c r="E56" s="218"/>
      <c r="F56" s="218"/>
      <c r="G56" s="218"/>
      <c r="H56" s="218"/>
      <c r="I56" s="622"/>
      <c r="J56" s="218"/>
      <c r="K56" s="218"/>
      <c r="L56" s="218"/>
      <c r="M56" s="218"/>
      <c r="N56" s="218"/>
      <c r="O56" s="218"/>
      <c r="P56" s="218"/>
      <c r="Q56" s="218"/>
      <c r="R56" s="218"/>
      <c r="S56" s="218"/>
      <c r="T56" s="218"/>
      <c r="U56" s="218"/>
      <c r="V56" s="218"/>
      <c r="W56" s="218"/>
      <c r="X56" s="218"/>
      <c r="Y56" s="218"/>
      <c r="Z56" s="200"/>
      <c r="AA56" s="218"/>
      <c r="AB56" s="218"/>
      <c r="AC56" s="218"/>
      <c r="AD56" s="218"/>
      <c r="AE56" s="218"/>
      <c r="AF56" s="218"/>
      <c r="AG56" s="218"/>
      <c r="AH56" s="218"/>
      <c r="AI56" s="218"/>
      <c r="AJ56" s="218"/>
      <c r="AK56" s="218"/>
      <c r="AL56" s="218"/>
      <c r="AM56" s="200"/>
      <c r="AN56" s="200"/>
      <c r="AO56" s="200"/>
      <c r="AP56" s="48"/>
      <c r="AQ56" s="48"/>
      <c r="AR56" s="614"/>
      <c r="AS56" s="48"/>
    </row>
    <row r="57" spans="1:45" ht="7.5" customHeight="1" x14ac:dyDescent="0.2">
      <c r="A57" s="48"/>
      <c r="B57" s="186"/>
      <c r="C57" s="218"/>
      <c r="D57" s="218"/>
      <c r="E57" s="2659" t="e">
        <f>IF(AND(E$67&lt;&gt;0,E$67&gt;0),IF(($AR$92*9)&gt;=E$67,0,1),IF(AND(E$67&lt;&gt;0,E$67&lt;0),IF(($AR$92*9)&lt;=E$67,0,1),0))</f>
        <v>#N/A</v>
      </c>
      <c r="F57" s="2660"/>
      <c r="G57" s="2660"/>
      <c r="H57" s="2661"/>
      <c r="I57" s="622"/>
      <c r="J57" s="2659" t="e">
        <f>IF(AND(J$67&lt;&gt;0,J$67&gt;0),IF(($AR$67*9)&gt;=J$67,0,1),IF(AND(J$67&lt;&gt;0,J$67&lt;0),IF(($AR$67*9)&lt;=J$67,0,1),0))</f>
        <v>#N/A</v>
      </c>
      <c r="K57" s="2660"/>
      <c r="L57" s="2660"/>
      <c r="M57" s="2661"/>
      <c r="N57" s="2659" t="e">
        <f>IF(AND(N$67&lt;&gt;0,N$67&gt;0),IF(($AR$67*9)&gt;=N$67,0,1),IF(AND(N$67&lt;&gt;0,N$67&lt;0),IF(($AR$67*9)&lt;=N$67,0,1),0))</f>
        <v>#N/A</v>
      </c>
      <c r="O57" s="2660"/>
      <c r="P57" s="2660"/>
      <c r="Q57" s="2661"/>
      <c r="R57" s="2659" t="e">
        <f>IF(AND(R$67&lt;&gt;0,R$67&gt;0),IF(($AR$67*9)&gt;=R$67,0,1),IF(AND(R$67&lt;&gt;0,R$67&lt;0),IF(($AR$67*9)&lt;=R$67,0,1),0))</f>
        <v>#N/A</v>
      </c>
      <c r="S57" s="2660"/>
      <c r="T57" s="2660"/>
      <c r="U57" s="2661"/>
      <c r="V57" s="2659" t="e">
        <f>IF(AND(V$67&lt;&gt;0,V$67&gt;0),IF(($AR$67*9)&gt;=V$67,0,1),IF(AND(V$67&lt;&gt;0,V$67&lt;0),IF(($AR$67*9)&lt;=V$67,0,1),0))</f>
        <v>#N/A</v>
      </c>
      <c r="W57" s="2660"/>
      <c r="X57" s="2660"/>
      <c r="Y57" s="2661"/>
      <c r="Z57" s="200"/>
      <c r="AA57" s="2659" t="e">
        <f>IF(AND(AA$67&lt;&gt;0,AA$67&gt;0),IF(($AR$67*9)&gt;=AA$67,0,1),IF(AND(AA$67&lt;&gt;0,AA$67&lt;0),IF(($AR$67*9)&lt;=AA$67,0,1),0))</f>
        <v>#N/A</v>
      </c>
      <c r="AB57" s="2660"/>
      <c r="AC57" s="2660"/>
      <c r="AD57" s="2661"/>
      <c r="AE57" s="2659" t="e">
        <f>IF(AND(AE$67&lt;&gt;0,AE$67&gt;0),IF(($AR$67*9)&gt;=AE$67,0,1),IF(AND(AE$67&lt;&gt;0,AE$67&lt;0),IF(($AR$67*9)&lt;=AE$67,0,1),0))</f>
        <v>#N/A</v>
      </c>
      <c r="AF57" s="2660"/>
      <c r="AG57" s="2660"/>
      <c r="AH57" s="2661"/>
      <c r="AI57" s="2659" t="e">
        <f>IF(AND(AI$67&lt;&gt;0,AI$67&gt;0),IF(($AR$67*9)&gt;=AI$67,0,1),IF(AND(AI$67&lt;&gt;0,AI$67&lt;0),IF(($AR$67*9)&lt;=AI$67,0,1),0))</f>
        <v>#N/A</v>
      </c>
      <c r="AJ57" s="2660"/>
      <c r="AK57" s="2660"/>
      <c r="AL57" s="2661"/>
      <c r="AM57" s="200"/>
      <c r="AN57" s="200"/>
      <c r="AO57" s="200"/>
      <c r="AP57" s="48"/>
      <c r="AQ57" s="48"/>
      <c r="AR57" s="614"/>
      <c r="AS57" s="48"/>
    </row>
    <row r="58" spans="1:45" ht="7.5" customHeight="1" x14ac:dyDescent="0.2">
      <c r="A58" s="48"/>
      <c r="B58" s="186"/>
      <c r="C58" s="218"/>
      <c r="D58" s="218"/>
      <c r="E58" s="2645" t="e">
        <f>IF(AND(E$67&lt;&gt;0,E$67&gt;0),IF(($AR$92*8)&gt;=E$67,0,1),IF(AND(E$67&lt;&gt;0,E$67&lt;0),IF(($AR$92*8)&lt;=E$67,0,1),0))</f>
        <v>#N/A</v>
      </c>
      <c r="F58" s="2646"/>
      <c r="G58" s="2646"/>
      <c r="H58" s="2647"/>
      <c r="I58" s="622"/>
      <c r="J58" s="2645" t="e">
        <f>IF(AND(J$67&lt;&gt;0,J$67&gt;0),IF(($AR$67*8)&gt;=J$67,0,1),IF(AND(J$67&lt;&gt;0,J$67&lt;0),IF(($AR$67*8)&lt;=J$67,0,1),0))</f>
        <v>#N/A</v>
      </c>
      <c r="K58" s="2646"/>
      <c r="L58" s="2646"/>
      <c r="M58" s="2647"/>
      <c r="N58" s="2645" t="e">
        <f>IF(AND(N$67&lt;&gt;0,N$67&gt;0),IF(($AR$67*8)&gt;=N$67,0,1),IF(AND(N$67&lt;&gt;0,N$67&lt;0),IF(($AR$67*8)&lt;=N$67,0,1),0))</f>
        <v>#N/A</v>
      </c>
      <c r="O58" s="2646"/>
      <c r="P58" s="2646"/>
      <c r="Q58" s="2647"/>
      <c r="R58" s="2645" t="e">
        <f>IF(AND(R$67&lt;&gt;0,R$67&gt;0),IF(($AR$67*8)&gt;=R$67,0,1),IF(AND(R$67&lt;&gt;0,R$67&lt;0),IF(($AR$67*8)&lt;=R$67,0,1),0))</f>
        <v>#N/A</v>
      </c>
      <c r="S58" s="2646"/>
      <c r="T58" s="2646"/>
      <c r="U58" s="2647"/>
      <c r="V58" s="2645" t="e">
        <f>IF(AND(V$67&lt;&gt;0,V$67&gt;0),IF(($AR$67*8)&gt;=V$67,0,1),IF(AND(V$67&lt;&gt;0,V$67&lt;0),IF(($AR$67*8)&lt;=V$67,0,1),0))</f>
        <v>#N/A</v>
      </c>
      <c r="W58" s="2646"/>
      <c r="X58" s="2646"/>
      <c r="Y58" s="2647"/>
      <c r="Z58" s="200"/>
      <c r="AA58" s="2645" t="e">
        <f>IF(AND(AA$67&lt;&gt;0,AA$67&gt;0),IF(($AR$67*8)&gt;=AA$67,0,1),IF(AND(AA$67&lt;&gt;0,AA$67&lt;0),IF(($AR$67*8)&lt;=AA$67,0,1),0))</f>
        <v>#N/A</v>
      </c>
      <c r="AB58" s="2646"/>
      <c r="AC58" s="2646"/>
      <c r="AD58" s="2647"/>
      <c r="AE58" s="2645" t="e">
        <f>IF(AND(AE$67&lt;&gt;0,AE$67&gt;0),IF(($AR$67*8)&gt;=AE$67,0,1),IF(AND(AE$67&lt;&gt;0,AE$67&lt;0),IF(($AR$67*8)&lt;=AE$67,0,1),0))</f>
        <v>#N/A</v>
      </c>
      <c r="AF58" s="2646"/>
      <c r="AG58" s="2646"/>
      <c r="AH58" s="2647"/>
      <c r="AI58" s="2645" t="e">
        <f>IF(AND(AI$67&lt;&gt;0,AI$67&gt;0),IF(($AR$67*8)&gt;=AI$67,0,1),IF(AND(AI$67&lt;&gt;0,AI$67&lt;0),IF(($AR$67*8)&lt;=AI$67,0,1),0))</f>
        <v>#N/A</v>
      </c>
      <c r="AJ58" s="2646"/>
      <c r="AK58" s="2646"/>
      <c r="AL58" s="2647"/>
      <c r="AM58" s="200"/>
      <c r="AN58" s="200"/>
      <c r="AO58" s="200"/>
      <c r="AP58" s="48"/>
      <c r="AQ58" s="48"/>
      <c r="AR58" s="614"/>
      <c r="AS58" s="48"/>
    </row>
    <row r="59" spans="1:45" ht="7.5" customHeight="1" x14ac:dyDescent="0.2">
      <c r="A59" s="48"/>
      <c r="B59" s="186"/>
      <c r="C59" s="218"/>
      <c r="D59" s="218"/>
      <c r="E59" s="2645" t="e">
        <f>IF(AND(E$67&lt;&gt;0,E$67&gt;0),IF(($AR$92*7)&gt;=E$67,0,1),IF(AND(E$67&lt;&gt;0,E$67&lt;0),IF(($AR$92*7)&lt;=E$67,0,1),0))</f>
        <v>#N/A</v>
      </c>
      <c r="F59" s="2646"/>
      <c r="G59" s="2646"/>
      <c r="H59" s="2647"/>
      <c r="I59" s="622"/>
      <c r="J59" s="2645" t="e">
        <f>IF(AND(J$67&lt;&gt;0,J$67&gt;0),IF(($AR$67*7)&gt;=J$67,0,1),IF(AND(J$67&lt;&gt;0,J$67&lt;0),IF(($AR$67*7)&lt;=J$67,0,1),0))</f>
        <v>#N/A</v>
      </c>
      <c r="K59" s="2646"/>
      <c r="L59" s="2646"/>
      <c r="M59" s="2647"/>
      <c r="N59" s="2645" t="e">
        <f>IF(AND(N$67&lt;&gt;0,N$67&gt;0),IF(($AR$67*7)&gt;=N$67,0,1),IF(AND(N$67&lt;&gt;0,N$67&lt;0),IF(($AR$67*7)&lt;=N$67,0,1),0))</f>
        <v>#N/A</v>
      </c>
      <c r="O59" s="2646"/>
      <c r="P59" s="2646"/>
      <c r="Q59" s="2647"/>
      <c r="R59" s="2645" t="e">
        <f>IF(AND(R$67&lt;&gt;0,R$67&gt;0),IF(($AR$67*7)&gt;=R$67,0,1),IF(AND(R$67&lt;&gt;0,R$67&lt;0),IF(($AR$67*7)&lt;=R$67,0,1),0))</f>
        <v>#N/A</v>
      </c>
      <c r="S59" s="2646"/>
      <c r="T59" s="2646"/>
      <c r="U59" s="2647"/>
      <c r="V59" s="2645" t="e">
        <f>IF(AND(V$67&lt;&gt;0,V$67&gt;0),IF(($AR$67*7)&gt;=V$67,0,1),IF(AND(V$67&lt;&gt;0,V$67&lt;0),IF(($AR$67*7)&lt;=V$67,0,1),0))</f>
        <v>#N/A</v>
      </c>
      <c r="W59" s="2646"/>
      <c r="X59" s="2646"/>
      <c r="Y59" s="2647"/>
      <c r="Z59" s="200"/>
      <c r="AA59" s="2645" t="e">
        <f>IF(AND(AA$67&lt;&gt;0,AA$67&gt;0),IF(($AR$67*7)&gt;=AA$67,0,1),IF(AND(AA$67&lt;&gt;0,AA$67&lt;0),IF(($AR$67*7)&lt;=AA$67,0,1),0))</f>
        <v>#N/A</v>
      </c>
      <c r="AB59" s="2646"/>
      <c r="AC59" s="2646"/>
      <c r="AD59" s="2647"/>
      <c r="AE59" s="2645" t="e">
        <f>IF(AND(AE$67&lt;&gt;0,AE$67&gt;0),IF(($AR$67*7)&gt;=AE$67,0,1),IF(AND(AE$67&lt;&gt;0,AE$67&lt;0),IF(($AR$67*7)&lt;=AE$67,0,1),0))</f>
        <v>#N/A</v>
      </c>
      <c r="AF59" s="2646"/>
      <c r="AG59" s="2646"/>
      <c r="AH59" s="2647"/>
      <c r="AI59" s="2645" t="e">
        <f>IF(AND(AI$67&lt;&gt;0,AI$67&gt;0),IF(($AR$67*7)&gt;=AI$67,0,1),IF(AND(AI$67&lt;&gt;0,AI$67&lt;0),IF(($AR$67*7)&lt;=AI$67,0,1),0))</f>
        <v>#N/A</v>
      </c>
      <c r="AJ59" s="2646"/>
      <c r="AK59" s="2646"/>
      <c r="AL59" s="2647"/>
      <c r="AM59" s="200"/>
      <c r="AN59" s="200"/>
      <c r="AO59" s="200"/>
      <c r="AP59" s="48"/>
      <c r="AQ59" s="48"/>
      <c r="AR59" s="614"/>
      <c r="AS59" s="48"/>
    </row>
    <row r="60" spans="1:45" ht="7.5" customHeight="1" x14ac:dyDescent="0.2">
      <c r="A60" s="48"/>
      <c r="B60" s="186"/>
      <c r="C60" s="1802" t="s">
        <v>175</v>
      </c>
      <c r="D60" s="1802"/>
      <c r="E60" s="2645" t="e">
        <f>IF(AND(E$67&lt;&gt;0,E$67&gt;0),IF(($AR$92*6)&gt;=E$67,0,1),IF(AND(E$67&lt;&gt;0,E$67&lt;0),IF(($AR$92*6)&lt;=E$67,0,1),0))</f>
        <v>#N/A</v>
      </c>
      <c r="F60" s="2646"/>
      <c r="G60" s="2646"/>
      <c r="H60" s="2647"/>
      <c r="I60" s="622"/>
      <c r="J60" s="2645" t="e">
        <f>IF(AND(J$67&lt;&gt;0,J$67&gt;0),IF(($AR$67*6)&gt;=J$67,0,1),IF(AND(J$67&lt;&gt;0,J$67&lt;0),IF(($AR$67*6)&lt;=J$67,0,1),0))</f>
        <v>#N/A</v>
      </c>
      <c r="K60" s="2646"/>
      <c r="L60" s="2646"/>
      <c r="M60" s="2647"/>
      <c r="N60" s="2645" t="e">
        <f>IF(AND(N$67&lt;&gt;0,N$67&gt;0),IF(($AR$67*6)&gt;=N$67,0,1),IF(AND(N$67&lt;&gt;0,N$67&lt;0),IF(($AR$67*6)&lt;=N$67,0,1),0))</f>
        <v>#N/A</v>
      </c>
      <c r="O60" s="2646"/>
      <c r="P60" s="2646"/>
      <c r="Q60" s="2647"/>
      <c r="R60" s="2645" t="e">
        <f>IF(AND(R$67&lt;&gt;0,R$67&gt;0),IF(($AR$67*6)&gt;=R$67,0,1),IF(AND(R$67&lt;&gt;0,R$67&lt;0),IF(($AR$67*6)&lt;=R$67,0,1),0))</f>
        <v>#N/A</v>
      </c>
      <c r="S60" s="2646"/>
      <c r="T60" s="2646"/>
      <c r="U60" s="2647"/>
      <c r="V60" s="2645" t="e">
        <f>IF(AND(V$67&lt;&gt;0,V$67&gt;0),IF(($AR$67*6)&gt;=V$67,0,1),IF(AND(V$67&lt;&gt;0,V$67&lt;0),IF(($AR$67*6)&lt;=V$67,0,1),0))</f>
        <v>#N/A</v>
      </c>
      <c r="W60" s="2646"/>
      <c r="X60" s="2646"/>
      <c r="Y60" s="2647"/>
      <c r="Z60" s="200"/>
      <c r="AA60" s="2645" t="e">
        <f>IF(AND(AA$67&lt;&gt;0,AA$67&gt;0),IF(($AR$67*6)&gt;=AA$67,0,1),IF(AND(AA$67&lt;&gt;0,AA$67&lt;0),IF(($AR$67*6)&lt;=AA$67,0,1),0))</f>
        <v>#N/A</v>
      </c>
      <c r="AB60" s="2646"/>
      <c r="AC60" s="2646"/>
      <c r="AD60" s="2647"/>
      <c r="AE60" s="2645" t="e">
        <f>IF(AND(AE$67&lt;&gt;0,AE$67&gt;0),IF(($AR$67*6)&gt;=AE$67,0,1),IF(AND(AE$67&lt;&gt;0,AE$67&lt;0),IF(($AR$67*6)&lt;=AE$67,0,1),0))</f>
        <v>#N/A</v>
      </c>
      <c r="AF60" s="2646"/>
      <c r="AG60" s="2646"/>
      <c r="AH60" s="2647"/>
      <c r="AI60" s="2645" t="e">
        <f>IF(AND(AI$67&lt;&gt;0,AI$67&gt;0),IF(($AR$67*6)&gt;=AI$67,0,1),IF(AND(AI$67&lt;&gt;0,AI$67&lt;0),IF(($AR$67*6)&lt;=AI$67,0,1),0))</f>
        <v>#N/A</v>
      </c>
      <c r="AJ60" s="2646"/>
      <c r="AK60" s="2646"/>
      <c r="AL60" s="2647"/>
      <c r="AM60" s="200"/>
      <c r="AN60" s="200"/>
      <c r="AO60" s="200"/>
      <c r="AP60" s="48"/>
      <c r="AQ60" s="48"/>
      <c r="AR60" s="614"/>
      <c r="AS60" s="48"/>
    </row>
    <row r="61" spans="1:45" ht="7.5" customHeight="1" x14ac:dyDescent="0.2">
      <c r="A61" s="48"/>
      <c r="B61" s="186"/>
      <c r="C61" s="1802"/>
      <c r="D61" s="1802"/>
      <c r="E61" s="2645" t="e">
        <f>IF(AND(E$67&lt;&gt;0,E$67&gt;0),IF(($AR$92*5)&gt;=E$67,0,1),IF(AND(E$67&lt;&gt;0,E$67&lt;0),IF(($AR$92*5)&lt;=E$67,0,1),0))</f>
        <v>#N/A</v>
      </c>
      <c r="F61" s="2646"/>
      <c r="G61" s="2646"/>
      <c r="H61" s="2647"/>
      <c r="I61" s="622"/>
      <c r="J61" s="2645" t="e">
        <f>IF(AND(J$67&lt;&gt;0,J$67&gt;0),IF(($AR$67*5)&gt;=J$67,0,1),IF(AND(J$67&lt;&gt;0,J$67&lt;0),IF(($AR$67*5)&lt;=J$67,0,1),0))</f>
        <v>#N/A</v>
      </c>
      <c r="K61" s="2646"/>
      <c r="L61" s="2646"/>
      <c r="M61" s="2647"/>
      <c r="N61" s="2645" t="e">
        <f>IF(AND(N$67&lt;&gt;0,N$67&gt;0),IF(($AR$67*5)&gt;=N$67,0,1),IF(AND(N$67&lt;&gt;0,N$67&lt;0),IF(($AR$67*5)&lt;=N$67,0,1),0))</f>
        <v>#N/A</v>
      </c>
      <c r="O61" s="2646"/>
      <c r="P61" s="2646"/>
      <c r="Q61" s="2647"/>
      <c r="R61" s="2645" t="e">
        <f>IF(AND(R$67&lt;&gt;0,R$67&gt;0),IF(($AR$67*5)&gt;=R$67,0,1),IF(AND(R$67&lt;&gt;0,R$67&lt;0),IF(($AR$67*5)&lt;=R$67,0,1),0))</f>
        <v>#N/A</v>
      </c>
      <c r="S61" s="2646"/>
      <c r="T61" s="2646"/>
      <c r="U61" s="2647"/>
      <c r="V61" s="2645" t="e">
        <f>IF(AND(V$67&lt;&gt;0,V$67&gt;0),IF(($AR$67*5)&gt;=V$67,0,1),IF(AND(V$67&lt;&gt;0,V$67&lt;0),IF(($AR$67*5)&lt;=V$67,0,1),0))</f>
        <v>#N/A</v>
      </c>
      <c r="W61" s="2646"/>
      <c r="X61" s="2646"/>
      <c r="Y61" s="2647"/>
      <c r="Z61" s="200"/>
      <c r="AA61" s="2645" t="e">
        <f>IF(AND(AA$67&lt;&gt;0,AA$67&gt;0),IF(($AR$67*5)&gt;=AA$67,0,1),IF(AND(AA$67&lt;&gt;0,AA$67&lt;0),IF(($AR$67*5)&lt;=AA$67,0,1),0))</f>
        <v>#N/A</v>
      </c>
      <c r="AB61" s="2646"/>
      <c r="AC61" s="2646"/>
      <c r="AD61" s="2647"/>
      <c r="AE61" s="2645" t="e">
        <f>IF(AND(AE$67&lt;&gt;0,AE$67&gt;0),IF(($AR$67*5)&gt;=AE$67,0,1),IF(AND(AE$67&lt;&gt;0,AE$67&lt;0),IF(($AR$67*5)&lt;=AE$67,0,1),0))</f>
        <v>#N/A</v>
      </c>
      <c r="AF61" s="2646"/>
      <c r="AG61" s="2646"/>
      <c r="AH61" s="2647"/>
      <c r="AI61" s="2645" t="e">
        <f>IF(AND(AI$67&lt;&gt;0,AI$67&gt;0),IF(($AR$67*5)&gt;=AI$67,0,1),IF(AND(AI$67&lt;&gt;0,AI$67&lt;0),IF(($AR$67*5)&lt;=AI$67,0,1),0))</f>
        <v>#N/A</v>
      </c>
      <c r="AJ61" s="2646"/>
      <c r="AK61" s="2646"/>
      <c r="AL61" s="2647"/>
      <c r="AM61" s="200"/>
      <c r="AN61" s="200"/>
      <c r="AO61" s="200"/>
      <c r="AP61" s="48"/>
      <c r="AQ61" s="48"/>
      <c r="AR61" s="614"/>
      <c r="AS61" s="48"/>
    </row>
    <row r="62" spans="1:45" ht="7.5" customHeight="1" x14ac:dyDescent="0.2">
      <c r="A62" s="48"/>
      <c r="B62" s="186"/>
      <c r="C62" s="1802"/>
      <c r="D62" s="1802"/>
      <c r="E62" s="2645" t="e">
        <f>IF(AND(E$67&lt;&gt;0,E$67&gt;0),IF(($AR$92*4)&gt;=E$67,0,1),IF(AND(E$67&lt;&gt;0,E$67&lt;0),IF(($AR$92*4)&lt;=E$67,0,1),0))</f>
        <v>#N/A</v>
      </c>
      <c r="F62" s="2646"/>
      <c r="G62" s="2646"/>
      <c r="H62" s="2647"/>
      <c r="I62" s="622"/>
      <c r="J62" s="2645" t="e">
        <f>IF(AND(J$67&lt;&gt;0,J$67&gt;0),IF(($AR$67*4)&gt;=J$67,0,1),IF(AND(J$67&lt;&gt;0,J$67&lt;0),IF(($AR$67*4)&lt;=J$67,0,1),0))</f>
        <v>#N/A</v>
      </c>
      <c r="K62" s="2646"/>
      <c r="L62" s="2646"/>
      <c r="M62" s="2647"/>
      <c r="N62" s="2645" t="e">
        <f>IF(AND(N$67&lt;&gt;0,N$67&gt;0),IF(($AR$67*4)&gt;=N$67,0,1),IF(AND(N$67&lt;&gt;0,N$67&lt;0),IF(($AR$67*4)&lt;=N$67,0,1),0))</f>
        <v>#N/A</v>
      </c>
      <c r="O62" s="2646"/>
      <c r="P62" s="2646"/>
      <c r="Q62" s="2647"/>
      <c r="R62" s="2645" t="e">
        <f>IF(AND(R$67&lt;&gt;0,R$67&gt;0),IF(($AR$67*4)&gt;=R$67,0,1),IF(AND(R$67&lt;&gt;0,R$67&lt;0),IF(($AR$67*4)&lt;=R$67,0,1),0))</f>
        <v>#N/A</v>
      </c>
      <c r="S62" s="2646"/>
      <c r="T62" s="2646"/>
      <c r="U62" s="2647"/>
      <c r="V62" s="2645" t="e">
        <f>IF(AND(V$67&lt;&gt;0,V$67&gt;0),IF(($AR$67*4)&gt;=V$67,0,1),IF(AND(V$67&lt;&gt;0,V$67&lt;0),IF(($AR$67*4)&lt;=V$67,0,1),0))</f>
        <v>#N/A</v>
      </c>
      <c r="W62" s="2646"/>
      <c r="X62" s="2646"/>
      <c r="Y62" s="2647"/>
      <c r="Z62" s="200"/>
      <c r="AA62" s="2645" t="e">
        <f>IF(AND(AA$67&lt;&gt;0,AA$67&gt;0),IF(($AR$67*4)&gt;=AA$67,0,1),IF(AND(AA$67&lt;&gt;0,AA$67&lt;0),IF(($AR$67*4)&lt;=AA$67,0,1),0))</f>
        <v>#N/A</v>
      </c>
      <c r="AB62" s="2646"/>
      <c r="AC62" s="2646"/>
      <c r="AD62" s="2647"/>
      <c r="AE62" s="2645" t="e">
        <f>IF(AND(AE$67&lt;&gt;0,AE$67&gt;0),IF(($AR$67*4)&gt;=AE$67,0,1),IF(AND(AE$67&lt;&gt;0,AE$67&lt;0),IF(($AR$67*4)&lt;=AE$67,0,1),0))</f>
        <v>#N/A</v>
      </c>
      <c r="AF62" s="2646"/>
      <c r="AG62" s="2646"/>
      <c r="AH62" s="2647"/>
      <c r="AI62" s="2645" t="e">
        <f>IF(AND(AI$67&lt;&gt;0,AI$67&gt;0),IF(($AR$67*4)&gt;=AI$67,0,1),IF(AND(AI$67&lt;&gt;0,AI$67&lt;0),IF(($AR$67*4)&lt;=AI$67,0,1),0))</f>
        <v>#N/A</v>
      </c>
      <c r="AJ62" s="2646"/>
      <c r="AK62" s="2646"/>
      <c r="AL62" s="2647"/>
      <c r="AM62" s="200"/>
      <c r="AN62" s="200"/>
      <c r="AO62" s="200"/>
      <c r="AP62" s="48"/>
      <c r="AQ62" s="48"/>
      <c r="AR62" s="614"/>
      <c r="AS62" s="48"/>
    </row>
    <row r="63" spans="1:45" ht="7.5" customHeight="1" x14ac:dyDescent="0.2">
      <c r="A63" s="48"/>
      <c r="B63" s="186"/>
      <c r="C63" s="1802"/>
      <c r="D63" s="1802"/>
      <c r="E63" s="2645" t="e">
        <f>IF(AND(E$67&lt;&gt;0,E$67&gt;0),IF(($AR$92*3)&gt;=E$67,0,1),IF(AND(E$67&lt;&gt;0,E$67&lt;0),IF(($AR$92*3)&lt;=E$67,0,1),0))</f>
        <v>#N/A</v>
      </c>
      <c r="F63" s="2646"/>
      <c r="G63" s="2646"/>
      <c r="H63" s="2647"/>
      <c r="I63" s="622"/>
      <c r="J63" s="2645" t="e">
        <f>IF(AND(J$67&lt;&gt;0,J$67&gt;0),IF(($AR$67*3)&gt;=J$67,0,1),IF(AND(J$67&lt;&gt;0,J$67&lt;0),IF(($AR$67*3)&lt;=J$67,0,1),0))</f>
        <v>#N/A</v>
      </c>
      <c r="K63" s="2646"/>
      <c r="L63" s="2646"/>
      <c r="M63" s="2647"/>
      <c r="N63" s="2645" t="e">
        <f>IF(AND(N$67&lt;&gt;0,N$67&gt;0),IF(($AR$67*3)&gt;=N$67,0,1),IF(AND(N$67&lt;&gt;0,N$67&lt;0),IF(($AR$67*3)&lt;=N$67,0,1),0))</f>
        <v>#N/A</v>
      </c>
      <c r="O63" s="2646"/>
      <c r="P63" s="2646"/>
      <c r="Q63" s="2647"/>
      <c r="R63" s="2645" t="e">
        <f>IF(AND(R$67&lt;&gt;0,R$67&gt;0),IF(($AR$67*3)&gt;=R$67,0,1),IF(AND(R$67&lt;&gt;0,R$67&lt;0),IF(($AR$67*3)&lt;=R$67,0,1),0))</f>
        <v>#N/A</v>
      </c>
      <c r="S63" s="2646"/>
      <c r="T63" s="2646"/>
      <c r="U63" s="2647"/>
      <c r="V63" s="2645" t="e">
        <f>IF(AND(V$67&lt;&gt;0,V$67&gt;0),IF(($AR$67*3)&gt;=V$67,0,1),IF(AND(V$67&lt;&gt;0,V$67&lt;0),IF(($AR$67*3)&lt;=V$67,0,1),0))</f>
        <v>#N/A</v>
      </c>
      <c r="W63" s="2646"/>
      <c r="X63" s="2646"/>
      <c r="Y63" s="2647"/>
      <c r="Z63" s="200"/>
      <c r="AA63" s="2645" t="e">
        <f>IF(AND(AA$67&lt;&gt;0,AA$67&gt;0),IF(($AR$67*3)&gt;=AA$67,0,1),IF(AND(AA$67&lt;&gt;0,AA$67&lt;0),IF(($AR$67*3)&lt;=AA$67,0,1),0))</f>
        <v>#N/A</v>
      </c>
      <c r="AB63" s="2646"/>
      <c r="AC63" s="2646"/>
      <c r="AD63" s="2647"/>
      <c r="AE63" s="2645" t="e">
        <f>IF(AND(AE$67&lt;&gt;0,AE$67&gt;0),IF(($AR$67*3)&gt;=AE$67,0,1),IF(AND(AE$67&lt;&gt;0,AE$67&lt;0),IF(($AR$67*3)&lt;=AE$67,0,1),0))</f>
        <v>#N/A</v>
      </c>
      <c r="AF63" s="2646"/>
      <c r="AG63" s="2646"/>
      <c r="AH63" s="2647"/>
      <c r="AI63" s="2645" t="e">
        <f>IF(AND(AI$67&lt;&gt;0,AI$67&gt;0),IF(($AR$67*3)&gt;=AI$67,0,1),IF(AND(AI$67&lt;&gt;0,AI$67&lt;0),IF(($AR$67*3)&lt;=AI$67,0,1),0))</f>
        <v>#N/A</v>
      </c>
      <c r="AJ63" s="2646"/>
      <c r="AK63" s="2646"/>
      <c r="AL63" s="2647"/>
      <c r="AM63" s="200"/>
      <c r="AN63" s="200"/>
      <c r="AO63" s="200"/>
      <c r="AP63" s="48"/>
      <c r="AQ63" s="48"/>
      <c r="AR63" s="614"/>
      <c r="AS63" s="48"/>
    </row>
    <row r="64" spans="1:45" ht="7.5" customHeight="1" x14ac:dyDescent="0.2">
      <c r="A64" s="48"/>
      <c r="B64" s="186"/>
      <c r="C64" s="1802"/>
      <c r="D64" s="1802"/>
      <c r="E64" s="2645" t="e">
        <f>IF(AND(E$67&lt;&gt;0,E$67&gt;0),IF(($AR$92*2)&gt;=E$67,0,1),IF(AND(E$67&lt;&gt;0,E$67&lt;0),IF(($AR$92*2)&lt;=E$67,0,1),0))</f>
        <v>#N/A</v>
      </c>
      <c r="F64" s="2646"/>
      <c r="G64" s="2646"/>
      <c r="H64" s="2647"/>
      <c r="I64" s="622"/>
      <c r="J64" s="2645" t="e">
        <f>IF(AND(J$67&lt;&gt;0,J$67&gt;0),IF(($AR$67*2)&gt;=J$67,0,1),IF(AND(J$67&lt;&gt;0,J$67&lt;0),IF(($AR$67*2)&lt;=J$67,0,1),0))</f>
        <v>#N/A</v>
      </c>
      <c r="K64" s="2646"/>
      <c r="L64" s="2646"/>
      <c r="M64" s="2647"/>
      <c r="N64" s="2645" t="e">
        <f>IF(AND(N$67&lt;&gt;0,N$67&gt;0),IF(($AR$67*2)&gt;=N$67,0,1),IF(AND(N$67&lt;&gt;0,N$67&lt;0),IF(($AR$67*2)&lt;=N$67,0,1),0))</f>
        <v>#N/A</v>
      </c>
      <c r="O64" s="2646"/>
      <c r="P64" s="2646"/>
      <c r="Q64" s="2647"/>
      <c r="R64" s="2645" t="e">
        <f>IF(AND(R$67&lt;&gt;0,R$67&gt;0),IF(($AR$67*2)&gt;=R$67,0,1),IF(AND(R$67&lt;&gt;0,R$67&lt;0),IF(($AR$67*2)&lt;=R$67,0,1),0))</f>
        <v>#N/A</v>
      </c>
      <c r="S64" s="2646"/>
      <c r="T64" s="2646"/>
      <c r="U64" s="2647"/>
      <c r="V64" s="2645" t="e">
        <f>IF(AND(V$67&lt;&gt;0,V$67&gt;0),IF(($AR$67*2)&gt;=V$67,0,1),IF(AND(V$67&lt;&gt;0,V$67&lt;0),IF(($AR$67*2)&lt;=V$67,0,1),0))</f>
        <v>#N/A</v>
      </c>
      <c r="W64" s="2646"/>
      <c r="X64" s="2646"/>
      <c r="Y64" s="2647"/>
      <c r="Z64" s="200"/>
      <c r="AA64" s="2645" t="e">
        <f>IF(AND(AA$67&lt;&gt;0,AA$67&gt;0),IF(($AR$67*2)&gt;=AA$67,0,1),IF(AND(AA$67&lt;&gt;0,AA$67&lt;0),IF(($AR$67*2)&lt;=AA$67,0,1),0))</f>
        <v>#N/A</v>
      </c>
      <c r="AB64" s="2646"/>
      <c r="AC64" s="2646"/>
      <c r="AD64" s="2647"/>
      <c r="AE64" s="2645" t="e">
        <f>IF(AND(AE$67&lt;&gt;0,AE$67&gt;0),IF(($AR$67*2)&gt;=AE$67,0,1),IF(AND(AE$67&lt;&gt;0,AE$67&lt;0),IF(($AR$67*2)&lt;=AE$67,0,1),0))</f>
        <v>#N/A</v>
      </c>
      <c r="AF64" s="2646"/>
      <c r="AG64" s="2646"/>
      <c r="AH64" s="2647"/>
      <c r="AI64" s="2645" t="e">
        <f>IF(AND(AI$67&lt;&gt;0,AI$67&gt;0),IF(($AR$67*2)&gt;=AI$67,0,1),IF(AND(AI$67&lt;&gt;0,AI$67&lt;0),IF(($AR$67*2)&lt;=AI$67,0,1),0))</f>
        <v>#N/A</v>
      </c>
      <c r="AJ64" s="2646"/>
      <c r="AK64" s="2646"/>
      <c r="AL64" s="2647"/>
      <c r="AM64" s="200"/>
      <c r="AN64" s="200"/>
      <c r="AO64" s="200"/>
      <c r="AP64" s="48"/>
      <c r="AQ64" s="48"/>
      <c r="AR64" s="614"/>
      <c r="AS64" s="48"/>
    </row>
    <row r="65" spans="1:45" ht="7.5" customHeight="1" x14ac:dyDescent="0.2">
      <c r="A65" s="48"/>
      <c r="B65" s="186"/>
      <c r="C65" s="1802"/>
      <c r="D65" s="1802"/>
      <c r="E65" s="2645" t="e">
        <f>IF(AND(E$67&lt;&gt;0,E$67&gt;0),IF(($AR$92*1)&gt;=E$67,0,1),IF(AND(E$67&lt;&gt;0,E$67&lt;0),IF(($AR$92*1)&lt;=E$67,0,1),0))</f>
        <v>#N/A</v>
      </c>
      <c r="F65" s="2646"/>
      <c r="G65" s="2646"/>
      <c r="H65" s="2647"/>
      <c r="I65" s="622"/>
      <c r="J65" s="2645" t="e">
        <f>IF(AND(J$67&lt;&gt;0,J$67&gt;0),IF(($AR$67*1)&gt;=J$67,0,1),IF(AND(J$67&lt;&gt;0,J$67&lt;0),IF(($AR$67*1)&lt;=J$67,0,1),0))</f>
        <v>#N/A</v>
      </c>
      <c r="K65" s="2646"/>
      <c r="L65" s="2646"/>
      <c r="M65" s="2647"/>
      <c r="N65" s="2645" t="e">
        <f>IF(AND(N$67&lt;&gt;0,N$67&gt;0),IF(($AR$67*1)&gt;=N$67,0,1),IF(AND(N$67&lt;&gt;0,N$67&lt;0),IF(($AR$67*1)&lt;=N$67,0,1),0))</f>
        <v>#N/A</v>
      </c>
      <c r="O65" s="2646"/>
      <c r="P65" s="2646"/>
      <c r="Q65" s="2647"/>
      <c r="R65" s="2645" t="e">
        <f>IF(AND(R$67&lt;&gt;0,R$67&gt;0),IF(($AR$67*1)&gt;=R$67,0,1),IF(AND(R$67&lt;&gt;0,R$67&lt;0),IF(($AR$67*1)&lt;=R$67,0,1),0))</f>
        <v>#N/A</v>
      </c>
      <c r="S65" s="2646"/>
      <c r="T65" s="2646"/>
      <c r="U65" s="2647"/>
      <c r="V65" s="2645" t="e">
        <f>IF(AND(V$67&lt;&gt;0,V$67&gt;0),IF(($AR$67*1)&gt;=V$67,0,1),IF(AND(V$67&lt;&gt;0,V$67&lt;0),IF(($AR$67*1)&lt;=V$67,0,1),0))</f>
        <v>#N/A</v>
      </c>
      <c r="W65" s="2646"/>
      <c r="X65" s="2646"/>
      <c r="Y65" s="2647"/>
      <c r="Z65" s="200"/>
      <c r="AA65" s="2645" t="e">
        <f>IF(AND(AA$67&lt;&gt;0,AA$67&gt;0),IF(($AR$67*1)&gt;=AA$67,0,1),IF(AND(AA$67&lt;&gt;0,AA$67&lt;0),IF(($AR$67*1)&lt;=AA$67,0,1),0))</f>
        <v>#N/A</v>
      </c>
      <c r="AB65" s="2646"/>
      <c r="AC65" s="2646"/>
      <c r="AD65" s="2647"/>
      <c r="AE65" s="2645" t="e">
        <f>IF(AND(AE$67&lt;&gt;0,AE$67&gt;0),IF(($AR$67*1)&gt;=AE$67,0,1),IF(AND(AE$67&lt;&gt;0,AE$67&lt;0),IF(($AR$67*1)&lt;=AE$67,0,1),0))</f>
        <v>#N/A</v>
      </c>
      <c r="AF65" s="2646"/>
      <c r="AG65" s="2646"/>
      <c r="AH65" s="2647"/>
      <c r="AI65" s="2645" t="e">
        <f>IF(AND(AI$67&lt;&gt;0,AI$67&gt;0),IF(($AR$67*1)&gt;=AI$67,0,1),IF(AND(AI$67&lt;&gt;0,AI$67&lt;0),IF(($AR$67*1)&lt;=AI$67,0,1),0))</f>
        <v>#N/A</v>
      </c>
      <c r="AJ65" s="2646"/>
      <c r="AK65" s="2646"/>
      <c r="AL65" s="2647"/>
      <c r="AM65" s="200"/>
      <c r="AN65" s="200"/>
      <c r="AO65" s="200"/>
      <c r="AP65" s="48"/>
      <c r="AQ65" s="48"/>
      <c r="AR65" s="614"/>
      <c r="AS65" s="48"/>
    </row>
    <row r="66" spans="1:45" ht="7.5" customHeight="1" x14ac:dyDescent="0.2">
      <c r="A66" s="48"/>
      <c r="B66" s="186"/>
      <c r="C66" s="1802"/>
      <c r="D66" s="1802"/>
      <c r="E66" s="2642" t="e">
        <f>IF(E67&lt;&gt;0,1,0)</f>
        <v>#N/A</v>
      </c>
      <c r="F66" s="2643"/>
      <c r="G66" s="2643"/>
      <c r="H66" s="2644"/>
      <c r="I66" s="622"/>
      <c r="J66" s="2642" t="e">
        <f>IF(J67&lt;&gt;0,1,0)</f>
        <v>#N/A</v>
      </c>
      <c r="K66" s="2643"/>
      <c r="L66" s="2643"/>
      <c r="M66" s="2644"/>
      <c r="N66" s="2642" t="e">
        <f>IF(N67&lt;&gt;0,1,0)</f>
        <v>#N/A</v>
      </c>
      <c r="O66" s="2643"/>
      <c r="P66" s="2643"/>
      <c r="Q66" s="2644"/>
      <c r="R66" s="2642" t="e">
        <f>IF(R67&lt;&gt;0,1,0)</f>
        <v>#N/A</v>
      </c>
      <c r="S66" s="2643"/>
      <c r="T66" s="2643"/>
      <c r="U66" s="2644"/>
      <c r="V66" s="2642" t="e">
        <f>IF(V67&lt;&gt;0,1,0)</f>
        <v>#N/A</v>
      </c>
      <c r="W66" s="2643"/>
      <c r="X66" s="2643"/>
      <c r="Y66" s="2644"/>
      <c r="Z66" s="200"/>
      <c r="AA66" s="2642" t="e">
        <f>IF(AA67&lt;&gt;0,1,0)</f>
        <v>#N/A</v>
      </c>
      <c r="AB66" s="2643"/>
      <c r="AC66" s="2643"/>
      <c r="AD66" s="2644"/>
      <c r="AE66" s="2642" t="e">
        <f>IF(AE67&lt;&gt;0,1,0)</f>
        <v>#N/A</v>
      </c>
      <c r="AF66" s="2643"/>
      <c r="AG66" s="2643"/>
      <c r="AH66" s="2644"/>
      <c r="AI66" s="2642" t="e">
        <f>IF(AI67&lt;&gt;0,1,0)</f>
        <v>#N/A</v>
      </c>
      <c r="AJ66" s="2643"/>
      <c r="AK66" s="2643"/>
      <c r="AL66" s="2644"/>
      <c r="AM66" s="200"/>
      <c r="AN66" s="200"/>
      <c r="AO66" s="200"/>
      <c r="AP66" s="48"/>
      <c r="AQ66" s="48"/>
      <c r="AR66" s="614"/>
      <c r="AS66" s="48"/>
    </row>
    <row r="67" spans="1:45" ht="18" customHeight="1" x14ac:dyDescent="0.2">
      <c r="A67" s="48"/>
      <c r="B67" s="186"/>
      <c r="C67" s="2664">
        <f>C27</f>
        <v>2023</v>
      </c>
      <c r="D67" s="2664"/>
      <c r="E67" s="2655" t="e">
        <f>SUM(J67:Y67)+SUM(AA67:AL67)</f>
        <v>#N/A</v>
      </c>
      <c r="F67" s="2655"/>
      <c r="G67" s="2655"/>
      <c r="H67" s="2655"/>
      <c r="I67" s="622"/>
      <c r="J67" s="2655" t="e">
        <f>VLOOKUP($C$93,$B27:M30,J$44,FALSE)</f>
        <v>#N/A</v>
      </c>
      <c r="K67" s="2655"/>
      <c r="L67" s="2655"/>
      <c r="M67" s="2655"/>
      <c r="N67" s="2655" t="e">
        <f>VLOOKUP($C$93,$B27:Q30,N$44,FALSE)</f>
        <v>#N/A</v>
      </c>
      <c r="O67" s="2655"/>
      <c r="P67" s="2655"/>
      <c r="Q67" s="2655"/>
      <c r="R67" s="2655" t="e">
        <f>VLOOKUP($C$93,$B27:U30,R$44,FALSE)</f>
        <v>#N/A</v>
      </c>
      <c r="S67" s="2655"/>
      <c r="T67" s="2655"/>
      <c r="U67" s="2655"/>
      <c r="V67" s="2655" t="e">
        <f>VLOOKUP($C$93,$B27:Y30,V$44,FALSE)</f>
        <v>#N/A</v>
      </c>
      <c r="W67" s="2655"/>
      <c r="X67" s="2655"/>
      <c r="Y67" s="2655"/>
      <c r="Z67" s="200"/>
      <c r="AA67" s="2655" t="e">
        <f>VLOOKUP($C$93,$B27:AD30,AA$44,FALSE)</f>
        <v>#N/A</v>
      </c>
      <c r="AB67" s="2655"/>
      <c r="AC67" s="2655"/>
      <c r="AD67" s="2655"/>
      <c r="AE67" s="2655" t="e">
        <f>VLOOKUP($C$93,$B27:AH30,AE$44,FALSE)</f>
        <v>#N/A</v>
      </c>
      <c r="AF67" s="2655"/>
      <c r="AG67" s="2655"/>
      <c r="AH67" s="2655"/>
      <c r="AI67" s="2655" t="e">
        <f>VLOOKUP($C$93,$B27:AL30,AI$44,FALSE)</f>
        <v>#N/A</v>
      </c>
      <c r="AJ67" s="2655"/>
      <c r="AK67" s="2655"/>
      <c r="AL67" s="2655"/>
      <c r="AM67" s="200"/>
      <c r="AN67" s="200"/>
      <c r="AO67" s="200"/>
      <c r="AP67" s="48"/>
      <c r="AQ67" s="48"/>
      <c r="AR67" s="1318" t="e">
        <f>MAX(J67,N67,R67,V67,AA67,AE67,AI67)/10</f>
        <v>#N/A</v>
      </c>
      <c r="AS67" s="48"/>
    </row>
    <row r="68" spans="1:45" ht="12.75" customHeight="1" x14ac:dyDescent="0.2">
      <c r="A68" s="48"/>
      <c r="B68" s="186"/>
      <c r="C68" s="218"/>
      <c r="D68" s="218"/>
      <c r="E68" s="620"/>
      <c r="F68" s="620"/>
      <c r="G68" s="620"/>
      <c r="H68" s="620"/>
      <c r="I68" s="622"/>
      <c r="J68" s="218"/>
      <c r="K68" s="218"/>
      <c r="L68" s="218"/>
      <c r="M68" s="218"/>
      <c r="N68" s="218"/>
      <c r="O68" s="218"/>
      <c r="P68" s="218"/>
      <c r="Q68" s="218"/>
      <c r="R68" s="218"/>
      <c r="S68" s="218"/>
      <c r="T68" s="218"/>
      <c r="U68" s="218"/>
      <c r="V68" s="218"/>
      <c r="W68" s="218"/>
      <c r="X68" s="218"/>
      <c r="Y68" s="218"/>
      <c r="Z68" s="200"/>
      <c r="AA68" s="218"/>
      <c r="AB68" s="218"/>
      <c r="AC68" s="218"/>
      <c r="AD68" s="218"/>
      <c r="AE68" s="218"/>
      <c r="AF68" s="218"/>
      <c r="AG68" s="218"/>
      <c r="AH68" s="218"/>
      <c r="AI68" s="218"/>
      <c r="AJ68" s="218"/>
      <c r="AK68" s="218"/>
      <c r="AL68" s="218"/>
      <c r="AM68" s="200"/>
      <c r="AN68" s="200"/>
      <c r="AO68" s="200"/>
      <c r="AP68" s="48"/>
      <c r="AQ68" s="48"/>
      <c r="AR68" s="614"/>
      <c r="AS68" s="48"/>
    </row>
    <row r="69" spans="1:45" ht="7.5" customHeight="1" x14ac:dyDescent="0.2">
      <c r="A69" s="48"/>
      <c r="B69" s="186"/>
      <c r="C69" s="218"/>
      <c r="D69" s="218"/>
      <c r="E69" s="2659" t="e">
        <f>IF(AND(E$79&lt;&gt;0,E$79&gt;0),IF(($AR$92*9)&gt;=E$79,0,1),IF(AND(E$79&lt;&gt;0,E$79&lt;0),IF(($AR$92*9)&lt;=E$79,0,1),0))</f>
        <v>#N/A</v>
      </c>
      <c r="F69" s="2660"/>
      <c r="G69" s="2660"/>
      <c r="H69" s="2661"/>
      <c r="I69" s="622"/>
      <c r="J69" s="2659" t="e">
        <f>IF(AND(J$79&lt;&gt;0,J$79&gt;0),IF(($AR$79*9)&gt;=J$79,0,1),IF(AND(J$79&lt;&gt;0,J$79&lt;0),IF(($AR$79*9)&lt;=J$79,0,1),0))</f>
        <v>#N/A</v>
      </c>
      <c r="K69" s="2660"/>
      <c r="L69" s="2660"/>
      <c r="M69" s="2661"/>
      <c r="N69" s="2659" t="e">
        <f>IF(AND(N$79&lt;&gt;0,N$79&gt;0),IF(($AR$79*9)&gt;=N$79,0,1),IF(AND(N$79&lt;&gt;0,N$79&lt;0),IF(($AR$79*9)&lt;=N$79,0,1),0))</f>
        <v>#N/A</v>
      </c>
      <c r="O69" s="2660"/>
      <c r="P69" s="2660"/>
      <c r="Q69" s="2661"/>
      <c r="R69" s="2659" t="e">
        <f>IF(AND(R$79&lt;&gt;0,R$79&gt;0),IF(($AR$79*9)&gt;=R$79,0,1),IF(AND(R$79&lt;&gt;0,R$79&lt;0),IF(($AR$79*9)&lt;=R$79,0,1),0))</f>
        <v>#N/A</v>
      </c>
      <c r="S69" s="2660"/>
      <c r="T69" s="2660"/>
      <c r="U69" s="2661"/>
      <c r="V69" s="2659" t="e">
        <f>IF(AND(V$79&lt;&gt;0,V$79&gt;0),IF(($AR$79*9)&gt;=V$79,0,1),IF(AND(V$79&lt;&gt;0,V$79&lt;0),IF(($AR$79*9)&lt;=V$79,0,1),0))</f>
        <v>#N/A</v>
      </c>
      <c r="W69" s="2660"/>
      <c r="X69" s="2660"/>
      <c r="Y69" s="2661"/>
      <c r="Z69" s="200"/>
      <c r="AA69" s="2659" t="e">
        <f>IF(AND(AA$79&lt;&gt;0,AA$79&gt;0),IF(($AR$79*9)&gt;=AA$79,0,1),IF(AND(AA$79&lt;&gt;0,AA$79&lt;0),IF(($AR$79*9)&lt;=AA$79,0,1),0))</f>
        <v>#N/A</v>
      </c>
      <c r="AB69" s="2660"/>
      <c r="AC69" s="2660"/>
      <c r="AD69" s="2661"/>
      <c r="AE69" s="2659" t="e">
        <f>IF(AND(AE$79&lt;&gt;0,AE$79&gt;0),IF(($AR$79*9)&gt;=AE$79,0,1),IF(AND(AE$79&lt;&gt;0,AE$79&lt;0),IF(($AR$79*9)&lt;=AE$79,0,1),0))</f>
        <v>#N/A</v>
      </c>
      <c r="AF69" s="2660"/>
      <c r="AG69" s="2660"/>
      <c r="AH69" s="2661"/>
      <c r="AI69" s="2659" t="e">
        <f>IF(AND(AI$79&lt;&gt;0,AI$79&gt;0),IF(($AR$79*9)&gt;=AI$79,0,1),IF(AND(AI$79&lt;&gt;0,AI$79&lt;0),IF(($AR$79*9)&lt;=AI$79,0,1),0))</f>
        <v>#N/A</v>
      </c>
      <c r="AJ69" s="2660"/>
      <c r="AK69" s="2660"/>
      <c r="AL69" s="2661"/>
      <c r="AM69" s="200"/>
      <c r="AN69" s="200"/>
      <c r="AO69" s="200"/>
      <c r="AP69" s="48"/>
      <c r="AQ69" s="48"/>
      <c r="AR69" s="614"/>
      <c r="AS69" s="48"/>
    </row>
    <row r="70" spans="1:45" ht="7.5" customHeight="1" x14ac:dyDescent="0.2">
      <c r="A70" s="48"/>
      <c r="B70" s="186"/>
      <c r="C70" s="218"/>
      <c r="D70" s="218"/>
      <c r="E70" s="2645" t="e">
        <f>IF(AND(E$79&lt;&gt;0,E$79&gt;0),IF(($AR$92*8)&gt;=E$79,0,1),IF(AND(E$79&lt;&gt;0,E$79&lt;0),IF(($AR$92*8)&lt;=E$79,0,1),0))</f>
        <v>#N/A</v>
      </c>
      <c r="F70" s="2646"/>
      <c r="G70" s="2646"/>
      <c r="H70" s="2647"/>
      <c r="I70" s="622"/>
      <c r="J70" s="2645" t="e">
        <f>IF(AND(J$79&lt;&gt;0,J$79&gt;0),IF(($AR$79*8)&gt;=J$79,0,1),IF(AND(J$79&lt;&gt;0,J$79&lt;0),IF(($AR$79*8)&lt;=J$79,0,1),0))</f>
        <v>#N/A</v>
      </c>
      <c r="K70" s="2646"/>
      <c r="L70" s="2646"/>
      <c r="M70" s="2647"/>
      <c r="N70" s="2645" t="e">
        <f>IF(AND(N$79&lt;&gt;0,N$79&gt;0),IF(($AR$79*8)&gt;=N$79,0,1),IF(AND(N$79&lt;&gt;0,N$79&lt;0),IF(($AR$79*8)&lt;=N$79,0,1),0))</f>
        <v>#N/A</v>
      </c>
      <c r="O70" s="2646"/>
      <c r="P70" s="2646"/>
      <c r="Q70" s="2647"/>
      <c r="R70" s="2645" t="e">
        <f>IF(AND(R$79&lt;&gt;0,R$79&gt;0),IF(($AR$79*8)&gt;=R$79,0,1),IF(AND(R$79&lt;&gt;0,R$79&lt;0),IF(($AR$79*8)&lt;=R$79,0,1),0))</f>
        <v>#N/A</v>
      </c>
      <c r="S70" s="2646"/>
      <c r="T70" s="2646"/>
      <c r="U70" s="2647"/>
      <c r="V70" s="2645" t="e">
        <f>IF(AND(V$79&lt;&gt;0,V$79&gt;0),IF(($AR$79*8)&gt;=V$79,0,1),IF(AND(V$79&lt;&gt;0,V$79&lt;0),IF(($AR$79*8)&lt;=V$79,0,1),0))</f>
        <v>#N/A</v>
      </c>
      <c r="W70" s="2646"/>
      <c r="X70" s="2646"/>
      <c r="Y70" s="2647"/>
      <c r="Z70" s="200"/>
      <c r="AA70" s="2645" t="e">
        <f>IF(AND(AA$79&lt;&gt;0,AA$79&gt;0),IF(($AR$79*8)&gt;=AA$79,0,1),IF(AND(AA$79&lt;&gt;0,AA$79&lt;0),IF(($AR$79*8)&lt;=AA$79,0,1),0))</f>
        <v>#N/A</v>
      </c>
      <c r="AB70" s="2646"/>
      <c r="AC70" s="2646"/>
      <c r="AD70" s="2647"/>
      <c r="AE70" s="2645" t="e">
        <f>IF(AND(AE$79&lt;&gt;0,AE$79&gt;0),IF(($AR$79*8)&gt;=AE$79,0,1),IF(AND(AE$79&lt;&gt;0,AE$79&lt;0),IF(($AR$79*8)&lt;=AE$79,0,1),0))</f>
        <v>#N/A</v>
      </c>
      <c r="AF70" s="2646"/>
      <c r="AG70" s="2646"/>
      <c r="AH70" s="2647"/>
      <c r="AI70" s="2645" t="e">
        <f>IF(AND(AI$79&lt;&gt;0,AI$79&gt;0),IF(($AR$79*8)&gt;=AI$79,0,1),IF(AND(AI$79&lt;&gt;0,AI$79&lt;0),IF(($AR$79*8)&lt;=AI$79,0,1),0))</f>
        <v>#N/A</v>
      </c>
      <c r="AJ70" s="2646"/>
      <c r="AK70" s="2646"/>
      <c r="AL70" s="2647"/>
      <c r="AM70" s="200"/>
      <c r="AN70" s="200"/>
      <c r="AO70" s="200"/>
      <c r="AP70" s="48"/>
      <c r="AQ70" s="48"/>
      <c r="AR70" s="614"/>
      <c r="AS70" s="48"/>
    </row>
    <row r="71" spans="1:45" ht="7.5" customHeight="1" x14ac:dyDescent="0.2">
      <c r="A71" s="48"/>
      <c r="B71" s="186"/>
      <c r="C71" s="218"/>
      <c r="D71" s="218"/>
      <c r="E71" s="2645" t="e">
        <f>IF(AND(E$79&lt;&gt;0,E$79&gt;0),IF(($AR$92*7)&gt;=E$79,0,1),IF(AND(E$79&lt;&gt;0,E$79&lt;0),IF(($AR$92*7)&lt;=E$79,0,1),0))</f>
        <v>#N/A</v>
      </c>
      <c r="F71" s="2646"/>
      <c r="G71" s="2646"/>
      <c r="H71" s="2647"/>
      <c r="I71" s="622"/>
      <c r="J71" s="2645" t="e">
        <f>IF(AND(J$79&lt;&gt;0,J$79&gt;0),IF(($AR$79*7)&gt;=J$79,0,1),IF(AND(J$79&lt;&gt;0,J$79&lt;0),IF(($AR$79*7)&lt;=J$79,0,1),0))</f>
        <v>#N/A</v>
      </c>
      <c r="K71" s="2646"/>
      <c r="L71" s="2646"/>
      <c r="M71" s="2647"/>
      <c r="N71" s="2645" t="e">
        <f>IF(AND(N$79&lt;&gt;0,N$79&gt;0),IF(($AR$79*7)&gt;=N$79,0,1),IF(AND(N$79&lt;&gt;0,N$79&lt;0),IF(($AR$79*7)&lt;=N$79,0,1),0))</f>
        <v>#N/A</v>
      </c>
      <c r="O71" s="2646"/>
      <c r="P71" s="2646"/>
      <c r="Q71" s="2647"/>
      <c r="R71" s="2645" t="e">
        <f>IF(AND(R$79&lt;&gt;0,R$79&gt;0),IF(($AR$79*7)&gt;=R$79,0,1),IF(AND(R$79&lt;&gt;0,R$79&lt;0),IF(($AR$79*7)&lt;=R$79,0,1),0))</f>
        <v>#N/A</v>
      </c>
      <c r="S71" s="2646"/>
      <c r="T71" s="2646"/>
      <c r="U71" s="2647"/>
      <c r="V71" s="2645" t="e">
        <f>IF(AND(V$79&lt;&gt;0,V$79&gt;0),IF(($AR$79*7)&gt;=V$79,0,1),IF(AND(V$79&lt;&gt;0,V$79&lt;0),IF(($AR$79*7)&lt;=V$79,0,1),0))</f>
        <v>#N/A</v>
      </c>
      <c r="W71" s="2646"/>
      <c r="X71" s="2646"/>
      <c r="Y71" s="2647"/>
      <c r="Z71" s="200"/>
      <c r="AA71" s="2645" t="e">
        <f>IF(AND(AA$79&lt;&gt;0,AA$79&gt;0),IF(($AR$79*7)&gt;=AA$79,0,1),IF(AND(AA$79&lt;&gt;0,AA$79&lt;0),IF(($AR$79*7)&lt;=AA$79,0,1),0))</f>
        <v>#N/A</v>
      </c>
      <c r="AB71" s="2646"/>
      <c r="AC71" s="2646"/>
      <c r="AD71" s="2647"/>
      <c r="AE71" s="2645" t="e">
        <f>IF(AND(AE$79&lt;&gt;0,AE$79&gt;0),IF(($AR$79*7)&gt;=AE$79,0,1),IF(AND(AE$79&lt;&gt;0,AE$79&lt;0),IF(($AR$79*7)&lt;=AE$79,0,1),0))</f>
        <v>#N/A</v>
      </c>
      <c r="AF71" s="2646"/>
      <c r="AG71" s="2646"/>
      <c r="AH71" s="2647"/>
      <c r="AI71" s="2645" t="e">
        <f>IF(AND(AI$79&lt;&gt;0,AI$79&gt;0),IF(($AR$79*7)&gt;=AI$79,0,1),IF(AND(AI$79&lt;&gt;0,AI$79&lt;0),IF(($AR$79*7)&lt;=AI$79,0,1),0))</f>
        <v>#N/A</v>
      </c>
      <c r="AJ71" s="2646"/>
      <c r="AK71" s="2646"/>
      <c r="AL71" s="2647"/>
      <c r="AM71" s="200"/>
      <c r="AN71" s="200"/>
      <c r="AO71" s="200"/>
      <c r="AP71" s="48"/>
      <c r="AQ71" s="48"/>
      <c r="AR71" s="614"/>
      <c r="AS71" s="48"/>
    </row>
    <row r="72" spans="1:45" ht="7.5" customHeight="1" x14ac:dyDescent="0.2">
      <c r="A72" s="48"/>
      <c r="B72" s="186"/>
      <c r="C72" s="1802" t="s">
        <v>175</v>
      </c>
      <c r="D72" s="1802"/>
      <c r="E72" s="2645" t="e">
        <f>IF(AND(E$79&lt;&gt;0,E$79&gt;0),IF(($AR$92*6)&gt;=E$79,0,1),IF(AND(E$79&lt;&gt;0,E$79&lt;0),IF(($AR$92*6)&lt;=E$79,0,1),0))</f>
        <v>#N/A</v>
      </c>
      <c r="F72" s="2646"/>
      <c r="G72" s="2646"/>
      <c r="H72" s="2647"/>
      <c r="I72" s="622"/>
      <c r="J72" s="2645" t="e">
        <f>IF(AND(J$79&lt;&gt;0,J$79&gt;0),IF(($AR$79*6)&gt;=J$79,0,1),IF(AND(J$79&lt;&gt;0,J$79&lt;0),IF(($AR$79*6)&lt;=J$79,0,1),0))</f>
        <v>#N/A</v>
      </c>
      <c r="K72" s="2646"/>
      <c r="L72" s="2646"/>
      <c r="M72" s="2647"/>
      <c r="N72" s="2645" t="e">
        <f>IF(AND(N$79&lt;&gt;0,N$79&gt;0),IF(($AR$79*6)&gt;=N$79,0,1),IF(AND(N$79&lt;&gt;0,N$79&lt;0),IF(($AR$79*6)&lt;=N$79,0,1),0))</f>
        <v>#N/A</v>
      </c>
      <c r="O72" s="2646"/>
      <c r="P72" s="2646"/>
      <c r="Q72" s="2647"/>
      <c r="R72" s="2645" t="e">
        <f>IF(AND(R$79&lt;&gt;0,R$79&gt;0),IF(($AR$79*6)&gt;=R$79,0,1),IF(AND(R$79&lt;&gt;0,R$79&lt;0),IF(($AR$79*6)&lt;=R$79,0,1),0))</f>
        <v>#N/A</v>
      </c>
      <c r="S72" s="2646"/>
      <c r="T72" s="2646"/>
      <c r="U72" s="2647"/>
      <c r="V72" s="2645" t="e">
        <f>IF(AND(V$79&lt;&gt;0,V$79&gt;0),IF(($AR$79*6)&gt;=V$79,0,1),IF(AND(V$79&lt;&gt;0,V$79&lt;0),IF(($AR$79*6)&lt;=V$79,0,1),0))</f>
        <v>#N/A</v>
      </c>
      <c r="W72" s="2646"/>
      <c r="X72" s="2646"/>
      <c r="Y72" s="2647"/>
      <c r="Z72" s="200"/>
      <c r="AA72" s="2645" t="e">
        <f>IF(AND(AA$79&lt;&gt;0,AA$79&gt;0),IF(($AR$79*6)&gt;=AA$79,0,1),IF(AND(AA$79&lt;&gt;0,AA$79&lt;0),IF(($AR$79*6)&lt;=AA$79,0,1),0))</f>
        <v>#N/A</v>
      </c>
      <c r="AB72" s="2646"/>
      <c r="AC72" s="2646"/>
      <c r="AD72" s="2647"/>
      <c r="AE72" s="2645" t="e">
        <f>IF(AND(AE$79&lt;&gt;0,AE$79&gt;0),IF(($AR$79*6)&gt;=AE$79,0,1),IF(AND(AE$79&lt;&gt;0,AE$79&lt;0),IF(($AR$79*6)&lt;=AE$79,0,1),0))</f>
        <v>#N/A</v>
      </c>
      <c r="AF72" s="2646"/>
      <c r="AG72" s="2646"/>
      <c r="AH72" s="2647"/>
      <c r="AI72" s="2645" t="e">
        <f>IF(AND(AI$79&lt;&gt;0,AI$79&gt;0),IF(($AR$79*6)&gt;=AI$79,0,1),IF(AND(AI$79&lt;&gt;0,AI$79&lt;0),IF(($AR$79*6)&lt;=AI$79,0,1),0))</f>
        <v>#N/A</v>
      </c>
      <c r="AJ72" s="2646"/>
      <c r="AK72" s="2646"/>
      <c r="AL72" s="2647"/>
      <c r="AM72" s="200"/>
      <c r="AN72" s="200"/>
      <c r="AO72" s="200"/>
      <c r="AP72" s="48"/>
      <c r="AQ72" s="48"/>
      <c r="AR72" s="614"/>
      <c r="AS72" s="48"/>
    </row>
    <row r="73" spans="1:45" ht="7.5" customHeight="1" x14ac:dyDescent="0.2">
      <c r="A73" s="48"/>
      <c r="B73" s="186"/>
      <c r="C73" s="1802"/>
      <c r="D73" s="1802"/>
      <c r="E73" s="2645" t="e">
        <f>IF(AND(E$79&lt;&gt;0,E$79&gt;0),IF(($AR$92*5)&gt;=E$79,0,1),IF(AND(E$79&lt;&gt;0,E$79&lt;0),IF(($AR$92*5)&lt;=E$79,0,1),0))</f>
        <v>#N/A</v>
      </c>
      <c r="F73" s="2646"/>
      <c r="G73" s="2646"/>
      <c r="H73" s="2647"/>
      <c r="I73" s="622"/>
      <c r="J73" s="2645" t="e">
        <f>IF(AND(J$79&lt;&gt;0,J$79&gt;0),IF(($AR$79*5)&gt;=J$79,0,1),IF(AND(J$79&lt;&gt;0,J$79&lt;0),IF(($AR$79*5)&lt;=J$79,0,1),0))</f>
        <v>#N/A</v>
      </c>
      <c r="K73" s="2646"/>
      <c r="L73" s="2646"/>
      <c r="M73" s="2647"/>
      <c r="N73" s="2645" t="e">
        <f>IF(AND(N$79&lt;&gt;0,N$79&gt;0),IF(($AR$79*5)&gt;=N$79,0,1),IF(AND(N$79&lt;&gt;0,N$79&lt;0),IF(($AR$79*5)&lt;=N$79,0,1),0))</f>
        <v>#N/A</v>
      </c>
      <c r="O73" s="2646"/>
      <c r="P73" s="2646"/>
      <c r="Q73" s="2647"/>
      <c r="R73" s="2645" t="e">
        <f>IF(AND(R$79&lt;&gt;0,R$79&gt;0),IF(($AR$79*5)&gt;=R$79,0,1),IF(AND(R$79&lt;&gt;0,R$79&lt;0),IF(($AR$79*5)&lt;=R$79,0,1),0))</f>
        <v>#N/A</v>
      </c>
      <c r="S73" s="2646"/>
      <c r="T73" s="2646"/>
      <c r="U73" s="2647"/>
      <c r="V73" s="2645" t="e">
        <f>IF(AND(V$79&lt;&gt;0,V$79&gt;0),IF(($AR$79*5)&gt;=V$79,0,1),IF(AND(V$79&lt;&gt;0,V$79&lt;0),IF(($AR$79*5)&lt;=V$79,0,1),0))</f>
        <v>#N/A</v>
      </c>
      <c r="W73" s="2646"/>
      <c r="X73" s="2646"/>
      <c r="Y73" s="2647"/>
      <c r="Z73" s="200"/>
      <c r="AA73" s="2645" t="e">
        <f>IF(AND(AA$79&lt;&gt;0,AA$79&gt;0),IF(($AR$79*5)&gt;=AA$79,0,1),IF(AND(AA$79&lt;&gt;0,AA$79&lt;0),IF(($AR$79*5)&lt;=AA$79,0,1),0))</f>
        <v>#N/A</v>
      </c>
      <c r="AB73" s="2646"/>
      <c r="AC73" s="2646"/>
      <c r="AD73" s="2647"/>
      <c r="AE73" s="2645" t="e">
        <f>IF(AND(AE$79&lt;&gt;0,AE$79&gt;0),IF(($AR$79*5)&gt;=AE$79,0,1),IF(AND(AE$79&lt;&gt;0,AE$79&lt;0),IF(($AR$79*5)&lt;=AE$79,0,1),0))</f>
        <v>#N/A</v>
      </c>
      <c r="AF73" s="2646"/>
      <c r="AG73" s="2646"/>
      <c r="AH73" s="2647"/>
      <c r="AI73" s="2645" t="e">
        <f>IF(AND(AI$79&lt;&gt;0,AI$79&gt;0),IF(($AR$79*5)&gt;=AI$79,0,1),IF(AND(AI$79&lt;&gt;0,AI$79&lt;0),IF(($AR$79*5)&lt;=AI$79,0,1),0))</f>
        <v>#N/A</v>
      </c>
      <c r="AJ73" s="2646"/>
      <c r="AK73" s="2646"/>
      <c r="AL73" s="2647"/>
      <c r="AM73" s="200"/>
      <c r="AN73" s="200"/>
      <c r="AO73" s="200"/>
      <c r="AP73" s="48"/>
      <c r="AQ73" s="48"/>
      <c r="AR73" s="614"/>
      <c r="AS73" s="48"/>
    </row>
    <row r="74" spans="1:45" ht="7.5" customHeight="1" x14ac:dyDescent="0.2">
      <c r="A74" s="48"/>
      <c r="B74" s="186"/>
      <c r="C74" s="1802"/>
      <c r="D74" s="1802"/>
      <c r="E74" s="2645" t="e">
        <f>IF(AND(E$79&lt;&gt;0,E$79&gt;0),IF(($AR$92*4)&gt;=E$79,0,1),IF(AND(E$79&lt;&gt;0,E$79&lt;0),IF(($AR$92*4)&lt;=E$79,0,1),0))</f>
        <v>#N/A</v>
      </c>
      <c r="F74" s="2646"/>
      <c r="G74" s="2646"/>
      <c r="H74" s="2647"/>
      <c r="I74" s="622"/>
      <c r="J74" s="2645" t="e">
        <f>IF(AND(J$79&lt;&gt;0,J$79&gt;0),IF(($AR$79*4)&gt;=J$79,0,1),IF(AND(J$79&lt;&gt;0,J$79&lt;0),IF(($AR$79*4)&lt;=J$79,0,1),0))</f>
        <v>#N/A</v>
      </c>
      <c r="K74" s="2646"/>
      <c r="L74" s="2646"/>
      <c r="M74" s="2647"/>
      <c r="N74" s="2645" t="e">
        <f>IF(AND(N$79&lt;&gt;0,N$79&gt;0),IF(($AR$79*4)&gt;=N$79,0,1),IF(AND(N$79&lt;&gt;0,N$79&lt;0),IF(($AR$79*4)&lt;=N$79,0,1),0))</f>
        <v>#N/A</v>
      </c>
      <c r="O74" s="2646"/>
      <c r="P74" s="2646"/>
      <c r="Q74" s="2647"/>
      <c r="R74" s="2645" t="e">
        <f>IF(AND(R$79&lt;&gt;0,R$79&gt;0),IF(($AR$79*4)&gt;=R$79,0,1),IF(AND(R$79&lt;&gt;0,R$79&lt;0),IF(($AR$79*4)&lt;=R$79,0,1),0))</f>
        <v>#N/A</v>
      </c>
      <c r="S74" s="2646"/>
      <c r="T74" s="2646"/>
      <c r="U74" s="2647"/>
      <c r="V74" s="2645" t="e">
        <f>IF(AND(V$79&lt;&gt;0,V$79&gt;0),IF(($AR$79*4)&gt;=V$79,0,1),IF(AND(V$79&lt;&gt;0,V$79&lt;0),IF(($AR$79*4)&lt;=V$79,0,1),0))</f>
        <v>#N/A</v>
      </c>
      <c r="W74" s="2646"/>
      <c r="X74" s="2646"/>
      <c r="Y74" s="2647"/>
      <c r="Z74" s="200"/>
      <c r="AA74" s="2645" t="e">
        <f>IF(AND(AA$79&lt;&gt;0,AA$79&gt;0),IF(($AR$79*4)&gt;=AA$79,0,1),IF(AND(AA$79&lt;&gt;0,AA$79&lt;0),IF(($AR$79*4)&lt;=AA$79,0,1),0))</f>
        <v>#N/A</v>
      </c>
      <c r="AB74" s="2646"/>
      <c r="AC74" s="2646"/>
      <c r="AD74" s="2647"/>
      <c r="AE74" s="2645" t="e">
        <f>IF(AND(AE$79&lt;&gt;0,AE$79&gt;0),IF(($AR$79*4)&gt;=AE$79,0,1),IF(AND(AE$79&lt;&gt;0,AE$79&lt;0),IF(($AR$79*4)&lt;=AE$79,0,1),0))</f>
        <v>#N/A</v>
      </c>
      <c r="AF74" s="2646"/>
      <c r="AG74" s="2646"/>
      <c r="AH74" s="2647"/>
      <c r="AI74" s="2645" t="e">
        <f>IF(AND(AI$79&lt;&gt;0,AI$79&gt;0),IF(($AR$79*4)&gt;=AI$79,0,1),IF(AND(AI$79&lt;&gt;0,AI$79&lt;0),IF(($AR$79*4)&lt;=AI$79,0,1),0))</f>
        <v>#N/A</v>
      </c>
      <c r="AJ74" s="2646"/>
      <c r="AK74" s="2646"/>
      <c r="AL74" s="2647"/>
      <c r="AM74" s="200"/>
      <c r="AN74" s="200"/>
      <c r="AO74" s="200"/>
      <c r="AP74" s="48"/>
      <c r="AQ74" s="48"/>
      <c r="AR74" s="614"/>
      <c r="AS74" s="48"/>
    </row>
    <row r="75" spans="1:45" ht="7.5" customHeight="1" x14ac:dyDescent="0.2">
      <c r="A75" s="48"/>
      <c r="B75" s="186"/>
      <c r="C75" s="1802"/>
      <c r="D75" s="1802"/>
      <c r="E75" s="2645" t="e">
        <f>IF(AND(E$79&lt;&gt;0,E$79&gt;0),IF(($AR$92*3)&gt;=E$79,0,1),IF(AND(E$79&lt;&gt;0,E$79&lt;0),IF(($AR$92*3)&lt;=E$79,0,1),0))</f>
        <v>#N/A</v>
      </c>
      <c r="F75" s="2646"/>
      <c r="G75" s="2646"/>
      <c r="H75" s="2647"/>
      <c r="I75" s="622"/>
      <c r="J75" s="2645" t="e">
        <f>IF(AND(J$79&lt;&gt;0,J$79&gt;0),IF(($AR$79*3)&gt;=J$79,0,1),IF(AND(J$79&lt;&gt;0,J$79&lt;0),IF(($AR$79*3)&lt;=J$79,0,1),0))</f>
        <v>#N/A</v>
      </c>
      <c r="K75" s="2646"/>
      <c r="L75" s="2646"/>
      <c r="M75" s="2647"/>
      <c r="N75" s="2645" t="e">
        <f>IF(AND(N$79&lt;&gt;0,N$79&gt;0),IF(($AR$79*3)&gt;=N$79,0,1),IF(AND(N$79&lt;&gt;0,N$79&lt;0),IF(($AR$79*3)&lt;=N$79,0,1),0))</f>
        <v>#N/A</v>
      </c>
      <c r="O75" s="2646"/>
      <c r="P75" s="2646"/>
      <c r="Q75" s="2647"/>
      <c r="R75" s="2645" t="e">
        <f>IF(AND(R$79&lt;&gt;0,R$79&gt;0),IF(($AR$79*3)&gt;=R$79,0,1),IF(AND(R$79&lt;&gt;0,R$79&lt;0),IF(($AR$79*3)&lt;=R$79,0,1),0))</f>
        <v>#N/A</v>
      </c>
      <c r="S75" s="2646"/>
      <c r="T75" s="2646"/>
      <c r="U75" s="2647"/>
      <c r="V75" s="2645" t="e">
        <f>IF(AND(V$79&lt;&gt;0,V$79&gt;0),IF(($AR$79*3)&gt;=V$79,0,1),IF(AND(V$79&lt;&gt;0,V$79&lt;0),IF(($AR$79*3)&lt;=V$79,0,1),0))</f>
        <v>#N/A</v>
      </c>
      <c r="W75" s="2646"/>
      <c r="X75" s="2646"/>
      <c r="Y75" s="2647"/>
      <c r="Z75" s="200"/>
      <c r="AA75" s="2645" t="e">
        <f>IF(AND(AA$79&lt;&gt;0,AA$79&gt;0),IF(($AR$79*3)&gt;=AA$79,0,1),IF(AND(AA$79&lt;&gt;0,AA$79&lt;0),IF(($AR$79*3)&lt;=AA$79,0,1),0))</f>
        <v>#N/A</v>
      </c>
      <c r="AB75" s="2646"/>
      <c r="AC75" s="2646"/>
      <c r="AD75" s="2647"/>
      <c r="AE75" s="2645" t="e">
        <f>IF(AND(AE$79&lt;&gt;0,AE$79&gt;0),IF(($AR$79*3)&gt;=AE$79,0,1),IF(AND(AE$79&lt;&gt;0,AE$79&lt;0),IF(($AR$79*3)&lt;=AE$79,0,1),0))</f>
        <v>#N/A</v>
      </c>
      <c r="AF75" s="2646"/>
      <c r="AG75" s="2646"/>
      <c r="AH75" s="2647"/>
      <c r="AI75" s="2645" t="e">
        <f>IF(AND(AI$79&lt;&gt;0,AI$79&gt;0),IF(($AR$79*3)&gt;=AI$79,0,1),IF(AND(AI$79&lt;&gt;0,AI$79&lt;0),IF(($AR$79*3)&lt;=AI$79,0,1),0))</f>
        <v>#N/A</v>
      </c>
      <c r="AJ75" s="2646"/>
      <c r="AK75" s="2646"/>
      <c r="AL75" s="2647"/>
      <c r="AM75" s="200"/>
      <c r="AN75" s="200"/>
      <c r="AO75" s="200"/>
      <c r="AP75" s="48"/>
      <c r="AQ75" s="48"/>
      <c r="AR75" s="614"/>
      <c r="AS75" s="48"/>
    </row>
    <row r="76" spans="1:45" ht="7.5" customHeight="1" x14ac:dyDescent="0.2">
      <c r="A76" s="48"/>
      <c r="B76" s="186"/>
      <c r="C76" s="1802"/>
      <c r="D76" s="1802"/>
      <c r="E76" s="2645" t="e">
        <f>IF(AND(E$79&lt;&gt;0,E$79&gt;0),IF(($AR$92*2)&gt;=E$79,0,1),IF(AND(E$79&lt;&gt;0,E$79&lt;0),IF(($AR$92*2)&lt;=E$79,0,1),0))</f>
        <v>#N/A</v>
      </c>
      <c r="F76" s="2646"/>
      <c r="G76" s="2646"/>
      <c r="H76" s="2647"/>
      <c r="I76" s="622"/>
      <c r="J76" s="2645" t="e">
        <f>IF(AND(J$79&lt;&gt;0,J$79&gt;0),IF(($AR$79*2)&gt;=J$79,0,1),IF(AND(J$79&lt;&gt;0,J$79&lt;0),IF(($AR$79*2)&lt;=J$79,0,1),0))</f>
        <v>#N/A</v>
      </c>
      <c r="K76" s="2646"/>
      <c r="L76" s="2646"/>
      <c r="M76" s="2647"/>
      <c r="N76" s="2645" t="e">
        <f>IF(AND(N$79&lt;&gt;0,N$79&gt;0),IF(($AR$79*2)&gt;=N$79,0,1),IF(AND(N$79&lt;&gt;0,N$79&lt;0),IF(($AR$79*2)&lt;=N$79,0,1),0))</f>
        <v>#N/A</v>
      </c>
      <c r="O76" s="2646"/>
      <c r="P76" s="2646"/>
      <c r="Q76" s="2647"/>
      <c r="R76" s="2645" t="e">
        <f>IF(AND(R$79&lt;&gt;0,R$79&gt;0),IF(($AR$79*2)&gt;=R$79,0,1),IF(AND(R$79&lt;&gt;0,R$79&lt;0),IF(($AR$79*2)&lt;=R$79,0,1),0))</f>
        <v>#N/A</v>
      </c>
      <c r="S76" s="2646"/>
      <c r="T76" s="2646"/>
      <c r="U76" s="2647"/>
      <c r="V76" s="2645" t="e">
        <f>IF(AND(V$79&lt;&gt;0,V$79&gt;0),IF(($AR$79*2)&gt;=V$79,0,1),IF(AND(V$79&lt;&gt;0,V$79&lt;0),IF(($AR$79*2)&lt;=V$79,0,1),0))</f>
        <v>#N/A</v>
      </c>
      <c r="W76" s="2646"/>
      <c r="X76" s="2646"/>
      <c r="Y76" s="2647"/>
      <c r="Z76" s="200"/>
      <c r="AA76" s="2645" t="e">
        <f>IF(AND(AA$79&lt;&gt;0,AA$79&gt;0),IF(($AR$79*2)&gt;=AA$79,0,1),IF(AND(AA$79&lt;&gt;0,AA$79&lt;0),IF(($AR$79*2)&lt;=AA$79,0,1),0))</f>
        <v>#N/A</v>
      </c>
      <c r="AB76" s="2646"/>
      <c r="AC76" s="2646"/>
      <c r="AD76" s="2647"/>
      <c r="AE76" s="2645" t="e">
        <f>IF(AND(AE$79&lt;&gt;0,AE$79&gt;0),IF(($AR$79*2)&gt;=AE$79,0,1),IF(AND(AE$79&lt;&gt;0,AE$79&lt;0),IF(($AR$79*2)&lt;=AE$79,0,1),0))</f>
        <v>#N/A</v>
      </c>
      <c r="AF76" s="2646"/>
      <c r="AG76" s="2646"/>
      <c r="AH76" s="2647"/>
      <c r="AI76" s="2645" t="e">
        <f>IF(AND(AI$79&lt;&gt;0,AI$79&gt;0),IF(($AR$79*2)&gt;=AI$79,0,1),IF(AND(AI$79&lt;&gt;0,AI$79&lt;0),IF(($AR$79*2)&lt;=AI$79,0,1),0))</f>
        <v>#N/A</v>
      </c>
      <c r="AJ76" s="2646"/>
      <c r="AK76" s="2646"/>
      <c r="AL76" s="2647"/>
      <c r="AM76" s="200"/>
      <c r="AN76" s="200"/>
      <c r="AO76" s="200"/>
      <c r="AP76" s="48"/>
      <c r="AQ76" s="48"/>
      <c r="AR76" s="614"/>
      <c r="AS76" s="48"/>
    </row>
    <row r="77" spans="1:45" ht="7.5" customHeight="1" x14ac:dyDescent="0.2">
      <c r="A77" s="48"/>
      <c r="B77" s="186"/>
      <c r="C77" s="1802"/>
      <c r="D77" s="1802"/>
      <c r="E77" s="2645" t="e">
        <f>IF(AND(E$79&lt;&gt;0,E$79&gt;0),IF(($AR$92*1)&gt;=E$79,0,1),IF(AND(E$79&lt;&gt;0,E$79&lt;0),IF(($AR$92*1)&lt;=E$79,0,1),0))</f>
        <v>#N/A</v>
      </c>
      <c r="F77" s="2646"/>
      <c r="G77" s="2646"/>
      <c r="H77" s="2647"/>
      <c r="I77" s="622"/>
      <c r="J77" s="2645" t="e">
        <f>IF(AND(J$79&lt;&gt;0,J$79&gt;0),IF(($AR$79*1)&gt;=J$79,0,1),IF(AND(J$79&lt;&gt;0,J$79&lt;0),IF(($AR$79*1)&lt;=J$79,0,1),0))</f>
        <v>#N/A</v>
      </c>
      <c r="K77" s="2646"/>
      <c r="L77" s="2646"/>
      <c r="M77" s="2647"/>
      <c r="N77" s="2645" t="e">
        <f>IF(AND(N$79&lt;&gt;0,N$79&gt;0),IF(($AR$79*1)&gt;=N$79,0,1),IF(AND(N$79&lt;&gt;0,N$79&lt;0),IF(($AR$79*1)&lt;=N$79,0,1),0))</f>
        <v>#N/A</v>
      </c>
      <c r="O77" s="2646"/>
      <c r="P77" s="2646"/>
      <c r="Q77" s="2647"/>
      <c r="R77" s="2645" t="e">
        <f>IF(AND(R$79&lt;&gt;0,R$79&gt;0),IF(($AR$79*1)&gt;=R$79,0,1),IF(AND(R$79&lt;&gt;0,R$79&lt;0),IF(($AR$79*1)&lt;=R$79,0,1),0))</f>
        <v>#N/A</v>
      </c>
      <c r="S77" s="2646"/>
      <c r="T77" s="2646"/>
      <c r="U77" s="2647"/>
      <c r="V77" s="2645" t="e">
        <f>IF(AND(V$79&lt;&gt;0,V$79&gt;0),IF(($AR$79*1)&gt;=V$79,0,1),IF(AND(V$79&lt;&gt;0,V$79&lt;0),IF(($AR$79*1)&lt;=V$79,0,1),0))</f>
        <v>#N/A</v>
      </c>
      <c r="W77" s="2646"/>
      <c r="X77" s="2646"/>
      <c r="Y77" s="2647"/>
      <c r="Z77" s="200"/>
      <c r="AA77" s="2645" t="e">
        <f>IF(AND(AA$79&lt;&gt;0,AA$79&gt;0),IF(($AR$79*1)&gt;=AA$79,0,1),IF(AND(AA$79&lt;&gt;0,AA$79&lt;0),IF(($AR$79*1)&lt;=AA$79,0,1),0))</f>
        <v>#N/A</v>
      </c>
      <c r="AB77" s="2646"/>
      <c r="AC77" s="2646"/>
      <c r="AD77" s="2647"/>
      <c r="AE77" s="2645" t="e">
        <f>IF(AND(AE$79&lt;&gt;0,AE$79&gt;0),IF(($AR$79*1)&gt;=AE$79,0,1),IF(AND(AE$79&lt;&gt;0,AE$79&lt;0),IF(($AR$79*1)&lt;=AE$79,0,1),0))</f>
        <v>#N/A</v>
      </c>
      <c r="AF77" s="2646"/>
      <c r="AG77" s="2646"/>
      <c r="AH77" s="2647"/>
      <c r="AI77" s="2645" t="e">
        <f>IF(AND(AI$79&lt;&gt;0,AI$79&gt;0),IF(($AR$79*1)&gt;=AI$79,0,1),IF(AND(AI$79&lt;&gt;0,AI$79&lt;0),IF(($AR$79*1)&lt;=AI$79,0,1),0))</f>
        <v>#N/A</v>
      </c>
      <c r="AJ77" s="2646"/>
      <c r="AK77" s="2646"/>
      <c r="AL77" s="2647"/>
      <c r="AM77" s="200"/>
      <c r="AN77" s="200"/>
      <c r="AO77" s="200"/>
      <c r="AP77" s="48"/>
      <c r="AQ77" s="48"/>
      <c r="AR77" s="614"/>
      <c r="AS77" s="48"/>
    </row>
    <row r="78" spans="1:45" ht="7.5" customHeight="1" x14ac:dyDescent="0.2">
      <c r="A78" s="48"/>
      <c r="B78" s="186"/>
      <c r="C78" s="1802"/>
      <c r="D78" s="1802"/>
      <c r="E78" s="2642" t="e">
        <f>IF(E79&lt;&gt;0,1,0)</f>
        <v>#N/A</v>
      </c>
      <c r="F78" s="2643"/>
      <c r="G78" s="2643"/>
      <c r="H78" s="2644"/>
      <c r="I78" s="622"/>
      <c r="J78" s="2642" t="e">
        <f>IF(J79&lt;&gt;0,1,0)</f>
        <v>#N/A</v>
      </c>
      <c r="K78" s="2643"/>
      <c r="L78" s="2643"/>
      <c r="M78" s="2644"/>
      <c r="N78" s="2642" t="e">
        <f>IF(N79&lt;&gt;0,1,0)</f>
        <v>#N/A</v>
      </c>
      <c r="O78" s="2643"/>
      <c r="P78" s="2643"/>
      <c r="Q78" s="2644"/>
      <c r="R78" s="2642" t="e">
        <f>IF(R79&lt;&gt;0,1,0)</f>
        <v>#N/A</v>
      </c>
      <c r="S78" s="2643"/>
      <c r="T78" s="2643"/>
      <c r="U78" s="2644"/>
      <c r="V78" s="2642" t="e">
        <f>IF(V79&lt;&gt;0,1,0)</f>
        <v>#N/A</v>
      </c>
      <c r="W78" s="2643"/>
      <c r="X78" s="2643"/>
      <c r="Y78" s="2644"/>
      <c r="Z78" s="200"/>
      <c r="AA78" s="2642" t="e">
        <f>IF(AA79&lt;&gt;0,1,0)</f>
        <v>#N/A</v>
      </c>
      <c r="AB78" s="2643"/>
      <c r="AC78" s="2643"/>
      <c r="AD78" s="2644"/>
      <c r="AE78" s="2642" t="e">
        <f>IF(AE79&lt;&gt;0,1,0)</f>
        <v>#N/A</v>
      </c>
      <c r="AF78" s="2643"/>
      <c r="AG78" s="2643"/>
      <c r="AH78" s="2644"/>
      <c r="AI78" s="2642" t="e">
        <f>IF(AI79&lt;&gt;0,1,0)</f>
        <v>#N/A</v>
      </c>
      <c r="AJ78" s="2643"/>
      <c r="AK78" s="2643"/>
      <c r="AL78" s="2644"/>
      <c r="AM78" s="200"/>
      <c r="AN78" s="200"/>
      <c r="AO78" s="200"/>
      <c r="AP78" s="48"/>
      <c r="AQ78" s="48"/>
      <c r="AR78" s="614"/>
      <c r="AS78" s="48"/>
    </row>
    <row r="79" spans="1:45" ht="18" customHeight="1" x14ac:dyDescent="0.2">
      <c r="A79" s="48"/>
      <c r="B79" s="186"/>
      <c r="C79" s="2664">
        <f>C33</f>
        <v>2022</v>
      </c>
      <c r="D79" s="2664"/>
      <c r="E79" s="2655" t="e">
        <f>SUM(J79:Y79)+SUM(AA79:AL79)</f>
        <v>#N/A</v>
      </c>
      <c r="F79" s="2655"/>
      <c r="G79" s="2655"/>
      <c r="H79" s="2655"/>
      <c r="I79" s="622"/>
      <c r="J79" s="2655" t="e">
        <f>VLOOKUP($C$93,$B33:M36,J$44,FALSE)</f>
        <v>#N/A</v>
      </c>
      <c r="K79" s="2655"/>
      <c r="L79" s="2655"/>
      <c r="M79" s="2655"/>
      <c r="N79" s="2655" t="e">
        <f>VLOOKUP($C$93,$B33:Q36,N$44,FALSE)</f>
        <v>#N/A</v>
      </c>
      <c r="O79" s="2655"/>
      <c r="P79" s="2655"/>
      <c r="Q79" s="2655"/>
      <c r="R79" s="2655" t="e">
        <f>VLOOKUP($C$93,$B33:U36,R$44,FALSE)</f>
        <v>#N/A</v>
      </c>
      <c r="S79" s="2655"/>
      <c r="T79" s="2655"/>
      <c r="U79" s="2655"/>
      <c r="V79" s="2655" t="e">
        <f>VLOOKUP($C$93,$B33:Y36,V$44,FALSE)</f>
        <v>#N/A</v>
      </c>
      <c r="W79" s="2655"/>
      <c r="X79" s="2655"/>
      <c r="Y79" s="2655"/>
      <c r="Z79" s="200"/>
      <c r="AA79" s="2655" t="e">
        <f>VLOOKUP($C$93,$B33:AD36,AA$44,FALSE)</f>
        <v>#N/A</v>
      </c>
      <c r="AB79" s="2655"/>
      <c r="AC79" s="2655"/>
      <c r="AD79" s="2655"/>
      <c r="AE79" s="2655" t="e">
        <f>VLOOKUP($C$93,$B33:AH36,AE$44,FALSE)</f>
        <v>#N/A</v>
      </c>
      <c r="AF79" s="2655"/>
      <c r="AG79" s="2655"/>
      <c r="AH79" s="2655"/>
      <c r="AI79" s="2655" t="e">
        <f>VLOOKUP($C$93,$B33:AL36,AI$44,FALSE)</f>
        <v>#N/A</v>
      </c>
      <c r="AJ79" s="2655"/>
      <c r="AK79" s="2655"/>
      <c r="AL79" s="2655"/>
      <c r="AM79" s="200"/>
      <c r="AN79" s="200"/>
      <c r="AO79" s="200"/>
      <c r="AP79" s="48"/>
      <c r="AQ79" s="48"/>
      <c r="AR79" s="1318" t="e">
        <f>MAX(J79,N79,R79,V79,AA79,AE79,AI79)/10</f>
        <v>#N/A</v>
      </c>
      <c r="AS79" s="48"/>
    </row>
    <row r="80" spans="1:45" ht="12.75" customHeight="1" x14ac:dyDescent="0.2">
      <c r="A80" s="48"/>
      <c r="B80" s="186"/>
      <c r="C80" s="218"/>
      <c r="D80" s="218"/>
      <c r="E80" s="620"/>
      <c r="F80" s="620"/>
      <c r="G80" s="620"/>
      <c r="H80" s="620"/>
      <c r="I80" s="622"/>
      <c r="J80" s="218"/>
      <c r="K80" s="218"/>
      <c r="L80" s="218"/>
      <c r="M80" s="218"/>
      <c r="N80" s="218"/>
      <c r="O80" s="218"/>
      <c r="P80" s="218"/>
      <c r="Q80" s="218"/>
      <c r="R80" s="218"/>
      <c r="S80" s="218"/>
      <c r="T80" s="218"/>
      <c r="U80" s="218"/>
      <c r="V80" s="218"/>
      <c r="W80" s="218"/>
      <c r="X80" s="218"/>
      <c r="Y80" s="218"/>
      <c r="Z80" s="200"/>
      <c r="AA80" s="218"/>
      <c r="AB80" s="218"/>
      <c r="AC80" s="218"/>
      <c r="AD80" s="218"/>
      <c r="AE80" s="218"/>
      <c r="AF80" s="218"/>
      <c r="AG80" s="218"/>
      <c r="AH80" s="218"/>
      <c r="AI80" s="218"/>
      <c r="AJ80" s="218"/>
      <c r="AK80" s="218"/>
      <c r="AL80" s="218"/>
      <c r="AM80" s="200"/>
      <c r="AN80" s="200"/>
      <c r="AO80" s="200"/>
      <c r="AP80" s="48"/>
      <c r="AQ80" s="48"/>
      <c r="AR80" s="614"/>
      <c r="AS80" s="48"/>
    </row>
    <row r="81" spans="1:45" ht="7.5" customHeight="1" x14ac:dyDescent="0.2">
      <c r="A81" s="48"/>
      <c r="B81" s="186"/>
      <c r="C81" s="218"/>
      <c r="D81" s="218"/>
      <c r="E81" s="2659" t="e">
        <f>IF(AND(E$91&lt;&gt;0,E$91&gt;0),IF(($AR$92*9)&gt;=E$91,0,1),IF(AND(E$91&lt;&gt;0,E$91&lt;0),IF(($AR$92*9)&lt;=E$91,0,1),0))</f>
        <v>#N/A</v>
      </c>
      <c r="F81" s="2660"/>
      <c r="G81" s="2660"/>
      <c r="H81" s="2661"/>
      <c r="I81" s="622"/>
      <c r="J81" s="2659" t="e">
        <f>IF(AND(J$91&lt;&gt;0,J$91&gt;0),IF(($AR$91*9)&gt;=J$91,0,1),IF(AND(J$91&lt;&gt;0,J$91&lt;0),IF(($AR$91*9)&lt;=J$91,0,1),0))</f>
        <v>#N/A</v>
      </c>
      <c r="K81" s="2660"/>
      <c r="L81" s="2660"/>
      <c r="M81" s="2661"/>
      <c r="N81" s="2659" t="e">
        <f>IF(AND(N$91&lt;&gt;0,N$91&gt;0),IF(($AR$91*9)&gt;=N$91,0,1),IF(AND(N$91&lt;&gt;0,N$91&lt;0),IF(($AR$91*9)&lt;=N$91,0,1),0))</f>
        <v>#N/A</v>
      </c>
      <c r="O81" s="2660"/>
      <c r="P81" s="2660"/>
      <c r="Q81" s="2661"/>
      <c r="R81" s="2659" t="e">
        <f>IF(AND(R$91&lt;&gt;0,R$91&gt;0),IF(($AR$91*9)&gt;=R$91,0,1),IF(AND(R$91&lt;&gt;0,R$91&lt;0),IF(($AR$91*9)&lt;=R$91,0,1),0))</f>
        <v>#N/A</v>
      </c>
      <c r="S81" s="2660"/>
      <c r="T81" s="2660"/>
      <c r="U81" s="2661"/>
      <c r="V81" s="2659" t="e">
        <f>IF(AND(V$91&lt;&gt;0,V$91&gt;0),IF(($AR$91*9)&gt;=V$91,0,1),IF(AND(V$91&lt;&gt;0,V$91&lt;0),IF(($AR$91*9)&lt;=V$91,0,1),0))</f>
        <v>#N/A</v>
      </c>
      <c r="W81" s="2660"/>
      <c r="X81" s="2660"/>
      <c r="Y81" s="2661"/>
      <c r="Z81" s="200"/>
      <c r="AA81" s="2659" t="e">
        <f>IF(AND(AA$91&lt;&gt;0,AA$91&gt;0),IF(($AR$91*9)&gt;=AA$91,0,1),IF(AND(AA$91&lt;&gt;0,AA$91&lt;0),IF(($AR$91*9)&lt;=AA$91,0,1),0))</f>
        <v>#N/A</v>
      </c>
      <c r="AB81" s="2660"/>
      <c r="AC81" s="2660"/>
      <c r="AD81" s="2661"/>
      <c r="AE81" s="2659" t="e">
        <f>IF(AND(AE$91&lt;&gt;0,AE$91&gt;0),IF(($AR$91*9)&gt;=AE$91,0,1),IF(AND(AE$91&lt;&gt;0,AE$91&lt;0),IF(($AR$91*9)&lt;=AE$91,0,1),0))</f>
        <v>#N/A</v>
      </c>
      <c r="AF81" s="2660"/>
      <c r="AG81" s="2660"/>
      <c r="AH81" s="2661"/>
      <c r="AI81" s="2659" t="e">
        <f>IF(AND(AI$91&lt;&gt;0,AI$91&gt;0),IF(($AR$91*9)&gt;=AI$91,0,1),IF(AND(AI$91&lt;&gt;0,AI$91&lt;0),IF(($AR$91*9)&lt;=AI$91,0,1),0))</f>
        <v>#N/A</v>
      </c>
      <c r="AJ81" s="2660"/>
      <c r="AK81" s="2660"/>
      <c r="AL81" s="2661"/>
      <c r="AM81" s="200"/>
      <c r="AN81" s="200"/>
      <c r="AO81" s="200"/>
      <c r="AP81" s="48"/>
      <c r="AQ81" s="48"/>
      <c r="AR81" s="614"/>
      <c r="AS81" s="48"/>
    </row>
    <row r="82" spans="1:45" ht="7.5" customHeight="1" x14ac:dyDescent="0.2">
      <c r="A82" s="48"/>
      <c r="B82" s="186"/>
      <c r="C82" s="218"/>
      <c r="D82" s="218"/>
      <c r="E82" s="2645" t="e">
        <f>IF(AND(E$91&lt;&gt;0,E$91&gt;0),IF(($AR$92*8)&gt;=E$91,0,1),IF(AND(E$91&lt;&gt;0,E$91&lt;0),IF(($AR$92*8)&lt;=E$91,0,1),0))</f>
        <v>#N/A</v>
      </c>
      <c r="F82" s="2646"/>
      <c r="G82" s="2646"/>
      <c r="H82" s="2647"/>
      <c r="I82" s="622"/>
      <c r="J82" s="2645" t="e">
        <f>IF(AND(J$91&lt;&gt;0,J$91&gt;0),IF(($AR$91*8)&gt;=J$91,0,1),IF(AND(J$91&lt;&gt;0,J$91&lt;0),IF(($AR$91*8)&lt;=J$91,0,1),0))</f>
        <v>#N/A</v>
      </c>
      <c r="K82" s="2646"/>
      <c r="L82" s="2646"/>
      <c r="M82" s="2647"/>
      <c r="N82" s="2645" t="e">
        <f>IF(AND(N$91&lt;&gt;0,N$91&gt;0),IF(($AR$91*8)&gt;=N$91,0,1),IF(AND(N$91&lt;&gt;0,N$91&lt;0),IF(($AR$91*8)&lt;=N$91,0,1),0))</f>
        <v>#N/A</v>
      </c>
      <c r="O82" s="2646"/>
      <c r="P82" s="2646"/>
      <c r="Q82" s="2647"/>
      <c r="R82" s="2645" t="e">
        <f>IF(AND(R$91&lt;&gt;0,R$91&gt;0),IF(($AR$91*8)&gt;=R$91,0,1),IF(AND(R$91&lt;&gt;0,R$91&lt;0),IF(($AR$91*8)&lt;=R$91,0,1),0))</f>
        <v>#N/A</v>
      </c>
      <c r="S82" s="2646"/>
      <c r="T82" s="2646"/>
      <c r="U82" s="2647"/>
      <c r="V82" s="2645" t="e">
        <f>IF(AND(V$91&lt;&gt;0,V$91&gt;0),IF(($AR$91*8)&gt;=V$91,0,1),IF(AND(V$91&lt;&gt;0,V$91&lt;0),IF(($AR$91*8)&lt;=V$91,0,1),0))</f>
        <v>#N/A</v>
      </c>
      <c r="W82" s="2646"/>
      <c r="X82" s="2646"/>
      <c r="Y82" s="2647"/>
      <c r="Z82" s="200"/>
      <c r="AA82" s="2645" t="e">
        <f>IF(AND(AA$91&lt;&gt;0,AA$91&gt;0),IF(($AR$91*8)&gt;=AA$91,0,1),IF(AND(AA$91&lt;&gt;0,AA$91&lt;0),IF(($AR$91*8)&lt;=AA$91,0,1),0))</f>
        <v>#N/A</v>
      </c>
      <c r="AB82" s="2646"/>
      <c r="AC82" s="2646"/>
      <c r="AD82" s="2647"/>
      <c r="AE82" s="2645" t="e">
        <f>IF(AND(AE$91&lt;&gt;0,AE$91&gt;0),IF(($AR$91*8)&gt;=AE$91,0,1),IF(AND(AE$91&lt;&gt;0,AE$91&lt;0),IF(($AR$91*8)&lt;=AE$91,0,1),0))</f>
        <v>#N/A</v>
      </c>
      <c r="AF82" s="2646"/>
      <c r="AG82" s="2646"/>
      <c r="AH82" s="2647"/>
      <c r="AI82" s="2645" t="e">
        <f>IF(AND(AI$91&lt;&gt;0,AI$91&gt;0),IF(($AR$91*8)&gt;=AI$91,0,1),IF(AND(AI$91&lt;&gt;0,AI$91&lt;0),IF(($AR$91*8)&lt;=AI$91,0,1),0))</f>
        <v>#N/A</v>
      </c>
      <c r="AJ82" s="2646"/>
      <c r="AK82" s="2646"/>
      <c r="AL82" s="2647"/>
      <c r="AM82" s="200"/>
      <c r="AN82" s="200"/>
      <c r="AO82" s="200"/>
      <c r="AP82" s="48"/>
      <c r="AQ82" s="48"/>
      <c r="AR82" s="614"/>
      <c r="AS82" s="48"/>
    </row>
    <row r="83" spans="1:45" ht="7.5" customHeight="1" x14ac:dyDescent="0.2">
      <c r="A83" s="48"/>
      <c r="B83" s="186"/>
      <c r="C83" s="218"/>
      <c r="D83" s="218"/>
      <c r="E83" s="2645" t="e">
        <f>IF(AND(E$91&lt;&gt;0,E$91&gt;0),IF(($AR$92*7)&gt;=E$91,0,1),IF(AND(E$91&lt;&gt;0,E$91&lt;0),IF(($AR$92*7)&lt;=E$91,0,1),0))</f>
        <v>#N/A</v>
      </c>
      <c r="F83" s="2646"/>
      <c r="G83" s="2646"/>
      <c r="H83" s="2647"/>
      <c r="I83" s="622"/>
      <c r="J83" s="2645" t="e">
        <f>IF(AND(J$91&lt;&gt;0,J$91&gt;0),IF(($AR$91*7)&gt;=J$91,0,1),IF(AND(J$91&lt;&gt;0,J$91&lt;0),IF(($AR$91*7)&lt;=J$91,0,1),0))</f>
        <v>#N/A</v>
      </c>
      <c r="K83" s="2646"/>
      <c r="L83" s="2646"/>
      <c r="M83" s="2647"/>
      <c r="N83" s="2645" t="e">
        <f>IF(AND(N$91&lt;&gt;0,N$91&gt;0),IF(($AR$91*7)&gt;=N$91,0,1),IF(AND(N$91&lt;&gt;0,N$91&lt;0),IF(($AR$91*7)&lt;=N$91,0,1),0))</f>
        <v>#N/A</v>
      </c>
      <c r="O83" s="2646"/>
      <c r="P83" s="2646"/>
      <c r="Q83" s="2647"/>
      <c r="R83" s="2645" t="e">
        <f>IF(AND(R$91&lt;&gt;0,R$91&gt;0),IF(($AR$91*7)&gt;=R$91,0,1),IF(AND(R$91&lt;&gt;0,R$91&lt;0),IF(($AR$91*7)&lt;=R$91,0,1),0))</f>
        <v>#N/A</v>
      </c>
      <c r="S83" s="2646"/>
      <c r="T83" s="2646"/>
      <c r="U83" s="2647"/>
      <c r="V83" s="2645" t="e">
        <f>IF(AND(V$91&lt;&gt;0,V$91&gt;0),IF(($AR$91*7)&gt;=V$91,0,1),IF(AND(V$91&lt;&gt;0,V$91&lt;0),IF(($AR$91*7)&lt;=V$91,0,1),0))</f>
        <v>#N/A</v>
      </c>
      <c r="W83" s="2646"/>
      <c r="X83" s="2646"/>
      <c r="Y83" s="2647"/>
      <c r="Z83" s="200"/>
      <c r="AA83" s="2645" t="e">
        <f>IF(AND(AA$91&lt;&gt;0,AA$91&gt;0),IF(($AR$91*7)&gt;=AA$91,0,1),IF(AND(AA$91&lt;&gt;0,AA$91&lt;0),IF(($AR$91*7)&lt;=AA$91,0,1),0))</f>
        <v>#N/A</v>
      </c>
      <c r="AB83" s="2646"/>
      <c r="AC83" s="2646"/>
      <c r="AD83" s="2647"/>
      <c r="AE83" s="2645" t="e">
        <f>IF(AND(AE$91&lt;&gt;0,AE$91&gt;0),IF(($AR$91*7)&gt;=AE$91,0,1),IF(AND(AE$91&lt;&gt;0,AE$91&lt;0),IF(($AR$91*7)&lt;=AE$91,0,1),0))</f>
        <v>#N/A</v>
      </c>
      <c r="AF83" s="2646"/>
      <c r="AG83" s="2646"/>
      <c r="AH83" s="2647"/>
      <c r="AI83" s="2645" t="e">
        <f>IF(AND(AI$91&lt;&gt;0,AI$91&gt;0),IF(($AR$91*7)&gt;=AI$91,0,1),IF(AND(AI$91&lt;&gt;0,AI$91&lt;0),IF(($AR$91*7)&lt;=AI$91,0,1),0))</f>
        <v>#N/A</v>
      </c>
      <c r="AJ83" s="2646"/>
      <c r="AK83" s="2646"/>
      <c r="AL83" s="2647"/>
      <c r="AM83" s="200"/>
      <c r="AN83" s="200"/>
      <c r="AO83" s="200"/>
      <c r="AP83" s="48"/>
      <c r="AQ83" s="48"/>
      <c r="AR83" s="614"/>
      <c r="AS83" s="48"/>
    </row>
    <row r="84" spans="1:45" ht="7.5" customHeight="1" x14ac:dyDescent="0.2">
      <c r="A84" s="48"/>
      <c r="B84" s="186"/>
      <c r="C84" s="1802" t="s">
        <v>175</v>
      </c>
      <c r="D84" s="1802"/>
      <c r="E84" s="2645" t="e">
        <f>IF(AND(E$91&lt;&gt;0,E$91&gt;0),IF(($AR$92*6)&gt;=E$91,0,1),IF(AND(E$91&lt;&gt;0,E$91&lt;0),IF(($AR$92*6)&lt;=E$91,0,1),0))</f>
        <v>#N/A</v>
      </c>
      <c r="F84" s="2646"/>
      <c r="G84" s="2646"/>
      <c r="H84" s="2647"/>
      <c r="I84" s="622"/>
      <c r="J84" s="2645" t="e">
        <f>IF(AND(J$91&lt;&gt;0,J$91&gt;0),IF(($AR$91*6)&gt;=J$91,0,1),IF(AND(J$91&lt;&gt;0,J$91&lt;0),IF(($AR$91*6)&lt;=J$91,0,1),0))</f>
        <v>#N/A</v>
      </c>
      <c r="K84" s="2646"/>
      <c r="L84" s="2646"/>
      <c r="M84" s="2647"/>
      <c r="N84" s="2645" t="e">
        <f>IF(AND(N$91&lt;&gt;0,N$91&gt;0),IF(($AR$91*6)&gt;=N$91,0,1),IF(AND(N$91&lt;&gt;0,N$91&lt;0),IF(($AR$91*6)&lt;=N$91,0,1),0))</f>
        <v>#N/A</v>
      </c>
      <c r="O84" s="2646"/>
      <c r="P84" s="2646"/>
      <c r="Q84" s="2647"/>
      <c r="R84" s="2645" t="e">
        <f>IF(AND(R$91&lt;&gt;0,R$91&gt;0),IF(($AR$91*6)&gt;=R$91,0,1),IF(AND(R$91&lt;&gt;0,R$91&lt;0),IF(($AR$91*6)&lt;=R$91,0,1),0))</f>
        <v>#N/A</v>
      </c>
      <c r="S84" s="2646"/>
      <c r="T84" s="2646"/>
      <c r="U84" s="2647"/>
      <c r="V84" s="2645" t="e">
        <f>IF(AND(V$91&lt;&gt;0,V$91&gt;0),IF(($AR$91*6)&gt;=V$91,0,1),IF(AND(V$91&lt;&gt;0,V$91&lt;0),IF(($AR$91*6)&lt;=V$91,0,1),0))</f>
        <v>#N/A</v>
      </c>
      <c r="W84" s="2646"/>
      <c r="X84" s="2646"/>
      <c r="Y84" s="2647"/>
      <c r="Z84" s="200"/>
      <c r="AA84" s="2645" t="e">
        <f>IF(AND(AA$91&lt;&gt;0,AA$91&gt;0),IF(($AR$91*6)&gt;=AA$91,0,1),IF(AND(AA$91&lt;&gt;0,AA$91&lt;0),IF(($AR$91*6)&lt;=AA$91,0,1),0))</f>
        <v>#N/A</v>
      </c>
      <c r="AB84" s="2646"/>
      <c r="AC84" s="2646"/>
      <c r="AD84" s="2647"/>
      <c r="AE84" s="2645" t="e">
        <f>IF(AND(AE$91&lt;&gt;0,AE$91&gt;0),IF(($AR$91*6)&gt;=AE$91,0,1),IF(AND(AE$91&lt;&gt;0,AE$91&lt;0),IF(($AR$91*6)&lt;=AE$91,0,1),0))</f>
        <v>#N/A</v>
      </c>
      <c r="AF84" s="2646"/>
      <c r="AG84" s="2646"/>
      <c r="AH84" s="2647"/>
      <c r="AI84" s="2645" t="e">
        <f>IF(AND(AI$91&lt;&gt;0,AI$91&gt;0),IF(($AR$91*6)&gt;=AI$91,0,1),IF(AND(AI$91&lt;&gt;0,AI$91&lt;0),IF(($AR$91*6)&lt;=AI$91,0,1),0))</f>
        <v>#N/A</v>
      </c>
      <c r="AJ84" s="2646"/>
      <c r="AK84" s="2646"/>
      <c r="AL84" s="2647"/>
      <c r="AM84" s="200"/>
      <c r="AN84" s="200"/>
      <c r="AO84" s="200"/>
      <c r="AP84" s="48"/>
      <c r="AQ84" s="48"/>
      <c r="AR84" s="614"/>
      <c r="AS84" s="48"/>
    </row>
    <row r="85" spans="1:45" ht="7.5" customHeight="1" x14ac:dyDescent="0.2">
      <c r="A85" s="48"/>
      <c r="B85" s="186"/>
      <c r="C85" s="1802"/>
      <c r="D85" s="1802"/>
      <c r="E85" s="2645" t="e">
        <f>IF(AND(E$91&lt;&gt;0,E$91&gt;0),IF(($AR$92*5)&gt;=E$91,0,1),IF(AND(E$91&lt;&gt;0,E$91&lt;0),IF(($AR$92*5)&lt;=E$91,0,1),0))</f>
        <v>#N/A</v>
      </c>
      <c r="F85" s="2646"/>
      <c r="G85" s="2646"/>
      <c r="H85" s="2647"/>
      <c r="I85" s="622"/>
      <c r="J85" s="2645" t="e">
        <f>IF(AND(J$91&lt;&gt;0,J$91&gt;0),IF(($AR$91*5)&gt;=J$91,0,1),IF(AND(J$91&lt;&gt;0,J$91&lt;0),IF(($AR$91*5)&lt;=J$91,0,1),0))</f>
        <v>#N/A</v>
      </c>
      <c r="K85" s="2646"/>
      <c r="L85" s="2646"/>
      <c r="M85" s="2647"/>
      <c r="N85" s="2645" t="e">
        <f>IF(AND(N$91&lt;&gt;0,N$91&gt;0),IF(($AR$91*5)&gt;=N$91,0,1),IF(AND(N$91&lt;&gt;0,N$91&lt;0),IF(($AR$91*5)&lt;=N$91,0,1),0))</f>
        <v>#N/A</v>
      </c>
      <c r="O85" s="2646"/>
      <c r="P85" s="2646"/>
      <c r="Q85" s="2647"/>
      <c r="R85" s="2645" t="e">
        <f>IF(AND(R$91&lt;&gt;0,R$91&gt;0),IF(($AR$91*5)&gt;=R$91,0,1),IF(AND(R$91&lt;&gt;0,R$91&lt;0),IF(($AR$91*5)&lt;=R$91,0,1),0))</f>
        <v>#N/A</v>
      </c>
      <c r="S85" s="2646"/>
      <c r="T85" s="2646"/>
      <c r="U85" s="2647"/>
      <c r="V85" s="2645" t="e">
        <f>IF(AND(V$91&lt;&gt;0,V$91&gt;0),IF(($AR$91*5)&gt;=V$91,0,1),IF(AND(V$91&lt;&gt;0,V$91&lt;0),IF(($AR$91*5)&lt;=V$91,0,1),0))</f>
        <v>#N/A</v>
      </c>
      <c r="W85" s="2646"/>
      <c r="X85" s="2646"/>
      <c r="Y85" s="2647"/>
      <c r="Z85" s="200"/>
      <c r="AA85" s="2645" t="e">
        <f>IF(AND(AA$91&lt;&gt;0,AA$91&gt;0),IF(($AR$91*5)&gt;=AA$91,0,1),IF(AND(AA$91&lt;&gt;0,AA$91&lt;0),IF(($AR$91*5)&lt;=AA$91,0,1),0))</f>
        <v>#N/A</v>
      </c>
      <c r="AB85" s="2646"/>
      <c r="AC85" s="2646"/>
      <c r="AD85" s="2647"/>
      <c r="AE85" s="2645" t="e">
        <f>IF(AND(AE$91&lt;&gt;0,AE$91&gt;0),IF(($AR$91*5)&gt;=AE$91,0,1),IF(AND(AE$91&lt;&gt;0,AE$91&lt;0),IF(($AR$91*5)&lt;=AE$91,0,1),0))</f>
        <v>#N/A</v>
      </c>
      <c r="AF85" s="2646"/>
      <c r="AG85" s="2646"/>
      <c r="AH85" s="2647"/>
      <c r="AI85" s="2645" t="e">
        <f>IF(AND(AI$91&lt;&gt;0,AI$91&gt;0),IF(($AR$91*5)&gt;=AI$91,0,1),IF(AND(AI$91&lt;&gt;0,AI$91&lt;0),IF(($AR$91*5)&lt;=AI$91,0,1),0))</f>
        <v>#N/A</v>
      </c>
      <c r="AJ85" s="2646"/>
      <c r="AK85" s="2646"/>
      <c r="AL85" s="2647"/>
      <c r="AM85" s="200"/>
      <c r="AN85" s="200"/>
      <c r="AO85" s="200"/>
      <c r="AP85" s="48"/>
      <c r="AQ85" s="48"/>
      <c r="AR85" s="614"/>
      <c r="AS85" s="48"/>
    </row>
    <row r="86" spans="1:45" ht="7.5" customHeight="1" x14ac:dyDescent="0.2">
      <c r="A86" s="48"/>
      <c r="B86" s="186"/>
      <c r="C86" s="1802"/>
      <c r="D86" s="1802"/>
      <c r="E86" s="2645" t="e">
        <f>IF(AND(E$91&lt;&gt;0,E$91&gt;0),IF(($AR$92*4)&gt;=E$91,0,1),IF(AND(E$91&lt;&gt;0,E$91&lt;0),IF(($AR$92*4)&lt;=E$91,0,1),0))</f>
        <v>#N/A</v>
      </c>
      <c r="F86" s="2646"/>
      <c r="G86" s="2646"/>
      <c r="H86" s="2647"/>
      <c r="I86" s="622"/>
      <c r="J86" s="2645" t="e">
        <f>IF(AND(J$91&lt;&gt;0,J$91&gt;0),IF(($AR$91*4)&gt;=J$91,0,1),IF(AND(J$91&lt;&gt;0,J$91&lt;0),IF(($AR$91*4)&lt;=J$91,0,1),0))</f>
        <v>#N/A</v>
      </c>
      <c r="K86" s="2646"/>
      <c r="L86" s="2646"/>
      <c r="M86" s="2647"/>
      <c r="N86" s="2645" t="e">
        <f>IF(AND(N$91&lt;&gt;0,N$91&gt;0),IF(($AR$91*4)&gt;=N$91,0,1),IF(AND(N$91&lt;&gt;0,N$91&lt;0),IF(($AR$91*4)&lt;=N$91,0,1),0))</f>
        <v>#N/A</v>
      </c>
      <c r="O86" s="2646"/>
      <c r="P86" s="2646"/>
      <c r="Q86" s="2647"/>
      <c r="R86" s="2645" t="e">
        <f>IF(AND(R$91&lt;&gt;0,R$91&gt;0),IF(($AR$91*4)&gt;=R$91,0,1),IF(AND(R$91&lt;&gt;0,R$91&lt;0),IF(($AR$91*4)&lt;=R$91,0,1),0))</f>
        <v>#N/A</v>
      </c>
      <c r="S86" s="2646"/>
      <c r="T86" s="2646"/>
      <c r="U86" s="2647"/>
      <c r="V86" s="2645" t="e">
        <f>IF(AND(V$91&lt;&gt;0,V$91&gt;0),IF(($AR$91*4)&gt;=V$91,0,1),IF(AND(V$91&lt;&gt;0,V$91&lt;0),IF(($AR$91*4)&lt;=V$91,0,1),0))</f>
        <v>#N/A</v>
      </c>
      <c r="W86" s="2646"/>
      <c r="X86" s="2646"/>
      <c r="Y86" s="2647"/>
      <c r="Z86" s="200"/>
      <c r="AA86" s="2645" t="e">
        <f>IF(AND(AA$91&lt;&gt;0,AA$91&gt;0),IF(($AR$91*4)&gt;=AA$91,0,1),IF(AND(AA$91&lt;&gt;0,AA$91&lt;0),IF(($AR$91*4)&lt;=AA$91,0,1),0))</f>
        <v>#N/A</v>
      </c>
      <c r="AB86" s="2646"/>
      <c r="AC86" s="2646"/>
      <c r="AD86" s="2647"/>
      <c r="AE86" s="2645" t="e">
        <f>IF(AND(AE$91&lt;&gt;0,AE$91&gt;0),IF(($AR$91*4)&gt;=AE$91,0,1),IF(AND(AE$91&lt;&gt;0,AE$91&lt;0),IF(($AR$91*4)&lt;=AE$91,0,1),0))</f>
        <v>#N/A</v>
      </c>
      <c r="AF86" s="2646"/>
      <c r="AG86" s="2646"/>
      <c r="AH86" s="2647"/>
      <c r="AI86" s="2645" t="e">
        <f>IF(AND(AI$91&lt;&gt;0,AI$91&gt;0),IF(($AR$91*4)&gt;=AI$91,0,1),IF(AND(AI$91&lt;&gt;0,AI$91&lt;0),IF(($AR$91*4)&lt;=AI$91,0,1),0))</f>
        <v>#N/A</v>
      </c>
      <c r="AJ86" s="2646"/>
      <c r="AK86" s="2646"/>
      <c r="AL86" s="2647"/>
      <c r="AM86" s="200"/>
      <c r="AN86" s="200"/>
      <c r="AO86" s="200"/>
      <c r="AP86" s="48"/>
      <c r="AQ86" s="48"/>
      <c r="AR86" s="614"/>
      <c r="AS86" s="48"/>
    </row>
    <row r="87" spans="1:45" ht="7.5" customHeight="1" x14ac:dyDescent="0.2">
      <c r="A87" s="48"/>
      <c r="B87" s="186"/>
      <c r="C87" s="1802"/>
      <c r="D87" s="1802"/>
      <c r="E87" s="2645" t="e">
        <f>IF(AND(E$91&lt;&gt;0,E$91&gt;0),IF(($AR$92*3)&gt;=E$91,0,1),IF(AND(E$91&lt;&gt;0,E$91&lt;0),IF(($AR$92*3)&lt;=E$91,0,1),0))</f>
        <v>#N/A</v>
      </c>
      <c r="F87" s="2646"/>
      <c r="G87" s="2646"/>
      <c r="H87" s="2647"/>
      <c r="I87" s="622"/>
      <c r="J87" s="2645" t="e">
        <f>IF(AND(J$91&lt;&gt;0,J$91&gt;0),IF(($AR$91*3)&gt;=J$91,0,1),IF(AND(J$91&lt;&gt;0,J$91&lt;0),IF(($AR$91*3)&lt;=J$91,0,1),0))</f>
        <v>#N/A</v>
      </c>
      <c r="K87" s="2646"/>
      <c r="L87" s="2646"/>
      <c r="M87" s="2647"/>
      <c r="N87" s="2645" t="e">
        <f>IF(AND(N$91&lt;&gt;0,N$91&gt;0),IF(($AR$91*3)&gt;=N$91,0,1),IF(AND(N$91&lt;&gt;0,N$91&lt;0),IF(($AR$91*3)&lt;=N$91,0,1),0))</f>
        <v>#N/A</v>
      </c>
      <c r="O87" s="2646"/>
      <c r="P87" s="2646"/>
      <c r="Q87" s="2647"/>
      <c r="R87" s="2645" t="e">
        <f>IF(AND(R$91&lt;&gt;0,R$91&gt;0),IF(($AR$91*3)&gt;=R$91,0,1),IF(AND(R$91&lt;&gt;0,R$91&lt;0),IF(($AR$91*3)&lt;=R$91,0,1),0))</f>
        <v>#N/A</v>
      </c>
      <c r="S87" s="2646"/>
      <c r="T87" s="2646"/>
      <c r="U87" s="2647"/>
      <c r="V87" s="2645" t="e">
        <f>IF(AND(V$91&lt;&gt;0,V$91&gt;0),IF(($AR$91*3)&gt;=V$91,0,1),IF(AND(V$91&lt;&gt;0,V$91&lt;0),IF(($AR$91*3)&lt;=V$91,0,1),0))</f>
        <v>#N/A</v>
      </c>
      <c r="W87" s="2646"/>
      <c r="X87" s="2646"/>
      <c r="Y87" s="2647"/>
      <c r="Z87" s="200"/>
      <c r="AA87" s="2645" t="e">
        <f>IF(AND(AA$91&lt;&gt;0,AA$91&gt;0),IF(($AR$91*3)&gt;=AA$91,0,1),IF(AND(AA$91&lt;&gt;0,AA$91&lt;0),IF(($AR$91*3)&lt;=AA$91,0,1),0))</f>
        <v>#N/A</v>
      </c>
      <c r="AB87" s="2646"/>
      <c r="AC87" s="2646"/>
      <c r="AD87" s="2647"/>
      <c r="AE87" s="2645" t="e">
        <f>IF(AND(AE$91&lt;&gt;0,AE$91&gt;0),IF(($AR$91*3)&gt;=AE$91,0,1),IF(AND(AE$91&lt;&gt;0,AE$91&lt;0),IF(($AR$91*3)&lt;=AE$91,0,1),0))</f>
        <v>#N/A</v>
      </c>
      <c r="AF87" s="2646"/>
      <c r="AG87" s="2646"/>
      <c r="AH87" s="2647"/>
      <c r="AI87" s="2645" t="e">
        <f>IF(AND(AI$91&lt;&gt;0,AI$91&gt;0),IF(($AR$91*3)&gt;=AI$91,0,1),IF(AND(AI$91&lt;&gt;0,AI$91&lt;0),IF(($AR$91*3)&lt;=AI$91,0,1),0))</f>
        <v>#N/A</v>
      </c>
      <c r="AJ87" s="2646"/>
      <c r="AK87" s="2646"/>
      <c r="AL87" s="2647"/>
      <c r="AM87" s="200"/>
      <c r="AN87" s="200"/>
      <c r="AO87" s="200"/>
      <c r="AP87" s="48"/>
      <c r="AQ87" s="48"/>
      <c r="AR87" s="614"/>
      <c r="AS87" s="48"/>
    </row>
    <row r="88" spans="1:45" ht="7.5" customHeight="1" x14ac:dyDescent="0.2">
      <c r="A88" s="48"/>
      <c r="B88" s="186"/>
      <c r="C88" s="1802"/>
      <c r="D88" s="1802"/>
      <c r="E88" s="2645" t="e">
        <f>IF(AND(E$91&lt;&gt;0,E$91&gt;0),IF(($AR$92*2)&gt;=E$91,0,1),IF(AND(E$91&lt;&gt;0,E$91&lt;0),IF(($AR$92*2)&lt;=E$91,0,1),0))</f>
        <v>#N/A</v>
      </c>
      <c r="F88" s="2646"/>
      <c r="G88" s="2646"/>
      <c r="H88" s="2647"/>
      <c r="I88" s="622"/>
      <c r="J88" s="2645" t="e">
        <f>IF(AND(J$91&lt;&gt;0,J$91&gt;0),IF(($AR$91*2)&gt;=J$91,0,1),IF(AND(J$91&lt;&gt;0,J$91&lt;0),IF(($AR$91*2)&lt;=J$91,0,1),0))</f>
        <v>#N/A</v>
      </c>
      <c r="K88" s="2646"/>
      <c r="L88" s="2646"/>
      <c r="M88" s="2647"/>
      <c r="N88" s="2645" t="e">
        <f>IF(AND(N$91&lt;&gt;0,N$91&gt;0),IF(($AR$91*2)&gt;=N$91,0,1),IF(AND(N$91&lt;&gt;0,N$91&lt;0),IF(($AR$91*2)&lt;=N$91,0,1),0))</f>
        <v>#N/A</v>
      </c>
      <c r="O88" s="2646"/>
      <c r="P88" s="2646"/>
      <c r="Q88" s="2647"/>
      <c r="R88" s="2645" t="e">
        <f>IF(AND(R$91&lt;&gt;0,R$91&gt;0),IF(($AR$91*2)&gt;=R$91,0,1),IF(AND(R$91&lt;&gt;0,R$91&lt;0),IF(($AR$91*2)&lt;=R$91,0,1),0))</f>
        <v>#N/A</v>
      </c>
      <c r="S88" s="2646"/>
      <c r="T88" s="2646"/>
      <c r="U88" s="2647"/>
      <c r="V88" s="2645" t="e">
        <f>IF(AND(V$91&lt;&gt;0,V$91&gt;0),IF(($AR$91*2)&gt;=V$91,0,1),IF(AND(V$91&lt;&gt;0,V$91&lt;0),IF(($AR$91*2)&lt;=V$91,0,1),0))</f>
        <v>#N/A</v>
      </c>
      <c r="W88" s="2646"/>
      <c r="X88" s="2646"/>
      <c r="Y88" s="2647"/>
      <c r="Z88" s="200"/>
      <c r="AA88" s="2645" t="e">
        <f>IF(AND(AA$91&lt;&gt;0,AA$91&gt;0),IF(($AR$91*2)&gt;=AA$91,0,1),IF(AND(AA$91&lt;&gt;0,AA$91&lt;0),IF(($AR$91*2)&lt;=AA$91,0,1),0))</f>
        <v>#N/A</v>
      </c>
      <c r="AB88" s="2646"/>
      <c r="AC88" s="2646"/>
      <c r="AD88" s="2647"/>
      <c r="AE88" s="2645" t="e">
        <f>IF(AND(AE$91&lt;&gt;0,AE$91&gt;0),IF(($AR$91*2)&gt;=AE$91,0,1),IF(AND(AE$91&lt;&gt;0,AE$91&lt;0),IF(($AR$91*2)&lt;=AE$91,0,1),0))</f>
        <v>#N/A</v>
      </c>
      <c r="AF88" s="2646"/>
      <c r="AG88" s="2646"/>
      <c r="AH88" s="2647"/>
      <c r="AI88" s="2645" t="e">
        <f>IF(AND(AI$91&lt;&gt;0,AI$91&gt;0),IF(($AR$91*2)&gt;=AI$91,0,1),IF(AND(AI$91&lt;&gt;0,AI$91&lt;0),IF(($AR$91*2)&lt;=AI$91,0,1),0))</f>
        <v>#N/A</v>
      </c>
      <c r="AJ88" s="2646"/>
      <c r="AK88" s="2646"/>
      <c r="AL88" s="2647"/>
      <c r="AM88" s="200"/>
      <c r="AN88" s="200"/>
      <c r="AO88" s="200"/>
      <c r="AP88" s="48"/>
      <c r="AQ88" s="48"/>
      <c r="AR88" s="614"/>
      <c r="AS88" s="48"/>
    </row>
    <row r="89" spans="1:45" ht="7.5" customHeight="1" x14ac:dyDescent="0.2">
      <c r="A89" s="48"/>
      <c r="B89" s="186"/>
      <c r="C89" s="1802"/>
      <c r="D89" s="1802"/>
      <c r="E89" s="2645" t="e">
        <f>IF(AND(E$91&lt;&gt;0,E$91&gt;0),IF(($AR$92*1)&gt;=E$91,0,1),IF(AND(E$91&lt;&gt;0,E$91&lt;0),IF(($AR$92*1)&lt;=E$91,0,1),0))</f>
        <v>#N/A</v>
      </c>
      <c r="F89" s="2646"/>
      <c r="G89" s="2646"/>
      <c r="H89" s="2647"/>
      <c r="I89" s="622"/>
      <c r="J89" s="2645" t="e">
        <f>IF(AND(J$91&lt;&gt;0,J$91&gt;0),IF(($AR$91*1)&gt;=J$91,0,1),IF(AND(J$91&lt;&gt;0,J$91&lt;0),IF(($AR$91*1)&lt;=J$91,0,1),0))</f>
        <v>#N/A</v>
      </c>
      <c r="K89" s="2646"/>
      <c r="L89" s="2646"/>
      <c r="M89" s="2647"/>
      <c r="N89" s="2645" t="e">
        <f>IF(AND(N$91&lt;&gt;0,N$91&gt;0),IF(($AR$91*1)&gt;=N$91,0,1),IF(AND(N$91&lt;&gt;0,N$91&lt;0),IF(($AR$91*1)&lt;=N$91,0,1),0))</f>
        <v>#N/A</v>
      </c>
      <c r="O89" s="2646"/>
      <c r="P89" s="2646"/>
      <c r="Q89" s="2647"/>
      <c r="R89" s="2645" t="e">
        <f>IF(AND(R$91&lt;&gt;0,R$91&gt;0),IF(($AR$91*1)&gt;=R$91,0,1),IF(AND(R$91&lt;&gt;0,R$91&lt;0),IF(($AR$91*1)&lt;=R$91,0,1),0))</f>
        <v>#N/A</v>
      </c>
      <c r="S89" s="2646"/>
      <c r="T89" s="2646"/>
      <c r="U89" s="2647"/>
      <c r="V89" s="2645" t="e">
        <f>IF(AND(V$91&lt;&gt;0,V$91&gt;0),IF(($AR$91*1)&gt;=V$91,0,1),IF(AND(V$91&lt;&gt;0,V$91&lt;0),IF(($AR$91*1)&lt;=V$91,0,1),0))</f>
        <v>#N/A</v>
      </c>
      <c r="W89" s="2646"/>
      <c r="X89" s="2646"/>
      <c r="Y89" s="2647"/>
      <c r="Z89" s="200"/>
      <c r="AA89" s="2645" t="e">
        <f>IF(AND(AA$91&lt;&gt;0,AA$91&gt;0),IF(($AR$91*1)&gt;=AA$91,0,1),IF(AND(AA$91&lt;&gt;0,AA$91&lt;0),IF(($AR$91*1)&lt;=AA$91,0,1),0))</f>
        <v>#N/A</v>
      </c>
      <c r="AB89" s="2646"/>
      <c r="AC89" s="2646"/>
      <c r="AD89" s="2647"/>
      <c r="AE89" s="2645" t="e">
        <f>IF(AND(AE$91&lt;&gt;0,AE$91&gt;0),IF(($AR$91*1)&gt;=AE$91,0,1),IF(AND(AE$91&lt;&gt;0,AE$91&lt;0),IF(($AR$91*1)&lt;=AE$91,0,1),0))</f>
        <v>#N/A</v>
      </c>
      <c r="AF89" s="2646"/>
      <c r="AG89" s="2646"/>
      <c r="AH89" s="2647"/>
      <c r="AI89" s="2645" t="e">
        <f>IF(AND(AI$91&lt;&gt;0,AI$91&gt;0),IF(($AR$91*1)&gt;=AI$91,0,1),IF(AND(AI$91&lt;&gt;0,AI$91&lt;0),IF(($AR$91*1)&lt;=AI$91,0,1),0))</f>
        <v>#N/A</v>
      </c>
      <c r="AJ89" s="2646"/>
      <c r="AK89" s="2646"/>
      <c r="AL89" s="2647"/>
      <c r="AM89" s="200"/>
      <c r="AN89" s="200"/>
      <c r="AO89" s="200"/>
      <c r="AP89" s="48"/>
      <c r="AQ89" s="48"/>
      <c r="AR89" s="614"/>
      <c r="AS89" s="48"/>
    </row>
    <row r="90" spans="1:45" ht="7.5" customHeight="1" x14ac:dyDescent="0.2">
      <c r="A90" s="48"/>
      <c r="B90" s="186"/>
      <c r="C90" s="1802"/>
      <c r="D90" s="1802"/>
      <c r="E90" s="2642" t="e">
        <f>IF(E91&lt;&gt;0,1,0)</f>
        <v>#N/A</v>
      </c>
      <c r="F90" s="2643"/>
      <c r="G90" s="2643"/>
      <c r="H90" s="2644"/>
      <c r="I90" s="622"/>
      <c r="J90" s="2642" t="e">
        <f>IF(J91&lt;&gt;0,1,0)</f>
        <v>#N/A</v>
      </c>
      <c r="K90" s="2643"/>
      <c r="L90" s="2643"/>
      <c r="M90" s="2644"/>
      <c r="N90" s="2642" t="e">
        <f>IF(N91&lt;&gt;0,1,0)</f>
        <v>#N/A</v>
      </c>
      <c r="O90" s="2643"/>
      <c r="P90" s="2643"/>
      <c r="Q90" s="2644"/>
      <c r="R90" s="2642" t="e">
        <f>IF(R91&lt;&gt;0,1,0)</f>
        <v>#N/A</v>
      </c>
      <c r="S90" s="2643"/>
      <c r="T90" s="2643"/>
      <c r="U90" s="2644"/>
      <c r="V90" s="2642" t="e">
        <f>IF(V91&lt;&gt;0,1,0)</f>
        <v>#N/A</v>
      </c>
      <c r="W90" s="2643"/>
      <c r="X90" s="2643"/>
      <c r="Y90" s="2644"/>
      <c r="Z90" s="200"/>
      <c r="AA90" s="2642" t="e">
        <f>IF(AA91&lt;&gt;0,1,0)</f>
        <v>#N/A</v>
      </c>
      <c r="AB90" s="2643"/>
      <c r="AC90" s="2643"/>
      <c r="AD90" s="2644"/>
      <c r="AE90" s="2642" t="e">
        <f>IF(AE91&lt;&gt;0,1,0)</f>
        <v>#N/A</v>
      </c>
      <c r="AF90" s="2643"/>
      <c r="AG90" s="2643"/>
      <c r="AH90" s="2644"/>
      <c r="AI90" s="2642" t="e">
        <f>IF(AI91&lt;&gt;0,1,0)</f>
        <v>#N/A</v>
      </c>
      <c r="AJ90" s="2643"/>
      <c r="AK90" s="2643"/>
      <c r="AL90" s="2644"/>
      <c r="AM90" s="200"/>
      <c r="AN90" s="200"/>
      <c r="AO90" s="200"/>
      <c r="AP90" s="48"/>
      <c r="AQ90" s="48"/>
      <c r="AR90" s="614"/>
      <c r="AS90" s="48"/>
    </row>
    <row r="91" spans="1:45" ht="18" customHeight="1" x14ac:dyDescent="0.2">
      <c r="A91" s="48"/>
      <c r="B91" s="186"/>
      <c r="C91" s="2664">
        <f>C39</f>
        <v>2021</v>
      </c>
      <c r="D91" s="2664"/>
      <c r="E91" s="2655" t="e">
        <f>SUM(J91:Y91)+SUM(AA91:AL91)</f>
        <v>#N/A</v>
      </c>
      <c r="F91" s="2655"/>
      <c r="G91" s="2655"/>
      <c r="H91" s="2655"/>
      <c r="I91" s="622"/>
      <c r="J91" s="2655" t="e">
        <f>VLOOKUP($C$93,$B39:M42,J$44,FALSE)</f>
        <v>#N/A</v>
      </c>
      <c r="K91" s="2655"/>
      <c r="L91" s="2655"/>
      <c r="M91" s="2655"/>
      <c r="N91" s="2655" t="e">
        <f>VLOOKUP($C$93,$B39:Q42,N$44,FALSE)</f>
        <v>#N/A</v>
      </c>
      <c r="O91" s="2655"/>
      <c r="P91" s="2655"/>
      <c r="Q91" s="2655"/>
      <c r="R91" s="2655" t="e">
        <f>VLOOKUP($C$93,$B39:U42,R$44,FALSE)</f>
        <v>#N/A</v>
      </c>
      <c r="S91" s="2655"/>
      <c r="T91" s="2655"/>
      <c r="U91" s="2655"/>
      <c r="V91" s="2655" t="e">
        <f>VLOOKUP($C$93,$B39:Y42,V$44,FALSE)</f>
        <v>#N/A</v>
      </c>
      <c r="W91" s="2655"/>
      <c r="X91" s="2655"/>
      <c r="Y91" s="2655"/>
      <c r="Z91" s="200"/>
      <c r="AA91" s="2655" t="e">
        <f>VLOOKUP($C$93,$B39:AD42,AA$44,FALSE)</f>
        <v>#N/A</v>
      </c>
      <c r="AB91" s="2655"/>
      <c r="AC91" s="2655"/>
      <c r="AD91" s="2655"/>
      <c r="AE91" s="2655" t="e">
        <f>VLOOKUP($C$93,$B39:AH42,AE$44,FALSE)</f>
        <v>#N/A</v>
      </c>
      <c r="AF91" s="2655"/>
      <c r="AG91" s="2655"/>
      <c r="AH91" s="2655"/>
      <c r="AI91" s="2655" t="e">
        <f>VLOOKUP($C$93,$B39:AL42,AI$44,FALSE)</f>
        <v>#N/A</v>
      </c>
      <c r="AJ91" s="2655"/>
      <c r="AK91" s="2655"/>
      <c r="AL91" s="2655"/>
      <c r="AM91" s="200"/>
      <c r="AN91" s="200"/>
      <c r="AO91" s="200"/>
      <c r="AP91" s="48"/>
      <c r="AQ91" s="48"/>
      <c r="AR91" s="1318" t="e">
        <f>MAX(J91,N91,R91,V91,AA91,AE91,AI91)/10</f>
        <v>#N/A</v>
      </c>
      <c r="AS91" s="48"/>
    </row>
    <row r="92" spans="1:45" ht="12.75" customHeight="1" x14ac:dyDescent="0.2">
      <c r="A92" s="48"/>
      <c r="B92" s="186"/>
      <c r="C92" s="218"/>
      <c r="D92" s="218"/>
      <c r="E92" s="218"/>
      <c r="F92" s="218"/>
      <c r="G92" s="218"/>
      <c r="H92" s="218"/>
      <c r="I92" s="218"/>
      <c r="J92" s="218"/>
      <c r="K92" s="218"/>
      <c r="L92" s="218"/>
      <c r="M92" s="218"/>
      <c r="N92" s="218"/>
      <c r="O92" s="218"/>
      <c r="P92" s="218"/>
      <c r="Q92" s="218"/>
      <c r="R92" s="218"/>
      <c r="S92" s="218"/>
      <c r="T92" s="218"/>
      <c r="U92" s="219"/>
      <c r="V92" s="219"/>
      <c r="W92" s="219"/>
      <c r="X92" s="219"/>
      <c r="Y92" s="219"/>
      <c r="Z92" s="219"/>
      <c r="AA92" s="219"/>
      <c r="AB92" s="219"/>
      <c r="AC92" s="200"/>
      <c r="AD92" s="200"/>
      <c r="AE92" s="200"/>
      <c r="AF92" s="200"/>
      <c r="AG92" s="200"/>
      <c r="AH92" s="200"/>
      <c r="AI92" s="200"/>
      <c r="AJ92" s="200"/>
      <c r="AK92" s="200"/>
      <c r="AL92" s="200"/>
      <c r="AM92" s="200"/>
      <c r="AN92" s="200"/>
      <c r="AO92" s="200"/>
      <c r="AP92" s="48"/>
      <c r="AQ92" s="48"/>
      <c r="AR92" s="1318" t="e">
        <f>MAX(E55,E67,E79,E91)/10</f>
        <v>#N/A</v>
      </c>
      <c r="AS92" s="48"/>
    </row>
    <row r="93" spans="1:45" ht="18" customHeight="1" x14ac:dyDescent="0.25">
      <c r="A93" s="48"/>
      <c r="B93" s="186"/>
      <c r="C93" s="2662"/>
      <c r="D93" s="2663"/>
      <c r="E93" s="2759" t="s">
        <v>86</v>
      </c>
      <c r="F93" s="2760"/>
      <c r="G93" s="2760"/>
      <c r="H93" s="2760"/>
      <c r="I93" s="2760"/>
      <c r="J93" s="2760"/>
      <c r="K93" s="2760"/>
      <c r="L93" s="2760"/>
      <c r="M93" s="2760"/>
      <c r="N93" s="2760"/>
      <c r="O93" s="2760"/>
      <c r="P93" s="2760"/>
      <c r="Q93" s="2760"/>
      <c r="R93" s="2760"/>
      <c r="S93" s="218"/>
      <c r="T93" s="218"/>
      <c r="U93" s="219"/>
      <c r="V93" s="219"/>
      <c r="W93" s="219"/>
      <c r="X93" s="219"/>
      <c r="Y93" s="627"/>
      <c r="Z93" s="219"/>
      <c r="AA93" s="219"/>
      <c r="AB93" s="219"/>
      <c r="AC93" s="200"/>
      <c r="AD93" s="200"/>
      <c r="AE93" s="200"/>
      <c r="AF93" s="615"/>
      <c r="AG93" s="200"/>
      <c r="AH93" s="200"/>
      <c r="AI93" s="200"/>
      <c r="AJ93" s="200"/>
      <c r="AK93" s="615"/>
      <c r="AL93" s="633" t="str">
        <f ca="1">Presentazione!$H$13</f>
        <v/>
      </c>
      <c r="AM93" s="200"/>
      <c r="AN93" s="200"/>
      <c r="AO93" s="200"/>
      <c r="AP93" s="48"/>
      <c r="AQ93" s="48"/>
      <c r="AR93" s="48"/>
      <c r="AS93" s="48"/>
    </row>
    <row r="94" spans="1:45" ht="18" customHeight="1" x14ac:dyDescent="0.2">
      <c r="A94" s="48"/>
      <c r="B94" s="186"/>
      <c r="C94" s="218"/>
      <c r="D94" s="218"/>
      <c r="E94" s="625" t="s">
        <v>591</v>
      </c>
      <c r="F94" s="218"/>
      <c r="G94" s="218"/>
      <c r="H94" s="218"/>
      <c r="I94" s="218"/>
      <c r="J94" s="218"/>
      <c r="K94" s="218"/>
      <c r="L94" s="218"/>
      <c r="M94" s="218"/>
      <c r="N94" s="218"/>
      <c r="O94" s="218"/>
      <c r="P94" s="218"/>
      <c r="Q94" s="218"/>
      <c r="R94" s="218"/>
      <c r="S94" s="218"/>
      <c r="T94" s="218"/>
      <c r="U94" s="219"/>
      <c r="V94" s="219"/>
      <c r="W94" s="219"/>
      <c r="X94" s="219"/>
      <c r="Y94" s="628"/>
      <c r="Z94" s="219"/>
      <c r="AA94" s="219"/>
      <c r="AB94" s="219"/>
      <c r="AC94" s="200"/>
      <c r="AD94" s="200"/>
      <c r="AE94" s="200"/>
      <c r="AF94" s="200"/>
      <c r="AG94" s="200"/>
      <c r="AH94" s="200"/>
      <c r="AI94" s="200"/>
      <c r="AJ94" s="200"/>
      <c r="AK94" s="200"/>
      <c r="AL94" s="812" t="str">
        <f ca="1">IF(Presentazione!$J$165=Presentazione!$K$83,CONCATENATE(Presentazione!$F$77,"   -   ","P.I./C.F ",Presentazione!$K$79),Presentazione!$I$157)</f>
        <v>Sistema parzialmente attivato. Inserisci il tuo CODICE di PROPRIETA' nel foglio Presentazione.</v>
      </c>
      <c r="AM94" s="200"/>
      <c r="AN94" s="200"/>
      <c r="AO94" s="200"/>
      <c r="AP94" s="48"/>
      <c r="AQ94" s="48"/>
      <c r="AR94" s="48"/>
      <c r="AS94" s="48"/>
    </row>
    <row r="95" spans="1:45" ht="16.5" customHeight="1" x14ac:dyDescent="0.2">
      <c r="A95" s="48"/>
      <c r="B95" s="626" t="str">
        <f>CONCATENATE("www.marcopiccoli.it   -   ",Presentazione!$G$35)</f>
        <v>www.marcopiccoli.it   -   Registro dei Corrispettivi 5.2.4 3txt - per EXCEL .xlsm</v>
      </c>
      <c r="C95" s="626"/>
      <c r="D95" s="626"/>
      <c r="E95" s="626"/>
      <c r="F95" s="626"/>
      <c r="G95" s="626"/>
      <c r="H95" s="626"/>
      <c r="I95" s="626"/>
      <c r="J95" s="626"/>
      <c r="K95" s="173"/>
      <c r="L95" s="173"/>
      <c r="M95" s="218"/>
      <c r="N95" s="218"/>
      <c r="O95" s="218"/>
      <c r="P95" s="218"/>
      <c r="Q95" s="218"/>
      <c r="R95" s="218"/>
      <c r="S95" s="218"/>
      <c r="T95" s="218"/>
      <c r="U95" s="218"/>
      <c r="V95" s="173"/>
      <c r="W95" s="173"/>
      <c r="X95" s="173"/>
      <c r="Y95" s="173"/>
      <c r="Z95" s="173"/>
      <c r="AA95" s="218"/>
      <c r="AB95" s="218"/>
      <c r="AC95" s="173"/>
      <c r="AD95" s="173"/>
      <c r="AE95" s="173"/>
      <c r="AF95" s="173"/>
      <c r="AG95" s="173"/>
      <c r="AH95" s="173"/>
      <c r="AI95" s="173"/>
      <c r="AJ95" s="173"/>
      <c r="AK95" s="173"/>
      <c r="AL95" s="173"/>
      <c r="AM95" s="173"/>
      <c r="AN95" s="173"/>
      <c r="AO95" s="200"/>
      <c r="AP95" s="48"/>
      <c r="AQ95" s="48"/>
      <c r="AR95" s="48"/>
      <c r="AS95" s="48"/>
    </row>
    <row r="96" spans="1:45" ht="18" hidden="1" customHeight="1" x14ac:dyDescent="0.2">
      <c r="A96" s="48"/>
      <c r="B96" s="186"/>
      <c r="C96" s="185"/>
      <c r="D96" s="185"/>
      <c r="E96" s="185"/>
      <c r="F96" s="185"/>
      <c r="G96" s="185"/>
      <c r="H96" s="185"/>
      <c r="I96" s="185"/>
      <c r="J96" s="185"/>
      <c r="K96" s="185"/>
      <c r="L96" s="185"/>
      <c r="M96" s="185"/>
      <c r="N96" s="185"/>
      <c r="O96" s="185"/>
      <c r="P96" s="185"/>
      <c r="Q96" s="185"/>
      <c r="R96" s="185"/>
      <c r="S96" s="185"/>
      <c r="T96" s="185"/>
      <c r="U96" s="185"/>
      <c r="V96" s="185"/>
      <c r="W96" s="185"/>
      <c r="X96" s="185"/>
      <c r="Y96" s="185"/>
      <c r="Z96" s="185"/>
      <c r="AA96" s="185"/>
      <c r="AB96" s="185"/>
      <c r="AC96" s="185"/>
      <c r="AD96" s="186"/>
      <c r="AE96" s="186"/>
      <c r="AF96" s="186"/>
      <c r="AG96" s="186"/>
      <c r="AH96" s="186"/>
      <c r="AI96" s="186"/>
      <c r="AJ96" s="186"/>
      <c r="AK96" s="186"/>
      <c r="AL96" s="186"/>
      <c r="AM96" s="186"/>
      <c r="AN96" s="186"/>
      <c r="AO96" s="48"/>
      <c r="AP96" s="48"/>
      <c r="AQ96" s="48"/>
      <c r="AR96" s="48"/>
      <c r="AS96" s="48"/>
    </row>
    <row r="97" spans="1:45" ht="15.75" hidden="1" customHeight="1" x14ac:dyDescent="0.2">
      <c r="A97" s="48"/>
      <c r="B97" s="186"/>
      <c r="C97" s="186"/>
      <c r="D97" s="48"/>
      <c r="E97" s="186"/>
      <c r="F97" s="186"/>
      <c r="G97" s="186"/>
      <c r="H97" s="186"/>
      <c r="I97" s="186"/>
      <c r="J97" s="191"/>
      <c r="K97" s="149"/>
      <c r="L97" s="149"/>
      <c r="M97" s="191"/>
      <c r="N97" s="149"/>
      <c r="O97" s="149"/>
      <c r="P97" s="191"/>
      <c r="Q97" s="149"/>
      <c r="R97" s="149"/>
      <c r="S97" s="191"/>
      <c r="T97" s="149"/>
      <c r="U97" s="149"/>
      <c r="V97" s="191"/>
      <c r="W97" s="149"/>
      <c r="X97" s="149"/>
      <c r="Y97" s="149"/>
      <c r="Z97" s="186"/>
      <c r="AA97" s="186"/>
      <c r="AB97" s="186"/>
      <c r="AC97" s="186"/>
      <c r="AD97" s="48"/>
      <c r="AE97" s="48"/>
      <c r="AF97" s="48"/>
      <c r="AG97" s="48"/>
      <c r="AH97" s="48"/>
      <c r="AI97" s="48"/>
      <c r="AJ97" s="48"/>
      <c r="AK97" s="48"/>
      <c r="AL97" s="48"/>
      <c r="AM97" s="48"/>
      <c r="AN97" s="48"/>
      <c r="AO97" s="48"/>
      <c r="AP97" s="48"/>
      <c r="AQ97" s="48"/>
      <c r="AR97" s="48"/>
      <c r="AS97" s="48"/>
    </row>
    <row r="98" spans="1:45" ht="18" hidden="1" customHeight="1" x14ac:dyDescent="0.2">
      <c r="A98" s="48"/>
      <c r="B98" s="186"/>
      <c r="C98" s="185"/>
      <c r="D98" s="48"/>
      <c r="E98" s="589" t="str">
        <f>IMPOSTAZIONI!X131</f>
        <v>%</v>
      </c>
      <c r="F98" s="589" t="str">
        <f>IMPOSTAZIONI!W136</f>
        <v>X</v>
      </c>
      <c r="G98" s="589" t="str">
        <f>IMPOSTAZIONI!X137</f>
        <v>Art.</v>
      </c>
      <c r="H98" s="185"/>
      <c r="I98" s="185"/>
      <c r="J98" s="185"/>
      <c r="K98" s="612" t="s">
        <v>193</v>
      </c>
      <c r="L98" s="612" t="s">
        <v>194</v>
      </c>
      <c r="M98" s="612" t="s">
        <v>195</v>
      </c>
      <c r="N98" s="185"/>
      <c r="O98" s="185"/>
      <c r="P98" s="185"/>
      <c r="Q98" s="2656" t="str">
        <f>IMPOSTAZIONI!AF132</f>
        <v>Non convalidato</v>
      </c>
      <c r="R98" s="2657"/>
      <c r="S98" s="2658"/>
      <c r="T98" s="185"/>
      <c r="U98" s="185"/>
      <c r="V98" s="185"/>
      <c r="W98" s="185"/>
      <c r="X98" s="185"/>
      <c r="Y98" s="185"/>
      <c r="Z98" s="185"/>
      <c r="AA98" s="185"/>
      <c r="AB98" s="185"/>
      <c r="AC98" s="185"/>
      <c r="AD98" s="186"/>
      <c r="AE98" s="186"/>
      <c r="AF98" s="186"/>
      <c r="AG98" s="186"/>
      <c r="AH98" s="186"/>
      <c r="AI98" s="186"/>
      <c r="AJ98" s="186"/>
      <c r="AK98" s="186"/>
      <c r="AL98" s="186"/>
      <c r="AM98" s="186"/>
      <c r="AN98" s="186"/>
      <c r="AO98" s="48"/>
      <c r="AP98" s="48"/>
      <c r="AQ98" s="48"/>
      <c r="AR98" s="48"/>
      <c r="AS98" s="48"/>
    </row>
    <row r="99" spans="1:45" ht="18" hidden="1" customHeight="1" x14ac:dyDescent="0.2">
      <c r="A99" s="48"/>
      <c r="B99" s="186"/>
      <c r="C99" s="185"/>
      <c r="D99" s="185"/>
      <c r="E99" s="185"/>
      <c r="F99" s="185"/>
      <c r="G99" s="185"/>
      <c r="H99" s="185"/>
      <c r="I99" s="185"/>
      <c r="J99" s="185"/>
      <c r="K99" s="185"/>
      <c r="L99" s="185"/>
      <c r="M99" s="185"/>
      <c r="N99" s="185"/>
      <c r="O99" s="185"/>
      <c r="P99" s="185"/>
      <c r="Q99" s="185"/>
      <c r="R99" s="185"/>
      <c r="S99" s="185"/>
      <c r="T99" s="185"/>
      <c r="U99" s="185"/>
      <c r="V99" s="185"/>
      <c r="W99" s="185"/>
      <c r="X99" s="185"/>
      <c r="Y99" s="185"/>
      <c r="Z99" s="185"/>
      <c r="AA99" s="185"/>
      <c r="AB99" s="185"/>
      <c r="AC99" s="185"/>
      <c r="AD99" s="186"/>
      <c r="AE99" s="186"/>
      <c r="AF99" s="186"/>
      <c r="AG99" s="186"/>
      <c r="AH99" s="186"/>
      <c r="AI99" s="186"/>
      <c r="AJ99" s="186"/>
      <c r="AK99" s="186"/>
      <c r="AL99" s="186"/>
      <c r="AM99" s="186"/>
      <c r="AN99" s="186"/>
      <c r="AO99" s="48"/>
      <c r="AP99" s="48"/>
      <c r="AQ99" s="48"/>
      <c r="AR99" s="48"/>
      <c r="AS99" s="48"/>
    </row>
    <row r="100" spans="1:45" ht="18" hidden="1" customHeight="1" x14ac:dyDescent="0.2">
      <c r="A100" s="48"/>
      <c r="B100" s="186"/>
      <c r="C100" s="2704" t="str">
        <f>F98</f>
        <v>X</v>
      </c>
      <c r="D100" s="2704"/>
      <c r="E100" s="2732" t="str">
        <f>IMPOSTAZIONI!D231</f>
        <v>Gennaio</v>
      </c>
      <c r="F100" s="2696"/>
      <c r="G100" s="2696"/>
      <c r="H100" s="2695" t="str">
        <f>IMPOSTAZIONI!G231</f>
        <v>Febbraio</v>
      </c>
      <c r="I100" s="2696"/>
      <c r="J100" s="2696"/>
      <c r="K100" s="2695" t="str">
        <f>IMPOSTAZIONI!J231</f>
        <v>Marzo</v>
      </c>
      <c r="L100" s="2696"/>
      <c r="M100" s="2696"/>
      <c r="N100" s="2695" t="str">
        <f>IMPOSTAZIONI!M231</f>
        <v>Aprile</v>
      </c>
      <c r="O100" s="2696"/>
      <c r="P100" s="2696"/>
      <c r="Q100" s="2695" t="str">
        <f>IMPOSTAZIONI!P231</f>
        <v>Maggio</v>
      </c>
      <c r="R100" s="2696"/>
      <c r="S100" s="2696"/>
      <c r="T100" s="2695" t="str">
        <f>IMPOSTAZIONI!S231</f>
        <v>Giugno</v>
      </c>
      <c r="U100" s="2696"/>
      <c r="V100" s="2696"/>
      <c r="W100" s="2695" t="str">
        <f>IMPOSTAZIONI!V231</f>
        <v>Luglio</v>
      </c>
      <c r="X100" s="2696"/>
      <c r="Y100" s="2696"/>
      <c r="Z100" s="2695" t="str">
        <f>IMPOSTAZIONI!Y231</f>
        <v>Agosto</v>
      </c>
      <c r="AA100" s="2696"/>
      <c r="AB100" s="2696"/>
      <c r="AC100" s="2695" t="str">
        <f>IMPOSTAZIONI!AB231</f>
        <v>Settembre</v>
      </c>
      <c r="AD100" s="2696"/>
      <c r="AE100" s="2696"/>
      <c r="AF100" s="2695" t="str">
        <f>IMPOSTAZIONI!AE231</f>
        <v>Ottobre</v>
      </c>
      <c r="AG100" s="2696"/>
      <c r="AH100" s="2696"/>
      <c r="AI100" s="2695" t="str">
        <f>IMPOSTAZIONI!AH231</f>
        <v>Novembre</v>
      </c>
      <c r="AJ100" s="2696"/>
      <c r="AK100" s="2696"/>
      <c r="AL100" s="2695" t="str">
        <f>IMPOSTAZIONI!AK231</f>
        <v>Dicembre</v>
      </c>
      <c r="AM100" s="2696"/>
      <c r="AN100" s="2730"/>
      <c r="AO100" s="2725" t="s">
        <v>441</v>
      </c>
      <c r="AP100" s="2725"/>
      <c r="AQ100" s="2726"/>
      <c r="AR100" s="48"/>
      <c r="AS100" s="48"/>
    </row>
    <row r="101" spans="1:45" ht="18" hidden="1" customHeight="1" x14ac:dyDescent="0.2">
      <c r="A101" s="48"/>
      <c r="B101" s="186"/>
      <c r="C101" s="1622" t="str">
        <f>J9</f>
        <v>--</v>
      </c>
      <c r="D101" s="2002"/>
      <c r="E101" s="2003">
        <f>HLOOKUP($C101,GEN!$G$1:$N$98,98,FALSE)</f>
        <v>0</v>
      </c>
      <c r="F101" s="1589"/>
      <c r="G101" s="1590"/>
      <c r="H101" s="1588">
        <f>HLOOKUP($C101,FEB!$G$1:$N$98,98,FALSE)</f>
        <v>0</v>
      </c>
      <c r="I101" s="1589"/>
      <c r="J101" s="1590"/>
      <c r="K101" s="1588">
        <f>HLOOKUP($C101,MAR!$G$1:$N$98,98,FALSE)</f>
        <v>0</v>
      </c>
      <c r="L101" s="1589"/>
      <c r="M101" s="1590"/>
      <c r="N101" s="1588">
        <f>HLOOKUP($C101,APR!$G$1:$N$98,98,FALSE)</f>
        <v>0</v>
      </c>
      <c r="O101" s="1589"/>
      <c r="P101" s="1590"/>
      <c r="Q101" s="1588">
        <f>HLOOKUP($C101,MAG!$G$1:$N$98,98,FALSE)</f>
        <v>0</v>
      </c>
      <c r="R101" s="1589"/>
      <c r="S101" s="1590"/>
      <c r="T101" s="1588">
        <f>HLOOKUP($C101,GIU!$G$1:$N$98,98,FALSE)</f>
        <v>0</v>
      </c>
      <c r="U101" s="1589"/>
      <c r="V101" s="1590"/>
      <c r="W101" s="1588">
        <f>HLOOKUP($C101,LUG!$G$1:$N$98,98,FALSE)</f>
        <v>0</v>
      </c>
      <c r="X101" s="1589"/>
      <c r="Y101" s="1590"/>
      <c r="Z101" s="1588">
        <f>HLOOKUP($C101,AGO!$G$1:$N$98,98,FALSE)</f>
        <v>0</v>
      </c>
      <c r="AA101" s="1589"/>
      <c r="AB101" s="1590"/>
      <c r="AC101" s="1588">
        <f>HLOOKUP($C101,SET!$G$1:$N$98,98,FALSE)</f>
        <v>0</v>
      </c>
      <c r="AD101" s="1589"/>
      <c r="AE101" s="1590"/>
      <c r="AF101" s="1588">
        <f>HLOOKUP($C101,OTT!$G$1:$N$98,98,FALSE)</f>
        <v>0</v>
      </c>
      <c r="AG101" s="1589"/>
      <c r="AH101" s="1590"/>
      <c r="AI101" s="1588">
        <f>HLOOKUP($C101,NOV!$G$1:$N$98,98,FALSE)</f>
        <v>0</v>
      </c>
      <c r="AJ101" s="1589"/>
      <c r="AK101" s="1590"/>
      <c r="AL101" s="1588">
        <f>HLOOKUP($C101,DIC!$G$1:$N$98,98,FALSE)</f>
        <v>0</v>
      </c>
      <c r="AM101" s="1589"/>
      <c r="AN101" s="2004"/>
      <c r="AO101" s="1589">
        <f>SUMIF(E101:AN101,"&gt;0")+SUMIF(E101:AN101,"&lt;0")</f>
        <v>0</v>
      </c>
      <c r="AP101" s="1589"/>
      <c r="AQ101" s="1590"/>
      <c r="AR101" s="48"/>
      <c r="AS101" s="48"/>
    </row>
    <row r="102" spans="1:45" ht="18" hidden="1" customHeight="1" x14ac:dyDescent="0.2">
      <c r="A102" s="48"/>
      <c r="B102" s="186"/>
      <c r="C102" s="1622" t="str">
        <f>N9</f>
        <v>--</v>
      </c>
      <c r="D102" s="2002"/>
      <c r="E102" s="2003">
        <f>HLOOKUP($C102,GEN!$G$1:$N$98,98,FALSE)</f>
        <v>0</v>
      </c>
      <c r="F102" s="1589"/>
      <c r="G102" s="1590"/>
      <c r="H102" s="1588">
        <f>HLOOKUP($C102,FEB!$G$1:$N$98,98,FALSE)</f>
        <v>0</v>
      </c>
      <c r="I102" s="1589"/>
      <c r="J102" s="1590"/>
      <c r="K102" s="1588">
        <f>HLOOKUP($C102,MAR!$G$1:$N$98,98,FALSE)</f>
        <v>0</v>
      </c>
      <c r="L102" s="1589"/>
      <c r="M102" s="1590"/>
      <c r="N102" s="1588">
        <f>HLOOKUP($C102,APR!$G$1:$N$98,98,FALSE)</f>
        <v>0</v>
      </c>
      <c r="O102" s="1589"/>
      <c r="P102" s="1590"/>
      <c r="Q102" s="1588">
        <f>HLOOKUP($C102,MAG!$G$1:$N$98,98,FALSE)</f>
        <v>0</v>
      </c>
      <c r="R102" s="1589"/>
      <c r="S102" s="1590"/>
      <c r="T102" s="1588">
        <f>HLOOKUP($C102,GIU!$G$1:$N$98,98,FALSE)</f>
        <v>0</v>
      </c>
      <c r="U102" s="1589"/>
      <c r="V102" s="1590"/>
      <c r="W102" s="1588">
        <f>HLOOKUP($C102,LUG!$G$1:$N$98,98,FALSE)</f>
        <v>0</v>
      </c>
      <c r="X102" s="1589"/>
      <c r="Y102" s="1590"/>
      <c r="Z102" s="1588">
        <f>HLOOKUP($C102,AGO!$G$1:$N$98,98,FALSE)</f>
        <v>0</v>
      </c>
      <c r="AA102" s="1589"/>
      <c r="AB102" s="1590"/>
      <c r="AC102" s="1588">
        <f>HLOOKUP($C102,SET!$G$1:$N$98,98,FALSE)</f>
        <v>0</v>
      </c>
      <c r="AD102" s="1589"/>
      <c r="AE102" s="1590"/>
      <c r="AF102" s="1588">
        <f>HLOOKUP($C102,OTT!$G$1:$N$98,98,FALSE)</f>
        <v>0</v>
      </c>
      <c r="AG102" s="1589"/>
      <c r="AH102" s="1590"/>
      <c r="AI102" s="1588">
        <f>HLOOKUP($C102,NOV!$G$1:$N$98,98,FALSE)</f>
        <v>0</v>
      </c>
      <c r="AJ102" s="1589"/>
      <c r="AK102" s="1590"/>
      <c r="AL102" s="1588">
        <f>HLOOKUP($C102,DIC!$G$1:$N$98,98,FALSE)</f>
        <v>0</v>
      </c>
      <c r="AM102" s="1589"/>
      <c r="AN102" s="2004"/>
      <c r="AO102" s="1589">
        <f t="shared" ref="AO102:AO107" si="0">SUMIF(E102:AN102,"&gt;0")+SUMIF(E102:AN102,"&lt;0")</f>
        <v>0</v>
      </c>
      <c r="AP102" s="1589"/>
      <c r="AQ102" s="1590"/>
      <c r="AR102" s="48"/>
      <c r="AS102" s="48"/>
    </row>
    <row r="103" spans="1:45" ht="18" hidden="1" customHeight="1" x14ac:dyDescent="0.2">
      <c r="A103" s="48"/>
      <c r="B103" s="186"/>
      <c r="C103" s="1622" t="str">
        <f>R9</f>
        <v>--</v>
      </c>
      <c r="D103" s="2002"/>
      <c r="E103" s="2003">
        <f>HLOOKUP($C103,GEN!$G$1:$N$98,98,FALSE)</f>
        <v>0</v>
      </c>
      <c r="F103" s="1589"/>
      <c r="G103" s="1590"/>
      <c r="H103" s="1588">
        <f>HLOOKUP($C103,FEB!$G$1:$N$98,98,FALSE)</f>
        <v>0</v>
      </c>
      <c r="I103" s="1589"/>
      <c r="J103" s="1590"/>
      <c r="K103" s="1588">
        <f>HLOOKUP($C103,MAR!$G$1:$N$98,98,FALSE)</f>
        <v>0</v>
      </c>
      <c r="L103" s="1589"/>
      <c r="M103" s="1590"/>
      <c r="N103" s="1588">
        <f>HLOOKUP($C103,APR!$G$1:$N$98,98,FALSE)</f>
        <v>0</v>
      </c>
      <c r="O103" s="1589"/>
      <c r="P103" s="1590"/>
      <c r="Q103" s="1588">
        <f>HLOOKUP($C103,MAG!$G$1:$N$98,98,FALSE)</f>
        <v>0</v>
      </c>
      <c r="R103" s="1589"/>
      <c r="S103" s="1590"/>
      <c r="T103" s="1588">
        <f>HLOOKUP($C103,GIU!$G$1:$N$98,98,FALSE)</f>
        <v>0</v>
      </c>
      <c r="U103" s="1589"/>
      <c r="V103" s="1590"/>
      <c r="W103" s="1588">
        <f>HLOOKUP($C103,LUG!$G$1:$N$98,98,FALSE)</f>
        <v>0</v>
      </c>
      <c r="X103" s="1589"/>
      <c r="Y103" s="1590"/>
      <c r="Z103" s="1588">
        <f>HLOOKUP($C103,AGO!$G$1:$N$98,98,FALSE)</f>
        <v>0</v>
      </c>
      <c r="AA103" s="1589"/>
      <c r="AB103" s="1590"/>
      <c r="AC103" s="1588">
        <f>HLOOKUP($C103,SET!$G$1:$N$98,98,FALSE)</f>
        <v>0</v>
      </c>
      <c r="AD103" s="1589"/>
      <c r="AE103" s="1590"/>
      <c r="AF103" s="1588">
        <f>HLOOKUP($C103,OTT!$G$1:$N$98,98,FALSE)</f>
        <v>0</v>
      </c>
      <c r="AG103" s="1589"/>
      <c r="AH103" s="1590"/>
      <c r="AI103" s="1588">
        <f>HLOOKUP($C103,NOV!$G$1:$N$98,98,FALSE)</f>
        <v>0</v>
      </c>
      <c r="AJ103" s="1589"/>
      <c r="AK103" s="1590"/>
      <c r="AL103" s="1588">
        <f>HLOOKUP($C103,DIC!$G$1:$N$98,98,FALSE)</f>
        <v>0</v>
      </c>
      <c r="AM103" s="1589"/>
      <c r="AN103" s="2004"/>
      <c r="AO103" s="1589">
        <f t="shared" si="0"/>
        <v>0</v>
      </c>
      <c r="AP103" s="1589"/>
      <c r="AQ103" s="1590"/>
      <c r="AR103" s="48"/>
      <c r="AS103" s="48"/>
    </row>
    <row r="104" spans="1:45" ht="18" hidden="1" customHeight="1" x14ac:dyDescent="0.2">
      <c r="A104" s="48"/>
      <c r="B104" s="186"/>
      <c r="C104" s="1622" t="str">
        <f>V9</f>
        <v>--</v>
      </c>
      <c r="D104" s="2002"/>
      <c r="E104" s="2003">
        <f>HLOOKUP($C104,GEN!$G$1:$N$98,98,FALSE)</f>
        <v>0</v>
      </c>
      <c r="F104" s="1589"/>
      <c r="G104" s="1590"/>
      <c r="H104" s="1588">
        <f>HLOOKUP($C104,FEB!$G$1:$N$98,98,FALSE)</f>
        <v>0</v>
      </c>
      <c r="I104" s="1589"/>
      <c r="J104" s="1590"/>
      <c r="K104" s="1588">
        <f>HLOOKUP($C104,MAR!$G$1:$N$98,98,FALSE)</f>
        <v>0</v>
      </c>
      <c r="L104" s="1589"/>
      <c r="M104" s="1590"/>
      <c r="N104" s="1588">
        <f>HLOOKUP($C104,APR!$G$1:$N$98,98,FALSE)</f>
        <v>0</v>
      </c>
      <c r="O104" s="1589"/>
      <c r="P104" s="1590"/>
      <c r="Q104" s="1588">
        <f>HLOOKUP($C104,MAG!$G$1:$N$98,98,FALSE)</f>
        <v>0</v>
      </c>
      <c r="R104" s="1589"/>
      <c r="S104" s="1590"/>
      <c r="T104" s="1588">
        <f>HLOOKUP($C104,GIU!$G$1:$N$98,98,FALSE)</f>
        <v>0</v>
      </c>
      <c r="U104" s="1589"/>
      <c r="V104" s="1590"/>
      <c r="W104" s="1588">
        <f>HLOOKUP($C104,LUG!$G$1:$N$98,98,FALSE)</f>
        <v>0</v>
      </c>
      <c r="X104" s="1589"/>
      <c r="Y104" s="1590"/>
      <c r="Z104" s="1588">
        <f>HLOOKUP($C104,AGO!$G$1:$N$98,98,FALSE)</f>
        <v>0</v>
      </c>
      <c r="AA104" s="1589"/>
      <c r="AB104" s="1590"/>
      <c r="AC104" s="1588">
        <f>HLOOKUP($C104,SET!$G$1:$N$98,98,FALSE)</f>
        <v>0</v>
      </c>
      <c r="AD104" s="1589"/>
      <c r="AE104" s="1590"/>
      <c r="AF104" s="1588">
        <f>HLOOKUP($C104,OTT!$G$1:$N$98,98,FALSE)</f>
        <v>0</v>
      </c>
      <c r="AG104" s="1589"/>
      <c r="AH104" s="1590"/>
      <c r="AI104" s="1588">
        <f>HLOOKUP($C104,NOV!$G$1:$N$98,98,FALSE)</f>
        <v>0</v>
      </c>
      <c r="AJ104" s="1589"/>
      <c r="AK104" s="1590"/>
      <c r="AL104" s="1588">
        <f>HLOOKUP($C104,DIC!$G$1:$N$98,98,FALSE)</f>
        <v>0</v>
      </c>
      <c r="AM104" s="1589"/>
      <c r="AN104" s="2004"/>
      <c r="AO104" s="1589">
        <f t="shared" si="0"/>
        <v>0</v>
      </c>
      <c r="AP104" s="1589"/>
      <c r="AQ104" s="1590"/>
      <c r="AR104" s="48"/>
      <c r="AS104" s="48"/>
    </row>
    <row r="105" spans="1:45" ht="18" hidden="1" customHeight="1" x14ac:dyDescent="0.2">
      <c r="A105" s="48"/>
      <c r="B105" s="186"/>
      <c r="C105" s="1622" t="str">
        <f>AA9</f>
        <v/>
      </c>
      <c r="D105" s="2002"/>
      <c r="E105" s="2003" t="e">
        <f>HLOOKUP($C105,GEN!$G$1:$N$98,98,FALSE)</f>
        <v>#N/A</v>
      </c>
      <c r="F105" s="1589"/>
      <c r="G105" s="1590"/>
      <c r="H105" s="1588" t="e">
        <f>HLOOKUP($C105,FEB!$G$1:$N$98,98,FALSE)</f>
        <v>#N/A</v>
      </c>
      <c r="I105" s="1589"/>
      <c r="J105" s="1590"/>
      <c r="K105" s="1588" t="e">
        <f>HLOOKUP($C105,MAR!$G$1:$N$98,98,FALSE)</f>
        <v>#N/A</v>
      </c>
      <c r="L105" s="1589"/>
      <c r="M105" s="1590"/>
      <c r="N105" s="1588" t="e">
        <f>HLOOKUP($C105,APR!$G$1:$N$98,98,FALSE)</f>
        <v>#N/A</v>
      </c>
      <c r="O105" s="1589"/>
      <c r="P105" s="1590"/>
      <c r="Q105" s="1588" t="e">
        <f>HLOOKUP($C105,MAG!$G$1:$N$98,98,FALSE)</f>
        <v>#N/A</v>
      </c>
      <c r="R105" s="1589"/>
      <c r="S105" s="1590"/>
      <c r="T105" s="1588" t="e">
        <f>HLOOKUP($C105,GIU!$G$1:$N$98,98,FALSE)</f>
        <v>#N/A</v>
      </c>
      <c r="U105" s="1589"/>
      <c r="V105" s="1590"/>
      <c r="W105" s="1588" t="e">
        <f>HLOOKUP($C105,LUG!$G$1:$N$98,98,FALSE)</f>
        <v>#N/A</v>
      </c>
      <c r="X105" s="1589"/>
      <c r="Y105" s="1590"/>
      <c r="Z105" s="1588" t="e">
        <f>HLOOKUP($C105,AGO!$G$1:$N$98,98,FALSE)</f>
        <v>#N/A</v>
      </c>
      <c r="AA105" s="1589"/>
      <c r="AB105" s="1590"/>
      <c r="AC105" s="1588" t="e">
        <f>HLOOKUP($C105,SET!$G$1:$N$98,98,FALSE)</f>
        <v>#N/A</v>
      </c>
      <c r="AD105" s="1589"/>
      <c r="AE105" s="1590"/>
      <c r="AF105" s="1588" t="e">
        <f>HLOOKUP($C105,OTT!$G$1:$N$98,98,FALSE)</f>
        <v>#N/A</v>
      </c>
      <c r="AG105" s="1589"/>
      <c r="AH105" s="1590"/>
      <c r="AI105" s="1588" t="e">
        <f>HLOOKUP($C105,NOV!$G$1:$N$98,98,FALSE)</f>
        <v>#N/A</v>
      </c>
      <c r="AJ105" s="1589"/>
      <c r="AK105" s="1590"/>
      <c r="AL105" s="1588" t="e">
        <f>HLOOKUP($C105,DIC!$G$1:$N$98,98,FALSE)</f>
        <v>#N/A</v>
      </c>
      <c r="AM105" s="1589"/>
      <c r="AN105" s="2004"/>
      <c r="AO105" s="1589">
        <f t="shared" si="0"/>
        <v>0</v>
      </c>
      <c r="AP105" s="1589"/>
      <c r="AQ105" s="1590"/>
      <c r="AR105" s="48"/>
      <c r="AS105" s="48"/>
    </row>
    <row r="106" spans="1:45" ht="18" hidden="1" customHeight="1" x14ac:dyDescent="0.2">
      <c r="A106" s="48"/>
      <c r="B106" s="186"/>
      <c r="C106" s="1622" t="str">
        <f>AE9</f>
        <v/>
      </c>
      <c r="D106" s="2002"/>
      <c r="E106" s="2003" t="e">
        <f>HLOOKUP($C106,GEN!$G$1:$N$98,98,FALSE)</f>
        <v>#N/A</v>
      </c>
      <c r="F106" s="1589"/>
      <c r="G106" s="1590"/>
      <c r="H106" s="1588" t="e">
        <f>HLOOKUP($C106,FEB!$G$1:$N$98,98,FALSE)</f>
        <v>#N/A</v>
      </c>
      <c r="I106" s="1589"/>
      <c r="J106" s="1590"/>
      <c r="K106" s="1588" t="e">
        <f>HLOOKUP($C106,MAR!$G$1:$N$98,98,FALSE)</f>
        <v>#N/A</v>
      </c>
      <c r="L106" s="1589"/>
      <c r="M106" s="1590"/>
      <c r="N106" s="1588" t="e">
        <f>HLOOKUP($C106,APR!$G$1:$N$98,98,FALSE)</f>
        <v>#N/A</v>
      </c>
      <c r="O106" s="1589"/>
      <c r="P106" s="1590"/>
      <c r="Q106" s="1588" t="e">
        <f>HLOOKUP($C106,MAG!$G$1:$N$98,98,FALSE)</f>
        <v>#N/A</v>
      </c>
      <c r="R106" s="1589"/>
      <c r="S106" s="1590"/>
      <c r="T106" s="1588" t="e">
        <f>HLOOKUP($C106,GIU!$G$1:$N$98,98,FALSE)</f>
        <v>#N/A</v>
      </c>
      <c r="U106" s="1589"/>
      <c r="V106" s="1590"/>
      <c r="W106" s="1588" t="e">
        <f>HLOOKUP($C106,LUG!$G$1:$N$98,98,FALSE)</f>
        <v>#N/A</v>
      </c>
      <c r="X106" s="1589"/>
      <c r="Y106" s="1590"/>
      <c r="Z106" s="1588" t="e">
        <f>HLOOKUP($C106,AGO!$G$1:$N$98,98,FALSE)</f>
        <v>#N/A</v>
      </c>
      <c r="AA106" s="1589"/>
      <c r="AB106" s="1590"/>
      <c r="AC106" s="1588" t="e">
        <f>HLOOKUP($C106,SET!$G$1:$N$98,98,FALSE)</f>
        <v>#N/A</v>
      </c>
      <c r="AD106" s="1589"/>
      <c r="AE106" s="1590"/>
      <c r="AF106" s="1588" t="e">
        <f>HLOOKUP($C106,OTT!$G$1:$N$98,98,FALSE)</f>
        <v>#N/A</v>
      </c>
      <c r="AG106" s="1589"/>
      <c r="AH106" s="1590"/>
      <c r="AI106" s="1588" t="e">
        <f>HLOOKUP($C106,NOV!$G$1:$N$98,98,FALSE)</f>
        <v>#N/A</v>
      </c>
      <c r="AJ106" s="1589"/>
      <c r="AK106" s="1590"/>
      <c r="AL106" s="1588" t="e">
        <f>HLOOKUP($C106,DIC!$G$1:$N$98,98,FALSE)</f>
        <v>#N/A</v>
      </c>
      <c r="AM106" s="1589"/>
      <c r="AN106" s="2004"/>
      <c r="AO106" s="1589">
        <f t="shared" si="0"/>
        <v>0</v>
      </c>
      <c r="AP106" s="1589"/>
      <c r="AQ106" s="1590"/>
      <c r="AR106" s="48"/>
      <c r="AS106" s="48"/>
    </row>
    <row r="107" spans="1:45" ht="18" hidden="1" customHeight="1" x14ac:dyDescent="0.2">
      <c r="A107" s="48"/>
      <c r="B107" s="186"/>
      <c r="C107" s="1622" t="str">
        <f>AI9</f>
        <v/>
      </c>
      <c r="D107" s="2002"/>
      <c r="E107" s="2683" t="e">
        <f>HLOOKUP($C107,GEN!$G$1:$N$98,98,FALSE)</f>
        <v>#N/A</v>
      </c>
      <c r="F107" s="2651"/>
      <c r="G107" s="2652"/>
      <c r="H107" s="2650" t="e">
        <f>HLOOKUP($C107,FEB!$G$1:$N$98,98,FALSE)</f>
        <v>#N/A</v>
      </c>
      <c r="I107" s="2651"/>
      <c r="J107" s="2652"/>
      <c r="K107" s="2650" t="e">
        <f>HLOOKUP($C107,MAR!$G$1:$N$98,98,FALSE)</f>
        <v>#N/A</v>
      </c>
      <c r="L107" s="2651"/>
      <c r="M107" s="2652"/>
      <c r="N107" s="2650" t="e">
        <f>HLOOKUP($C107,APR!$G$1:$N$98,98,FALSE)</f>
        <v>#N/A</v>
      </c>
      <c r="O107" s="2651"/>
      <c r="P107" s="2652"/>
      <c r="Q107" s="2650" t="e">
        <f>HLOOKUP($C107,MAG!$G$1:$N$98,98,FALSE)</f>
        <v>#N/A</v>
      </c>
      <c r="R107" s="2651"/>
      <c r="S107" s="2652"/>
      <c r="T107" s="2650" t="e">
        <f>HLOOKUP($C107,GIU!$G$1:$N$98,98,FALSE)</f>
        <v>#N/A</v>
      </c>
      <c r="U107" s="2651"/>
      <c r="V107" s="2652"/>
      <c r="W107" s="2650" t="e">
        <f>HLOOKUP($C107,LUG!$G$1:$N$98,98,FALSE)</f>
        <v>#N/A</v>
      </c>
      <c r="X107" s="2651"/>
      <c r="Y107" s="2652"/>
      <c r="Z107" s="2650" t="e">
        <f>HLOOKUP($C107,AGO!$G$1:$N$98,98,FALSE)</f>
        <v>#N/A</v>
      </c>
      <c r="AA107" s="2651"/>
      <c r="AB107" s="2652"/>
      <c r="AC107" s="2650" t="e">
        <f>HLOOKUP($C107,SET!$G$1:$N$98,98,FALSE)</f>
        <v>#N/A</v>
      </c>
      <c r="AD107" s="2651"/>
      <c r="AE107" s="2652"/>
      <c r="AF107" s="2650" t="e">
        <f>HLOOKUP($C107,OTT!$G$1:$N$98,98,FALSE)</f>
        <v>#N/A</v>
      </c>
      <c r="AG107" s="2651"/>
      <c r="AH107" s="2652"/>
      <c r="AI107" s="2650" t="e">
        <f>HLOOKUP($C107,NOV!$G$1:$N$98,98,FALSE)</f>
        <v>#N/A</v>
      </c>
      <c r="AJ107" s="2651"/>
      <c r="AK107" s="2652"/>
      <c r="AL107" s="2650" t="e">
        <f>HLOOKUP($C107,DIC!$G$1:$N$98,98,FALSE)</f>
        <v>#N/A</v>
      </c>
      <c r="AM107" s="2651"/>
      <c r="AN107" s="2653"/>
      <c r="AO107" s="1589">
        <f t="shared" si="0"/>
        <v>0</v>
      </c>
      <c r="AP107" s="1589"/>
      <c r="AQ107" s="1590"/>
      <c r="AR107" s="48"/>
      <c r="AS107" s="48"/>
    </row>
    <row r="108" spans="1:45" ht="18" hidden="1" customHeight="1" x14ac:dyDescent="0.2">
      <c r="A108" s="48"/>
      <c r="B108" s="186"/>
      <c r="C108" s="48"/>
      <c r="D108" s="48"/>
      <c r="E108" s="185"/>
      <c r="F108" s="185"/>
      <c r="G108" s="185"/>
      <c r="H108" s="185"/>
      <c r="I108" s="185"/>
      <c r="J108" s="185"/>
      <c r="K108" s="185"/>
      <c r="L108" s="185"/>
      <c r="M108" s="185"/>
      <c r="N108" s="185"/>
      <c r="O108" s="185"/>
      <c r="P108" s="185"/>
      <c r="Q108" s="185"/>
      <c r="R108" s="185"/>
      <c r="S108" s="185"/>
      <c r="T108" s="185"/>
      <c r="U108" s="185"/>
      <c r="V108" s="185"/>
      <c r="W108" s="185"/>
      <c r="X108" s="185"/>
      <c r="Y108" s="185"/>
      <c r="Z108" s="185"/>
      <c r="AA108" s="185"/>
      <c r="AB108" s="185"/>
      <c r="AC108" s="185"/>
      <c r="AD108" s="186"/>
      <c r="AE108" s="186"/>
      <c r="AF108" s="186"/>
      <c r="AG108" s="186"/>
      <c r="AH108" s="186"/>
      <c r="AI108" s="186"/>
      <c r="AJ108" s="186"/>
      <c r="AK108" s="186"/>
      <c r="AL108" s="186"/>
      <c r="AM108" s="186"/>
      <c r="AN108" s="186"/>
      <c r="AO108" s="48"/>
      <c r="AP108" s="48"/>
      <c r="AQ108" s="48"/>
      <c r="AR108" s="48"/>
      <c r="AS108" s="48"/>
    </row>
    <row r="109" spans="1:45" ht="18" hidden="1" customHeight="1" x14ac:dyDescent="0.2">
      <c r="A109" s="48"/>
      <c r="B109" s="186"/>
      <c r="C109" s="185"/>
      <c r="D109" s="185"/>
      <c r="E109" s="2694" t="str">
        <f>J9</f>
        <v>--</v>
      </c>
      <c r="F109" s="2694"/>
      <c r="G109" s="2694"/>
      <c r="H109" s="2694" t="str">
        <f>N9</f>
        <v>--</v>
      </c>
      <c r="I109" s="2694"/>
      <c r="J109" s="2694"/>
      <c r="K109" s="2694" t="str">
        <f>R9</f>
        <v>--</v>
      </c>
      <c r="L109" s="2694"/>
      <c r="M109" s="2694"/>
      <c r="N109" s="2694" t="str">
        <f>V9</f>
        <v>--</v>
      </c>
      <c r="O109" s="2694"/>
      <c r="P109" s="2694"/>
      <c r="Q109" s="2694" t="str">
        <f>AA9</f>
        <v/>
      </c>
      <c r="R109" s="2694"/>
      <c r="S109" s="2694"/>
      <c r="T109" s="2694" t="str">
        <f>AE9</f>
        <v/>
      </c>
      <c r="U109" s="2694"/>
      <c r="V109" s="2694"/>
      <c r="W109" s="2694" t="str">
        <f>AI9</f>
        <v/>
      </c>
      <c r="X109" s="2694"/>
      <c r="Y109" s="2694"/>
      <c r="Z109" s="186"/>
      <c r="AA109" s="186"/>
      <c r="AB109" s="186"/>
      <c r="AC109" s="186"/>
      <c r="AD109" s="186"/>
      <c r="AE109" s="186"/>
      <c r="AF109" s="48"/>
      <c r="AG109" s="48"/>
      <c r="AH109" s="48"/>
      <c r="AI109" s="48"/>
      <c r="AJ109" s="48"/>
      <c r="AK109" s="48"/>
      <c r="AL109" s="48"/>
      <c r="AM109" s="48"/>
      <c r="AN109" s="48"/>
      <c r="AO109" s="48"/>
      <c r="AP109" s="48"/>
      <c r="AQ109" s="48"/>
      <c r="AR109" s="48"/>
      <c r="AS109" s="48"/>
    </row>
    <row r="110" spans="1:45" ht="18" hidden="1" customHeight="1" x14ac:dyDescent="0.2">
      <c r="A110" s="48"/>
      <c r="B110" s="186"/>
      <c r="C110" s="185"/>
      <c r="D110" s="185"/>
      <c r="E110" s="2700" t="str">
        <f>J11</f>
        <v>Colonna 1</v>
      </c>
      <c r="F110" s="2698"/>
      <c r="G110" s="2698"/>
      <c r="H110" s="2697" t="str">
        <f>N11</f>
        <v>Colonna 2</v>
      </c>
      <c r="I110" s="2698"/>
      <c r="J110" s="2698"/>
      <c r="K110" s="2697" t="str">
        <f>R11</f>
        <v>Colonna 3</v>
      </c>
      <c r="L110" s="2698"/>
      <c r="M110" s="2698"/>
      <c r="N110" s="2701" t="str">
        <f>V11</f>
        <v>Colonna 4</v>
      </c>
      <c r="O110" s="2702"/>
      <c r="P110" s="2702"/>
      <c r="Q110" s="2703" t="str">
        <f>AA11</f>
        <v>Colonna 5</v>
      </c>
      <c r="R110" s="2698"/>
      <c r="S110" s="2698"/>
      <c r="T110" s="2697" t="str">
        <f>AE11</f>
        <v>Colonna 6</v>
      </c>
      <c r="U110" s="2698"/>
      <c r="V110" s="2698"/>
      <c r="W110" s="2697" t="str">
        <f>AI11</f>
        <v>Colonna 7</v>
      </c>
      <c r="X110" s="2698"/>
      <c r="Y110" s="2699"/>
      <c r="Z110" s="186"/>
      <c r="AA110" s="186"/>
      <c r="AB110" s="186"/>
      <c r="AC110" s="186"/>
      <c r="AD110" s="186"/>
      <c r="AE110" s="186"/>
      <c r="AF110" s="186"/>
      <c r="AG110" s="186"/>
      <c r="AH110" s="186"/>
      <c r="AI110" s="48"/>
      <c r="AJ110" s="48"/>
      <c r="AK110" s="48"/>
      <c r="AL110" s="48"/>
      <c r="AM110" s="48"/>
      <c r="AN110" s="48"/>
      <c r="AO110" s="48"/>
      <c r="AP110" s="48"/>
      <c r="AQ110" s="48"/>
      <c r="AR110" s="48"/>
      <c r="AS110" s="48"/>
    </row>
    <row r="111" spans="1:45" ht="18" hidden="1" customHeight="1" x14ac:dyDescent="0.2">
      <c r="A111" s="48"/>
      <c r="B111" s="186"/>
      <c r="C111" s="2680" t="s">
        <v>193</v>
      </c>
      <c r="D111" s="2681"/>
      <c r="E111" s="2689">
        <f>J16</f>
        <v>0</v>
      </c>
      <c r="F111" s="2685"/>
      <c r="G111" s="2687"/>
      <c r="H111" s="2684">
        <f>N16</f>
        <v>0</v>
      </c>
      <c r="I111" s="2685"/>
      <c r="J111" s="2687"/>
      <c r="K111" s="2684">
        <f>R16</f>
        <v>0</v>
      </c>
      <c r="L111" s="2685"/>
      <c r="M111" s="2687"/>
      <c r="N111" s="2684">
        <f>V16</f>
        <v>0</v>
      </c>
      <c r="O111" s="2685"/>
      <c r="P111" s="2685"/>
      <c r="Q111" s="2686">
        <f>AA16</f>
        <v>0</v>
      </c>
      <c r="R111" s="2685"/>
      <c r="S111" s="2687"/>
      <c r="T111" s="2684">
        <f>AE16</f>
        <v>0</v>
      </c>
      <c r="U111" s="2685"/>
      <c r="V111" s="2687"/>
      <c r="W111" s="2684">
        <f>AI16</f>
        <v>0</v>
      </c>
      <c r="X111" s="2685"/>
      <c r="Y111" s="2688"/>
      <c r="Z111" s="186"/>
      <c r="AA111" s="150" t="str">
        <f>GEN!I220</f>
        <v>ANNO   2024</v>
      </c>
      <c r="AB111" s="186"/>
      <c r="AC111" s="186"/>
      <c r="AD111" s="186"/>
      <c r="AE111" s="186"/>
      <c r="AF111" s="186"/>
      <c r="AG111" s="573"/>
      <c r="AH111" s="186"/>
      <c r="AI111" s="48"/>
      <c r="AJ111" s="48"/>
      <c r="AK111" s="48"/>
      <c r="AL111" s="48"/>
      <c r="AM111" s="48"/>
      <c r="AN111" s="48"/>
      <c r="AO111" s="48"/>
      <c r="AP111" s="573" t="str">
        <f>CONCATENATE(C111,AA111)</f>
        <v>LORDOANNO   2024</v>
      </c>
      <c r="AQ111" s="186">
        <v>3</v>
      </c>
      <c r="AR111" s="48"/>
      <c r="AS111" s="48"/>
    </row>
    <row r="112" spans="1:45" ht="18" hidden="1" customHeight="1" x14ac:dyDescent="0.2">
      <c r="A112" s="48"/>
      <c r="B112" s="186"/>
      <c r="C112" s="2680" t="s">
        <v>194</v>
      </c>
      <c r="D112" s="2681"/>
      <c r="E112" s="2003">
        <f>J18</f>
        <v>0</v>
      </c>
      <c r="F112" s="1589"/>
      <c r="G112" s="1590"/>
      <c r="H112" s="1588">
        <f>N18</f>
        <v>0</v>
      </c>
      <c r="I112" s="1589"/>
      <c r="J112" s="1590"/>
      <c r="K112" s="1588">
        <f>R18</f>
        <v>0</v>
      </c>
      <c r="L112" s="1589"/>
      <c r="M112" s="1590"/>
      <c r="N112" s="1588">
        <f>V18</f>
        <v>0</v>
      </c>
      <c r="O112" s="1589"/>
      <c r="P112" s="1589"/>
      <c r="Q112" s="2654">
        <f>AA18</f>
        <v>0</v>
      </c>
      <c r="R112" s="1589"/>
      <c r="S112" s="1590"/>
      <c r="T112" s="1588">
        <f>AE18</f>
        <v>0</v>
      </c>
      <c r="U112" s="1589"/>
      <c r="V112" s="1590"/>
      <c r="W112" s="1588">
        <f>AI18</f>
        <v>0</v>
      </c>
      <c r="X112" s="1589"/>
      <c r="Y112" s="2004"/>
      <c r="Z112" s="186"/>
      <c r="AA112" s="186"/>
      <c r="AB112" s="186"/>
      <c r="AC112" s="186"/>
      <c r="AD112" s="186"/>
      <c r="AE112" s="186"/>
      <c r="AF112" s="186"/>
      <c r="AG112" s="573"/>
      <c r="AH112" s="186"/>
      <c r="AI112" s="48"/>
      <c r="AJ112" s="48"/>
      <c r="AK112" s="48"/>
      <c r="AL112" s="48"/>
      <c r="AM112" s="48"/>
      <c r="AN112" s="48"/>
      <c r="AO112" s="48"/>
      <c r="AP112" s="573" t="str">
        <f>CONCATENATE(C112,AA111)</f>
        <v>NETTOANNO   2024</v>
      </c>
      <c r="AQ112" s="186">
        <v>4</v>
      </c>
      <c r="AR112" s="48"/>
      <c r="AS112" s="48"/>
    </row>
    <row r="113" spans="1:45" ht="18" hidden="1" customHeight="1" x14ac:dyDescent="0.2">
      <c r="A113" s="48"/>
      <c r="B113" s="186"/>
      <c r="C113" s="2676" t="s">
        <v>195</v>
      </c>
      <c r="D113" s="2677"/>
      <c r="E113" s="2683">
        <f>J19</f>
        <v>0</v>
      </c>
      <c r="F113" s="2651"/>
      <c r="G113" s="2652"/>
      <c r="H113" s="2650">
        <f>N19</f>
        <v>0</v>
      </c>
      <c r="I113" s="2651"/>
      <c r="J113" s="2652"/>
      <c r="K113" s="2650">
        <f>R19</f>
        <v>0</v>
      </c>
      <c r="L113" s="2651"/>
      <c r="M113" s="2652"/>
      <c r="N113" s="2650">
        <f>V19</f>
        <v>0</v>
      </c>
      <c r="O113" s="2651"/>
      <c r="P113" s="2651"/>
      <c r="Q113" s="2682">
        <f>AA19</f>
        <v>0</v>
      </c>
      <c r="R113" s="2651"/>
      <c r="S113" s="2652"/>
      <c r="T113" s="2650">
        <f>AE19</f>
        <v>0</v>
      </c>
      <c r="U113" s="2651"/>
      <c r="V113" s="2652"/>
      <c r="W113" s="2650">
        <f>AI19</f>
        <v>0</v>
      </c>
      <c r="X113" s="2651"/>
      <c r="Y113" s="2653"/>
      <c r="Z113" s="186"/>
      <c r="AA113" s="186"/>
      <c r="AB113" s="186"/>
      <c r="AC113" s="186"/>
      <c r="AD113" s="186"/>
      <c r="AE113" s="186"/>
      <c r="AF113" s="186"/>
      <c r="AG113" s="573"/>
      <c r="AH113" s="186"/>
      <c r="AI113" s="48"/>
      <c r="AJ113" s="48"/>
      <c r="AK113" s="48"/>
      <c r="AL113" s="48"/>
      <c r="AM113" s="48"/>
      <c r="AN113" s="48"/>
      <c r="AO113" s="48"/>
      <c r="AP113" s="573" t="str">
        <f>CONCATENATE(C113,AA111)</f>
        <v>IVAANNO   2024</v>
      </c>
      <c r="AQ113" s="186">
        <v>5</v>
      </c>
      <c r="AR113" s="48"/>
      <c r="AS113" s="48"/>
    </row>
    <row r="114" spans="1:45" ht="18" hidden="1" customHeight="1" x14ac:dyDescent="0.2">
      <c r="A114" s="48"/>
      <c r="B114" s="186"/>
      <c r="C114" s="2680" t="s">
        <v>193</v>
      </c>
      <c r="D114" s="2681"/>
      <c r="E114" s="2689">
        <f ca="1">J27</f>
        <v>10000</v>
      </c>
      <c r="F114" s="2685"/>
      <c r="G114" s="2687"/>
      <c r="H114" s="2684">
        <f ca="1">N27</f>
        <v>0</v>
      </c>
      <c r="I114" s="2685"/>
      <c r="J114" s="2687"/>
      <c r="K114" s="2684">
        <f ca="1">R27</f>
        <v>0</v>
      </c>
      <c r="L114" s="2685"/>
      <c r="M114" s="2687"/>
      <c r="N114" s="2684">
        <f ca="1">V27</f>
        <v>0</v>
      </c>
      <c r="O114" s="2685"/>
      <c r="P114" s="2685"/>
      <c r="Q114" s="2686">
        <f ca="1">AA27</f>
        <v>0</v>
      </c>
      <c r="R114" s="2685"/>
      <c r="S114" s="2687"/>
      <c r="T114" s="2684">
        <f ca="1">AE27</f>
        <v>0</v>
      </c>
      <c r="U114" s="2685"/>
      <c r="V114" s="2687"/>
      <c r="W114" s="2684">
        <f ca="1">AI27</f>
        <v>0</v>
      </c>
      <c r="X114" s="2685"/>
      <c r="Y114" s="2688"/>
      <c r="Z114" s="186"/>
      <c r="AA114" s="150" t="str">
        <f>GEN!I221</f>
        <v>ANNO   2023</v>
      </c>
      <c r="AB114" s="186"/>
      <c r="AC114" s="186"/>
      <c r="AD114" s="186"/>
      <c r="AE114" s="186"/>
      <c r="AF114" s="186"/>
      <c r="AG114" s="573"/>
      <c r="AH114" s="186"/>
      <c r="AI114" s="48"/>
      <c r="AJ114" s="48"/>
      <c r="AK114" s="48"/>
      <c r="AL114" s="48"/>
      <c r="AM114" s="48"/>
      <c r="AN114" s="48"/>
      <c r="AO114" s="48"/>
      <c r="AP114" s="573" t="str">
        <f>CONCATENATE(C114,AA114)</f>
        <v>LORDOANNO   2023</v>
      </c>
      <c r="AQ114" s="186">
        <v>6</v>
      </c>
      <c r="AR114" s="48"/>
      <c r="AS114" s="48"/>
    </row>
    <row r="115" spans="1:45" ht="18" hidden="1" customHeight="1" x14ac:dyDescent="0.2">
      <c r="A115" s="48"/>
      <c r="B115" s="186"/>
      <c r="C115" s="2680" t="s">
        <v>194</v>
      </c>
      <c r="D115" s="2681"/>
      <c r="E115" s="2003">
        <f>J29</f>
        <v>9000</v>
      </c>
      <c r="F115" s="1589"/>
      <c r="G115" s="1590"/>
      <c r="H115" s="1588">
        <f>N29</f>
        <v>0</v>
      </c>
      <c r="I115" s="1589"/>
      <c r="J115" s="1590"/>
      <c r="K115" s="1588">
        <f>R29</f>
        <v>0</v>
      </c>
      <c r="L115" s="1589"/>
      <c r="M115" s="1590"/>
      <c r="N115" s="1588">
        <f>V29</f>
        <v>0</v>
      </c>
      <c r="O115" s="1589"/>
      <c r="P115" s="1589"/>
      <c r="Q115" s="2654">
        <f>AA29</f>
        <v>0</v>
      </c>
      <c r="R115" s="1589"/>
      <c r="S115" s="1590"/>
      <c r="T115" s="1588">
        <f>AE29</f>
        <v>0</v>
      </c>
      <c r="U115" s="1589"/>
      <c r="V115" s="1590"/>
      <c r="W115" s="1588">
        <f>AI29</f>
        <v>0</v>
      </c>
      <c r="X115" s="1589"/>
      <c r="Y115" s="2004"/>
      <c r="Z115" s="186"/>
      <c r="AA115" s="186"/>
      <c r="AB115" s="186"/>
      <c r="AC115" s="186"/>
      <c r="AD115" s="186"/>
      <c r="AE115" s="186"/>
      <c r="AF115" s="186"/>
      <c r="AG115" s="573"/>
      <c r="AH115" s="186"/>
      <c r="AI115" s="48"/>
      <c r="AJ115" s="48"/>
      <c r="AK115" s="48"/>
      <c r="AL115" s="48"/>
      <c r="AM115" s="48"/>
      <c r="AN115" s="48"/>
      <c r="AO115" s="48"/>
      <c r="AP115" s="573" t="str">
        <f>CONCATENATE(C115,AA114)</f>
        <v>NETTOANNO   2023</v>
      </c>
      <c r="AQ115" s="186">
        <v>7</v>
      </c>
      <c r="AR115" s="48"/>
      <c r="AS115" s="48"/>
    </row>
    <row r="116" spans="1:45" ht="18" hidden="1" customHeight="1" x14ac:dyDescent="0.2">
      <c r="A116" s="48"/>
      <c r="B116" s="186"/>
      <c r="C116" s="2676" t="s">
        <v>195</v>
      </c>
      <c r="D116" s="2677"/>
      <c r="E116" s="2683">
        <f>J30</f>
        <v>1000</v>
      </c>
      <c r="F116" s="2651"/>
      <c r="G116" s="2652"/>
      <c r="H116" s="2650">
        <f>N30</f>
        <v>0</v>
      </c>
      <c r="I116" s="2651"/>
      <c r="J116" s="2652"/>
      <c r="K116" s="2650">
        <f>R30</f>
        <v>0</v>
      </c>
      <c r="L116" s="2651"/>
      <c r="M116" s="2652"/>
      <c r="N116" s="2650">
        <f>V30</f>
        <v>0</v>
      </c>
      <c r="O116" s="2651"/>
      <c r="P116" s="2651"/>
      <c r="Q116" s="2682">
        <f>AA30</f>
        <v>0</v>
      </c>
      <c r="R116" s="2651"/>
      <c r="S116" s="2652"/>
      <c r="T116" s="2650">
        <f>AE30</f>
        <v>0</v>
      </c>
      <c r="U116" s="2651"/>
      <c r="V116" s="2652"/>
      <c r="W116" s="2650">
        <f>AI30</f>
        <v>0</v>
      </c>
      <c r="X116" s="2651"/>
      <c r="Y116" s="2653"/>
      <c r="Z116" s="186"/>
      <c r="AA116" s="186"/>
      <c r="AB116" s="186"/>
      <c r="AC116" s="186"/>
      <c r="AD116" s="186"/>
      <c r="AE116" s="186"/>
      <c r="AF116" s="186"/>
      <c r="AG116" s="573"/>
      <c r="AH116" s="186"/>
      <c r="AI116" s="48"/>
      <c r="AJ116" s="48"/>
      <c r="AK116" s="48"/>
      <c r="AL116" s="48"/>
      <c r="AM116" s="48"/>
      <c r="AN116" s="48"/>
      <c r="AO116" s="48"/>
      <c r="AP116" s="573" t="str">
        <f>CONCATENATE(C116,AA114)</f>
        <v>IVAANNO   2023</v>
      </c>
      <c r="AQ116" s="186">
        <v>8</v>
      </c>
      <c r="AR116" s="48"/>
      <c r="AS116" s="48"/>
    </row>
    <row r="117" spans="1:45" ht="18" hidden="1" customHeight="1" x14ac:dyDescent="0.2">
      <c r="A117" s="48"/>
      <c r="B117" s="186"/>
      <c r="C117" s="2680" t="s">
        <v>193</v>
      </c>
      <c r="D117" s="2681"/>
      <c r="E117" s="2689">
        <f ca="1">J33</f>
        <v>0</v>
      </c>
      <c r="F117" s="2685"/>
      <c r="G117" s="2687"/>
      <c r="H117" s="2684">
        <f ca="1">N33</f>
        <v>0</v>
      </c>
      <c r="I117" s="2685"/>
      <c r="J117" s="2687"/>
      <c r="K117" s="2684">
        <f ca="1">R33</f>
        <v>0</v>
      </c>
      <c r="L117" s="2685"/>
      <c r="M117" s="2687"/>
      <c r="N117" s="2684">
        <f ca="1">V33</f>
        <v>0</v>
      </c>
      <c r="O117" s="2685"/>
      <c r="P117" s="2685"/>
      <c r="Q117" s="2686">
        <f ca="1">AA33</f>
        <v>0</v>
      </c>
      <c r="R117" s="2685"/>
      <c r="S117" s="2687"/>
      <c r="T117" s="2684">
        <f ca="1">AE33</f>
        <v>0</v>
      </c>
      <c r="U117" s="2685"/>
      <c r="V117" s="2687"/>
      <c r="W117" s="2684">
        <f ca="1">AI33</f>
        <v>0</v>
      </c>
      <c r="X117" s="2685"/>
      <c r="Y117" s="2688"/>
      <c r="Z117" s="186"/>
      <c r="AA117" s="150" t="str">
        <f>GEN!I222</f>
        <v>ANNO   2022</v>
      </c>
      <c r="AB117" s="186"/>
      <c r="AC117" s="186"/>
      <c r="AD117" s="186"/>
      <c r="AE117" s="186"/>
      <c r="AF117" s="186"/>
      <c r="AG117" s="573"/>
      <c r="AH117" s="186"/>
      <c r="AI117" s="48"/>
      <c r="AJ117" s="48"/>
      <c r="AK117" s="48"/>
      <c r="AL117" s="48"/>
      <c r="AM117" s="48"/>
      <c r="AN117" s="48"/>
      <c r="AO117" s="48"/>
      <c r="AP117" s="573" t="str">
        <f>CONCATENATE(C117,AA117)</f>
        <v>LORDOANNO   2022</v>
      </c>
      <c r="AQ117" s="186">
        <v>9</v>
      </c>
      <c r="AR117" s="48"/>
      <c r="AS117" s="48"/>
    </row>
    <row r="118" spans="1:45" ht="18" hidden="1" customHeight="1" x14ac:dyDescent="0.2">
      <c r="A118" s="48"/>
      <c r="B118" s="186"/>
      <c r="C118" s="2680" t="s">
        <v>194</v>
      </c>
      <c r="D118" s="2681"/>
      <c r="E118" s="2003">
        <f>J35</f>
        <v>0</v>
      </c>
      <c r="F118" s="1589"/>
      <c r="G118" s="1590"/>
      <c r="H118" s="1588">
        <f>N35</f>
        <v>0</v>
      </c>
      <c r="I118" s="1589"/>
      <c r="J118" s="1590"/>
      <c r="K118" s="1588">
        <f>R35</f>
        <v>0</v>
      </c>
      <c r="L118" s="1589"/>
      <c r="M118" s="1590"/>
      <c r="N118" s="1588">
        <f>V35</f>
        <v>0</v>
      </c>
      <c r="O118" s="1589"/>
      <c r="P118" s="1589"/>
      <c r="Q118" s="2654">
        <f>AA35</f>
        <v>0</v>
      </c>
      <c r="R118" s="1589"/>
      <c r="S118" s="1590"/>
      <c r="T118" s="1588">
        <f>AE35</f>
        <v>0</v>
      </c>
      <c r="U118" s="1589"/>
      <c r="V118" s="1590"/>
      <c r="W118" s="1588">
        <f>AI35</f>
        <v>0</v>
      </c>
      <c r="X118" s="1589"/>
      <c r="Y118" s="2004"/>
      <c r="Z118" s="186"/>
      <c r="AA118" s="186"/>
      <c r="AB118" s="186"/>
      <c r="AC118" s="186"/>
      <c r="AD118" s="186"/>
      <c r="AE118" s="186"/>
      <c r="AF118" s="186"/>
      <c r="AG118" s="573"/>
      <c r="AH118" s="186"/>
      <c r="AI118" s="48"/>
      <c r="AJ118" s="48"/>
      <c r="AK118" s="48"/>
      <c r="AL118" s="48"/>
      <c r="AM118" s="48"/>
      <c r="AN118" s="48"/>
      <c r="AO118" s="48"/>
      <c r="AP118" s="573" t="str">
        <f>CONCATENATE(C118,AA117)</f>
        <v>NETTOANNO   2022</v>
      </c>
      <c r="AQ118" s="186">
        <v>10</v>
      </c>
      <c r="AR118" s="48"/>
      <c r="AS118" s="48"/>
    </row>
    <row r="119" spans="1:45" ht="18" hidden="1" customHeight="1" x14ac:dyDescent="0.2">
      <c r="A119" s="48"/>
      <c r="B119" s="186"/>
      <c r="C119" s="2676" t="s">
        <v>195</v>
      </c>
      <c r="D119" s="2677"/>
      <c r="E119" s="2683">
        <f>J36</f>
        <v>0</v>
      </c>
      <c r="F119" s="2651"/>
      <c r="G119" s="2652"/>
      <c r="H119" s="2650">
        <f>N36</f>
        <v>0</v>
      </c>
      <c r="I119" s="2651"/>
      <c r="J119" s="2652"/>
      <c r="K119" s="2650">
        <f>R36</f>
        <v>0</v>
      </c>
      <c r="L119" s="2651"/>
      <c r="M119" s="2652"/>
      <c r="N119" s="2650">
        <f>V36</f>
        <v>0</v>
      </c>
      <c r="O119" s="2651"/>
      <c r="P119" s="2651"/>
      <c r="Q119" s="2682">
        <f>AA36</f>
        <v>0</v>
      </c>
      <c r="R119" s="2651"/>
      <c r="S119" s="2652"/>
      <c r="T119" s="2650">
        <f>AE36</f>
        <v>0</v>
      </c>
      <c r="U119" s="2651"/>
      <c r="V119" s="2652"/>
      <c r="W119" s="2650">
        <f>AI36</f>
        <v>0</v>
      </c>
      <c r="X119" s="2651"/>
      <c r="Y119" s="2653"/>
      <c r="Z119" s="186"/>
      <c r="AA119" s="186"/>
      <c r="AB119" s="186"/>
      <c r="AC119" s="186"/>
      <c r="AD119" s="186"/>
      <c r="AE119" s="186"/>
      <c r="AF119" s="186"/>
      <c r="AG119" s="573"/>
      <c r="AH119" s="186"/>
      <c r="AI119" s="48"/>
      <c r="AJ119" s="48"/>
      <c r="AK119" s="48"/>
      <c r="AL119" s="48"/>
      <c r="AM119" s="48"/>
      <c r="AN119" s="48"/>
      <c r="AO119" s="48"/>
      <c r="AP119" s="573" t="str">
        <f>CONCATENATE(C119,AA117)</f>
        <v>IVAANNO   2022</v>
      </c>
      <c r="AQ119" s="186">
        <v>11</v>
      </c>
      <c r="AR119" s="48"/>
      <c r="AS119" s="48"/>
    </row>
    <row r="120" spans="1:45" ht="18" hidden="1" customHeight="1" x14ac:dyDescent="0.2">
      <c r="A120" s="48"/>
      <c r="B120" s="186"/>
      <c r="C120" s="2680" t="s">
        <v>193</v>
      </c>
      <c r="D120" s="2681"/>
      <c r="E120" s="2689">
        <f ca="1">J39</f>
        <v>0</v>
      </c>
      <c r="F120" s="2685"/>
      <c r="G120" s="2687"/>
      <c r="H120" s="2684">
        <f ca="1">N39</f>
        <v>0</v>
      </c>
      <c r="I120" s="2685"/>
      <c r="J120" s="2687"/>
      <c r="K120" s="2684">
        <f ca="1">R39</f>
        <v>0</v>
      </c>
      <c r="L120" s="2685"/>
      <c r="M120" s="2687"/>
      <c r="N120" s="2684">
        <f ca="1">V39</f>
        <v>0</v>
      </c>
      <c r="O120" s="2685"/>
      <c r="P120" s="2685"/>
      <c r="Q120" s="2686">
        <f ca="1">AA39</f>
        <v>0</v>
      </c>
      <c r="R120" s="2685"/>
      <c r="S120" s="2687"/>
      <c r="T120" s="2684">
        <f ca="1">AE39</f>
        <v>0</v>
      </c>
      <c r="U120" s="2685"/>
      <c r="V120" s="2687"/>
      <c r="W120" s="2684">
        <f ca="1">AI39</f>
        <v>0</v>
      </c>
      <c r="X120" s="2685"/>
      <c r="Y120" s="2688"/>
      <c r="Z120" s="186"/>
      <c r="AA120" s="150" t="str">
        <f>GEN!I223</f>
        <v>ANNO   2021</v>
      </c>
      <c r="AB120" s="186"/>
      <c r="AC120" s="186"/>
      <c r="AD120" s="186"/>
      <c r="AE120" s="186"/>
      <c r="AF120" s="186"/>
      <c r="AG120" s="573"/>
      <c r="AH120" s="186"/>
      <c r="AI120" s="48"/>
      <c r="AJ120" s="48"/>
      <c r="AK120" s="48"/>
      <c r="AL120" s="48"/>
      <c r="AM120" s="48"/>
      <c r="AN120" s="48"/>
      <c r="AO120" s="48"/>
      <c r="AP120" s="573" t="str">
        <f>CONCATENATE(C120,AA120)</f>
        <v>LORDOANNO   2021</v>
      </c>
      <c r="AQ120" s="186">
        <v>12</v>
      </c>
      <c r="AR120" s="48"/>
      <c r="AS120" s="48"/>
    </row>
    <row r="121" spans="1:45" ht="18" hidden="1" customHeight="1" x14ac:dyDescent="0.2">
      <c r="A121" s="48"/>
      <c r="B121" s="186"/>
      <c r="C121" s="2680" t="s">
        <v>194</v>
      </c>
      <c r="D121" s="2681"/>
      <c r="E121" s="2003">
        <f>J41</f>
        <v>0</v>
      </c>
      <c r="F121" s="1589"/>
      <c r="G121" s="1590"/>
      <c r="H121" s="1588">
        <f>N41</f>
        <v>0</v>
      </c>
      <c r="I121" s="1589"/>
      <c r="J121" s="1590"/>
      <c r="K121" s="1588">
        <f>R41</f>
        <v>0</v>
      </c>
      <c r="L121" s="1589"/>
      <c r="M121" s="1590"/>
      <c r="N121" s="1588">
        <f>V41</f>
        <v>0</v>
      </c>
      <c r="O121" s="1589"/>
      <c r="P121" s="1589"/>
      <c r="Q121" s="2654">
        <f>AA41</f>
        <v>0</v>
      </c>
      <c r="R121" s="1589"/>
      <c r="S121" s="1590"/>
      <c r="T121" s="1588">
        <f>AE41</f>
        <v>0</v>
      </c>
      <c r="U121" s="1589"/>
      <c r="V121" s="1590"/>
      <c r="W121" s="1588">
        <f>AI41</f>
        <v>0</v>
      </c>
      <c r="X121" s="1589"/>
      <c r="Y121" s="2004"/>
      <c r="Z121" s="186"/>
      <c r="AA121" s="186"/>
      <c r="AB121" s="186"/>
      <c r="AC121" s="186"/>
      <c r="AD121" s="186"/>
      <c r="AE121" s="186"/>
      <c r="AF121" s="186"/>
      <c r="AG121" s="573"/>
      <c r="AH121" s="186"/>
      <c r="AI121" s="48"/>
      <c r="AJ121" s="48"/>
      <c r="AK121" s="48"/>
      <c r="AL121" s="48"/>
      <c r="AM121" s="48"/>
      <c r="AN121" s="48"/>
      <c r="AO121" s="48"/>
      <c r="AP121" s="573" t="str">
        <f>CONCATENATE(C121,AA120)</f>
        <v>NETTOANNO   2021</v>
      </c>
      <c r="AQ121" s="186">
        <v>13</v>
      </c>
      <c r="AR121" s="48"/>
      <c r="AS121" s="48"/>
    </row>
    <row r="122" spans="1:45" ht="18" hidden="1" customHeight="1" x14ac:dyDescent="0.2">
      <c r="A122" s="48"/>
      <c r="B122" s="186"/>
      <c r="C122" s="2676" t="s">
        <v>195</v>
      </c>
      <c r="D122" s="2677"/>
      <c r="E122" s="2683">
        <f>J42</f>
        <v>0</v>
      </c>
      <c r="F122" s="2651"/>
      <c r="G122" s="2652"/>
      <c r="H122" s="2650">
        <f>N42</f>
        <v>0</v>
      </c>
      <c r="I122" s="2651"/>
      <c r="J122" s="2652"/>
      <c r="K122" s="2650">
        <f>R42</f>
        <v>0</v>
      </c>
      <c r="L122" s="2651"/>
      <c r="M122" s="2652"/>
      <c r="N122" s="2650">
        <f>V42</f>
        <v>0</v>
      </c>
      <c r="O122" s="2651"/>
      <c r="P122" s="2651"/>
      <c r="Q122" s="2682">
        <f>AA42</f>
        <v>0</v>
      </c>
      <c r="R122" s="2651"/>
      <c r="S122" s="2652"/>
      <c r="T122" s="2650">
        <f>AE42</f>
        <v>0</v>
      </c>
      <c r="U122" s="2651"/>
      <c r="V122" s="2652"/>
      <c r="W122" s="2650">
        <f>AI42</f>
        <v>0</v>
      </c>
      <c r="X122" s="2651"/>
      <c r="Y122" s="2653"/>
      <c r="Z122" s="186"/>
      <c r="AA122" s="186"/>
      <c r="AB122" s="186"/>
      <c r="AC122" s="186"/>
      <c r="AD122" s="186"/>
      <c r="AE122" s="186"/>
      <c r="AF122" s="186"/>
      <c r="AG122" s="573"/>
      <c r="AH122" s="186"/>
      <c r="AI122" s="48"/>
      <c r="AJ122" s="48"/>
      <c r="AK122" s="48"/>
      <c r="AL122" s="48"/>
      <c r="AM122" s="48"/>
      <c r="AN122" s="48"/>
      <c r="AO122" s="48"/>
      <c r="AP122" s="573" t="str">
        <f>CONCATENATE(C122,AA120)</f>
        <v>IVAANNO   2021</v>
      </c>
      <c r="AQ122" s="186">
        <v>14</v>
      </c>
      <c r="AR122" s="48"/>
      <c r="AS122" s="48"/>
    </row>
    <row r="123" spans="1:45" ht="18" hidden="1" customHeight="1" x14ac:dyDescent="0.2">
      <c r="A123" s="48"/>
      <c r="B123" s="186"/>
      <c r="C123" s="2680" t="s">
        <v>193</v>
      </c>
      <c r="D123" s="2681"/>
      <c r="E123" s="2689">
        <f ca="1">E111+E114</f>
        <v>10000</v>
      </c>
      <c r="F123" s="2685"/>
      <c r="G123" s="2687"/>
      <c r="H123" s="2684">
        <f ca="1">H111+H114</f>
        <v>0</v>
      </c>
      <c r="I123" s="2685"/>
      <c r="J123" s="2687"/>
      <c r="K123" s="2684">
        <f ca="1">K111+K114</f>
        <v>0</v>
      </c>
      <c r="L123" s="2685"/>
      <c r="M123" s="2687"/>
      <c r="N123" s="2684">
        <f ca="1">N111+N114</f>
        <v>0</v>
      </c>
      <c r="O123" s="2685"/>
      <c r="P123" s="2685"/>
      <c r="Q123" s="2686">
        <f ca="1">Q111+Q114</f>
        <v>0</v>
      </c>
      <c r="R123" s="2685"/>
      <c r="S123" s="2687"/>
      <c r="T123" s="2684">
        <f ca="1">T111+T114</f>
        <v>0</v>
      </c>
      <c r="U123" s="2685"/>
      <c r="V123" s="2687"/>
      <c r="W123" s="2684">
        <f ca="1">W111+W114</f>
        <v>0</v>
      </c>
      <c r="X123" s="2685"/>
      <c r="Y123" s="2688"/>
      <c r="Z123" s="186"/>
      <c r="AA123" s="150" t="str">
        <f>GEN!I224</f>
        <v>ANNO   2024 + 2023</v>
      </c>
      <c r="AB123" s="186"/>
      <c r="AC123" s="186"/>
      <c r="AD123" s="186"/>
      <c r="AE123" s="186"/>
      <c r="AF123" s="186"/>
      <c r="AG123" s="573"/>
      <c r="AH123" s="186"/>
      <c r="AI123" s="48"/>
      <c r="AJ123" s="48"/>
      <c r="AK123" s="48"/>
      <c r="AL123" s="48"/>
      <c r="AM123" s="48"/>
      <c r="AN123" s="48"/>
      <c r="AO123" s="48"/>
      <c r="AP123" s="573" t="str">
        <f>CONCATENATE(C123,AA123)</f>
        <v>LORDOANNO   2024 + 2023</v>
      </c>
      <c r="AQ123" s="186">
        <v>15</v>
      </c>
      <c r="AR123" s="48"/>
      <c r="AS123" s="48"/>
    </row>
    <row r="124" spans="1:45" ht="18" hidden="1" customHeight="1" x14ac:dyDescent="0.2">
      <c r="A124" s="48"/>
      <c r="B124" s="186"/>
      <c r="C124" s="2680" t="s">
        <v>194</v>
      </c>
      <c r="D124" s="2681"/>
      <c r="E124" s="2003">
        <f>E112+E115</f>
        <v>9000</v>
      </c>
      <c r="F124" s="1589"/>
      <c r="G124" s="1590"/>
      <c r="H124" s="1588">
        <f>H112+H115</f>
        <v>0</v>
      </c>
      <c r="I124" s="1589"/>
      <c r="J124" s="1590"/>
      <c r="K124" s="1588">
        <f>K112+K115</f>
        <v>0</v>
      </c>
      <c r="L124" s="1589"/>
      <c r="M124" s="1590"/>
      <c r="N124" s="1588">
        <f>N112+N115</f>
        <v>0</v>
      </c>
      <c r="O124" s="1589"/>
      <c r="P124" s="1589"/>
      <c r="Q124" s="2654">
        <f>Q112+Q115</f>
        <v>0</v>
      </c>
      <c r="R124" s="1589"/>
      <c r="S124" s="1590"/>
      <c r="T124" s="1588">
        <f>T112+T115</f>
        <v>0</v>
      </c>
      <c r="U124" s="1589"/>
      <c r="V124" s="1590"/>
      <c r="W124" s="1588">
        <f>W112+W115</f>
        <v>0</v>
      </c>
      <c r="X124" s="1589"/>
      <c r="Y124" s="2004"/>
      <c r="Z124" s="186"/>
      <c r="AA124" s="186"/>
      <c r="AB124" s="186"/>
      <c r="AC124" s="186"/>
      <c r="AD124" s="186"/>
      <c r="AE124" s="186"/>
      <c r="AF124" s="186"/>
      <c r="AG124" s="573"/>
      <c r="AH124" s="186"/>
      <c r="AI124" s="48"/>
      <c r="AJ124" s="48"/>
      <c r="AK124" s="48"/>
      <c r="AL124" s="48"/>
      <c r="AM124" s="48"/>
      <c r="AN124" s="48"/>
      <c r="AO124" s="48"/>
      <c r="AP124" s="573" t="str">
        <f>CONCATENATE(C124,AA123)</f>
        <v>NETTOANNO   2024 + 2023</v>
      </c>
      <c r="AQ124" s="186">
        <v>16</v>
      </c>
      <c r="AR124" s="48"/>
      <c r="AS124" s="48"/>
    </row>
    <row r="125" spans="1:45" ht="18" hidden="1" customHeight="1" x14ac:dyDescent="0.2">
      <c r="A125" s="48"/>
      <c r="B125" s="186"/>
      <c r="C125" s="2676" t="s">
        <v>195</v>
      </c>
      <c r="D125" s="2677"/>
      <c r="E125" s="2683">
        <f>E113+E116</f>
        <v>1000</v>
      </c>
      <c r="F125" s="2651"/>
      <c r="G125" s="2652"/>
      <c r="H125" s="2650">
        <f>H113+H116</f>
        <v>0</v>
      </c>
      <c r="I125" s="2651"/>
      <c r="J125" s="2652"/>
      <c r="K125" s="2650">
        <f>K113+K116</f>
        <v>0</v>
      </c>
      <c r="L125" s="2651"/>
      <c r="M125" s="2652"/>
      <c r="N125" s="2650">
        <f>N113+N116</f>
        <v>0</v>
      </c>
      <c r="O125" s="2651"/>
      <c r="P125" s="2651"/>
      <c r="Q125" s="2682">
        <f>Q113+Q116</f>
        <v>0</v>
      </c>
      <c r="R125" s="2651"/>
      <c r="S125" s="2652"/>
      <c r="T125" s="2650">
        <f>T113+T116</f>
        <v>0</v>
      </c>
      <c r="U125" s="2651"/>
      <c r="V125" s="2652"/>
      <c r="W125" s="2650">
        <f>W113+W116</f>
        <v>0</v>
      </c>
      <c r="X125" s="2651"/>
      <c r="Y125" s="2653"/>
      <c r="Z125" s="186"/>
      <c r="AA125" s="186"/>
      <c r="AB125" s="186"/>
      <c r="AC125" s="186"/>
      <c r="AD125" s="186"/>
      <c r="AE125" s="186"/>
      <c r="AF125" s="186"/>
      <c r="AG125" s="573"/>
      <c r="AH125" s="186"/>
      <c r="AI125" s="48"/>
      <c r="AJ125" s="48"/>
      <c r="AK125" s="48"/>
      <c r="AL125" s="48"/>
      <c r="AM125" s="48"/>
      <c r="AN125" s="48"/>
      <c r="AO125" s="48"/>
      <c r="AP125" s="573" t="str">
        <f>CONCATENATE(C125,AA123)</f>
        <v>IVAANNO   2024 + 2023</v>
      </c>
      <c r="AQ125" s="186">
        <v>17</v>
      </c>
      <c r="AR125" s="48"/>
      <c r="AS125" s="48"/>
    </row>
    <row r="126" spans="1:45" ht="18" hidden="1" customHeight="1" x14ac:dyDescent="0.2">
      <c r="A126" s="48"/>
      <c r="B126" s="186"/>
      <c r="C126" s="2680" t="s">
        <v>193</v>
      </c>
      <c r="D126" s="2681"/>
      <c r="E126" s="2689">
        <f ca="1">E111+E114+E117</f>
        <v>10000</v>
      </c>
      <c r="F126" s="2685"/>
      <c r="G126" s="2687"/>
      <c r="H126" s="2684">
        <f ca="1">H111+H114+H117</f>
        <v>0</v>
      </c>
      <c r="I126" s="2685"/>
      <c r="J126" s="2687"/>
      <c r="K126" s="2684">
        <f ca="1">K111+K114+K117</f>
        <v>0</v>
      </c>
      <c r="L126" s="2685"/>
      <c r="M126" s="2687"/>
      <c r="N126" s="2684">
        <f ca="1">N111+N114+N117</f>
        <v>0</v>
      </c>
      <c r="O126" s="2685"/>
      <c r="P126" s="2685"/>
      <c r="Q126" s="2686">
        <f ca="1">Q111+Q114+Q117</f>
        <v>0</v>
      </c>
      <c r="R126" s="2685"/>
      <c r="S126" s="2687"/>
      <c r="T126" s="2684">
        <f ca="1">T111+T114+T117</f>
        <v>0</v>
      </c>
      <c r="U126" s="2685"/>
      <c r="V126" s="2687"/>
      <c r="W126" s="2684">
        <f ca="1">W111+W114+W117</f>
        <v>0</v>
      </c>
      <c r="X126" s="2685"/>
      <c r="Y126" s="2688"/>
      <c r="Z126" s="186"/>
      <c r="AA126" s="150" t="str">
        <f>GEN!I225</f>
        <v>ANNO   2024 + 2023 + 2022</v>
      </c>
      <c r="AB126" s="186"/>
      <c r="AC126" s="186"/>
      <c r="AD126" s="186"/>
      <c r="AE126" s="186"/>
      <c r="AF126" s="186"/>
      <c r="AG126" s="573"/>
      <c r="AH126" s="186"/>
      <c r="AI126" s="48"/>
      <c r="AJ126" s="48"/>
      <c r="AK126" s="48"/>
      <c r="AL126" s="48"/>
      <c r="AM126" s="48"/>
      <c r="AN126" s="48"/>
      <c r="AO126" s="48"/>
      <c r="AP126" s="573" t="str">
        <f>CONCATENATE(C126,AA126)</f>
        <v>LORDOANNO   2024 + 2023 + 2022</v>
      </c>
      <c r="AQ126" s="186">
        <v>18</v>
      </c>
      <c r="AR126" s="48"/>
      <c r="AS126" s="48"/>
    </row>
    <row r="127" spans="1:45" ht="18" hidden="1" customHeight="1" x14ac:dyDescent="0.2">
      <c r="A127" s="48"/>
      <c r="B127" s="186"/>
      <c r="C127" s="2680" t="s">
        <v>194</v>
      </c>
      <c r="D127" s="2681"/>
      <c r="E127" s="2003">
        <f>E112+E115+E118</f>
        <v>9000</v>
      </c>
      <c r="F127" s="1589"/>
      <c r="G127" s="1590"/>
      <c r="H127" s="1588">
        <f>H112+H115+H118</f>
        <v>0</v>
      </c>
      <c r="I127" s="1589"/>
      <c r="J127" s="1590"/>
      <c r="K127" s="1588">
        <f>K112+K115+K118</f>
        <v>0</v>
      </c>
      <c r="L127" s="1589"/>
      <c r="M127" s="1590"/>
      <c r="N127" s="1588">
        <f>N112+N115+N118</f>
        <v>0</v>
      </c>
      <c r="O127" s="1589"/>
      <c r="P127" s="1589"/>
      <c r="Q127" s="2654">
        <f>Q112+Q115+Q118</f>
        <v>0</v>
      </c>
      <c r="R127" s="1589"/>
      <c r="S127" s="1590"/>
      <c r="T127" s="1588">
        <f>T112+T115+T118</f>
        <v>0</v>
      </c>
      <c r="U127" s="1589"/>
      <c r="V127" s="1590"/>
      <c r="W127" s="1588">
        <f>W112+W115+W118</f>
        <v>0</v>
      </c>
      <c r="X127" s="1589"/>
      <c r="Y127" s="2004"/>
      <c r="Z127" s="186"/>
      <c r="AA127" s="186"/>
      <c r="AB127" s="186"/>
      <c r="AC127" s="186"/>
      <c r="AD127" s="186"/>
      <c r="AE127" s="186"/>
      <c r="AF127" s="186"/>
      <c r="AG127" s="573"/>
      <c r="AH127" s="186"/>
      <c r="AI127" s="48"/>
      <c r="AJ127" s="48"/>
      <c r="AK127" s="48"/>
      <c r="AL127" s="48"/>
      <c r="AM127" s="48"/>
      <c r="AN127" s="48"/>
      <c r="AO127" s="48"/>
      <c r="AP127" s="573" t="str">
        <f>CONCATENATE(C127,AA126)</f>
        <v>NETTOANNO   2024 + 2023 + 2022</v>
      </c>
      <c r="AQ127" s="186">
        <v>19</v>
      </c>
      <c r="AR127" s="48"/>
      <c r="AS127" s="48"/>
    </row>
    <row r="128" spans="1:45" ht="18" hidden="1" customHeight="1" x14ac:dyDescent="0.2">
      <c r="A128" s="48"/>
      <c r="B128" s="186"/>
      <c r="C128" s="2676" t="s">
        <v>195</v>
      </c>
      <c r="D128" s="2677"/>
      <c r="E128" s="2683">
        <f>E113+E116+E119</f>
        <v>1000</v>
      </c>
      <c r="F128" s="2651"/>
      <c r="G128" s="2652"/>
      <c r="H128" s="2650">
        <f>H113+H116+H119</f>
        <v>0</v>
      </c>
      <c r="I128" s="2651"/>
      <c r="J128" s="2652"/>
      <c r="K128" s="2650">
        <f>K113+K116+K119</f>
        <v>0</v>
      </c>
      <c r="L128" s="2651"/>
      <c r="M128" s="2652"/>
      <c r="N128" s="2650">
        <f>N113+N116+N119</f>
        <v>0</v>
      </c>
      <c r="O128" s="2651"/>
      <c r="P128" s="2651"/>
      <c r="Q128" s="2682">
        <f>Q113+Q116+Q119</f>
        <v>0</v>
      </c>
      <c r="R128" s="2651"/>
      <c r="S128" s="2652"/>
      <c r="T128" s="2650">
        <f>T113+T116+T119</f>
        <v>0</v>
      </c>
      <c r="U128" s="2651"/>
      <c r="V128" s="2652"/>
      <c r="W128" s="2650">
        <f>W113+W116+W119</f>
        <v>0</v>
      </c>
      <c r="X128" s="2651"/>
      <c r="Y128" s="2653"/>
      <c r="Z128" s="186"/>
      <c r="AA128" s="186"/>
      <c r="AB128" s="186"/>
      <c r="AC128" s="186"/>
      <c r="AD128" s="186"/>
      <c r="AE128" s="186"/>
      <c r="AF128" s="186"/>
      <c r="AG128" s="573"/>
      <c r="AH128" s="186"/>
      <c r="AI128" s="48"/>
      <c r="AJ128" s="48"/>
      <c r="AK128" s="48"/>
      <c r="AL128" s="48"/>
      <c r="AM128" s="48"/>
      <c r="AN128" s="48"/>
      <c r="AO128" s="48"/>
      <c r="AP128" s="573" t="str">
        <f>CONCATENATE(C128,AA126)</f>
        <v>IVAANNO   2024 + 2023 + 2022</v>
      </c>
      <c r="AQ128" s="186">
        <v>20</v>
      </c>
      <c r="AR128" s="48"/>
      <c r="AS128" s="48"/>
    </row>
    <row r="129" spans="1:45" ht="18" hidden="1" customHeight="1" x14ac:dyDescent="0.2">
      <c r="A129" s="48"/>
      <c r="B129" s="186"/>
      <c r="C129" s="2680" t="s">
        <v>193</v>
      </c>
      <c r="D129" s="2681"/>
      <c r="E129" s="2689">
        <f ca="1">E111+E114+E117+E120</f>
        <v>10000</v>
      </c>
      <c r="F129" s="2685"/>
      <c r="G129" s="2687"/>
      <c r="H129" s="2684">
        <f ca="1">H111+H114+H117+H120</f>
        <v>0</v>
      </c>
      <c r="I129" s="2685"/>
      <c r="J129" s="2687"/>
      <c r="K129" s="2684">
        <f ca="1">K111+K114+K117+K120</f>
        <v>0</v>
      </c>
      <c r="L129" s="2685"/>
      <c r="M129" s="2687"/>
      <c r="N129" s="2684">
        <f ca="1">N111+N114+N117+N120</f>
        <v>0</v>
      </c>
      <c r="O129" s="2685"/>
      <c r="P129" s="2685"/>
      <c r="Q129" s="2686">
        <f ca="1">Q111+Q114+Q117+Q120</f>
        <v>0</v>
      </c>
      <c r="R129" s="2685"/>
      <c r="S129" s="2687"/>
      <c r="T129" s="2684">
        <f ca="1">T111+T114+T117+T120</f>
        <v>0</v>
      </c>
      <c r="U129" s="2685"/>
      <c r="V129" s="2687"/>
      <c r="W129" s="2684">
        <f ca="1">W111+W114+W117+W120</f>
        <v>0</v>
      </c>
      <c r="X129" s="2685"/>
      <c r="Y129" s="2688"/>
      <c r="Z129" s="186"/>
      <c r="AA129" s="150" t="str">
        <f>GEN!I226</f>
        <v>ANNO   2024 + 2023 + 2022 + 2021</v>
      </c>
      <c r="AB129" s="186"/>
      <c r="AC129" s="186"/>
      <c r="AD129" s="186"/>
      <c r="AE129" s="186"/>
      <c r="AF129" s="186"/>
      <c r="AG129" s="573"/>
      <c r="AH129" s="186"/>
      <c r="AI129" s="48"/>
      <c r="AJ129" s="48"/>
      <c r="AK129" s="48"/>
      <c r="AL129" s="48"/>
      <c r="AM129" s="48"/>
      <c r="AN129" s="48"/>
      <c r="AO129" s="48"/>
      <c r="AP129" s="573" t="str">
        <f>CONCATENATE(C129,AA129)</f>
        <v>LORDOANNO   2024 + 2023 + 2022 + 2021</v>
      </c>
      <c r="AQ129" s="186">
        <v>21</v>
      </c>
      <c r="AR129" s="48"/>
      <c r="AS129" s="48"/>
    </row>
    <row r="130" spans="1:45" ht="18" hidden="1" customHeight="1" x14ac:dyDescent="0.2">
      <c r="A130" s="48"/>
      <c r="B130" s="186"/>
      <c r="C130" s="2680" t="s">
        <v>194</v>
      </c>
      <c r="D130" s="2681"/>
      <c r="E130" s="2003">
        <f>E112+E115+E118+E121</f>
        <v>9000</v>
      </c>
      <c r="F130" s="1589"/>
      <c r="G130" s="1590"/>
      <c r="H130" s="1588">
        <f>H112+H115+H118+H121</f>
        <v>0</v>
      </c>
      <c r="I130" s="1589"/>
      <c r="J130" s="1590"/>
      <c r="K130" s="1588">
        <f>K112+K115+K118+K121</f>
        <v>0</v>
      </c>
      <c r="L130" s="1589"/>
      <c r="M130" s="1590"/>
      <c r="N130" s="1588">
        <f>N112+N115+N118+N121</f>
        <v>0</v>
      </c>
      <c r="O130" s="1589"/>
      <c r="P130" s="1589"/>
      <c r="Q130" s="2654">
        <f>Q112+Q115+Q118+Q121</f>
        <v>0</v>
      </c>
      <c r="R130" s="1589"/>
      <c r="S130" s="1590"/>
      <c r="T130" s="1588">
        <f>T112+T115+T118+T121</f>
        <v>0</v>
      </c>
      <c r="U130" s="1589"/>
      <c r="V130" s="1590"/>
      <c r="W130" s="1588">
        <f>W112+W115+W118+W121</f>
        <v>0</v>
      </c>
      <c r="X130" s="1589"/>
      <c r="Y130" s="2004"/>
      <c r="Z130" s="186"/>
      <c r="AA130" s="186"/>
      <c r="AB130" s="186"/>
      <c r="AC130" s="186"/>
      <c r="AD130" s="186"/>
      <c r="AE130" s="186"/>
      <c r="AF130" s="186"/>
      <c r="AG130" s="573"/>
      <c r="AH130" s="186"/>
      <c r="AI130" s="48"/>
      <c r="AJ130" s="48"/>
      <c r="AK130" s="48"/>
      <c r="AL130" s="48"/>
      <c r="AM130" s="48"/>
      <c r="AN130" s="48"/>
      <c r="AO130" s="48"/>
      <c r="AP130" s="573" t="str">
        <f>CONCATENATE(C130,AA129)</f>
        <v>NETTOANNO   2024 + 2023 + 2022 + 2021</v>
      </c>
      <c r="AQ130" s="186">
        <v>22</v>
      </c>
      <c r="AR130" s="48"/>
      <c r="AS130" s="48"/>
    </row>
    <row r="131" spans="1:45" ht="18" hidden="1" customHeight="1" x14ac:dyDescent="0.2">
      <c r="A131" s="48"/>
      <c r="B131" s="186"/>
      <c r="C131" s="2676" t="s">
        <v>195</v>
      </c>
      <c r="D131" s="2677"/>
      <c r="E131" s="2683">
        <f>E113+E116+E119+E122</f>
        <v>1000</v>
      </c>
      <c r="F131" s="2651"/>
      <c r="G131" s="2652"/>
      <c r="H131" s="2650">
        <f>H113+H116+H119+H122</f>
        <v>0</v>
      </c>
      <c r="I131" s="2651"/>
      <c r="J131" s="2652"/>
      <c r="K131" s="2650">
        <f>K113+K116+K119+K122</f>
        <v>0</v>
      </c>
      <c r="L131" s="2651"/>
      <c r="M131" s="2652"/>
      <c r="N131" s="2650">
        <f>N113+N116+N119+N122</f>
        <v>0</v>
      </c>
      <c r="O131" s="2651"/>
      <c r="P131" s="2651"/>
      <c r="Q131" s="2682">
        <f>Q113+Q116+Q119+Q122</f>
        <v>0</v>
      </c>
      <c r="R131" s="2651"/>
      <c r="S131" s="2652"/>
      <c r="T131" s="2650">
        <f>T113+T116+T119+T122</f>
        <v>0</v>
      </c>
      <c r="U131" s="2651"/>
      <c r="V131" s="2652"/>
      <c r="W131" s="2650">
        <f>W113+W116+W119+W122</f>
        <v>0</v>
      </c>
      <c r="X131" s="2651"/>
      <c r="Y131" s="2653"/>
      <c r="Z131" s="186"/>
      <c r="AA131" s="186"/>
      <c r="AB131" s="186"/>
      <c r="AC131" s="186"/>
      <c r="AD131" s="186"/>
      <c r="AE131" s="186"/>
      <c r="AF131" s="186"/>
      <c r="AG131" s="573"/>
      <c r="AH131" s="186"/>
      <c r="AI131" s="48"/>
      <c r="AJ131" s="48"/>
      <c r="AK131" s="48"/>
      <c r="AL131" s="48"/>
      <c r="AM131" s="48"/>
      <c r="AN131" s="48"/>
      <c r="AO131" s="48"/>
      <c r="AP131" s="573" t="str">
        <f>CONCATENATE(C131,AA129)</f>
        <v>IVAANNO   2024 + 2023 + 2022 + 2021</v>
      </c>
      <c r="AQ131" s="186">
        <v>23</v>
      </c>
      <c r="AR131" s="48"/>
      <c r="AS131" s="48"/>
    </row>
    <row r="132" spans="1:45" ht="18" hidden="1" customHeight="1" x14ac:dyDescent="0.2">
      <c r="A132" s="48"/>
      <c r="B132" s="186"/>
      <c r="C132" s="2680" t="s">
        <v>193</v>
      </c>
      <c r="D132" s="2681"/>
      <c r="E132" s="2689">
        <f ca="1">E114+E117</f>
        <v>10000</v>
      </c>
      <c r="F132" s="2685"/>
      <c r="G132" s="2687"/>
      <c r="H132" s="2684">
        <f ca="1">H114+H117</f>
        <v>0</v>
      </c>
      <c r="I132" s="2685"/>
      <c r="J132" s="2687"/>
      <c r="K132" s="2684">
        <f ca="1">K114+K117</f>
        <v>0</v>
      </c>
      <c r="L132" s="2685"/>
      <c r="M132" s="2687"/>
      <c r="N132" s="2684">
        <f ca="1">N114+N117</f>
        <v>0</v>
      </c>
      <c r="O132" s="2685"/>
      <c r="P132" s="2685"/>
      <c r="Q132" s="2686">
        <f ca="1">Q114+Q117</f>
        <v>0</v>
      </c>
      <c r="R132" s="2685"/>
      <c r="S132" s="2687"/>
      <c r="T132" s="2684">
        <f ca="1">T114+T117</f>
        <v>0</v>
      </c>
      <c r="U132" s="2685"/>
      <c r="V132" s="2687"/>
      <c r="W132" s="2684">
        <f ca="1">W114+W117</f>
        <v>0</v>
      </c>
      <c r="X132" s="2685"/>
      <c r="Y132" s="2688"/>
      <c r="Z132" s="186"/>
      <c r="AA132" s="150" t="str">
        <f>GEN!I227</f>
        <v>ANNO   2023 + 2022</v>
      </c>
      <c r="AB132" s="186"/>
      <c r="AC132" s="186"/>
      <c r="AD132" s="186"/>
      <c r="AE132" s="186"/>
      <c r="AF132" s="186"/>
      <c r="AG132" s="573"/>
      <c r="AH132" s="186"/>
      <c r="AI132" s="48"/>
      <c r="AJ132" s="48"/>
      <c r="AK132" s="48"/>
      <c r="AL132" s="48"/>
      <c r="AM132" s="48"/>
      <c r="AN132" s="48"/>
      <c r="AO132" s="48"/>
      <c r="AP132" s="573" t="str">
        <f>CONCATENATE(C132,AA132)</f>
        <v>LORDOANNO   2023 + 2022</v>
      </c>
      <c r="AQ132" s="186">
        <v>24</v>
      </c>
      <c r="AR132" s="48"/>
      <c r="AS132" s="48"/>
    </row>
    <row r="133" spans="1:45" ht="18" hidden="1" customHeight="1" x14ac:dyDescent="0.2">
      <c r="A133" s="48"/>
      <c r="B133" s="186"/>
      <c r="C133" s="2680" t="s">
        <v>194</v>
      </c>
      <c r="D133" s="2681"/>
      <c r="E133" s="2003">
        <f>E115+E118</f>
        <v>9000</v>
      </c>
      <c r="F133" s="1589"/>
      <c r="G133" s="1590"/>
      <c r="H133" s="1588">
        <f>H115+H118</f>
        <v>0</v>
      </c>
      <c r="I133" s="1589"/>
      <c r="J133" s="1590"/>
      <c r="K133" s="1588">
        <f>K115+K118</f>
        <v>0</v>
      </c>
      <c r="L133" s="1589"/>
      <c r="M133" s="1590"/>
      <c r="N133" s="1588">
        <f>N115+N118</f>
        <v>0</v>
      </c>
      <c r="O133" s="1589"/>
      <c r="P133" s="1589"/>
      <c r="Q133" s="2654">
        <f>Q115+Q118</f>
        <v>0</v>
      </c>
      <c r="R133" s="1589"/>
      <c r="S133" s="1590"/>
      <c r="T133" s="1588">
        <f>T115+T118</f>
        <v>0</v>
      </c>
      <c r="U133" s="1589"/>
      <c r="V133" s="1590"/>
      <c r="W133" s="1588">
        <f>W115+W118</f>
        <v>0</v>
      </c>
      <c r="X133" s="1589"/>
      <c r="Y133" s="2004"/>
      <c r="Z133" s="186"/>
      <c r="AA133" s="186"/>
      <c r="AB133" s="186"/>
      <c r="AC133" s="186"/>
      <c r="AD133" s="186"/>
      <c r="AE133" s="186"/>
      <c r="AF133" s="186"/>
      <c r="AG133" s="573"/>
      <c r="AH133" s="186"/>
      <c r="AI133" s="48"/>
      <c r="AJ133" s="48"/>
      <c r="AK133" s="48"/>
      <c r="AL133" s="48"/>
      <c r="AM133" s="48"/>
      <c r="AN133" s="48"/>
      <c r="AO133" s="48"/>
      <c r="AP133" s="573" t="str">
        <f>CONCATENATE(C133,AA132)</f>
        <v>NETTOANNO   2023 + 2022</v>
      </c>
      <c r="AQ133" s="186">
        <v>25</v>
      </c>
      <c r="AR133" s="48"/>
      <c r="AS133" s="48"/>
    </row>
    <row r="134" spans="1:45" ht="18" hidden="1" customHeight="1" x14ac:dyDescent="0.2">
      <c r="A134" s="48"/>
      <c r="B134" s="186"/>
      <c r="C134" s="2676" t="s">
        <v>195</v>
      </c>
      <c r="D134" s="2677"/>
      <c r="E134" s="2683">
        <f>E116+E119</f>
        <v>1000</v>
      </c>
      <c r="F134" s="2651"/>
      <c r="G134" s="2652"/>
      <c r="H134" s="2650">
        <f>H116+H119</f>
        <v>0</v>
      </c>
      <c r="I134" s="2651"/>
      <c r="J134" s="2652"/>
      <c r="K134" s="2650">
        <f>K116+K119</f>
        <v>0</v>
      </c>
      <c r="L134" s="2651"/>
      <c r="M134" s="2652"/>
      <c r="N134" s="2650">
        <f>N116+N119</f>
        <v>0</v>
      </c>
      <c r="O134" s="2651"/>
      <c r="P134" s="2651"/>
      <c r="Q134" s="2682">
        <f>Q116+Q119</f>
        <v>0</v>
      </c>
      <c r="R134" s="2651"/>
      <c r="S134" s="2652"/>
      <c r="T134" s="2650">
        <f>T116+T119</f>
        <v>0</v>
      </c>
      <c r="U134" s="2651"/>
      <c r="V134" s="2652"/>
      <c r="W134" s="2650">
        <f>W116+W119</f>
        <v>0</v>
      </c>
      <c r="X134" s="2651"/>
      <c r="Y134" s="2653"/>
      <c r="Z134" s="186"/>
      <c r="AA134" s="186"/>
      <c r="AB134" s="186"/>
      <c r="AC134" s="186"/>
      <c r="AD134" s="186"/>
      <c r="AE134" s="186"/>
      <c r="AF134" s="186"/>
      <c r="AG134" s="573"/>
      <c r="AH134" s="186"/>
      <c r="AI134" s="48"/>
      <c r="AJ134" s="48"/>
      <c r="AK134" s="48"/>
      <c r="AL134" s="48"/>
      <c r="AM134" s="48"/>
      <c r="AN134" s="48"/>
      <c r="AO134" s="48"/>
      <c r="AP134" s="573" t="str">
        <f>CONCATENATE(C134,AA132)</f>
        <v>IVAANNO   2023 + 2022</v>
      </c>
      <c r="AQ134" s="186">
        <v>26</v>
      </c>
      <c r="AR134" s="48"/>
      <c r="AS134" s="48"/>
    </row>
    <row r="135" spans="1:45" ht="18" hidden="1" customHeight="1" x14ac:dyDescent="0.2">
      <c r="A135" s="48"/>
      <c r="B135" s="186"/>
      <c r="C135" s="2680" t="s">
        <v>193</v>
      </c>
      <c r="D135" s="2681"/>
      <c r="E135" s="2689">
        <f ca="1">E114+E117+E120</f>
        <v>10000</v>
      </c>
      <c r="F135" s="2685"/>
      <c r="G135" s="2687"/>
      <c r="H135" s="2684">
        <f ca="1">H114+H117+H120</f>
        <v>0</v>
      </c>
      <c r="I135" s="2685"/>
      <c r="J135" s="2687"/>
      <c r="K135" s="2684">
        <f ca="1">K114+K117+K120</f>
        <v>0</v>
      </c>
      <c r="L135" s="2685"/>
      <c r="M135" s="2687"/>
      <c r="N135" s="2684">
        <f ca="1">N114+N117+N120</f>
        <v>0</v>
      </c>
      <c r="O135" s="2685"/>
      <c r="P135" s="2685"/>
      <c r="Q135" s="2686">
        <f ca="1">Q114+Q117+Q120</f>
        <v>0</v>
      </c>
      <c r="R135" s="2685"/>
      <c r="S135" s="2687"/>
      <c r="T135" s="2684">
        <f ca="1">T114+T117+T120</f>
        <v>0</v>
      </c>
      <c r="U135" s="2685"/>
      <c r="V135" s="2687"/>
      <c r="W135" s="2684">
        <f ca="1">W114+W117+W120</f>
        <v>0</v>
      </c>
      <c r="X135" s="2685"/>
      <c r="Y135" s="2688"/>
      <c r="Z135" s="186"/>
      <c r="AA135" s="150" t="str">
        <f>GEN!I228</f>
        <v>ANNO   2023 + 2022 + 2021</v>
      </c>
      <c r="AB135" s="186"/>
      <c r="AC135" s="186"/>
      <c r="AD135" s="186"/>
      <c r="AE135" s="186"/>
      <c r="AF135" s="186"/>
      <c r="AG135" s="573"/>
      <c r="AH135" s="186"/>
      <c r="AI135" s="48"/>
      <c r="AJ135" s="48"/>
      <c r="AK135" s="48"/>
      <c r="AL135" s="48"/>
      <c r="AM135" s="48"/>
      <c r="AN135" s="48"/>
      <c r="AO135" s="48"/>
      <c r="AP135" s="573" t="str">
        <f>CONCATENATE(C135,AA135)</f>
        <v>LORDOANNO   2023 + 2022 + 2021</v>
      </c>
      <c r="AQ135" s="186">
        <v>27</v>
      </c>
      <c r="AR135" s="48"/>
      <c r="AS135" s="48"/>
    </row>
    <row r="136" spans="1:45" ht="18" hidden="1" customHeight="1" x14ac:dyDescent="0.2">
      <c r="A136" s="48"/>
      <c r="B136" s="186"/>
      <c r="C136" s="2680" t="s">
        <v>194</v>
      </c>
      <c r="D136" s="2681"/>
      <c r="E136" s="2003">
        <f>E115+E118+E121</f>
        <v>9000</v>
      </c>
      <c r="F136" s="1589"/>
      <c r="G136" s="1590"/>
      <c r="H136" s="1588">
        <f>H115+H118+H121</f>
        <v>0</v>
      </c>
      <c r="I136" s="1589"/>
      <c r="J136" s="1590"/>
      <c r="K136" s="1588">
        <f>K115+K118+K121</f>
        <v>0</v>
      </c>
      <c r="L136" s="1589"/>
      <c r="M136" s="1590"/>
      <c r="N136" s="1588">
        <f>N115+N118+N121</f>
        <v>0</v>
      </c>
      <c r="O136" s="1589"/>
      <c r="P136" s="1589"/>
      <c r="Q136" s="2654">
        <f>Q115+Q118+Q121</f>
        <v>0</v>
      </c>
      <c r="R136" s="1589"/>
      <c r="S136" s="1590"/>
      <c r="T136" s="1588">
        <f>T115+T118+T121</f>
        <v>0</v>
      </c>
      <c r="U136" s="1589"/>
      <c r="V136" s="1590"/>
      <c r="W136" s="1588">
        <f>W115+W118+W121</f>
        <v>0</v>
      </c>
      <c r="X136" s="1589"/>
      <c r="Y136" s="2004"/>
      <c r="Z136" s="186"/>
      <c r="AA136" s="186"/>
      <c r="AB136" s="186"/>
      <c r="AC136" s="186"/>
      <c r="AD136" s="186"/>
      <c r="AE136" s="186"/>
      <c r="AF136" s="186"/>
      <c r="AG136" s="573"/>
      <c r="AH136" s="186"/>
      <c r="AI136" s="48"/>
      <c r="AJ136" s="48"/>
      <c r="AK136" s="48"/>
      <c r="AL136" s="48"/>
      <c r="AM136" s="48"/>
      <c r="AN136" s="48"/>
      <c r="AO136" s="48"/>
      <c r="AP136" s="573" t="str">
        <f>CONCATENATE(C136,AA135)</f>
        <v>NETTOANNO   2023 + 2022 + 2021</v>
      </c>
      <c r="AQ136" s="186">
        <v>28</v>
      </c>
      <c r="AR136" s="48"/>
      <c r="AS136" s="48"/>
    </row>
    <row r="137" spans="1:45" ht="18" hidden="1" customHeight="1" x14ac:dyDescent="0.2">
      <c r="A137" s="48"/>
      <c r="B137" s="186"/>
      <c r="C137" s="2676" t="s">
        <v>195</v>
      </c>
      <c r="D137" s="2677"/>
      <c r="E137" s="2683">
        <f>E116+E119+E122</f>
        <v>1000</v>
      </c>
      <c r="F137" s="2651"/>
      <c r="G137" s="2652"/>
      <c r="H137" s="2650">
        <f>H116+H119+H122</f>
        <v>0</v>
      </c>
      <c r="I137" s="2651"/>
      <c r="J137" s="2652"/>
      <c r="K137" s="2650">
        <f>K116+K119+K122</f>
        <v>0</v>
      </c>
      <c r="L137" s="2651"/>
      <c r="M137" s="2652"/>
      <c r="N137" s="2650">
        <f>N116+N119+N122</f>
        <v>0</v>
      </c>
      <c r="O137" s="2651"/>
      <c r="P137" s="2651"/>
      <c r="Q137" s="2682">
        <f>Q116+Q119+Q122</f>
        <v>0</v>
      </c>
      <c r="R137" s="2651"/>
      <c r="S137" s="2652"/>
      <c r="T137" s="2650">
        <f>T116+T119+T122</f>
        <v>0</v>
      </c>
      <c r="U137" s="2651"/>
      <c r="V137" s="2652"/>
      <c r="W137" s="2650">
        <f>W116+W119+W122</f>
        <v>0</v>
      </c>
      <c r="X137" s="2651"/>
      <c r="Y137" s="2653"/>
      <c r="Z137" s="186"/>
      <c r="AA137" s="186"/>
      <c r="AB137" s="186"/>
      <c r="AC137" s="186"/>
      <c r="AD137" s="186"/>
      <c r="AE137" s="186"/>
      <c r="AF137" s="186"/>
      <c r="AG137" s="573"/>
      <c r="AH137" s="186"/>
      <c r="AI137" s="48"/>
      <c r="AJ137" s="48"/>
      <c r="AK137" s="48"/>
      <c r="AL137" s="48"/>
      <c r="AM137" s="48"/>
      <c r="AN137" s="48"/>
      <c r="AO137" s="48"/>
      <c r="AP137" s="573" t="str">
        <f>CONCATENATE(C137,AA135)</f>
        <v>IVAANNO   2023 + 2022 + 2021</v>
      </c>
      <c r="AQ137" s="186">
        <v>29</v>
      </c>
      <c r="AR137" s="48"/>
      <c r="AS137" s="48"/>
    </row>
    <row r="138" spans="1:45" ht="18" hidden="1" customHeight="1" x14ac:dyDescent="0.2">
      <c r="A138" s="48"/>
      <c r="B138" s="186"/>
      <c r="C138" s="2680" t="s">
        <v>193</v>
      </c>
      <c r="D138" s="2681"/>
      <c r="E138" s="2689">
        <f ca="1">E117+E120</f>
        <v>0</v>
      </c>
      <c r="F138" s="2685"/>
      <c r="G138" s="2687"/>
      <c r="H138" s="2684">
        <f ca="1">H117+H120</f>
        <v>0</v>
      </c>
      <c r="I138" s="2685"/>
      <c r="J138" s="2687"/>
      <c r="K138" s="2684">
        <f ca="1">K117+K120</f>
        <v>0</v>
      </c>
      <c r="L138" s="2685"/>
      <c r="M138" s="2687"/>
      <c r="N138" s="2684">
        <f ca="1">N117+N120</f>
        <v>0</v>
      </c>
      <c r="O138" s="2685"/>
      <c r="P138" s="2685"/>
      <c r="Q138" s="2686">
        <f ca="1">Q117+Q120</f>
        <v>0</v>
      </c>
      <c r="R138" s="2685"/>
      <c r="S138" s="2687"/>
      <c r="T138" s="2684">
        <f ca="1">T117+T120</f>
        <v>0</v>
      </c>
      <c r="U138" s="2685"/>
      <c r="V138" s="2687"/>
      <c r="W138" s="2684">
        <f ca="1">W117+W120</f>
        <v>0</v>
      </c>
      <c r="X138" s="2685"/>
      <c r="Y138" s="2688"/>
      <c r="Z138" s="186"/>
      <c r="AA138" s="150" t="str">
        <f>GEN!I229</f>
        <v>ANNO   2022 + 2021</v>
      </c>
      <c r="AB138" s="186"/>
      <c r="AC138" s="186"/>
      <c r="AD138" s="186"/>
      <c r="AE138" s="186"/>
      <c r="AF138" s="186"/>
      <c r="AG138" s="573"/>
      <c r="AH138" s="186"/>
      <c r="AI138" s="48"/>
      <c r="AJ138" s="48"/>
      <c r="AK138" s="48"/>
      <c r="AL138" s="48"/>
      <c r="AM138" s="48"/>
      <c r="AN138" s="48"/>
      <c r="AO138" s="48"/>
      <c r="AP138" s="573" t="str">
        <f>CONCATENATE(C138,AA138)</f>
        <v>LORDOANNO   2022 + 2021</v>
      </c>
      <c r="AQ138" s="186">
        <v>30</v>
      </c>
      <c r="AR138" s="48"/>
      <c r="AS138" s="48"/>
    </row>
    <row r="139" spans="1:45" ht="18" hidden="1" customHeight="1" x14ac:dyDescent="0.2">
      <c r="A139" s="48"/>
      <c r="B139" s="186"/>
      <c r="C139" s="2680" t="s">
        <v>194</v>
      </c>
      <c r="D139" s="2681"/>
      <c r="E139" s="2003">
        <f>E118+E121</f>
        <v>0</v>
      </c>
      <c r="F139" s="1589"/>
      <c r="G139" s="1590"/>
      <c r="H139" s="1588">
        <f>H118+H121</f>
        <v>0</v>
      </c>
      <c r="I139" s="1589"/>
      <c r="J139" s="1590"/>
      <c r="K139" s="1588">
        <f>K118+K121</f>
        <v>0</v>
      </c>
      <c r="L139" s="1589"/>
      <c r="M139" s="1590"/>
      <c r="N139" s="1588">
        <f>N118+N121</f>
        <v>0</v>
      </c>
      <c r="O139" s="1589"/>
      <c r="P139" s="1589"/>
      <c r="Q139" s="2654">
        <f>Q118+Q121</f>
        <v>0</v>
      </c>
      <c r="R139" s="1589"/>
      <c r="S139" s="1590"/>
      <c r="T139" s="1588">
        <f>T118+T121</f>
        <v>0</v>
      </c>
      <c r="U139" s="1589"/>
      <c r="V139" s="1590"/>
      <c r="W139" s="1588">
        <f>W118+W121</f>
        <v>0</v>
      </c>
      <c r="X139" s="1589"/>
      <c r="Y139" s="2004"/>
      <c r="Z139" s="186"/>
      <c r="AA139" s="186"/>
      <c r="AB139" s="186"/>
      <c r="AC139" s="186"/>
      <c r="AD139" s="186"/>
      <c r="AE139" s="186"/>
      <c r="AF139" s="186"/>
      <c r="AG139" s="573"/>
      <c r="AH139" s="186"/>
      <c r="AI139" s="48"/>
      <c r="AJ139" s="48"/>
      <c r="AK139" s="48"/>
      <c r="AL139" s="48"/>
      <c r="AM139" s="48"/>
      <c r="AN139" s="48"/>
      <c r="AO139" s="48"/>
      <c r="AP139" s="573" t="str">
        <f>CONCATENATE(C139,AA138)</f>
        <v>NETTOANNO   2022 + 2021</v>
      </c>
      <c r="AQ139" s="186">
        <v>31</v>
      </c>
      <c r="AR139" s="48"/>
      <c r="AS139" s="48"/>
    </row>
    <row r="140" spans="1:45" ht="18" hidden="1" customHeight="1" x14ac:dyDescent="0.2">
      <c r="A140" s="48"/>
      <c r="B140" s="186"/>
      <c r="C140" s="2676" t="s">
        <v>195</v>
      </c>
      <c r="D140" s="2677"/>
      <c r="E140" s="2683">
        <f>E119+E122</f>
        <v>0</v>
      </c>
      <c r="F140" s="2651"/>
      <c r="G140" s="2652"/>
      <c r="H140" s="2650">
        <f>H119+H122</f>
        <v>0</v>
      </c>
      <c r="I140" s="2651"/>
      <c r="J140" s="2652"/>
      <c r="K140" s="2650">
        <f>K119+K122</f>
        <v>0</v>
      </c>
      <c r="L140" s="2651"/>
      <c r="M140" s="2652"/>
      <c r="N140" s="2650">
        <f>N119+N122</f>
        <v>0</v>
      </c>
      <c r="O140" s="2651"/>
      <c r="P140" s="2651"/>
      <c r="Q140" s="2682">
        <f>Q119+Q122</f>
        <v>0</v>
      </c>
      <c r="R140" s="2651"/>
      <c r="S140" s="2652"/>
      <c r="T140" s="2650">
        <f>T119+T122</f>
        <v>0</v>
      </c>
      <c r="U140" s="2651"/>
      <c r="V140" s="2652"/>
      <c r="W140" s="2650">
        <f>W119+W122</f>
        <v>0</v>
      </c>
      <c r="X140" s="2651"/>
      <c r="Y140" s="2653"/>
      <c r="Z140" s="186"/>
      <c r="AA140" s="186"/>
      <c r="AB140" s="186"/>
      <c r="AC140" s="186"/>
      <c r="AD140" s="186"/>
      <c r="AE140" s="186"/>
      <c r="AF140" s="186"/>
      <c r="AG140" s="573"/>
      <c r="AH140" s="186"/>
      <c r="AI140" s="48"/>
      <c r="AJ140" s="48"/>
      <c r="AK140" s="48"/>
      <c r="AL140" s="48"/>
      <c r="AM140" s="48"/>
      <c r="AN140" s="48"/>
      <c r="AO140" s="48"/>
      <c r="AP140" s="573" t="str">
        <f>CONCATENATE(C140,AA138)</f>
        <v>IVAANNO   2022 + 2021</v>
      </c>
      <c r="AQ140" s="186">
        <v>32</v>
      </c>
      <c r="AR140" s="48"/>
      <c r="AS140" s="48"/>
    </row>
    <row r="141" spans="1:45" ht="18" hidden="1" customHeight="1" x14ac:dyDescent="0.2">
      <c r="A141" s="48"/>
      <c r="B141" s="186"/>
      <c r="C141" s="48"/>
      <c r="D141" s="48"/>
      <c r="E141" s="185"/>
      <c r="F141" s="185"/>
      <c r="G141" s="185"/>
      <c r="H141" s="185"/>
      <c r="I141" s="185"/>
      <c r="J141" s="185"/>
      <c r="K141" s="185"/>
      <c r="L141" s="185"/>
      <c r="M141" s="185"/>
      <c r="N141" s="185"/>
      <c r="O141" s="185"/>
      <c r="P141" s="185"/>
      <c r="Q141" s="185"/>
      <c r="R141" s="185"/>
      <c r="S141" s="185"/>
      <c r="T141" s="185"/>
      <c r="U141" s="185"/>
      <c r="V141" s="185"/>
      <c r="W141" s="185"/>
      <c r="X141" s="185"/>
      <c r="Y141" s="185"/>
      <c r="Z141" s="185"/>
      <c r="AA141" s="185"/>
      <c r="AB141" s="185"/>
      <c r="AC141" s="185"/>
      <c r="AD141" s="186"/>
      <c r="AE141" s="186"/>
      <c r="AF141" s="186"/>
      <c r="AG141" s="186"/>
      <c r="AH141" s="186"/>
      <c r="AI141" s="186"/>
      <c r="AJ141" s="186"/>
      <c r="AK141" s="186"/>
      <c r="AL141" s="186"/>
      <c r="AM141" s="186"/>
      <c r="AN141" s="186"/>
      <c r="AO141" s="48"/>
      <c r="AP141" s="48"/>
      <c r="AQ141" s="48"/>
      <c r="AR141" s="48"/>
      <c r="AS141" s="48"/>
    </row>
    <row r="142" spans="1:45" hidden="1" x14ac:dyDescent="0.2">
      <c r="A142" s="48"/>
      <c r="B142" s="48"/>
      <c r="C142" s="166">
        <f>IF(Presentazione!K83="",-1,IF(Presentazione!K83=Presentazione!J165,1,-1))</f>
        <v>-1</v>
      </c>
      <c r="D142" s="166" t="s">
        <v>251</v>
      </c>
      <c r="E142" s="186"/>
      <c r="F142" s="186"/>
      <c r="G142" s="186"/>
      <c r="H142" s="522">
        <f ca="1">IF(Presentazione!C85&gt;0,1,1)</f>
        <v>1</v>
      </c>
      <c r="I142" s="522" t="s">
        <v>252</v>
      </c>
      <c r="J142" s="186"/>
      <c r="K142" s="48"/>
      <c r="L142" s="186"/>
      <c r="M142" s="186"/>
      <c r="N142" s="186"/>
      <c r="O142" s="522">
        <f>Presentazione!K159</f>
        <v>18</v>
      </c>
      <c r="P142" s="522" t="s">
        <v>170</v>
      </c>
      <c r="Q142" s="186"/>
      <c r="R142" s="186"/>
      <c r="S142" s="186"/>
      <c r="T142" s="186"/>
      <c r="U142" s="186"/>
      <c r="V142" s="199">
        <v>1</v>
      </c>
      <c r="W142" s="170" t="s">
        <v>398</v>
      </c>
      <c r="X142" s="186"/>
      <c r="Y142" s="186"/>
      <c r="Z142" s="186"/>
      <c r="AA142" s="186"/>
      <c r="AB142" s="1724" t="b">
        <f>Presentazione!F156</f>
        <v>1</v>
      </c>
      <c r="AC142" s="1724"/>
      <c r="AD142" s="522" t="s">
        <v>592</v>
      </c>
      <c r="AE142" s="48"/>
      <c r="AF142" s="48"/>
      <c r="AG142" s="48"/>
      <c r="AH142" s="48"/>
      <c r="AI142" s="48"/>
      <c r="AJ142" s="48"/>
      <c r="AK142" s="48"/>
      <c r="AL142" s="48"/>
      <c r="AM142" s="48"/>
      <c r="AN142" s="48"/>
      <c r="AO142" s="48"/>
      <c r="AP142" s="48"/>
      <c r="AQ142" s="48"/>
      <c r="AR142" s="48"/>
      <c r="AS142" s="48"/>
    </row>
    <row r="143" spans="1:45" hidden="1" x14ac:dyDescent="0.2">
      <c r="A143" s="48"/>
      <c r="B143" s="48"/>
      <c r="C143" s="188"/>
      <c r="D143" s="166" t="s">
        <v>575</v>
      </c>
      <c r="E143" s="188"/>
      <c r="F143" s="560">
        <f>IF(C142=1,1,MONTH(Presentazione!$Q$13))</f>
        <v>1</v>
      </c>
      <c r="G143" s="560">
        <f>IF(C142=1,12,MONTH(Presentazione!$R$13))</f>
        <v>3</v>
      </c>
      <c r="H143" s="188"/>
      <c r="I143" s="166" t="s">
        <v>661</v>
      </c>
      <c r="J143" s="188"/>
      <c r="K143" s="166" t="s">
        <v>664</v>
      </c>
      <c r="L143" s="186"/>
      <c r="M143" s="186"/>
      <c r="N143" s="186"/>
      <c r="O143" s="48"/>
      <c r="P143" s="166" t="s">
        <v>660</v>
      </c>
      <c r="Q143" s="48"/>
      <c r="R143" s="48"/>
      <c r="S143" s="166" t="s">
        <v>665</v>
      </c>
      <c r="T143" s="186"/>
      <c r="U143" s="186"/>
      <c r="V143" s="186"/>
      <c r="W143" s="935">
        <f ca="1">Presentazione!C85</f>
        <v>0</v>
      </c>
      <c r="X143" s="935" t="s">
        <v>250</v>
      </c>
      <c r="Y143" s="186"/>
      <c r="Z143" s="186"/>
      <c r="AA143" s="186"/>
      <c r="AB143" s="186"/>
      <c r="AC143" s="186"/>
      <c r="AD143" s="48"/>
      <c r="AE143" s="48"/>
      <c r="AF143" s="48"/>
      <c r="AG143" s="48"/>
      <c r="AH143" s="48"/>
      <c r="AI143" s="48"/>
      <c r="AJ143" s="48"/>
      <c r="AK143" s="48"/>
      <c r="AL143" s="48"/>
      <c r="AM143" s="48"/>
      <c r="AN143" s="48"/>
      <c r="AO143" s="48"/>
      <c r="AP143" s="48"/>
      <c r="AQ143" s="48"/>
      <c r="AR143" s="48"/>
      <c r="AS143" s="48"/>
    </row>
    <row r="144" spans="1:45" ht="30" customHeight="1" x14ac:dyDescent="0.2">
      <c r="A144" s="48"/>
      <c r="B144" s="48"/>
      <c r="C144" s="188"/>
      <c r="D144" s="188"/>
      <c r="E144" s="188"/>
      <c r="F144" s="188"/>
      <c r="G144" s="188"/>
      <c r="H144" s="188"/>
      <c r="I144" s="188"/>
      <c r="J144" s="188"/>
      <c r="K144" s="188"/>
      <c r="L144" s="186"/>
      <c r="M144" s="186"/>
      <c r="N144" s="186"/>
      <c r="O144" s="48"/>
      <c r="P144" s="48"/>
      <c r="Q144" s="48"/>
      <c r="R144" s="48"/>
      <c r="S144" s="48"/>
      <c r="T144" s="48"/>
      <c r="U144" s="186"/>
      <c r="V144" s="186"/>
      <c r="W144" s="186"/>
      <c r="X144" s="186"/>
      <c r="Y144" s="186"/>
      <c r="Z144" s="186"/>
      <c r="AA144" s="186"/>
      <c r="AB144" s="186"/>
      <c r="AC144" s="186"/>
      <c r="AD144" s="48"/>
      <c r="AE144" s="48"/>
      <c r="AF144" s="48"/>
      <c r="AG144" s="48"/>
      <c r="AH144" s="48"/>
      <c r="AI144" s="48"/>
      <c r="AJ144" s="48"/>
      <c r="AK144" s="48"/>
      <c r="AL144" s="48"/>
      <c r="AM144" s="48"/>
      <c r="AN144" s="48"/>
      <c r="AO144" s="48"/>
      <c r="AP144" s="48"/>
      <c r="AQ144" s="48"/>
      <c r="AR144" s="48"/>
      <c r="AS144" s="48"/>
    </row>
    <row r="145" spans="1:45" ht="15.75" hidden="1" customHeight="1" x14ac:dyDescent="0.2">
      <c r="A145" s="48"/>
      <c r="B145" s="48"/>
      <c r="C145" s="820" t="s">
        <v>87</v>
      </c>
      <c r="D145" s="188"/>
      <c r="E145" s="188"/>
      <c r="F145" s="188"/>
      <c r="G145" s="188"/>
      <c r="H145" s="188"/>
      <c r="I145" s="188"/>
      <c r="J145" s="188"/>
      <c r="K145" s="188"/>
      <c r="L145" s="186"/>
      <c r="M145" s="186"/>
      <c r="N145" s="186"/>
      <c r="O145" s="847"/>
      <c r="P145" s="847"/>
      <c r="Q145" s="186"/>
      <c r="R145" s="186"/>
      <c r="S145" s="186"/>
      <c r="T145" s="186"/>
      <c r="U145" s="186"/>
      <c r="V145" s="186"/>
      <c r="W145" s="186"/>
      <c r="X145" s="186"/>
      <c r="Y145" s="186"/>
      <c r="Z145" s="186"/>
      <c r="AA145" s="186"/>
      <c r="AB145" s="186"/>
      <c r="AC145" s="186"/>
      <c r="AD145" s="48"/>
      <c r="AE145" s="48"/>
      <c r="AF145" s="48"/>
      <c r="AG145" s="48"/>
      <c r="AH145" s="48"/>
      <c r="AI145" s="48"/>
      <c r="AJ145" s="48"/>
      <c r="AK145" s="48"/>
      <c r="AL145" s="48"/>
      <c r="AM145" s="48"/>
      <c r="AN145" s="48"/>
      <c r="AO145" s="48"/>
      <c r="AP145" s="48"/>
      <c r="AQ145" s="48"/>
      <c r="AR145" s="48"/>
      <c r="AS145" s="48"/>
    </row>
    <row r="146" spans="1:45" ht="15.75" hidden="1" customHeight="1" x14ac:dyDescent="0.2">
      <c r="A146" s="48"/>
      <c r="B146" s="48"/>
      <c r="C146" s="174" t="s">
        <v>88</v>
      </c>
      <c r="D146" s="48"/>
      <c r="E146" s="48"/>
      <c r="F146" s="48"/>
      <c r="G146" s="48"/>
      <c r="H146" s="48"/>
      <c r="I146" s="48"/>
      <c r="J146" s="48"/>
      <c r="K146" s="48"/>
      <c r="L146" s="848"/>
      <c r="M146" s="848"/>
      <c r="N146" s="848"/>
      <c r="O146" s="848"/>
      <c r="P146" s="848"/>
      <c r="Q146" s="848"/>
      <c r="R146" s="848"/>
      <c r="S146" s="848"/>
      <c r="T146" s="848"/>
      <c r="U146" s="848"/>
      <c r="V146" s="848"/>
      <c r="W146" s="848"/>
      <c r="X146" s="848"/>
      <c r="Y146" s="848"/>
      <c r="Z146" s="848"/>
      <c r="AA146" s="848"/>
      <c r="AB146" s="848"/>
      <c r="AC146" s="848"/>
      <c r="AD146" s="48"/>
      <c r="AE146" s="48"/>
      <c r="AF146" s="48"/>
      <c r="AG146" s="48"/>
      <c r="AH146" s="48"/>
      <c r="AI146" s="48"/>
      <c r="AJ146" s="48"/>
      <c r="AK146" s="48"/>
      <c r="AL146" s="48"/>
      <c r="AM146" s="48"/>
      <c r="AN146" s="48"/>
      <c r="AO146" s="48"/>
      <c r="AP146" s="48"/>
      <c r="AQ146" s="48"/>
      <c r="AR146" s="48"/>
      <c r="AS146" s="48"/>
    </row>
    <row r="147" spans="1:45" ht="15.75" customHeight="1" x14ac:dyDescent="0.2">
      <c r="A147" s="48"/>
      <c r="B147" s="48"/>
      <c r="C147" s="174" t="s">
        <v>89</v>
      </c>
      <c r="D147" s="48"/>
      <c r="E147" s="48"/>
      <c r="F147" s="48"/>
      <c r="G147" s="48"/>
      <c r="H147" s="1321" t="s">
        <v>572</v>
      </c>
      <c r="I147" s="48"/>
      <c r="J147" s="48"/>
      <c r="K147" s="48"/>
      <c r="L147" s="48"/>
      <c r="M147" s="48"/>
      <c r="N147" s="48"/>
      <c r="O147" s="48"/>
      <c r="P147" s="48"/>
      <c r="Q147" s="48"/>
      <c r="R147" s="48"/>
      <c r="S147" s="48"/>
      <c r="T147" s="48"/>
      <c r="U147" s="48"/>
      <c r="V147" s="48"/>
      <c r="W147" s="48"/>
      <c r="X147" s="48"/>
      <c r="Y147" s="48"/>
      <c r="Z147" s="48"/>
      <c r="AA147" s="48"/>
      <c r="AB147" s="48"/>
      <c r="AC147" s="48"/>
      <c r="AD147" s="48"/>
      <c r="AE147" s="48"/>
      <c r="AF147" s="48"/>
      <c r="AG147" s="48"/>
      <c r="AH147" s="48"/>
      <c r="AI147" s="48"/>
      <c r="AJ147" s="48"/>
      <c r="AK147" s="48"/>
      <c r="AL147" s="48"/>
      <c r="AM147" s="48"/>
      <c r="AN147" s="48"/>
      <c r="AO147" s="48"/>
      <c r="AP147" s="48"/>
      <c r="AQ147" s="48"/>
      <c r="AR147" s="48"/>
      <c r="AS147" s="48"/>
    </row>
    <row r="148" spans="1:45" ht="15.75" hidden="1" customHeight="1" x14ac:dyDescent="0.2">
      <c r="A148" s="48"/>
      <c r="B148" s="48"/>
      <c r="C148" s="849" t="s">
        <v>663</v>
      </c>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row>
    <row r="149" spans="1:45" ht="15.75" hidden="1" customHeight="1" x14ac:dyDescent="0.2">
      <c r="A149" s="48"/>
      <c r="B149" s="48"/>
      <c r="C149" s="849"/>
      <c r="D149" s="48"/>
      <c r="E149" s="48"/>
      <c r="F149" s="48"/>
      <c r="G149" s="48"/>
      <c r="H149" s="48"/>
      <c r="I149" s="48"/>
      <c r="J149" s="1724" t="str">
        <f>J$9</f>
        <v>--</v>
      </c>
      <c r="K149" s="1724"/>
      <c r="L149" s="1724"/>
      <c r="M149" s="1724" t="str">
        <f>N$9</f>
        <v>--</v>
      </c>
      <c r="N149" s="1724"/>
      <c r="O149" s="1724"/>
      <c r="P149" s="1724" t="str">
        <f>R$9</f>
        <v>--</v>
      </c>
      <c r="Q149" s="1724"/>
      <c r="R149" s="1724"/>
      <c r="S149" s="1724" t="str">
        <f>V$9</f>
        <v>--</v>
      </c>
      <c r="T149" s="1724"/>
      <c r="U149" s="1724"/>
      <c r="V149" s="48"/>
      <c r="W149" s="48"/>
      <c r="X149" s="48"/>
      <c r="Y149" s="48"/>
      <c r="Z149" s="48"/>
      <c r="AA149" s="1724" t="str">
        <f>AA$9</f>
        <v/>
      </c>
      <c r="AB149" s="1724"/>
      <c r="AC149" s="1724"/>
      <c r="AD149" s="1724" t="str">
        <f>AE$9</f>
        <v/>
      </c>
      <c r="AE149" s="1724"/>
      <c r="AF149" s="1724"/>
      <c r="AG149" s="1724" t="str">
        <f>AI$9</f>
        <v/>
      </c>
      <c r="AH149" s="1724"/>
      <c r="AI149" s="1724"/>
      <c r="AJ149" s="48"/>
      <c r="AK149" s="48"/>
      <c r="AL149" s="48"/>
      <c r="AM149" s="48"/>
      <c r="AN149" s="48"/>
      <c r="AO149" s="48"/>
      <c r="AP149" s="48"/>
      <c r="AQ149" s="48"/>
      <c r="AR149" s="48"/>
      <c r="AS149" s="48"/>
    </row>
    <row r="150" spans="1:45" ht="22.5" hidden="1" customHeight="1" x14ac:dyDescent="0.2">
      <c r="A150" s="48"/>
      <c r="B150" s="48"/>
      <c r="C150" s="849"/>
      <c r="D150" s="48"/>
      <c r="E150" s="48"/>
      <c r="F150" s="48"/>
      <c r="G150" s="48"/>
      <c r="H150" s="48"/>
      <c r="I150" s="48"/>
      <c r="J150" s="2629" t="str">
        <f>J12</f>
        <v/>
      </c>
      <c r="K150" s="2630"/>
      <c r="L150" s="2630"/>
      <c r="M150" s="2629" t="str">
        <f>N12</f>
        <v/>
      </c>
      <c r="N150" s="2630"/>
      <c r="O150" s="2630"/>
      <c r="P150" s="2629" t="str">
        <f>R12</f>
        <v/>
      </c>
      <c r="Q150" s="2630"/>
      <c r="R150" s="2630"/>
      <c r="S150" s="2629" t="str">
        <f>V12</f>
        <v/>
      </c>
      <c r="T150" s="2630"/>
      <c r="U150" s="2630"/>
      <c r="V150" s="48"/>
      <c r="W150" s="48"/>
      <c r="X150" s="48"/>
      <c r="Y150" s="48"/>
      <c r="Z150" s="48"/>
      <c r="AA150" s="2629" t="str">
        <f>AA12</f>
        <v/>
      </c>
      <c r="AB150" s="2630"/>
      <c r="AC150" s="2630"/>
      <c r="AD150" s="2629" t="str">
        <f>AE12</f>
        <v/>
      </c>
      <c r="AE150" s="2630"/>
      <c r="AF150" s="2630"/>
      <c r="AG150" s="2629" t="str">
        <f>AI12</f>
        <v/>
      </c>
      <c r="AH150" s="2630"/>
      <c r="AI150" s="2630"/>
      <c r="AJ150" s="48"/>
      <c r="AK150" s="48"/>
      <c r="AL150" s="48"/>
      <c r="AM150" s="48"/>
      <c r="AN150" s="48"/>
      <c r="AO150" s="48"/>
      <c r="AP150" s="48"/>
      <c r="AQ150" s="48"/>
      <c r="AR150" s="48"/>
      <c r="AS150" s="48"/>
    </row>
    <row r="151" spans="1:45" ht="15.75" hidden="1" customHeight="1" x14ac:dyDescent="0.2">
      <c r="A151" s="48"/>
      <c r="B151" s="48"/>
      <c r="C151" s="871" t="str">
        <f>RIEPILOGO!$T$17</f>
        <v>ANNO 2024</v>
      </c>
      <c r="D151" s="48"/>
      <c r="E151" s="48"/>
      <c r="F151" s="48"/>
      <c r="G151" s="48"/>
      <c r="H151" s="48"/>
      <c r="I151" s="48"/>
      <c r="J151" s="2631" t="str">
        <f>J13</f>
        <v>- - - - - - -</v>
      </c>
      <c r="K151" s="2631"/>
      <c r="L151" s="2631"/>
      <c r="M151" s="2631" t="str">
        <f>N13</f>
        <v>- - - - - - -</v>
      </c>
      <c r="N151" s="2631"/>
      <c r="O151" s="2631"/>
      <c r="P151" s="2631" t="str">
        <f>R13</f>
        <v>- - - - - - -</v>
      </c>
      <c r="Q151" s="2631"/>
      <c r="R151" s="2631"/>
      <c r="S151" s="2631" t="str">
        <f>V13</f>
        <v>- - - - - - -</v>
      </c>
      <c r="T151" s="2631"/>
      <c r="U151" s="2631"/>
      <c r="V151" s="48"/>
      <c r="W151" s="48"/>
      <c r="X151" s="48"/>
      <c r="Y151" s="48"/>
      <c r="Z151" s="48"/>
      <c r="AA151" s="2631" t="str">
        <f>AA13</f>
        <v/>
      </c>
      <c r="AB151" s="2631"/>
      <c r="AC151" s="2631"/>
      <c r="AD151" s="2631" t="str">
        <f>AE13</f>
        <v/>
      </c>
      <c r="AE151" s="2631"/>
      <c r="AF151" s="2631"/>
      <c r="AG151" s="2631" t="str">
        <f>AI13</f>
        <v/>
      </c>
      <c r="AH151" s="2631"/>
      <c r="AI151" s="2631"/>
      <c r="AJ151" s="48"/>
      <c r="AK151" s="48"/>
      <c r="AL151" s="48"/>
      <c r="AM151" s="48"/>
      <c r="AN151" s="48"/>
      <c r="AO151" s="48"/>
      <c r="AP151" s="48"/>
      <c r="AQ151" s="48"/>
      <c r="AR151" s="48"/>
      <c r="AS151" s="48"/>
    </row>
    <row r="152" spans="1:45" ht="15.75" hidden="1" customHeight="1" x14ac:dyDescent="0.2">
      <c r="A152" s="48"/>
      <c r="B152" s="48"/>
      <c r="C152" s="849"/>
      <c r="D152" s="849"/>
      <c r="E152" s="48"/>
      <c r="F152" s="48"/>
      <c r="G152" s="48"/>
      <c r="H152" s="48"/>
      <c r="I152" s="48"/>
      <c r="J152" s="2628" t="str">
        <f>J14</f>
        <v/>
      </c>
      <c r="K152" s="2628"/>
      <c r="L152" s="2628"/>
      <c r="M152" s="2628" t="str">
        <f>N14</f>
        <v/>
      </c>
      <c r="N152" s="2628"/>
      <c r="O152" s="2628"/>
      <c r="P152" s="2628" t="str">
        <f>R14</f>
        <v/>
      </c>
      <c r="Q152" s="2628"/>
      <c r="R152" s="2628"/>
      <c r="S152" s="2628" t="str">
        <f>V14</f>
        <v/>
      </c>
      <c r="T152" s="2628"/>
      <c r="U152" s="2628"/>
      <c r="V152" s="48"/>
      <c r="W152" s="48"/>
      <c r="X152" s="48"/>
      <c r="Y152" s="48"/>
      <c r="Z152" s="48"/>
      <c r="AA152" s="2628" t="str">
        <f>AA14</f>
        <v/>
      </c>
      <c r="AB152" s="2628"/>
      <c r="AC152" s="2628"/>
      <c r="AD152" s="2628" t="str">
        <f>AE14</f>
        <v/>
      </c>
      <c r="AE152" s="2628"/>
      <c r="AF152" s="2628"/>
      <c r="AG152" s="2628" t="str">
        <f>AI14</f>
        <v/>
      </c>
      <c r="AH152" s="2628"/>
      <c r="AI152" s="2628"/>
      <c r="AJ152" s="48"/>
      <c r="AK152" s="48"/>
      <c r="AL152" s="48"/>
      <c r="AM152" s="48"/>
      <c r="AN152" s="48"/>
      <c r="AO152" s="48"/>
      <c r="AP152" s="48"/>
      <c r="AQ152" s="48"/>
      <c r="AR152" s="48"/>
      <c r="AS152" s="48"/>
    </row>
    <row r="153" spans="1:45" ht="18" hidden="1" customHeight="1" x14ac:dyDescent="0.2">
      <c r="A153" s="48"/>
      <c r="B153" s="48"/>
      <c r="C153" s="850" t="s">
        <v>228</v>
      </c>
      <c r="D153" s="851"/>
      <c r="E153" s="852"/>
      <c r="F153" s="852"/>
      <c r="G153" s="852"/>
      <c r="H153" s="2738" t="s">
        <v>193</v>
      </c>
      <c r="I153" s="2738"/>
      <c r="J153" s="2633" t="str">
        <f>IF($AO153=0,J154+J155,"")</f>
        <v/>
      </c>
      <c r="K153" s="2634"/>
      <c r="L153" s="2635"/>
      <c r="M153" s="2636" t="str">
        <f>IF($AO153=0,M154+M155,"")</f>
        <v/>
      </c>
      <c r="N153" s="2634"/>
      <c r="O153" s="2635"/>
      <c r="P153" s="2636" t="str">
        <f>IF($AO153=0,P154+P155,"")</f>
        <v/>
      </c>
      <c r="Q153" s="2634"/>
      <c r="R153" s="2635"/>
      <c r="S153" s="2636" t="str">
        <f>IF($AO153=0,S154+S155,"")</f>
        <v/>
      </c>
      <c r="T153" s="2634"/>
      <c r="U153" s="2637"/>
      <c r="V153" s="48"/>
      <c r="W153" s="1724"/>
      <c r="X153" s="1724"/>
      <c r="Y153" s="1724"/>
      <c r="Z153" s="48"/>
      <c r="AA153" s="2632" t="s">
        <v>667</v>
      </c>
      <c r="AB153" s="2632"/>
      <c r="AC153" s="2632"/>
      <c r="AD153" s="2632"/>
      <c r="AE153" s="2632"/>
      <c r="AF153" s="2632"/>
      <c r="AG153" s="2632"/>
      <c r="AH153" s="2632"/>
      <c r="AI153" s="2632"/>
      <c r="AJ153" s="48"/>
      <c r="AK153" s="136" t="s">
        <v>662</v>
      </c>
      <c r="AL153" s="48"/>
      <c r="AM153" s="224">
        <v>1</v>
      </c>
      <c r="AN153" s="614"/>
      <c r="AO153" s="224">
        <f>IF(AND(AM153&gt;=F$143,AM153&lt;=G$143),1,0)</f>
        <v>1</v>
      </c>
      <c r="AP153" s="48"/>
      <c r="AQ153" s="48"/>
      <c r="AR153" s="48"/>
      <c r="AS153" s="48"/>
    </row>
    <row r="154" spans="1:45" ht="15.75" hidden="1" customHeight="1" x14ac:dyDescent="0.2">
      <c r="A154" s="48"/>
      <c r="B154" s="48"/>
      <c r="C154" s="853" t="str">
        <f>IF(AO153=1,P$143,S$143)</f>
        <v>Foglio mensile</v>
      </c>
      <c r="D154" s="48"/>
      <c r="E154" s="48"/>
      <c r="F154" s="48"/>
      <c r="G154" s="48"/>
      <c r="H154" s="2742" t="s">
        <v>194</v>
      </c>
      <c r="I154" s="2742"/>
      <c r="J154" s="2743"/>
      <c r="K154" s="2639"/>
      <c r="L154" s="2744"/>
      <c r="M154" s="2638"/>
      <c r="N154" s="2639"/>
      <c r="O154" s="2744"/>
      <c r="P154" s="2638"/>
      <c r="Q154" s="2639"/>
      <c r="R154" s="2744"/>
      <c r="S154" s="2638"/>
      <c r="T154" s="2639"/>
      <c r="U154" s="2640"/>
      <c r="V154" s="2739"/>
      <c r="W154" s="2740"/>
      <c r="X154" s="2740"/>
      <c r="Y154" s="2740"/>
      <c r="Z154" s="2740"/>
      <c r="AA154" s="2758" t="s">
        <v>668</v>
      </c>
      <c r="AB154" s="2758"/>
      <c r="AC154" s="2758"/>
      <c r="AD154" s="2758"/>
      <c r="AE154" s="2758"/>
      <c r="AF154" s="2758"/>
      <c r="AG154" s="2758"/>
      <c r="AH154" s="2758"/>
      <c r="AI154" s="2758"/>
      <c r="AJ154" s="48"/>
      <c r="AK154" s="49"/>
      <c r="AL154" s="48"/>
      <c r="AM154" s="2755">
        <f>SUM(J153:U153)+SUM(AA153:AI153)</f>
        <v>0</v>
      </c>
      <c r="AN154" s="2755"/>
      <c r="AO154" s="2755"/>
      <c r="AP154" s="48"/>
      <c r="AQ154" s="48"/>
      <c r="AR154" s="48"/>
      <c r="AS154" s="48"/>
    </row>
    <row r="155" spans="1:45" ht="15.75" hidden="1" customHeight="1" x14ac:dyDescent="0.2">
      <c r="A155" s="48"/>
      <c r="B155" s="48"/>
      <c r="C155" s="854" t="str">
        <f>IF(AO153=1,I$143,K$143)</f>
        <v>ATTIVO</v>
      </c>
      <c r="D155" s="48"/>
      <c r="E155" s="48"/>
      <c r="F155" s="48"/>
      <c r="G155" s="48"/>
      <c r="H155" s="2737" t="s">
        <v>195</v>
      </c>
      <c r="I155" s="2737"/>
      <c r="J155" s="2621"/>
      <c r="K155" s="2622"/>
      <c r="L155" s="2623"/>
      <c r="M155" s="2624"/>
      <c r="N155" s="2622"/>
      <c r="O155" s="2623"/>
      <c r="P155" s="2624"/>
      <c r="Q155" s="2622"/>
      <c r="R155" s="2623"/>
      <c r="S155" s="2624"/>
      <c r="T155" s="2622"/>
      <c r="U155" s="2625"/>
      <c r="V155" s="2627"/>
      <c r="W155" s="2628"/>
      <c r="X155" s="2628"/>
      <c r="Y155" s="2628"/>
      <c r="Z155" s="2628"/>
      <c r="AA155" s="2620"/>
      <c r="AB155" s="2620"/>
      <c r="AC155" s="2620"/>
      <c r="AD155" s="2626" t="s">
        <v>572</v>
      </c>
      <c r="AE155" s="2626"/>
      <c r="AF155" s="2626"/>
      <c r="AG155" s="2620"/>
      <c r="AH155" s="2620"/>
      <c r="AI155" s="2620"/>
      <c r="AJ155" s="48"/>
      <c r="AK155" s="49"/>
      <c r="AL155" s="48"/>
      <c r="AM155" s="872"/>
      <c r="AN155" s="872"/>
      <c r="AO155" s="872"/>
      <c r="AP155" s="48"/>
      <c r="AQ155" s="48"/>
      <c r="AR155" s="48"/>
      <c r="AS155" s="48"/>
    </row>
    <row r="156" spans="1:45" ht="4.5" hidden="1" customHeight="1" x14ac:dyDescent="0.2">
      <c r="A156" s="48"/>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9"/>
      <c r="AL156" s="48"/>
      <c r="AM156" s="614"/>
      <c r="AN156" s="614"/>
      <c r="AO156" s="614"/>
      <c r="AP156" s="48"/>
      <c r="AQ156" s="48"/>
      <c r="AR156" s="48"/>
      <c r="AS156" s="48"/>
    </row>
    <row r="157" spans="1:45" ht="18" hidden="1" customHeight="1" x14ac:dyDescent="0.2">
      <c r="A157" s="48"/>
      <c r="B157" s="48"/>
      <c r="C157" s="850" t="s">
        <v>229</v>
      </c>
      <c r="D157" s="851"/>
      <c r="E157" s="852"/>
      <c r="F157" s="852"/>
      <c r="G157" s="852"/>
      <c r="H157" s="2738" t="s">
        <v>193</v>
      </c>
      <c r="I157" s="2738"/>
      <c r="J157" s="2633" t="str">
        <f>IF($AO157=0,J158+J159,"")</f>
        <v/>
      </c>
      <c r="K157" s="2634"/>
      <c r="L157" s="2635"/>
      <c r="M157" s="2636" t="str">
        <f>IF($AO157=0,M158+M159,"")</f>
        <v/>
      </c>
      <c r="N157" s="2634"/>
      <c r="O157" s="2635"/>
      <c r="P157" s="2636" t="str">
        <f>IF($AO157=0,P158+P159,"")</f>
        <v/>
      </c>
      <c r="Q157" s="2634"/>
      <c r="R157" s="2635"/>
      <c r="S157" s="2636" t="str">
        <f>IF($AO157=0,S158+S159,"")</f>
        <v/>
      </c>
      <c r="T157" s="2634"/>
      <c r="U157" s="2637"/>
      <c r="V157" s="622"/>
      <c r="W157" s="2741" t="str">
        <f>IF(AO159&gt;4,"ERROR","")</f>
        <v/>
      </c>
      <c r="X157" s="2741"/>
      <c r="Y157" s="2741"/>
      <c r="Z157" s="200"/>
      <c r="AA157" s="2633" t="str">
        <f>IF($AO157=0,AA158+AA159,"")</f>
        <v/>
      </c>
      <c r="AB157" s="2634"/>
      <c r="AC157" s="2635"/>
      <c r="AD157" s="2636" t="str">
        <f>IF($AO157=0,AD158+AD159,"")</f>
        <v/>
      </c>
      <c r="AE157" s="2634"/>
      <c r="AF157" s="2635"/>
      <c r="AG157" s="2636" t="str">
        <f>IF($AO157=0,AG158+AG159,"")</f>
        <v/>
      </c>
      <c r="AH157" s="2634"/>
      <c r="AI157" s="2637"/>
      <c r="AJ157" s="48"/>
      <c r="AK157" s="136" t="s">
        <v>662</v>
      </c>
      <c r="AL157" s="48"/>
      <c r="AM157" s="224">
        <f>AM153+1</f>
        <v>2</v>
      </c>
      <c r="AN157" s="614"/>
      <c r="AO157" s="224">
        <f>IF(AND(AM157&gt;=F$143,AM157&lt;=G$143),1,0)</f>
        <v>1</v>
      </c>
      <c r="AP157" s="48"/>
      <c r="AQ157" s="48"/>
      <c r="AR157" s="48"/>
      <c r="AS157" s="48"/>
    </row>
    <row r="158" spans="1:45" ht="15.75" hidden="1" customHeight="1" x14ac:dyDescent="0.2">
      <c r="A158" s="48"/>
      <c r="B158" s="48"/>
      <c r="C158" s="853" t="str">
        <f>IF(AO157=1,P$143,S$143)</f>
        <v>Foglio mensile</v>
      </c>
      <c r="D158" s="48"/>
      <c r="E158" s="48"/>
      <c r="F158" s="48"/>
      <c r="G158" s="48"/>
      <c r="H158" s="2742" t="s">
        <v>194</v>
      </c>
      <c r="I158" s="2742"/>
      <c r="J158" s="2743"/>
      <c r="K158" s="2639"/>
      <c r="L158" s="2744"/>
      <c r="M158" s="2638"/>
      <c r="N158" s="2639"/>
      <c r="O158" s="2744"/>
      <c r="P158" s="2638"/>
      <c r="Q158" s="2639"/>
      <c r="R158" s="2744"/>
      <c r="S158" s="2638"/>
      <c r="T158" s="2639"/>
      <c r="U158" s="2640"/>
      <c r="V158" s="2739" t="str">
        <f>IF(AO159&gt;4,"MAX  4","")</f>
        <v/>
      </c>
      <c r="W158" s="2740"/>
      <c r="X158" s="2740"/>
      <c r="Y158" s="2740"/>
      <c r="Z158" s="2740"/>
      <c r="AA158" s="2745"/>
      <c r="AB158" s="2746"/>
      <c r="AC158" s="2747"/>
      <c r="AD158" s="2748"/>
      <c r="AE158" s="2746"/>
      <c r="AF158" s="2747"/>
      <c r="AG158" s="2748"/>
      <c r="AH158" s="2746"/>
      <c r="AI158" s="2749"/>
      <c r="AJ158" s="48"/>
      <c r="AK158" s="49"/>
      <c r="AL158" s="48"/>
      <c r="AM158" s="2755">
        <f>SUM(J157:U157)+SUM(AA157:AI157)</f>
        <v>0</v>
      </c>
      <c r="AN158" s="2755"/>
      <c r="AO158" s="2755"/>
      <c r="AP158" s="48"/>
      <c r="AQ158" s="48"/>
      <c r="AR158" s="48"/>
      <c r="AS158" s="48"/>
    </row>
    <row r="159" spans="1:45" ht="15.75" hidden="1" customHeight="1" x14ac:dyDescent="0.2">
      <c r="A159" s="48"/>
      <c r="B159" s="48"/>
      <c r="C159" s="854" t="str">
        <f>IF(AO157=1,I$143,K$143)</f>
        <v>ATTIVO</v>
      </c>
      <c r="D159" s="48"/>
      <c r="E159" s="48"/>
      <c r="F159" s="48"/>
      <c r="G159" s="48"/>
      <c r="H159" s="2737" t="s">
        <v>195</v>
      </c>
      <c r="I159" s="2737"/>
      <c r="J159" s="2621"/>
      <c r="K159" s="2622"/>
      <c r="L159" s="2623"/>
      <c r="M159" s="2624"/>
      <c r="N159" s="2622"/>
      <c r="O159" s="2623"/>
      <c r="P159" s="2624"/>
      <c r="Q159" s="2622"/>
      <c r="R159" s="2623"/>
      <c r="S159" s="2624"/>
      <c r="T159" s="2622"/>
      <c r="U159" s="2625"/>
      <c r="V159" s="2627" t="str">
        <f>IF(AO159&gt;4,"colonne al mese","")</f>
        <v/>
      </c>
      <c r="W159" s="2628"/>
      <c r="X159" s="2628"/>
      <c r="Y159" s="2628"/>
      <c r="Z159" s="2628"/>
      <c r="AA159" s="2750"/>
      <c r="AB159" s="2751"/>
      <c r="AC159" s="2752"/>
      <c r="AD159" s="2753"/>
      <c r="AE159" s="2751"/>
      <c r="AF159" s="2752"/>
      <c r="AG159" s="2753"/>
      <c r="AH159" s="2751"/>
      <c r="AI159" s="2754"/>
      <c r="AJ159" s="48"/>
      <c r="AK159" s="49"/>
      <c r="AL159" s="48"/>
      <c r="AM159" s="872">
        <f>COUNTIF(J157:U157,"&gt;0")+COUNTIF(J157:U157,"&lt;0")</f>
        <v>0</v>
      </c>
      <c r="AN159" s="872">
        <f>COUNTIF(AA157:AI157,"&gt;0")+COUNTIF(AA157:AI157,"&lt;0")</f>
        <v>0</v>
      </c>
      <c r="AO159" s="872">
        <f>AM159+AN159</f>
        <v>0</v>
      </c>
      <c r="AP159" s="48"/>
      <c r="AQ159" s="48"/>
      <c r="AR159" s="48"/>
      <c r="AS159" s="48"/>
    </row>
    <row r="160" spans="1:45" ht="4.5" hidden="1" customHeight="1" x14ac:dyDescent="0.2">
      <c r="A160" s="48"/>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9"/>
      <c r="AL160" s="48"/>
      <c r="AM160" s="614"/>
      <c r="AN160" s="614"/>
      <c r="AO160" s="614"/>
      <c r="AP160" s="48"/>
      <c r="AQ160" s="48"/>
      <c r="AR160" s="48"/>
      <c r="AS160" s="48"/>
    </row>
    <row r="161" spans="1:45" ht="18" hidden="1" customHeight="1" x14ac:dyDescent="0.2">
      <c r="A161" s="48"/>
      <c r="B161" s="48"/>
      <c r="C161" s="850" t="s">
        <v>230</v>
      </c>
      <c r="D161" s="851"/>
      <c r="E161" s="852"/>
      <c r="F161" s="852"/>
      <c r="G161" s="852"/>
      <c r="H161" s="2738" t="s">
        <v>193</v>
      </c>
      <c r="I161" s="2738"/>
      <c r="J161" s="2633" t="str">
        <f>IF($AO161=0,J162+J163,"")</f>
        <v/>
      </c>
      <c r="K161" s="2634"/>
      <c r="L161" s="2635"/>
      <c r="M161" s="2636" t="str">
        <f>IF($AO161=0,M162+M163,"")</f>
        <v/>
      </c>
      <c r="N161" s="2634"/>
      <c r="O161" s="2635"/>
      <c r="P161" s="2636" t="str">
        <f>IF($AO161=0,P162+P163,"")</f>
        <v/>
      </c>
      <c r="Q161" s="2634"/>
      <c r="R161" s="2635"/>
      <c r="S161" s="2636" t="str">
        <f>IF($AO161=0,S162+S163,"")</f>
        <v/>
      </c>
      <c r="T161" s="2634"/>
      <c r="U161" s="2637"/>
      <c r="V161" s="622"/>
      <c r="W161" s="2741" t="str">
        <f>IF(AO163&gt;4,"ERROR","")</f>
        <v/>
      </c>
      <c r="X161" s="2741"/>
      <c r="Y161" s="2741"/>
      <c r="Z161" s="200"/>
      <c r="AA161" s="2633" t="str">
        <f>IF($AO161=0,AA162+AA163,"")</f>
        <v/>
      </c>
      <c r="AB161" s="2634"/>
      <c r="AC161" s="2635"/>
      <c r="AD161" s="2636" t="str">
        <f>IF($AO161=0,AD162+AD163,"")</f>
        <v/>
      </c>
      <c r="AE161" s="2634"/>
      <c r="AF161" s="2635"/>
      <c r="AG161" s="2636" t="str">
        <f>IF($AO161=0,AG162+AG163,"")</f>
        <v/>
      </c>
      <c r="AH161" s="2634"/>
      <c r="AI161" s="2637"/>
      <c r="AJ161" s="48"/>
      <c r="AK161" s="136" t="s">
        <v>662</v>
      </c>
      <c r="AL161" s="48"/>
      <c r="AM161" s="224">
        <f>AM157+1</f>
        <v>3</v>
      </c>
      <c r="AN161" s="614"/>
      <c r="AO161" s="224">
        <f>IF(AND(AM161&gt;=F$143,AM161&lt;=G$143),1,0)</f>
        <v>1</v>
      </c>
      <c r="AP161" s="48"/>
      <c r="AQ161" s="48"/>
      <c r="AR161" s="48"/>
      <c r="AS161" s="48"/>
    </row>
    <row r="162" spans="1:45" ht="15.75" hidden="1" customHeight="1" x14ac:dyDescent="0.2">
      <c r="A162" s="48"/>
      <c r="B162" s="48"/>
      <c r="C162" s="853" t="str">
        <f>IF(AO161=1,P$143,S$143)</f>
        <v>Foglio mensile</v>
      </c>
      <c r="D162" s="48"/>
      <c r="E162" s="48"/>
      <c r="F162" s="48"/>
      <c r="G162" s="48"/>
      <c r="H162" s="2742" t="s">
        <v>194</v>
      </c>
      <c r="I162" s="2742"/>
      <c r="J162" s="2743"/>
      <c r="K162" s="2639"/>
      <c r="L162" s="2744"/>
      <c r="M162" s="2638"/>
      <c r="N162" s="2639"/>
      <c r="O162" s="2744"/>
      <c r="P162" s="2638"/>
      <c r="Q162" s="2639"/>
      <c r="R162" s="2744"/>
      <c r="S162" s="2638"/>
      <c r="T162" s="2639"/>
      <c r="U162" s="2640"/>
      <c r="V162" s="2739" t="str">
        <f>IF(AO163&gt;4,"MAX  4","")</f>
        <v/>
      </c>
      <c r="W162" s="2740"/>
      <c r="X162" s="2740"/>
      <c r="Y162" s="2740"/>
      <c r="Z162" s="2740"/>
      <c r="AA162" s="2745"/>
      <c r="AB162" s="2746"/>
      <c r="AC162" s="2747"/>
      <c r="AD162" s="2748"/>
      <c r="AE162" s="2746"/>
      <c r="AF162" s="2747"/>
      <c r="AG162" s="2748"/>
      <c r="AH162" s="2746"/>
      <c r="AI162" s="2749"/>
      <c r="AJ162" s="48"/>
      <c r="AK162" s="49"/>
      <c r="AL162" s="48"/>
      <c r="AM162" s="2755">
        <f>SUM(J161:U161)+SUM(AA161:AI161)</f>
        <v>0</v>
      </c>
      <c r="AN162" s="2755"/>
      <c r="AO162" s="2755"/>
      <c r="AP162" s="48"/>
      <c r="AQ162" s="48"/>
      <c r="AR162" s="48"/>
      <c r="AS162" s="48"/>
    </row>
    <row r="163" spans="1:45" ht="15.75" hidden="1" customHeight="1" x14ac:dyDescent="0.2">
      <c r="A163" s="48"/>
      <c r="B163" s="48"/>
      <c r="C163" s="854" t="str">
        <f>IF(AO161=1,I$143,K$143)</f>
        <v>ATTIVO</v>
      </c>
      <c r="D163" s="48"/>
      <c r="E163" s="48"/>
      <c r="F163" s="48"/>
      <c r="G163" s="48"/>
      <c r="H163" s="2737" t="s">
        <v>195</v>
      </c>
      <c r="I163" s="2737"/>
      <c r="J163" s="2621"/>
      <c r="K163" s="2622"/>
      <c r="L163" s="2623"/>
      <c r="M163" s="2624"/>
      <c r="N163" s="2622"/>
      <c r="O163" s="2623"/>
      <c r="P163" s="2624"/>
      <c r="Q163" s="2622"/>
      <c r="R163" s="2623"/>
      <c r="S163" s="2624"/>
      <c r="T163" s="2622"/>
      <c r="U163" s="2625"/>
      <c r="V163" s="2627" t="str">
        <f>IF(AO163&gt;4,"colonne al mese","")</f>
        <v/>
      </c>
      <c r="W163" s="2628"/>
      <c r="X163" s="2628"/>
      <c r="Y163" s="2628"/>
      <c r="Z163" s="2628"/>
      <c r="AA163" s="2750"/>
      <c r="AB163" s="2751"/>
      <c r="AC163" s="2752"/>
      <c r="AD163" s="2753"/>
      <c r="AE163" s="2751"/>
      <c r="AF163" s="2752"/>
      <c r="AG163" s="2753"/>
      <c r="AH163" s="2751"/>
      <c r="AI163" s="2754"/>
      <c r="AJ163" s="48"/>
      <c r="AK163" s="49"/>
      <c r="AL163" s="48"/>
      <c r="AM163" s="872">
        <f>COUNTIF(J161:U161,"&gt;0")+COUNTIF(J161:U161,"&lt;0")</f>
        <v>0</v>
      </c>
      <c r="AN163" s="872">
        <f>COUNTIF(AA161:AI161,"&gt;0")+COUNTIF(AA161:AI161,"&lt;0")</f>
        <v>0</v>
      </c>
      <c r="AO163" s="872">
        <f>AM163+AN163</f>
        <v>0</v>
      </c>
      <c r="AP163" s="48"/>
      <c r="AQ163" s="48"/>
      <c r="AR163" s="48"/>
      <c r="AS163" s="48"/>
    </row>
    <row r="164" spans="1:45" ht="4.5" hidden="1" customHeight="1" x14ac:dyDescent="0.2">
      <c r="A164" s="48"/>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c r="AH164" s="48"/>
      <c r="AI164" s="48"/>
      <c r="AJ164" s="48"/>
      <c r="AK164" s="49"/>
      <c r="AL164" s="48"/>
      <c r="AM164" s="614"/>
      <c r="AN164" s="614"/>
      <c r="AO164" s="614"/>
      <c r="AP164" s="48"/>
      <c r="AQ164" s="48"/>
      <c r="AR164" s="48"/>
      <c r="AS164" s="48"/>
    </row>
    <row r="165" spans="1:45" ht="18" hidden="1" customHeight="1" x14ac:dyDescent="0.2">
      <c r="A165" s="48"/>
      <c r="B165" s="48"/>
      <c r="C165" s="850" t="s">
        <v>232</v>
      </c>
      <c r="D165" s="851"/>
      <c r="E165" s="852"/>
      <c r="F165" s="852"/>
      <c r="G165" s="852"/>
      <c r="H165" s="2738" t="s">
        <v>193</v>
      </c>
      <c r="I165" s="2738"/>
      <c r="J165" s="2633">
        <f>IF($AO165=0,J166+J167,"")</f>
        <v>0</v>
      </c>
      <c r="K165" s="2634"/>
      <c r="L165" s="2635"/>
      <c r="M165" s="2636">
        <f>IF($AO165=0,M166+M167,"")</f>
        <v>0</v>
      </c>
      <c r="N165" s="2634"/>
      <c r="O165" s="2635"/>
      <c r="P165" s="2636">
        <f>IF($AO165=0,P166+P167,"")</f>
        <v>0</v>
      </c>
      <c r="Q165" s="2634"/>
      <c r="R165" s="2635"/>
      <c r="S165" s="2636">
        <f>IF($AO165=0,S166+S167,"")</f>
        <v>0</v>
      </c>
      <c r="T165" s="2634"/>
      <c r="U165" s="2637"/>
      <c r="V165" s="622"/>
      <c r="W165" s="2741" t="str">
        <f>IF(AO167&gt;4,"ERROR","")</f>
        <v/>
      </c>
      <c r="X165" s="2741"/>
      <c r="Y165" s="2741"/>
      <c r="Z165" s="200"/>
      <c r="AA165" s="2633">
        <f>IF($AO165=0,AA166+AA167,"")</f>
        <v>0</v>
      </c>
      <c r="AB165" s="2634"/>
      <c r="AC165" s="2635"/>
      <c r="AD165" s="2636">
        <f>IF($AO165=0,AD166+AD167,"")</f>
        <v>0</v>
      </c>
      <c r="AE165" s="2634"/>
      <c r="AF165" s="2635"/>
      <c r="AG165" s="2636">
        <f>IF($AO165=0,AG166+AG167,"")</f>
        <v>0</v>
      </c>
      <c r="AH165" s="2634"/>
      <c r="AI165" s="2637"/>
      <c r="AJ165" s="48"/>
      <c r="AK165" s="136" t="s">
        <v>662</v>
      </c>
      <c r="AL165" s="48"/>
      <c r="AM165" s="224">
        <f>AM161+1</f>
        <v>4</v>
      </c>
      <c r="AN165" s="614"/>
      <c r="AO165" s="224">
        <f>IF(AND(AM165&gt;=F$143,AM165&lt;=G$143),1,0)</f>
        <v>0</v>
      </c>
      <c r="AP165" s="48"/>
      <c r="AQ165" s="48"/>
      <c r="AR165" s="48"/>
      <c r="AS165" s="48"/>
    </row>
    <row r="166" spans="1:45" ht="15.75" hidden="1" customHeight="1" x14ac:dyDescent="0.2">
      <c r="A166" s="48"/>
      <c r="B166" s="48"/>
      <c r="C166" s="853" t="str">
        <f>IF(AO165=1,P$143,S$143)</f>
        <v>Inserisci importi</v>
      </c>
      <c r="D166" s="48"/>
      <c r="E166" s="48"/>
      <c r="F166" s="48"/>
      <c r="G166" s="48"/>
      <c r="H166" s="2742" t="s">
        <v>194</v>
      </c>
      <c r="I166" s="2742"/>
      <c r="J166" s="2743"/>
      <c r="K166" s="2639"/>
      <c r="L166" s="2744"/>
      <c r="M166" s="2638"/>
      <c r="N166" s="2639"/>
      <c r="O166" s="2744"/>
      <c r="P166" s="2638"/>
      <c r="Q166" s="2639"/>
      <c r="R166" s="2744"/>
      <c r="S166" s="2638"/>
      <c r="T166" s="2639"/>
      <c r="U166" s="2640"/>
      <c r="V166" s="2739" t="str">
        <f>IF(AO167&gt;4,"MAX  4","")</f>
        <v/>
      </c>
      <c r="W166" s="2740"/>
      <c r="X166" s="2740"/>
      <c r="Y166" s="2740"/>
      <c r="Z166" s="2740"/>
      <c r="AA166" s="2745"/>
      <c r="AB166" s="2746"/>
      <c r="AC166" s="2747"/>
      <c r="AD166" s="2748"/>
      <c r="AE166" s="2746"/>
      <c r="AF166" s="2747"/>
      <c r="AG166" s="2748"/>
      <c r="AH166" s="2746"/>
      <c r="AI166" s="2749"/>
      <c r="AJ166" s="48"/>
      <c r="AK166" s="49"/>
      <c r="AL166" s="48"/>
      <c r="AM166" s="2755">
        <f>SUM(J165:U165)+SUM(AA165:AI165)</f>
        <v>0</v>
      </c>
      <c r="AN166" s="2755"/>
      <c r="AO166" s="2755"/>
      <c r="AP166" s="48"/>
      <c r="AQ166" s="48"/>
      <c r="AR166" s="48"/>
      <c r="AS166" s="48"/>
    </row>
    <row r="167" spans="1:45" ht="15.75" hidden="1" customHeight="1" x14ac:dyDescent="0.2">
      <c r="A167" s="48"/>
      <c r="B167" s="48"/>
      <c r="C167" s="854" t="str">
        <f>IF(AO165=1,I$143,K$143)</f>
        <v>AD INTEGRAZIONE</v>
      </c>
      <c r="D167" s="48"/>
      <c r="E167" s="48"/>
      <c r="F167" s="48"/>
      <c r="G167" s="48"/>
      <c r="H167" s="2737" t="s">
        <v>195</v>
      </c>
      <c r="I167" s="2737"/>
      <c r="J167" s="2621"/>
      <c r="K167" s="2622"/>
      <c r="L167" s="2623"/>
      <c r="M167" s="2624"/>
      <c r="N167" s="2622"/>
      <c r="O167" s="2623"/>
      <c r="P167" s="2624"/>
      <c r="Q167" s="2622"/>
      <c r="R167" s="2623"/>
      <c r="S167" s="2624"/>
      <c r="T167" s="2622"/>
      <c r="U167" s="2625"/>
      <c r="V167" s="2627" t="str">
        <f>IF(AO167&gt;4,"colonne al mese","")</f>
        <v/>
      </c>
      <c r="W167" s="2628"/>
      <c r="X167" s="2628"/>
      <c r="Y167" s="2628"/>
      <c r="Z167" s="2628"/>
      <c r="AA167" s="2750"/>
      <c r="AB167" s="2751"/>
      <c r="AC167" s="2752"/>
      <c r="AD167" s="2753"/>
      <c r="AE167" s="2751"/>
      <c r="AF167" s="2752"/>
      <c r="AG167" s="2753"/>
      <c r="AH167" s="2751"/>
      <c r="AI167" s="2754"/>
      <c r="AJ167" s="48"/>
      <c r="AK167" s="49"/>
      <c r="AL167" s="48"/>
      <c r="AM167" s="872">
        <f>COUNTIF(J165:U165,"&gt;0")+COUNTIF(J165:U165,"&lt;0")</f>
        <v>0</v>
      </c>
      <c r="AN167" s="872">
        <f>COUNTIF(AA165:AI165,"&gt;0")+COUNTIF(AA165:AI165,"&lt;0")</f>
        <v>0</v>
      </c>
      <c r="AO167" s="872">
        <f>AM167+AN167</f>
        <v>0</v>
      </c>
      <c r="AP167" s="48"/>
      <c r="AQ167" s="48"/>
      <c r="AR167" s="48"/>
      <c r="AS167" s="48"/>
    </row>
    <row r="168" spans="1:45" ht="4.5" hidden="1" customHeight="1" x14ac:dyDescent="0.2">
      <c r="A168" s="48"/>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9"/>
      <c r="AL168" s="48"/>
      <c r="AM168" s="614"/>
      <c r="AN168" s="614"/>
      <c r="AO168" s="614"/>
      <c r="AP168" s="48"/>
      <c r="AQ168" s="48"/>
      <c r="AR168" s="48"/>
      <c r="AS168" s="48"/>
    </row>
    <row r="169" spans="1:45" ht="18" hidden="1" customHeight="1" x14ac:dyDescent="0.2">
      <c r="A169" s="48"/>
      <c r="B169" s="48"/>
      <c r="C169" s="850" t="s">
        <v>233</v>
      </c>
      <c r="D169" s="851"/>
      <c r="E169" s="852"/>
      <c r="F169" s="852"/>
      <c r="G169" s="852"/>
      <c r="H169" s="2738" t="s">
        <v>193</v>
      </c>
      <c r="I169" s="2738"/>
      <c r="J169" s="2633">
        <f>IF($AO169=0,J170+J171,"")</f>
        <v>0</v>
      </c>
      <c r="K169" s="2634"/>
      <c r="L169" s="2635"/>
      <c r="M169" s="2636">
        <f>IF($AO169=0,M170+M171,"")</f>
        <v>0</v>
      </c>
      <c r="N169" s="2634"/>
      <c r="O169" s="2635"/>
      <c r="P169" s="2636">
        <f>IF($AO169=0,P170+P171,"")</f>
        <v>0</v>
      </c>
      <c r="Q169" s="2634"/>
      <c r="R169" s="2635"/>
      <c r="S169" s="2636">
        <f>IF($AO169=0,S170+S171,"")</f>
        <v>0</v>
      </c>
      <c r="T169" s="2634"/>
      <c r="U169" s="2637"/>
      <c r="V169" s="622"/>
      <c r="W169" s="2741" t="str">
        <f>IF(AO171&gt;4,"ERROR","")</f>
        <v/>
      </c>
      <c r="X169" s="2741"/>
      <c r="Y169" s="2741"/>
      <c r="Z169" s="200"/>
      <c r="AA169" s="2633">
        <f>IF($AO169=0,AA170+AA171,"")</f>
        <v>0</v>
      </c>
      <c r="AB169" s="2634"/>
      <c r="AC169" s="2635"/>
      <c r="AD169" s="2636">
        <f>IF($AO169=0,AD170+AD171,"")</f>
        <v>0</v>
      </c>
      <c r="AE169" s="2634"/>
      <c r="AF169" s="2635"/>
      <c r="AG169" s="2636">
        <f>IF($AO169=0,AG170+AG171,"")</f>
        <v>0</v>
      </c>
      <c r="AH169" s="2634"/>
      <c r="AI169" s="2637"/>
      <c r="AJ169" s="48"/>
      <c r="AK169" s="136" t="s">
        <v>662</v>
      </c>
      <c r="AL169" s="48"/>
      <c r="AM169" s="224">
        <f>AM165+1</f>
        <v>5</v>
      </c>
      <c r="AN169" s="614"/>
      <c r="AO169" s="224">
        <f>IF(AND(AM169&gt;=F$143,AM169&lt;=G$143),1,0)</f>
        <v>0</v>
      </c>
      <c r="AP169" s="48"/>
      <c r="AQ169" s="48"/>
      <c r="AR169" s="48"/>
      <c r="AS169" s="48"/>
    </row>
    <row r="170" spans="1:45" ht="15.75" hidden="1" customHeight="1" x14ac:dyDescent="0.2">
      <c r="A170" s="48"/>
      <c r="B170" s="48"/>
      <c r="C170" s="853" t="str">
        <f>IF(AO169=1,P$143,S$143)</f>
        <v>Inserisci importi</v>
      </c>
      <c r="D170" s="48"/>
      <c r="E170" s="48"/>
      <c r="F170" s="48"/>
      <c r="G170" s="48"/>
      <c r="H170" s="2742" t="s">
        <v>194</v>
      </c>
      <c r="I170" s="2742"/>
      <c r="J170" s="2743"/>
      <c r="K170" s="2639"/>
      <c r="L170" s="2744"/>
      <c r="M170" s="2638"/>
      <c r="N170" s="2639"/>
      <c r="O170" s="2744"/>
      <c r="P170" s="2638"/>
      <c r="Q170" s="2639"/>
      <c r="R170" s="2744"/>
      <c r="S170" s="2638"/>
      <c r="T170" s="2639"/>
      <c r="U170" s="2640"/>
      <c r="V170" s="2739" t="str">
        <f>IF(AO171&gt;4,"MAX  4","")</f>
        <v/>
      </c>
      <c r="W170" s="2740"/>
      <c r="X170" s="2740"/>
      <c r="Y170" s="2740"/>
      <c r="Z170" s="2740"/>
      <c r="AA170" s="2745"/>
      <c r="AB170" s="2746"/>
      <c r="AC170" s="2747"/>
      <c r="AD170" s="2748"/>
      <c r="AE170" s="2746"/>
      <c r="AF170" s="2747"/>
      <c r="AG170" s="2748"/>
      <c r="AH170" s="2746"/>
      <c r="AI170" s="2749"/>
      <c r="AJ170" s="48"/>
      <c r="AK170" s="49"/>
      <c r="AL170" s="48"/>
      <c r="AM170" s="2755">
        <f>SUM(J169:U169)+SUM(AA169:AI169)</f>
        <v>0</v>
      </c>
      <c r="AN170" s="2755"/>
      <c r="AO170" s="2755"/>
      <c r="AP170" s="48"/>
      <c r="AQ170" s="48"/>
      <c r="AR170" s="48"/>
      <c r="AS170" s="48"/>
    </row>
    <row r="171" spans="1:45" ht="15.75" hidden="1" customHeight="1" x14ac:dyDescent="0.2">
      <c r="A171" s="48"/>
      <c r="B171" s="48"/>
      <c r="C171" s="854" t="str">
        <f>IF(AO169=1,I$143,K$143)</f>
        <v>AD INTEGRAZIONE</v>
      </c>
      <c r="D171" s="48"/>
      <c r="E171" s="48"/>
      <c r="F171" s="48"/>
      <c r="G171" s="48"/>
      <c r="H171" s="2737" t="s">
        <v>195</v>
      </c>
      <c r="I171" s="2737"/>
      <c r="J171" s="2621"/>
      <c r="K171" s="2622"/>
      <c r="L171" s="2623"/>
      <c r="M171" s="2624"/>
      <c r="N171" s="2622"/>
      <c r="O171" s="2623"/>
      <c r="P171" s="2624"/>
      <c r="Q171" s="2622"/>
      <c r="R171" s="2623"/>
      <c r="S171" s="2624"/>
      <c r="T171" s="2622"/>
      <c r="U171" s="2625"/>
      <c r="V171" s="2627" t="str">
        <f>IF(AO171&gt;4,"colonne al mese","")</f>
        <v/>
      </c>
      <c r="W171" s="2628"/>
      <c r="X171" s="2628"/>
      <c r="Y171" s="2628"/>
      <c r="Z171" s="2628"/>
      <c r="AA171" s="2750"/>
      <c r="AB171" s="2751"/>
      <c r="AC171" s="2752"/>
      <c r="AD171" s="2753"/>
      <c r="AE171" s="2751"/>
      <c r="AF171" s="2752"/>
      <c r="AG171" s="2753"/>
      <c r="AH171" s="2751"/>
      <c r="AI171" s="2754"/>
      <c r="AJ171" s="48"/>
      <c r="AK171" s="49"/>
      <c r="AL171" s="48"/>
      <c r="AM171" s="872">
        <f>COUNTIF(J169:U169,"&gt;0")+COUNTIF(J169:U169,"&lt;0")</f>
        <v>0</v>
      </c>
      <c r="AN171" s="872">
        <f>COUNTIF(AA169:AI169,"&gt;0")+COUNTIF(AA169:AI169,"&lt;0")</f>
        <v>0</v>
      </c>
      <c r="AO171" s="872">
        <f>AM171+AN171</f>
        <v>0</v>
      </c>
      <c r="AP171" s="48"/>
      <c r="AQ171" s="48"/>
      <c r="AR171" s="48"/>
      <c r="AS171" s="48"/>
    </row>
    <row r="172" spans="1:45" ht="4.5" hidden="1" customHeight="1" x14ac:dyDescent="0.2">
      <c r="A172" s="48"/>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48"/>
      <c r="AC172" s="48"/>
      <c r="AD172" s="48"/>
      <c r="AE172" s="48"/>
      <c r="AF172" s="48"/>
      <c r="AG172" s="48"/>
      <c r="AH172" s="48"/>
      <c r="AI172" s="48"/>
      <c r="AJ172" s="48"/>
      <c r="AK172" s="49"/>
      <c r="AL172" s="48"/>
      <c r="AM172" s="614"/>
      <c r="AN172" s="614"/>
      <c r="AO172" s="614"/>
      <c r="AP172" s="48"/>
      <c r="AQ172" s="48"/>
      <c r="AR172" s="48"/>
      <c r="AS172" s="48"/>
    </row>
    <row r="173" spans="1:45" ht="18" hidden="1" customHeight="1" x14ac:dyDescent="0.2">
      <c r="A173" s="48"/>
      <c r="B173" s="48"/>
      <c r="C173" s="850" t="s">
        <v>234</v>
      </c>
      <c r="D173" s="851"/>
      <c r="E173" s="852"/>
      <c r="F173" s="852"/>
      <c r="G173" s="852"/>
      <c r="H173" s="2738" t="s">
        <v>193</v>
      </c>
      <c r="I173" s="2738"/>
      <c r="J173" s="2633">
        <f>IF($AO173=0,J174+J175,"")</f>
        <v>0</v>
      </c>
      <c r="K173" s="2634"/>
      <c r="L173" s="2635"/>
      <c r="M173" s="2636">
        <f>IF($AO173=0,M174+M175,"")</f>
        <v>0</v>
      </c>
      <c r="N173" s="2634"/>
      <c r="O173" s="2635"/>
      <c r="P173" s="2636">
        <f>IF($AO173=0,P174+P175,"")</f>
        <v>0</v>
      </c>
      <c r="Q173" s="2634"/>
      <c r="R173" s="2635"/>
      <c r="S173" s="2636">
        <f>IF($AO173=0,S174+S175,"")</f>
        <v>0</v>
      </c>
      <c r="T173" s="2634"/>
      <c r="U173" s="2637"/>
      <c r="V173" s="622"/>
      <c r="W173" s="2741" t="str">
        <f>IF(AO175&gt;4,"ERROR","")</f>
        <v/>
      </c>
      <c r="X173" s="2741"/>
      <c r="Y173" s="2741"/>
      <c r="Z173" s="200"/>
      <c r="AA173" s="2633">
        <f>IF($AO173=0,AA174+AA175,"")</f>
        <v>0</v>
      </c>
      <c r="AB173" s="2634"/>
      <c r="AC173" s="2635"/>
      <c r="AD173" s="2636">
        <f>IF($AO173=0,AD174+AD175,"")</f>
        <v>0</v>
      </c>
      <c r="AE173" s="2634"/>
      <c r="AF173" s="2635"/>
      <c r="AG173" s="2636">
        <f>IF($AO173=0,AG174+AG175,"")</f>
        <v>0</v>
      </c>
      <c r="AH173" s="2634"/>
      <c r="AI173" s="2637"/>
      <c r="AJ173" s="48"/>
      <c r="AK173" s="136" t="s">
        <v>662</v>
      </c>
      <c r="AL173" s="48"/>
      <c r="AM173" s="224">
        <f>AM169+1</f>
        <v>6</v>
      </c>
      <c r="AN173" s="614"/>
      <c r="AO173" s="224">
        <f>IF(AND(AM173&gt;=F$143,AM173&lt;=G$143),1,0)</f>
        <v>0</v>
      </c>
      <c r="AP173" s="48"/>
      <c r="AQ173" s="48"/>
      <c r="AR173" s="48"/>
      <c r="AS173" s="48"/>
    </row>
    <row r="174" spans="1:45" ht="15.75" hidden="1" customHeight="1" x14ac:dyDescent="0.2">
      <c r="A174" s="48"/>
      <c r="B174" s="48"/>
      <c r="C174" s="853" t="str">
        <f>IF(AO173=1,P$143,S$143)</f>
        <v>Inserisci importi</v>
      </c>
      <c r="D174" s="48"/>
      <c r="E174" s="48"/>
      <c r="F174" s="48"/>
      <c r="G174" s="48"/>
      <c r="H174" s="2742" t="s">
        <v>194</v>
      </c>
      <c r="I174" s="2742"/>
      <c r="J174" s="2743"/>
      <c r="K174" s="2639"/>
      <c r="L174" s="2744"/>
      <c r="M174" s="2638"/>
      <c r="N174" s="2639"/>
      <c r="O174" s="2744"/>
      <c r="P174" s="2638"/>
      <c r="Q174" s="2639"/>
      <c r="R174" s="2744"/>
      <c r="S174" s="2638"/>
      <c r="T174" s="2639"/>
      <c r="U174" s="2640"/>
      <c r="V174" s="2739" t="str">
        <f>IF(AO175&gt;4,"MAX  4","")</f>
        <v/>
      </c>
      <c r="W174" s="2740"/>
      <c r="X174" s="2740"/>
      <c r="Y174" s="2740"/>
      <c r="Z174" s="2740"/>
      <c r="AA174" s="2745"/>
      <c r="AB174" s="2746"/>
      <c r="AC174" s="2747"/>
      <c r="AD174" s="2748"/>
      <c r="AE174" s="2746"/>
      <c r="AF174" s="2747"/>
      <c r="AG174" s="2748"/>
      <c r="AH174" s="2746"/>
      <c r="AI174" s="2749"/>
      <c r="AJ174" s="48"/>
      <c r="AK174" s="49"/>
      <c r="AL174" s="48"/>
      <c r="AM174" s="2755">
        <f>SUM(J173:U173)+SUM(AA173:AI173)</f>
        <v>0</v>
      </c>
      <c r="AN174" s="2755"/>
      <c r="AO174" s="2755"/>
      <c r="AP174" s="48"/>
      <c r="AQ174" s="48"/>
      <c r="AR174" s="48"/>
      <c r="AS174" s="48"/>
    </row>
    <row r="175" spans="1:45" ht="15.75" hidden="1" customHeight="1" x14ac:dyDescent="0.2">
      <c r="A175" s="48"/>
      <c r="B175" s="48"/>
      <c r="C175" s="854" t="str">
        <f>IF(AO173=1,I$143,K$143)</f>
        <v>AD INTEGRAZIONE</v>
      </c>
      <c r="D175" s="48"/>
      <c r="E175" s="48"/>
      <c r="F175" s="48"/>
      <c r="G175" s="48"/>
      <c r="H175" s="2737" t="s">
        <v>195</v>
      </c>
      <c r="I175" s="2737"/>
      <c r="J175" s="2621"/>
      <c r="K175" s="2622"/>
      <c r="L175" s="2623"/>
      <c r="M175" s="2624"/>
      <c r="N175" s="2622"/>
      <c r="O175" s="2623"/>
      <c r="P175" s="2624"/>
      <c r="Q175" s="2622"/>
      <c r="R175" s="2623"/>
      <c r="S175" s="2624"/>
      <c r="T175" s="2622"/>
      <c r="U175" s="2625"/>
      <c r="V175" s="2627" t="str">
        <f>IF(AO175&gt;4,"colonne al mese","")</f>
        <v/>
      </c>
      <c r="W175" s="2628"/>
      <c r="X175" s="2628"/>
      <c r="Y175" s="2628"/>
      <c r="Z175" s="2628"/>
      <c r="AA175" s="2750"/>
      <c r="AB175" s="2751"/>
      <c r="AC175" s="2752"/>
      <c r="AD175" s="2753"/>
      <c r="AE175" s="2751"/>
      <c r="AF175" s="2752"/>
      <c r="AG175" s="2753"/>
      <c r="AH175" s="2751"/>
      <c r="AI175" s="2754"/>
      <c r="AJ175" s="48"/>
      <c r="AK175" s="49"/>
      <c r="AL175" s="48"/>
      <c r="AM175" s="872">
        <f>COUNTIF(J173:U173,"&gt;0")+COUNTIF(J173:U173,"&lt;0")</f>
        <v>0</v>
      </c>
      <c r="AN175" s="872">
        <f>COUNTIF(AA173:AI173,"&gt;0")+COUNTIF(AA173:AI173,"&lt;0")</f>
        <v>0</v>
      </c>
      <c r="AO175" s="872">
        <f>AM175+AN175</f>
        <v>0</v>
      </c>
      <c r="AP175" s="48"/>
      <c r="AQ175" s="48"/>
      <c r="AR175" s="48"/>
      <c r="AS175" s="48"/>
    </row>
    <row r="176" spans="1:45" ht="4.5" hidden="1" customHeight="1" x14ac:dyDescent="0.2">
      <c r="A176" s="48"/>
      <c r="B176" s="48"/>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c r="AB176" s="48"/>
      <c r="AC176" s="48"/>
      <c r="AD176" s="48"/>
      <c r="AE176" s="48"/>
      <c r="AF176" s="48"/>
      <c r="AG176" s="48"/>
      <c r="AH176" s="48"/>
      <c r="AI176" s="48"/>
      <c r="AJ176" s="48"/>
      <c r="AK176" s="49"/>
      <c r="AL176" s="48"/>
      <c r="AM176" s="614"/>
      <c r="AN176" s="614"/>
      <c r="AO176" s="614"/>
      <c r="AP176" s="48"/>
      <c r="AQ176" s="48"/>
      <c r="AR176" s="48"/>
      <c r="AS176" s="48"/>
    </row>
    <row r="177" spans="1:45" ht="18" hidden="1" customHeight="1" x14ac:dyDescent="0.2">
      <c r="A177" s="48"/>
      <c r="B177" s="48"/>
      <c r="C177" s="850" t="s">
        <v>236</v>
      </c>
      <c r="D177" s="851"/>
      <c r="E177" s="852"/>
      <c r="F177" s="852"/>
      <c r="G177" s="852"/>
      <c r="H177" s="2738" t="s">
        <v>193</v>
      </c>
      <c r="I177" s="2738"/>
      <c r="J177" s="2633">
        <f>IF($AO177=0,J178+J179,"")</f>
        <v>0</v>
      </c>
      <c r="K177" s="2634"/>
      <c r="L177" s="2635"/>
      <c r="M177" s="2636">
        <f>IF($AO177=0,M178+M179,"")</f>
        <v>0</v>
      </c>
      <c r="N177" s="2634"/>
      <c r="O177" s="2635"/>
      <c r="P177" s="2636">
        <f>IF($AO177=0,P178+P179,"")</f>
        <v>0</v>
      </c>
      <c r="Q177" s="2634"/>
      <c r="R177" s="2635"/>
      <c r="S177" s="2636">
        <f>IF($AO177=0,S178+S179,"")</f>
        <v>0</v>
      </c>
      <c r="T177" s="2634"/>
      <c r="U177" s="2637"/>
      <c r="V177" s="622"/>
      <c r="W177" s="2741" t="str">
        <f>IF(AO179&gt;4,"ERROR","")</f>
        <v/>
      </c>
      <c r="X177" s="2741"/>
      <c r="Y177" s="2741"/>
      <c r="Z177" s="200"/>
      <c r="AA177" s="2633">
        <f>IF($AO177=0,AA178+AA179,"")</f>
        <v>0</v>
      </c>
      <c r="AB177" s="2634"/>
      <c r="AC177" s="2635"/>
      <c r="AD177" s="2636">
        <f>IF($AO177=0,AD178+AD179,"")</f>
        <v>0</v>
      </c>
      <c r="AE177" s="2634"/>
      <c r="AF177" s="2635"/>
      <c r="AG177" s="2636">
        <f>IF($AO177=0,AG178+AG179,"")</f>
        <v>0</v>
      </c>
      <c r="AH177" s="2634"/>
      <c r="AI177" s="2637"/>
      <c r="AJ177" s="48"/>
      <c r="AK177" s="136" t="s">
        <v>662</v>
      </c>
      <c r="AL177" s="48"/>
      <c r="AM177" s="224">
        <f>AM173+1</f>
        <v>7</v>
      </c>
      <c r="AN177" s="614"/>
      <c r="AO177" s="224">
        <f>IF(AND(AM177&gt;=F$143,AM177&lt;=G$143),1,0)</f>
        <v>0</v>
      </c>
      <c r="AP177" s="48"/>
      <c r="AQ177" s="48"/>
      <c r="AR177" s="48"/>
      <c r="AS177" s="48"/>
    </row>
    <row r="178" spans="1:45" ht="15.75" hidden="1" customHeight="1" x14ac:dyDescent="0.2">
      <c r="A178" s="48"/>
      <c r="B178" s="48"/>
      <c r="C178" s="853" t="str">
        <f>IF(AO177=1,P$143,S$143)</f>
        <v>Inserisci importi</v>
      </c>
      <c r="D178" s="48"/>
      <c r="E178" s="48"/>
      <c r="F178" s="48"/>
      <c r="G178" s="48"/>
      <c r="H178" s="2742" t="s">
        <v>194</v>
      </c>
      <c r="I178" s="2742"/>
      <c r="J178" s="2743"/>
      <c r="K178" s="2639"/>
      <c r="L178" s="2744"/>
      <c r="M178" s="2638"/>
      <c r="N178" s="2639"/>
      <c r="O178" s="2744"/>
      <c r="P178" s="2638"/>
      <c r="Q178" s="2639"/>
      <c r="R178" s="2744"/>
      <c r="S178" s="2638"/>
      <c r="T178" s="2639"/>
      <c r="U178" s="2640"/>
      <c r="V178" s="2739" t="str">
        <f>IF(AO179&gt;4,"MAX  4","")</f>
        <v/>
      </c>
      <c r="W178" s="2740"/>
      <c r="X178" s="2740"/>
      <c r="Y178" s="2740"/>
      <c r="Z178" s="2740"/>
      <c r="AA178" s="2745"/>
      <c r="AB178" s="2746"/>
      <c r="AC178" s="2747"/>
      <c r="AD178" s="2748"/>
      <c r="AE178" s="2746"/>
      <c r="AF178" s="2747"/>
      <c r="AG178" s="2748"/>
      <c r="AH178" s="2746"/>
      <c r="AI178" s="2749"/>
      <c r="AJ178" s="48"/>
      <c r="AK178" s="49"/>
      <c r="AL178" s="48"/>
      <c r="AM178" s="2755">
        <f>SUM(J177:U177)+SUM(AA177:AI177)</f>
        <v>0</v>
      </c>
      <c r="AN178" s="2755"/>
      <c r="AO178" s="2755"/>
      <c r="AP178" s="48"/>
      <c r="AQ178" s="48"/>
      <c r="AR178" s="48"/>
      <c r="AS178" s="48"/>
    </row>
    <row r="179" spans="1:45" ht="15.75" hidden="1" customHeight="1" x14ac:dyDescent="0.2">
      <c r="A179" s="48"/>
      <c r="B179" s="48"/>
      <c r="C179" s="854" t="str">
        <f>IF(AO177=1,I$143,K$143)</f>
        <v>AD INTEGRAZIONE</v>
      </c>
      <c r="D179" s="48"/>
      <c r="E179" s="48"/>
      <c r="F179" s="48"/>
      <c r="G179" s="48"/>
      <c r="H179" s="2737" t="s">
        <v>195</v>
      </c>
      <c r="I179" s="2737"/>
      <c r="J179" s="2621"/>
      <c r="K179" s="2622"/>
      <c r="L179" s="2623"/>
      <c r="M179" s="2624"/>
      <c r="N179" s="2622"/>
      <c r="O179" s="2623"/>
      <c r="P179" s="2624"/>
      <c r="Q179" s="2622"/>
      <c r="R179" s="2623"/>
      <c r="S179" s="2624"/>
      <c r="T179" s="2622"/>
      <c r="U179" s="2625"/>
      <c r="V179" s="2627" t="str">
        <f>IF(AO179&gt;4,"colonne al mese","")</f>
        <v/>
      </c>
      <c r="W179" s="2628"/>
      <c r="X179" s="2628"/>
      <c r="Y179" s="2628"/>
      <c r="Z179" s="2628"/>
      <c r="AA179" s="2750"/>
      <c r="AB179" s="2751"/>
      <c r="AC179" s="2752"/>
      <c r="AD179" s="2753"/>
      <c r="AE179" s="2751"/>
      <c r="AF179" s="2752"/>
      <c r="AG179" s="2753"/>
      <c r="AH179" s="2751"/>
      <c r="AI179" s="2754"/>
      <c r="AJ179" s="48"/>
      <c r="AK179" s="49"/>
      <c r="AL179" s="48"/>
      <c r="AM179" s="872">
        <f>COUNTIF(J177:U177,"&gt;0")+COUNTIF(J177:U177,"&lt;0")</f>
        <v>0</v>
      </c>
      <c r="AN179" s="872">
        <f>COUNTIF(AA177:AI177,"&gt;0")+COUNTIF(AA177:AI177,"&lt;0")</f>
        <v>0</v>
      </c>
      <c r="AO179" s="872">
        <f>AM179+AN179</f>
        <v>0</v>
      </c>
      <c r="AP179" s="48"/>
      <c r="AQ179" s="48"/>
      <c r="AR179" s="48"/>
      <c r="AS179" s="48"/>
    </row>
    <row r="180" spans="1:45" ht="4.5" hidden="1" customHeight="1" x14ac:dyDescent="0.2">
      <c r="A180" s="48"/>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c r="AC180" s="48"/>
      <c r="AD180" s="48"/>
      <c r="AE180" s="48"/>
      <c r="AF180" s="48"/>
      <c r="AG180" s="48"/>
      <c r="AH180" s="48"/>
      <c r="AI180" s="48"/>
      <c r="AJ180" s="48"/>
      <c r="AK180" s="49"/>
      <c r="AL180" s="48"/>
      <c r="AM180" s="614"/>
      <c r="AN180" s="614"/>
      <c r="AO180" s="614"/>
      <c r="AP180" s="48"/>
      <c r="AQ180" s="48"/>
      <c r="AR180" s="48"/>
      <c r="AS180" s="48"/>
    </row>
    <row r="181" spans="1:45" ht="18" hidden="1" customHeight="1" x14ac:dyDescent="0.2">
      <c r="A181" s="48"/>
      <c r="B181" s="48"/>
      <c r="C181" s="850" t="s">
        <v>237</v>
      </c>
      <c r="D181" s="851"/>
      <c r="E181" s="852"/>
      <c r="F181" s="852"/>
      <c r="G181" s="852"/>
      <c r="H181" s="2738" t="s">
        <v>193</v>
      </c>
      <c r="I181" s="2738"/>
      <c r="J181" s="2633">
        <f>IF($AO181=0,J182+J183,"")</f>
        <v>0</v>
      </c>
      <c r="K181" s="2634"/>
      <c r="L181" s="2635"/>
      <c r="M181" s="2636">
        <f>IF($AO181=0,M182+M183,"")</f>
        <v>0</v>
      </c>
      <c r="N181" s="2634"/>
      <c r="O181" s="2635"/>
      <c r="P181" s="2636">
        <f>IF($AO181=0,P182+P183,"")</f>
        <v>0</v>
      </c>
      <c r="Q181" s="2634"/>
      <c r="R181" s="2635"/>
      <c r="S181" s="2636">
        <f>IF($AO181=0,S182+S183,"")</f>
        <v>0</v>
      </c>
      <c r="T181" s="2634"/>
      <c r="U181" s="2637"/>
      <c r="V181" s="622"/>
      <c r="W181" s="2741" t="str">
        <f>IF(AO183&gt;4,"ERROR","")</f>
        <v/>
      </c>
      <c r="X181" s="2741"/>
      <c r="Y181" s="2741"/>
      <c r="Z181" s="200"/>
      <c r="AA181" s="2633">
        <f>IF($AO181=0,AA182+AA183,"")</f>
        <v>0</v>
      </c>
      <c r="AB181" s="2634"/>
      <c r="AC181" s="2635"/>
      <c r="AD181" s="2636">
        <f>IF($AO181=0,AD182+AD183,"")</f>
        <v>0</v>
      </c>
      <c r="AE181" s="2634"/>
      <c r="AF181" s="2635"/>
      <c r="AG181" s="2636">
        <f>IF($AO181=0,AG182+AG183,"")</f>
        <v>0</v>
      </c>
      <c r="AH181" s="2634"/>
      <c r="AI181" s="2637"/>
      <c r="AJ181" s="48"/>
      <c r="AK181" s="136" t="s">
        <v>662</v>
      </c>
      <c r="AL181" s="48"/>
      <c r="AM181" s="224">
        <f>AM177+1</f>
        <v>8</v>
      </c>
      <c r="AN181" s="614"/>
      <c r="AO181" s="224">
        <f>IF(AND(AM181&gt;=F$143,AM181&lt;=G$143),1,0)</f>
        <v>0</v>
      </c>
      <c r="AP181" s="48"/>
      <c r="AQ181" s="48"/>
      <c r="AR181" s="48"/>
      <c r="AS181" s="48"/>
    </row>
    <row r="182" spans="1:45" ht="15.75" hidden="1" customHeight="1" x14ac:dyDescent="0.2">
      <c r="A182" s="48"/>
      <c r="B182" s="48"/>
      <c r="C182" s="853" t="str">
        <f>IF(AO181=1,P$143,S$143)</f>
        <v>Inserisci importi</v>
      </c>
      <c r="D182" s="48"/>
      <c r="E182" s="48"/>
      <c r="F182" s="48"/>
      <c r="G182" s="48"/>
      <c r="H182" s="2742" t="s">
        <v>194</v>
      </c>
      <c r="I182" s="2742"/>
      <c r="J182" s="2743"/>
      <c r="K182" s="2639"/>
      <c r="L182" s="2744"/>
      <c r="M182" s="2638"/>
      <c r="N182" s="2639"/>
      <c r="O182" s="2744"/>
      <c r="P182" s="2638"/>
      <c r="Q182" s="2639"/>
      <c r="R182" s="2744"/>
      <c r="S182" s="2638"/>
      <c r="T182" s="2639"/>
      <c r="U182" s="2640"/>
      <c r="V182" s="2739" t="str">
        <f>IF(AO183&gt;4,"MAX  4","")</f>
        <v/>
      </c>
      <c r="W182" s="2740"/>
      <c r="X182" s="2740"/>
      <c r="Y182" s="2740"/>
      <c r="Z182" s="2740"/>
      <c r="AA182" s="2745"/>
      <c r="AB182" s="2746"/>
      <c r="AC182" s="2747"/>
      <c r="AD182" s="2748"/>
      <c r="AE182" s="2746"/>
      <c r="AF182" s="2747"/>
      <c r="AG182" s="2748"/>
      <c r="AH182" s="2746"/>
      <c r="AI182" s="2749"/>
      <c r="AJ182" s="48"/>
      <c r="AK182" s="49"/>
      <c r="AL182" s="48"/>
      <c r="AM182" s="2755">
        <f>SUM(J181:U181)+SUM(AA181:AI181)</f>
        <v>0</v>
      </c>
      <c r="AN182" s="2755"/>
      <c r="AO182" s="2755"/>
      <c r="AP182" s="48"/>
      <c r="AQ182" s="48"/>
      <c r="AR182" s="48"/>
      <c r="AS182" s="48"/>
    </row>
    <row r="183" spans="1:45" ht="15.75" hidden="1" customHeight="1" x14ac:dyDescent="0.2">
      <c r="A183" s="48"/>
      <c r="B183" s="48"/>
      <c r="C183" s="854" t="str">
        <f>IF(AO181=1,I$143,K$143)</f>
        <v>AD INTEGRAZIONE</v>
      </c>
      <c r="D183" s="48"/>
      <c r="E183" s="48"/>
      <c r="F183" s="48"/>
      <c r="G183" s="48"/>
      <c r="H183" s="2737" t="s">
        <v>195</v>
      </c>
      <c r="I183" s="2737"/>
      <c r="J183" s="2621"/>
      <c r="K183" s="2622"/>
      <c r="L183" s="2623"/>
      <c r="M183" s="2624"/>
      <c r="N183" s="2622"/>
      <c r="O183" s="2623"/>
      <c r="P183" s="2624"/>
      <c r="Q183" s="2622"/>
      <c r="R183" s="2623"/>
      <c r="S183" s="2624"/>
      <c r="T183" s="2622"/>
      <c r="U183" s="2625"/>
      <c r="V183" s="2627" t="str">
        <f>IF(AO183&gt;4,"colonne al mese","")</f>
        <v/>
      </c>
      <c r="W183" s="2628"/>
      <c r="X183" s="2628"/>
      <c r="Y183" s="2628"/>
      <c r="Z183" s="2628"/>
      <c r="AA183" s="2750"/>
      <c r="AB183" s="2751"/>
      <c r="AC183" s="2752"/>
      <c r="AD183" s="2753"/>
      <c r="AE183" s="2751"/>
      <c r="AF183" s="2752"/>
      <c r="AG183" s="2753"/>
      <c r="AH183" s="2751"/>
      <c r="AI183" s="2754"/>
      <c r="AJ183" s="48"/>
      <c r="AK183" s="49"/>
      <c r="AL183" s="48"/>
      <c r="AM183" s="872">
        <f>COUNTIF(J181:U181,"&gt;0")+COUNTIF(J181:U181,"&lt;0")</f>
        <v>0</v>
      </c>
      <c r="AN183" s="872">
        <f>COUNTIF(AA181:AI181,"&gt;0")+COUNTIF(AA181:AI181,"&lt;0")</f>
        <v>0</v>
      </c>
      <c r="AO183" s="872">
        <f>AM183+AN183</f>
        <v>0</v>
      </c>
      <c r="AP183" s="48"/>
      <c r="AQ183" s="48"/>
      <c r="AR183" s="48"/>
      <c r="AS183" s="48"/>
    </row>
    <row r="184" spans="1:45" ht="4.5" hidden="1" customHeight="1" x14ac:dyDescent="0.2">
      <c r="A184" s="48"/>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9"/>
      <c r="AL184" s="48"/>
      <c r="AM184" s="614"/>
      <c r="AN184" s="614"/>
      <c r="AO184" s="614"/>
      <c r="AP184" s="48"/>
      <c r="AQ184" s="48"/>
      <c r="AR184" s="48"/>
      <c r="AS184" s="48"/>
    </row>
    <row r="185" spans="1:45" ht="18" hidden="1" customHeight="1" x14ac:dyDescent="0.2">
      <c r="A185" s="48"/>
      <c r="B185" s="48"/>
      <c r="C185" s="850" t="s">
        <v>238</v>
      </c>
      <c r="D185" s="851"/>
      <c r="E185" s="852"/>
      <c r="F185" s="852"/>
      <c r="G185" s="852"/>
      <c r="H185" s="2738" t="s">
        <v>193</v>
      </c>
      <c r="I185" s="2738"/>
      <c r="J185" s="2633">
        <f>IF($AO185=0,J186+J187,"")</f>
        <v>0</v>
      </c>
      <c r="K185" s="2634"/>
      <c r="L185" s="2635"/>
      <c r="M185" s="2636">
        <f>IF($AO185=0,M186+M187,"")</f>
        <v>0</v>
      </c>
      <c r="N185" s="2634"/>
      <c r="O185" s="2635"/>
      <c r="P185" s="2636">
        <f>IF($AO185=0,P186+P187,"")</f>
        <v>0</v>
      </c>
      <c r="Q185" s="2634"/>
      <c r="R185" s="2635"/>
      <c r="S185" s="2636">
        <f>IF($AO185=0,S186+S187,"")</f>
        <v>0</v>
      </c>
      <c r="T185" s="2634"/>
      <c r="U185" s="2637"/>
      <c r="V185" s="622"/>
      <c r="W185" s="2741" t="str">
        <f>IF(AO187&gt;4,"ERROR","")</f>
        <v/>
      </c>
      <c r="X185" s="2741"/>
      <c r="Y185" s="2741"/>
      <c r="Z185" s="200"/>
      <c r="AA185" s="2633">
        <f>IF($AO185=0,AA186+AA187,"")</f>
        <v>0</v>
      </c>
      <c r="AB185" s="2634"/>
      <c r="AC185" s="2635"/>
      <c r="AD185" s="2636">
        <f>IF($AO185=0,AD186+AD187,"")</f>
        <v>0</v>
      </c>
      <c r="AE185" s="2634"/>
      <c r="AF185" s="2635"/>
      <c r="AG185" s="2636">
        <f>IF($AO185=0,AG186+AG187,"")</f>
        <v>0</v>
      </c>
      <c r="AH185" s="2634"/>
      <c r="AI185" s="2637"/>
      <c r="AJ185" s="48"/>
      <c r="AK185" s="136" t="s">
        <v>662</v>
      </c>
      <c r="AL185" s="48"/>
      <c r="AM185" s="224">
        <f>AM181+1</f>
        <v>9</v>
      </c>
      <c r="AN185" s="614"/>
      <c r="AO185" s="224">
        <f>IF(AND(AM185&gt;=F$143,AM185&lt;=G$143),1,0)</f>
        <v>0</v>
      </c>
      <c r="AP185" s="48"/>
      <c r="AQ185" s="48"/>
      <c r="AR185" s="48"/>
      <c r="AS185" s="48"/>
    </row>
    <row r="186" spans="1:45" ht="15.75" hidden="1" customHeight="1" x14ac:dyDescent="0.2">
      <c r="A186" s="48"/>
      <c r="B186" s="48"/>
      <c r="C186" s="853" t="str">
        <f>IF(AO185=1,P$143,S$143)</f>
        <v>Inserisci importi</v>
      </c>
      <c r="D186" s="48"/>
      <c r="E186" s="48"/>
      <c r="F186" s="48"/>
      <c r="G186" s="48"/>
      <c r="H186" s="2742" t="s">
        <v>194</v>
      </c>
      <c r="I186" s="2742"/>
      <c r="J186" s="2743"/>
      <c r="K186" s="2639"/>
      <c r="L186" s="2744"/>
      <c r="M186" s="2638"/>
      <c r="N186" s="2639"/>
      <c r="O186" s="2744"/>
      <c r="P186" s="2638"/>
      <c r="Q186" s="2639"/>
      <c r="R186" s="2744"/>
      <c r="S186" s="2638"/>
      <c r="T186" s="2639"/>
      <c r="U186" s="2640"/>
      <c r="V186" s="2739" t="str">
        <f>IF(AO187&gt;4,"MAX  4","")</f>
        <v/>
      </c>
      <c r="W186" s="2740"/>
      <c r="X186" s="2740"/>
      <c r="Y186" s="2740"/>
      <c r="Z186" s="2740"/>
      <c r="AA186" s="2745"/>
      <c r="AB186" s="2746"/>
      <c r="AC186" s="2747"/>
      <c r="AD186" s="2748"/>
      <c r="AE186" s="2746"/>
      <c r="AF186" s="2747"/>
      <c r="AG186" s="2748"/>
      <c r="AH186" s="2746"/>
      <c r="AI186" s="2749"/>
      <c r="AJ186" s="48"/>
      <c r="AK186" s="49"/>
      <c r="AL186" s="48"/>
      <c r="AM186" s="2755">
        <f>SUM(J185:U185)+SUM(AA185:AI185)</f>
        <v>0</v>
      </c>
      <c r="AN186" s="2755"/>
      <c r="AO186" s="2755"/>
      <c r="AP186" s="48"/>
      <c r="AQ186" s="48"/>
      <c r="AR186" s="48"/>
      <c r="AS186" s="48"/>
    </row>
    <row r="187" spans="1:45" ht="15.75" hidden="1" customHeight="1" x14ac:dyDescent="0.2">
      <c r="A187" s="48"/>
      <c r="B187" s="48"/>
      <c r="C187" s="854" t="str">
        <f>IF(AO185=1,I$143,K$143)</f>
        <v>AD INTEGRAZIONE</v>
      </c>
      <c r="D187" s="48"/>
      <c r="E187" s="48"/>
      <c r="F187" s="48"/>
      <c r="G187" s="48"/>
      <c r="H187" s="2737" t="s">
        <v>195</v>
      </c>
      <c r="I187" s="2737"/>
      <c r="J187" s="2621"/>
      <c r="K187" s="2622"/>
      <c r="L187" s="2623"/>
      <c r="M187" s="2624"/>
      <c r="N187" s="2622"/>
      <c r="O187" s="2623"/>
      <c r="P187" s="2624"/>
      <c r="Q187" s="2622"/>
      <c r="R187" s="2623"/>
      <c r="S187" s="2624"/>
      <c r="T187" s="2622"/>
      <c r="U187" s="2625"/>
      <c r="V187" s="2627" t="str">
        <f>IF(AO187&gt;4,"colonne al mese","")</f>
        <v/>
      </c>
      <c r="W187" s="2628"/>
      <c r="X187" s="2628"/>
      <c r="Y187" s="2628"/>
      <c r="Z187" s="2628"/>
      <c r="AA187" s="2750"/>
      <c r="AB187" s="2751"/>
      <c r="AC187" s="2752"/>
      <c r="AD187" s="2753"/>
      <c r="AE187" s="2751"/>
      <c r="AF187" s="2752"/>
      <c r="AG187" s="2753"/>
      <c r="AH187" s="2751"/>
      <c r="AI187" s="2754"/>
      <c r="AJ187" s="48"/>
      <c r="AK187" s="49"/>
      <c r="AL187" s="48"/>
      <c r="AM187" s="872">
        <f>COUNTIF(J185:U185,"&gt;0")+COUNTIF(J185:U185,"&lt;0")</f>
        <v>0</v>
      </c>
      <c r="AN187" s="872">
        <f>COUNTIF(AA185:AI185,"&gt;0")+COUNTIF(AA185:AI185,"&lt;0")</f>
        <v>0</v>
      </c>
      <c r="AO187" s="872">
        <f>AM187+AN187</f>
        <v>0</v>
      </c>
      <c r="AP187" s="48"/>
      <c r="AQ187" s="48"/>
      <c r="AR187" s="48"/>
      <c r="AS187" s="48"/>
    </row>
    <row r="188" spans="1:45" ht="4.5" hidden="1" customHeight="1" x14ac:dyDescent="0.2">
      <c r="A188" s="48"/>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9"/>
      <c r="AL188" s="48"/>
      <c r="AM188" s="614"/>
      <c r="AN188" s="614"/>
      <c r="AO188" s="614"/>
      <c r="AP188" s="48"/>
      <c r="AQ188" s="48"/>
      <c r="AR188" s="48"/>
      <c r="AS188" s="48"/>
    </row>
    <row r="189" spans="1:45" ht="18" hidden="1" customHeight="1" x14ac:dyDescent="0.2">
      <c r="A189" s="48"/>
      <c r="B189" s="48"/>
      <c r="C189" s="850" t="s">
        <v>240</v>
      </c>
      <c r="D189" s="851"/>
      <c r="E189" s="852"/>
      <c r="F189" s="852"/>
      <c r="G189" s="852"/>
      <c r="H189" s="2738" t="s">
        <v>193</v>
      </c>
      <c r="I189" s="2738"/>
      <c r="J189" s="2633">
        <f>IF($AO189=0,J190+J191,"")</f>
        <v>0</v>
      </c>
      <c r="K189" s="2634"/>
      <c r="L189" s="2635"/>
      <c r="M189" s="2636">
        <f>IF($AO189=0,M190+M191,"")</f>
        <v>0</v>
      </c>
      <c r="N189" s="2634"/>
      <c r="O189" s="2635"/>
      <c r="P189" s="2636">
        <f>IF($AO189=0,P190+P191,"")</f>
        <v>0</v>
      </c>
      <c r="Q189" s="2634"/>
      <c r="R189" s="2635"/>
      <c r="S189" s="2636">
        <f>IF($AO189=0,S190+S191,"")</f>
        <v>0</v>
      </c>
      <c r="T189" s="2634"/>
      <c r="U189" s="2637"/>
      <c r="V189" s="622"/>
      <c r="W189" s="2741" t="str">
        <f>IF(AO191&gt;4,"ERROR","")</f>
        <v/>
      </c>
      <c r="X189" s="2741"/>
      <c r="Y189" s="2741"/>
      <c r="Z189" s="200"/>
      <c r="AA189" s="2633">
        <f>IF($AO189=0,AA190+AA191,"")</f>
        <v>0</v>
      </c>
      <c r="AB189" s="2634"/>
      <c r="AC189" s="2635"/>
      <c r="AD189" s="2636">
        <f>IF($AO189=0,AD190+AD191,"")</f>
        <v>0</v>
      </c>
      <c r="AE189" s="2634"/>
      <c r="AF189" s="2635"/>
      <c r="AG189" s="2636">
        <f>IF($AO189=0,AG190+AG191,"")</f>
        <v>0</v>
      </c>
      <c r="AH189" s="2634"/>
      <c r="AI189" s="2637"/>
      <c r="AJ189" s="48"/>
      <c r="AK189" s="136" t="s">
        <v>662</v>
      </c>
      <c r="AL189" s="48"/>
      <c r="AM189" s="224">
        <f>AM185+1</f>
        <v>10</v>
      </c>
      <c r="AN189" s="614"/>
      <c r="AO189" s="224">
        <f>IF(AND(AM189&gt;=F$143,AM189&lt;=G$143),1,0)</f>
        <v>0</v>
      </c>
      <c r="AP189" s="48"/>
      <c r="AQ189" s="48"/>
      <c r="AR189" s="48"/>
      <c r="AS189" s="48"/>
    </row>
    <row r="190" spans="1:45" ht="15.75" hidden="1" customHeight="1" x14ac:dyDescent="0.2">
      <c r="A190" s="48"/>
      <c r="B190" s="48"/>
      <c r="C190" s="853" t="str">
        <f>IF(AO189=1,P$143,S$143)</f>
        <v>Inserisci importi</v>
      </c>
      <c r="D190" s="48"/>
      <c r="E190" s="48"/>
      <c r="F190" s="48"/>
      <c r="G190" s="48"/>
      <c r="H190" s="2742" t="s">
        <v>194</v>
      </c>
      <c r="I190" s="2742"/>
      <c r="J190" s="2743"/>
      <c r="K190" s="2639"/>
      <c r="L190" s="2744"/>
      <c r="M190" s="2638"/>
      <c r="N190" s="2639"/>
      <c r="O190" s="2744"/>
      <c r="P190" s="2638"/>
      <c r="Q190" s="2639"/>
      <c r="R190" s="2744"/>
      <c r="S190" s="2638"/>
      <c r="T190" s="2639"/>
      <c r="U190" s="2640"/>
      <c r="V190" s="2739" t="str">
        <f>IF(AO191&gt;4,"MAX  4","")</f>
        <v/>
      </c>
      <c r="W190" s="2740"/>
      <c r="X190" s="2740"/>
      <c r="Y190" s="2740"/>
      <c r="Z190" s="2740"/>
      <c r="AA190" s="2745"/>
      <c r="AB190" s="2746"/>
      <c r="AC190" s="2747"/>
      <c r="AD190" s="2748"/>
      <c r="AE190" s="2746"/>
      <c r="AF190" s="2747"/>
      <c r="AG190" s="2748"/>
      <c r="AH190" s="2746"/>
      <c r="AI190" s="2749"/>
      <c r="AJ190" s="48"/>
      <c r="AK190" s="49"/>
      <c r="AL190" s="48"/>
      <c r="AM190" s="2755">
        <f>SUM(J189:U189)+SUM(AA189:AI189)</f>
        <v>0</v>
      </c>
      <c r="AN190" s="2755"/>
      <c r="AO190" s="2755"/>
      <c r="AP190" s="48"/>
      <c r="AQ190" s="48"/>
      <c r="AR190" s="48"/>
      <c r="AS190" s="48"/>
    </row>
    <row r="191" spans="1:45" ht="15.75" hidden="1" customHeight="1" x14ac:dyDescent="0.2">
      <c r="A191" s="48"/>
      <c r="B191" s="48"/>
      <c r="C191" s="854" t="str">
        <f>IF(AO189=1,I$143,K$143)</f>
        <v>AD INTEGRAZIONE</v>
      </c>
      <c r="D191" s="48"/>
      <c r="E191" s="48"/>
      <c r="F191" s="48"/>
      <c r="G191" s="48"/>
      <c r="H191" s="2737" t="s">
        <v>195</v>
      </c>
      <c r="I191" s="2737"/>
      <c r="J191" s="2621"/>
      <c r="K191" s="2622"/>
      <c r="L191" s="2623"/>
      <c r="M191" s="2624"/>
      <c r="N191" s="2622"/>
      <c r="O191" s="2623"/>
      <c r="P191" s="2624"/>
      <c r="Q191" s="2622"/>
      <c r="R191" s="2623"/>
      <c r="S191" s="2624"/>
      <c r="T191" s="2622"/>
      <c r="U191" s="2625"/>
      <c r="V191" s="2627" t="str">
        <f>IF(AO191&gt;4,"colonne al mese","")</f>
        <v/>
      </c>
      <c r="W191" s="2628"/>
      <c r="X191" s="2628"/>
      <c r="Y191" s="2628"/>
      <c r="Z191" s="2628"/>
      <c r="AA191" s="2750"/>
      <c r="AB191" s="2751"/>
      <c r="AC191" s="2752"/>
      <c r="AD191" s="2753"/>
      <c r="AE191" s="2751"/>
      <c r="AF191" s="2752"/>
      <c r="AG191" s="2753"/>
      <c r="AH191" s="2751"/>
      <c r="AI191" s="2754"/>
      <c r="AJ191" s="48"/>
      <c r="AK191" s="49"/>
      <c r="AL191" s="48"/>
      <c r="AM191" s="872">
        <f>COUNTIF(J189:U189,"&gt;0")+COUNTIF(J189:U189,"&lt;0")</f>
        <v>0</v>
      </c>
      <c r="AN191" s="872">
        <f>COUNTIF(AA189:AI189,"&gt;0")+COUNTIF(AA189:AI189,"&lt;0")</f>
        <v>0</v>
      </c>
      <c r="AO191" s="872">
        <f>AM191+AN191</f>
        <v>0</v>
      </c>
      <c r="AP191" s="48"/>
      <c r="AQ191" s="48"/>
      <c r="AR191" s="48"/>
      <c r="AS191" s="48"/>
    </row>
    <row r="192" spans="1:45" ht="4.5" hidden="1" customHeight="1" x14ac:dyDescent="0.2">
      <c r="A192" s="48"/>
      <c r="B192" s="48"/>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c r="AB192" s="48"/>
      <c r="AC192" s="48"/>
      <c r="AD192" s="48"/>
      <c r="AE192" s="48"/>
      <c r="AF192" s="48"/>
      <c r="AG192" s="48"/>
      <c r="AH192" s="48"/>
      <c r="AI192" s="48"/>
      <c r="AJ192" s="48"/>
      <c r="AK192" s="49"/>
      <c r="AL192" s="48"/>
      <c r="AM192" s="614"/>
      <c r="AN192" s="614"/>
      <c r="AO192" s="614"/>
      <c r="AP192" s="48"/>
      <c r="AQ192" s="48"/>
      <c r="AR192" s="48"/>
      <c r="AS192" s="48"/>
    </row>
    <row r="193" spans="1:45" ht="18" hidden="1" customHeight="1" x14ac:dyDescent="0.2">
      <c r="A193" s="48"/>
      <c r="B193" s="48"/>
      <c r="C193" s="850" t="s">
        <v>241</v>
      </c>
      <c r="D193" s="851"/>
      <c r="E193" s="852"/>
      <c r="F193" s="852"/>
      <c r="G193" s="852"/>
      <c r="H193" s="2738" t="s">
        <v>193</v>
      </c>
      <c r="I193" s="2738"/>
      <c r="J193" s="2633">
        <f>IF($AO193=0,J194+J195,"")</f>
        <v>0</v>
      </c>
      <c r="K193" s="2634"/>
      <c r="L193" s="2635"/>
      <c r="M193" s="2636">
        <f>IF($AO193=0,M194+M195,"")</f>
        <v>0</v>
      </c>
      <c r="N193" s="2634"/>
      <c r="O193" s="2635"/>
      <c r="P193" s="2636">
        <f>IF($AO193=0,P194+P195,"")</f>
        <v>0</v>
      </c>
      <c r="Q193" s="2634"/>
      <c r="R193" s="2635"/>
      <c r="S193" s="2636">
        <f>IF($AO193=0,S194+S195,"")</f>
        <v>0</v>
      </c>
      <c r="T193" s="2634"/>
      <c r="U193" s="2637"/>
      <c r="V193" s="622"/>
      <c r="W193" s="2741" t="str">
        <f>IF(AO195&gt;4,"ERROR","")</f>
        <v/>
      </c>
      <c r="X193" s="2741"/>
      <c r="Y193" s="2741"/>
      <c r="Z193" s="200"/>
      <c r="AA193" s="2633">
        <f>IF($AO193=0,AA194+AA195,"")</f>
        <v>0</v>
      </c>
      <c r="AB193" s="2634"/>
      <c r="AC193" s="2635"/>
      <c r="AD193" s="2636">
        <f>IF($AO193=0,AD194+AD195,"")</f>
        <v>0</v>
      </c>
      <c r="AE193" s="2634"/>
      <c r="AF193" s="2635"/>
      <c r="AG193" s="2636">
        <f>IF($AO193=0,AG194+AG195,"")</f>
        <v>0</v>
      </c>
      <c r="AH193" s="2634"/>
      <c r="AI193" s="2637"/>
      <c r="AJ193" s="48"/>
      <c r="AK193" s="136" t="s">
        <v>662</v>
      </c>
      <c r="AL193" s="48"/>
      <c r="AM193" s="224">
        <f>AM189+1</f>
        <v>11</v>
      </c>
      <c r="AN193" s="614"/>
      <c r="AO193" s="224">
        <f>IF(AND(AM193&gt;=F$143,AM193&lt;=G$143),1,0)</f>
        <v>0</v>
      </c>
      <c r="AP193" s="48"/>
      <c r="AQ193" s="48"/>
      <c r="AR193" s="48"/>
      <c r="AS193" s="48"/>
    </row>
    <row r="194" spans="1:45" ht="15.75" hidden="1" customHeight="1" x14ac:dyDescent="0.2">
      <c r="A194" s="48"/>
      <c r="B194" s="48"/>
      <c r="C194" s="853" t="str">
        <f>IF(AO193=1,P$143,S$143)</f>
        <v>Inserisci importi</v>
      </c>
      <c r="D194" s="48"/>
      <c r="E194" s="48"/>
      <c r="F194" s="48"/>
      <c r="G194" s="48"/>
      <c r="H194" s="2742" t="s">
        <v>194</v>
      </c>
      <c r="I194" s="2742"/>
      <c r="J194" s="2743"/>
      <c r="K194" s="2639"/>
      <c r="L194" s="2744"/>
      <c r="M194" s="2638"/>
      <c r="N194" s="2639"/>
      <c r="O194" s="2744"/>
      <c r="P194" s="2638"/>
      <c r="Q194" s="2639"/>
      <c r="R194" s="2744"/>
      <c r="S194" s="2638"/>
      <c r="T194" s="2639"/>
      <c r="U194" s="2640"/>
      <c r="V194" s="2739" t="str">
        <f>IF(AO195&gt;4,"MAX  4","")</f>
        <v/>
      </c>
      <c r="W194" s="2740"/>
      <c r="X194" s="2740"/>
      <c r="Y194" s="2740"/>
      <c r="Z194" s="2740"/>
      <c r="AA194" s="2745"/>
      <c r="AB194" s="2746"/>
      <c r="AC194" s="2747"/>
      <c r="AD194" s="2748"/>
      <c r="AE194" s="2746"/>
      <c r="AF194" s="2747"/>
      <c r="AG194" s="2748"/>
      <c r="AH194" s="2746"/>
      <c r="AI194" s="2749"/>
      <c r="AJ194" s="48"/>
      <c r="AK194" s="49"/>
      <c r="AL194" s="48"/>
      <c r="AM194" s="2755">
        <f>SUM(J193:U193)+SUM(AA193:AI193)</f>
        <v>0</v>
      </c>
      <c r="AN194" s="2755"/>
      <c r="AO194" s="2755"/>
      <c r="AP194" s="48"/>
      <c r="AQ194" s="48"/>
      <c r="AR194" s="48"/>
      <c r="AS194" s="48"/>
    </row>
    <row r="195" spans="1:45" ht="15.75" hidden="1" customHeight="1" x14ac:dyDescent="0.2">
      <c r="A195" s="48"/>
      <c r="B195" s="48"/>
      <c r="C195" s="854" t="str">
        <f>IF(AO193=1,I$143,K$143)</f>
        <v>AD INTEGRAZIONE</v>
      </c>
      <c r="D195" s="48"/>
      <c r="E195" s="48"/>
      <c r="F195" s="48"/>
      <c r="G195" s="48"/>
      <c r="H195" s="2737" t="s">
        <v>195</v>
      </c>
      <c r="I195" s="2737"/>
      <c r="J195" s="2621"/>
      <c r="K195" s="2622"/>
      <c r="L195" s="2623"/>
      <c r="M195" s="2624"/>
      <c r="N195" s="2622"/>
      <c r="O195" s="2623"/>
      <c r="P195" s="2624"/>
      <c r="Q195" s="2622"/>
      <c r="R195" s="2623"/>
      <c r="S195" s="2624"/>
      <c r="T195" s="2622"/>
      <c r="U195" s="2625"/>
      <c r="V195" s="2627" t="str">
        <f>IF(AO195&gt;4,"colonne al mese","")</f>
        <v/>
      </c>
      <c r="W195" s="2628"/>
      <c r="X195" s="2628"/>
      <c r="Y195" s="2628"/>
      <c r="Z195" s="2628"/>
      <c r="AA195" s="2750"/>
      <c r="AB195" s="2751"/>
      <c r="AC195" s="2752"/>
      <c r="AD195" s="2753"/>
      <c r="AE195" s="2751"/>
      <c r="AF195" s="2752"/>
      <c r="AG195" s="2753"/>
      <c r="AH195" s="2751"/>
      <c r="AI195" s="2754"/>
      <c r="AJ195" s="48"/>
      <c r="AK195" s="49"/>
      <c r="AL195" s="48"/>
      <c r="AM195" s="872">
        <f>COUNTIF(J193:U193,"&gt;0")+COUNTIF(J193:U193,"&lt;0")</f>
        <v>0</v>
      </c>
      <c r="AN195" s="872">
        <f>COUNTIF(AA193:AI193,"&gt;0")+COUNTIF(AA193:AI193,"&lt;0")</f>
        <v>0</v>
      </c>
      <c r="AO195" s="872">
        <f>AM195+AN195</f>
        <v>0</v>
      </c>
      <c r="AP195" s="48"/>
      <c r="AQ195" s="48"/>
      <c r="AR195" s="48"/>
      <c r="AS195" s="48"/>
    </row>
    <row r="196" spans="1:45" ht="4.5" hidden="1" customHeight="1" x14ac:dyDescent="0.2">
      <c r="A196" s="48"/>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9"/>
      <c r="AL196" s="48"/>
      <c r="AM196" s="614"/>
      <c r="AN196" s="614"/>
      <c r="AO196" s="614"/>
      <c r="AP196" s="48"/>
      <c r="AQ196" s="48"/>
      <c r="AR196" s="48"/>
      <c r="AS196" s="48"/>
    </row>
    <row r="197" spans="1:45" ht="18" hidden="1" customHeight="1" x14ac:dyDescent="0.2">
      <c r="A197" s="48"/>
      <c r="B197" s="48"/>
      <c r="C197" s="850" t="s">
        <v>242</v>
      </c>
      <c r="D197" s="851"/>
      <c r="E197" s="852"/>
      <c r="F197" s="852"/>
      <c r="G197" s="852"/>
      <c r="H197" s="2738" t="s">
        <v>193</v>
      </c>
      <c r="I197" s="2738"/>
      <c r="J197" s="2633">
        <f>IF($AO197=0,J198+J199,"")</f>
        <v>0</v>
      </c>
      <c r="K197" s="2634"/>
      <c r="L197" s="2635"/>
      <c r="M197" s="2636">
        <f>IF($AO197=0,M198+M199,"")</f>
        <v>0</v>
      </c>
      <c r="N197" s="2634"/>
      <c r="O197" s="2635"/>
      <c r="P197" s="2636">
        <f>IF($AO197=0,P198+P199,"")</f>
        <v>0</v>
      </c>
      <c r="Q197" s="2634"/>
      <c r="R197" s="2635"/>
      <c r="S197" s="2636">
        <f>IF($AO197=0,S198+S199,"")</f>
        <v>0</v>
      </c>
      <c r="T197" s="2634"/>
      <c r="U197" s="2637"/>
      <c r="V197" s="622"/>
      <c r="W197" s="2741" t="str">
        <f>IF(AO199&gt;4,"ERROR","")</f>
        <v/>
      </c>
      <c r="X197" s="2741"/>
      <c r="Y197" s="2741"/>
      <c r="Z197" s="200"/>
      <c r="AA197" s="2633">
        <f>IF($AO197=0,AA198+AA199,"")</f>
        <v>0</v>
      </c>
      <c r="AB197" s="2634"/>
      <c r="AC197" s="2635"/>
      <c r="AD197" s="2636">
        <f>IF($AO197=0,AD198+AD199,"")</f>
        <v>0</v>
      </c>
      <c r="AE197" s="2634"/>
      <c r="AF197" s="2635"/>
      <c r="AG197" s="2636">
        <f>IF($AO197=0,AG198+AG199,"")</f>
        <v>0</v>
      </c>
      <c r="AH197" s="2634"/>
      <c r="AI197" s="2637"/>
      <c r="AJ197" s="48"/>
      <c r="AK197" s="136" t="s">
        <v>662</v>
      </c>
      <c r="AL197" s="48"/>
      <c r="AM197" s="224">
        <f>AM193+1</f>
        <v>12</v>
      </c>
      <c r="AN197" s="614"/>
      <c r="AO197" s="224">
        <f>IF(AND(AM197&gt;=F$143,AM197&lt;=G$143),1,0)</f>
        <v>0</v>
      </c>
      <c r="AP197" s="48"/>
      <c r="AQ197" s="48"/>
      <c r="AR197" s="48"/>
      <c r="AS197" s="48"/>
    </row>
    <row r="198" spans="1:45" ht="15.75" hidden="1" customHeight="1" x14ac:dyDescent="0.2">
      <c r="A198" s="48"/>
      <c r="B198" s="48"/>
      <c r="C198" s="853" t="str">
        <f>IF(AO197=1,P$143,S$143)</f>
        <v>Inserisci importi</v>
      </c>
      <c r="D198" s="48"/>
      <c r="E198" s="48"/>
      <c r="F198" s="48"/>
      <c r="G198" s="48"/>
      <c r="H198" s="2742" t="s">
        <v>194</v>
      </c>
      <c r="I198" s="2742"/>
      <c r="J198" s="2743"/>
      <c r="K198" s="2639"/>
      <c r="L198" s="2744"/>
      <c r="M198" s="2638"/>
      <c r="N198" s="2639"/>
      <c r="O198" s="2744"/>
      <c r="P198" s="2638"/>
      <c r="Q198" s="2639"/>
      <c r="R198" s="2744"/>
      <c r="S198" s="2638"/>
      <c r="T198" s="2639"/>
      <c r="U198" s="2640"/>
      <c r="V198" s="2739" t="str">
        <f>IF(AO199&gt;4,"MAX  4","")</f>
        <v/>
      </c>
      <c r="W198" s="2740"/>
      <c r="X198" s="2740"/>
      <c r="Y198" s="2740"/>
      <c r="Z198" s="2740"/>
      <c r="AA198" s="2745"/>
      <c r="AB198" s="2746"/>
      <c r="AC198" s="2747"/>
      <c r="AD198" s="2748"/>
      <c r="AE198" s="2746"/>
      <c r="AF198" s="2747"/>
      <c r="AG198" s="2748"/>
      <c r="AH198" s="2746"/>
      <c r="AI198" s="2749"/>
      <c r="AJ198" s="48"/>
      <c r="AK198" s="49"/>
      <c r="AL198" s="48"/>
      <c r="AM198" s="2755">
        <f>SUM(J197:U197)+SUM(AA197:AI197)</f>
        <v>0</v>
      </c>
      <c r="AN198" s="2755"/>
      <c r="AO198" s="2755"/>
      <c r="AP198" s="48"/>
      <c r="AQ198" s="48"/>
      <c r="AR198" s="48"/>
      <c r="AS198" s="48"/>
    </row>
    <row r="199" spans="1:45" ht="15.75" hidden="1" customHeight="1" x14ac:dyDescent="0.2">
      <c r="A199" s="48"/>
      <c r="B199" s="48"/>
      <c r="C199" s="854" t="str">
        <f>IF(AO197=1,I$143,K$143)</f>
        <v>AD INTEGRAZIONE</v>
      </c>
      <c r="D199" s="48"/>
      <c r="E199" s="48"/>
      <c r="F199" s="48"/>
      <c r="G199" s="48"/>
      <c r="H199" s="2737" t="s">
        <v>195</v>
      </c>
      <c r="I199" s="2737"/>
      <c r="J199" s="2621"/>
      <c r="K199" s="2622"/>
      <c r="L199" s="2623"/>
      <c r="M199" s="2624"/>
      <c r="N199" s="2622"/>
      <c r="O199" s="2623"/>
      <c r="P199" s="2624"/>
      <c r="Q199" s="2622"/>
      <c r="R199" s="2623"/>
      <c r="S199" s="2624"/>
      <c r="T199" s="2622"/>
      <c r="U199" s="2625"/>
      <c r="V199" s="2627" t="str">
        <f>IF(AO199&gt;4,"colonne al mese","")</f>
        <v/>
      </c>
      <c r="W199" s="2628"/>
      <c r="X199" s="2628"/>
      <c r="Y199" s="2628"/>
      <c r="Z199" s="2628"/>
      <c r="AA199" s="2750"/>
      <c r="AB199" s="2751"/>
      <c r="AC199" s="2752"/>
      <c r="AD199" s="2753"/>
      <c r="AE199" s="2751"/>
      <c r="AF199" s="2752"/>
      <c r="AG199" s="2753"/>
      <c r="AH199" s="2751"/>
      <c r="AI199" s="2754"/>
      <c r="AJ199" s="48"/>
      <c r="AK199" s="49"/>
      <c r="AL199" s="48"/>
      <c r="AM199" s="872">
        <f>COUNTIF(J197:U197,"&gt;0")+COUNTIF(J197:U197,"&lt;0")</f>
        <v>0</v>
      </c>
      <c r="AN199" s="872">
        <f>COUNTIF(AA197:AI197,"&gt;0")+COUNTIF(AA197:AI197,"&lt;0")</f>
        <v>0</v>
      </c>
      <c r="AO199" s="872">
        <f>AM199+AN199</f>
        <v>0</v>
      </c>
      <c r="AP199" s="48"/>
      <c r="AQ199" s="48"/>
      <c r="AR199" s="48"/>
      <c r="AS199" s="48"/>
    </row>
    <row r="200" spans="1:45" ht="4.5" hidden="1" customHeight="1" x14ac:dyDescent="0.2">
      <c r="A200" s="48"/>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9"/>
      <c r="AL200" s="48"/>
      <c r="AM200" s="48"/>
      <c r="AN200" s="48"/>
      <c r="AO200" s="48"/>
      <c r="AP200" s="48"/>
      <c r="AQ200" s="48"/>
      <c r="AR200" s="48"/>
      <c r="AS200" s="48"/>
    </row>
    <row r="201" spans="1:45" ht="26.25" hidden="1" customHeight="1" x14ac:dyDescent="0.2">
      <c r="A201" s="48"/>
      <c r="B201" s="48"/>
      <c r="C201" s="48"/>
      <c r="D201" s="48"/>
      <c r="E201" s="188"/>
      <c r="F201" s="188"/>
      <c r="G201" s="188"/>
      <c r="H201" s="188"/>
      <c r="I201" s="869" t="s">
        <v>415</v>
      </c>
      <c r="J201" s="870" t="s">
        <v>91</v>
      </c>
      <c r="K201" s="188"/>
      <c r="L201" s="186"/>
      <c r="M201" s="186"/>
      <c r="N201" s="186"/>
      <c r="O201" s="847"/>
      <c r="P201" s="847"/>
      <c r="Q201" s="186"/>
      <c r="R201" s="186"/>
      <c r="S201" s="186"/>
      <c r="T201" s="186"/>
      <c r="U201" s="186"/>
      <c r="V201" s="186"/>
      <c r="W201" s="186"/>
      <c r="X201" s="186"/>
      <c r="Y201" s="186"/>
      <c r="Z201" s="186"/>
      <c r="AA201" s="186"/>
      <c r="AB201" s="186"/>
      <c r="AC201" s="186"/>
      <c r="AD201" s="48"/>
      <c r="AE201" s="48"/>
      <c r="AF201" s="48"/>
      <c r="AG201" s="48"/>
      <c r="AH201" s="48"/>
      <c r="AI201" s="48"/>
      <c r="AJ201" s="48"/>
      <c r="AK201" s="48"/>
      <c r="AL201" s="48"/>
      <c r="AM201" s="48"/>
      <c r="AN201" s="48"/>
      <c r="AO201" s="48"/>
      <c r="AP201" s="48"/>
      <c r="AQ201" s="48"/>
      <c r="AR201" s="48"/>
      <c r="AS201" s="48"/>
    </row>
    <row r="202" spans="1:45" hidden="1" x14ac:dyDescent="0.2">
      <c r="A202" s="48"/>
      <c r="B202" s="48"/>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48"/>
      <c r="AI202" s="48"/>
      <c r="AJ202" s="48"/>
      <c r="AK202" s="48"/>
      <c r="AL202" s="48"/>
      <c r="AM202" s="48"/>
      <c r="AN202" s="48"/>
      <c r="AO202" s="48"/>
      <c r="AP202" s="48"/>
      <c r="AQ202" s="48"/>
      <c r="AR202" s="48"/>
      <c r="AS202" s="48"/>
    </row>
    <row r="203" spans="1:45" x14ac:dyDescent="0.2">
      <c r="A203" s="48"/>
      <c r="B203" s="48"/>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c r="AC203" s="48"/>
      <c r="AD203" s="48"/>
      <c r="AE203" s="48"/>
      <c r="AF203" s="48"/>
      <c r="AG203" s="48"/>
      <c r="AH203" s="48"/>
      <c r="AI203" s="48"/>
      <c r="AJ203" s="48"/>
      <c r="AK203" s="48"/>
      <c r="AL203" s="48"/>
      <c r="AM203" s="48"/>
      <c r="AN203" s="48"/>
      <c r="AO203" s="48"/>
      <c r="AP203" s="48"/>
      <c r="AQ203" s="48"/>
      <c r="AR203" s="48"/>
      <c r="AS203" s="48"/>
    </row>
    <row r="204" spans="1:45" x14ac:dyDescent="0.2">
      <c r="A204" s="48"/>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row>
  </sheetData>
  <sheetProtection password="9366" sheet="1" objects="1" scenarios="1" selectLockedCells="1"/>
  <mergeCells count="1280">
    <mergeCell ref="B5:H5"/>
    <mergeCell ref="I7:L7"/>
    <mergeCell ref="R82:U82"/>
    <mergeCell ref="J74:M74"/>
    <mergeCell ref="N74:Q74"/>
    <mergeCell ref="R78:U78"/>
    <mergeCell ref="R25:U25"/>
    <mergeCell ref="J71:M71"/>
    <mergeCell ref="J55:M55"/>
    <mergeCell ref="H153:I153"/>
    <mergeCell ref="H154:I154"/>
    <mergeCell ref="P157:R157"/>
    <mergeCell ref="S157:U157"/>
    <mergeCell ref="H103:J103"/>
    <mergeCell ref="K103:M103"/>
    <mergeCell ref="N103:P103"/>
    <mergeCell ref="AA154:AI154"/>
    <mergeCell ref="AD157:AF157"/>
    <mergeCell ref="AG157:AI157"/>
    <mergeCell ref="M157:O157"/>
    <mergeCell ref="V91:Y91"/>
    <mergeCell ref="V90:Y90"/>
    <mergeCell ref="W157:Y157"/>
    <mergeCell ref="E93:R93"/>
    <mergeCell ref="R75:U75"/>
    <mergeCell ref="J75:M75"/>
    <mergeCell ref="N75:Q75"/>
    <mergeCell ref="J54:M54"/>
    <mergeCell ref="AA157:AC157"/>
    <mergeCell ref="J154:L154"/>
    <mergeCell ref="M154:O154"/>
    <mergeCell ref="P154:R154"/>
    <mergeCell ref="AM178:AO178"/>
    <mergeCell ref="AM182:AO182"/>
    <mergeCell ref="AM186:AO186"/>
    <mergeCell ref="AM190:AO190"/>
    <mergeCell ref="S198:U198"/>
    <mergeCell ref="J25:M25"/>
    <mergeCell ref="J84:M84"/>
    <mergeCell ref="R84:U84"/>
    <mergeCell ref="J83:M83"/>
    <mergeCell ref="N83:Q83"/>
    <mergeCell ref="V199:Z199"/>
    <mergeCell ref="AM154:AO154"/>
    <mergeCell ref="AM158:AO158"/>
    <mergeCell ref="AM162:AO162"/>
    <mergeCell ref="AM166:AO166"/>
    <mergeCell ref="S158:U158"/>
    <mergeCell ref="AM194:AO194"/>
    <mergeCell ref="AM198:AO198"/>
    <mergeCell ref="AM170:AO170"/>
    <mergeCell ref="AM174:AO174"/>
    <mergeCell ref="AG198:AI198"/>
    <mergeCell ref="V198:Z198"/>
    <mergeCell ref="V195:Z195"/>
    <mergeCell ref="AG194:AI194"/>
    <mergeCell ref="V194:Z194"/>
    <mergeCell ref="AA191:AC191"/>
    <mergeCell ref="AD191:AF191"/>
    <mergeCell ref="AG191:AI191"/>
    <mergeCell ref="V191:Z191"/>
    <mergeCell ref="V190:Z190"/>
    <mergeCell ref="AA186:AC186"/>
    <mergeCell ref="AD186:AF186"/>
    <mergeCell ref="H199:I199"/>
    <mergeCell ref="J199:L199"/>
    <mergeCell ref="M199:O199"/>
    <mergeCell ref="P199:R199"/>
    <mergeCell ref="S199:U199"/>
    <mergeCell ref="AA199:AC199"/>
    <mergeCell ref="AD199:AF199"/>
    <mergeCell ref="AG199:AI199"/>
    <mergeCell ref="AA197:AC197"/>
    <mergeCell ref="AD197:AF197"/>
    <mergeCell ref="AG197:AI197"/>
    <mergeCell ref="W197:Y197"/>
    <mergeCell ref="H198:I198"/>
    <mergeCell ref="J198:L198"/>
    <mergeCell ref="M198:O198"/>
    <mergeCell ref="P198:R198"/>
    <mergeCell ref="AA198:AC198"/>
    <mergeCell ref="AD198:AF198"/>
    <mergeCell ref="H197:I197"/>
    <mergeCell ref="J197:L197"/>
    <mergeCell ref="M197:O197"/>
    <mergeCell ref="P197:R197"/>
    <mergeCell ref="S197:U197"/>
    <mergeCell ref="H195:I195"/>
    <mergeCell ref="J195:L195"/>
    <mergeCell ref="M195:O195"/>
    <mergeCell ref="P195:R195"/>
    <mergeCell ref="S195:U195"/>
    <mergeCell ref="AA195:AC195"/>
    <mergeCell ref="AD195:AF195"/>
    <mergeCell ref="AG195:AI195"/>
    <mergeCell ref="AD193:AF193"/>
    <mergeCell ref="AG193:AI193"/>
    <mergeCell ref="W193:Y193"/>
    <mergeCell ref="H194:I194"/>
    <mergeCell ref="J194:L194"/>
    <mergeCell ref="M194:O194"/>
    <mergeCell ref="P194:R194"/>
    <mergeCell ref="S194:U194"/>
    <mergeCell ref="AA194:AC194"/>
    <mergeCell ref="AD194:AF194"/>
    <mergeCell ref="H193:I193"/>
    <mergeCell ref="J193:L193"/>
    <mergeCell ref="M193:O193"/>
    <mergeCell ref="P193:R193"/>
    <mergeCell ref="S193:U193"/>
    <mergeCell ref="AA193:AC193"/>
    <mergeCell ref="H191:I191"/>
    <mergeCell ref="J191:L191"/>
    <mergeCell ref="M191:O191"/>
    <mergeCell ref="P191:R191"/>
    <mergeCell ref="S191:U191"/>
    <mergeCell ref="AG189:AI189"/>
    <mergeCell ref="W189:Y189"/>
    <mergeCell ref="H190:I190"/>
    <mergeCell ref="J190:L190"/>
    <mergeCell ref="M190:O190"/>
    <mergeCell ref="P190:R190"/>
    <mergeCell ref="S190:U190"/>
    <mergeCell ref="AA190:AC190"/>
    <mergeCell ref="AD190:AF190"/>
    <mergeCell ref="AG190:AI190"/>
    <mergeCell ref="AD187:AF187"/>
    <mergeCell ref="AG187:AI187"/>
    <mergeCell ref="V187:Z187"/>
    <mergeCell ref="H189:I189"/>
    <mergeCell ref="J189:L189"/>
    <mergeCell ref="M189:O189"/>
    <mergeCell ref="P189:R189"/>
    <mergeCell ref="S189:U189"/>
    <mergeCell ref="AA189:AC189"/>
    <mergeCell ref="AD189:AF189"/>
    <mergeCell ref="AG186:AI186"/>
    <mergeCell ref="V186:Z186"/>
    <mergeCell ref="H187:I187"/>
    <mergeCell ref="J187:L187"/>
    <mergeCell ref="M187:O187"/>
    <mergeCell ref="P187:R187"/>
    <mergeCell ref="S187:U187"/>
    <mergeCell ref="AA187:AC187"/>
    <mergeCell ref="W185:Y185"/>
    <mergeCell ref="H186:I186"/>
    <mergeCell ref="J186:L186"/>
    <mergeCell ref="M186:O186"/>
    <mergeCell ref="P186:R186"/>
    <mergeCell ref="S186:U186"/>
    <mergeCell ref="AG183:AI183"/>
    <mergeCell ref="V183:Z183"/>
    <mergeCell ref="H185:I185"/>
    <mergeCell ref="J185:L185"/>
    <mergeCell ref="M185:O185"/>
    <mergeCell ref="P185:R185"/>
    <mergeCell ref="S185:U185"/>
    <mergeCell ref="AA185:AC185"/>
    <mergeCell ref="AD185:AF185"/>
    <mergeCell ref="AG185:AI185"/>
    <mergeCell ref="AD182:AF182"/>
    <mergeCell ref="AG182:AI182"/>
    <mergeCell ref="V182:Z182"/>
    <mergeCell ref="H183:I183"/>
    <mergeCell ref="J183:L183"/>
    <mergeCell ref="M183:O183"/>
    <mergeCell ref="P183:R183"/>
    <mergeCell ref="S183:U183"/>
    <mergeCell ref="AA183:AC183"/>
    <mergeCell ref="AD183:AF183"/>
    <mergeCell ref="AA181:AC181"/>
    <mergeCell ref="AD181:AF181"/>
    <mergeCell ref="AG181:AI181"/>
    <mergeCell ref="W181:Y181"/>
    <mergeCell ref="H182:I182"/>
    <mergeCell ref="J182:L182"/>
    <mergeCell ref="M182:O182"/>
    <mergeCell ref="P182:R182"/>
    <mergeCell ref="S182:U182"/>
    <mergeCell ref="AA182:AC182"/>
    <mergeCell ref="V179:Z179"/>
    <mergeCell ref="H181:I181"/>
    <mergeCell ref="J181:L181"/>
    <mergeCell ref="M181:O181"/>
    <mergeCell ref="P181:R181"/>
    <mergeCell ref="S181:U181"/>
    <mergeCell ref="AG178:AI178"/>
    <mergeCell ref="V178:Z178"/>
    <mergeCell ref="H179:I179"/>
    <mergeCell ref="J179:L179"/>
    <mergeCell ref="M179:O179"/>
    <mergeCell ref="P179:R179"/>
    <mergeCell ref="S179:U179"/>
    <mergeCell ref="AA179:AC179"/>
    <mergeCell ref="AD179:AF179"/>
    <mergeCell ref="AG179:AI179"/>
    <mergeCell ref="AD177:AF177"/>
    <mergeCell ref="AG177:AI177"/>
    <mergeCell ref="W177:Y177"/>
    <mergeCell ref="H178:I178"/>
    <mergeCell ref="J178:L178"/>
    <mergeCell ref="M178:O178"/>
    <mergeCell ref="P178:R178"/>
    <mergeCell ref="S178:U178"/>
    <mergeCell ref="AA178:AC178"/>
    <mergeCell ref="AD178:AF178"/>
    <mergeCell ref="AA175:AC175"/>
    <mergeCell ref="AD175:AF175"/>
    <mergeCell ref="AG175:AI175"/>
    <mergeCell ref="V175:Z175"/>
    <mergeCell ref="H177:I177"/>
    <mergeCell ref="J177:L177"/>
    <mergeCell ref="M177:O177"/>
    <mergeCell ref="P177:R177"/>
    <mergeCell ref="S177:U177"/>
    <mergeCell ref="AA177:AC177"/>
    <mergeCell ref="V174:Z174"/>
    <mergeCell ref="H175:I175"/>
    <mergeCell ref="J175:L175"/>
    <mergeCell ref="M175:O175"/>
    <mergeCell ref="P175:R175"/>
    <mergeCell ref="S175:U175"/>
    <mergeCell ref="AG173:AI173"/>
    <mergeCell ref="W173:Y173"/>
    <mergeCell ref="H174:I174"/>
    <mergeCell ref="J174:L174"/>
    <mergeCell ref="M174:O174"/>
    <mergeCell ref="P174:R174"/>
    <mergeCell ref="S174:U174"/>
    <mergeCell ref="AA174:AC174"/>
    <mergeCell ref="AD174:AF174"/>
    <mergeCell ref="AG174:AI174"/>
    <mergeCell ref="AD171:AF171"/>
    <mergeCell ref="AG171:AI171"/>
    <mergeCell ref="V171:Z171"/>
    <mergeCell ref="H173:I173"/>
    <mergeCell ref="J173:L173"/>
    <mergeCell ref="M173:O173"/>
    <mergeCell ref="P173:R173"/>
    <mergeCell ref="S173:U173"/>
    <mergeCell ref="AA173:AC173"/>
    <mergeCell ref="AD173:AF173"/>
    <mergeCell ref="AA170:AC170"/>
    <mergeCell ref="AD170:AF170"/>
    <mergeCell ref="AG170:AI170"/>
    <mergeCell ref="V170:Z170"/>
    <mergeCell ref="H171:I171"/>
    <mergeCell ref="J171:L171"/>
    <mergeCell ref="M171:O171"/>
    <mergeCell ref="P171:R171"/>
    <mergeCell ref="S171:U171"/>
    <mergeCell ref="AA171:AC171"/>
    <mergeCell ref="W169:Y169"/>
    <mergeCell ref="H170:I170"/>
    <mergeCell ref="J170:L170"/>
    <mergeCell ref="M170:O170"/>
    <mergeCell ref="P170:R170"/>
    <mergeCell ref="S170:U170"/>
    <mergeCell ref="AG167:AI167"/>
    <mergeCell ref="V167:Z167"/>
    <mergeCell ref="H169:I169"/>
    <mergeCell ref="J169:L169"/>
    <mergeCell ref="M169:O169"/>
    <mergeCell ref="P169:R169"/>
    <mergeCell ref="S169:U169"/>
    <mergeCell ref="AA169:AC169"/>
    <mergeCell ref="AD169:AF169"/>
    <mergeCell ref="AG169:AI169"/>
    <mergeCell ref="AD166:AF166"/>
    <mergeCell ref="AG166:AI166"/>
    <mergeCell ref="V166:Z166"/>
    <mergeCell ref="H167:I167"/>
    <mergeCell ref="J167:L167"/>
    <mergeCell ref="M167:O167"/>
    <mergeCell ref="P167:R167"/>
    <mergeCell ref="S167:U167"/>
    <mergeCell ref="AA167:AC167"/>
    <mergeCell ref="AD167:AF167"/>
    <mergeCell ref="AA165:AC165"/>
    <mergeCell ref="AD165:AF165"/>
    <mergeCell ref="AG165:AI165"/>
    <mergeCell ref="W165:Y165"/>
    <mergeCell ref="H166:I166"/>
    <mergeCell ref="J166:L166"/>
    <mergeCell ref="M166:O166"/>
    <mergeCell ref="P166:R166"/>
    <mergeCell ref="S166:U166"/>
    <mergeCell ref="AA166:AC166"/>
    <mergeCell ref="V163:Z163"/>
    <mergeCell ref="H165:I165"/>
    <mergeCell ref="J165:L165"/>
    <mergeCell ref="M165:O165"/>
    <mergeCell ref="P165:R165"/>
    <mergeCell ref="S165:U165"/>
    <mergeCell ref="AG162:AI162"/>
    <mergeCell ref="V162:Z162"/>
    <mergeCell ref="H163:I163"/>
    <mergeCell ref="J163:L163"/>
    <mergeCell ref="M163:O163"/>
    <mergeCell ref="P163:R163"/>
    <mergeCell ref="S163:U163"/>
    <mergeCell ref="AA163:AC163"/>
    <mergeCell ref="AD163:AF163"/>
    <mergeCell ref="AG163:AI163"/>
    <mergeCell ref="AD161:AF161"/>
    <mergeCell ref="AG161:AI161"/>
    <mergeCell ref="W161:Y161"/>
    <mergeCell ref="H162:I162"/>
    <mergeCell ref="J162:L162"/>
    <mergeCell ref="M162:O162"/>
    <mergeCell ref="P162:R162"/>
    <mergeCell ref="S162:U162"/>
    <mergeCell ref="AA162:AC162"/>
    <mergeCell ref="AD162:AF162"/>
    <mergeCell ref="H161:I161"/>
    <mergeCell ref="J161:L161"/>
    <mergeCell ref="M161:O161"/>
    <mergeCell ref="P161:R161"/>
    <mergeCell ref="S161:U161"/>
    <mergeCell ref="AA161:AC161"/>
    <mergeCell ref="AG158:AI158"/>
    <mergeCell ref="H159:I159"/>
    <mergeCell ref="J159:L159"/>
    <mergeCell ref="M159:O159"/>
    <mergeCell ref="P159:R159"/>
    <mergeCell ref="S159:U159"/>
    <mergeCell ref="AA159:AC159"/>
    <mergeCell ref="AD159:AF159"/>
    <mergeCell ref="AG159:AI159"/>
    <mergeCell ref="V159:Z159"/>
    <mergeCell ref="AA158:AC158"/>
    <mergeCell ref="AD158:AF158"/>
    <mergeCell ref="H158:I158"/>
    <mergeCell ref="J158:L158"/>
    <mergeCell ref="M158:O158"/>
    <mergeCell ref="P158:R158"/>
    <mergeCell ref="V158:Z158"/>
    <mergeCell ref="J157:L157"/>
    <mergeCell ref="AI72:AL72"/>
    <mergeCell ref="AI78:AL78"/>
    <mergeCell ref="AI83:AL83"/>
    <mergeCell ref="AI73:AL73"/>
    <mergeCell ref="AI75:AL75"/>
    <mergeCell ref="AI74:AL74"/>
    <mergeCell ref="AE83:AH83"/>
    <mergeCell ref="AE82:AH82"/>
    <mergeCell ref="AE79:AH79"/>
    <mergeCell ref="AE78:AH78"/>
    <mergeCell ref="AI84:AL84"/>
    <mergeCell ref="AI81:AL81"/>
    <mergeCell ref="AI82:AL82"/>
    <mergeCell ref="AE84:AH84"/>
    <mergeCell ref="V89:Y89"/>
    <mergeCell ref="AA89:AD89"/>
    <mergeCell ref="AE89:AH89"/>
    <mergeCell ref="AA88:AD88"/>
    <mergeCell ref="AE88:AH88"/>
    <mergeCell ref="V84:Y84"/>
    <mergeCell ref="N90:Q90"/>
    <mergeCell ref="J82:M82"/>
    <mergeCell ref="AA77:AD77"/>
    <mergeCell ref="AA79:AD79"/>
    <mergeCell ref="Q105:S105"/>
    <mergeCell ref="AL107:AN107"/>
    <mergeCell ref="R77:U77"/>
    <mergeCell ref="AI90:AL90"/>
    <mergeCell ref="N86:Q86"/>
    <mergeCell ref="R86:U86"/>
    <mergeCell ref="H155:I155"/>
    <mergeCell ref="H157:I157"/>
    <mergeCell ref="AB142:AC142"/>
    <mergeCell ref="Q102:S102"/>
    <mergeCell ref="AA84:AD84"/>
    <mergeCell ref="J85:M85"/>
    <mergeCell ref="J86:M86"/>
    <mergeCell ref="V83:Y83"/>
    <mergeCell ref="V82:Y82"/>
    <mergeCell ref="N82:Q82"/>
    <mergeCell ref="V79:Y79"/>
    <mergeCell ref="V81:Y81"/>
    <mergeCell ref="R81:U81"/>
    <mergeCell ref="R79:U79"/>
    <mergeCell ref="R83:U83"/>
    <mergeCell ref="V78:Y78"/>
    <mergeCell ref="V154:Z154"/>
    <mergeCell ref="N85:Q85"/>
    <mergeCell ref="R85:U85"/>
    <mergeCell ref="V85:Y85"/>
    <mergeCell ref="AA85:AD85"/>
    <mergeCell ref="AC103:AE103"/>
    <mergeCell ref="T106:V106"/>
    <mergeCell ref="K105:M105"/>
    <mergeCell ref="N105:P105"/>
    <mergeCell ref="K106:M106"/>
    <mergeCell ref="N106:P106"/>
    <mergeCell ref="Q112:S112"/>
    <mergeCell ref="T112:V112"/>
    <mergeCell ref="Q104:S104"/>
    <mergeCell ref="AC105:AE105"/>
    <mergeCell ref="N84:Q84"/>
    <mergeCell ref="V86:Y86"/>
    <mergeCell ref="N87:Q87"/>
    <mergeCell ref="R87:U87"/>
    <mergeCell ref="AA87:AD87"/>
    <mergeCell ref="AE87:AH87"/>
    <mergeCell ref="AI87:AL87"/>
    <mergeCell ref="AI88:AL88"/>
    <mergeCell ref="AI77:AL77"/>
    <mergeCell ref="AA76:AD76"/>
    <mergeCell ref="AE76:AH76"/>
    <mergeCell ref="AL105:AN105"/>
    <mergeCell ref="AI104:AK104"/>
    <mergeCell ref="AL104:AN104"/>
    <mergeCell ref="AF105:AH105"/>
    <mergeCell ref="AA90:AD90"/>
    <mergeCell ref="AA82:AD82"/>
    <mergeCell ref="AA78:AD78"/>
    <mergeCell ref="AC104:AE104"/>
    <mergeCell ref="AI105:AK105"/>
    <mergeCell ref="N55:Q55"/>
    <mergeCell ref="AI52:AL52"/>
    <mergeCell ref="V53:Y53"/>
    <mergeCell ref="AA53:AD53"/>
    <mergeCell ref="AA59:AD59"/>
    <mergeCell ref="V59:Y59"/>
    <mergeCell ref="V58:Y58"/>
    <mergeCell ref="AA57:AD57"/>
    <mergeCell ref="V65:Y65"/>
    <mergeCell ref="AA64:AD64"/>
    <mergeCell ref="V67:Y67"/>
    <mergeCell ref="V69:Y69"/>
    <mergeCell ref="AE59:AH59"/>
    <mergeCell ref="AE66:AH66"/>
    <mergeCell ref="AI66:AL66"/>
    <mergeCell ref="N66:Q66"/>
    <mergeCell ref="R66:U66"/>
    <mergeCell ref="V66:Y66"/>
    <mergeCell ref="V62:Y62"/>
    <mergeCell ref="V63:Y63"/>
    <mergeCell ref="V64:Y64"/>
    <mergeCell ref="AE57:AH57"/>
    <mergeCell ref="AI60:AL60"/>
    <mergeCell ref="AA60:AD60"/>
    <mergeCell ref="R65:U65"/>
    <mergeCell ref="R69:U69"/>
    <mergeCell ref="R64:U64"/>
    <mergeCell ref="N64:Q64"/>
    <mergeCell ref="AE69:AH69"/>
    <mergeCell ref="AI69:AL69"/>
    <mergeCell ref="AA69:AD69"/>
    <mergeCell ref="N48:Q48"/>
    <mergeCell ref="R48:U48"/>
    <mergeCell ref="V48:Y48"/>
    <mergeCell ref="AA48:AD48"/>
    <mergeCell ref="AE48:AH48"/>
    <mergeCell ref="AI48:AL48"/>
    <mergeCell ref="N47:Q47"/>
    <mergeCell ref="R47:U47"/>
    <mergeCell ref="N45:Q45"/>
    <mergeCell ref="R45:U45"/>
    <mergeCell ref="V45:Y45"/>
    <mergeCell ref="J45:M45"/>
    <mergeCell ref="J46:M46"/>
    <mergeCell ref="J47:M47"/>
    <mergeCell ref="V47:Y47"/>
    <mergeCell ref="N46:Q46"/>
    <mergeCell ref="N54:Q54"/>
    <mergeCell ref="R54:U54"/>
    <mergeCell ref="V54:Y54"/>
    <mergeCell ref="AA50:AD50"/>
    <mergeCell ref="AE50:AH50"/>
    <mergeCell ref="AI50:AL50"/>
    <mergeCell ref="AA51:AD51"/>
    <mergeCell ref="J49:M49"/>
    <mergeCell ref="N49:Q49"/>
    <mergeCell ref="J50:M50"/>
    <mergeCell ref="J53:M53"/>
    <mergeCell ref="N53:Q53"/>
    <mergeCell ref="J51:M51"/>
    <mergeCell ref="J52:M52"/>
    <mergeCell ref="N52:Q52"/>
    <mergeCell ref="N51:Q51"/>
    <mergeCell ref="J8:K8"/>
    <mergeCell ref="R11:U11"/>
    <mergeCell ref="N16:Q16"/>
    <mergeCell ref="J11:M11"/>
    <mergeCell ref="N11:Q11"/>
    <mergeCell ref="R13:U13"/>
    <mergeCell ref="V13:Y13"/>
    <mergeCell ref="R46:U46"/>
    <mergeCell ref="N8:O8"/>
    <mergeCell ref="B2:V2"/>
    <mergeCell ref="W2:AM2"/>
    <mergeCell ref="W102:Y102"/>
    <mergeCell ref="AL101:AN101"/>
    <mergeCell ref="AI11:AL11"/>
    <mergeCell ref="AI13:AL13"/>
    <mergeCell ref="AE13:AH13"/>
    <mergeCell ref="V12:Y12"/>
    <mergeCell ref="J43:M43"/>
    <mergeCell ref="N19:Q19"/>
    <mergeCell ref="V43:Y43"/>
    <mergeCell ref="B7:H7"/>
    <mergeCell ref="F8:G8"/>
    <mergeCell ref="V11:Y11"/>
    <mergeCell ref="N25:Q25"/>
    <mergeCell ref="R8:S8"/>
    <mergeCell ref="R14:U14"/>
    <mergeCell ref="N14:Q14"/>
    <mergeCell ref="V25:Y25"/>
    <mergeCell ref="K10:L10"/>
    <mergeCell ref="R12:U12"/>
    <mergeCell ref="N12:Q12"/>
    <mergeCell ref="J9:M9"/>
    <mergeCell ref="N9:Q9"/>
    <mergeCell ref="R9:U9"/>
    <mergeCell ref="O10:P10"/>
    <mergeCell ref="V14:Y14"/>
    <mergeCell ref="AA14:AD14"/>
    <mergeCell ref="AE14:AH14"/>
    <mergeCell ref="J16:M16"/>
    <mergeCell ref="J12:M12"/>
    <mergeCell ref="J13:M13"/>
    <mergeCell ref="J14:M14"/>
    <mergeCell ref="N13:Q13"/>
    <mergeCell ref="R16:U16"/>
    <mergeCell ref="AE46:AH46"/>
    <mergeCell ref="AI46:AL46"/>
    <mergeCell ref="AA45:AD45"/>
    <mergeCell ref="AE45:AH45"/>
    <mergeCell ref="AI18:AL18"/>
    <mergeCell ref="V18:Y18"/>
    <mergeCell ref="AA19:AD19"/>
    <mergeCell ref="AE19:AH19"/>
    <mergeCell ref="AI19:AL19"/>
    <mergeCell ref="V46:Y46"/>
    <mergeCell ref="N43:Q43"/>
    <mergeCell ref="N33:Q33"/>
    <mergeCell ref="R33:U33"/>
    <mergeCell ref="R43:U43"/>
    <mergeCell ref="N35:Q35"/>
    <mergeCell ref="R37:U37"/>
    <mergeCell ref="R36:U36"/>
    <mergeCell ref="R35:U35"/>
    <mergeCell ref="R42:U42"/>
    <mergeCell ref="N37:Q37"/>
    <mergeCell ref="AI29:AL29"/>
    <mergeCell ref="R20:U20"/>
    <mergeCell ref="AA25:AL25"/>
    <mergeCell ref="AA29:AD29"/>
    <mergeCell ref="AE29:AH29"/>
    <mergeCell ref="K102:M102"/>
    <mergeCell ref="N102:P102"/>
    <mergeCell ref="K101:M101"/>
    <mergeCell ref="C106:D106"/>
    <mergeCell ref="C103:D103"/>
    <mergeCell ref="E103:G103"/>
    <mergeCell ref="K104:M104"/>
    <mergeCell ref="N104:P104"/>
    <mergeCell ref="N101:P101"/>
    <mergeCell ref="C107:D107"/>
    <mergeCell ref="E104:G104"/>
    <mergeCell ref="H104:J104"/>
    <mergeCell ref="E107:G107"/>
    <mergeCell ref="E106:G106"/>
    <mergeCell ref="H106:J106"/>
    <mergeCell ref="C105:D105"/>
    <mergeCell ref="E105:G105"/>
    <mergeCell ref="H105:J105"/>
    <mergeCell ref="H107:J107"/>
    <mergeCell ref="E100:G100"/>
    <mergeCell ref="C104:D104"/>
    <mergeCell ref="H100:J100"/>
    <mergeCell ref="E102:G102"/>
    <mergeCell ref="H102:J102"/>
    <mergeCell ref="E101:G101"/>
    <mergeCell ref="J48:M48"/>
    <mergeCell ref="AI47:AL47"/>
    <mergeCell ref="C101:D101"/>
    <mergeCell ref="C102:D102"/>
    <mergeCell ref="AL102:AN102"/>
    <mergeCell ref="K100:M100"/>
    <mergeCell ref="N100:P100"/>
    <mergeCell ref="Q100:S100"/>
    <mergeCell ref="AL100:AN100"/>
    <mergeCell ref="Z100:AB100"/>
    <mergeCell ref="AC100:AE100"/>
    <mergeCell ref="AF100:AH100"/>
    <mergeCell ref="AI100:AK100"/>
    <mergeCell ref="Q101:S101"/>
    <mergeCell ref="AI101:AK101"/>
    <mergeCell ref="AF101:AH101"/>
    <mergeCell ref="AI102:AK102"/>
    <mergeCell ref="AC102:AE102"/>
    <mergeCell ref="AF102:AH102"/>
    <mergeCell ref="H101:J101"/>
    <mergeCell ref="W100:Y100"/>
    <mergeCell ref="AL106:AN106"/>
    <mergeCell ref="AI107:AK107"/>
    <mergeCell ref="AI106:AK106"/>
    <mergeCell ref="Z106:AB106"/>
    <mergeCell ref="W106:Y106"/>
    <mergeCell ref="AA13:AD13"/>
    <mergeCell ref="Q107:S107"/>
    <mergeCell ref="Q106:S106"/>
    <mergeCell ref="T105:V105"/>
    <mergeCell ref="W103:Y103"/>
    <mergeCell ref="Z105:AB105"/>
    <mergeCell ref="AE42:AH42"/>
    <mergeCell ref="AA37:AL37"/>
    <mergeCell ref="AI39:AL39"/>
    <mergeCell ref="AI42:AL42"/>
    <mergeCell ref="T103:V103"/>
    <mergeCell ref="AE53:AH53"/>
    <mergeCell ref="AI53:AL53"/>
    <mergeCell ref="AE51:AH51"/>
    <mergeCell ref="AI51:AL51"/>
    <mergeCell ref="AA52:AD52"/>
    <mergeCell ref="AE52:AH52"/>
    <mergeCell ref="AA54:AD54"/>
    <mergeCell ref="AE61:AH61"/>
    <mergeCell ref="AI61:AL61"/>
    <mergeCell ref="R55:U55"/>
    <mergeCell ref="V55:Y55"/>
    <mergeCell ref="AA55:AD55"/>
    <mergeCell ref="AE55:AH55"/>
    <mergeCell ref="AI55:AL55"/>
    <mergeCell ref="V76:Y76"/>
    <mergeCell ref="AI27:AL27"/>
    <mergeCell ref="AI9:AL9"/>
    <mergeCell ref="AI16:AL16"/>
    <mergeCell ref="AJ10:AK10"/>
    <mergeCell ref="AI14:AL14"/>
    <mergeCell ref="AI12:AL12"/>
    <mergeCell ref="AA16:AD16"/>
    <mergeCell ref="AE30:AH30"/>
    <mergeCell ref="AA39:AD39"/>
    <mergeCell ref="AE39:AH39"/>
    <mergeCell ref="AE41:AH41"/>
    <mergeCell ref="AA36:AD36"/>
    <mergeCell ref="AE36:AH36"/>
    <mergeCell ref="AA86:AD86"/>
    <mergeCell ref="AE86:AH86"/>
    <mergeCell ref="AF107:AH107"/>
    <mergeCell ref="AC107:AE107"/>
    <mergeCell ref="W107:Y107"/>
    <mergeCell ref="Z107:AB107"/>
    <mergeCell ref="Z104:AB104"/>
    <mergeCell ref="AF103:AH103"/>
    <mergeCell ref="AF104:AH104"/>
    <mergeCell ref="AC101:AE101"/>
    <mergeCell ref="Z103:AB103"/>
    <mergeCell ref="AF106:AH106"/>
    <mergeCell ref="AC106:AE106"/>
    <mergeCell ref="AA81:AD81"/>
    <mergeCell ref="AE81:AH81"/>
    <mergeCell ref="AA83:AD83"/>
    <mergeCell ref="AA91:AD91"/>
    <mergeCell ref="AE91:AH91"/>
    <mergeCell ref="AE85:AH85"/>
    <mergeCell ref="AA9:AD9"/>
    <mergeCell ref="AF10:AG10"/>
    <mergeCell ref="Z102:AB102"/>
    <mergeCell ref="Z101:AB101"/>
    <mergeCell ref="W105:Y105"/>
    <mergeCell ref="T102:V102"/>
    <mergeCell ref="T101:V101"/>
    <mergeCell ref="T104:V104"/>
    <mergeCell ref="W104:Y104"/>
    <mergeCell ref="W101:Y101"/>
    <mergeCell ref="AA43:AL43"/>
    <mergeCell ref="AI45:AL45"/>
    <mergeCell ref="AA46:AD46"/>
    <mergeCell ref="AA47:AD47"/>
    <mergeCell ref="AE47:AH47"/>
    <mergeCell ref="V9:Y9"/>
    <mergeCell ref="AE12:AH12"/>
    <mergeCell ref="AB10:AC10"/>
    <mergeCell ref="AE11:AH11"/>
    <mergeCell ref="AE9:AH9"/>
    <mergeCell ref="AE64:AH64"/>
    <mergeCell ref="AI64:AL64"/>
    <mergeCell ref="AA65:AD65"/>
    <mergeCell ref="AE65:AH65"/>
    <mergeCell ref="AI65:AL65"/>
    <mergeCell ref="AA49:AD49"/>
    <mergeCell ref="AE49:AH49"/>
    <mergeCell ref="AI49:AL49"/>
    <mergeCell ref="AI54:AL54"/>
    <mergeCell ref="AE54:AH54"/>
    <mergeCell ref="V49:Y49"/>
    <mergeCell ref="R51:U51"/>
    <mergeCell ref="V51:Y51"/>
    <mergeCell ref="AO102:AQ102"/>
    <mergeCell ref="AA62:AD62"/>
    <mergeCell ref="AE62:AH62"/>
    <mergeCell ref="AI62:AL62"/>
    <mergeCell ref="AA63:AD63"/>
    <mergeCell ref="AE63:AH63"/>
    <mergeCell ref="AI63:AL63"/>
    <mergeCell ref="AA67:AD67"/>
    <mergeCell ref="AE67:AH67"/>
    <mergeCell ref="AI67:AL67"/>
    <mergeCell ref="AO103:AQ103"/>
    <mergeCell ref="AO104:AQ104"/>
    <mergeCell ref="AI79:AL79"/>
    <mergeCell ref="AI85:AL85"/>
    <mergeCell ref="AI86:AL86"/>
    <mergeCell ref="AO100:AQ100"/>
    <mergeCell ref="AO101:AQ101"/>
    <mergeCell ref="AI91:AL91"/>
    <mergeCell ref="AL103:AN103"/>
    <mergeCell ref="AI103:AK103"/>
    <mergeCell ref="AI76:AL76"/>
    <mergeCell ref="AA66:AD66"/>
    <mergeCell ref="AE73:AH73"/>
    <mergeCell ref="AA74:AD74"/>
    <mergeCell ref="AE74:AH74"/>
    <mergeCell ref="AA75:AD75"/>
    <mergeCell ref="AE75:AH75"/>
    <mergeCell ref="AI89:AL89"/>
    <mergeCell ref="AE90:AH90"/>
    <mergeCell ref="AE77:AH77"/>
    <mergeCell ref="AA72:AD72"/>
    <mergeCell ref="AE72:AH72"/>
    <mergeCell ref="AO105:AQ105"/>
    <mergeCell ref="AO106:AQ106"/>
    <mergeCell ref="AO107:AQ107"/>
    <mergeCell ref="S10:T10"/>
    <mergeCell ref="AA11:AD11"/>
    <mergeCell ref="AA12:AD12"/>
    <mergeCell ref="W10:X10"/>
    <mergeCell ref="AI30:AL30"/>
    <mergeCell ref="V30:Y30"/>
    <mergeCell ref="AA30:AD30"/>
    <mergeCell ref="AE27:AH27"/>
    <mergeCell ref="AE16:AH16"/>
    <mergeCell ref="J20:M20"/>
    <mergeCell ref="R27:U27"/>
    <mergeCell ref="R18:U18"/>
    <mergeCell ref="V20:Y20"/>
    <mergeCell ref="AA20:AL20"/>
    <mergeCell ref="AE18:AH18"/>
    <mergeCell ref="V27:Y27"/>
    <mergeCell ref="V19:Y19"/>
    <mergeCell ref="N31:Q31"/>
    <mergeCell ref="R31:U31"/>
    <mergeCell ref="V42:Y42"/>
    <mergeCell ref="AA42:AD42"/>
    <mergeCell ref="N76:Q76"/>
    <mergeCell ref="N78:Q78"/>
    <mergeCell ref="R50:U50"/>
    <mergeCell ref="V50:Y50"/>
    <mergeCell ref="R49:U49"/>
    <mergeCell ref="R53:U53"/>
    <mergeCell ref="R52:U52"/>
    <mergeCell ref="V52:Y52"/>
    <mergeCell ref="J18:M18"/>
    <mergeCell ref="N18:Q18"/>
    <mergeCell ref="J19:M19"/>
    <mergeCell ref="AA27:AD27"/>
    <mergeCell ref="AA18:AD18"/>
    <mergeCell ref="N20:Q20"/>
    <mergeCell ref="V16:Y16"/>
    <mergeCell ref="R19:U19"/>
    <mergeCell ref="C29:D29"/>
    <mergeCell ref="J29:M29"/>
    <mergeCell ref="N29:Q29"/>
    <mergeCell ref="R29:U29"/>
    <mergeCell ref="C13:D13"/>
    <mergeCell ref="C27:D27"/>
    <mergeCell ref="J27:M27"/>
    <mergeCell ref="N27:Q27"/>
    <mergeCell ref="C19:D19"/>
    <mergeCell ref="C14:D14"/>
    <mergeCell ref="V29:Y29"/>
    <mergeCell ref="J30:M30"/>
    <mergeCell ref="N30:Q30"/>
    <mergeCell ref="R30:U30"/>
    <mergeCell ref="E35:H35"/>
    <mergeCell ref="C33:D33"/>
    <mergeCell ref="J33:M33"/>
    <mergeCell ref="C35:D35"/>
    <mergeCell ref="J35:M35"/>
    <mergeCell ref="J31:M31"/>
    <mergeCell ref="V35:Y35"/>
    <mergeCell ref="AA31:AL31"/>
    <mergeCell ref="V33:Y33"/>
    <mergeCell ref="AA33:AD33"/>
    <mergeCell ref="AE33:AH33"/>
    <mergeCell ref="AI33:AL33"/>
    <mergeCell ref="V31:Y31"/>
    <mergeCell ref="AI35:AL35"/>
    <mergeCell ref="AA35:AD35"/>
    <mergeCell ref="AE35:AH35"/>
    <mergeCell ref="J36:M36"/>
    <mergeCell ref="N36:Q36"/>
    <mergeCell ref="V36:Y36"/>
    <mergeCell ref="E36:H36"/>
    <mergeCell ref="J37:M37"/>
    <mergeCell ref="V41:Y41"/>
    <mergeCell ref="J39:M39"/>
    <mergeCell ref="N39:Q39"/>
    <mergeCell ref="R39:U39"/>
    <mergeCell ref="V39:Y39"/>
    <mergeCell ref="AI36:AL36"/>
    <mergeCell ref="V37:Y37"/>
    <mergeCell ref="AI41:AL41"/>
    <mergeCell ref="AA41:AD41"/>
    <mergeCell ref="C39:D39"/>
    <mergeCell ref="E41:H41"/>
    <mergeCell ref="C41:D41"/>
    <mergeCell ref="R41:U41"/>
    <mergeCell ref="E39:H39"/>
    <mergeCell ref="J41:M41"/>
    <mergeCell ref="N41:Q41"/>
    <mergeCell ref="J42:M42"/>
    <mergeCell ref="N42:Q42"/>
    <mergeCell ref="E42:H42"/>
    <mergeCell ref="V70:Y70"/>
    <mergeCell ref="E109:G109"/>
    <mergeCell ref="H109:J109"/>
    <mergeCell ref="K109:M109"/>
    <mergeCell ref="N109:P109"/>
    <mergeCell ref="T107:V107"/>
    <mergeCell ref="T100:V100"/>
    <mergeCell ref="Q103:S103"/>
    <mergeCell ref="K107:M107"/>
    <mergeCell ref="N107:P107"/>
    <mergeCell ref="C111:D111"/>
    <mergeCell ref="E111:G111"/>
    <mergeCell ref="H111:J111"/>
    <mergeCell ref="K111:M111"/>
    <mergeCell ref="W110:Y110"/>
    <mergeCell ref="Q109:S109"/>
    <mergeCell ref="T109:V109"/>
    <mergeCell ref="W109:Y109"/>
    <mergeCell ref="N111:P111"/>
    <mergeCell ref="Q111:S111"/>
    <mergeCell ref="T111:V111"/>
    <mergeCell ref="E110:G110"/>
    <mergeCell ref="H110:J110"/>
    <mergeCell ref="K110:M110"/>
    <mergeCell ref="N110:P110"/>
    <mergeCell ref="Q110:S110"/>
    <mergeCell ref="T110:V110"/>
    <mergeCell ref="N77:Q77"/>
    <mergeCell ref="C100:D100"/>
    <mergeCell ref="C112:D112"/>
    <mergeCell ref="E112:G112"/>
    <mergeCell ref="H112:J112"/>
    <mergeCell ref="K112:M112"/>
    <mergeCell ref="W111:Y111"/>
    <mergeCell ref="C113:D113"/>
    <mergeCell ref="E113:G113"/>
    <mergeCell ref="H113:J113"/>
    <mergeCell ref="K113:M113"/>
    <mergeCell ref="N113:P113"/>
    <mergeCell ref="Q113:S113"/>
    <mergeCell ref="T113:V113"/>
    <mergeCell ref="W113:Y113"/>
    <mergeCell ref="N112:P112"/>
    <mergeCell ref="T114:V114"/>
    <mergeCell ref="W114:Y114"/>
    <mergeCell ref="C114:D114"/>
    <mergeCell ref="E114:G114"/>
    <mergeCell ref="H114:J114"/>
    <mergeCell ref="K114:M114"/>
    <mergeCell ref="W112:Y112"/>
    <mergeCell ref="C115:D115"/>
    <mergeCell ref="E115:G115"/>
    <mergeCell ref="H115:J115"/>
    <mergeCell ref="K115:M115"/>
    <mergeCell ref="N114:P114"/>
    <mergeCell ref="Q114:S114"/>
    <mergeCell ref="N115:P115"/>
    <mergeCell ref="Q115:S115"/>
    <mergeCell ref="T115:V115"/>
    <mergeCell ref="C116:D116"/>
    <mergeCell ref="E116:G116"/>
    <mergeCell ref="H116:J116"/>
    <mergeCell ref="K116:M116"/>
    <mergeCell ref="N116:P116"/>
    <mergeCell ref="Q116:S116"/>
    <mergeCell ref="T116:V116"/>
    <mergeCell ref="W116:Y116"/>
    <mergeCell ref="W115:Y115"/>
    <mergeCell ref="C117:D117"/>
    <mergeCell ref="E117:G117"/>
    <mergeCell ref="H117:J117"/>
    <mergeCell ref="K117:M117"/>
    <mergeCell ref="N117:P117"/>
    <mergeCell ref="Q117:S117"/>
    <mergeCell ref="T117:V117"/>
    <mergeCell ref="W117:Y117"/>
    <mergeCell ref="T118:V118"/>
    <mergeCell ref="W118:Y118"/>
    <mergeCell ref="C118:D118"/>
    <mergeCell ref="E118:G118"/>
    <mergeCell ref="H118:J118"/>
    <mergeCell ref="K118:M118"/>
    <mergeCell ref="C119:D119"/>
    <mergeCell ref="E119:G119"/>
    <mergeCell ref="H119:J119"/>
    <mergeCell ref="K119:M119"/>
    <mergeCell ref="N118:P118"/>
    <mergeCell ref="Q118:S118"/>
    <mergeCell ref="N119:P119"/>
    <mergeCell ref="Q119:S119"/>
    <mergeCell ref="T119:V119"/>
    <mergeCell ref="C120:D120"/>
    <mergeCell ref="E120:G120"/>
    <mergeCell ref="H120:J120"/>
    <mergeCell ref="K120:M120"/>
    <mergeCell ref="N120:P120"/>
    <mergeCell ref="Q120:S120"/>
    <mergeCell ref="T120:V120"/>
    <mergeCell ref="W120:Y120"/>
    <mergeCell ref="W119:Y119"/>
    <mergeCell ref="W121:Y121"/>
    <mergeCell ref="C121:D121"/>
    <mergeCell ref="E121:G121"/>
    <mergeCell ref="H121:J121"/>
    <mergeCell ref="K121:M121"/>
    <mergeCell ref="N121:P121"/>
    <mergeCell ref="Q121:S121"/>
    <mergeCell ref="T121:V121"/>
    <mergeCell ref="C122:D122"/>
    <mergeCell ref="E122:G122"/>
    <mergeCell ref="H122:J122"/>
    <mergeCell ref="K122:M122"/>
    <mergeCell ref="N123:P123"/>
    <mergeCell ref="Q123:S123"/>
    <mergeCell ref="T123:V123"/>
    <mergeCell ref="W123:Y123"/>
    <mergeCell ref="C123:D123"/>
    <mergeCell ref="E123:G123"/>
    <mergeCell ref="H123:J123"/>
    <mergeCell ref="K123:M123"/>
    <mergeCell ref="N124:P124"/>
    <mergeCell ref="Q124:S124"/>
    <mergeCell ref="T124:V124"/>
    <mergeCell ref="W124:Y124"/>
    <mergeCell ref="C124:D124"/>
    <mergeCell ref="E124:G124"/>
    <mergeCell ref="H124:J124"/>
    <mergeCell ref="K124:M124"/>
    <mergeCell ref="N122:P122"/>
    <mergeCell ref="Q122:S122"/>
    <mergeCell ref="T122:V122"/>
    <mergeCell ref="W122:Y122"/>
    <mergeCell ref="W125:Y125"/>
    <mergeCell ref="C125:D125"/>
    <mergeCell ref="E125:G125"/>
    <mergeCell ref="H125:J125"/>
    <mergeCell ref="K125:M125"/>
    <mergeCell ref="N126:P126"/>
    <mergeCell ref="Q126:S126"/>
    <mergeCell ref="T126:V126"/>
    <mergeCell ref="W126:Y126"/>
    <mergeCell ref="C126:D126"/>
    <mergeCell ref="E126:G126"/>
    <mergeCell ref="H126:J126"/>
    <mergeCell ref="K126:M126"/>
    <mergeCell ref="N127:P127"/>
    <mergeCell ref="Q127:S127"/>
    <mergeCell ref="T127:V127"/>
    <mergeCell ref="W127:Y127"/>
    <mergeCell ref="C127:D127"/>
    <mergeCell ref="E127:G127"/>
    <mergeCell ref="H127:J127"/>
    <mergeCell ref="K127:M127"/>
    <mergeCell ref="W128:Y128"/>
    <mergeCell ref="C128:D128"/>
    <mergeCell ref="E128:G128"/>
    <mergeCell ref="H128:J128"/>
    <mergeCell ref="K128:M128"/>
    <mergeCell ref="N129:P129"/>
    <mergeCell ref="Q129:S129"/>
    <mergeCell ref="T129:V129"/>
    <mergeCell ref="W129:Y129"/>
    <mergeCell ref="C129:D129"/>
    <mergeCell ref="E129:G129"/>
    <mergeCell ref="H129:J129"/>
    <mergeCell ref="K129:M129"/>
    <mergeCell ref="N130:P130"/>
    <mergeCell ref="Q130:S130"/>
    <mergeCell ref="T130:V130"/>
    <mergeCell ref="W130:Y130"/>
    <mergeCell ref="C130:D130"/>
    <mergeCell ref="E130:G130"/>
    <mergeCell ref="H130:J130"/>
    <mergeCell ref="K130:M130"/>
    <mergeCell ref="W131:Y131"/>
    <mergeCell ref="C131:D131"/>
    <mergeCell ref="E131:G131"/>
    <mergeCell ref="H131:J131"/>
    <mergeCell ref="K131:M131"/>
    <mergeCell ref="N132:P132"/>
    <mergeCell ref="Q132:S132"/>
    <mergeCell ref="T132:V132"/>
    <mergeCell ref="W132:Y132"/>
    <mergeCell ref="C132:D132"/>
    <mergeCell ref="E132:G132"/>
    <mergeCell ref="H132:J132"/>
    <mergeCell ref="K132:M132"/>
    <mergeCell ref="N133:P133"/>
    <mergeCell ref="Q133:S133"/>
    <mergeCell ref="T133:V133"/>
    <mergeCell ref="W133:Y133"/>
    <mergeCell ref="C133:D133"/>
    <mergeCell ref="E133:G133"/>
    <mergeCell ref="H133:J133"/>
    <mergeCell ref="K133:M133"/>
    <mergeCell ref="W134:Y134"/>
    <mergeCell ref="C134:D134"/>
    <mergeCell ref="E134:G134"/>
    <mergeCell ref="H134:J134"/>
    <mergeCell ref="K134:M134"/>
    <mergeCell ref="N135:P135"/>
    <mergeCell ref="Q135:S135"/>
    <mergeCell ref="T135:V135"/>
    <mergeCell ref="W135:Y135"/>
    <mergeCell ref="C135:D135"/>
    <mergeCell ref="E135:G135"/>
    <mergeCell ref="H135:J135"/>
    <mergeCell ref="K135:M135"/>
    <mergeCell ref="N136:P136"/>
    <mergeCell ref="Q136:S136"/>
    <mergeCell ref="T136:V136"/>
    <mergeCell ref="W136:Y136"/>
    <mergeCell ref="C136:D136"/>
    <mergeCell ref="E136:G136"/>
    <mergeCell ref="H136:J136"/>
    <mergeCell ref="K136:M136"/>
    <mergeCell ref="W137:Y137"/>
    <mergeCell ref="C137:D137"/>
    <mergeCell ref="E137:G137"/>
    <mergeCell ref="H137:J137"/>
    <mergeCell ref="K137:M137"/>
    <mergeCell ref="N138:P138"/>
    <mergeCell ref="Q138:S138"/>
    <mergeCell ref="T138:V138"/>
    <mergeCell ref="W138:Y138"/>
    <mergeCell ref="C138:D138"/>
    <mergeCell ref="E138:G138"/>
    <mergeCell ref="H138:J138"/>
    <mergeCell ref="K138:M138"/>
    <mergeCell ref="C140:D140"/>
    <mergeCell ref="E140:G140"/>
    <mergeCell ref="H140:J140"/>
    <mergeCell ref="K140:M140"/>
    <mergeCell ref="W139:Y139"/>
    <mergeCell ref="C139:D139"/>
    <mergeCell ref="E139:G139"/>
    <mergeCell ref="H139:J139"/>
    <mergeCell ref="K139:M139"/>
    <mergeCell ref="N139:P139"/>
    <mergeCell ref="N140:P140"/>
    <mergeCell ref="Q140:S140"/>
    <mergeCell ref="N50:Q50"/>
    <mergeCell ref="J65:M65"/>
    <mergeCell ref="N65:Q65"/>
    <mergeCell ref="J66:M66"/>
    <mergeCell ref="J64:M64"/>
    <mergeCell ref="N137:P137"/>
    <mergeCell ref="Q137:S137"/>
    <mergeCell ref="T137:V137"/>
    <mergeCell ref="N134:P134"/>
    <mergeCell ref="Q134:S134"/>
    <mergeCell ref="T134:V134"/>
    <mergeCell ref="N131:P131"/>
    <mergeCell ref="Q131:S131"/>
    <mergeCell ref="T131:V131"/>
    <mergeCell ref="N128:P128"/>
    <mergeCell ref="Q128:S128"/>
    <mergeCell ref="T128:V128"/>
    <mergeCell ref="N125:P125"/>
    <mergeCell ref="Q125:S125"/>
    <mergeCell ref="T125:V125"/>
    <mergeCell ref="J59:M59"/>
    <mergeCell ref="J60:M60"/>
    <mergeCell ref="N60:Q60"/>
    <mergeCell ref="J67:M67"/>
    <mergeCell ref="N67:Q67"/>
    <mergeCell ref="R67:U67"/>
    <mergeCell ref="J69:M69"/>
    <mergeCell ref="N69:Q69"/>
    <mergeCell ref="V88:Y88"/>
    <mergeCell ref="V87:Y87"/>
    <mergeCell ref="J70:M70"/>
    <mergeCell ref="R76:U76"/>
    <mergeCell ref="C91:D91"/>
    <mergeCell ref="C48:D54"/>
    <mergeCell ref="C55:D55"/>
    <mergeCell ref="C60:D66"/>
    <mergeCell ref="C67:D67"/>
    <mergeCell ref="C84:D90"/>
    <mergeCell ref="E90:H90"/>
    <mergeCell ref="C72:D78"/>
    <mergeCell ref="E14:H14"/>
    <mergeCell ref="E16:H16"/>
    <mergeCell ref="E18:H18"/>
    <mergeCell ref="E19:H19"/>
    <mergeCell ref="E27:H27"/>
    <mergeCell ref="E29:H29"/>
    <mergeCell ref="E48:H48"/>
    <mergeCell ref="E54:H54"/>
    <mergeCell ref="E55:H55"/>
    <mergeCell ref="E49:H49"/>
    <mergeCell ref="E52:H52"/>
    <mergeCell ref="E81:H81"/>
    <mergeCell ref="E79:H79"/>
    <mergeCell ref="E82:H82"/>
    <mergeCell ref="E83:H83"/>
    <mergeCell ref="E84:H84"/>
    <mergeCell ref="E30:H30"/>
    <mergeCell ref="E45:H45"/>
    <mergeCell ref="C42:D42"/>
    <mergeCell ref="C36:D36"/>
    <mergeCell ref="E33:H33"/>
    <mergeCell ref="C30:D30"/>
    <mergeCell ref="C16:D16"/>
    <mergeCell ref="C18:D18"/>
    <mergeCell ref="C93:D93"/>
    <mergeCell ref="C79:D79"/>
    <mergeCell ref="E64:H64"/>
    <mergeCell ref="E51:H51"/>
    <mergeCell ref="E53:H53"/>
    <mergeCell ref="E63:H63"/>
    <mergeCell ref="E65:H65"/>
    <mergeCell ref="E46:H46"/>
    <mergeCell ref="E58:H58"/>
    <mergeCell ref="E59:H59"/>
    <mergeCell ref="E60:H60"/>
    <mergeCell ref="E47:H47"/>
    <mergeCell ref="E73:H73"/>
    <mergeCell ref="E76:H76"/>
    <mergeCell ref="E75:H75"/>
    <mergeCell ref="E77:H77"/>
    <mergeCell ref="E74:H74"/>
    <mergeCell ref="E50:H50"/>
    <mergeCell ref="E66:H66"/>
    <mergeCell ref="E67:H67"/>
    <mergeCell ref="E69:H69"/>
    <mergeCell ref="E62:H62"/>
    <mergeCell ref="E61:H61"/>
    <mergeCell ref="E85:H85"/>
    <mergeCell ref="E86:H86"/>
    <mergeCell ref="E88:H88"/>
    <mergeCell ref="E87:H87"/>
    <mergeCell ref="E70:H70"/>
    <mergeCell ref="E71:H71"/>
    <mergeCell ref="E72:H72"/>
    <mergeCell ref="E78:H78"/>
    <mergeCell ref="E89:H89"/>
    <mergeCell ref="E57:H57"/>
    <mergeCell ref="AA58:AD58"/>
    <mergeCell ref="AE58:AH58"/>
    <mergeCell ref="AI58:AL58"/>
    <mergeCell ref="AI59:AL59"/>
    <mergeCell ref="AE60:AH60"/>
    <mergeCell ref="V61:Y61"/>
    <mergeCell ref="AA61:AD61"/>
    <mergeCell ref="R63:U63"/>
    <mergeCell ref="N61:Q61"/>
    <mergeCell ref="R61:U61"/>
    <mergeCell ref="N62:Q62"/>
    <mergeCell ref="R62:U62"/>
    <mergeCell ref="R58:U58"/>
    <mergeCell ref="J58:M58"/>
    <mergeCell ref="J63:M63"/>
    <mergeCell ref="N63:Q63"/>
    <mergeCell ref="J62:M62"/>
    <mergeCell ref="N58:Q58"/>
    <mergeCell ref="J61:M61"/>
    <mergeCell ref="R60:U60"/>
    <mergeCell ref="V60:Y60"/>
    <mergeCell ref="N59:Q59"/>
    <mergeCell ref="R59:U59"/>
    <mergeCell ref="J57:M57"/>
    <mergeCell ref="N57:Q57"/>
    <mergeCell ref="R57:U57"/>
    <mergeCell ref="V57:Y57"/>
    <mergeCell ref="AI57:AL57"/>
    <mergeCell ref="J81:M81"/>
    <mergeCell ref="N81:Q81"/>
    <mergeCell ref="J79:M79"/>
    <mergeCell ref="N79:Q79"/>
    <mergeCell ref="J73:M73"/>
    <mergeCell ref="J72:M72"/>
    <mergeCell ref="J76:M76"/>
    <mergeCell ref="J78:M78"/>
    <mergeCell ref="J87:M87"/>
    <mergeCell ref="J77:M77"/>
    <mergeCell ref="V72:Y72"/>
    <mergeCell ref="N71:Q71"/>
    <mergeCell ref="R71:U71"/>
    <mergeCell ref="V71:Y71"/>
    <mergeCell ref="AE70:AH70"/>
    <mergeCell ref="AI70:AL70"/>
    <mergeCell ref="AA71:AD71"/>
    <mergeCell ref="AE71:AH71"/>
    <mergeCell ref="AI71:AL71"/>
    <mergeCell ref="AA70:AD70"/>
    <mergeCell ref="R74:U74"/>
    <mergeCell ref="N73:Q73"/>
    <mergeCell ref="R73:U73"/>
    <mergeCell ref="N70:Q70"/>
    <mergeCell ref="R70:U70"/>
    <mergeCell ref="N72:Q72"/>
    <mergeCell ref="R72:U72"/>
    <mergeCell ref="V74:Y74"/>
    <mergeCell ref="V73:Y73"/>
    <mergeCell ref="V77:Y77"/>
    <mergeCell ref="V75:Y75"/>
    <mergeCell ref="AA73:AD73"/>
    <mergeCell ref="AP16:AR16"/>
    <mergeCell ref="R90:U90"/>
    <mergeCell ref="J89:M89"/>
    <mergeCell ref="N89:Q89"/>
    <mergeCell ref="R89:U89"/>
    <mergeCell ref="C21:Y21"/>
    <mergeCell ref="C24:Y24"/>
    <mergeCell ref="J88:M88"/>
    <mergeCell ref="N88:Q88"/>
    <mergeCell ref="R88:U88"/>
    <mergeCell ref="M150:O150"/>
    <mergeCell ref="P150:R150"/>
    <mergeCell ref="S150:U150"/>
    <mergeCell ref="AD150:AF150"/>
    <mergeCell ref="AA150:AC150"/>
    <mergeCell ref="J90:M90"/>
    <mergeCell ref="T140:V140"/>
    <mergeCell ref="W140:Y140"/>
    <mergeCell ref="Q139:S139"/>
    <mergeCell ref="T139:V139"/>
    <mergeCell ref="S149:U149"/>
    <mergeCell ref="AA149:AC149"/>
    <mergeCell ref="AD149:AF149"/>
    <mergeCell ref="AG149:AI149"/>
    <mergeCell ref="J149:L149"/>
    <mergeCell ref="M149:O149"/>
    <mergeCell ref="P149:R149"/>
    <mergeCell ref="E91:H91"/>
    <mergeCell ref="J91:M91"/>
    <mergeCell ref="N91:Q91"/>
    <mergeCell ref="R91:U91"/>
    <mergeCell ref="Q98:S98"/>
    <mergeCell ref="AG155:AI155"/>
    <mergeCell ref="J155:L155"/>
    <mergeCell ref="M155:O155"/>
    <mergeCell ref="P155:R155"/>
    <mergeCell ref="S155:U155"/>
    <mergeCell ref="AD155:AF155"/>
    <mergeCell ref="AA155:AC155"/>
    <mergeCell ref="V155:Z155"/>
    <mergeCell ref="J150:L150"/>
    <mergeCell ref="AD151:AF151"/>
    <mergeCell ref="AD152:AF152"/>
    <mergeCell ref="AA153:AI153"/>
    <mergeCell ref="J153:L153"/>
    <mergeCell ref="M153:O153"/>
    <mergeCell ref="AA152:AC152"/>
    <mergeCell ref="P153:R153"/>
    <mergeCell ref="W153:Y153"/>
    <mergeCell ref="S153:U153"/>
    <mergeCell ref="J152:L152"/>
    <mergeCell ref="M152:O152"/>
    <mergeCell ref="P152:R152"/>
    <mergeCell ref="J151:L151"/>
    <mergeCell ref="M151:O151"/>
    <mergeCell ref="P151:R151"/>
    <mergeCell ref="S152:U152"/>
    <mergeCell ref="AG151:AI151"/>
    <mergeCell ref="AG152:AI152"/>
    <mergeCell ref="S151:U151"/>
    <mergeCell ref="AG150:AI150"/>
    <mergeCell ref="AA151:AC151"/>
    <mergeCell ref="S154:U154"/>
  </mergeCells>
  <phoneticPr fontId="4" type="noConversion"/>
  <conditionalFormatting sqref="C12:D12">
    <cfRule type="expression" dxfId="38" priority="1" stopIfTrue="1">
      <formula>ISERROR(C$12)</formula>
    </cfRule>
  </conditionalFormatting>
  <conditionalFormatting sqref="J31 J37 J43:Y43 K31:Y32 K37:Y38 J25:Y25 J22:Q22 J20:Y20 R22:Y23">
    <cfRule type="expression" dxfId="37" priority="2" stopIfTrue="1">
      <formula>J$20=#REF!</formula>
    </cfRule>
  </conditionalFormatting>
  <conditionalFormatting sqref="E30:H30 E36:H36 E42:H42 E19:H19 AA30:AL30 AA36:AL36 AA42:AL42 J42:Y42 J36:Y36 J30:Y30 J19:Y19 AA19:AL19">
    <cfRule type="expression" dxfId="36" priority="3" stopIfTrue="1">
      <formula>AND(E19=0,E18=0)</formula>
    </cfRule>
    <cfRule type="cellIs" dxfId="35" priority="4" stopIfTrue="1" operator="equal">
      <formula>0</formula>
    </cfRule>
  </conditionalFormatting>
  <conditionalFormatting sqref="N58:Q66 N46:Q54 N70:Q78 N82:Q90">
    <cfRule type="cellIs" dxfId="34" priority="5" stopIfTrue="1" operator="equal">
      <formula>0</formula>
    </cfRule>
    <cfRule type="expression" dxfId="33" priority="6" stopIfTrue="1">
      <formula>AND($N46=1,$N45=0)</formula>
    </cfRule>
  </conditionalFormatting>
  <conditionalFormatting sqref="E46:H54 E58:H66 E70:H78 E82:H90">
    <cfRule type="cellIs" dxfId="32" priority="7" stopIfTrue="1" operator="equal">
      <formula>0</formula>
    </cfRule>
    <cfRule type="expression" dxfId="31" priority="8" stopIfTrue="1">
      <formula>AND($E46=1,$E45=0)</formula>
    </cfRule>
  </conditionalFormatting>
  <conditionalFormatting sqref="J46:M54 J58:M66 J70:M78 J82:M90">
    <cfRule type="cellIs" dxfId="30" priority="9" stopIfTrue="1" operator="equal">
      <formula>0</formula>
    </cfRule>
    <cfRule type="expression" dxfId="29" priority="10" stopIfTrue="1">
      <formula>AND($J46=1,$J45=0)</formula>
    </cfRule>
  </conditionalFormatting>
  <conditionalFormatting sqref="R46:U54 R58:U66 R70:U78 R82:U90">
    <cfRule type="cellIs" dxfId="28" priority="11" stopIfTrue="1" operator="equal">
      <formula>0</formula>
    </cfRule>
    <cfRule type="expression" dxfId="27" priority="12" stopIfTrue="1">
      <formula>AND($R46=1,$R45=0)</formula>
    </cfRule>
  </conditionalFormatting>
  <conditionalFormatting sqref="V46:Y54 V58:Y66 V70:Y78 V82:Y90">
    <cfRule type="cellIs" dxfId="26" priority="13" stopIfTrue="1" operator="equal">
      <formula>0</formula>
    </cfRule>
    <cfRule type="expression" dxfId="25" priority="14" stopIfTrue="1">
      <formula>AND($V46=1,$V45=0)</formula>
    </cfRule>
  </conditionalFormatting>
  <conditionalFormatting sqref="AA46:AD54 AA58:AD66 AA70:AD78 AA82:AD90">
    <cfRule type="cellIs" dxfId="24" priority="15" stopIfTrue="1" operator="equal">
      <formula>0</formula>
    </cfRule>
    <cfRule type="expression" dxfId="23" priority="16" stopIfTrue="1">
      <formula>AND($AA46=1,$AA45=0)</formula>
    </cfRule>
  </conditionalFormatting>
  <conditionalFormatting sqref="AE46:AH54 AE58:AH66 AE70:AH78 AE82:AH90">
    <cfRule type="cellIs" dxfId="22" priority="17" stopIfTrue="1" operator="equal">
      <formula>0</formula>
    </cfRule>
    <cfRule type="expression" dxfId="21" priority="18" stopIfTrue="1">
      <formula>AND($AE46=1,$AE45=0)</formula>
    </cfRule>
  </conditionalFormatting>
  <conditionalFormatting sqref="AI46:AL54 AI58:AL66 AI70:AL78 AI82:AL90">
    <cfRule type="cellIs" dxfId="20" priority="19" stopIfTrue="1" operator="equal">
      <formula>0</formula>
    </cfRule>
    <cfRule type="expression" dxfId="19" priority="20" stopIfTrue="1">
      <formula>AND($AI46=1,$AI45=0)</formula>
    </cfRule>
  </conditionalFormatting>
  <conditionalFormatting sqref="AP16:AR16">
    <cfRule type="expression" dxfId="18" priority="21" stopIfTrue="1">
      <formula>AN16=""</formula>
    </cfRule>
  </conditionalFormatting>
  <conditionalFormatting sqref="E23:P23">
    <cfRule type="expression" dxfId="17" priority="22" stopIfTrue="1">
      <formula>E$20=#REF!</formula>
    </cfRule>
  </conditionalFormatting>
  <conditionalFormatting sqref="C154 C158 C162 C166 C170 C174 C178 C182 C186 C190 C194 C198">
    <cfRule type="expression" dxfId="16" priority="23" stopIfTrue="1">
      <formula>AND(AO153=0,AM154=0)</formula>
    </cfRule>
  </conditionalFormatting>
  <conditionalFormatting sqref="C155 C159 C163 C167 C171 C175 C179 C183 C187 C191 C195 C199">
    <cfRule type="expression" dxfId="15" priority="24" stopIfTrue="1">
      <formula>AND(AO153=0,AM154=0)</formula>
    </cfRule>
  </conditionalFormatting>
  <conditionalFormatting sqref="J153:U153 AA157:AI157 J157:U157 AA161:AI161 AA165:AI165 AA169:AI169 AA173:AI173 AA177:AI177 AA181:AI181 AA185:AI185 AA189:AI189 AA193:AI193 AA197:AI197 J161:U161 J165:U165 J169:U169 J173:U173 J177:U177 J181:U181 J185:U185 J189:U189 J193:U193 J197:U197">
    <cfRule type="cellIs" dxfId="14" priority="25" stopIfTrue="1" operator="equal">
      <formula>0</formula>
    </cfRule>
    <cfRule type="expression" dxfId="13" priority="26" stopIfTrue="1">
      <formula>J153=""</formula>
    </cfRule>
  </conditionalFormatting>
  <conditionalFormatting sqref="E101:AQ107 E111:Y140">
    <cfRule type="cellIs" dxfId="12" priority="27" stopIfTrue="1" operator="equal">
      <formula>0</formula>
    </cfRule>
    <cfRule type="expression" dxfId="11" priority="28" stopIfTrue="1">
      <formula>ISERROR(E101)</formula>
    </cfRule>
  </conditionalFormatting>
  <conditionalFormatting sqref="J29:Y29 J18:Y18 AA29:AL29 AA35:AL35 AA41:AL41 AA18:AL18 E18:H18 E27:H27 E29:H29 E33:H33 E35:H35 E39:H39 E41:H41 E16:H16 J41:Y41 J35:Y35">
    <cfRule type="cellIs" dxfId="10" priority="29" stopIfTrue="1" operator="equal">
      <formula>0</formula>
    </cfRule>
  </conditionalFormatting>
  <conditionalFormatting sqref="AA67:AL67 AA79:AL79 AA91:AL91 AA55:AL55 E79:H79 E55:H55 E67:H67 E91:H91 J91:Y91 J79:Y79 J67:Y67 J55:Y55">
    <cfRule type="cellIs" dxfId="9" priority="30" stopIfTrue="1" operator="equal">
      <formula>0</formula>
    </cfRule>
    <cfRule type="expression" dxfId="8" priority="31" stopIfTrue="1">
      <formula>ISERROR(E55)</formula>
    </cfRule>
  </conditionalFormatting>
  <conditionalFormatting sqref="J81:Y81 AA57:AL57 AA69:AL69 AA45:AL45 E45:H45 J45:Y45 E69:H69 E57:H57 J69:Y69 J57:Y57 E81:H81 AA81:AL81">
    <cfRule type="cellIs" dxfId="7" priority="32" stopIfTrue="1" operator="equal">
      <formula>0</formula>
    </cfRule>
  </conditionalFormatting>
  <conditionalFormatting sqref="AA43 AA37:AA38 AA31:AA32 AA25 AA20 AA23">
    <cfRule type="cellIs" dxfId="6" priority="33" stopIfTrue="1" operator="equal">
      <formula>0</formula>
    </cfRule>
  </conditionalFormatting>
  <conditionalFormatting sqref="AA39:AI39 AA27:AI27 AA33:AI33 AA16:AI16 J33:Y33 J27:Y27 J39:Y39 J16:Y16">
    <cfRule type="cellIs" dxfId="5" priority="34" stopIfTrue="1" operator="equal">
      <formula>0</formula>
    </cfRule>
  </conditionalFormatting>
  <conditionalFormatting sqref="J12:Y14 AA12:AL14">
    <cfRule type="expression" dxfId="4" priority="35" stopIfTrue="1">
      <formula>$I$7=$Q$98</formula>
    </cfRule>
    <cfRule type="expression" dxfId="3" priority="36" stopIfTrue="1">
      <formula>OR(AND($H$142=0,$C$142&lt;0),ISERROR($O$142))</formula>
    </cfRule>
  </conditionalFormatting>
  <conditionalFormatting sqref="AL3:AM3">
    <cfRule type="expression" dxfId="2" priority="37" stopIfTrue="1">
      <formula>#REF!=TRUE</formula>
    </cfRule>
  </conditionalFormatting>
  <conditionalFormatting sqref="B3:B4 B7">
    <cfRule type="expression" dxfId="1" priority="38" stopIfTrue="1">
      <formula>#REF!=TRUE</formula>
    </cfRule>
  </conditionalFormatting>
  <conditionalFormatting sqref="B6">
    <cfRule type="expression" dxfId="0" priority="39" stopIfTrue="1">
      <formula>#REF!=TRUE</formula>
    </cfRule>
  </conditionalFormatting>
  <dataValidations count="1">
    <dataValidation type="list" allowBlank="1" showInputMessage="1" showErrorMessage="1" sqref="C93:D93">
      <formula1>$J$98:$M$98</formula1>
    </dataValidation>
  </dataValidations>
  <hyperlinks>
    <hyperlink ref="AD155:AF155" location="IMPOSTAZIONI!J88" display="QUI"/>
    <hyperlink ref="Q23" location="STORICO!J156" display="QUI"/>
    <hyperlink ref="M7" location="IMPOSTAZIONI!A1" display="QUI"/>
    <hyperlink ref="AF22" location="IMPOSTAZIONI!A88" display="QUI"/>
    <hyperlink ref="H147" location="Presentazione!K90" display="QUI"/>
  </hyperlinks>
  <pageMargins left="0.39370078740157483" right="0" top="0.39370078740157483" bottom="0.19685039370078741" header="0" footer="0"/>
  <pageSetup paperSize="9" scale="85" orientation="portrait" r:id="rId1"/>
  <headerFooter alignWithMargins="0"/>
  <colBreaks count="1" manualBreakCount="1">
    <brk id="26"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BO84"/>
  <sheetViews>
    <sheetView showGridLines="0" showRowColHeaders="0" workbookViewId="0"/>
  </sheetViews>
  <sheetFormatPr defaultRowHeight="12.75" x14ac:dyDescent="0.2"/>
  <sheetData>
    <row r="1" spans="1:67" x14ac:dyDescent="0.2">
      <c r="A1" s="487"/>
      <c r="B1" s="32"/>
      <c r="C1" s="32"/>
      <c r="D1" s="32"/>
      <c r="E1" s="32"/>
      <c r="F1" s="32"/>
      <c r="G1" s="32"/>
      <c r="H1" s="32"/>
      <c r="I1" s="32"/>
      <c r="J1" s="32"/>
      <c r="K1" s="32"/>
      <c r="L1" s="32"/>
      <c r="M1" s="32"/>
      <c r="N1" s="32"/>
      <c r="O1" s="32"/>
      <c r="P1" s="1375"/>
      <c r="Q1" s="1373"/>
      <c r="R1" s="1373"/>
      <c r="U1" s="1373"/>
      <c r="V1" s="1373"/>
      <c r="W1" s="1373"/>
      <c r="X1" s="1373"/>
      <c r="Y1" s="1373"/>
      <c r="Z1" s="1373"/>
      <c r="AA1" s="1373"/>
      <c r="AB1" s="1373"/>
      <c r="AC1" s="1373"/>
      <c r="AD1" s="1373"/>
      <c r="AE1" s="1373"/>
      <c r="AF1" s="1373"/>
      <c r="AG1" s="1373"/>
      <c r="AH1" s="1373"/>
      <c r="AI1" s="1373"/>
      <c r="AJ1" s="1373"/>
      <c r="AK1" s="1373"/>
      <c r="AL1" s="1373"/>
      <c r="AM1" s="1373"/>
      <c r="AN1" s="1373"/>
      <c r="AO1" s="1373"/>
      <c r="AP1" s="1373"/>
      <c r="AQ1" s="1373"/>
      <c r="AR1" s="1373"/>
      <c r="AS1" s="1373"/>
      <c r="AT1" s="1373"/>
      <c r="AU1" s="1373"/>
      <c r="AV1" s="1373"/>
      <c r="AW1" s="1373"/>
      <c r="AX1" s="1373"/>
      <c r="AY1" s="1373"/>
      <c r="AZ1" s="1373"/>
      <c r="BA1" s="1373"/>
      <c r="BB1" s="1373"/>
      <c r="BC1" s="1373"/>
      <c r="BD1" s="1373"/>
      <c r="BE1" s="1373"/>
      <c r="BF1" s="1373"/>
      <c r="BG1" s="1373"/>
      <c r="BH1" s="1373"/>
      <c r="BI1" s="1373"/>
      <c r="BJ1" s="1373"/>
      <c r="BK1" s="1373"/>
      <c r="BL1" s="1373"/>
      <c r="BM1" s="1373"/>
      <c r="BN1" s="1373"/>
      <c r="BO1" s="1373"/>
    </row>
    <row r="2" spans="1:67" s="80" customFormat="1" ht="14.25" x14ac:dyDescent="0.2">
      <c r="A2" s="643"/>
      <c r="B2" s="1376" t="str">
        <f>CONCATENATE("Spiegazione aggiuntiva per l' utilizzo del tipo di OPERAZIONE IVA Nr. ",IMPOSTAZIONI!P14," - ",IMPOSTAZIONI!Q14)</f>
        <v>Spiegazione aggiuntiva per l' utilizzo del tipo di OPERAZIONE IVA Nr. 13 - Aliquote diverse</v>
      </c>
      <c r="C2" s="48"/>
      <c r="D2" s="48"/>
      <c r="E2" s="48"/>
      <c r="F2" s="48"/>
      <c r="G2" s="48"/>
      <c r="H2" s="48"/>
      <c r="I2" s="48"/>
      <c r="J2" s="48"/>
      <c r="K2" s="48"/>
      <c r="L2" s="48"/>
      <c r="M2" s="48"/>
      <c r="N2" s="48"/>
      <c r="O2" s="1326" t="str">
        <f>Presentazione!$G$35</f>
        <v>Registro dei Corrispettivi 5.2.4 3txt - per EXCEL .xlsm</v>
      </c>
      <c r="P2" s="48"/>
      <c r="R2" s="481"/>
      <c r="U2" s="481"/>
      <c r="V2" s="481"/>
      <c r="W2" s="481"/>
      <c r="X2" s="481"/>
      <c r="Y2" s="481"/>
      <c r="Z2" s="481"/>
      <c r="AA2" s="481"/>
      <c r="AB2" s="481"/>
      <c r="AC2" s="481"/>
      <c r="AD2" s="481"/>
      <c r="AE2" s="481"/>
      <c r="AF2" s="481"/>
      <c r="AG2" s="481"/>
      <c r="AH2" s="481"/>
      <c r="AI2" s="481"/>
      <c r="AJ2" s="481"/>
      <c r="AK2" s="481"/>
      <c r="AL2" s="481"/>
      <c r="AM2" s="481"/>
      <c r="AN2" s="481"/>
      <c r="AO2" s="481"/>
      <c r="AP2" s="481"/>
      <c r="AQ2" s="481"/>
      <c r="AR2" s="481"/>
      <c r="AS2" s="481"/>
      <c r="AT2" s="481"/>
      <c r="AU2" s="481"/>
      <c r="AV2" s="481"/>
      <c r="AW2" s="481"/>
      <c r="AX2" s="481"/>
      <c r="AY2" s="481"/>
      <c r="AZ2" s="481"/>
      <c r="BA2" s="481"/>
      <c r="BB2" s="481"/>
      <c r="BC2" s="481"/>
      <c r="BD2" s="481"/>
      <c r="BE2" s="481"/>
      <c r="BF2" s="481"/>
      <c r="BG2" s="481"/>
      <c r="BH2" s="481"/>
      <c r="BI2" s="481"/>
      <c r="BJ2" s="481"/>
      <c r="BK2" s="481"/>
      <c r="BL2" s="481"/>
      <c r="BM2" s="481"/>
      <c r="BN2" s="481"/>
      <c r="BO2" s="481"/>
    </row>
    <row r="3" spans="1:67" s="80" customFormat="1" ht="14.25" x14ac:dyDescent="0.2">
      <c r="A3" s="643"/>
      <c r="B3" s="1374" t="s">
        <v>155</v>
      </c>
      <c r="C3" s="48"/>
      <c r="D3" s="48"/>
      <c r="E3" s="48"/>
      <c r="F3" s="48"/>
      <c r="G3" s="48"/>
      <c r="H3" s="48"/>
      <c r="I3" s="48"/>
      <c r="J3" s="48"/>
      <c r="K3" s="48"/>
      <c r="L3" s="48"/>
      <c r="M3" s="48"/>
      <c r="N3" s="48"/>
      <c r="O3" s="1327" t="s">
        <v>253</v>
      </c>
      <c r="P3" s="48"/>
      <c r="Q3" s="481"/>
      <c r="R3" s="481"/>
      <c r="T3" s="481"/>
      <c r="U3" s="481"/>
      <c r="V3" s="481"/>
      <c r="W3" s="481"/>
      <c r="X3" s="481"/>
      <c r="Y3" s="481"/>
      <c r="Z3" s="481"/>
      <c r="AA3" s="481"/>
      <c r="AB3" s="481"/>
      <c r="AC3" s="481"/>
      <c r="AD3" s="481"/>
      <c r="AE3" s="481"/>
      <c r="AF3" s="481"/>
      <c r="AG3" s="481"/>
      <c r="AH3" s="481"/>
      <c r="AI3" s="481"/>
      <c r="AJ3" s="481"/>
      <c r="AK3" s="481"/>
      <c r="AL3" s="481"/>
      <c r="AM3" s="481"/>
      <c r="AN3" s="481"/>
      <c r="AO3" s="481"/>
      <c r="AP3" s="481"/>
      <c r="AQ3" s="481"/>
      <c r="AR3" s="481"/>
      <c r="AS3" s="481"/>
      <c r="AT3" s="481"/>
      <c r="AU3" s="481"/>
      <c r="AV3" s="481"/>
      <c r="AW3" s="481"/>
      <c r="AX3" s="481"/>
      <c r="AY3" s="481"/>
      <c r="AZ3" s="481"/>
      <c r="BA3" s="481"/>
      <c r="BB3" s="481"/>
      <c r="BC3" s="481"/>
      <c r="BD3" s="481"/>
      <c r="BE3" s="481"/>
      <c r="BF3" s="481"/>
      <c r="BG3" s="481"/>
      <c r="BH3" s="481"/>
      <c r="BI3" s="481"/>
      <c r="BJ3" s="481"/>
      <c r="BK3" s="481"/>
      <c r="BL3" s="481"/>
      <c r="BM3" s="481"/>
      <c r="BN3" s="481"/>
      <c r="BO3" s="481"/>
    </row>
    <row r="4" spans="1:67" s="80" customFormat="1" x14ac:dyDescent="0.2">
      <c r="A4" s="643"/>
      <c r="B4" s="48"/>
      <c r="C4" s="48"/>
      <c r="D4" s="48"/>
      <c r="E4" s="48"/>
      <c r="F4" s="48"/>
      <c r="G4" s="48"/>
      <c r="H4" s="48"/>
      <c r="I4" s="48"/>
      <c r="J4" s="48"/>
      <c r="K4" s="48"/>
      <c r="L4" s="48"/>
      <c r="M4" s="48"/>
      <c r="N4" s="48"/>
      <c r="O4" s="48"/>
      <c r="P4" s="48"/>
      <c r="Q4" s="481"/>
      <c r="R4" s="481"/>
      <c r="S4" s="481"/>
      <c r="T4" s="481"/>
      <c r="U4" s="481"/>
      <c r="V4" s="481"/>
      <c r="W4" s="481"/>
      <c r="X4" s="481"/>
      <c r="Y4" s="481"/>
      <c r="Z4" s="481"/>
      <c r="AA4" s="481"/>
      <c r="AB4" s="481"/>
      <c r="AC4" s="481"/>
      <c r="AD4" s="481"/>
      <c r="AE4" s="481"/>
      <c r="AF4" s="481"/>
      <c r="AG4" s="481"/>
      <c r="AH4" s="481"/>
      <c r="AI4" s="481"/>
      <c r="AJ4" s="481"/>
      <c r="AK4" s="481"/>
      <c r="AL4" s="481"/>
      <c r="AM4" s="481"/>
      <c r="AN4" s="481"/>
      <c r="AO4" s="481"/>
      <c r="AP4" s="481"/>
      <c r="AQ4" s="481"/>
      <c r="AR4" s="481"/>
      <c r="AS4" s="481"/>
      <c r="AT4" s="481"/>
      <c r="AU4" s="481"/>
      <c r="AV4" s="481"/>
      <c r="AW4" s="481"/>
      <c r="AX4" s="481"/>
      <c r="AY4" s="481"/>
      <c r="AZ4" s="481"/>
      <c r="BA4" s="481"/>
      <c r="BB4" s="481"/>
      <c r="BC4" s="481"/>
      <c r="BD4" s="481"/>
      <c r="BE4" s="481"/>
      <c r="BF4" s="481"/>
      <c r="BG4" s="481"/>
      <c r="BH4" s="481"/>
      <c r="BI4" s="481"/>
      <c r="BJ4" s="481"/>
      <c r="BK4" s="481"/>
      <c r="BL4" s="481"/>
      <c r="BM4" s="481"/>
      <c r="BN4" s="481"/>
      <c r="BO4" s="481"/>
    </row>
    <row r="5" spans="1:67" x14ac:dyDescent="0.2">
      <c r="A5" s="487"/>
      <c r="B5" s="32"/>
      <c r="C5" s="32"/>
      <c r="D5" s="32"/>
      <c r="E5" s="32"/>
      <c r="F5" s="32"/>
      <c r="G5" s="32"/>
      <c r="H5" s="32"/>
      <c r="I5" s="32"/>
      <c r="J5" s="32"/>
      <c r="K5" s="32"/>
      <c r="L5" s="32"/>
      <c r="M5" s="32"/>
      <c r="N5" s="32"/>
      <c r="O5" s="32"/>
      <c r="P5" s="1375"/>
    </row>
    <row r="6" spans="1:67" x14ac:dyDescent="0.2">
      <c r="A6" s="487"/>
      <c r="B6" s="32"/>
      <c r="C6" s="32"/>
      <c r="D6" s="32"/>
      <c r="E6" s="32"/>
      <c r="F6" s="32"/>
      <c r="G6" s="32"/>
      <c r="H6" s="32"/>
      <c r="I6" s="32"/>
      <c r="J6" s="32"/>
      <c r="K6" s="32"/>
      <c r="L6" s="32"/>
      <c r="M6" s="32"/>
      <c r="N6" s="32"/>
      <c r="O6" s="32"/>
      <c r="P6" s="1375"/>
    </row>
    <row r="7" spans="1:67" x14ac:dyDescent="0.2">
      <c r="A7" s="487"/>
      <c r="B7" s="32"/>
      <c r="C7" s="32"/>
      <c r="D7" s="32"/>
      <c r="E7" s="32"/>
      <c r="F7" s="32"/>
      <c r="G7" s="32"/>
      <c r="H7" s="32"/>
      <c r="I7" s="32"/>
      <c r="J7" s="32"/>
      <c r="K7" s="32"/>
      <c r="L7" s="32"/>
      <c r="M7" s="32"/>
      <c r="N7" s="32"/>
      <c r="O7" s="32"/>
      <c r="P7" s="1375"/>
    </row>
    <row r="8" spans="1:67" x14ac:dyDescent="0.2">
      <c r="A8" s="487"/>
      <c r="B8" s="32"/>
      <c r="C8" s="32"/>
      <c r="D8" s="32"/>
      <c r="E8" s="32"/>
      <c r="F8" s="32"/>
      <c r="G8" s="32"/>
      <c r="H8" s="32"/>
      <c r="I8" s="32"/>
      <c r="J8" s="32"/>
      <c r="K8" s="32"/>
      <c r="L8" s="32"/>
      <c r="M8" s="32"/>
      <c r="N8" s="32"/>
      <c r="O8" s="32"/>
      <c r="P8" s="1375"/>
    </row>
    <row r="9" spans="1:67" x14ac:dyDescent="0.2">
      <c r="A9" s="487"/>
      <c r="B9" s="32"/>
      <c r="C9" s="32"/>
      <c r="D9" s="32"/>
      <c r="E9" s="32"/>
      <c r="F9" s="32"/>
      <c r="G9" s="32"/>
      <c r="H9" s="32"/>
      <c r="I9" s="32"/>
      <c r="J9" s="32"/>
      <c r="K9" s="32"/>
      <c r="L9" s="32"/>
      <c r="M9" s="32"/>
      <c r="N9" s="32"/>
      <c r="O9" s="32"/>
      <c r="P9" s="1375"/>
    </row>
    <row r="10" spans="1:67" x14ac:dyDescent="0.2">
      <c r="A10" s="487"/>
      <c r="B10" s="32"/>
      <c r="C10" s="32"/>
      <c r="D10" s="32"/>
      <c r="E10" s="32"/>
      <c r="F10" s="32"/>
      <c r="G10" s="32"/>
      <c r="H10" s="32"/>
      <c r="I10" s="32"/>
      <c r="J10" s="32"/>
      <c r="K10" s="32"/>
      <c r="L10" s="32"/>
      <c r="M10" s="32"/>
      <c r="N10" s="32"/>
      <c r="O10" s="32"/>
      <c r="P10" s="1375"/>
    </row>
    <row r="11" spans="1:67" x14ac:dyDescent="0.2">
      <c r="A11" s="487"/>
      <c r="B11" s="32"/>
      <c r="C11" s="32"/>
      <c r="D11" s="32"/>
      <c r="E11" s="32"/>
      <c r="F11" s="32"/>
      <c r="G11" s="32"/>
      <c r="H11" s="32"/>
      <c r="I11" s="32"/>
      <c r="J11" s="32"/>
      <c r="K11" s="32"/>
      <c r="L11" s="32"/>
      <c r="M11" s="32"/>
      <c r="N11" s="32"/>
      <c r="O11" s="32"/>
      <c r="P11" s="1375"/>
    </row>
    <row r="12" spans="1:67" x14ac:dyDescent="0.2">
      <c r="A12" s="487"/>
      <c r="B12" s="32"/>
      <c r="C12" s="32"/>
      <c r="D12" s="32"/>
      <c r="E12" s="32"/>
      <c r="F12" s="32"/>
      <c r="G12" s="32"/>
      <c r="H12" s="32"/>
      <c r="I12" s="32"/>
      <c r="J12" s="32"/>
      <c r="K12" s="32"/>
      <c r="L12" s="32"/>
      <c r="M12" s="32"/>
      <c r="N12" s="32"/>
      <c r="O12" s="32"/>
      <c r="P12" s="1375"/>
    </row>
    <row r="13" spans="1:67" x14ac:dyDescent="0.2">
      <c r="A13" s="487"/>
      <c r="B13" s="32"/>
      <c r="C13" s="32"/>
      <c r="D13" s="32"/>
      <c r="E13" s="32"/>
      <c r="F13" s="32"/>
      <c r="G13" s="32"/>
      <c r="H13" s="32"/>
      <c r="I13" s="32"/>
      <c r="J13" s="32"/>
      <c r="K13" s="32"/>
      <c r="L13" s="32"/>
      <c r="M13" s="32"/>
      <c r="N13" s="32"/>
      <c r="O13" s="32"/>
      <c r="P13" s="1375"/>
    </row>
    <row r="14" spans="1:67" x14ac:dyDescent="0.2">
      <c r="A14" s="487"/>
      <c r="B14" s="32"/>
      <c r="C14" s="32"/>
      <c r="D14" s="32"/>
      <c r="E14" s="32"/>
      <c r="F14" s="32"/>
      <c r="G14" s="32"/>
      <c r="H14" s="32"/>
      <c r="I14" s="32"/>
      <c r="J14" s="32"/>
      <c r="K14" s="32"/>
      <c r="L14" s="32"/>
      <c r="M14" s="32"/>
      <c r="N14" s="32"/>
      <c r="O14" s="32"/>
      <c r="P14" s="1375"/>
    </row>
    <row r="15" spans="1:67" x14ac:dyDescent="0.2">
      <c r="A15" s="487"/>
      <c r="B15" s="32"/>
      <c r="C15" s="32"/>
      <c r="D15" s="32"/>
      <c r="E15" s="32"/>
      <c r="F15" s="32"/>
      <c r="G15" s="32"/>
      <c r="H15" s="32"/>
      <c r="I15" s="32"/>
      <c r="J15" s="32"/>
      <c r="K15" s="32"/>
      <c r="L15" s="32"/>
      <c r="M15" s="32"/>
      <c r="N15" s="32"/>
      <c r="O15" s="32"/>
      <c r="P15" s="1375"/>
    </row>
    <row r="16" spans="1:67" x14ac:dyDescent="0.2">
      <c r="A16" s="487"/>
      <c r="B16" s="32"/>
      <c r="C16" s="32"/>
      <c r="D16" s="32"/>
      <c r="E16" s="32"/>
      <c r="F16" s="32"/>
      <c r="G16" s="32"/>
      <c r="H16" s="32"/>
      <c r="I16" s="32"/>
      <c r="J16" s="32"/>
      <c r="K16" s="32"/>
      <c r="L16" s="32"/>
      <c r="M16" s="32"/>
      <c r="N16" s="32"/>
      <c r="O16" s="32"/>
      <c r="P16" s="1375"/>
    </row>
    <row r="17" spans="1:16" x14ac:dyDescent="0.2">
      <c r="A17" s="487"/>
      <c r="B17" s="32"/>
      <c r="C17" s="32"/>
      <c r="D17" s="32"/>
      <c r="E17" s="32"/>
      <c r="F17" s="32"/>
      <c r="G17" s="32"/>
      <c r="H17" s="32"/>
      <c r="I17" s="32"/>
      <c r="J17" s="32"/>
      <c r="K17" s="32"/>
      <c r="L17" s="32"/>
      <c r="M17" s="32"/>
      <c r="N17" s="32"/>
      <c r="O17" s="32"/>
      <c r="P17" s="1375"/>
    </row>
    <row r="18" spans="1:16" x14ac:dyDescent="0.2">
      <c r="A18" s="487"/>
      <c r="B18" s="32"/>
      <c r="C18" s="32"/>
      <c r="D18" s="32"/>
      <c r="E18" s="32"/>
      <c r="F18" s="32"/>
      <c r="G18" s="32"/>
      <c r="H18" s="32"/>
      <c r="I18" s="32"/>
      <c r="J18" s="32"/>
      <c r="K18" s="32"/>
      <c r="L18" s="32"/>
      <c r="M18" s="32"/>
      <c r="N18" s="32"/>
      <c r="O18" s="32"/>
      <c r="P18" s="1375"/>
    </row>
    <row r="19" spans="1:16" x14ac:dyDescent="0.2">
      <c r="A19" s="487"/>
      <c r="B19" s="32"/>
      <c r="C19" s="32"/>
      <c r="D19" s="32"/>
      <c r="E19" s="32"/>
      <c r="F19" s="32"/>
      <c r="G19" s="32"/>
      <c r="H19" s="32"/>
      <c r="I19" s="32"/>
      <c r="J19" s="32"/>
      <c r="K19" s="32"/>
      <c r="L19" s="32"/>
      <c r="M19" s="32"/>
      <c r="N19" s="32"/>
      <c r="O19" s="32"/>
      <c r="P19" s="1375"/>
    </row>
    <row r="20" spans="1:16" x14ac:dyDescent="0.2">
      <c r="A20" s="487"/>
      <c r="B20" s="32"/>
      <c r="C20" s="32"/>
      <c r="D20" s="32"/>
      <c r="E20" s="32"/>
      <c r="F20" s="32"/>
      <c r="G20" s="32"/>
      <c r="H20" s="32"/>
      <c r="I20" s="32"/>
      <c r="J20" s="32"/>
      <c r="K20" s="32"/>
      <c r="L20" s="32"/>
      <c r="M20" s="32"/>
      <c r="N20" s="32"/>
      <c r="O20" s="32"/>
      <c r="P20" s="1375"/>
    </row>
    <row r="21" spans="1:16" x14ac:dyDescent="0.2">
      <c r="A21" s="487"/>
      <c r="B21" s="32"/>
      <c r="C21" s="32"/>
      <c r="D21" s="32"/>
      <c r="E21" s="32"/>
      <c r="F21" s="32"/>
      <c r="G21" s="32"/>
      <c r="H21" s="32"/>
      <c r="I21" s="32"/>
      <c r="J21" s="32"/>
      <c r="K21" s="32"/>
      <c r="L21" s="32"/>
      <c r="M21" s="32"/>
      <c r="N21" s="32"/>
      <c r="O21" s="32"/>
      <c r="P21" s="1375"/>
    </row>
    <row r="22" spans="1:16" x14ac:dyDescent="0.2">
      <c r="A22" s="487"/>
      <c r="B22" s="32"/>
      <c r="C22" s="32"/>
      <c r="D22" s="32"/>
      <c r="E22" s="32"/>
      <c r="F22" s="32"/>
      <c r="G22" s="32"/>
      <c r="H22" s="32"/>
      <c r="I22" s="32"/>
      <c r="J22" s="32"/>
      <c r="K22" s="32"/>
      <c r="L22" s="32"/>
      <c r="M22" s="32"/>
      <c r="N22" s="32"/>
      <c r="O22" s="32"/>
      <c r="P22" s="1375"/>
    </row>
    <row r="23" spans="1:16" x14ac:dyDescent="0.2">
      <c r="A23" s="487"/>
      <c r="B23" s="32"/>
      <c r="C23" s="32"/>
      <c r="D23" s="32"/>
      <c r="E23" s="32"/>
      <c r="F23" s="32"/>
      <c r="G23" s="32"/>
      <c r="H23" s="32"/>
      <c r="I23" s="32"/>
      <c r="J23" s="32"/>
      <c r="K23" s="32"/>
      <c r="L23" s="32"/>
      <c r="M23" s="32"/>
      <c r="N23" s="32"/>
      <c r="O23" s="32"/>
      <c r="P23" s="1375"/>
    </row>
    <row r="24" spans="1:16" x14ac:dyDescent="0.2">
      <c r="A24" s="487"/>
      <c r="B24" s="32"/>
      <c r="C24" s="32"/>
      <c r="D24" s="32"/>
      <c r="E24" s="32"/>
      <c r="F24" s="32"/>
      <c r="G24" s="32"/>
      <c r="H24" s="32"/>
      <c r="I24" s="32"/>
      <c r="J24" s="32"/>
      <c r="K24" s="32"/>
      <c r="L24" s="32"/>
      <c r="M24" s="32"/>
      <c r="N24" s="32"/>
      <c r="O24" s="32"/>
      <c r="P24" s="1375"/>
    </row>
    <row r="25" spans="1:16" x14ac:dyDescent="0.2">
      <c r="A25" s="487"/>
      <c r="B25" s="32"/>
      <c r="C25" s="32"/>
      <c r="D25" s="32"/>
      <c r="E25" s="32"/>
      <c r="F25" s="32"/>
      <c r="G25" s="32"/>
      <c r="H25" s="32"/>
      <c r="I25" s="32"/>
      <c r="J25" s="32"/>
      <c r="K25" s="32"/>
      <c r="L25" s="32"/>
      <c r="M25" s="32"/>
      <c r="N25" s="32"/>
      <c r="O25" s="32"/>
      <c r="P25" s="1375"/>
    </row>
    <row r="26" spans="1:16" x14ac:dyDescent="0.2">
      <c r="A26" s="487"/>
      <c r="B26" s="32"/>
      <c r="C26" s="32"/>
      <c r="D26" s="32"/>
      <c r="E26" s="32"/>
      <c r="F26" s="32"/>
      <c r="G26" s="32"/>
      <c r="H26" s="32"/>
      <c r="I26" s="32"/>
      <c r="J26" s="32"/>
      <c r="K26" s="32"/>
      <c r="L26" s="32"/>
      <c r="M26" s="32"/>
      <c r="N26" s="32"/>
      <c r="O26" s="32"/>
      <c r="P26" s="1375"/>
    </row>
    <row r="27" spans="1:16" x14ac:dyDescent="0.2">
      <c r="A27" s="487"/>
      <c r="B27" s="32"/>
      <c r="C27" s="32"/>
      <c r="D27" s="32"/>
      <c r="E27" s="32"/>
      <c r="F27" s="32"/>
      <c r="G27" s="32"/>
      <c r="H27" s="32"/>
      <c r="I27" s="32"/>
      <c r="J27" s="32"/>
      <c r="K27" s="32"/>
      <c r="L27" s="32"/>
      <c r="M27" s="32"/>
      <c r="N27" s="32"/>
      <c r="O27" s="32"/>
      <c r="P27" s="1375"/>
    </row>
    <row r="28" spans="1:16" x14ac:dyDescent="0.2">
      <c r="A28" s="487"/>
      <c r="B28" s="32"/>
      <c r="C28" s="32"/>
      <c r="D28" s="32"/>
      <c r="E28" s="32"/>
      <c r="F28" s="32"/>
      <c r="G28" s="32"/>
      <c r="H28" s="32"/>
      <c r="I28" s="32"/>
      <c r="J28" s="32"/>
      <c r="K28" s="32"/>
      <c r="L28" s="32"/>
      <c r="M28" s="32"/>
      <c r="N28" s="32"/>
      <c r="O28" s="32"/>
      <c r="P28" s="1375"/>
    </row>
    <row r="29" spans="1:16" x14ac:dyDescent="0.2">
      <c r="A29" s="487"/>
      <c r="B29" s="32"/>
      <c r="C29" s="32"/>
      <c r="D29" s="32"/>
      <c r="E29" s="32"/>
      <c r="F29" s="32"/>
      <c r="G29" s="32"/>
      <c r="H29" s="32"/>
      <c r="I29" s="32"/>
      <c r="J29" s="32"/>
      <c r="K29" s="32"/>
      <c r="L29" s="32"/>
      <c r="M29" s="32"/>
      <c r="N29" s="32"/>
      <c r="O29" s="32"/>
      <c r="P29" s="1375"/>
    </row>
    <row r="30" spans="1:16" x14ac:dyDescent="0.2">
      <c r="A30" s="487"/>
      <c r="B30" s="32"/>
      <c r="C30" s="32"/>
      <c r="D30" s="32"/>
      <c r="E30" s="32"/>
      <c r="F30" s="32"/>
      <c r="G30" s="32"/>
      <c r="H30" s="32"/>
      <c r="I30" s="32"/>
      <c r="J30" s="32"/>
      <c r="K30" s="32"/>
      <c r="L30" s="32"/>
      <c r="M30" s="32"/>
      <c r="N30" s="32"/>
      <c r="O30" s="32"/>
      <c r="P30" s="1375"/>
    </row>
    <row r="31" spans="1:16" x14ac:dyDescent="0.2">
      <c r="A31" s="487"/>
      <c r="B31" s="32"/>
      <c r="C31" s="32"/>
      <c r="D31" s="32"/>
      <c r="E31" s="32"/>
      <c r="F31" s="32"/>
      <c r="G31" s="32"/>
      <c r="H31" s="32"/>
      <c r="I31" s="32"/>
      <c r="J31" s="32"/>
      <c r="K31" s="32"/>
      <c r="L31" s="32"/>
      <c r="M31" s="32"/>
      <c r="N31" s="32"/>
      <c r="O31" s="32"/>
      <c r="P31" s="1375"/>
    </row>
    <row r="32" spans="1:16" x14ac:dyDescent="0.2">
      <c r="A32" s="487"/>
      <c r="B32" s="32"/>
      <c r="C32" s="32"/>
      <c r="D32" s="32"/>
      <c r="E32" s="32"/>
      <c r="F32" s="32"/>
      <c r="G32" s="32"/>
      <c r="H32" s="32"/>
      <c r="I32" s="32"/>
      <c r="J32" s="32"/>
      <c r="K32" s="32"/>
      <c r="L32" s="32"/>
      <c r="M32" s="32"/>
      <c r="N32" s="32"/>
      <c r="O32" s="32"/>
      <c r="P32" s="1375"/>
    </row>
    <row r="33" spans="1:16" x14ac:dyDescent="0.2">
      <c r="A33" s="487"/>
      <c r="B33" s="32"/>
      <c r="C33" s="32"/>
      <c r="D33" s="32"/>
      <c r="E33" s="32"/>
      <c r="F33" s="32"/>
      <c r="G33" s="32"/>
      <c r="H33" s="32"/>
      <c r="I33" s="32"/>
      <c r="J33" s="32"/>
      <c r="K33" s="32"/>
      <c r="L33" s="32"/>
      <c r="M33" s="32"/>
      <c r="N33" s="32"/>
      <c r="O33" s="32"/>
      <c r="P33" s="1375"/>
    </row>
    <row r="34" spans="1:16" x14ac:dyDescent="0.2">
      <c r="A34" s="487"/>
      <c r="B34" s="32"/>
      <c r="C34" s="32"/>
      <c r="D34" s="32"/>
      <c r="E34" s="32"/>
      <c r="F34" s="32"/>
      <c r="G34" s="32"/>
      <c r="H34" s="32"/>
      <c r="I34" s="32"/>
      <c r="J34" s="32"/>
      <c r="K34" s="32"/>
      <c r="L34" s="32"/>
      <c r="M34" s="32"/>
      <c r="N34" s="32"/>
      <c r="O34" s="32"/>
      <c r="P34" s="1375"/>
    </row>
    <row r="35" spans="1:16" x14ac:dyDescent="0.2">
      <c r="A35" s="487"/>
      <c r="B35" s="32"/>
      <c r="C35" s="32"/>
      <c r="D35" s="32"/>
      <c r="E35" s="32"/>
      <c r="F35" s="32"/>
      <c r="G35" s="32"/>
      <c r="H35" s="32"/>
      <c r="I35" s="32"/>
      <c r="J35" s="32"/>
      <c r="K35" s="32"/>
      <c r="L35" s="32"/>
      <c r="M35" s="32"/>
      <c r="N35" s="32"/>
      <c r="O35" s="32"/>
      <c r="P35" s="1375"/>
    </row>
    <row r="36" spans="1:16" x14ac:dyDescent="0.2">
      <c r="A36" s="487"/>
      <c r="B36" s="32"/>
      <c r="C36" s="32"/>
      <c r="D36" s="32"/>
      <c r="E36" s="32"/>
      <c r="F36" s="32"/>
      <c r="G36" s="32"/>
      <c r="H36" s="32"/>
      <c r="I36" s="32"/>
      <c r="J36" s="32"/>
      <c r="K36" s="32"/>
      <c r="L36" s="32"/>
      <c r="M36" s="32"/>
      <c r="N36" s="32"/>
      <c r="O36" s="32"/>
      <c r="P36" s="1375"/>
    </row>
    <row r="37" spans="1:16" x14ac:dyDescent="0.2">
      <c r="A37" s="487"/>
      <c r="B37" s="32"/>
      <c r="C37" s="32"/>
      <c r="D37" s="32"/>
      <c r="E37" s="32"/>
      <c r="F37" s="32"/>
      <c r="G37" s="32"/>
      <c r="H37" s="32"/>
      <c r="I37" s="32"/>
      <c r="J37" s="32"/>
      <c r="K37" s="32"/>
      <c r="L37" s="32"/>
      <c r="M37" s="32"/>
      <c r="N37" s="32"/>
      <c r="O37" s="32"/>
      <c r="P37" s="1375"/>
    </row>
    <row r="38" spans="1:16" x14ac:dyDescent="0.2">
      <c r="A38" s="487"/>
      <c r="B38" s="32"/>
      <c r="C38" s="32"/>
      <c r="D38" s="32"/>
      <c r="E38" s="32"/>
      <c r="F38" s="32"/>
      <c r="G38" s="32"/>
      <c r="H38" s="32"/>
      <c r="I38" s="32"/>
      <c r="J38" s="32"/>
      <c r="K38" s="32"/>
      <c r="L38" s="32"/>
      <c r="M38" s="32"/>
      <c r="N38" s="32"/>
      <c r="O38" s="32"/>
      <c r="P38" s="1375"/>
    </row>
    <row r="39" spans="1:16" x14ac:dyDescent="0.2">
      <c r="A39" s="487"/>
      <c r="B39" s="32"/>
      <c r="C39" s="32"/>
      <c r="D39" s="32"/>
      <c r="E39" s="32"/>
      <c r="F39" s="32"/>
      <c r="G39" s="32"/>
      <c r="H39" s="32"/>
      <c r="I39" s="32"/>
      <c r="J39" s="32"/>
      <c r="K39" s="32"/>
      <c r="L39" s="32"/>
      <c r="M39" s="32"/>
      <c r="N39" s="32"/>
      <c r="O39" s="32"/>
      <c r="P39" s="1375"/>
    </row>
    <row r="40" spans="1:16" x14ac:dyDescent="0.2">
      <c r="A40" s="487"/>
      <c r="B40" s="32"/>
      <c r="C40" s="32"/>
      <c r="D40" s="32"/>
      <c r="E40" s="32"/>
      <c r="F40" s="32"/>
      <c r="G40" s="32"/>
      <c r="H40" s="32"/>
      <c r="I40" s="32"/>
      <c r="J40" s="32"/>
      <c r="K40" s="32"/>
      <c r="L40" s="32"/>
      <c r="M40" s="32"/>
      <c r="N40" s="32"/>
      <c r="O40" s="32"/>
      <c r="P40" s="1375"/>
    </row>
    <row r="41" spans="1:16" x14ac:dyDescent="0.2">
      <c r="A41" s="487"/>
      <c r="B41" s="32"/>
      <c r="C41" s="32"/>
      <c r="D41" s="32"/>
      <c r="E41" s="32"/>
      <c r="F41" s="32"/>
      <c r="G41" s="32"/>
      <c r="H41" s="32"/>
      <c r="I41" s="32"/>
      <c r="J41" s="32"/>
      <c r="K41" s="32"/>
      <c r="L41" s="32"/>
      <c r="M41" s="32"/>
      <c r="N41" s="32"/>
      <c r="O41" s="32"/>
      <c r="P41" s="1375"/>
    </row>
    <row r="42" spans="1:16" x14ac:dyDescent="0.2">
      <c r="A42" s="487"/>
      <c r="B42" s="32"/>
      <c r="C42" s="32"/>
      <c r="D42" s="32"/>
      <c r="E42" s="32"/>
      <c r="F42" s="32"/>
      <c r="G42" s="32"/>
      <c r="H42" s="32"/>
      <c r="I42" s="32"/>
      <c r="J42" s="32"/>
      <c r="K42" s="32"/>
      <c r="L42" s="32"/>
      <c r="M42" s="32"/>
      <c r="N42" s="32"/>
      <c r="O42" s="32"/>
      <c r="P42" s="1375"/>
    </row>
    <row r="43" spans="1:16" x14ac:dyDescent="0.2">
      <c r="A43" s="487"/>
      <c r="B43" s="32"/>
      <c r="C43" s="32"/>
      <c r="D43" s="32"/>
      <c r="E43" s="32"/>
      <c r="F43" s="32"/>
      <c r="G43" s="32"/>
      <c r="H43" s="32"/>
      <c r="I43" s="32"/>
      <c r="J43" s="32"/>
      <c r="K43" s="32"/>
      <c r="L43" s="32"/>
      <c r="M43" s="32"/>
      <c r="N43" s="32"/>
      <c r="O43" s="32"/>
      <c r="P43" s="1375"/>
    </row>
    <row r="44" spans="1:16" x14ac:dyDescent="0.2">
      <c r="A44" s="487"/>
      <c r="B44" s="32"/>
      <c r="C44" s="32"/>
      <c r="D44" s="32"/>
      <c r="E44" s="32"/>
      <c r="F44" s="32"/>
      <c r="G44" s="32"/>
      <c r="H44" s="32"/>
      <c r="I44" s="32"/>
      <c r="J44" s="32"/>
      <c r="K44" s="32"/>
      <c r="L44" s="32"/>
      <c r="M44" s="32"/>
      <c r="N44" s="32"/>
      <c r="O44" s="32"/>
      <c r="P44" s="1375"/>
    </row>
    <row r="45" spans="1:16" x14ac:dyDescent="0.2">
      <c r="A45" s="487"/>
      <c r="B45" s="32"/>
      <c r="C45" s="32"/>
      <c r="D45" s="32"/>
      <c r="E45" s="32"/>
      <c r="F45" s="32"/>
      <c r="G45" s="32"/>
      <c r="H45" s="32"/>
      <c r="I45" s="32"/>
      <c r="J45" s="32"/>
      <c r="K45" s="32"/>
      <c r="L45" s="32"/>
      <c r="M45" s="32"/>
      <c r="N45" s="32"/>
      <c r="O45" s="32"/>
      <c r="P45" s="1375"/>
    </row>
    <row r="46" spans="1:16" x14ac:dyDescent="0.2">
      <c r="A46" s="487"/>
      <c r="B46" s="32"/>
      <c r="C46" s="32"/>
      <c r="D46" s="32"/>
      <c r="E46" s="32"/>
      <c r="F46" s="32"/>
      <c r="G46" s="32"/>
      <c r="H46" s="32"/>
      <c r="I46" s="32"/>
      <c r="J46" s="32"/>
      <c r="K46" s="32"/>
      <c r="L46" s="32"/>
      <c r="M46" s="32"/>
      <c r="N46" s="32"/>
      <c r="O46" s="32"/>
      <c r="P46" s="1375"/>
    </row>
    <row r="47" spans="1:16" x14ac:dyDescent="0.2">
      <c r="A47" s="487"/>
      <c r="B47" s="32"/>
      <c r="C47" s="32"/>
      <c r="D47" s="32"/>
      <c r="E47" s="32"/>
      <c r="F47" s="32"/>
      <c r="G47" s="32"/>
      <c r="H47" s="32"/>
      <c r="I47" s="32"/>
      <c r="J47" s="32"/>
      <c r="K47" s="32"/>
      <c r="L47" s="32"/>
      <c r="M47" s="32"/>
      <c r="N47" s="32"/>
      <c r="O47" s="32"/>
      <c r="P47" s="1375"/>
    </row>
    <row r="48" spans="1:16" x14ac:dyDescent="0.2">
      <c r="A48" s="487"/>
      <c r="B48" s="32"/>
      <c r="C48" s="32"/>
      <c r="D48" s="32"/>
      <c r="E48" s="32"/>
      <c r="F48" s="32"/>
      <c r="G48" s="32"/>
      <c r="H48" s="32"/>
      <c r="I48" s="32"/>
      <c r="J48" s="32"/>
      <c r="K48" s="32"/>
      <c r="L48" s="32"/>
      <c r="M48" s="32"/>
      <c r="N48" s="32"/>
      <c r="O48" s="32"/>
      <c r="P48" s="1375"/>
    </row>
    <row r="49" spans="1:16" x14ac:dyDescent="0.2">
      <c r="A49" s="487"/>
      <c r="B49" s="32"/>
      <c r="C49" s="32"/>
      <c r="D49" s="32"/>
      <c r="E49" s="32"/>
      <c r="F49" s="32"/>
      <c r="G49" s="32"/>
      <c r="H49" s="32"/>
      <c r="I49" s="32"/>
      <c r="J49" s="32"/>
      <c r="K49" s="32"/>
      <c r="L49" s="32"/>
      <c r="M49" s="32"/>
      <c r="N49" s="32"/>
      <c r="O49" s="32"/>
      <c r="P49" s="1375"/>
    </row>
    <row r="50" spans="1:16" x14ac:dyDescent="0.2">
      <c r="A50" s="487"/>
      <c r="B50" s="32"/>
      <c r="C50" s="32"/>
      <c r="D50" s="32"/>
      <c r="E50" s="32"/>
      <c r="F50" s="32"/>
      <c r="G50" s="32"/>
      <c r="H50" s="32"/>
      <c r="I50" s="32"/>
      <c r="J50" s="32"/>
      <c r="K50" s="32"/>
      <c r="L50" s="32"/>
      <c r="M50" s="32"/>
      <c r="N50" s="32"/>
      <c r="O50" s="32"/>
      <c r="P50" s="1375"/>
    </row>
    <row r="51" spans="1:16" x14ac:dyDescent="0.2">
      <c r="A51" s="487"/>
      <c r="B51" s="32"/>
      <c r="C51" s="32"/>
      <c r="D51" s="32"/>
      <c r="E51" s="32"/>
      <c r="F51" s="32"/>
      <c r="G51" s="32"/>
      <c r="H51" s="32"/>
      <c r="I51" s="32"/>
      <c r="J51" s="32"/>
      <c r="K51" s="32"/>
      <c r="L51" s="32"/>
      <c r="M51" s="32"/>
      <c r="N51" s="32"/>
      <c r="O51" s="32"/>
      <c r="P51" s="1375"/>
    </row>
    <row r="52" spans="1:16" x14ac:dyDescent="0.2">
      <c r="A52" s="487"/>
      <c r="B52" s="32"/>
      <c r="C52" s="32"/>
      <c r="D52" s="32"/>
      <c r="E52" s="32"/>
      <c r="F52" s="32"/>
      <c r="G52" s="32"/>
      <c r="H52" s="32"/>
      <c r="I52" s="32"/>
      <c r="J52" s="32"/>
      <c r="K52" s="32"/>
      <c r="L52" s="32"/>
      <c r="M52" s="32"/>
      <c r="N52" s="32"/>
      <c r="O52" s="32"/>
      <c r="P52" s="1375"/>
    </row>
    <row r="53" spans="1:16" x14ac:dyDescent="0.2">
      <c r="A53" s="487"/>
      <c r="B53" s="32"/>
      <c r="C53" s="32"/>
      <c r="D53" s="32"/>
      <c r="E53" s="32"/>
      <c r="F53" s="32"/>
      <c r="G53" s="32"/>
      <c r="H53" s="32"/>
      <c r="I53" s="32"/>
      <c r="J53" s="32"/>
      <c r="K53" s="32"/>
      <c r="L53" s="32"/>
      <c r="M53" s="32"/>
      <c r="N53" s="32"/>
      <c r="O53" s="32"/>
      <c r="P53" s="1375"/>
    </row>
    <row r="54" spans="1:16" x14ac:dyDescent="0.2">
      <c r="A54" s="487"/>
      <c r="B54" s="32"/>
      <c r="C54" s="32"/>
      <c r="D54" s="32"/>
      <c r="E54" s="32"/>
      <c r="F54" s="32"/>
      <c r="G54" s="32"/>
      <c r="H54" s="32"/>
      <c r="I54" s="32"/>
      <c r="J54" s="32"/>
      <c r="K54" s="32"/>
      <c r="L54" s="32"/>
      <c r="M54" s="32"/>
      <c r="N54" s="32"/>
      <c r="O54" s="32"/>
      <c r="P54" s="1375"/>
    </row>
    <row r="55" spans="1:16" x14ac:dyDescent="0.2">
      <c r="A55" s="487"/>
      <c r="B55" s="32"/>
      <c r="C55" s="32"/>
      <c r="D55" s="32"/>
      <c r="E55" s="32"/>
      <c r="F55" s="32"/>
      <c r="G55" s="32"/>
      <c r="H55" s="32"/>
      <c r="I55" s="32"/>
      <c r="J55" s="32"/>
      <c r="K55" s="32"/>
      <c r="L55" s="32"/>
      <c r="M55" s="32"/>
      <c r="N55" s="32"/>
      <c r="O55" s="32"/>
      <c r="P55" s="1375"/>
    </row>
    <row r="56" spans="1:16" x14ac:dyDescent="0.2">
      <c r="A56" s="487"/>
      <c r="B56" s="32"/>
      <c r="C56" s="32"/>
      <c r="D56" s="32"/>
      <c r="E56" s="32"/>
      <c r="F56" s="32"/>
      <c r="G56" s="32"/>
      <c r="H56" s="32"/>
      <c r="I56" s="32"/>
      <c r="J56" s="32"/>
      <c r="K56" s="32"/>
      <c r="L56" s="32"/>
      <c r="M56" s="32"/>
      <c r="N56" s="32"/>
      <c r="O56" s="32"/>
      <c r="P56" s="1375"/>
    </row>
    <row r="57" spans="1:16" x14ac:dyDescent="0.2">
      <c r="A57" s="487"/>
      <c r="B57" s="32"/>
      <c r="C57" s="32"/>
      <c r="D57" s="32"/>
      <c r="E57" s="32"/>
      <c r="F57" s="32"/>
      <c r="G57" s="32"/>
      <c r="H57" s="32"/>
      <c r="I57" s="32"/>
      <c r="J57" s="32"/>
      <c r="K57" s="32"/>
      <c r="L57" s="32"/>
      <c r="M57" s="32"/>
      <c r="N57" s="32"/>
      <c r="O57" s="32"/>
      <c r="P57" s="1375"/>
    </row>
    <row r="58" spans="1:16" x14ac:dyDescent="0.2">
      <c r="A58" s="487"/>
      <c r="B58" s="32"/>
      <c r="C58" s="32"/>
      <c r="D58" s="32"/>
      <c r="E58" s="32"/>
      <c r="F58" s="32"/>
      <c r="G58" s="32"/>
      <c r="H58" s="32"/>
      <c r="I58" s="32"/>
      <c r="J58" s="32"/>
      <c r="K58" s="32"/>
      <c r="L58" s="32"/>
      <c r="M58" s="32"/>
      <c r="N58" s="32"/>
      <c r="O58" s="32"/>
      <c r="P58" s="1375"/>
    </row>
    <row r="59" spans="1:16" x14ac:dyDescent="0.2">
      <c r="A59" s="487"/>
      <c r="B59" s="32"/>
      <c r="C59" s="32"/>
      <c r="D59" s="32"/>
      <c r="E59" s="32"/>
      <c r="F59" s="32"/>
      <c r="G59" s="32"/>
      <c r="H59" s="32"/>
      <c r="I59" s="32"/>
      <c r="J59" s="32"/>
      <c r="K59" s="32"/>
      <c r="L59" s="32"/>
      <c r="M59" s="32"/>
      <c r="N59" s="32"/>
      <c r="O59" s="32"/>
      <c r="P59" s="1375"/>
    </row>
    <row r="60" spans="1:16" x14ac:dyDescent="0.2">
      <c r="A60" s="487"/>
      <c r="B60" s="32"/>
      <c r="C60" s="32"/>
      <c r="D60" s="32"/>
      <c r="E60" s="32"/>
      <c r="F60" s="32"/>
      <c r="G60" s="32"/>
      <c r="H60" s="32"/>
      <c r="I60" s="32"/>
      <c r="J60" s="32"/>
      <c r="K60" s="32"/>
      <c r="L60" s="32"/>
      <c r="M60" s="32"/>
      <c r="N60" s="32"/>
      <c r="O60" s="32"/>
      <c r="P60" s="1375"/>
    </row>
    <row r="61" spans="1:16" x14ac:dyDescent="0.2">
      <c r="A61" s="487"/>
      <c r="B61" s="32"/>
      <c r="C61" s="32"/>
      <c r="D61" s="32"/>
      <c r="E61" s="32"/>
      <c r="F61" s="32"/>
      <c r="G61" s="32"/>
      <c r="H61" s="32"/>
      <c r="I61" s="32"/>
      <c r="J61" s="32"/>
      <c r="K61" s="32"/>
      <c r="L61" s="32"/>
      <c r="M61" s="32"/>
      <c r="N61" s="32"/>
      <c r="O61" s="32"/>
      <c r="P61" s="1375"/>
    </row>
    <row r="62" spans="1:16" x14ac:dyDescent="0.2">
      <c r="A62" s="487"/>
      <c r="B62" s="32"/>
      <c r="C62" s="32"/>
      <c r="D62" s="32"/>
      <c r="E62" s="32"/>
      <c r="F62" s="32"/>
      <c r="G62" s="32"/>
      <c r="H62" s="32"/>
      <c r="I62" s="32"/>
      <c r="J62" s="32"/>
      <c r="K62" s="32"/>
      <c r="L62" s="32"/>
      <c r="M62" s="32"/>
      <c r="N62" s="32"/>
      <c r="O62" s="32"/>
      <c r="P62" s="1375"/>
    </row>
    <row r="63" spans="1:16" x14ac:dyDescent="0.2">
      <c r="A63" s="487"/>
      <c r="B63" s="32"/>
      <c r="C63" s="32"/>
      <c r="D63" s="32"/>
      <c r="E63" s="32"/>
      <c r="F63" s="32"/>
      <c r="G63" s="32"/>
      <c r="H63" s="32"/>
      <c r="I63" s="32"/>
      <c r="J63" s="32"/>
      <c r="K63" s="32"/>
      <c r="L63" s="32"/>
      <c r="M63" s="32"/>
      <c r="N63" s="32"/>
      <c r="O63" s="32"/>
      <c r="P63" s="1375"/>
    </row>
    <row r="64" spans="1:16" x14ac:dyDescent="0.2">
      <c r="A64" s="487"/>
      <c r="B64" s="32"/>
      <c r="C64" s="32"/>
      <c r="D64" s="32"/>
      <c r="E64" s="32"/>
      <c r="F64" s="32"/>
      <c r="G64" s="32"/>
      <c r="H64" s="32"/>
      <c r="I64" s="32"/>
      <c r="J64" s="32"/>
      <c r="K64" s="32"/>
      <c r="L64" s="32"/>
      <c r="M64" s="32"/>
      <c r="N64" s="32"/>
      <c r="O64" s="32"/>
      <c r="P64" s="1375"/>
    </row>
    <row r="65" spans="1:16" x14ac:dyDescent="0.2">
      <c r="A65" s="487"/>
      <c r="B65" s="32"/>
      <c r="C65" s="32"/>
      <c r="D65" s="32"/>
      <c r="E65" s="32"/>
      <c r="F65" s="32"/>
      <c r="G65" s="32"/>
      <c r="H65" s="32"/>
      <c r="I65" s="32"/>
      <c r="J65" s="32"/>
      <c r="K65" s="32"/>
      <c r="L65" s="32"/>
      <c r="M65" s="32"/>
      <c r="N65" s="32"/>
      <c r="O65" s="32"/>
      <c r="P65" s="1375"/>
    </row>
    <row r="66" spans="1:16" x14ac:dyDescent="0.2">
      <c r="A66" s="487"/>
      <c r="B66" s="32"/>
      <c r="C66" s="32"/>
      <c r="D66" s="32"/>
      <c r="E66" s="32"/>
      <c r="F66" s="32"/>
      <c r="G66" s="32"/>
      <c r="H66" s="32"/>
      <c r="I66" s="32"/>
      <c r="J66" s="32"/>
      <c r="K66" s="32"/>
      <c r="L66" s="32"/>
      <c r="M66" s="32"/>
      <c r="N66" s="32"/>
      <c r="O66" s="32"/>
      <c r="P66" s="1375"/>
    </row>
    <row r="67" spans="1:16" x14ac:dyDescent="0.2">
      <c r="A67" s="487"/>
      <c r="B67" s="32"/>
      <c r="C67" s="32"/>
      <c r="D67" s="32"/>
      <c r="E67" s="32"/>
      <c r="F67" s="32"/>
      <c r="G67" s="32"/>
      <c r="H67" s="32"/>
      <c r="I67" s="32"/>
      <c r="J67" s="32"/>
      <c r="K67" s="32"/>
      <c r="L67" s="32"/>
      <c r="M67" s="32"/>
      <c r="N67" s="32"/>
      <c r="O67" s="32"/>
      <c r="P67" s="1375"/>
    </row>
    <row r="68" spans="1:16" x14ac:dyDescent="0.2">
      <c r="A68" s="487"/>
      <c r="B68" s="32"/>
      <c r="C68" s="32"/>
      <c r="D68" s="32"/>
      <c r="E68" s="32"/>
      <c r="F68" s="32"/>
      <c r="G68" s="32"/>
      <c r="H68" s="32"/>
      <c r="I68" s="32"/>
      <c r="J68" s="32"/>
      <c r="K68" s="32"/>
      <c r="L68" s="32"/>
      <c r="M68" s="32"/>
      <c r="N68" s="32"/>
      <c r="O68" s="32"/>
      <c r="P68" s="1375"/>
    </row>
    <row r="69" spans="1:16" x14ac:dyDescent="0.2">
      <c r="A69" s="487"/>
      <c r="B69" s="32"/>
      <c r="C69" s="32"/>
      <c r="D69" s="32"/>
      <c r="E69" s="32"/>
      <c r="F69" s="32"/>
      <c r="G69" s="32"/>
      <c r="H69" s="32"/>
      <c r="I69" s="32"/>
      <c r="J69" s="32"/>
      <c r="K69" s="32"/>
      <c r="L69" s="32"/>
      <c r="M69" s="32"/>
      <c r="N69" s="32"/>
      <c r="O69" s="32"/>
      <c r="P69" s="1375"/>
    </row>
    <row r="70" spans="1:16" x14ac:dyDescent="0.2">
      <c r="A70" s="487"/>
      <c r="B70" s="32"/>
      <c r="C70" s="32"/>
      <c r="D70" s="32"/>
      <c r="E70" s="32"/>
      <c r="F70" s="32"/>
      <c r="G70" s="32"/>
      <c r="H70" s="32"/>
      <c r="I70" s="32"/>
      <c r="J70" s="32"/>
      <c r="K70" s="32"/>
      <c r="L70" s="32"/>
      <c r="M70" s="32"/>
      <c r="N70" s="32"/>
      <c r="O70" s="32"/>
      <c r="P70" s="1375"/>
    </row>
    <row r="71" spans="1:16" x14ac:dyDescent="0.2">
      <c r="A71" s="487"/>
      <c r="B71" s="32"/>
      <c r="C71" s="32"/>
      <c r="D71" s="32"/>
      <c r="E71" s="32"/>
      <c r="F71" s="32"/>
      <c r="G71" s="32"/>
      <c r="H71" s="32"/>
      <c r="I71" s="32"/>
      <c r="J71" s="32"/>
      <c r="K71" s="32"/>
      <c r="L71" s="32"/>
      <c r="M71" s="32"/>
      <c r="N71" s="32"/>
      <c r="O71" s="32"/>
      <c r="P71" s="1375"/>
    </row>
    <row r="72" spans="1:16" x14ac:dyDescent="0.2">
      <c r="A72" s="487"/>
      <c r="B72" s="32"/>
      <c r="C72" s="32"/>
      <c r="D72" s="32"/>
      <c r="E72" s="32"/>
      <c r="F72" s="32"/>
      <c r="G72" s="32"/>
      <c r="H72" s="32"/>
      <c r="I72" s="32"/>
      <c r="J72" s="32"/>
      <c r="K72" s="32"/>
      <c r="L72" s="32"/>
      <c r="M72" s="32"/>
      <c r="N72" s="32"/>
      <c r="O72" s="32"/>
      <c r="P72" s="1375"/>
    </row>
    <row r="73" spans="1:16" x14ac:dyDescent="0.2">
      <c r="A73" s="487"/>
      <c r="B73" s="32"/>
      <c r="C73" s="32"/>
      <c r="D73" s="32"/>
      <c r="E73" s="32"/>
      <c r="F73" s="32"/>
      <c r="G73" s="32"/>
      <c r="H73" s="32"/>
      <c r="I73" s="32"/>
      <c r="J73" s="32"/>
      <c r="K73" s="32"/>
      <c r="L73" s="32"/>
      <c r="M73" s="32"/>
      <c r="N73" s="32"/>
      <c r="O73" s="32"/>
      <c r="P73" s="1375"/>
    </row>
    <row r="74" spans="1:16" x14ac:dyDescent="0.2">
      <c r="A74" s="487"/>
      <c r="B74" s="32"/>
      <c r="C74" s="32"/>
      <c r="D74" s="32"/>
      <c r="E74" s="32"/>
      <c r="F74" s="32"/>
      <c r="G74" s="32"/>
      <c r="H74" s="32"/>
      <c r="I74" s="32"/>
      <c r="J74" s="32"/>
      <c r="K74" s="32"/>
      <c r="L74" s="32"/>
      <c r="M74" s="32"/>
      <c r="N74" s="32"/>
      <c r="O74" s="32"/>
      <c r="P74" s="1375"/>
    </row>
    <row r="75" spans="1:16" x14ac:dyDescent="0.2">
      <c r="A75" s="487"/>
      <c r="B75" s="32"/>
      <c r="C75" s="32"/>
      <c r="D75" s="32"/>
      <c r="E75" s="32"/>
      <c r="F75" s="32"/>
      <c r="G75" s="32"/>
      <c r="H75" s="32"/>
      <c r="I75" s="32"/>
      <c r="J75" s="32"/>
      <c r="K75" s="32"/>
      <c r="L75" s="32"/>
      <c r="M75" s="32"/>
      <c r="N75" s="32"/>
      <c r="O75" s="32"/>
      <c r="P75" s="1375"/>
    </row>
    <row r="76" spans="1:16" x14ac:dyDescent="0.2">
      <c r="A76" s="487"/>
      <c r="B76" s="32"/>
      <c r="C76" s="32"/>
      <c r="D76" s="32"/>
      <c r="E76" s="32"/>
      <c r="F76" s="32"/>
      <c r="G76" s="32"/>
      <c r="H76" s="32"/>
      <c r="I76" s="32"/>
      <c r="J76" s="32"/>
      <c r="K76" s="32"/>
      <c r="L76" s="32"/>
      <c r="M76" s="32"/>
      <c r="N76" s="32"/>
      <c r="O76" s="32"/>
      <c r="P76" s="1375"/>
    </row>
    <row r="77" spans="1:16" x14ac:dyDescent="0.2">
      <c r="A77" s="487"/>
      <c r="B77" s="32"/>
      <c r="C77" s="32"/>
      <c r="D77" s="32"/>
      <c r="E77" s="32"/>
      <c r="F77" s="32"/>
      <c r="G77" s="32"/>
      <c r="H77" s="32"/>
      <c r="I77" s="32"/>
      <c r="J77" s="32"/>
      <c r="K77" s="32"/>
      <c r="L77" s="32"/>
      <c r="M77" s="32"/>
      <c r="N77" s="32"/>
      <c r="O77" s="32"/>
      <c r="P77" s="1375"/>
    </row>
    <row r="78" spans="1:16" x14ac:dyDescent="0.2">
      <c r="A78" s="487"/>
      <c r="B78" s="32"/>
      <c r="C78" s="32"/>
      <c r="D78" s="32"/>
      <c r="E78" s="32"/>
      <c r="F78" s="32"/>
      <c r="G78" s="32"/>
      <c r="H78" s="32"/>
      <c r="I78" s="32"/>
      <c r="J78" s="32"/>
      <c r="K78" s="32"/>
      <c r="L78" s="32"/>
      <c r="M78" s="32"/>
      <c r="N78" s="32"/>
      <c r="O78" s="32"/>
      <c r="P78" s="1375"/>
    </row>
    <row r="79" spans="1:16" x14ac:dyDescent="0.2">
      <c r="A79" s="487"/>
      <c r="B79" s="32"/>
      <c r="C79" s="32"/>
      <c r="D79" s="32"/>
      <c r="E79" s="32"/>
      <c r="F79" s="32"/>
      <c r="G79" s="32"/>
      <c r="H79" s="32"/>
      <c r="I79" s="32"/>
      <c r="J79" s="32"/>
      <c r="K79" s="32"/>
      <c r="L79" s="32"/>
      <c r="M79" s="32"/>
      <c r="N79" s="32"/>
      <c r="O79" s="32"/>
      <c r="P79" s="1375"/>
    </row>
    <row r="80" spans="1:16" x14ac:dyDescent="0.2">
      <c r="A80" s="487"/>
      <c r="B80" s="32"/>
      <c r="C80" s="32"/>
      <c r="D80" s="32"/>
      <c r="E80" s="32"/>
      <c r="F80" s="32"/>
      <c r="G80" s="32"/>
      <c r="H80" s="32"/>
      <c r="I80" s="32"/>
      <c r="J80" s="32"/>
      <c r="K80" s="32"/>
      <c r="L80" s="32"/>
      <c r="M80" s="32"/>
      <c r="N80" s="32"/>
      <c r="O80" s="32"/>
      <c r="P80" s="1375"/>
    </row>
    <row r="81" spans="1:16" x14ac:dyDescent="0.2">
      <c r="A81" s="487"/>
      <c r="B81" s="32"/>
      <c r="C81" s="32"/>
      <c r="D81" s="32"/>
      <c r="E81" s="32"/>
      <c r="F81" s="32"/>
      <c r="G81" s="32"/>
      <c r="H81" s="32"/>
      <c r="I81" s="32"/>
      <c r="J81" s="32"/>
      <c r="K81" s="32"/>
      <c r="L81" s="32"/>
      <c r="M81" s="32"/>
      <c r="N81" s="32"/>
      <c r="O81" s="32"/>
      <c r="P81" s="1375"/>
    </row>
    <row r="82" spans="1:16" x14ac:dyDescent="0.2">
      <c r="A82" s="487"/>
      <c r="B82" s="32"/>
      <c r="C82" s="32"/>
      <c r="D82" s="32"/>
      <c r="E82" s="32"/>
      <c r="F82" s="32"/>
      <c r="G82" s="32"/>
      <c r="H82" s="32"/>
      <c r="I82" s="32"/>
      <c r="J82" s="32"/>
      <c r="K82" s="32"/>
      <c r="L82" s="32"/>
      <c r="M82" s="32"/>
      <c r="N82" s="32"/>
      <c r="O82" s="32"/>
      <c r="P82" s="1375"/>
    </row>
    <row r="83" spans="1:16" x14ac:dyDescent="0.2">
      <c r="A83" s="487"/>
      <c r="B83" s="32"/>
      <c r="C83" s="32"/>
      <c r="D83" s="32"/>
      <c r="E83" s="32"/>
      <c r="F83" s="32"/>
      <c r="G83" s="32"/>
      <c r="H83" s="32"/>
      <c r="I83" s="32"/>
      <c r="J83" s="32"/>
      <c r="K83" s="32"/>
      <c r="L83" s="32"/>
      <c r="M83" s="2761" t="s">
        <v>156</v>
      </c>
      <c r="N83" s="2761"/>
      <c r="O83" s="2761"/>
      <c r="P83" s="1375"/>
    </row>
    <row r="84" spans="1:16" x14ac:dyDescent="0.2">
      <c r="A84" s="1375"/>
      <c r="B84" s="1375"/>
      <c r="C84" s="1375"/>
      <c r="D84" s="1375"/>
      <c r="E84" s="1375"/>
      <c r="F84" s="1375"/>
      <c r="G84" s="1375"/>
      <c r="H84" s="1375"/>
      <c r="I84" s="1375"/>
      <c r="J84" s="1375"/>
      <c r="K84" s="1375"/>
      <c r="L84" s="1375"/>
      <c r="M84" s="1375"/>
      <c r="N84" s="1375"/>
      <c r="O84" s="1375"/>
      <c r="P84" s="1375"/>
    </row>
  </sheetData>
  <sheetProtection password="9166" sheet="1" objects="1" scenarios="1" selectLockedCells="1"/>
  <mergeCells count="1">
    <mergeCell ref="M83:O83"/>
  </mergeCells>
  <phoneticPr fontId="4" type="noConversion"/>
  <hyperlinks>
    <hyperlink ref="M83:O83" location="IMPOSTAZIONI!A1" display="Torna alle IMPOSTAZIONI"/>
  </hyperlinks>
  <printOptions horizontalCentered="1"/>
  <pageMargins left="0.19685039370078741" right="0" top="0.31496062992125984" bottom="0.31496062992125984" header="0.51181102362204722" footer="0.51181102362204722"/>
  <pageSetup paperSize="9" scale="75"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
    <pageSetUpPr autoPageBreaks="0"/>
  </sheetPr>
  <dimension ref="A1:FD463"/>
  <sheetViews>
    <sheetView showGridLines="0" showRowColHeaders="0" workbookViewId="0">
      <selection activeCell="J20" sqref="J20:K20"/>
    </sheetView>
  </sheetViews>
  <sheetFormatPr defaultRowHeight="12.75" x14ac:dyDescent="0.2"/>
  <cols>
    <col min="1" max="55" width="4.28515625" style="80" customWidth="1"/>
    <col min="56" max="16384" width="9.140625" style="80"/>
  </cols>
  <sheetData>
    <row r="1" spans="1:55" ht="11.25" customHeight="1" x14ac:dyDescent="0.2">
      <c r="A1" s="216"/>
      <c r="B1" s="186"/>
      <c r="C1" s="186"/>
      <c r="D1" s="186"/>
      <c r="E1" s="186"/>
      <c r="F1" s="186"/>
      <c r="G1" s="186"/>
      <c r="H1" s="186"/>
      <c r="I1" s="186"/>
      <c r="J1" s="186"/>
      <c r="K1" s="186"/>
      <c r="L1" s="186"/>
      <c r="M1" s="186"/>
      <c r="N1" s="186"/>
      <c r="O1" s="186"/>
      <c r="P1" s="186"/>
      <c r="Q1" s="186"/>
      <c r="R1" s="186"/>
      <c r="S1" s="186"/>
      <c r="T1" s="186"/>
      <c r="U1" s="186"/>
      <c r="V1" s="186"/>
      <c r="W1" s="2006" t="str">
        <f>IF(ISERROR(N387),Presentazione!D70,"")</f>
        <v/>
      </c>
      <c r="X1" s="2006"/>
      <c r="Y1" s="2006"/>
      <c r="Z1" s="2006"/>
      <c r="AA1" s="2006"/>
      <c r="AB1" s="2006"/>
      <c r="AC1" s="2006"/>
      <c r="AD1" s="2006"/>
      <c r="AE1" s="2006"/>
      <c r="AF1" s="2006"/>
      <c r="AG1" s="2006"/>
      <c r="AH1" s="2006"/>
      <c r="AI1" s="2006"/>
      <c r="AJ1" s="2006"/>
      <c r="AK1" s="2006"/>
      <c r="AL1" s="2006"/>
      <c r="AM1" s="2006"/>
      <c r="AN1" s="48"/>
      <c r="AO1" s="481"/>
      <c r="AP1" s="481"/>
      <c r="AQ1" s="481"/>
      <c r="AR1" s="481"/>
      <c r="AS1" s="481"/>
      <c r="AT1" s="481"/>
      <c r="AU1" s="481"/>
      <c r="AV1" s="481"/>
      <c r="AW1" s="481"/>
      <c r="AX1" s="481"/>
      <c r="AY1" s="481"/>
      <c r="AZ1" s="481"/>
      <c r="BA1" s="481"/>
      <c r="BB1" s="481"/>
      <c r="BC1" s="481"/>
    </row>
    <row r="2" spans="1:55" x14ac:dyDescent="0.2">
      <c r="A2" s="186"/>
      <c r="B2" s="641" t="s">
        <v>725</v>
      </c>
      <c r="C2" s="641"/>
      <c r="D2" s="641"/>
      <c r="E2" s="641"/>
      <c r="F2" s="641"/>
      <c r="G2" s="641"/>
      <c r="H2" s="641"/>
      <c r="I2" s="641"/>
      <c r="J2" s="641"/>
      <c r="K2" s="641"/>
      <c r="L2" s="641"/>
      <c r="M2" s="641"/>
      <c r="N2" s="641"/>
      <c r="O2" s="641"/>
      <c r="P2" s="641"/>
      <c r="Q2" s="641"/>
      <c r="R2" s="641"/>
      <c r="S2" s="641"/>
      <c r="T2" s="641"/>
      <c r="U2" s="641"/>
      <c r="V2" s="641"/>
      <c r="W2" s="2006"/>
      <c r="X2" s="2006"/>
      <c r="Y2" s="2006"/>
      <c r="Z2" s="2006"/>
      <c r="AA2" s="2006"/>
      <c r="AB2" s="2006"/>
      <c r="AC2" s="2006"/>
      <c r="AD2" s="2006"/>
      <c r="AE2" s="2006"/>
      <c r="AF2" s="2006"/>
      <c r="AG2" s="2006"/>
      <c r="AH2" s="2006"/>
      <c r="AI2" s="2006"/>
      <c r="AJ2" s="2006"/>
      <c r="AK2" s="2006"/>
      <c r="AL2" s="2006"/>
      <c r="AM2" s="2006"/>
      <c r="AN2" s="48"/>
      <c r="AO2" s="481"/>
      <c r="AP2" s="481"/>
      <c r="AQ2" s="481"/>
      <c r="AR2" s="481"/>
      <c r="AS2" s="481"/>
      <c r="AT2" s="481"/>
      <c r="AU2" s="481"/>
      <c r="AV2" s="481"/>
      <c r="AW2" s="481"/>
      <c r="AX2" s="481"/>
      <c r="AY2" s="481"/>
      <c r="AZ2" s="481"/>
      <c r="BA2" s="481"/>
      <c r="BB2" s="481"/>
      <c r="BC2" s="481"/>
    </row>
    <row r="3" spans="1:55" ht="16.5" customHeight="1" x14ac:dyDescent="0.2">
      <c r="A3" s="186"/>
      <c r="B3" s="1581" t="str">
        <f>CONCATENATE("CONFIGURAZIONE del ",Presentazione!G35)</f>
        <v>CONFIGURAZIONE del Registro dei Corrispettivi 5.2.4 3txt - per EXCEL .xlsm</v>
      </c>
      <c r="C3" s="1581"/>
      <c r="D3" s="1581"/>
      <c r="E3" s="1581"/>
      <c r="F3" s="1581"/>
      <c r="G3" s="1581"/>
      <c r="H3" s="1581"/>
      <c r="I3" s="1581"/>
      <c r="J3" s="1581"/>
      <c r="K3" s="1581"/>
      <c r="L3" s="1581"/>
      <c r="M3" s="1581"/>
      <c r="N3" s="1581"/>
      <c r="O3" s="1581"/>
      <c r="P3" s="1581"/>
      <c r="Q3" s="1581"/>
      <c r="R3" s="1581"/>
      <c r="S3" s="1581"/>
      <c r="T3" s="1581"/>
      <c r="U3" s="1581"/>
      <c r="V3" s="1581"/>
      <c r="W3" s="48"/>
      <c r="X3" s="48"/>
      <c r="Y3" s="48"/>
      <c r="Z3" s="48"/>
      <c r="AA3" s="48"/>
      <c r="AB3" s="48"/>
      <c r="AC3" s="48"/>
      <c r="AD3" s="48"/>
      <c r="AE3" s="48"/>
      <c r="AF3" s="48"/>
      <c r="AG3" s="48"/>
      <c r="AH3" s="48"/>
      <c r="AI3" s="48"/>
      <c r="AJ3" s="48"/>
      <c r="AK3" s="48"/>
      <c r="AL3" s="48"/>
      <c r="AM3" s="48"/>
      <c r="AN3" s="48"/>
      <c r="AO3" s="481"/>
      <c r="AP3" s="481"/>
      <c r="AQ3" s="481"/>
      <c r="AR3" s="481"/>
      <c r="AS3" s="481"/>
      <c r="AT3" s="481"/>
      <c r="AU3" s="481"/>
      <c r="AV3" s="481"/>
      <c r="AW3" s="481"/>
      <c r="AX3" s="481"/>
      <c r="AY3" s="481"/>
      <c r="AZ3" s="481"/>
      <c r="BA3" s="481"/>
      <c r="BB3" s="481"/>
      <c r="BC3" s="481"/>
    </row>
    <row r="4" spans="1:55" ht="16.5" customHeight="1" x14ac:dyDescent="0.25">
      <c r="A4" s="186"/>
      <c r="B4" s="585" t="s">
        <v>32</v>
      </c>
      <c r="C4" s="585"/>
      <c r="D4" s="585"/>
      <c r="E4" s="585"/>
      <c r="F4" s="585"/>
      <c r="G4" s="585"/>
      <c r="H4" s="585"/>
      <c r="I4" s="585"/>
      <c r="J4" s="585"/>
      <c r="K4" s="585"/>
      <c r="L4" s="585"/>
      <c r="M4" s="585"/>
      <c r="N4" s="585"/>
      <c r="O4" s="585"/>
      <c r="P4" s="585"/>
      <c r="Q4" s="585"/>
      <c r="R4" s="585"/>
      <c r="S4" s="585"/>
      <c r="T4" s="585"/>
      <c r="U4" s="585"/>
      <c r="V4" s="585"/>
      <c r="W4" s="585"/>
      <c r="X4" s="585"/>
      <c r="Y4" s="585"/>
      <c r="Z4" s="585"/>
      <c r="AA4" s="585"/>
      <c r="AB4" s="585"/>
      <c r="AC4" s="585"/>
      <c r="AD4" s="197"/>
      <c r="AE4" s="197"/>
      <c r="AF4" s="197"/>
      <c r="AG4" s="197"/>
      <c r="AH4" s="197"/>
      <c r="AI4" s="197"/>
      <c r="AJ4" s="197"/>
      <c r="AK4" s="197"/>
      <c r="AL4" s="197"/>
      <c r="AM4" s="195"/>
      <c r="AN4" s="48"/>
      <c r="AO4" s="481"/>
      <c r="AP4" s="481"/>
      <c r="AQ4" s="481"/>
      <c r="AR4" s="481"/>
      <c r="AS4" s="481"/>
      <c r="AT4" s="481"/>
      <c r="AU4" s="481"/>
      <c r="AV4" s="481"/>
      <c r="AW4" s="481"/>
      <c r="AX4" s="481"/>
      <c r="AY4" s="481"/>
      <c r="AZ4" s="481"/>
      <c r="BA4" s="481"/>
      <c r="BB4" s="481"/>
      <c r="BC4" s="481"/>
    </row>
    <row r="5" spans="1:55" ht="18" customHeight="1" x14ac:dyDescent="0.2">
      <c r="A5" s="186"/>
      <c r="B5" s="1645" t="s">
        <v>145</v>
      </c>
      <c r="C5" s="1645"/>
      <c r="D5" s="1645"/>
      <c r="E5" s="1645"/>
      <c r="F5" s="1645"/>
      <c r="G5" s="1645"/>
      <c r="H5" s="1645"/>
      <c r="I5" s="1645"/>
      <c r="J5" s="1645"/>
      <c r="K5" s="1645"/>
      <c r="L5" s="1645"/>
      <c r="M5" s="1645"/>
      <c r="N5" s="1645"/>
      <c r="O5" s="1645"/>
      <c r="P5" s="1645"/>
      <c r="Q5" s="1645"/>
      <c r="R5" s="1645"/>
      <c r="S5" s="1645"/>
      <c r="T5" s="1645"/>
      <c r="U5" s="1645"/>
      <c r="V5" s="1645"/>
      <c r="W5" s="1645"/>
      <c r="X5" s="1645"/>
      <c r="Y5" s="1645"/>
      <c r="Z5" s="1645"/>
      <c r="AA5" s="1645"/>
      <c r="AB5" s="1645"/>
      <c r="AC5" s="1645"/>
      <c r="AD5" s="1645"/>
      <c r="AE5" s="1645"/>
      <c r="AF5" s="1645"/>
      <c r="AG5" s="1645"/>
      <c r="AH5" s="1645"/>
      <c r="AI5" s="1645"/>
      <c r="AJ5" s="1645"/>
      <c r="AK5" s="1645"/>
      <c r="AL5" s="176"/>
      <c r="AM5" s="1"/>
      <c r="AN5" s="48"/>
      <c r="AO5" s="481"/>
      <c r="AP5" s="481"/>
      <c r="AQ5" s="481"/>
      <c r="AR5" s="481"/>
      <c r="AS5" s="481"/>
      <c r="AT5" s="481"/>
      <c r="AU5" s="481"/>
      <c r="AV5" s="481"/>
      <c r="AW5" s="481"/>
      <c r="AX5" s="481"/>
      <c r="AY5" s="481"/>
      <c r="AZ5" s="481"/>
      <c r="BA5" s="481"/>
      <c r="BB5" s="481"/>
      <c r="BC5" s="481"/>
    </row>
    <row r="6" spans="1:55" ht="21" customHeight="1" x14ac:dyDescent="0.2">
      <c r="A6" s="186"/>
      <c r="B6" s="185"/>
      <c r="C6" s="2762" t="s">
        <v>876</v>
      </c>
      <c r="D6" s="1624"/>
      <c r="E6" s="1624"/>
      <c r="F6" s="1624"/>
      <c r="G6" s="1624"/>
      <c r="H6" s="1624"/>
      <c r="I6" s="1624"/>
      <c r="J6" s="1624"/>
      <c r="K6" s="1641" t="s">
        <v>38</v>
      </c>
      <c r="L6" s="1641"/>
      <c r="M6" s="1641"/>
      <c r="N6" s="1641"/>
      <c r="O6" s="48"/>
      <c r="P6" s="185"/>
      <c r="Q6" s="1624" t="s">
        <v>46</v>
      </c>
      <c r="R6" s="1624"/>
      <c r="S6" s="1624"/>
      <c r="T6" s="1624"/>
      <c r="U6" s="1624"/>
      <c r="V6" s="1624"/>
      <c r="W6" s="1288"/>
      <c r="X6" s="1288"/>
      <c r="Y6" s="1653" t="s">
        <v>48</v>
      </c>
      <c r="Z6" s="1653"/>
      <c r="AA6" s="1653"/>
      <c r="AB6" s="1653"/>
      <c r="AC6" s="1653"/>
      <c r="AD6" s="1604" t="s">
        <v>47</v>
      </c>
      <c r="AE6" s="1604"/>
      <c r="AF6" s="1288"/>
      <c r="AG6" s="186"/>
      <c r="AH6" s="910" t="s">
        <v>698</v>
      </c>
      <c r="AI6" s="910"/>
      <c r="AJ6" s="910"/>
      <c r="AK6" s="910"/>
      <c r="AL6" s="48"/>
      <c r="AM6" s="48"/>
      <c r="AN6" s="48"/>
      <c r="AO6" s="481"/>
      <c r="AP6" s="481"/>
      <c r="AQ6" s="481"/>
      <c r="AR6" s="481"/>
      <c r="AS6" s="481"/>
      <c r="AT6" s="481"/>
      <c r="AU6" s="481"/>
      <c r="AV6" s="481"/>
      <c r="AW6" s="481"/>
      <c r="AX6" s="481"/>
      <c r="AY6" s="481"/>
      <c r="AZ6" s="481"/>
      <c r="BA6" s="481"/>
      <c r="BB6" s="481"/>
      <c r="BC6" s="481"/>
    </row>
    <row r="7" spans="1:55" ht="22.5" customHeight="1" x14ac:dyDescent="0.2">
      <c r="A7" s="186"/>
      <c r="B7" s="185"/>
      <c r="C7" s="1638" t="s">
        <v>433</v>
      </c>
      <c r="D7" s="1638"/>
      <c r="E7" s="1638"/>
      <c r="F7" s="1638"/>
      <c r="G7" s="1638"/>
      <c r="H7" s="1638"/>
      <c r="I7" s="1638"/>
      <c r="J7" s="1638"/>
      <c r="K7" s="1647" t="s">
        <v>435</v>
      </c>
      <c r="L7" s="1647"/>
      <c r="M7" s="1647"/>
      <c r="N7" s="1647"/>
      <c r="O7" s="48"/>
      <c r="P7" s="185"/>
      <c r="Q7" s="222" t="s">
        <v>431</v>
      </c>
      <c r="R7" s="222"/>
      <c r="S7" s="222"/>
      <c r="T7" s="222"/>
      <c r="U7" s="222"/>
      <c r="V7" s="222"/>
      <c r="W7" s="222"/>
      <c r="X7" s="222"/>
      <c r="Y7" s="1605" t="s">
        <v>49</v>
      </c>
      <c r="Z7" s="1605"/>
      <c r="AA7" s="1605"/>
      <c r="AB7" s="1605"/>
      <c r="AC7" s="1605"/>
      <c r="AD7" s="1646" t="s">
        <v>564</v>
      </c>
      <c r="AE7" s="1646"/>
      <c r="AF7" s="222"/>
      <c r="AG7" s="186"/>
      <c r="AH7" s="1659" t="s">
        <v>434</v>
      </c>
      <c r="AI7" s="1659"/>
      <c r="AJ7" s="1659"/>
      <c r="AK7" s="1659"/>
      <c r="AL7" s="48"/>
      <c r="AM7" s="48"/>
      <c r="AN7" s="48"/>
      <c r="AO7" s="481"/>
      <c r="AP7" s="481"/>
      <c r="AQ7" s="481"/>
      <c r="AR7" s="481"/>
      <c r="AS7" s="481"/>
      <c r="AT7" s="481"/>
      <c r="AU7" s="481"/>
      <c r="AV7" s="481"/>
      <c r="AW7" s="481"/>
      <c r="AX7" s="481"/>
      <c r="AY7" s="481"/>
      <c r="AZ7" s="481"/>
      <c r="BA7" s="481"/>
      <c r="BB7" s="481"/>
      <c r="BC7" s="481"/>
    </row>
    <row r="8" spans="1:55" ht="18" customHeight="1" x14ac:dyDescent="0.2">
      <c r="A8" s="186"/>
      <c r="B8" s="581" t="s">
        <v>496</v>
      </c>
      <c r="C8" s="1639" t="s">
        <v>732</v>
      </c>
      <c r="D8" s="1640"/>
      <c r="E8" s="1640"/>
      <c r="F8" s="1640"/>
      <c r="G8" s="1640"/>
      <c r="H8" s="1640"/>
      <c r="I8" s="1640"/>
      <c r="J8" s="1640"/>
      <c r="K8" s="1642" t="s">
        <v>176</v>
      </c>
      <c r="L8" s="1643"/>
      <c r="M8" s="1643"/>
      <c r="N8" s="1644"/>
      <c r="O8" s="523" t="str">
        <f>TEXT(B8,"00")</f>
        <v>01</v>
      </c>
      <c r="P8" s="581" t="s">
        <v>510</v>
      </c>
      <c r="Q8" s="1648" t="s">
        <v>185</v>
      </c>
      <c r="R8" s="1649"/>
      <c r="S8" s="1649"/>
      <c r="T8" s="1650"/>
      <c r="U8" s="1654">
        <v>4</v>
      </c>
      <c r="V8" s="1655"/>
      <c r="W8" s="1289"/>
      <c r="X8" s="1290" t="s">
        <v>512</v>
      </c>
      <c r="Y8" s="1648" t="s">
        <v>442</v>
      </c>
      <c r="Z8" s="1649"/>
      <c r="AA8" s="1649"/>
      <c r="AB8" s="1649"/>
      <c r="AC8" s="1650"/>
      <c r="AD8" s="1651" t="s">
        <v>501</v>
      </c>
      <c r="AE8" s="1652"/>
      <c r="AF8" s="249"/>
      <c r="AG8" s="582" t="s">
        <v>517</v>
      </c>
      <c r="AH8" s="1656" t="s">
        <v>427</v>
      </c>
      <c r="AI8" s="1657"/>
      <c r="AJ8" s="1657"/>
      <c r="AK8" s="1658"/>
      <c r="AL8" s="523" t="str">
        <f>TEXT(AG8,"00")</f>
        <v>21</v>
      </c>
      <c r="AM8" s="48"/>
      <c r="AN8" s="48"/>
      <c r="AO8" s="481"/>
      <c r="AP8" s="481"/>
      <c r="AQ8" s="481"/>
      <c r="AR8" s="481"/>
      <c r="AS8" s="481"/>
      <c r="AT8" s="481"/>
      <c r="AU8" s="481"/>
      <c r="AV8" s="481"/>
      <c r="AW8" s="481"/>
      <c r="AX8" s="481"/>
      <c r="AY8" s="481"/>
      <c r="AZ8" s="481"/>
      <c r="BA8" s="481"/>
      <c r="BB8" s="481"/>
      <c r="BC8" s="481"/>
    </row>
    <row r="9" spans="1:55" ht="18" customHeight="1" x14ac:dyDescent="0.2">
      <c r="A9" s="186"/>
      <c r="B9" s="581" t="s">
        <v>497</v>
      </c>
      <c r="C9" s="1625" t="s">
        <v>426</v>
      </c>
      <c r="D9" s="1626"/>
      <c r="E9" s="1626"/>
      <c r="F9" s="1626"/>
      <c r="G9" s="1626"/>
      <c r="H9" s="1626"/>
      <c r="I9" s="1626"/>
      <c r="J9" s="1626"/>
      <c r="K9" s="1635" t="s">
        <v>189</v>
      </c>
      <c r="L9" s="1636"/>
      <c r="M9" s="1636"/>
      <c r="N9" s="1637"/>
      <c r="O9" s="523" t="str">
        <f t="shared" ref="O9:O14" si="0">TEXT(B9,"00")</f>
        <v>02</v>
      </c>
      <c r="P9" s="581" t="s">
        <v>511</v>
      </c>
      <c r="Q9" s="1627" t="s">
        <v>185</v>
      </c>
      <c r="R9" s="1628"/>
      <c r="S9" s="1628"/>
      <c r="T9" s="1629"/>
      <c r="U9" s="1660">
        <v>10</v>
      </c>
      <c r="V9" s="1661"/>
      <c r="W9" s="249"/>
      <c r="X9" s="581" t="s">
        <v>501</v>
      </c>
      <c r="Y9" s="1627" t="s">
        <v>174</v>
      </c>
      <c r="Z9" s="1628"/>
      <c r="AA9" s="1628"/>
      <c r="AB9" s="1628"/>
      <c r="AC9" s="1629"/>
      <c r="AD9" s="1606"/>
      <c r="AE9" s="1607"/>
      <c r="AF9" s="249"/>
      <c r="AG9" s="582" t="s">
        <v>518</v>
      </c>
      <c r="AH9" s="1608" t="s">
        <v>428</v>
      </c>
      <c r="AI9" s="1609"/>
      <c r="AJ9" s="1609"/>
      <c r="AK9" s="1610"/>
      <c r="AL9" s="523" t="str">
        <f t="shared" ref="AL9:AL14" si="1">TEXT(AG9,"00")</f>
        <v>22</v>
      </c>
      <c r="AM9" s="48"/>
      <c r="AN9" s="48"/>
      <c r="AO9" s="481"/>
      <c r="AP9" s="481"/>
      <c r="AQ9" s="481"/>
      <c r="AR9" s="481"/>
      <c r="AS9" s="481"/>
      <c r="AT9" s="481"/>
      <c r="AU9" s="481"/>
      <c r="AV9" s="481"/>
      <c r="AW9" s="481"/>
      <c r="AX9" s="481"/>
      <c r="AY9" s="481"/>
      <c r="AZ9" s="481"/>
      <c r="BA9" s="481"/>
      <c r="BB9" s="481"/>
      <c r="BC9" s="481"/>
    </row>
    <row r="10" spans="1:55" ht="18" customHeight="1" x14ac:dyDescent="0.2">
      <c r="A10" s="186"/>
      <c r="B10" s="581" t="s">
        <v>506</v>
      </c>
      <c r="C10" s="1625" t="s">
        <v>494</v>
      </c>
      <c r="D10" s="1626"/>
      <c r="E10" s="1626"/>
      <c r="F10" s="1626"/>
      <c r="G10" s="1626"/>
      <c r="H10" s="1626"/>
      <c r="I10" s="1626"/>
      <c r="J10" s="1626"/>
      <c r="K10" s="1635" t="s">
        <v>495</v>
      </c>
      <c r="L10" s="1636"/>
      <c r="M10" s="1636"/>
      <c r="N10" s="1637"/>
      <c r="O10" s="523" t="str">
        <f t="shared" si="0"/>
        <v>03</v>
      </c>
      <c r="P10" s="581" t="s">
        <v>360</v>
      </c>
      <c r="Q10" s="1627" t="s">
        <v>185</v>
      </c>
      <c r="R10" s="1628"/>
      <c r="S10" s="1628"/>
      <c r="T10" s="1629"/>
      <c r="U10" s="1660">
        <v>22</v>
      </c>
      <c r="V10" s="1661"/>
      <c r="W10" s="249"/>
      <c r="X10" s="581" t="s">
        <v>513</v>
      </c>
      <c r="Y10" s="1627" t="s">
        <v>173</v>
      </c>
      <c r="Z10" s="1628"/>
      <c r="AA10" s="1628"/>
      <c r="AB10" s="1628"/>
      <c r="AC10" s="1629"/>
      <c r="AD10" s="1606"/>
      <c r="AE10" s="1607"/>
      <c r="AF10" s="249"/>
      <c r="AG10" s="582" t="s">
        <v>519</v>
      </c>
      <c r="AH10" s="1608" t="s">
        <v>556</v>
      </c>
      <c r="AI10" s="1609"/>
      <c r="AJ10" s="1609"/>
      <c r="AK10" s="1610"/>
      <c r="AL10" s="523" t="str">
        <f t="shared" si="1"/>
        <v>23</v>
      </c>
      <c r="AM10" s="48"/>
      <c r="AN10" s="48"/>
      <c r="AO10" s="481"/>
      <c r="AP10" s="481"/>
      <c r="AQ10" s="481"/>
      <c r="AR10" s="481"/>
      <c r="AS10" s="481"/>
      <c r="AT10" s="481"/>
      <c r="AU10" s="481"/>
      <c r="AV10" s="481"/>
      <c r="AW10" s="481"/>
      <c r="AX10" s="481"/>
      <c r="AY10" s="481"/>
      <c r="AZ10" s="481"/>
      <c r="BA10" s="481"/>
      <c r="BB10" s="481"/>
      <c r="BC10" s="481"/>
    </row>
    <row r="11" spans="1:55" ht="18" customHeight="1" x14ac:dyDescent="0.2">
      <c r="A11" s="186"/>
      <c r="B11" s="581" t="s">
        <v>498</v>
      </c>
      <c r="C11" s="1625" t="s">
        <v>138</v>
      </c>
      <c r="D11" s="1626"/>
      <c r="E11" s="1626"/>
      <c r="F11" s="1626"/>
      <c r="G11" s="1626"/>
      <c r="H11" s="1626"/>
      <c r="I11" s="1626"/>
      <c r="J11" s="1626"/>
      <c r="K11" s="1635" t="s">
        <v>139</v>
      </c>
      <c r="L11" s="1636"/>
      <c r="M11" s="1636"/>
      <c r="N11" s="1637"/>
      <c r="O11" s="523" t="str">
        <f t="shared" si="0"/>
        <v>04</v>
      </c>
      <c r="P11" s="581" t="s">
        <v>500</v>
      </c>
      <c r="Q11" s="1662"/>
      <c r="R11" s="1663"/>
      <c r="S11" s="1663"/>
      <c r="T11" s="1664"/>
      <c r="U11" s="1630"/>
      <c r="V11" s="1631"/>
      <c r="W11" s="249"/>
      <c r="X11" s="581" t="s">
        <v>514</v>
      </c>
      <c r="Y11" s="1627" t="s">
        <v>172</v>
      </c>
      <c r="Z11" s="1628"/>
      <c r="AA11" s="1628"/>
      <c r="AB11" s="1628"/>
      <c r="AC11" s="1629"/>
      <c r="AD11" s="1606" t="s">
        <v>338</v>
      </c>
      <c r="AE11" s="1607"/>
      <c r="AF11" s="249"/>
      <c r="AG11" s="582" t="s">
        <v>520</v>
      </c>
      <c r="AH11" s="1608"/>
      <c r="AI11" s="1609"/>
      <c r="AJ11" s="1609"/>
      <c r="AK11" s="1610"/>
      <c r="AL11" s="523" t="str">
        <f t="shared" si="1"/>
        <v>24</v>
      </c>
      <c r="AM11" s="48"/>
      <c r="AN11" s="48"/>
      <c r="AO11" s="481"/>
      <c r="AP11" s="481"/>
      <c r="AQ11" s="481"/>
      <c r="AR11" s="481"/>
      <c r="AS11" s="481"/>
      <c r="AT11" s="481"/>
      <c r="AU11" s="481"/>
      <c r="AV11" s="481"/>
      <c r="AW11" s="481"/>
      <c r="AX11" s="481"/>
      <c r="AY11" s="481"/>
      <c r="AZ11" s="481"/>
      <c r="BA11" s="481"/>
      <c r="BB11" s="481"/>
      <c r="BC11" s="481"/>
    </row>
    <row r="12" spans="1:55" ht="18" customHeight="1" x14ac:dyDescent="0.2">
      <c r="A12" s="186"/>
      <c r="B12" s="581" t="s">
        <v>508</v>
      </c>
      <c r="C12" s="1625" t="s">
        <v>140</v>
      </c>
      <c r="D12" s="1626"/>
      <c r="E12" s="1626"/>
      <c r="F12" s="1626"/>
      <c r="G12" s="1626"/>
      <c r="H12" s="1626"/>
      <c r="I12" s="1626"/>
      <c r="J12" s="1626"/>
      <c r="K12" s="1635" t="s">
        <v>101</v>
      </c>
      <c r="L12" s="1636"/>
      <c r="M12" s="1636"/>
      <c r="N12" s="1637"/>
      <c r="O12" s="523" t="str">
        <f t="shared" si="0"/>
        <v>05</v>
      </c>
      <c r="P12" s="581" t="s">
        <v>502</v>
      </c>
      <c r="Q12" s="1632"/>
      <c r="R12" s="1633"/>
      <c r="S12" s="1633"/>
      <c r="T12" s="1634"/>
      <c r="U12" s="1670"/>
      <c r="V12" s="1671"/>
      <c r="W12" s="249"/>
      <c r="X12" s="581" t="s">
        <v>503</v>
      </c>
      <c r="Y12" s="1627"/>
      <c r="Z12" s="1628"/>
      <c r="AA12" s="1628"/>
      <c r="AB12" s="1628"/>
      <c r="AC12" s="1629"/>
      <c r="AD12" s="1606"/>
      <c r="AE12" s="1607"/>
      <c r="AF12" s="249"/>
      <c r="AG12" s="582" t="s">
        <v>504</v>
      </c>
      <c r="AH12" s="1608" t="s">
        <v>141</v>
      </c>
      <c r="AI12" s="1609"/>
      <c r="AJ12" s="1609"/>
      <c r="AK12" s="1610"/>
      <c r="AL12" s="523" t="str">
        <f t="shared" si="1"/>
        <v>25</v>
      </c>
      <c r="AM12" s="48"/>
      <c r="AN12" s="48"/>
      <c r="AO12" s="481"/>
      <c r="AP12" s="481"/>
      <c r="AQ12" s="481"/>
      <c r="AR12" s="481"/>
      <c r="AS12" s="481"/>
      <c r="AT12" s="481"/>
      <c r="AU12" s="481"/>
      <c r="AV12" s="481"/>
      <c r="AW12" s="481"/>
      <c r="AX12" s="481"/>
      <c r="AY12" s="481"/>
      <c r="AZ12" s="481"/>
      <c r="BA12" s="481"/>
      <c r="BB12" s="481"/>
      <c r="BC12" s="481"/>
    </row>
    <row r="13" spans="1:55" ht="18" customHeight="1" x14ac:dyDescent="0.2">
      <c r="A13" s="186"/>
      <c r="B13" s="581" t="s">
        <v>499</v>
      </c>
      <c r="C13" s="1625" t="s">
        <v>99</v>
      </c>
      <c r="D13" s="1626"/>
      <c r="E13" s="1626"/>
      <c r="F13" s="1626"/>
      <c r="G13" s="1626"/>
      <c r="H13" s="1626"/>
      <c r="I13" s="1626"/>
      <c r="J13" s="1626"/>
      <c r="K13" s="1635" t="s">
        <v>100</v>
      </c>
      <c r="L13" s="1636"/>
      <c r="M13" s="1636"/>
      <c r="N13" s="1637"/>
      <c r="O13" s="523" t="str">
        <f t="shared" si="0"/>
        <v>06</v>
      </c>
      <c r="P13" s="198"/>
      <c r="Q13" s="1865"/>
      <c r="R13" s="1865"/>
      <c r="S13" s="1865"/>
      <c r="T13" s="1865"/>
      <c r="U13" s="1865"/>
      <c r="V13" s="1865"/>
      <c r="W13" s="185"/>
      <c r="X13" s="581" t="s">
        <v>515</v>
      </c>
      <c r="Y13" s="1627"/>
      <c r="Z13" s="1628"/>
      <c r="AA13" s="1628"/>
      <c r="AB13" s="1628"/>
      <c r="AC13" s="1629"/>
      <c r="AD13" s="1606"/>
      <c r="AE13" s="1607"/>
      <c r="AF13" s="249"/>
      <c r="AG13" s="582" t="s">
        <v>505</v>
      </c>
      <c r="AH13" s="1608" t="s">
        <v>142</v>
      </c>
      <c r="AI13" s="1609"/>
      <c r="AJ13" s="1609"/>
      <c r="AK13" s="1610"/>
      <c r="AL13" s="523" t="str">
        <f t="shared" si="1"/>
        <v>26</v>
      </c>
      <c r="AM13" s="48"/>
      <c r="AN13" s="48"/>
      <c r="AO13" s="481"/>
      <c r="AP13" s="481"/>
      <c r="AQ13" s="481"/>
      <c r="AR13" s="481"/>
      <c r="AS13" s="481"/>
      <c r="AT13" s="481"/>
      <c r="AU13" s="481"/>
      <c r="AV13" s="481"/>
      <c r="AW13" s="481"/>
      <c r="AX13" s="481"/>
      <c r="AY13" s="481"/>
      <c r="AZ13" s="481"/>
      <c r="BA13" s="481"/>
      <c r="BB13" s="481"/>
      <c r="BC13" s="481"/>
    </row>
    <row r="14" spans="1:55" ht="18" customHeight="1" x14ac:dyDescent="0.2">
      <c r="A14" s="186"/>
      <c r="B14" s="581" t="s">
        <v>509</v>
      </c>
      <c r="C14" s="1866" t="s">
        <v>676</v>
      </c>
      <c r="D14" s="1867"/>
      <c r="E14" s="1867"/>
      <c r="F14" s="1867"/>
      <c r="G14" s="1867"/>
      <c r="H14" s="1867"/>
      <c r="I14" s="1867"/>
      <c r="J14" s="1867"/>
      <c r="K14" s="1870" t="s">
        <v>677</v>
      </c>
      <c r="L14" s="1871"/>
      <c r="M14" s="1871"/>
      <c r="N14" s="1872"/>
      <c r="O14" s="523" t="str">
        <f t="shared" si="0"/>
        <v>07</v>
      </c>
      <c r="P14" s="581" t="s">
        <v>507</v>
      </c>
      <c r="Q14" s="1672" t="s">
        <v>358</v>
      </c>
      <c r="R14" s="1673"/>
      <c r="S14" s="1673"/>
      <c r="T14" s="1673"/>
      <c r="U14" s="1673"/>
      <c r="V14" s="1674"/>
      <c r="W14" s="185"/>
      <c r="X14" s="581" t="s">
        <v>516</v>
      </c>
      <c r="Y14" s="1632"/>
      <c r="Z14" s="1633"/>
      <c r="AA14" s="1633"/>
      <c r="AB14" s="1633"/>
      <c r="AC14" s="1634"/>
      <c r="AD14" s="1668"/>
      <c r="AE14" s="1669"/>
      <c r="AF14" s="249"/>
      <c r="AG14" s="582" t="s">
        <v>521</v>
      </c>
      <c r="AH14" s="1665" t="s">
        <v>730</v>
      </c>
      <c r="AI14" s="1666"/>
      <c r="AJ14" s="1666"/>
      <c r="AK14" s="1667"/>
      <c r="AL14" s="523" t="str">
        <f t="shared" si="1"/>
        <v>27</v>
      </c>
      <c r="AM14" s="48"/>
      <c r="AN14" s="48"/>
      <c r="AO14" s="481"/>
      <c r="AP14" s="481"/>
      <c r="AQ14" s="481"/>
      <c r="AR14" s="481"/>
      <c r="AS14" s="481"/>
      <c r="AT14" s="481"/>
      <c r="AU14" s="481"/>
      <c r="AV14" s="481"/>
      <c r="AW14" s="481"/>
      <c r="AX14" s="481"/>
      <c r="AY14" s="481"/>
      <c r="AZ14" s="481"/>
      <c r="BA14" s="481"/>
      <c r="BB14" s="481"/>
      <c r="BC14" s="481"/>
    </row>
    <row r="15" spans="1:55" ht="13.5" customHeight="1" x14ac:dyDescent="0.25">
      <c r="A15" s="186"/>
      <c r="B15" s="186"/>
      <c r="C15" s="1868"/>
      <c r="D15" s="1868"/>
      <c r="E15" s="1868"/>
      <c r="F15" s="1868"/>
      <c r="G15" s="1868"/>
      <c r="H15" s="1868"/>
      <c r="I15" s="1868"/>
      <c r="J15" s="1868"/>
      <c r="K15" s="185"/>
      <c r="L15" s="185"/>
      <c r="M15" s="185"/>
      <c r="N15" s="185"/>
      <c r="O15" s="185"/>
      <c r="P15" s="185"/>
      <c r="Q15" s="185"/>
      <c r="R15" s="185"/>
      <c r="S15" s="185"/>
      <c r="T15" s="185"/>
      <c r="U15" s="185"/>
      <c r="V15" s="185"/>
      <c r="W15" s="185"/>
      <c r="X15" s="185"/>
      <c r="Y15" s="185"/>
      <c r="Z15" s="185"/>
      <c r="AA15" s="185"/>
      <c r="AB15" s="185"/>
      <c r="AC15" s="185"/>
      <c r="AD15" s="185"/>
      <c r="AE15" s="186"/>
      <c r="AF15" s="186"/>
      <c r="AG15" s="186"/>
      <c r="AH15" s="186"/>
      <c r="AI15" s="186"/>
      <c r="AJ15" s="186"/>
      <c r="AK15" s="186"/>
      <c r="AL15" s="186"/>
      <c r="AM15" s="186"/>
      <c r="AN15" s="186"/>
      <c r="AO15" s="482"/>
      <c r="AP15" s="481"/>
      <c r="AQ15" s="481"/>
      <c r="AR15" s="481"/>
      <c r="AS15" s="481"/>
      <c r="AT15" s="481"/>
      <c r="AU15" s="481"/>
      <c r="AV15" s="481"/>
      <c r="AW15" s="481"/>
      <c r="AX15" s="481"/>
      <c r="AY15" s="481"/>
      <c r="AZ15" s="481"/>
      <c r="BA15" s="481"/>
      <c r="BB15" s="481"/>
      <c r="BC15" s="481"/>
    </row>
    <row r="16" spans="1:55" ht="16.5" customHeight="1" x14ac:dyDescent="0.25">
      <c r="A16" s="186"/>
      <c r="B16" s="1875" t="s">
        <v>690</v>
      </c>
      <c r="C16" s="1875"/>
      <c r="D16" s="1875"/>
      <c r="E16" s="1875"/>
      <c r="F16" s="1875"/>
      <c r="G16" s="1875"/>
      <c r="H16" s="1875"/>
      <c r="I16" s="1875"/>
      <c r="J16" s="1875"/>
      <c r="K16" s="1875"/>
      <c r="L16" s="1875"/>
      <c r="M16" s="1875"/>
      <c r="N16" s="1875"/>
      <c r="O16" s="1875"/>
      <c r="P16" s="1875"/>
      <c r="Q16" s="1875"/>
      <c r="R16" s="1875"/>
      <c r="S16" s="1875"/>
      <c r="T16" s="1875"/>
      <c r="U16" s="1875"/>
      <c r="V16" s="1875"/>
      <c r="W16" s="1875"/>
      <c r="X16" s="1875"/>
      <c r="Y16" s="1875"/>
      <c r="Z16" s="1875"/>
      <c r="AA16" s="1875"/>
      <c r="AB16" s="1875"/>
      <c r="AC16" s="1875"/>
      <c r="AD16" s="1875"/>
      <c r="AE16" s="1875"/>
      <c r="AF16" s="1875"/>
      <c r="AG16" s="1875"/>
      <c r="AH16" s="1875"/>
      <c r="AI16" s="1875"/>
      <c r="AJ16" s="1875"/>
      <c r="AK16" s="1875"/>
      <c r="AL16" s="197"/>
      <c r="AM16" s="195"/>
      <c r="AN16" s="48"/>
      <c r="AO16" s="481"/>
      <c r="AP16" s="481"/>
      <c r="AQ16" s="481"/>
      <c r="AR16" s="481"/>
      <c r="AS16" s="481"/>
      <c r="AT16" s="481"/>
      <c r="AU16" s="481"/>
      <c r="AV16" s="481"/>
      <c r="AW16" s="481"/>
      <c r="AX16" s="481"/>
      <c r="AY16" s="481"/>
      <c r="AZ16" s="481"/>
      <c r="BA16" s="481"/>
      <c r="BB16" s="481"/>
      <c r="BC16" s="481"/>
    </row>
    <row r="17" spans="1:55" ht="18" customHeight="1" x14ac:dyDescent="0.2">
      <c r="A17" s="186"/>
      <c r="B17" s="1873" t="s">
        <v>691</v>
      </c>
      <c r="C17" s="1874"/>
      <c r="D17" s="1874"/>
      <c r="E17" s="1874"/>
      <c r="F17" s="1874"/>
      <c r="G17" s="1874"/>
      <c r="H17" s="1874"/>
      <c r="I17" s="1874"/>
      <c r="J17" s="1874"/>
      <c r="K17" s="1874"/>
      <c r="L17" s="1874"/>
      <c r="M17" s="1874"/>
      <c r="N17" s="1874"/>
      <c r="O17" s="1874"/>
      <c r="P17" s="1874"/>
      <c r="Q17" s="1874"/>
      <c r="R17" s="1874"/>
      <c r="S17" s="1874"/>
      <c r="T17" s="1874"/>
      <c r="U17" s="1874"/>
      <c r="V17" s="1874"/>
      <c r="W17" s="1874"/>
      <c r="X17" s="1874"/>
      <c r="Y17" s="1874"/>
      <c r="Z17" s="1874"/>
      <c r="AA17" s="1874"/>
      <c r="AB17" s="1874"/>
      <c r="AC17" s="1874"/>
      <c r="AD17" s="1874"/>
      <c r="AE17" s="1874"/>
      <c r="AF17" s="1874"/>
      <c r="AG17" s="1874"/>
      <c r="AH17" s="1874"/>
      <c r="AI17" s="1874"/>
      <c r="AJ17" s="176"/>
      <c r="AK17" s="176"/>
      <c r="AL17" s="176"/>
      <c r="AM17" s="1"/>
      <c r="AN17" s="48"/>
      <c r="AO17" s="481"/>
      <c r="AP17" s="481"/>
      <c r="AQ17" s="481"/>
      <c r="AR17" s="481"/>
      <c r="AS17" s="481"/>
      <c r="AT17" s="481"/>
      <c r="AU17" s="481"/>
      <c r="AV17" s="481"/>
      <c r="AW17" s="481"/>
      <c r="AX17" s="481"/>
      <c r="AY17" s="481"/>
      <c r="AZ17" s="481"/>
      <c r="BA17" s="481"/>
      <c r="BB17" s="481"/>
      <c r="BC17" s="481"/>
    </row>
    <row r="18" spans="1:55" ht="18" customHeight="1" x14ac:dyDescent="0.2">
      <c r="A18" s="48"/>
      <c r="B18" s="186"/>
      <c r="C18" s="192"/>
      <c r="D18" s="192"/>
      <c r="E18" s="192"/>
      <c r="F18" s="192"/>
      <c r="G18" s="192"/>
      <c r="H18" s="192"/>
      <c r="I18" s="192"/>
      <c r="J18" s="1869" t="str">
        <f>I19</f>
        <v>Colonna 1</v>
      </c>
      <c r="K18" s="1869"/>
      <c r="L18" s="525"/>
      <c r="M18" s="525"/>
      <c r="N18" s="1869" t="str">
        <f>M19</f>
        <v>Colonna 2</v>
      </c>
      <c r="O18" s="1869"/>
      <c r="P18" s="525"/>
      <c r="Q18" s="525"/>
      <c r="R18" s="525"/>
      <c r="S18" s="525"/>
      <c r="T18" s="525"/>
      <c r="U18" s="525"/>
      <c r="V18" s="1869" t="str">
        <f>U19</f>
        <v>Colonna 3</v>
      </c>
      <c r="W18" s="1869"/>
      <c r="X18" s="525"/>
      <c r="Y18" s="525"/>
      <c r="Z18" s="525"/>
      <c r="AA18" s="525"/>
      <c r="AB18" s="525"/>
      <c r="AC18" s="526"/>
      <c r="AD18" s="1869" t="str">
        <f>AC19</f>
        <v>Colonna 4</v>
      </c>
      <c r="AE18" s="1869"/>
      <c r="AF18" s="176"/>
      <c r="AG18" s="176"/>
      <c r="AH18" s="176"/>
      <c r="AI18" s="176"/>
      <c r="AJ18" s="1"/>
      <c r="AK18" s="48"/>
      <c r="AL18" s="48"/>
      <c r="AM18" s="48"/>
      <c r="AN18" s="48"/>
      <c r="AO18" s="481"/>
      <c r="AP18" s="481"/>
      <c r="AQ18" s="481"/>
      <c r="AR18" s="481"/>
      <c r="AS18" s="481"/>
      <c r="AT18" s="481"/>
      <c r="AU18" s="481"/>
      <c r="AV18" s="481"/>
      <c r="AW18" s="481"/>
      <c r="AX18" s="481"/>
      <c r="AY18" s="481"/>
      <c r="AZ18" s="481"/>
      <c r="BA18" s="481"/>
      <c r="BB18" s="481"/>
      <c r="BC18" s="481"/>
    </row>
    <row r="19" spans="1:55" ht="18" customHeight="1" x14ac:dyDescent="0.2">
      <c r="A19" s="48"/>
      <c r="B19" s="186"/>
      <c r="C19" s="900" t="str">
        <f>IF(AD44=AF132,"Configura qui --&gt;",D28)</f>
        <v>Configura qui --&gt;</v>
      </c>
      <c r="D19" s="899"/>
      <c r="E19" s="899"/>
      <c r="F19" s="899"/>
      <c r="G19" s="586"/>
      <c r="H19" s="586"/>
      <c r="I19" s="1768" t="str">
        <f>C184</f>
        <v>Colonna 1</v>
      </c>
      <c r="J19" s="1768"/>
      <c r="K19" s="1768"/>
      <c r="L19" s="1768"/>
      <c r="M19" s="1768" t="str">
        <f>C185</f>
        <v>Colonna 2</v>
      </c>
      <c r="N19" s="1768"/>
      <c r="O19" s="1768"/>
      <c r="P19" s="1768"/>
      <c r="Q19" s="651"/>
      <c r="R19" s="651"/>
      <c r="S19" s="651"/>
      <c r="T19" s="651"/>
      <c r="U19" s="1768" t="str">
        <f>C186</f>
        <v>Colonna 3</v>
      </c>
      <c r="V19" s="1768"/>
      <c r="W19" s="1768"/>
      <c r="X19" s="1768"/>
      <c r="Y19" s="651"/>
      <c r="Z19" s="651"/>
      <c r="AA19" s="651"/>
      <c r="AB19" s="651"/>
      <c r="AC19" s="1768" t="str">
        <f>C187</f>
        <v>Colonna 4</v>
      </c>
      <c r="AD19" s="1768"/>
      <c r="AE19" s="1768"/>
      <c r="AF19" s="1768"/>
      <c r="AG19" s="186"/>
      <c r="AH19" s="186"/>
      <c r="AI19" s="186"/>
      <c r="AJ19" s="48"/>
      <c r="AK19" s="48"/>
      <c r="AL19" s="48"/>
      <c r="AM19" s="48"/>
      <c r="AN19" s="48"/>
      <c r="AO19" s="481"/>
      <c r="AP19" s="481"/>
      <c r="AQ19" s="481"/>
      <c r="AR19" s="481"/>
      <c r="AS19" s="481"/>
      <c r="AT19" s="481"/>
      <c r="AU19" s="481"/>
      <c r="AV19" s="481"/>
      <c r="AW19" s="481"/>
      <c r="AX19" s="481"/>
      <c r="AY19" s="481"/>
      <c r="AZ19" s="481"/>
      <c r="BA19" s="481"/>
      <c r="BB19" s="481"/>
      <c r="BC19" s="481"/>
    </row>
    <row r="20" spans="1:55" ht="18" customHeight="1" x14ac:dyDescent="0.2">
      <c r="A20" s="48"/>
      <c r="B20" s="186"/>
      <c r="C20" s="185"/>
      <c r="D20" s="905" t="s">
        <v>688</v>
      </c>
      <c r="E20" s="48"/>
      <c r="F20" s="902"/>
      <c r="G20" s="902"/>
      <c r="H20" s="902"/>
      <c r="I20" s="527"/>
      <c r="J20" s="1769"/>
      <c r="K20" s="1770"/>
      <c r="L20" s="524">
        <f>IF(J20="",0,1)</f>
        <v>0</v>
      </c>
      <c r="M20" s="527"/>
      <c r="N20" s="1769"/>
      <c r="O20" s="1770"/>
      <c r="P20" s="524">
        <f>IF(N20="",0,1)</f>
        <v>0</v>
      </c>
      <c r="Q20" s="524"/>
      <c r="R20" s="524"/>
      <c r="S20" s="524"/>
      <c r="T20" s="524"/>
      <c r="U20" s="527"/>
      <c r="V20" s="1769"/>
      <c r="W20" s="1770"/>
      <c r="X20" s="524">
        <f>IF(V20="",0,1)</f>
        <v>0</v>
      </c>
      <c r="Y20" s="524"/>
      <c r="Z20" s="524"/>
      <c r="AA20" s="524"/>
      <c r="AB20" s="524"/>
      <c r="AC20" s="527"/>
      <c r="AD20" s="1769"/>
      <c r="AE20" s="1770"/>
      <c r="AF20" s="524">
        <f>IF(AD20="",0,1)</f>
        <v>0</v>
      </c>
      <c r="AG20" s="48"/>
      <c r="AH20" s="186"/>
      <c r="AI20" s="186"/>
      <c r="AJ20" s="186"/>
      <c r="AK20" s="48"/>
      <c r="AL20" s="48"/>
      <c r="AM20" s="48"/>
      <c r="AN20" s="48"/>
      <c r="AO20" s="481"/>
      <c r="AP20" s="481"/>
      <c r="AQ20" s="481"/>
      <c r="AR20" s="481"/>
      <c r="AS20" s="481"/>
      <c r="AT20" s="481"/>
      <c r="AU20" s="481"/>
      <c r="AV20" s="481"/>
      <c r="AW20" s="481"/>
      <c r="AX20" s="481"/>
      <c r="AY20" s="481"/>
      <c r="AZ20" s="481"/>
      <c r="BA20" s="481"/>
      <c r="BB20" s="481"/>
      <c r="BC20" s="481"/>
    </row>
    <row r="21" spans="1:55" ht="18" customHeight="1" x14ac:dyDescent="0.2">
      <c r="A21" s="48"/>
      <c r="B21" s="186"/>
      <c r="C21" s="186"/>
      <c r="D21" s="906" t="s">
        <v>689</v>
      </c>
      <c r="E21" s="48"/>
      <c r="F21" s="903"/>
      <c r="G21" s="903"/>
      <c r="H21" s="903"/>
      <c r="I21" s="527"/>
      <c r="J21" s="1852"/>
      <c r="K21" s="1853"/>
      <c r="L21" s="524">
        <f>IF(J21="",0,1)</f>
        <v>0</v>
      </c>
      <c r="M21" s="527"/>
      <c r="N21" s="1852"/>
      <c r="O21" s="1853"/>
      <c r="P21" s="524">
        <f>IF(N21="",0,1)</f>
        <v>0</v>
      </c>
      <c r="Q21" s="524"/>
      <c r="R21" s="524"/>
      <c r="S21" s="524"/>
      <c r="T21" s="524"/>
      <c r="U21" s="527"/>
      <c r="V21" s="1852"/>
      <c r="W21" s="1853"/>
      <c r="X21" s="524">
        <f>IF(V21="",0,1)</f>
        <v>0</v>
      </c>
      <c r="Y21" s="524"/>
      <c r="Z21" s="524"/>
      <c r="AA21" s="524"/>
      <c r="AB21" s="524"/>
      <c r="AC21" s="527"/>
      <c r="AD21" s="1852"/>
      <c r="AE21" s="1853"/>
      <c r="AF21" s="524">
        <f>IF(AD21="",0,1)</f>
        <v>0</v>
      </c>
      <c r="AG21" s="1887" t="str">
        <f>IF(AM138=C152,E37,"")</f>
        <v/>
      </c>
      <c r="AH21" s="1887"/>
      <c r="AI21" s="1887"/>
      <c r="AJ21" s="1887"/>
      <c r="AK21" s="48"/>
      <c r="AL21" s="48"/>
      <c r="AM21" s="48"/>
      <c r="AN21" s="48"/>
      <c r="AO21" s="481"/>
      <c r="AP21" s="481"/>
      <c r="AQ21" s="481"/>
      <c r="AR21" s="481"/>
      <c r="AS21" s="481"/>
      <c r="AT21" s="481"/>
      <c r="AU21" s="481"/>
      <c r="AV21" s="481"/>
      <c r="AW21" s="481"/>
      <c r="AX21" s="481"/>
      <c r="AY21" s="481"/>
      <c r="AZ21" s="481"/>
      <c r="BA21" s="481"/>
      <c r="BB21" s="481"/>
      <c r="BC21" s="481"/>
    </row>
    <row r="22" spans="1:55" ht="18" customHeight="1" x14ac:dyDescent="0.2">
      <c r="A22" s="48"/>
      <c r="B22" s="186"/>
      <c r="C22" s="185"/>
      <c r="D22" s="907" t="s">
        <v>482</v>
      </c>
      <c r="E22" s="48"/>
      <c r="F22" s="904"/>
      <c r="G22" s="904"/>
      <c r="H22" s="904"/>
      <c r="I22" s="524">
        <v>1</v>
      </c>
      <c r="J22" s="1854"/>
      <c r="K22" s="1855"/>
      <c r="L22" s="524">
        <f>IF(J22="",0,1)</f>
        <v>0</v>
      </c>
      <c r="M22" s="524">
        <v>2</v>
      </c>
      <c r="N22" s="1854"/>
      <c r="O22" s="1855"/>
      <c r="P22" s="524">
        <f>IF(N22="",0,1)</f>
        <v>0</v>
      </c>
      <c r="Q22" s="524"/>
      <c r="R22" s="524"/>
      <c r="S22" s="524"/>
      <c r="T22" s="524"/>
      <c r="U22" s="524">
        <v>3</v>
      </c>
      <c r="V22" s="1854"/>
      <c r="W22" s="1855"/>
      <c r="X22" s="524">
        <f>IF(V22="",0,1)</f>
        <v>0</v>
      </c>
      <c r="Y22" s="524"/>
      <c r="Z22" s="524"/>
      <c r="AA22" s="524"/>
      <c r="AB22" s="524"/>
      <c r="AC22" s="524">
        <v>4</v>
      </c>
      <c r="AD22" s="1854"/>
      <c r="AE22" s="1855"/>
      <c r="AF22" s="524">
        <f>IF(AD22="",0,1)</f>
        <v>0</v>
      </c>
      <c r="AG22" s="48"/>
      <c r="AH22" s="186"/>
      <c r="AI22" s="186"/>
      <c r="AJ22" s="186"/>
      <c r="AK22" s="48"/>
      <c r="AL22" s="48"/>
      <c r="AM22" s="48"/>
      <c r="AN22" s="48"/>
      <c r="AO22" s="481"/>
      <c r="AP22" s="481"/>
      <c r="AQ22" s="481"/>
      <c r="AR22" s="481"/>
      <c r="AS22" s="481"/>
      <c r="AT22" s="481"/>
      <c r="AU22" s="481"/>
      <c r="AV22" s="481"/>
      <c r="AW22" s="481"/>
      <c r="AX22" s="481"/>
      <c r="AY22" s="481"/>
      <c r="AZ22" s="481"/>
      <c r="BA22" s="481"/>
      <c r="BB22" s="481"/>
      <c r="BC22" s="481"/>
    </row>
    <row r="23" spans="1:55" ht="11.25" customHeight="1" x14ac:dyDescent="0.2">
      <c r="A23" s="48"/>
      <c r="B23" s="186"/>
      <c r="C23" s="185"/>
      <c r="D23" s="185"/>
      <c r="E23" s="1882"/>
      <c r="F23" s="1882"/>
      <c r="G23" s="1882"/>
      <c r="H23" s="1882"/>
      <c r="I23" s="1883"/>
      <c r="J23" s="1883"/>
      <c r="K23" s="1883"/>
      <c r="L23" s="1883"/>
      <c r="M23" s="1794"/>
      <c r="N23" s="1794"/>
      <c r="O23" s="1794"/>
      <c r="P23" s="1794"/>
      <c r="Q23" s="650"/>
      <c r="R23" s="650"/>
      <c r="S23" s="650"/>
      <c r="T23" s="650"/>
      <c r="U23" s="1794"/>
      <c r="V23" s="1794"/>
      <c r="W23" s="1794"/>
      <c r="X23" s="1794"/>
      <c r="Y23" s="650"/>
      <c r="Z23" s="650"/>
      <c r="AA23" s="650"/>
      <c r="AB23" s="650"/>
      <c r="AC23" s="1794"/>
      <c r="AD23" s="1794"/>
      <c r="AE23" s="1794"/>
      <c r="AF23" s="1794"/>
      <c r="AG23" s="1794"/>
      <c r="AH23" s="1794"/>
      <c r="AI23" s="1794"/>
      <c r="AJ23" s="1794"/>
      <c r="AK23" s="48"/>
      <c r="AL23" s="48"/>
      <c r="AM23" s="48"/>
      <c r="AN23" s="48"/>
      <c r="AO23" s="481"/>
      <c r="AP23" s="481"/>
      <c r="AQ23" s="481"/>
      <c r="AR23" s="481"/>
      <c r="AS23" s="481"/>
      <c r="AT23" s="481"/>
      <c r="AU23" s="481"/>
      <c r="AV23" s="481"/>
      <c r="AW23" s="481"/>
      <c r="AX23" s="481"/>
      <c r="AY23" s="481"/>
      <c r="AZ23" s="481"/>
      <c r="BA23" s="481"/>
      <c r="BB23" s="481"/>
      <c r="BC23" s="481"/>
    </row>
    <row r="24" spans="1:55" ht="19.5" customHeight="1" x14ac:dyDescent="0.2">
      <c r="A24" s="48"/>
      <c r="B24" s="186"/>
      <c r="C24" s="1856" t="s">
        <v>682</v>
      </c>
      <c r="D24" s="1857"/>
      <c r="E24" s="1879" t="s">
        <v>441</v>
      </c>
      <c r="F24" s="1880"/>
      <c r="G24" s="1880"/>
      <c r="H24" s="1881"/>
      <c r="I24" s="1749" t="str">
        <f>IF(J20="","",VLOOKUP(J20,$B$8:$K$14,10,FALSE))</f>
        <v/>
      </c>
      <c r="J24" s="1749"/>
      <c r="K24" s="1749"/>
      <c r="L24" s="1796"/>
      <c r="M24" s="1795" t="str">
        <f>IF(N20="","",VLOOKUP(N20,$B$8:$K$14,10,FALSE))</f>
        <v/>
      </c>
      <c r="N24" s="1749"/>
      <c r="O24" s="1749"/>
      <c r="P24" s="1796"/>
      <c r="Q24" s="1824" t="s">
        <v>787</v>
      </c>
      <c r="R24" s="1825"/>
      <c r="S24" s="1825"/>
      <c r="T24" s="1826"/>
      <c r="U24" s="1795" t="str">
        <f>IF(V20="","",VLOOKUP(V20,$B$8:$K$14,10,FALSE))</f>
        <v/>
      </c>
      <c r="V24" s="1749"/>
      <c r="W24" s="1749"/>
      <c r="X24" s="1796"/>
      <c r="Y24" s="1824" t="s">
        <v>787</v>
      </c>
      <c r="Z24" s="1825"/>
      <c r="AA24" s="1825"/>
      <c r="AB24" s="1826"/>
      <c r="AC24" s="1795" t="str">
        <f>IF(AD20="","",VLOOKUP(AD20,$B$8:$K$14,10,FALSE))</f>
        <v/>
      </c>
      <c r="AD24" s="1749"/>
      <c r="AE24" s="1749"/>
      <c r="AF24" s="1750"/>
      <c r="AG24" s="1824" t="s">
        <v>787</v>
      </c>
      <c r="AH24" s="1825"/>
      <c r="AI24" s="1825"/>
      <c r="AJ24" s="1826"/>
      <c r="AK24" s="48"/>
      <c r="AL24" s="48"/>
      <c r="AM24" s="48"/>
      <c r="AN24" s="48"/>
      <c r="AO24" s="481"/>
      <c r="AP24" s="481"/>
      <c r="AQ24" s="481"/>
      <c r="AR24" s="481"/>
      <c r="AS24" s="481"/>
      <c r="AT24" s="481"/>
      <c r="AU24" s="481"/>
      <c r="AV24" s="481"/>
      <c r="AW24" s="481"/>
      <c r="AX24" s="481"/>
      <c r="AY24" s="481"/>
      <c r="AZ24" s="481"/>
      <c r="BA24" s="481"/>
      <c r="BB24" s="481"/>
      <c r="BC24" s="481"/>
    </row>
    <row r="25" spans="1:55" ht="15" customHeight="1" x14ac:dyDescent="0.2">
      <c r="A25" s="48"/>
      <c r="B25" s="186"/>
      <c r="C25" s="1860" t="s">
        <v>683</v>
      </c>
      <c r="D25" s="1861"/>
      <c r="E25" s="1876"/>
      <c r="F25" s="1877"/>
      <c r="G25" s="1877"/>
      <c r="H25" s="1878"/>
      <c r="I25" s="1755" t="str">
        <f>IF(SUM(L20:L22)=0,"- - - - - - -",IF(J21="","",VLOOKUP(J21,$R$131:$Y$145,8,FALSE)))</f>
        <v>- - - - - - -</v>
      </c>
      <c r="J25" s="1755"/>
      <c r="K25" s="1755"/>
      <c r="L25" s="1772"/>
      <c r="M25" s="1771" t="str">
        <f>IF(SUM(P20:P22)=0,"- - - - - - -",IF(N21="","",VLOOKUP(N21,$R$131:$Y$145,8,FALSE)))</f>
        <v>- - - - - - -</v>
      </c>
      <c r="N25" s="1755"/>
      <c r="O25" s="1755"/>
      <c r="P25" s="1772"/>
      <c r="Q25" s="1830"/>
      <c r="R25" s="1831"/>
      <c r="S25" s="1831"/>
      <c r="T25" s="1832"/>
      <c r="U25" s="1771" t="str">
        <f>IF(SUM(X20:X22)=0,"- - - - - - -",IF(V21="","",VLOOKUP(V21,$R$131:$Y$145,8,FALSE)))</f>
        <v>- - - - - - -</v>
      </c>
      <c r="V25" s="1755"/>
      <c r="W25" s="1755"/>
      <c r="X25" s="1772"/>
      <c r="Y25" s="1830"/>
      <c r="Z25" s="1831"/>
      <c r="AA25" s="1831"/>
      <c r="AB25" s="1832"/>
      <c r="AC25" s="1771" t="str">
        <f>IF(SUM(AF20:AF22)=0,"- - - - - - -",IF(AD21="","",VLOOKUP(AD21,$R$131:$Y$145,8,FALSE)))</f>
        <v>- - - - - - -</v>
      </c>
      <c r="AD25" s="1755"/>
      <c r="AE25" s="1755"/>
      <c r="AF25" s="1756"/>
      <c r="AG25" s="1830"/>
      <c r="AH25" s="1831"/>
      <c r="AI25" s="1831"/>
      <c r="AJ25" s="1832"/>
      <c r="AK25" s="48"/>
      <c r="AL25" s="48"/>
      <c r="AM25" s="48"/>
      <c r="AN25" s="48"/>
      <c r="AO25" s="481"/>
      <c r="AP25" s="481"/>
      <c r="AQ25" s="481"/>
      <c r="AR25" s="481"/>
      <c r="AS25" s="481"/>
      <c r="AT25" s="481"/>
      <c r="AU25" s="481"/>
      <c r="AV25" s="481"/>
      <c r="AW25" s="481"/>
      <c r="AX25" s="481"/>
      <c r="AY25" s="481"/>
      <c r="AZ25" s="481"/>
      <c r="BA25" s="481"/>
      <c r="BB25" s="481"/>
      <c r="BC25" s="481"/>
    </row>
    <row r="26" spans="1:55" ht="19.5" customHeight="1" x14ac:dyDescent="0.2">
      <c r="A26" s="48"/>
      <c r="B26" s="186"/>
      <c r="C26" s="2000" t="s">
        <v>684</v>
      </c>
      <c r="D26" s="2001"/>
      <c r="E26" s="1896" t="str">
        <f>IF(AD44=AF131,CONCATENATE("ANN0: ",IF(AH52&lt;&gt;"",AH52,"")),"")</f>
        <v/>
      </c>
      <c r="F26" s="1897"/>
      <c r="G26" s="1897"/>
      <c r="H26" s="1898"/>
      <c r="I26" s="1862" t="str">
        <f>IF(J22="","",VLOOKUP(J22,$AG$8:$AH$14,2,FALSE))</f>
        <v/>
      </c>
      <c r="J26" s="1863"/>
      <c r="K26" s="1863"/>
      <c r="L26" s="1864"/>
      <c r="M26" s="1827" t="str">
        <f>IF(N22="","",VLOOKUP(N22,$AG$8:$AH$14,2,FALSE))</f>
        <v/>
      </c>
      <c r="N26" s="1828"/>
      <c r="O26" s="1828"/>
      <c r="P26" s="1838"/>
      <c r="Q26" s="1835" t="s">
        <v>368</v>
      </c>
      <c r="R26" s="1836"/>
      <c r="S26" s="1833" t="s">
        <v>369</v>
      </c>
      <c r="T26" s="1834"/>
      <c r="U26" s="1827" t="str">
        <f>IF(V22="","",VLOOKUP(V22,$AG$8:$AH$14,2,FALSE))</f>
        <v/>
      </c>
      <c r="V26" s="1828"/>
      <c r="W26" s="1828"/>
      <c r="X26" s="1838"/>
      <c r="Y26" s="1835" t="s">
        <v>368</v>
      </c>
      <c r="Z26" s="1836"/>
      <c r="AA26" s="1833" t="s">
        <v>369</v>
      </c>
      <c r="AB26" s="1834"/>
      <c r="AC26" s="1827" t="str">
        <f>IF(AD22="","",VLOOKUP(AD22,$AG$8:$AH$14,2,FALSE))</f>
        <v/>
      </c>
      <c r="AD26" s="1828"/>
      <c r="AE26" s="1828"/>
      <c r="AF26" s="1829"/>
      <c r="AG26" s="1835" t="s">
        <v>368</v>
      </c>
      <c r="AH26" s="1836"/>
      <c r="AI26" s="1833" t="s">
        <v>369</v>
      </c>
      <c r="AJ26" s="1834"/>
      <c r="AK26" s="48"/>
      <c r="AL26" s="48"/>
      <c r="AM26" s="48"/>
      <c r="AN26" s="48"/>
      <c r="AO26" s="481"/>
      <c r="AP26" s="481"/>
      <c r="AQ26" s="481"/>
      <c r="AR26" s="481"/>
      <c r="AS26" s="481"/>
      <c r="AT26" s="481"/>
      <c r="AU26" s="481"/>
      <c r="AV26" s="481"/>
      <c r="AW26" s="481"/>
      <c r="AX26" s="481"/>
      <c r="AY26" s="481"/>
      <c r="AZ26" s="481"/>
      <c r="BA26" s="481"/>
      <c r="BB26" s="481"/>
      <c r="BC26" s="481"/>
    </row>
    <row r="27" spans="1:55" ht="18" customHeight="1" x14ac:dyDescent="0.2">
      <c r="A27" s="48"/>
      <c r="B27" s="186"/>
      <c r="C27" s="185"/>
      <c r="D27" s="185"/>
      <c r="E27" s="185"/>
      <c r="F27" s="185"/>
      <c r="G27" s="185"/>
      <c r="H27" s="185"/>
      <c r="I27" s="1791" t="str">
        <f>IF($AM$138=$C$152,$C$152,H151)</f>
        <v/>
      </c>
      <c r="J27" s="1791"/>
      <c r="K27" s="1791"/>
      <c r="L27" s="1791"/>
      <c r="M27" s="1791" t="str">
        <f>IF($AM$138=$C$152,$C$152,L151)</f>
        <v/>
      </c>
      <c r="N27" s="1791"/>
      <c r="O27" s="1791"/>
      <c r="P27" s="1791"/>
      <c r="Q27" s="186"/>
      <c r="R27" s="186"/>
      <c r="S27" s="186"/>
      <c r="T27" s="186"/>
      <c r="U27" s="1791" t="str">
        <f>IF($AM$138=$C$152,$C$152,P151)</f>
        <v/>
      </c>
      <c r="V27" s="1791"/>
      <c r="W27" s="1791"/>
      <c r="X27" s="1791"/>
      <c r="Y27" s="186"/>
      <c r="Z27" s="186"/>
      <c r="AA27" s="186"/>
      <c r="AB27" s="186"/>
      <c r="AC27" s="1791" t="str">
        <f>IF($AM$138=$C$152,$C$152,T151)</f>
        <v/>
      </c>
      <c r="AD27" s="1791"/>
      <c r="AE27" s="1791"/>
      <c r="AF27" s="1791"/>
      <c r="AG27" s="186"/>
      <c r="AH27" s="186"/>
      <c r="AI27" s="186"/>
      <c r="AJ27" s="186"/>
      <c r="AK27" s="48"/>
      <c r="AL27" s="48"/>
      <c r="AM27" s="48"/>
      <c r="AN27" s="48"/>
      <c r="AO27" s="481"/>
      <c r="AP27" s="481"/>
      <c r="AQ27" s="481"/>
      <c r="AR27" s="481"/>
      <c r="AS27" s="481"/>
      <c r="AT27" s="481"/>
      <c r="AU27" s="481"/>
      <c r="AV27" s="481"/>
      <c r="AW27" s="481"/>
      <c r="AX27" s="481"/>
      <c r="AY27" s="481"/>
      <c r="AZ27" s="481"/>
      <c r="BA27" s="481"/>
      <c r="BB27" s="481"/>
      <c r="BC27" s="481"/>
    </row>
    <row r="28" spans="1:55" ht="19.5" customHeight="1" x14ac:dyDescent="0.2">
      <c r="A28" s="48"/>
      <c r="B28" s="186"/>
      <c r="C28" s="185"/>
      <c r="D28" s="1917" t="s">
        <v>554</v>
      </c>
      <c r="E28" s="1919" t="str">
        <f>IF(AD44=AF131,SUMIF(I28:P28,"&gt;0")+SUMIF(U28,"&gt;0")+SUMIF(AC28,"&gt;0")-(SUMIF(I33:AF33,C146,I28:AF28))," LORDO")</f>
        <v xml:space="preserve"> LORDO</v>
      </c>
      <c r="F28" s="1920"/>
      <c r="G28" s="1920"/>
      <c r="H28" s="1921"/>
      <c r="I28" s="1888">
        <f>IF(OR(SUM(L20:L22)=0,$AD44=$AF132),0,IF($Y$151&gt;0,0,IF(ISERROR(VLOOKUP(J21,$P$8:$P$12,1,FALSE)),IF(ISERROR(VLOOKUP(J21,$X$8:$X$14,1,FALSE)),H153,100),100+VLOOKUP(J21,$P$8:$U$12,6,FALSE))))</f>
        <v>0</v>
      </c>
      <c r="J28" s="1889"/>
      <c r="K28" s="1889"/>
      <c r="L28" s="1899"/>
      <c r="M28" s="1903">
        <f>IF(OR(SUM(P20:P22)=0,$AD44=$AF132),0,IF($Y$151&gt;0,0,IF(ISERROR(VLOOKUP(N21,$P$8:$P$12,1,FALSE)),IF(ISERROR(VLOOKUP(N21,$X$8:$X$14,1,FALSE)),L153,100),100+VLOOKUP(N21,$P$8:$U$12,6,FALSE))))</f>
        <v>0</v>
      </c>
      <c r="N28" s="1889"/>
      <c r="O28" s="1889"/>
      <c r="P28" s="1890"/>
      <c r="Q28" s="1922">
        <f>Q25</f>
        <v>0</v>
      </c>
      <c r="R28" s="1923"/>
      <c r="S28" s="1923"/>
      <c r="T28" s="1924"/>
      <c r="U28" s="1888">
        <f>IF(OR(SUM(X20:X22)=0,$AD44=$AF132),0,IF($Y$151&gt;0,0,IF(ISERROR(VLOOKUP(V21,$P$8:$P$12,1,FALSE)),IF(ISERROR(VLOOKUP(V21,$X$8:$X$14,1,FALSE)),P153,100),100+VLOOKUP(V21,$P$8:$U$12,6,FALSE))))</f>
        <v>0</v>
      </c>
      <c r="V28" s="1889"/>
      <c r="W28" s="1889"/>
      <c r="X28" s="1890"/>
      <c r="Y28" s="1922">
        <f>Y25</f>
        <v>0</v>
      </c>
      <c r="Z28" s="1923"/>
      <c r="AA28" s="1923"/>
      <c r="AB28" s="1924"/>
      <c r="AC28" s="1888">
        <f>IF(OR(SUM(AF20:AF22)=0,$AD44=$AF132),0,IF($Y$151&gt;0,0,IF(ISERROR(VLOOKUP(AD21,$P$8:$P$12,1,FALSE)),IF(ISERROR(VLOOKUP(AD21,$X$8:$X$14,1,FALSE)),T153,100),100+VLOOKUP(AD21,$P$8:$U$12,6,FALSE))))</f>
        <v>0</v>
      </c>
      <c r="AD28" s="1889"/>
      <c r="AE28" s="1889"/>
      <c r="AF28" s="1890"/>
      <c r="AG28" s="2015" t="s">
        <v>740</v>
      </c>
      <c r="AH28" s="2016"/>
      <c r="AI28" s="2016"/>
      <c r="AJ28" s="2016"/>
      <c r="AK28" s="48"/>
      <c r="AL28" s="48"/>
      <c r="AM28" s="48"/>
      <c r="AN28" s="48"/>
      <c r="AO28" s="481"/>
      <c r="AP28" s="481"/>
      <c r="AQ28" s="481"/>
      <c r="AR28" s="481"/>
      <c r="AS28" s="481"/>
      <c r="AT28" s="481"/>
      <c r="AU28" s="481"/>
      <c r="AV28" s="481"/>
      <c r="AW28" s="481"/>
      <c r="AX28" s="481"/>
      <c r="AY28" s="481"/>
      <c r="AZ28" s="481"/>
      <c r="BA28" s="481"/>
      <c r="BB28" s="481"/>
      <c r="BC28" s="481"/>
    </row>
    <row r="29" spans="1:55" ht="4.5" customHeight="1" x14ac:dyDescent="0.2">
      <c r="A29" s="48"/>
      <c r="B29" s="186"/>
      <c r="C29" s="185"/>
      <c r="D29" s="1917"/>
      <c r="E29" s="185"/>
      <c r="F29" s="185"/>
      <c r="G29" s="185"/>
      <c r="H29" s="185"/>
      <c r="I29" s="185"/>
      <c r="J29" s="185"/>
      <c r="K29" s="185"/>
      <c r="L29" s="185"/>
      <c r="M29" s="185"/>
      <c r="N29" s="185"/>
      <c r="O29" s="185"/>
      <c r="P29" s="185"/>
      <c r="Q29" s="186"/>
      <c r="R29" s="186"/>
      <c r="S29" s="186"/>
      <c r="T29" s="186"/>
      <c r="U29" s="185"/>
      <c r="V29" s="185"/>
      <c r="W29" s="185"/>
      <c r="X29" s="185"/>
      <c r="Y29" s="186"/>
      <c r="Z29" s="186"/>
      <c r="AA29" s="186"/>
      <c r="AB29" s="186"/>
      <c r="AC29" s="186"/>
      <c r="AD29" s="186"/>
      <c r="AE29" s="186"/>
      <c r="AF29" s="186"/>
      <c r="AG29" s="186"/>
      <c r="AH29" s="186"/>
      <c r="AI29" s="186"/>
      <c r="AJ29" s="186"/>
      <c r="AK29" s="48"/>
      <c r="AL29" s="48"/>
      <c r="AM29" s="48"/>
      <c r="AN29" s="48"/>
      <c r="AO29" s="481"/>
      <c r="AP29" s="481"/>
      <c r="AQ29" s="481"/>
      <c r="AR29" s="481"/>
      <c r="AS29" s="481"/>
      <c r="AT29" s="481"/>
      <c r="AU29" s="481"/>
      <c r="AV29" s="481"/>
      <c r="AW29" s="481"/>
      <c r="AX29" s="481"/>
      <c r="AY29" s="481"/>
      <c r="AZ29" s="481"/>
      <c r="BA29" s="481"/>
      <c r="BB29" s="481"/>
      <c r="BC29" s="481"/>
    </row>
    <row r="30" spans="1:55" ht="19.5" customHeight="1" x14ac:dyDescent="0.2">
      <c r="A30" s="48"/>
      <c r="B30" s="186"/>
      <c r="C30" s="185"/>
      <c r="D30" s="1917"/>
      <c r="E30" s="1907" t="str">
        <f>IF(H$35=0,AK30,CONCATENATE(TEXT(AK30,"#.##0,00")," + V."))</f>
        <v xml:space="preserve"> NETTO</v>
      </c>
      <c r="F30" s="1908"/>
      <c r="G30" s="1908"/>
      <c r="H30" s="1908"/>
      <c r="I30" s="1891">
        <f>IF(OR(SUM(L20:L22)=0,$AD44=$AF132),0,IF($Y$151&gt;0,0,IF(I35=$H146,"Ventilato ",IF(I28&gt;(400-1),400,100))))</f>
        <v>0</v>
      </c>
      <c r="J30" s="1892"/>
      <c r="K30" s="1892"/>
      <c r="L30" s="1902"/>
      <c r="M30" s="1911">
        <f>IF(OR(SUM(P20:P22)=0,$AD44=$AF132),0,IF($Y$151&gt;0,0,IF(M35=$H146,"Ventilato ",IF(M28&gt;(400-1),400,100))))</f>
        <v>0</v>
      </c>
      <c r="N30" s="1892"/>
      <c r="O30" s="1892"/>
      <c r="P30" s="1893"/>
      <c r="Q30" s="186"/>
      <c r="R30" s="186"/>
      <c r="S30" s="186"/>
      <c r="T30" s="186"/>
      <c r="U30" s="1891">
        <f>IF(OR(SUM(X20:X22)=0,$AD44=$AF132),0,IF($Y$151&gt;0,0,IF(U35=$H146,"Ventilato ",IF(U28&gt;(400-1),400,100))))</f>
        <v>0</v>
      </c>
      <c r="V30" s="1892"/>
      <c r="W30" s="1892"/>
      <c r="X30" s="1893"/>
      <c r="Y30" s="186"/>
      <c r="Z30" s="186"/>
      <c r="AA30" s="186"/>
      <c r="AB30" s="186"/>
      <c r="AC30" s="1891">
        <f>IF(OR(SUM(AF20:AF22)=0,$AD44=$AF132),0,IF($Y$151&gt;0,0,IF(AC35=$H146,"Ventilato ",IF(AC28&gt;(400-1),400,100))))</f>
        <v>0</v>
      </c>
      <c r="AD30" s="1892"/>
      <c r="AE30" s="1892"/>
      <c r="AF30" s="1893"/>
      <c r="AG30" s="1884" t="s">
        <v>741</v>
      </c>
      <c r="AH30" s="1885"/>
      <c r="AI30" s="1885"/>
      <c r="AJ30" s="1885"/>
      <c r="AK30" s="1291" t="str">
        <f>IF(AD44=AF131,SUMIF(I30:P30,"&gt;0")+SUMIF(U30,"&gt;0")+SUMIF(AC30,"&gt;0")-(SUMIF(I33:AF33,C146,I30:AF30))," NETTO")</f>
        <v xml:space="preserve"> NETTO</v>
      </c>
      <c r="AL30" s="48"/>
      <c r="AM30" s="48"/>
      <c r="AN30" s="48"/>
      <c r="AO30" s="481"/>
      <c r="AP30" s="481"/>
      <c r="AQ30" s="481"/>
      <c r="AR30" s="481"/>
      <c r="AS30" s="481"/>
      <c r="AT30" s="481"/>
      <c r="AU30" s="481"/>
      <c r="AV30" s="481"/>
      <c r="AW30" s="481"/>
      <c r="AX30" s="481"/>
      <c r="AY30" s="481"/>
      <c r="AZ30" s="481"/>
      <c r="BA30" s="481"/>
      <c r="BB30" s="481"/>
      <c r="BC30" s="481"/>
    </row>
    <row r="31" spans="1:55" ht="19.5" customHeight="1" x14ac:dyDescent="0.2">
      <c r="A31" s="48"/>
      <c r="B31" s="186"/>
      <c r="C31" s="185"/>
      <c r="D31" s="1917"/>
      <c r="E31" s="1900" t="str">
        <f>IF(H$35=0,AK31,CONCATENATE(TEXT(AK31,"#.##0,00")," + V."))</f>
        <v xml:space="preserve"> IVA</v>
      </c>
      <c r="F31" s="1901"/>
      <c r="G31" s="1901"/>
      <c r="H31" s="1901"/>
      <c r="I31" s="1818">
        <f>IF(I35=$H146,I30,I28-I30)</f>
        <v>0</v>
      </c>
      <c r="J31" s="1819"/>
      <c r="K31" s="1819"/>
      <c r="L31" s="1906"/>
      <c r="M31" s="1912">
        <f>IF(M35=$H146,M30,M28-M30)</f>
        <v>0</v>
      </c>
      <c r="N31" s="1819"/>
      <c r="O31" s="1819"/>
      <c r="P31" s="1820"/>
      <c r="Q31" s="186"/>
      <c r="R31" s="186"/>
      <c r="S31" s="186"/>
      <c r="T31" s="186"/>
      <c r="U31" s="1818">
        <f>IF(U35=$H146,U30,U28-U30)</f>
        <v>0</v>
      </c>
      <c r="V31" s="1819"/>
      <c r="W31" s="1819"/>
      <c r="X31" s="1820"/>
      <c r="Y31" s="186"/>
      <c r="Z31" s="186"/>
      <c r="AA31" s="186"/>
      <c r="AB31" s="186"/>
      <c r="AC31" s="1818">
        <f>IF(AC35=$H146,AC30,AC28-AC30)</f>
        <v>0</v>
      </c>
      <c r="AD31" s="1819"/>
      <c r="AE31" s="1819"/>
      <c r="AF31" s="1820"/>
      <c r="AG31" s="1886" t="s">
        <v>195</v>
      </c>
      <c r="AH31" s="1509"/>
      <c r="AI31" s="1509"/>
      <c r="AJ31" s="1509"/>
      <c r="AK31" s="1292" t="str">
        <f>IF(AD44=AF131,SUMIF(I31:P31,"&gt;0")+SUMIF(U31,"&gt;0")+SUMIF(AC31,"&gt;0")-(SUMIF(I33:AF33,C146,I31:AF31))," IVA")</f>
        <v xml:space="preserve"> IVA</v>
      </c>
      <c r="AL31" s="48"/>
      <c r="AM31" s="48"/>
      <c r="AN31" s="48"/>
      <c r="AO31" s="481"/>
      <c r="AP31" s="481"/>
      <c r="AQ31" s="481"/>
      <c r="AR31" s="481"/>
      <c r="AS31" s="481"/>
      <c r="AT31" s="481"/>
      <c r="AU31" s="481"/>
      <c r="AV31" s="481"/>
      <c r="AW31" s="481"/>
      <c r="AX31" s="481"/>
      <c r="AY31" s="481"/>
      <c r="AZ31" s="481"/>
      <c r="BA31" s="481"/>
      <c r="BB31" s="481"/>
      <c r="BC31" s="481"/>
    </row>
    <row r="32" spans="1:55" ht="19.5" customHeight="1" x14ac:dyDescent="0.2">
      <c r="A32" s="48"/>
      <c r="B32" s="1293" t="str">
        <f>IF(AND(COUNTIF(I35:AF35,H146)&gt;0,D35=""),"Inserisci anche il periodo !","")</f>
        <v/>
      </c>
      <c r="C32" s="185"/>
      <c r="D32" s="958"/>
      <c r="E32" s="959"/>
      <c r="F32" s="959"/>
      <c r="G32" s="959"/>
      <c r="H32" s="959"/>
      <c r="I32" s="1773" t="str">
        <f>IF(ISERROR(VLOOKUP(J21,$P8:$P14,1,FALSE)),"",IF(I35=$H146,"",$H148))</f>
        <v/>
      </c>
      <c r="J32" s="1773"/>
      <c r="K32" s="1773"/>
      <c r="L32" s="1773"/>
      <c r="M32" s="1773" t="str">
        <f>IF(ISERROR(VLOOKUP(N21,$P8:$P14,1,FALSE)),"",IF(M35=$H146,"",$H148))</f>
        <v/>
      </c>
      <c r="N32" s="1773"/>
      <c r="O32" s="1773"/>
      <c r="P32" s="1773"/>
      <c r="Q32" s="186"/>
      <c r="R32" s="186"/>
      <c r="S32" s="186"/>
      <c r="T32" s="186"/>
      <c r="U32" s="1773" t="str">
        <f>IF(ISERROR(VLOOKUP(V21,$P8:$P14,1,FALSE)),"",IF(U35=$H146,"",$H148))</f>
        <v/>
      </c>
      <c r="V32" s="1773"/>
      <c r="W32" s="1773"/>
      <c r="X32" s="1773"/>
      <c r="Y32" s="186"/>
      <c r="Z32" s="186"/>
      <c r="AA32" s="186"/>
      <c r="AB32" s="186"/>
      <c r="AC32" s="1773" t="str">
        <f>IF(ISERROR(VLOOKUP(AD21,$P8:$P14,1,FALSE)),"",IF(AC35=$H146,"",$H148))</f>
        <v/>
      </c>
      <c r="AD32" s="1773"/>
      <c r="AE32" s="1773"/>
      <c r="AF32" s="1773"/>
      <c r="AG32" s="960"/>
      <c r="AH32" s="578"/>
      <c r="AI32" s="578"/>
      <c r="AJ32" s="578"/>
      <c r="AK32" s="48"/>
      <c r="AL32" s="48"/>
      <c r="AM32" s="48"/>
      <c r="AN32" s="48"/>
      <c r="AO32" s="481"/>
      <c r="AP32" s="481"/>
      <c r="AQ32" s="481"/>
      <c r="AR32" s="481"/>
      <c r="AS32" s="481"/>
      <c r="AT32" s="481"/>
      <c r="AU32" s="481"/>
      <c r="AV32" s="481"/>
      <c r="AW32" s="481"/>
      <c r="AX32" s="481"/>
      <c r="AY32" s="481"/>
      <c r="AZ32" s="481"/>
      <c r="BA32" s="481"/>
      <c r="BB32" s="481"/>
      <c r="BC32" s="481"/>
    </row>
    <row r="33" spans="1:55" ht="19.5" customHeight="1" x14ac:dyDescent="0.2">
      <c r="A33" s="48"/>
      <c r="B33" s="186"/>
      <c r="C33" s="185"/>
      <c r="D33" s="1909"/>
      <c r="E33" s="1909"/>
      <c r="F33" s="1909"/>
      <c r="G33" s="1909"/>
      <c r="H33" s="185"/>
      <c r="I33" s="1918"/>
      <c r="J33" s="1775"/>
      <c r="K33" s="1775"/>
      <c r="L33" s="1775"/>
      <c r="M33" s="1775"/>
      <c r="N33" s="1775"/>
      <c r="O33" s="1775"/>
      <c r="P33" s="1775"/>
      <c r="Q33" s="1246"/>
      <c r="R33" s="1247"/>
      <c r="S33" s="1247"/>
      <c r="T33" s="1248"/>
      <c r="U33" s="1775"/>
      <c r="V33" s="1775"/>
      <c r="W33" s="1775"/>
      <c r="X33" s="1775"/>
      <c r="Y33" s="1246"/>
      <c r="Z33" s="1247"/>
      <c r="AA33" s="1247"/>
      <c r="AB33" s="1248"/>
      <c r="AC33" s="1775"/>
      <c r="AD33" s="1775"/>
      <c r="AE33" s="1775"/>
      <c r="AF33" s="1776"/>
      <c r="AG33" s="186"/>
      <c r="AH33" s="186"/>
      <c r="AI33" s="186"/>
      <c r="AJ33" s="186"/>
      <c r="AK33" s="48"/>
      <c r="AL33" s="48"/>
      <c r="AM33" s="48"/>
      <c r="AN33" s="48"/>
      <c r="AO33" s="481"/>
      <c r="AP33" s="481"/>
      <c r="AQ33" s="481"/>
      <c r="AR33" s="481"/>
      <c r="AS33" s="481"/>
      <c r="AT33" s="481"/>
      <c r="AU33" s="481"/>
      <c r="AV33" s="481"/>
      <c r="AW33" s="481"/>
      <c r="AX33" s="481"/>
      <c r="AY33" s="481"/>
      <c r="AZ33" s="481"/>
      <c r="BA33" s="481"/>
      <c r="BB33" s="481"/>
      <c r="BC33" s="481"/>
    </row>
    <row r="34" spans="1:55" ht="7.5" hidden="1" customHeight="1" x14ac:dyDescent="0.2">
      <c r="A34" s="48"/>
      <c r="B34" s="186"/>
      <c r="C34" s="185"/>
      <c r="D34" s="1910"/>
      <c r="E34" s="1910"/>
      <c r="F34" s="1910"/>
      <c r="G34" s="1910"/>
      <c r="H34" s="185"/>
      <c r="I34" s="1378">
        <f>IF(I33="",I35,"")</f>
        <v>0</v>
      </c>
      <c r="J34" s="617"/>
      <c r="K34" s="617"/>
      <c r="L34" s="617"/>
      <c r="M34" s="1378">
        <f>IF(M33="",M35,"")</f>
        <v>0</v>
      </c>
      <c r="N34" s="617"/>
      <c r="O34" s="617"/>
      <c r="P34" s="617"/>
      <c r="Q34" s="224"/>
      <c r="R34" s="224"/>
      <c r="S34" s="224"/>
      <c r="T34" s="224"/>
      <c r="U34" s="1378">
        <f>IF(U33="",U35,"")</f>
        <v>0</v>
      </c>
      <c r="V34" s="617"/>
      <c r="W34" s="617"/>
      <c r="X34" s="617"/>
      <c r="Y34" s="224"/>
      <c r="Z34" s="224"/>
      <c r="AA34" s="224"/>
      <c r="AB34" s="224"/>
      <c r="AC34" s="1378">
        <f>IF(AC33="",AC35,"")</f>
        <v>0</v>
      </c>
      <c r="AD34" s="617"/>
      <c r="AE34" s="617"/>
      <c r="AF34" s="617"/>
      <c r="AG34" s="186"/>
      <c r="AH34" s="186"/>
      <c r="AI34" s="186"/>
      <c r="AJ34" s="186"/>
      <c r="AK34" s="48"/>
      <c r="AL34" s="48"/>
      <c r="AM34" s="48"/>
      <c r="AN34" s="48"/>
      <c r="AO34" s="481"/>
      <c r="AP34" s="481"/>
      <c r="AQ34" s="481"/>
      <c r="AR34" s="481"/>
      <c r="AS34" s="481"/>
      <c r="AT34" s="481"/>
      <c r="AU34" s="481"/>
      <c r="AV34" s="481"/>
      <c r="AW34" s="481"/>
      <c r="AX34" s="481"/>
      <c r="AY34" s="481"/>
      <c r="AZ34" s="481"/>
      <c r="BA34" s="481"/>
      <c r="BB34" s="481"/>
      <c r="BC34" s="481"/>
    </row>
    <row r="35" spans="1:55" ht="19.5" hidden="1" customHeight="1" x14ac:dyDescent="0.2">
      <c r="A35" s="48"/>
      <c r="B35" s="186"/>
      <c r="C35" s="48"/>
      <c r="D35" s="1914"/>
      <c r="E35" s="1915"/>
      <c r="F35" s="1915"/>
      <c r="G35" s="1916"/>
      <c r="H35" s="224">
        <f>COUNTIF(I34:AF34,H146)</f>
        <v>0</v>
      </c>
      <c r="I35" s="1918"/>
      <c r="J35" s="1775"/>
      <c r="K35" s="1775"/>
      <c r="L35" s="1775"/>
      <c r="M35" s="1775"/>
      <c r="N35" s="1775"/>
      <c r="O35" s="1775"/>
      <c r="P35" s="1775"/>
      <c r="Q35" s="1246"/>
      <c r="R35" s="1247"/>
      <c r="S35" s="1247"/>
      <c r="T35" s="1248"/>
      <c r="U35" s="1775"/>
      <c r="V35" s="1775"/>
      <c r="W35" s="1775"/>
      <c r="X35" s="1775"/>
      <c r="Y35" s="1246"/>
      <c r="Z35" s="1247"/>
      <c r="AA35" s="1247"/>
      <c r="AB35" s="1248"/>
      <c r="AC35" s="1775"/>
      <c r="AD35" s="1775"/>
      <c r="AE35" s="1775"/>
      <c r="AF35" s="1776"/>
      <c r="AG35" s="48"/>
      <c r="AH35" s="186"/>
      <c r="AI35" s="186"/>
      <c r="AJ35" s="186"/>
      <c r="AK35" s="48"/>
      <c r="AL35" s="48"/>
      <c r="AM35" s="48"/>
      <c r="AN35" s="48"/>
      <c r="AO35" s="481"/>
      <c r="AP35" s="481"/>
      <c r="AQ35" s="481"/>
      <c r="AR35" s="481"/>
      <c r="AS35" s="481"/>
      <c r="AT35" s="481"/>
      <c r="AU35" s="481"/>
      <c r="AV35" s="481"/>
      <c r="AW35" s="481"/>
      <c r="AX35" s="481"/>
      <c r="AY35" s="481"/>
      <c r="AZ35" s="481"/>
      <c r="BA35" s="481"/>
      <c r="BB35" s="481"/>
      <c r="BC35" s="481"/>
    </row>
    <row r="36" spans="1:55" ht="9" customHeight="1" x14ac:dyDescent="0.2">
      <c r="A36" s="48"/>
      <c r="B36" s="186"/>
      <c r="C36" s="185"/>
      <c r="D36" s="185"/>
      <c r="E36" s="185"/>
      <c r="F36" s="185"/>
      <c r="G36" s="185"/>
      <c r="H36" s="185"/>
      <c r="I36" s="1379"/>
      <c r="J36" s="1379"/>
      <c r="K36" s="1379"/>
      <c r="L36" s="1379"/>
      <c r="M36" s="1379"/>
      <c r="N36" s="1379"/>
      <c r="O36" s="1379"/>
      <c r="P36" s="1379"/>
      <c r="Q36" s="218"/>
      <c r="R36" s="218"/>
      <c r="S36" s="218"/>
      <c r="T36" s="218"/>
      <c r="U36" s="1379"/>
      <c r="V36" s="1379"/>
      <c r="W36" s="1379"/>
      <c r="X36" s="1379"/>
      <c r="Y36" s="218"/>
      <c r="Z36" s="218"/>
      <c r="AA36" s="218"/>
      <c r="AB36" s="218"/>
      <c r="AC36" s="1379"/>
      <c r="AD36" s="1379"/>
      <c r="AE36" s="1379"/>
      <c r="AF36" s="1379"/>
      <c r="AG36" s="186"/>
      <c r="AH36" s="186"/>
      <c r="AI36" s="186"/>
      <c r="AJ36" s="186"/>
      <c r="AK36" s="48"/>
      <c r="AL36" s="48"/>
      <c r="AM36" s="48"/>
      <c r="AN36" s="48"/>
      <c r="AO36" s="481"/>
      <c r="AP36" s="481"/>
      <c r="AQ36" s="481"/>
      <c r="AR36" s="481"/>
      <c r="AS36" s="481"/>
      <c r="AT36" s="481"/>
      <c r="AU36" s="481"/>
      <c r="AV36" s="481"/>
      <c r="AW36" s="481"/>
      <c r="AX36" s="481"/>
      <c r="AY36" s="481"/>
      <c r="AZ36" s="481"/>
      <c r="BA36" s="481"/>
      <c r="BB36" s="481"/>
      <c r="BC36" s="481"/>
    </row>
    <row r="37" spans="1:55" ht="22.5" customHeight="1" x14ac:dyDescent="0.2">
      <c r="A37" s="48"/>
      <c r="B37" s="186"/>
      <c r="C37" s="48"/>
      <c r="D37" s="185"/>
      <c r="E37" s="1913" t="str">
        <f>IF(OR(AD44=AF132,ISERROR(HLOOKUP(P14,AF137:AL137,1,FALSE))),"",H136)</f>
        <v/>
      </c>
      <c r="F37" s="1913"/>
      <c r="G37" s="1913"/>
      <c r="H37" s="1913"/>
      <c r="I37" s="1379"/>
      <c r="J37" s="1379"/>
      <c r="K37" s="1379"/>
      <c r="L37" s="1379"/>
      <c r="M37" s="1379"/>
      <c r="N37" s="1379"/>
      <c r="O37" s="1379"/>
      <c r="P37" s="1379"/>
      <c r="Q37" s="185"/>
      <c r="R37" s="185"/>
      <c r="S37" s="185"/>
      <c r="T37" s="185"/>
      <c r="U37" s="1379"/>
      <c r="V37" s="1379"/>
      <c r="W37" s="1379"/>
      <c r="X37" s="1379"/>
      <c r="Y37" s="185"/>
      <c r="Z37" s="185"/>
      <c r="AA37" s="185"/>
      <c r="AB37" s="185"/>
      <c r="AC37" s="1379"/>
      <c r="AD37" s="1379"/>
      <c r="AE37" s="1379"/>
      <c r="AF37" s="1379"/>
      <c r="AG37" s="186"/>
      <c r="AH37" s="186"/>
      <c r="AI37" s="186"/>
      <c r="AJ37" s="186"/>
      <c r="AK37" s="48"/>
      <c r="AL37" s="48"/>
      <c r="AM37" s="48"/>
      <c r="AN37" s="48"/>
      <c r="AO37" s="481"/>
      <c r="AP37" s="481"/>
      <c r="AQ37" s="481"/>
      <c r="AR37" s="481"/>
      <c r="AS37" s="481"/>
      <c r="AT37" s="481"/>
      <c r="AU37" s="481"/>
      <c r="AV37" s="481"/>
      <c r="AW37" s="481"/>
      <c r="AX37" s="481"/>
      <c r="AY37" s="481"/>
      <c r="AZ37" s="481"/>
      <c r="BA37" s="481"/>
      <c r="BB37" s="481"/>
      <c r="BC37" s="481"/>
    </row>
    <row r="38" spans="1:55" ht="18" customHeight="1" x14ac:dyDescent="0.2">
      <c r="A38" s="48"/>
      <c r="B38" s="186"/>
      <c r="C38" s="185"/>
      <c r="D38" s="185"/>
      <c r="E38" s="1904" t="str">
        <f>S$131</f>
        <v>Aliquota</v>
      </c>
      <c r="F38" s="1904"/>
      <c r="G38" s="1905">
        <f>AF145</f>
        <v>0</v>
      </c>
      <c r="H38" s="1905"/>
      <c r="I38" s="1844" t="str">
        <f>IF(I$28&gt;(400-1),$G38,"")</f>
        <v/>
      </c>
      <c r="J38" s="1844"/>
      <c r="K38" s="1844"/>
      <c r="L38" s="1844"/>
      <c r="M38" s="1844" t="str">
        <f>IF(M$28&gt;(400-1),$G38,"")</f>
        <v/>
      </c>
      <c r="N38" s="1844"/>
      <c r="O38" s="1844"/>
      <c r="P38" s="1844"/>
      <c r="Q38" s="649"/>
      <c r="R38" s="649"/>
      <c r="S38" s="649"/>
      <c r="T38" s="649"/>
      <c r="U38" s="1844" t="str">
        <f>IF(U$28&gt;(400-1),$G38,"")</f>
        <v/>
      </c>
      <c r="V38" s="1844"/>
      <c r="W38" s="1844"/>
      <c r="X38" s="1844"/>
      <c r="Y38" s="649"/>
      <c r="Z38" s="649"/>
      <c r="AA38" s="649"/>
      <c r="AB38" s="649"/>
      <c r="AC38" s="1844" t="str">
        <f>IF(AC$28&gt;(400-1),$G38,"")</f>
        <v/>
      </c>
      <c r="AD38" s="1844"/>
      <c r="AE38" s="1844"/>
      <c r="AF38" s="1844"/>
      <c r="AG38" s="186"/>
      <c r="AH38" s="186"/>
      <c r="AI38" s="186"/>
      <c r="AJ38" s="186"/>
      <c r="AK38" s="48"/>
      <c r="AL38" s="48"/>
      <c r="AM38" s="48"/>
      <c r="AN38" s="48"/>
      <c r="AO38" s="481"/>
      <c r="AP38" s="481"/>
      <c r="AQ38" s="481"/>
      <c r="AR38" s="481"/>
      <c r="AS38" s="481"/>
      <c r="AT38" s="481"/>
      <c r="AU38" s="481"/>
      <c r="AV38" s="481"/>
      <c r="AW38" s="481"/>
      <c r="AX38" s="481"/>
      <c r="AY38" s="481"/>
      <c r="AZ38" s="481"/>
      <c r="BA38" s="481"/>
      <c r="BB38" s="481"/>
      <c r="BC38" s="481"/>
    </row>
    <row r="39" spans="1:55" ht="18" customHeight="1" x14ac:dyDescent="0.2">
      <c r="A39" s="48"/>
      <c r="B39" s="186"/>
      <c r="C39" s="185"/>
      <c r="D39" s="185"/>
      <c r="E39" s="1904" t="str">
        <f>S$131</f>
        <v>Aliquota</v>
      </c>
      <c r="F39" s="1904"/>
      <c r="G39" s="1905">
        <f>AG145</f>
        <v>4</v>
      </c>
      <c r="H39" s="1905"/>
      <c r="I39" s="1844" t="str">
        <f>IF(I$28&gt;(400-1),$G39,"")</f>
        <v/>
      </c>
      <c r="J39" s="1844"/>
      <c r="K39" s="1844"/>
      <c r="L39" s="1844"/>
      <c r="M39" s="1844" t="str">
        <f>IF(M$28&gt;(400-1),$G39,"")</f>
        <v/>
      </c>
      <c r="N39" s="1844"/>
      <c r="O39" s="1844"/>
      <c r="P39" s="1844"/>
      <c r="Q39" s="649"/>
      <c r="R39" s="649"/>
      <c r="S39" s="649"/>
      <c r="T39" s="649"/>
      <c r="U39" s="1844" t="str">
        <f>IF(U$28&gt;(400-1),$G39,"")</f>
        <v/>
      </c>
      <c r="V39" s="1844"/>
      <c r="W39" s="1844"/>
      <c r="X39" s="1844"/>
      <c r="Y39" s="649"/>
      <c r="Z39" s="649"/>
      <c r="AA39" s="649"/>
      <c r="AB39" s="649"/>
      <c r="AC39" s="1774" t="str">
        <f>IF(AC$28&gt;(400-1),$G39,"")</f>
        <v/>
      </c>
      <c r="AD39" s="1774"/>
      <c r="AE39" s="1774"/>
      <c r="AF39" s="1774"/>
      <c r="AG39" s="48"/>
      <c r="AH39" s="961"/>
      <c r="AI39" s="961"/>
      <c r="AJ39" s="961"/>
      <c r="AK39" s="48"/>
      <c r="AL39" s="48"/>
      <c r="AM39" s="48"/>
      <c r="AN39" s="48"/>
      <c r="AO39" s="481"/>
      <c r="AP39" s="481"/>
      <c r="AQ39" s="481"/>
      <c r="AR39" s="481"/>
      <c r="AS39" s="481"/>
      <c r="AT39" s="481"/>
      <c r="AU39" s="481"/>
      <c r="AV39" s="481"/>
      <c r="AW39" s="481"/>
      <c r="AX39" s="481"/>
      <c r="AY39" s="481"/>
      <c r="AZ39" s="481"/>
      <c r="BA39" s="481"/>
      <c r="BB39" s="481"/>
      <c r="BC39" s="481"/>
    </row>
    <row r="40" spans="1:55" ht="18" customHeight="1" x14ac:dyDescent="0.2">
      <c r="A40" s="48"/>
      <c r="B40" s="186"/>
      <c r="C40" s="185"/>
      <c r="D40" s="185"/>
      <c r="E40" s="1904" t="str">
        <f>S$131</f>
        <v>Aliquota</v>
      </c>
      <c r="F40" s="1904"/>
      <c r="G40" s="1905">
        <f>AH145</f>
        <v>10</v>
      </c>
      <c r="H40" s="1905"/>
      <c r="I40" s="1844" t="str">
        <f>IF(I$28&gt;(400-1),$G40,"")</f>
        <v/>
      </c>
      <c r="J40" s="1844"/>
      <c r="K40" s="1844"/>
      <c r="L40" s="1844"/>
      <c r="M40" s="1844" t="str">
        <f>IF(M$28&gt;(400-1),$G40,"")</f>
        <v/>
      </c>
      <c r="N40" s="1844"/>
      <c r="O40" s="1844"/>
      <c r="P40" s="1844"/>
      <c r="Q40" s="649"/>
      <c r="R40" s="649"/>
      <c r="S40" s="649"/>
      <c r="T40" s="649"/>
      <c r="U40" s="1844" t="str">
        <f>IF(U$28&gt;(400-1),$G40,"")</f>
        <v/>
      </c>
      <c r="V40" s="1844"/>
      <c r="W40" s="1844"/>
      <c r="X40" s="1844"/>
      <c r="Y40" s="649"/>
      <c r="Z40" s="649"/>
      <c r="AA40" s="649"/>
      <c r="AB40" s="649"/>
      <c r="AC40" s="1774" t="str">
        <f>IF(AC$28&gt;(400-1),$G40,"")</f>
        <v/>
      </c>
      <c r="AD40" s="1774"/>
      <c r="AE40" s="1774"/>
      <c r="AF40" s="1774"/>
      <c r="AG40" s="961"/>
      <c r="AH40" s="961"/>
      <c r="AI40" s="961"/>
      <c r="AJ40" s="961"/>
      <c r="AK40" s="48"/>
      <c r="AL40" s="48"/>
      <c r="AM40" s="48"/>
      <c r="AN40" s="48"/>
      <c r="AO40" s="481"/>
      <c r="AP40" s="481"/>
      <c r="AQ40" s="481"/>
      <c r="AR40" s="481"/>
      <c r="AS40" s="481"/>
      <c r="AT40" s="481"/>
      <c r="AU40" s="481"/>
      <c r="AV40" s="481"/>
      <c r="AW40" s="481"/>
      <c r="AX40" s="481"/>
      <c r="AY40" s="481"/>
      <c r="AZ40" s="481"/>
      <c r="BA40" s="481"/>
      <c r="BB40" s="481"/>
      <c r="BC40" s="481"/>
    </row>
    <row r="41" spans="1:55" ht="18" customHeight="1" x14ac:dyDescent="0.2">
      <c r="A41" s="48"/>
      <c r="B41" s="186"/>
      <c r="C41" s="185"/>
      <c r="D41" s="185"/>
      <c r="E41" s="1904" t="str">
        <f>S$131</f>
        <v>Aliquota</v>
      </c>
      <c r="F41" s="1904"/>
      <c r="G41" s="1905">
        <f>AI145</f>
        <v>22</v>
      </c>
      <c r="H41" s="1905"/>
      <c r="I41" s="1844" t="str">
        <f>IF(I$28&gt;(400-1),$G41,"")</f>
        <v/>
      </c>
      <c r="J41" s="1844"/>
      <c r="K41" s="1844"/>
      <c r="L41" s="1844"/>
      <c r="M41" s="1844" t="str">
        <f>IF(M$28&gt;(400-1),$G41,"")</f>
        <v/>
      </c>
      <c r="N41" s="1844"/>
      <c r="O41" s="1844"/>
      <c r="P41" s="1844"/>
      <c r="Q41" s="649"/>
      <c r="R41" s="649"/>
      <c r="S41" s="649"/>
      <c r="T41" s="649"/>
      <c r="U41" s="1844" t="str">
        <f>IF(U$28&gt;(400-1),$G41,"")</f>
        <v/>
      </c>
      <c r="V41" s="1844"/>
      <c r="W41" s="1844"/>
      <c r="X41" s="1844"/>
      <c r="Y41" s="649"/>
      <c r="Z41" s="649"/>
      <c r="AA41" s="649"/>
      <c r="AB41" s="649"/>
      <c r="AC41" s="1774" t="str">
        <f>IF(AC$28&gt;(400-1),$G41,"")</f>
        <v/>
      </c>
      <c r="AD41" s="1774"/>
      <c r="AE41" s="1774"/>
      <c r="AF41" s="1774"/>
      <c r="AG41" s="961"/>
      <c r="AH41" s="961"/>
      <c r="AI41" s="961"/>
      <c r="AJ41" s="961"/>
      <c r="AK41" s="48"/>
      <c r="AL41" s="48"/>
      <c r="AM41" s="48"/>
      <c r="AN41" s="48"/>
      <c r="AO41" s="481"/>
      <c r="AP41" s="481"/>
      <c r="AQ41" s="481"/>
      <c r="AR41" s="481"/>
      <c r="AS41" s="481"/>
      <c r="AT41" s="481"/>
      <c r="AU41" s="481"/>
      <c r="AV41" s="481"/>
      <c r="AW41" s="481"/>
      <c r="AX41" s="481"/>
      <c r="AY41" s="481"/>
      <c r="AZ41" s="481"/>
      <c r="BA41" s="481"/>
      <c r="BB41" s="481"/>
      <c r="BC41" s="481"/>
    </row>
    <row r="42" spans="1:55" ht="15" customHeight="1" x14ac:dyDescent="0.2">
      <c r="A42" s="48"/>
      <c r="B42" s="48"/>
      <c r="C42" s="48"/>
      <c r="D42" s="186"/>
      <c r="E42" s="185"/>
      <c r="F42" s="185"/>
      <c r="G42" s="185"/>
      <c r="H42" s="185"/>
      <c r="I42" s="185"/>
      <c r="J42" s="185"/>
      <c r="K42" s="185"/>
      <c r="L42" s="185"/>
      <c r="M42" s="185"/>
      <c r="N42" s="185"/>
      <c r="O42" s="185"/>
      <c r="P42" s="185"/>
      <c r="Q42" s="185"/>
      <c r="R42" s="185"/>
      <c r="S42" s="185"/>
      <c r="T42" s="185"/>
      <c r="U42" s="185"/>
      <c r="V42" s="185"/>
      <c r="W42" s="186"/>
      <c r="X42" s="186"/>
      <c r="Y42" s="186"/>
      <c r="Z42" s="186"/>
      <c r="AA42" s="186"/>
      <c r="AB42" s="186"/>
      <c r="AC42" s="186"/>
      <c r="AD42" s="186"/>
      <c r="AE42" s="48"/>
      <c r="AF42" s="48"/>
      <c r="AG42" s="48"/>
      <c r="AH42" s="48"/>
      <c r="AI42" s="48"/>
      <c r="AJ42" s="48"/>
      <c r="AK42" s="48"/>
      <c r="AL42" s="48"/>
      <c r="AM42" s="48"/>
      <c r="AN42" s="48"/>
      <c r="AO42" s="481"/>
      <c r="AP42" s="481"/>
      <c r="AQ42" s="481"/>
      <c r="AR42" s="481"/>
      <c r="AS42" s="481"/>
      <c r="AT42" s="481"/>
      <c r="AU42" s="481"/>
      <c r="AV42" s="481"/>
      <c r="AW42" s="481"/>
      <c r="AX42" s="481"/>
      <c r="AY42" s="481"/>
      <c r="AZ42" s="481"/>
      <c r="BA42" s="481"/>
      <c r="BB42" s="481"/>
      <c r="BC42" s="481"/>
    </row>
    <row r="43" spans="1:55" ht="18" customHeight="1" x14ac:dyDescent="0.25">
      <c r="A43" s="186"/>
      <c r="B43" s="1927" t="s">
        <v>445</v>
      </c>
      <c r="C43" s="1927"/>
      <c r="D43" s="1927"/>
      <c r="E43" s="1927"/>
      <c r="F43" s="1927"/>
      <c r="G43" s="1927"/>
      <c r="H43" s="1927"/>
      <c r="I43" s="1927"/>
      <c r="J43" s="1927"/>
      <c r="K43" s="1929" t="s">
        <v>446</v>
      </c>
      <c r="L43" s="1929"/>
      <c r="M43" s="1929"/>
      <c r="N43" s="1929"/>
      <c r="O43" s="1926" t="s">
        <v>685</v>
      </c>
      <c r="P43" s="1926"/>
      <c r="Q43" s="1926"/>
      <c r="R43" s="1926"/>
      <c r="S43" s="1926"/>
      <c r="T43" s="1926"/>
      <c r="U43" s="1926"/>
      <c r="V43" s="1926"/>
      <c r="W43" s="1926"/>
      <c r="X43" s="1926"/>
      <c r="Y43" s="1926"/>
      <c r="Z43" s="1926"/>
      <c r="AA43" s="1926"/>
      <c r="AB43" s="1926"/>
      <c r="AC43" s="1926"/>
      <c r="AD43" s="1926"/>
      <c r="AE43" s="1926"/>
      <c r="AF43" s="1926"/>
      <c r="AG43" s="1926"/>
      <c r="AH43" s="1926"/>
      <c r="AI43" s="1926"/>
      <c r="AJ43" s="197"/>
      <c r="AK43" s="197"/>
      <c r="AL43" s="197"/>
      <c r="AM43" s="195"/>
      <c r="AN43" s="48"/>
      <c r="AO43" s="481"/>
      <c r="AP43" s="481"/>
      <c r="AQ43" s="481"/>
      <c r="AR43" s="481"/>
      <c r="AS43" s="481"/>
      <c r="AT43" s="481"/>
      <c r="AU43" s="481"/>
      <c r="AV43" s="481"/>
      <c r="AW43" s="481"/>
      <c r="AX43" s="481"/>
      <c r="AY43" s="481"/>
      <c r="AZ43" s="481"/>
      <c r="BA43" s="481"/>
      <c r="BB43" s="481"/>
      <c r="BC43" s="481"/>
    </row>
    <row r="44" spans="1:55" ht="27" customHeight="1" x14ac:dyDescent="0.2">
      <c r="A44" s="186"/>
      <c r="B44" s="1930" t="s">
        <v>686</v>
      </c>
      <c r="C44" s="1930"/>
      <c r="D44" s="1930"/>
      <c r="E44" s="1930"/>
      <c r="F44" s="1930"/>
      <c r="G44" s="1930"/>
      <c r="H44" s="1930"/>
      <c r="I44" s="1930"/>
      <c r="J44" s="1930"/>
      <c r="K44" s="1930"/>
      <c r="L44" s="1930"/>
      <c r="M44" s="1930"/>
      <c r="N44" s="1930"/>
      <c r="O44" s="1930"/>
      <c r="P44" s="1930"/>
      <c r="Q44" s="1930"/>
      <c r="R44" s="1930"/>
      <c r="S44" s="1930"/>
      <c r="T44" s="1930"/>
      <c r="U44" s="1930"/>
      <c r="V44" s="1930"/>
      <c r="W44" s="1930"/>
      <c r="X44" s="1930"/>
      <c r="Y44" s="1930"/>
      <c r="Z44" s="1930"/>
      <c r="AA44" s="1930"/>
      <c r="AB44" s="1930"/>
      <c r="AC44" s="1930"/>
      <c r="AD44" s="1793" t="str">
        <f>IF(Y151&gt;0,AF132,AF131)</f>
        <v>Non convalidato</v>
      </c>
      <c r="AE44" s="1793"/>
      <c r="AF44" s="1793"/>
      <c r="AG44" s="1793"/>
      <c r="AH44" s="1793"/>
      <c r="AI44" s="1793"/>
      <c r="AJ44" s="1792" t="str">
        <f>IF(Y151&gt;0,AF134,"")</f>
        <v>REGISTRO</v>
      </c>
      <c r="AK44" s="1792"/>
      <c r="AL44" s="1792"/>
      <c r="AM44" s="1792"/>
      <c r="AN44" s="48"/>
      <c r="AO44" s="481"/>
      <c r="AP44" s="481"/>
      <c r="AQ44" s="481"/>
      <c r="AR44" s="481"/>
      <c r="AS44" s="481"/>
      <c r="AT44" s="481"/>
      <c r="AU44" s="481"/>
      <c r="AV44" s="481"/>
      <c r="AW44" s="481"/>
      <c r="AX44" s="481"/>
      <c r="AY44" s="481"/>
      <c r="AZ44" s="481"/>
      <c r="BA44" s="481"/>
      <c r="BB44" s="481"/>
      <c r="BC44" s="481"/>
    </row>
    <row r="45" spans="1:55" ht="18.75" customHeight="1" x14ac:dyDescent="0.2">
      <c r="A45" s="186"/>
      <c r="B45" s="218"/>
      <c r="C45" s="218"/>
      <c r="D45" s="218"/>
      <c r="E45" s="218"/>
      <c r="F45" s="218"/>
      <c r="G45" s="218"/>
      <c r="H45" s="218"/>
      <c r="I45" s="218"/>
      <c r="J45" s="218"/>
      <c r="K45" s="218"/>
      <c r="L45" s="218"/>
      <c r="M45" s="634" t="str">
        <f ca="1">Presentazione!$H$13</f>
        <v/>
      </c>
      <c r="N45" s="218"/>
      <c r="O45" s="218"/>
      <c r="P45" s="218"/>
      <c r="Q45" s="218"/>
      <c r="R45" s="218"/>
      <c r="S45" s="218"/>
      <c r="T45" s="219"/>
      <c r="U45" s="219"/>
      <c r="V45" s="219"/>
      <c r="W45" s="219"/>
      <c r="X45" s="219"/>
      <c r="Y45" s="219"/>
      <c r="Z45" s="219"/>
      <c r="AA45" s="219"/>
      <c r="AB45" s="200"/>
      <c r="AC45" s="200"/>
      <c r="AD45" s="200"/>
      <c r="AE45" s="200"/>
      <c r="AF45" s="200"/>
      <c r="AG45" s="200"/>
      <c r="AH45" s="200"/>
      <c r="AI45" s="200"/>
      <c r="AJ45" s="200"/>
      <c r="AK45" s="200"/>
      <c r="AL45" s="200"/>
      <c r="AM45" s="200"/>
      <c r="AN45" s="200"/>
      <c r="AO45" s="481"/>
      <c r="AP45" s="481"/>
      <c r="AQ45" s="481"/>
      <c r="AR45" s="481"/>
      <c r="AS45" s="481"/>
      <c r="AT45" s="481"/>
      <c r="AU45" s="481"/>
      <c r="AV45" s="481"/>
      <c r="AW45" s="481"/>
      <c r="AX45" s="481"/>
      <c r="AY45" s="481"/>
      <c r="AZ45" s="481"/>
      <c r="BA45" s="481"/>
      <c r="BB45" s="481"/>
      <c r="BC45" s="481"/>
    </row>
    <row r="46" spans="1:55" ht="18.75" customHeight="1" x14ac:dyDescent="0.2">
      <c r="A46" s="186"/>
      <c r="B46" s="82" t="str">
        <f>Presentazione!$G$35</f>
        <v>Registro dei Corrispettivi 5.2.4 3txt - per EXCEL .xlsm</v>
      </c>
      <c r="C46" s="173"/>
      <c r="D46" s="173"/>
      <c r="E46" s="173"/>
      <c r="F46" s="173"/>
      <c r="G46" s="173"/>
      <c r="H46" s="173"/>
      <c r="I46" s="173"/>
      <c r="J46" s="173"/>
      <c r="K46" s="173"/>
      <c r="L46" s="218"/>
      <c r="M46" s="635" t="str">
        <f ca="1">IF(Presentazione!$J$165=Presentazione!$K$83,CONCATENATE(Presentazione!$F$77,"   -   ","P.I./C.F ",Presentazione!$K$79),Presentazione!$I$157)</f>
        <v>Sistema parzialmente attivato. Inserisci il tuo CODICE di PROPRIETA' nel foglio Presentazione.</v>
      </c>
      <c r="N46" s="218"/>
      <c r="O46" s="218"/>
      <c r="P46" s="218"/>
      <c r="Q46" s="218"/>
      <c r="R46" s="218"/>
      <c r="S46" s="218"/>
      <c r="T46" s="218"/>
      <c r="U46" s="218"/>
      <c r="V46" s="218"/>
      <c r="W46" s="218"/>
      <c r="X46" s="218"/>
      <c r="Y46" s="218"/>
      <c r="Z46" s="218"/>
      <c r="AA46" s="218"/>
      <c r="AB46" s="218"/>
      <c r="AC46" s="219"/>
      <c r="AD46" s="219"/>
      <c r="AE46" s="219"/>
      <c r="AF46" s="219"/>
      <c r="AG46" s="219"/>
      <c r="AH46" s="173"/>
      <c r="AI46" s="173"/>
      <c r="AJ46" s="173"/>
      <c r="AK46" s="173"/>
      <c r="AL46" s="173"/>
      <c r="AM46" s="636" t="s">
        <v>253</v>
      </c>
      <c r="AN46" s="200"/>
      <c r="AO46" s="481"/>
      <c r="AP46" s="481"/>
      <c r="AQ46" s="481"/>
      <c r="AR46" s="481"/>
      <c r="AS46" s="481"/>
      <c r="AT46" s="481"/>
      <c r="AU46" s="481"/>
      <c r="AV46" s="481"/>
      <c r="AW46" s="481"/>
      <c r="AX46" s="481"/>
      <c r="AY46" s="481"/>
      <c r="AZ46" s="481"/>
      <c r="BA46" s="481"/>
      <c r="BB46" s="481"/>
      <c r="BC46" s="481"/>
    </row>
    <row r="47" spans="1:55" x14ac:dyDescent="0.2">
      <c r="A47" s="186"/>
      <c r="B47" s="641" t="s">
        <v>724</v>
      </c>
      <c r="C47" s="641"/>
      <c r="D47" s="641"/>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641"/>
      <c r="AC47" s="641"/>
      <c r="AD47" s="641"/>
      <c r="AE47" s="641"/>
      <c r="AF47" s="641"/>
      <c r="AG47" s="641"/>
      <c r="AH47" s="641"/>
      <c r="AI47" s="641"/>
      <c r="AJ47" s="641"/>
      <c r="AK47" s="641"/>
      <c r="AL47" s="196"/>
      <c r="AM47" s="193"/>
      <c r="AN47" s="48"/>
      <c r="AO47" s="481"/>
      <c r="AP47" s="481"/>
      <c r="AQ47" s="481"/>
      <c r="AR47" s="481"/>
      <c r="AS47" s="481"/>
      <c r="AT47" s="481"/>
      <c r="AU47" s="481"/>
      <c r="AV47" s="481"/>
      <c r="AW47" s="481"/>
      <c r="AX47" s="481"/>
      <c r="AY47" s="481"/>
      <c r="AZ47" s="481"/>
      <c r="BA47" s="481"/>
      <c r="BB47" s="481"/>
      <c r="BC47" s="481"/>
    </row>
    <row r="48" spans="1:55" ht="16.5" customHeight="1" x14ac:dyDescent="0.2">
      <c r="A48" s="186"/>
      <c r="B48" s="1581" t="s">
        <v>462</v>
      </c>
      <c r="C48" s="1581"/>
      <c r="D48" s="1581"/>
      <c r="E48" s="1581"/>
      <c r="F48" s="1581"/>
      <c r="G48" s="1581"/>
      <c r="H48" s="1581"/>
      <c r="I48" s="1581"/>
      <c r="J48" s="1581"/>
      <c r="K48" s="1581"/>
      <c r="L48" s="1581"/>
      <c r="M48" s="1581"/>
      <c r="N48" s="1581"/>
      <c r="O48" s="1581"/>
      <c r="P48" s="1581"/>
      <c r="Q48" s="1581"/>
      <c r="R48" s="1581"/>
      <c r="S48" s="1581"/>
      <c r="T48" s="1581"/>
      <c r="U48" s="1581"/>
      <c r="V48" s="1581"/>
      <c r="W48" s="1581"/>
      <c r="X48" s="1581"/>
      <c r="Y48" s="1581"/>
      <c r="Z48" s="1581"/>
      <c r="AA48" s="1581"/>
      <c r="AB48" s="1581"/>
      <c r="AC48" s="1581"/>
      <c r="AD48" s="53"/>
      <c r="AE48" s="53"/>
      <c r="AF48" s="53"/>
      <c r="AG48" s="53"/>
      <c r="AH48" s="53"/>
      <c r="AI48" s="53"/>
      <c r="AJ48" s="53"/>
      <c r="AK48" s="53"/>
      <c r="AL48" s="53"/>
      <c r="AM48" s="194"/>
      <c r="AN48" s="48"/>
      <c r="AO48" s="481"/>
      <c r="AP48" s="481"/>
      <c r="AQ48" s="481"/>
      <c r="AR48" s="481"/>
      <c r="AS48" s="481"/>
      <c r="AT48" s="481"/>
      <c r="AU48" s="481"/>
      <c r="AV48" s="481"/>
      <c r="AW48" s="481"/>
      <c r="AX48" s="481"/>
      <c r="AY48" s="481"/>
      <c r="AZ48" s="481"/>
      <c r="BA48" s="481"/>
      <c r="BB48" s="481"/>
      <c r="BC48" s="481"/>
    </row>
    <row r="49" spans="1:65" ht="16.5" customHeight="1" x14ac:dyDescent="0.25">
      <c r="A49" s="186"/>
      <c r="B49" s="901" t="s">
        <v>687</v>
      </c>
      <c r="C49" s="585"/>
      <c r="D49" s="585"/>
      <c r="E49" s="585"/>
      <c r="F49" s="585"/>
      <c r="G49" s="585"/>
      <c r="H49" s="585"/>
      <c r="I49" s="585"/>
      <c r="J49" s="585"/>
      <c r="K49" s="585"/>
      <c r="L49" s="585"/>
      <c r="M49" s="585"/>
      <c r="N49" s="585"/>
      <c r="O49" s="585"/>
      <c r="P49" s="585"/>
      <c r="Q49" s="585"/>
      <c r="R49" s="585"/>
      <c r="S49" s="585"/>
      <c r="T49" s="585"/>
      <c r="U49" s="585"/>
      <c r="V49" s="585"/>
      <c r="W49" s="585"/>
      <c r="X49" s="585"/>
      <c r="Y49" s="585"/>
      <c r="Z49" s="585"/>
      <c r="AA49" s="585"/>
      <c r="AB49" s="585"/>
      <c r="AC49" s="585"/>
      <c r="AD49" s="48"/>
      <c r="AE49" s="48"/>
      <c r="AF49" s="48"/>
      <c r="AG49" s="48"/>
      <c r="AH49" s="48"/>
      <c r="AI49" s="48"/>
      <c r="AJ49" s="48"/>
      <c r="AK49" s="48"/>
      <c r="AL49" s="197"/>
      <c r="AM49" s="195"/>
      <c r="AN49" s="48"/>
      <c r="AO49" s="481"/>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1"/>
      <c r="BM49" s="481"/>
    </row>
    <row r="50" spans="1:65" ht="18" customHeight="1" x14ac:dyDescent="0.2">
      <c r="A50" s="186"/>
      <c r="B50" s="583" t="s">
        <v>166</v>
      </c>
      <c r="C50" s="894"/>
      <c r="D50" s="894"/>
      <c r="E50" s="894"/>
      <c r="F50" s="894"/>
      <c r="G50" s="894"/>
      <c r="H50" s="894"/>
      <c r="I50" s="894"/>
      <c r="J50" s="894"/>
      <c r="K50" s="894"/>
      <c r="L50" s="894"/>
      <c r="M50" s="894"/>
      <c r="N50" s="894"/>
      <c r="O50" s="894"/>
      <c r="P50" s="894"/>
      <c r="Q50" s="894"/>
      <c r="R50" s="894"/>
      <c r="S50" s="894"/>
      <c r="T50" s="894"/>
      <c r="U50" s="894"/>
      <c r="V50" s="894"/>
      <c r="W50" s="894"/>
      <c r="X50" s="894"/>
      <c r="Y50" s="894"/>
      <c r="Z50" s="894"/>
      <c r="AA50" s="894"/>
      <c r="AB50" s="894"/>
      <c r="AC50" s="894"/>
      <c r="AD50" s="48"/>
      <c r="AE50" s="48"/>
      <c r="AF50" s="48"/>
      <c r="AG50" s="48"/>
      <c r="AH50" s="48"/>
      <c r="AI50" s="48"/>
      <c r="AJ50" s="48"/>
      <c r="AK50" s="48"/>
      <c r="AL50" s="176"/>
      <c r="AM50" s="1"/>
      <c r="AN50" s="48"/>
      <c r="AO50" s="481"/>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1"/>
      <c r="BM50" s="481"/>
    </row>
    <row r="51" spans="1:65" ht="9" customHeight="1" x14ac:dyDescent="0.2">
      <c r="A51" s="186"/>
      <c r="B51" s="176"/>
      <c r="C51" s="1560">
        <v>1</v>
      </c>
      <c r="D51" s="1560"/>
      <c r="E51" s="1560">
        <v>2</v>
      </c>
      <c r="F51" s="1560"/>
      <c r="G51" s="1560">
        <v>3</v>
      </c>
      <c r="H51" s="1560"/>
      <c r="I51" s="1560">
        <v>4</v>
      </c>
      <c r="J51" s="1560"/>
      <c r="K51" s="1560">
        <v>5</v>
      </c>
      <c r="L51" s="1560"/>
      <c r="M51" s="1560">
        <v>6</v>
      </c>
      <c r="N51" s="1560"/>
      <c r="O51" s="1560">
        <v>7</v>
      </c>
      <c r="P51" s="1560"/>
      <c r="Q51" s="176"/>
      <c r="R51" s="176"/>
      <c r="S51" s="176"/>
      <c r="T51" s="176"/>
      <c r="U51" s="176"/>
      <c r="V51" s="176"/>
      <c r="W51" s="176"/>
      <c r="X51" s="176"/>
      <c r="Y51" s="176"/>
      <c r="Z51" s="176"/>
      <c r="AA51" s="176"/>
      <c r="AB51" s="176"/>
      <c r="AC51" s="176"/>
      <c r="AD51" s="176"/>
      <c r="AE51" s="176"/>
      <c r="AF51" s="176"/>
      <c r="AG51" s="176"/>
      <c r="AH51" s="176"/>
      <c r="AI51" s="176"/>
      <c r="AJ51" s="176"/>
      <c r="AK51" s="176"/>
      <c r="AL51" s="176"/>
      <c r="AM51" s="176"/>
      <c r="AN51" s="48"/>
      <c r="AO51" s="481"/>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1"/>
      <c r="BM51" s="481"/>
    </row>
    <row r="52" spans="1:65" ht="19.5" customHeight="1" x14ac:dyDescent="0.2">
      <c r="A52" s="186"/>
      <c r="B52" s="185"/>
      <c r="C52" s="1561" t="s">
        <v>449</v>
      </c>
      <c r="D52" s="1561"/>
      <c r="E52" s="1561"/>
      <c r="F52" s="1561"/>
      <c r="G52" s="1561"/>
      <c r="H52" s="1561"/>
      <c r="I52" s="1561"/>
      <c r="J52" s="1561"/>
      <c r="K52" s="1561"/>
      <c r="L52" s="1561"/>
      <c r="M52" s="1561"/>
      <c r="N52" s="1561"/>
      <c r="O52" s="1561"/>
      <c r="P52" s="1561"/>
      <c r="Q52" s="1789" t="s">
        <v>700</v>
      </c>
      <c r="R52" s="1789"/>
      <c r="S52" s="1789"/>
      <c r="T52" s="1789"/>
      <c r="U52" s="1789"/>
      <c r="V52" s="1789"/>
      <c r="W52" s="1789"/>
      <c r="X52" s="1789"/>
      <c r="Y52" s="1789"/>
      <c r="Z52" s="1789"/>
      <c r="AA52" s="1789"/>
      <c r="AB52" s="1789"/>
      <c r="AC52" s="1787" t="s">
        <v>448</v>
      </c>
      <c r="AD52" s="1787"/>
      <c r="AE52" s="1787"/>
      <c r="AF52" s="1787"/>
      <c r="AG52" s="1788"/>
      <c r="AH52" s="1782">
        <v>2024</v>
      </c>
      <c r="AI52" s="1783"/>
      <c r="AJ52" s="1784"/>
      <c r="AK52" s="48"/>
      <c r="AL52" s="48"/>
      <c r="AM52" s="48"/>
      <c r="AN52" s="48"/>
      <c r="AO52" s="481"/>
      <c r="AP52" s="481"/>
      <c r="AQ52" s="481"/>
      <c r="AR52" s="481"/>
      <c r="AS52" s="481"/>
      <c r="AT52" s="481"/>
      <c r="AU52" s="481"/>
      <c r="AV52" s="481"/>
      <c r="AW52" s="481"/>
      <c r="AX52" s="481"/>
      <c r="AY52" s="481"/>
      <c r="AZ52" s="481"/>
      <c r="BA52" s="481"/>
      <c r="BB52" s="481"/>
      <c r="BC52" s="481"/>
      <c r="BD52" s="481"/>
      <c r="BE52" s="481"/>
      <c r="BF52" s="481"/>
      <c r="BG52" s="481"/>
      <c r="BH52" s="481"/>
      <c r="BI52" s="481"/>
      <c r="BJ52" s="481"/>
      <c r="BK52" s="481"/>
      <c r="BL52" s="481"/>
      <c r="BM52" s="481"/>
    </row>
    <row r="53" spans="1:65" ht="19.5" customHeight="1" x14ac:dyDescent="0.2">
      <c r="A53" s="186"/>
      <c r="B53" s="218"/>
      <c r="C53" s="1928" t="s">
        <v>456</v>
      </c>
      <c r="D53" s="1928"/>
      <c r="E53" s="1928"/>
      <c r="F53" s="1928"/>
      <c r="G53" s="1928"/>
      <c r="H53" s="1928"/>
      <c r="I53" s="1928"/>
      <c r="J53" s="1928"/>
      <c r="K53" s="1928"/>
      <c r="L53" s="1928"/>
      <c r="M53" s="1928"/>
      <c r="N53" s="1928"/>
      <c r="O53" s="1928"/>
      <c r="P53" s="1928"/>
      <c r="Q53" s="222"/>
      <c r="R53" s="222"/>
      <c r="S53" s="222"/>
      <c r="T53" s="222"/>
      <c r="U53" s="222"/>
      <c r="V53" s="222"/>
      <c r="W53" s="222"/>
      <c r="X53" s="222"/>
      <c r="Y53" s="222"/>
      <c r="Z53" s="222"/>
      <c r="AA53" s="222"/>
      <c r="AB53" s="222"/>
      <c r="AC53" s="48"/>
      <c r="AD53" s="48"/>
      <c r="AE53" s="48"/>
      <c r="AF53" s="48"/>
      <c r="AG53" s="48"/>
      <c r="AH53" s="643"/>
      <c r="AI53" s="48"/>
      <c r="AJ53" s="48"/>
      <c r="AK53" s="48"/>
      <c r="AL53" s="219"/>
      <c r="AM53" s="200"/>
      <c r="AN53" s="48"/>
      <c r="AO53" s="481"/>
      <c r="AP53" s="481"/>
      <c r="AQ53" s="481"/>
      <c r="AR53" s="481"/>
      <c r="AS53" s="481"/>
      <c r="AT53" s="481"/>
      <c r="AU53" s="481"/>
      <c r="AV53" s="481"/>
      <c r="AW53" s="481"/>
      <c r="AX53" s="481"/>
      <c r="AY53" s="481"/>
      <c r="AZ53" s="481"/>
      <c r="BA53" s="481"/>
      <c r="BB53" s="481"/>
      <c r="BC53" s="481"/>
      <c r="BD53" s="481"/>
      <c r="BE53" s="481"/>
      <c r="BF53" s="481"/>
      <c r="BG53" s="481"/>
      <c r="BH53" s="481"/>
      <c r="BI53" s="481"/>
      <c r="BJ53" s="481"/>
      <c r="BK53" s="481"/>
      <c r="BL53" s="481"/>
      <c r="BM53" s="481"/>
    </row>
    <row r="54" spans="1:65" ht="20.25" customHeight="1" x14ac:dyDescent="0.2">
      <c r="A54" s="186"/>
      <c r="B54" s="185"/>
      <c r="C54" s="1858" t="s">
        <v>450</v>
      </c>
      <c r="D54" s="1859"/>
      <c r="E54" s="1778" t="s">
        <v>375</v>
      </c>
      <c r="F54" s="1859"/>
      <c r="G54" s="1778" t="s">
        <v>451</v>
      </c>
      <c r="H54" s="1859"/>
      <c r="I54" s="1778" t="s">
        <v>452</v>
      </c>
      <c r="J54" s="1859"/>
      <c r="K54" s="1778" t="s">
        <v>453</v>
      </c>
      <c r="L54" s="1859"/>
      <c r="M54" s="1778" t="s">
        <v>454</v>
      </c>
      <c r="N54" s="1859"/>
      <c r="O54" s="1778" t="s">
        <v>455</v>
      </c>
      <c r="P54" s="1779"/>
      <c r="Q54" s="225"/>
      <c r="R54" s="1790" t="s">
        <v>468</v>
      </c>
      <c r="S54" s="1790"/>
      <c r="T54" s="1790"/>
      <c r="U54" s="1790" t="s">
        <v>469</v>
      </c>
      <c r="V54" s="1790"/>
      <c r="W54" s="1790"/>
      <c r="X54" s="1785" t="s">
        <v>466</v>
      </c>
      <c r="Y54" s="1785"/>
      <c r="Z54" s="1785"/>
      <c r="AA54" s="1790" t="s">
        <v>467</v>
      </c>
      <c r="AB54" s="1790"/>
      <c r="AC54" s="1790"/>
      <c r="AD54" s="222"/>
      <c r="AE54" s="222"/>
      <c r="AF54" s="222"/>
      <c r="AG54" s="48"/>
      <c r="AH54" s="48"/>
      <c r="AI54" s="926" t="s">
        <v>701</v>
      </c>
      <c r="AJ54" s="48"/>
      <c r="AK54" s="48"/>
      <c r="AL54" s="48"/>
      <c r="AM54" s="48"/>
      <c r="AN54" s="48"/>
      <c r="AO54" s="481"/>
      <c r="AP54" s="481"/>
      <c r="AQ54" s="481"/>
      <c r="AR54" s="481"/>
      <c r="AS54" s="481"/>
      <c r="AT54" s="481"/>
      <c r="AU54" s="481"/>
      <c r="AV54" s="481"/>
      <c r="AW54" s="481"/>
      <c r="AX54" s="481"/>
      <c r="AY54" s="481"/>
      <c r="AZ54" s="481"/>
      <c r="BA54" s="481"/>
      <c r="BB54" s="481"/>
      <c r="BC54" s="481"/>
      <c r="BD54" s="481"/>
      <c r="BE54" s="481"/>
      <c r="BF54" s="481"/>
      <c r="BG54" s="481"/>
      <c r="BH54" s="481"/>
      <c r="BI54" s="481"/>
      <c r="BJ54" s="481"/>
      <c r="BK54" s="481"/>
      <c r="BL54" s="481"/>
      <c r="BM54" s="481"/>
    </row>
    <row r="55" spans="1:65" ht="20.25" customHeight="1" x14ac:dyDescent="0.2">
      <c r="A55" s="186"/>
      <c r="B55" s="185"/>
      <c r="C55" s="1943"/>
      <c r="D55" s="1848"/>
      <c r="E55" s="1780"/>
      <c r="F55" s="1848"/>
      <c r="G55" s="1780"/>
      <c r="H55" s="1848"/>
      <c r="I55" s="1780"/>
      <c r="J55" s="1848"/>
      <c r="K55" s="1780"/>
      <c r="L55" s="1848"/>
      <c r="M55" s="1780"/>
      <c r="N55" s="1848"/>
      <c r="O55" s="1780"/>
      <c r="P55" s="1781"/>
      <c r="Q55" s="240"/>
      <c r="R55" s="1777">
        <f>SUM(G60:G65)+SUM(Y60:Y65)</f>
        <v>0</v>
      </c>
      <c r="S55" s="1777"/>
      <c r="T55" s="1777"/>
      <c r="U55" s="1777">
        <f>IF(AH52&gt;0,COUNTIF(CASSA!C114:C479,0),0)</f>
        <v>365</v>
      </c>
      <c r="V55" s="1777"/>
      <c r="W55" s="1777"/>
      <c r="X55" s="1777">
        <f>COUNTIF(CASSA!C114:C479,CASSA!W485)</f>
        <v>0</v>
      </c>
      <c r="Y55" s="1777"/>
      <c r="Z55" s="1777"/>
      <c r="AA55" s="1777">
        <f>COUNTIF(CASSA!C114:C479,CASSA!W484)</f>
        <v>1</v>
      </c>
      <c r="AB55" s="1777"/>
      <c r="AC55" s="1777"/>
      <c r="AD55" s="1842" t="s">
        <v>470</v>
      </c>
      <c r="AE55" s="1842"/>
      <c r="AF55" s="1786">
        <f>R55+U55+X55+AA55</f>
        <v>366</v>
      </c>
      <c r="AG55" s="1786"/>
      <c r="AH55" s="1786"/>
      <c r="AI55" s="927" t="s">
        <v>702</v>
      </c>
      <c r="AJ55" s="48"/>
      <c r="AK55" s="48"/>
      <c r="AL55" s="48"/>
      <c r="AM55" s="48"/>
      <c r="AN55" s="48"/>
      <c r="AO55" s="481"/>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1"/>
      <c r="BM55" s="481"/>
    </row>
    <row r="56" spans="1:65" ht="18" customHeight="1" x14ac:dyDescent="0.2">
      <c r="A56" s="186"/>
      <c r="B56" s="185"/>
      <c r="C56" s="1566">
        <f>IF(C55=$M133,"L",0)</f>
        <v>0</v>
      </c>
      <c r="D56" s="1566"/>
      <c r="E56" s="1566">
        <f>IF(E55=$M133,"L",0)</f>
        <v>0</v>
      </c>
      <c r="F56" s="1566"/>
      <c r="G56" s="1566">
        <f>IF(G55=$M133,"L",0)</f>
        <v>0</v>
      </c>
      <c r="H56" s="1566"/>
      <c r="I56" s="1566">
        <f>IF(I55=$M133,"L",0)</f>
        <v>0</v>
      </c>
      <c r="J56" s="1566"/>
      <c r="K56" s="1566">
        <f>IF(K55=$M133,"L",0)</f>
        <v>0</v>
      </c>
      <c r="L56" s="1566"/>
      <c r="M56" s="1566">
        <f>IF(M55=$M133,"L",0)</f>
        <v>0</v>
      </c>
      <c r="N56" s="1566"/>
      <c r="O56" s="1566">
        <f>IF(O55=$M133,"L",0)</f>
        <v>0</v>
      </c>
      <c r="P56" s="1566"/>
      <c r="Q56" s="185"/>
      <c r="R56" s="185"/>
      <c r="S56" s="185"/>
      <c r="T56" s="185"/>
      <c r="U56" s="185"/>
      <c r="V56" s="185"/>
      <c r="W56" s="185"/>
      <c r="X56" s="185"/>
      <c r="Y56" s="185"/>
      <c r="Z56" s="185"/>
      <c r="AA56" s="185"/>
      <c r="AB56" s="185"/>
      <c r="AC56" s="186"/>
      <c r="AD56" s="186"/>
      <c r="AE56" s="186"/>
      <c r="AF56" s="186"/>
      <c r="AG56" s="186"/>
      <c r="AH56" s="186"/>
      <c r="AI56" s="186"/>
      <c r="AJ56" s="186"/>
      <c r="AK56" s="186"/>
      <c r="AL56" s="186"/>
      <c r="AM56" s="186"/>
      <c r="AN56" s="48"/>
      <c r="AO56" s="481"/>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1"/>
      <c r="BM56" s="481"/>
    </row>
    <row r="57" spans="1:65" ht="19.5" customHeight="1" x14ac:dyDescent="0.2">
      <c r="A57" s="186"/>
      <c r="B57" s="185"/>
      <c r="C57" s="1561" t="s">
        <v>167</v>
      </c>
      <c r="D57" s="1561"/>
      <c r="E57" s="1561"/>
      <c r="F57" s="1561"/>
      <c r="G57" s="1561"/>
      <c r="H57" s="1561"/>
      <c r="I57" s="1561"/>
      <c r="J57" s="1561"/>
      <c r="K57" s="1561"/>
      <c r="L57" s="1561"/>
      <c r="M57" s="1561"/>
      <c r="N57" s="1561"/>
      <c r="O57" s="1561"/>
      <c r="P57" s="1561"/>
      <c r="Q57" s="1837"/>
      <c r="R57" s="1837"/>
      <c r="S57" s="1837"/>
      <c r="T57" s="1837"/>
      <c r="U57" s="1837"/>
      <c r="V57" s="1837"/>
      <c r="W57" s="1837"/>
      <c r="X57" s="1837"/>
      <c r="Y57" s="1837"/>
      <c r="Z57" s="1837"/>
      <c r="AA57" s="1837"/>
      <c r="AB57" s="1837"/>
      <c r="AC57" s="1837"/>
      <c r="AD57" s="1837"/>
      <c r="AE57" s="1837"/>
      <c r="AF57" s="1837"/>
      <c r="AG57" s="1837"/>
      <c r="AH57" s="1837"/>
      <c r="AI57" s="1837"/>
      <c r="AJ57" s="1837"/>
      <c r="AK57" s="1837"/>
      <c r="AL57" s="48"/>
      <c r="AM57" s="48"/>
      <c r="AN57" s="48"/>
      <c r="AO57" s="481"/>
      <c r="AP57" s="481"/>
      <c r="AQ57" s="481"/>
      <c r="AR57" s="481"/>
      <c r="AS57" s="481"/>
      <c r="AT57" s="481"/>
      <c r="AU57" s="481"/>
      <c r="AV57" s="481"/>
      <c r="AW57" s="481"/>
      <c r="AX57" s="481"/>
      <c r="AY57" s="481"/>
      <c r="AZ57" s="481"/>
      <c r="BA57" s="481"/>
      <c r="BB57" s="481"/>
      <c r="BC57" s="481"/>
      <c r="BD57" s="481"/>
      <c r="BE57" s="481"/>
      <c r="BF57" s="481"/>
      <c r="BG57" s="481"/>
      <c r="BH57" s="481"/>
      <c r="BI57" s="481"/>
      <c r="BJ57" s="481"/>
      <c r="BK57" s="481"/>
      <c r="BL57" s="481"/>
      <c r="BM57" s="481"/>
    </row>
    <row r="58" spans="1:65" ht="24.75" customHeight="1" x14ac:dyDescent="0.2">
      <c r="A58" s="186"/>
      <c r="B58" s="218"/>
      <c r="C58" s="1925" t="s">
        <v>672</v>
      </c>
      <c r="D58" s="1925"/>
      <c r="E58" s="1925"/>
      <c r="F58" s="1925"/>
      <c r="G58" s="1925"/>
      <c r="H58" s="1925"/>
      <c r="I58" s="1925"/>
      <c r="J58" s="1925"/>
      <c r="K58" s="1925"/>
      <c r="L58" s="1925"/>
      <c r="M58" s="1925"/>
      <c r="N58" s="1925"/>
      <c r="O58" s="1925"/>
      <c r="P58" s="1925"/>
      <c r="Q58" s="1925"/>
      <c r="R58" s="1925"/>
      <c r="S58" s="1925"/>
      <c r="T58" s="1925"/>
      <c r="U58" s="1925"/>
      <c r="V58" s="1925"/>
      <c r="W58" s="1925"/>
      <c r="X58" s="1925"/>
      <c r="Y58" s="1925"/>
      <c r="Z58" s="1925"/>
      <c r="AA58" s="1925"/>
      <c r="AB58" s="1925"/>
      <c r="AC58" s="1925"/>
      <c r="AD58" s="1925"/>
      <c r="AE58" s="1925"/>
      <c r="AF58" s="1925"/>
      <c r="AG58" s="1925"/>
      <c r="AH58" s="1925"/>
      <c r="AI58" s="1925"/>
      <c r="AJ58" s="1925"/>
      <c r="AK58" s="1925"/>
      <c r="AL58" s="219"/>
      <c r="AM58" s="219"/>
      <c r="AN58" s="200"/>
      <c r="AO58" s="481"/>
      <c r="AP58" s="481"/>
      <c r="AQ58" s="481"/>
      <c r="AR58" s="481"/>
      <c r="AS58" s="481"/>
      <c r="AT58" s="481"/>
      <c r="AU58" s="481"/>
      <c r="AV58" s="481"/>
      <c r="AW58" s="481"/>
      <c r="AX58" s="481"/>
      <c r="AY58" s="481"/>
      <c r="AZ58" s="481"/>
      <c r="BA58" s="481"/>
      <c r="BB58" s="481"/>
      <c r="BC58" s="481"/>
      <c r="BD58" s="481"/>
      <c r="BE58" s="481"/>
      <c r="BF58" s="481"/>
      <c r="BG58" s="481"/>
      <c r="BH58" s="481"/>
      <c r="BI58" s="481"/>
      <c r="BJ58" s="481"/>
      <c r="BK58" s="481"/>
      <c r="BL58" s="481"/>
      <c r="BM58" s="481"/>
    </row>
    <row r="59" spans="1:65" ht="21" customHeight="1" x14ac:dyDescent="0.2">
      <c r="A59" s="186"/>
      <c r="B59" s="185"/>
      <c r="C59" s="1843" t="s">
        <v>458</v>
      </c>
      <c r="D59" s="1843"/>
      <c r="E59" s="1843"/>
      <c r="F59" s="1843"/>
      <c r="G59" s="1843"/>
      <c r="H59" s="1843"/>
      <c r="I59" s="185"/>
      <c r="J59" s="1841" t="s">
        <v>459</v>
      </c>
      <c r="K59" s="1841"/>
      <c r="L59" s="1841"/>
      <c r="M59" s="1841"/>
      <c r="N59" s="1840" t="str">
        <f>CONCATENATE(X54,"  DAL  /  AL ")</f>
        <v xml:space="preserve">Chiuso  DAL  /  AL </v>
      </c>
      <c r="O59" s="1840"/>
      <c r="P59" s="1840"/>
      <c r="Q59" s="1840"/>
      <c r="R59" s="1840"/>
      <c r="S59" s="1840"/>
      <c r="T59" s="185"/>
      <c r="U59" s="1843" t="s">
        <v>458</v>
      </c>
      <c r="V59" s="1843"/>
      <c r="W59" s="1843"/>
      <c r="X59" s="1843"/>
      <c r="Y59" s="1843"/>
      <c r="Z59" s="1843"/>
      <c r="AA59" s="185"/>
      <c r="AB59" s="1841" t="s">
        <v>459</v>
      </c>
      <c r="AC59" s="1841"/>
      <c r="AD59" s="1841"/>
      <c r="AE59" s="1841"/>
      <c r="AF59" s="1840" t="str">
        <f>N59</f>
        <v xml:space="preserve">Chiuso  DAL  /  AL </v>
      </c>
      <c r="AG59" s="1840"/>
      <c r="AH59" s="1840"/>
      <c r="AI59" s="1840"/>
      <c r="AJ59" s="1840"/>
      <c r="AK59" s="1840"/>
      <c r="AL59" s="48"/>
      <c r="AM59" s="48"/>
      <c r="AN59" s="48"/>
      <c r="AO59" s="481"/>
      <c r="AP59" s="481"/>
      <c r="AQ59" s="481"/>
      <c r="AR59" s="481"/>
      <c r="AS59" s="481"/>
      <c r="AT59" s="481"/>
      <c r="AU59" s="481"/>
      <c r="AV59" s="481"/>
      <c r="AW59" s="481"/>
      <c r="AX59" s="481"/>
      <c r="AY59" s="481"/>
      <c r="AZ59" s="481"/>
      <c r="BA59" s="481"/>
      <c r="BB59" s="481"/>
      <c r="BC59" s="481"/>
      <c r="BD59" s="481"/>
      <c r="BE59" s="481"/>
      <c r="BF59" s="481"/>
      <c r="BG59" s="481"/>
      <c r="BH59" s="481"/>
      <c r="BI59" s="481"/>
      <c r="BJ59" s="481"/>
      <c r="BK59" s="481"/>
      <c r="BL59" s="481"/>
      <c r="BM59" s="481"/>
    </row>
    <row r="60" spans="1:65" ht="18" customHeight="1" x14ac:dyDescent="0.2">
      <c r="A60" s="186"/>
      <c r="B60" s="224">
        <v>1</v>
      </c>
      <c r="C60" s="1571" t="s">
        <v>228</v>
      </c>
      <c r="D60" s="1571"/>
      <c r="E60" s="1571"/>
      <c r="F60" s="1571"/>
      <c r="G60" s="1578">
        <f>COUNTIF(CASSA!$D$114:$D$479,IMPOSTAZIONI!B60)</f>
        <v>0</v>
      </c>
      <c r="H60" s="1578"/>
      <c r="I60" s="48"/>
      <c r="J60" s="528"/>
      <c r="K60" s="529"/>
      <c r="L60" s="529"/>
      <c r="M60" s="530"/>
      <c r="N60" s="1849"/>
      <c r="O60" s="1850"/>
      <c r="P60" s="1851"/>
      <c r="Q60" s="1894"/>
      <c r="R60" s="1850"/>
      <c r="S60" s="1895"/>
      <c r="T60" s="224">
        <v>7</v>
      </c>
      <c r="U60" s="1571" t="s">
        <v>236</v>
      </c>
      <c r="V60" s="1571"/>
      <c r="W60" s="1571"/>
      <c r="X60" s="1571"/>
      <c r="Y60" s="1578">
        <f>COUNTIF(CASSA!$D$114:$D$479,T60)</f>
        <v>0</v>
      </c>
      <c r="Z60" s="1578"/>
      <c r="AA60" s="185"/>
      <c r="AB60" s="528"/>
      <c r="AC60" s="529"/>
      <c r="AD60" s="529"/>
      <c r="AE60" s="530"/>
      <c r="AF60" s="1849"/>
      <c r="AG60" s="1850"/>
      <c r="AH60" s="1851"/>
      <c r="AI60" s="1894"/>
      <c r="AJ60" s="1850"/>
      <c r="AK60" s="1895"/>
      <c r="AL60" s="48"/>
      <c r="AM60" s="48"/>
      <c r="AN60" s="48"/>
      <c r="AO60" s="481"/>
      <c r="AP60" s="481"/>
      <c r="AQ60" s="481"/>
      <c r="AR60" s="481"/>
      <c r="AS60" s="481"/>
      <c r="AT60" s="481"/>
      <c r="AU60" s="481"/>
      <c r="AV60" s="481"/>
      <c r="AW60" s="481"/>
      <c r="AX60" s="481"/>
      <c r="AY60" s="481"/>
      <c r="AZ60" s="481"/>
      <c r="BA60" s="481"/>
      <c r="BB60" s="481"/>
      <c r="BC60" s="481"/>
      <c r="BD60" s="481"/>
      <c r="BE60" s="481"/>
      <c r="BF60" s="481"/>
      <c r="BG60" s="481"/>
      <c r="BH60" s="481"/>
      <c r="BI60" s="481"/>
      <c r="BJ60" s="481"/>
      <c r="BK60" s="481"/>
      <c r="BL60" s="481"/>
      <c r="BM60" s="481"/>
    </row>
    <row r="61" spans="1:65" ht="18" customHeight="1" x14ac:dyDescent="0.2">
      <c r="A61" s="186"/>
      <c r="B61" s="224">
        <v>2</v>
      </c>
      <c r="C61" s="1571" t="s">
        <v>229</v>
      </c>
      <c r="D61" s="1571"/>
      <c r="E61" s="1571"/>
      <c r="F61" s="1571"/>
      <c r="G61" s="1578">
        <f>COUNTIF(CASSA!$D$114:$D$479,IMPOSTAZIONI!B61)</f>
        <v>0</v>
      </c>
      <c r="H61" s="1578"/>
      <c r="I61" s="185"/>
      <c r="J61" s="531"/>
      <c r="K61" s="532"/>
      <c r="L61" s="532"/>
      <c r="M61" s="533"/>
      <c r="N61" s="1579"/>
      <c r="O61" s="1544"/>
      <c r="P61" s="1580"/>
      <c r="Q61" s="1543"/>
      <c r="R61" s="1544"/>
      <c r="S61" s="1545"/>
      <c r="T61" s="224">
        <v>8</v>
      </c>
      <c r="U61" s="1571" t="s">
        <v>237</v>
      </c>
      <c r="V61" s="1571"/>
      <c r="W61" s="1571"/>
      <c r="X61" s="1571"/>
      <c r="Y61" s="1578">
        <f>COUNTIF(CASSA!$D$114:$D$479,T61)</f>
        <v>0</v>
      </c>
      <c r="Z61" s="1578"/>
      <c r="AA61" s="185"/>
      <c r="AB61" s="531">
        <v>15</v>
      </c>
      <c r="AC61" s="532"/>
      <c r="AD61" s="532"/>
      <c r="AE61" s="533"/>
      <c r="AF61" s="1579"/>
      <c r="AG61" s="1544"/>
      <c r="AH61" s="1580"/>
      <c r="AI61" s="1543"/>
      <c r="AJ61" s="1544"/>
      <c r="AK61" s="1545"/>
      <c r="AL61" s="48"/>
      <c r="AM61" s="48"/>
      <c r="AN61" s="48"/>
      <c r="AO61" s="481"/>
      <c r="AP61" s="481"/>
      <c r="AQ61" s="481"/>
      <c r="AR61" s="481"/>
      <c r="AS61" s="481"/>
      <c r="AT61" s="481"/>
      <c r="AU61" s="481"/>
      <c r="AV61" s="481"/>
      <c r="AW61" s="481"/>
      <c r="AX61" s="481"/>
      <c r="AY61" s="481"/>
      <c r="AZ61" s="481"/>
      <c r="BA61" s="481"/>
      <c r="BB61" s="481"/>
      <c r="BC61" s="481"/>
      <c r="BD61" s="481"/>
      <c r="BE61" s="481"/>
      <c r="BF61" s="481"/>
      <c r="BG61" s="481"/>
      <c r="BH61" s="481"/>
      <c r="BI61" s="481"/>
      <c r="BJ61" s="481"/>
      <c r="BK61" s="481"/>
      <c r="BL61" s="481"/>
      <c r="BM61" s="481"/>
    </row>
    <row r="62" spans="1:65" ht="18" customHeight="1" x14ac:dyDescent="0.2">
      <c r="A62" s="186"/>
      <c r="B62" s="224">
        <v>3</v>
      </c>
      <c r="C62" s="1571" t="s">
        <v>230</v>
      </c>
      <c r="D62" s="1571"/>
      <c r="E62" s="1571"/>
      <c r="F62" s="1571"/>
      <c r="G62" s="1578">
        <f>COUNTIF(CASSA!$D$114:$D$479,IMPOSTAZIONI!B62)</f>
        <v>0</v>
      </c>
      <c r="H62" s="1578"/>
      <c r="I62" s="185"/>
      <c r="J62" s="531"/>
      <c r="K62" s="532"/>
      <c r="L62" s="532"/>
      <c r="M62" s="533"/>
      <c r="N62" s="1579"/>
      <c r="O62" s="1544"/>
      <c r="P62" s="1580"/>
      <c r="Q62" s="1543"/>
      <c r="R62" s="1544"/>
      <c r="S62" s="1545"/>
      <c r="T62" s="224">
        <v>9</v>
      </c>
      <c r="U62" s="1571" t="s">
        <v>238</v>
      </c>
      <c r="V62" s="1571"/>
      <c r="W62" s="1571"/>
      <c r="X62" s="1571"/>
      <c r="Y62" s="1578">
        <f>COUNTIF(CASSA!$D$114:$D$479,T62)</f>
        <v>0</v>
      </c>
      <c r="Z62" s="1578"/>
      <c r="AA62" s="185"/>
      <c r="AB62" s="531"/>
      <c r="AC62" s="532"/>
      <c r="AD62" s="532"/>
      <c r="AE62" s="533"/>
      <c r="AF62" s="1579"/>
      <c r="AG62" s="1544"/>
      <c r="AH62" s="1580"/>
      <c r="AI62" s="1543"/>
      <c r="AJ62" s="1544"/>
      <c r="AK62" s="1545"/>
      <c r="AL62" s="48"/>
      <c r="AM62" s="48"/>
      <c r="AN62" s="48"/>
      <c r="AO62" s="481"/>
      <c r="AP62" s="481"/>
      <c r="AQ62" s="481"/>
      <c r="AR62" s="481"/>
      <c r="AS62" s="481"/>
      <c r="AT62" s="481"/>
      <c r="AU62" s="481"/>
      <c r="AV62" s="481"/>
      <c r="AW62" s="481"/>
      <c r="AX62" s="481"/>
      <c r="AY62" s="481"/>
      <c r="AZ62" s="481"/>
      <c r="BA62" s="481"/>
      <c r="BB62" s="481"/>
      <c r="BC62" s="481"/>
      <c r="BD62" s="481"/>
      <c r="BE62" s="481"/>
      <c r="BF62" s="481"/>
      <c r="BG62" s="481"/>
      <c r="BH62" s="481"/>
      <c r="BI62" s="481"/>
      <c r="BJ62" s="481"/>
      <c r="BK62" s="481"/>
      <c r="BL62" s="481"/>
      <c r="BM62" s="481"/>
    </row>
    <row r="63" spans="1:65" ht="18" customHeight="1" x14ac:dyDescent="0.2">
      <c r="A63" s="186"/>
      <c r="B63" s="224">
        <v>4</v>
      </c>
      <c r="C63" s="1571" t="s">
        <v>232</v>
      </c>
      <c r="D63" s="1571"/>
      <c r="E63" s="1571"/>
      <c r="F63" s="1571"/>
      <c r="G63" s="1578">
        <f>COUNTIF(CASSA!$D$114:$D$479,IMPOSTAZIONI!B63)</f>
        <v>0</v>
      </c>
      <c r="H63" s="1578"/>
      <c r="I63" s="185"/>
      <c r="J63" s="531"/>
      <c r="K63" s="532"/>
      <c r="L63" s="532"/>
      <c r="M63" s="533"/>
      <c r="N63" s="1579"/>
      <c r="O63" s="1544"/>
      <c r="P63" s="1580"/>
      <c r="Q63" s="1543"/>
      <c r="R63" s="1544"/>
      <c r="S63" s="1545"/>
      <c r="T63" s="224">
        <v>10</v>
      </c>
      <c r="U63" s="1571" t="s">
        <v>240</v>
      </c>
      <c r="V63" s="1571"/>
      <c r="W63" s="1571"/>
      <c r="X63" s="1571"/>
      <c r="Y63" s="1578">
        <f>COUNTIF(CASSA!$D$114:$D$479,T63)</f>
        <v>0</v>
      </c>
      <c r="Z63" s="1578"/>
      <c r="AA63" s="185"/>
      <c r="AB63" s="531"/>
      <c r="AC63" s="532"/>
      <c r="AD63" s="532"/>
      <c r="AE63" s="533"/>
      <c r="AF63" s="1579"/>
      <c r="AG63" s="1544"/>
      <c r="AH63" s="1580"/>
      <c r="AI63" s="1543"/>
      <c r="AJ63" s="1544"/>
      <c r="AK63" s="1545"/>
      <c r="AL63" s="48"/>
      <c r="AM63" s="48"/>
      <c r="AN63" s="48"/>
      <c r="AO63" s="481"/>
      <c r="AP63" s="481"/>
      <c r="AQ63" s="481"/>
      <c r="AR63" s="481"/>
      <c r="AS63" s="481"/>
      <c r="AT63" s="481"/>
      <c r="AU63" s="481"/>
      <c r="AV63" s="481"/>
      <c r="AW63" s="481"/>
      <c r="AX63" s="481"/>
      <c r="AY63" s="481"/>
      <c r="AZ63" s="481"/>
      <c r="BA63" s="481"/>
      <c r="BB63" s="481"/>
      <c r="BC63" s="481"/>
      <c r="BD63" s="481"/>
      <c r="BE63" s="481"/>
      <c r="BF63" s="481"/>
      <c r="BG63" s="481"/>
      <c r="BH63" s="481"/>
      <c r="BI63" s="481"/>
      <c r="BJ63" s="481"/>
      <c r="BK63" s="481"/>
      <c r="BL63" s="481"/>
      <c r="BM63" s="481"/>
    </row>
    <row r="64" spans="1:65" ht="18" customHeight="1" x14ac:dyDescent="0.2">
      <c r="A64" s="186"/>
      <c r="B64" s="224">
        <v>5</v>
      </c>
      <c r="C64" s="1571" t="s">
        <v>233</v>
      </c>
      <c r="D64" s="1571"/>
      <c r="E64" s="1571"/>
      <c r="F64" s="1571"/>
      <c r="G64" s="1578">
        <f>COUNTIF(CASSA!$D$114:$D$479,IMPOSTAZIONI!B64)</f>
        <v>0</v>
      </c>
      <c r="H64" s="1578"/>
      <c r="I64" s="185"/>
      <c r="J64" s="531"/>
      <c r="K64" s="532"/>
      <c r="L64" s="532"/>
      <c r="M64" s="533"/>
      <c r="N64" s="1579"/>
      <c r="O64" s="1544"/>
      <c r="P64" s="1580"/>
      <c r="Q64" s="1543"/>
      <c r="R64" s="1544"/>
      <c r="S64" s="1545"/>
      <c r="T64" s="224">
        <v>11</v>
      </c>
      <c r="U64" s="1571" t="s">
        <v>241</v>
      </c>
      <c r="V64" s="1571"/>
      <c r="W64" s="1571"/>
      <c r="X64" s="1571"/>
      <c r="Y64" s="1578">
        <f>COUNTIF(CASSA!$D$114:$D$479,T64)</f>
        <v>0</v>
      </c>
      <c r="Z64" s="1578"/>
      <c r="AA64" s="185"/>
      <c r="AB64" s="531"/>
      <c r="AC64" s="532"/>
      <c r="AD64" s="532"/>
      <c r="AE64" s="533"/>
      <c r="AF64" s="1579"/>
      <c r="AG64" s="1544"/>
      <c r="AH64" s="1580"/>
      <c r="AI64" s="1543"/>
      <c r="AJ64" s="1544"/>
      <c r="AK64" s="1545"/>
      <c r="AL64" s="48"/>
      <c r="AM64" s="48"/>
      <c r="AN64" s="48"/>
      <c r="AO64" s="481"/>
      <c r="AP64" s="481"/>
      <c r="AQ64" s="481"/>
      <c r="AR64" s="481"/>
      <c r="AS64" s="481"/>
      <c r="AT64" s="481"/>
      <c r="AU64" s="481"/>
      <c r="AV64" s="481"/>
      <c r="AW64" s="481"/>
      <c r="AX64" s="481"/>
      <c r="AY64" s="481"/>
      <c r="AZ64" s="481"/>
      <c r="BA64" s="481"/>
      <c r="BB64" s="481"/>
      <c r="BC64" s="481"/>
      <c r="BD64" s="481"/>
      <c r="BE64" s="481"/>
      <c r="BF64" s="481"/>
      <c r="BG64" s="481"/>
      <c r="BH64" s="481"/>
      <c r="BI64" s="481"/>
      <c r="BJ64" s="481"/>
      <c r="BK64" s="481"/>
      <c r="BL64" s="481"/>
      <c r="BM64" s="481"/>
    </row>
    <row r="65" spans="1:65" ht="18" customHeight="1" x14ac:dyDescent="0.2">
      <c r="A65" s="186"/>
      <c r="B65" s="224">
        <v>6</v>
      </c>
      <c r="C65" s="1571" t="s">
        <v>234</v>
      </c>
      <c r="D65" s="1571"/>
      <c r="E65" s="1571"/>
      <c r="F65" s="1571"/>
      <c r="G65" s="1578">
        <f>COUNTIF(CASSA!$D$114:$D$479,IMPOSTAZIONI!B65)</f>
        <v>0</v>
      </c>
      <c r="H65" s="1578"/>
      <c r="I65" s="185"/>
      <c r="J65" s="534"/>
      <c r="K65" s="535"/>
      <c r="L65" s="535"/>
      <c r="M65" s="536"/>
      <c r="N65" s="1681"/>
      <c r="O65" s="1569"/>
      <c r="P65" s="1682"/>
      <c r="Q65" s="1568"/>
      <c r="R65" s="1569"/>
      <c r="S65" s="1570"/>
      <c r="T65" s="224">
        <v>12</v>
      </c>
      <c r="U65" s="1571" t="s">
        <v>242</v>
      </c>
      <c r="V65" s="1571"/>
      <c r="W65" s="1571"/>
      <c r="X65" s="1571"/>
      <c r="Y65" s="1578">
        <f>COUNTIF(CASSA!$D$114:$D$479,T65)</f>
        <v>0</v>
      </c>
      <c r="Z65" s="1578"/>
      <c r="AA65" s="185"/>
      <c r="AB65" s="534"/>
      <c r="AC65" s="535"/>
      <c r="AD65" s="535"/>
      <c r="AE65" s="536"/>
      <c r="AF65" s="1681"/>
      <c r="AG65" s="1569"/>
      <c r="AH65" s="1682"/>
      <c r="AI65" s="1568"/>
      <c r="AJ65" s="1569"/>
      <c r="AK65" s="1570"/>
      <c r="AL65" s="48"/>
      <c r="AM65" s="48"/>
      <c r="AN65" s="48"/>
      <c r="AO65" s="481"/>
      <c r="AP65" s="481"/>
      <c r="AQ65" s="481"/>
      <c r="AR65" s="481"/>
      <c r="AS65" s="481"/>
      <c r="AT65" s="481"/>
      <c r="AU65" s="481"/>
      <c r="AV65" s="481"/>
      <c r="AW65" s="481"/>
      <c r="AX65" s="481"/>
      <c r="AY65" s="481"/>
      <c r="AZ65" s="481"/>
      <c r="BA65" s="481"/>
      <c r="BB65" s="481"/>
      <c r="BC65" s="481"/>
      <c r="BD65" s="481"/>
      <c r="BE65" s="481"/>
      <c r="BF65" s="481"/>
      <c r="BG65" s="481"/>
      <c r="BH65" s="481"/>
      <c r="BI65" s="481"/>
      <c r="BJ65" s="481"/>
      <c r="BK65" s="481"/>
      <c r="BL65" s="481"/>
      <c r="BM65" s="481"/>
    </row>
    <row r="66" spans="1:65" ht="18" customHeight="1" x14ac:dyDescent="0.2">
      <c r="A66" s="186"/>
      <c r="B66" s="185"/>
      <c r="C66" s="185"/>
      <c r="D66" s="185"/>
      <c r="E66" s="185"/>
      <c r="F66" s="185"/>
      <c r="G66" s="185"/>
      <c r="H66" s="185"/>
      <c r="I66" s="185"/>
      <c r="J66" s="1839" t="s">
        <v>726</v>
      </c>
      <c r="K66" s="1839"/>
      <c r="L66" s="1839"/>
      <c r="M66" s="1839"/>
      <c r="N66" s="1839"/>
      <c r="O66" s="1839"/>
      <c r="P66" s="1839"/>
      <c r="Q66" s="1839"/>
      <c r="R66" s="1839"/>
      <c r="S66" s="1839"/>
      <c r="T66" s="185"/>
      <c r="U66" s="185"/>
      <c r="V66" s="185"/>
      <c r="W66" s="185"/>
      <c r="X66" s="185"/>
      <c r="Y66" s="185"/>
      <c r="Z66" s="185"/>
      <c r="AA66" s="185"/>
      <c r="AB66" s="1839" t="s">
        <v>726</v>
      </c>
      <c r="AC66" s="1839"/>
      <c r="AD66" s="1839"/>
      <c r="AE66" s="1839"/>
      <c r="AF66" s="1839"/>
      <c r="AG66" s="1839"/>
      <c r="AH66" s="1839"/>
      <c r="AI66" s="1839"/>
      <c r="AJ66" s="1839"/>
      <c r="AK66" s="1839"/>
      <c r="AL66" s="186"/>
      <c r="AM66" s="186"/>
      <c r="AN66" s="48"/>
      <c r="AO66" s="481"/>
      <c r="AP66" s="481"/>
      <c r="AQ66" s="481"/>
      <c r="AR66" s="481"/>
      <c r="AS66" s="481"/>
      <c r="AT66" s="481"/>
      <c r="AU66" s="481"/>
      <c r="AV66" s="481"/>
      <c r="AW66" s="481"/>
      <c r="AX66" s="481"/>
      <c r="AY66" s="481"/>
      <c r="AZ66" s="481"/>
      <c r="BA66" s="481"/>
      <c r="BB66" s="481"/>
      <c r="BC66" s="481"/>
      <c r="BD66" s="481"/>
      <c r="BE66" s="481"/>
      <c r="BF66" s="481"/>
      <c r="BG66" s="481"/>
      <c r="BH66" s="481"/>
      <c r="BI66" s="481"/>
      <c r="BJ66" s="481"/>
      <c r="BK66" s="481"/>
      <c r="BL66" s="481"/>
      <c r="BM66" s="481"/>
    </row>
    <row r="67" spans="1:65" ht="18" customHeight="1" x14ac:dyDescent="0.2">
      <c r="A67" s="186"/>
      <c r="B67" s="185"/>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6"/>
      <c r="AD67" s="186"/>
      <c r="AE67" s="186"/>
      <c r="AF67" s="186"/>
      <c r="AG67" s="186"/>
      <c r="AH67" s="186"/>
      <c r="AI67" s="186"/>
      <c r="AJ67" s="186"/>
      <c r="AK67" s="186"/>
      <c r="AL67" s="186"/>
      <c r="AM67" s="186"/>
      <c r="AN67" s="48"/>
      <c r="AO67" s="481"/>
      <c r="AP67" s="481"/>
      <c r="AQ67" s="481"/>
      <c r="AR67" s="481"/>
      <c r="AS67" s="481"/>
      <c r="AT67" s="481"/>
      <c r="AU67" s="481"/>
      <c r="AV67" s="481"/>
      <c r="AW67" s="481"/>
      <c r="AX67" s="481"/>
      <c r="AY67" s="481"/>
      <c r="AZ67" s="481"/>
      <c r="BA67" s="481"/>
      <c r="BB67" s="481"/>
      <c r="BC67" s="481"/>
      <c r="BD67" s="481"/>
      <c r="BE67" s="481"/>
      <c r="BF67" s="481"/>
      <c r="BG67" s="481"/>
      <c r="BH67" s="481"/>
      <c r="BI67" s="481"/>
      <c r="BJ67" s="481"/>
      <c r="BK67" s="481"/>
      <c r="BL67" s="481"/>
      <c r="BM67" s="481"/>
    </row>
    <row r="68" spans="1:65" x14ac:dyDescent="0.2">
      <c r="A68" s="186"/>
      <c r="B68" s="641" t="s">
        <v>723</v>
      </c>
      <c r="C68" s="641"/>
      <c r="D68" s="641"/>
      <c r="E68" s="641"/>
      <c r="F68" s="641"/>
      <c r="G68" s="641"/>
      <c r="H68" s="641"/>
      <c r="I68" s="641"/>
      <c r="J68" s="641"/>
      <c r="K68" s="641"/>
      <c r="L68" s="641"/>
      <c r="M68" s="641"/>
      <c r="N68" s="641"/>
      <c r="O68" s="641"/>
      <c r="P68" s="641"/>
      <c r="Q68" s="641"/>
      <c r="R68" s="641"/>
      <c r="S68" s="641"/>
      <c r="T68" s="641"/>
      <c r="U68" s="641"/>
      <c r="V68" s="641"/>
      <c r="W68" s="641"/>
      <c r="X68" s="641"/>
      <c r="Y68" s="641"/>
      <c r="Z68" s="641"/>
      <c r="AA68" s="641"/>
      <c r="AB68" s="641"/>
      <c r="AC68" s="641"/>
      <c r="AD68" s="641"/>
      <c r="AE68" s="641"/>
      <c r="AF68" s="641"/>
      <c r="AG68" s="641"/>
      <c r="AH68" s="641"/>
      <c r="AI68" s="641"/>
      <c r="AJ68" s="641"/>
      <c r="AK68" s="641"/>
      <c r="AL68" s="196"/>
      <c r="AM68" s="193"/>
      <c r="AN68" s="48"/>
      <c r="AO68" s="481"/>
      <c r="AP68" s="481"/>
      <c r="AQ68" s="481"/>
      <c r="AR68" s="481"/>
      <c r="AS68" s="481"/>
      <c r="AT68" s="481"/>
      <c r="AU68" s="481"/>
      <c r="AV68" s="481"/>
      <c r="AW68" s="481"/>
      <c r="AX68" s="481"/>
      <c r="AY68" s="481"/>
      <c r="AZ68" s="481"/>
      <c r="BA68" s="481"/>
      <c r="BB68" s="481"/>
      <c r="BC68" s="481"/>
      <c r="BD68" s="481"/>
      <c r="BE68" s="481"/>
      <c r="BF68" s="481"/>
      <c r="BG68" s="481"/>
      <c r="BH68" s="481"/>
      <c r="BI68" s="481"/>
      <c r="BJ68" s="481"/>
      <c r="BK68" s="481"/>
      <c r="BL68" s="481"/>
      <c r="BM68" s="481"/>
    </row>
    <row r="69" spans="1:65" ht="16.5" customHeight="1" x14ac:dyDescent="0.2">
      <c r="A69" s="186"/>
      <c r="B69" s="1581" t="s">
        <v>461</v>
      </c>
      <c r="C69" s="1581"/>
      <c r="D69" s="1581"/>
      <c r="E69" s="1581"/>
      <c r="F69" s="1581"/>
      <c r="G69" s="1581"/>
      <c r="H69" s="1581"/>
      <c r="I69" s="1581"/>
      <c r="J69" s="1581"/>
      <c r="K69" s="1581"/>
      <c r="L69" s="1581"/>
      <c r="M69" s="1581"/>
      <c r="N69" s="1581"/>
      <c r="O69" s="1581"/>
      <c r="P69" s="1581"/>
      <c r="Q69" s="1581"/>
      <c r="R69" s="1581"/>
      <c r="S69" s="1581"/>
      <c r="T69" s="1581"/>
      <c r="U69" s="1581"/>
      <c r="V69" s="1581"/>
      <c r="W69" s="1581"/>
      <c r="X69" s="1581"/>
      <c r="Y69" s="1581"/>
      <c r="Z69" s="1584" t="str">
        <f ca="1">IF(AND(Presentazione!F156=TRUE,Presentazione!K83=Presentazione!J165),"Titolare del Sistema",Presentazione!H13)</f>
        <v/>
      </c>
      <c r="AA69" s="1584"/>
      <c r="AB69" s="1584"/>
      <c r="AC69" s="1584"/>
      <c r="AD69" s="1584"/>
      <c r="AE69" s="1584"/>
      <c r="AF69" s="1584"/>
      <c r="AG69" s="1584"/>
      <c r="AH69" s="1584"/>
      <c r="AI69" s="1584"/>
      <c r="AJ69" s="1584"/>
      <c r="AK69" s="1584"/>
      <c r="AL69" s="1584"/>
      <c r="AM69" s="194"/>
      <c r="AN69" s="48"/>
      <c r="AO69" s="481"/>
      <c r="AP69" s="481"/>
      <c r="AQ69" s="481"/>
      <c r="AR69" s="481"/>
      <c r="AS69" s="481"/>
      <c r="AT69" s="481"/>
      <c r="AU69" s="481"/>
      <c r="AV69" s="481"/>
      <c r="AW69" s="481"/>
      <c r="AX69" s="481"/>
      <c r="AY69" s="481"/>
      <c r="AZ69" s="481"/>
      <c r="BA69" s="481"/>
      <c r="BB69" s="481"/>
      <c r="BC69" s="481"/>
      <c r="BD69" s="481"/>
      <c r="BE69" s="481"/>
      <c r="BF69" s="481"/>
      <c r="BG69" s="481"/>
      <c r="BH69" s="481"/>
      <c r="BI69" s="481"/>
      <c r="BJ69" s="481"/>
      <c r="BK69" s="481"/>
      <c r="BL69" s="481"/>
      <c r="BM69" s="481"/>
    </row>
    <row r="70" spans="1:65" ht="16.5" customHeight="1" x14ac:dyDescent="0.25">
      <c r="A70" s="186"/>
      <c r="B70" s="585" t="s">
        <v>673</v>
      </c>
      <c r="C70" s="585"/>
      <c r="D70" s="585"/>
      <c r="E70" s="585"/>
      <c r="F70" s="585"/>
      <c r="G70" s="585"/>
      <c r="H70" s="585"/>
      <c r="I70" s="585"/>
      <c r="J70" s="585"/>
      <c r="K70" s="585"/>
      <c r="L70" s="585"/>
      <c r="M70" s="585"/>
      <c r="N70" s="585"/>
      <c r="O70" s="585"/>
      <c r="P70" s="585"/>
      <c r="Q70" s="585"/>
      <c r="R70" s="585"/>
      <c r="S70" s="585"/>
      <c r="T70" s="585"/>
      <c r="U70" s="585"/>
      <c r="V70" s="585"/>
      <c r="W70" s="585"/>
      <c r="X70" s="585"/>
      <c r="Y70" s="585"/>
      <c r="Z70" s="585"/>
      <c r="AA70" s="585"/>
      <c r="AB70" s="585"/>
      <c r="AC70" s="585"/>
      <c r="AD70" s="585"/>
      <c r="AE70" s="585"/>
      <c r="AF70" s="585"/>
      <c r="AG70" s="585"/>
      <c r="AH70" s="585"/>
      <c r="AI70" s="585"/>
      <c r="AJ70" s="585"/>
      <c r="AK70" s="912" t="s">
        <v>674</v>
      </c>
      <c r="AL70" s="1419" t="s">
        <v>572</v>
      </c>
      <c r="AM70" s="195"/>
      <c r="AN70" s="48"/>
      <c r="AO70" s="481"/>
      <c r="AP70" s="481"/>
      <c r="AQ70" s="481"/>
      <c r="AR70" s="481"/>
      <c r="AS70" s="481"/>
      <c r="AT70" s="481"/>
      <c r="AU70" s="481"/>
      <c r="AV70" s="481"/>
      <c r="AW70" s="481"/>
      <c r="AX70" s="481"/>
      <c r="AY70" s="481"/>
      <c r="AZ70" s="481"/>
      <c r="BA70" s="481"/>
      <c r="BB70" s="481"/>
      <c r="BC70" s="481"/>
      <c r="BD70" s="481"/>
      <c r="BE70" s="481"/>
      <c r="BF70" s="481"/>
      <c r="BG70" s="481"/>
      <c r="BH70" s="481"/>
      <c r="BI70" s="481"/>
      <c r="BJ70" s="481"/>
      <c r="BK70" s="481"/>
      <c r="BL70" s="481"/>
      <c r="BM70" s="481"/>
    </row>
    <row r="71" spans="1:65" ht="18" customHeight="1" x14ac:dyDescent="0.2">
      <c r="A71" s="186"/>
      <c r="B71" s="185"/>
      <c r="C71" s="185"/>
      <c r="D71" s="185"/>
      <c r="E71" s="185"/>
      <c r="F71" s="185"/>
      <c r="G71" s="185"/>
      <c r="H71" s="185"/>
      <c r="I71" s="185"/>
      <c r="J71" s="185"/>
      <c r="K71" s="185"/>
      <c r="L71" s="185"/>
      <c r="M71" s="185"/>
      <c r="N71" s="185"/>
      <c r="O71" s="185"/>
      <c r="P71" s="185"/>
      <c r="Q71" s="185"/>
      <c r="R71" s="185"/>
      <c r="S71" s="185"/>
      <c r="T71" s="185"/>
      <c r="U71" s="185"/>
      <c r="V71" s="185"/>
      <c r="W71" s="185"/>
      <c r="X71" s="185"/>
      <c r="Y71" s="185"/>
      <c r="Z71" s="185"/>
      <c r="AA71" s="185"/>
      <c r="AB71" s="185"/>
      <c r="AC71" s="186"/>
      <c r="AD71" s="186"/>
      <c r="AE71" s="186"/>
      <c r="AF71" s="186"/>
      <c r="AG71" s="186"/>
      <c r="AH71" s="186"/>
      <c r="AI71" s="186"/>
      <c r="AJ71" s="186"/>
      <c r="AK71" s="186"/>
      <c r="AL71" s="186"/>
      <c r="AM71" s="186"/>
      <c r="AN71" s="48"/>
      <c r="AO71" s="481"/>
      <c r="AP71" s="481"/>
      <c r="AQ71" s="481"/>
      <c r="AR71" s="481"/>
      <c r="AS71" s="481"/>
      <c r="AT71" s="481"/>
      <c r="AU71" s="481"/>
      <c r="AV71" s="481"/>
      <c r="AW71" s="481"/>
      <c r="AX71" s="481"/>
      <c r="AY71" s="481"/>
      <c r="AZ71" s="481"/>
      <c r="BA71" s="481"/>
      <c r="BB71" s="481"/>
      <c r="BC71" s="481"/>
      <c r="BD71" s="481"/>
      <c r="BE71" s="481"/>
      <c r="BF71" s="481"/>
      <c r="BG71" s="481"/>
      <c r="BH71" s="481"/>
      <c r="BI71" s="481"/>
      <c r="BJ71" s="481"/>
      <c r="BK71" s="481"/>
      <c r="BL71" s="481"/>
      <c r="BM71" s="481"/>
    </row>
    <row r="72" spans="1:65" x14ac:dyDescent="0.2">
      <c r="A72" s="186"/>
      <c r="B72" s="186"/>
      <c r="C72" s="1582" t="s">
        <v>178</v>
      </c>
      <c r="D72" s="1582"/>
      <c r="E72" s="1582"/>
      <c r="F72" s="1582"/>
      <c r="G72" s="1582"/>
      <c r="H72" s="1582"/>
      <c r="I72" s="1582"/>
      <c r="J72" s="1582"/>
      <c r="K72" s="1582"/>
      <c r="L72" s="1582"/>
      <c r="M72" s="1582"/>
      <c r="N72" s="1582"/>
      <c r="O72" s="1762" t="s">
        <v>179</v>
      </c>
      <c r="P72" s="1762"/>
      <c r="Q72" s="1762"/>
      <c r="R72" s="1762"/>
      <c r="S72" s="48"/>
      <c r="T72" s="1583" t="s">
        <v>345</v>
      </c>
      <c r="U72" s="1583"/>
      <c r="V72" s="1583"/>
      <c r="W72" s="1583"/>
      <c r="X72" s="1583"/>
      <c r="Y72" s="48"/>
      <c r="Z72" s="48"/>
      <c r="AA72" s="48"/>
      <c r="AB72" s="48"/>
      <c r="AC72" s="48"/>
      <c r="AD72" s="48"/>
      <c r="AE72" s="48"/>
      <c r="AF72" s="48"/>
      <c r="AG72" s="48"/>
      <c r="AH72" s="48"/>
      <c r="AI72" s="48"/>
      <c r="AJ72" s="48"/>
      <c r="AK72" s="48"/>
      <c r="AL72" s="48"/>
      <c r="AM72" s="48"/>
      <c r="AN72" s="48"/>
      <c r="AO72" s="481"/>
      <c r="AP72" s="481"/>
      <c r="AQ72" s="481"/>
      <c r="AR72" s="481"/>
      <c r="AS72" s="481"/>
      <c r="AT72" s="481"/>
      <c r="AU72" s="481"/>
      <c r="AV72" s="481"/>
      <c r="AW72" s="481"/>
      <c r="AX72" s="481"/>
      <c r="AY72" s="481"/>
      <c r="AZ72" s="481"/>
      <c r="BA72" s="481"/>
      <c r="BB72" s="481"/>
      <c r="BC72" s="481"/>
      <c r="BD72" s="481"/>
      <c r="BE72" s="481"/>
      <c r="BF72" s="481"/>
      <c r="BG72" s="481"/>
      <c r="BH72" s="481"/>
      <c r="BI72" s="481"/>
      <c r="BJ72" s="481"/>
      <c r="BK72" s="481"/>
      <c r="BL72" s="481"/>
      <c r="BM72" s="481"/>
    </row>
    <row r="73" spans="1:65" ht="21" customHeight="1" x14ac:dyDescent="0.2">
      <c r="A73" s="186"/>
      <c r="B73" s="186"/>
      <c r="C73" s="1573" t="s">
        <v>136</v>
      </c>
      <c r="D73" s="1574"/>
      <c r="E73" s="1574"/>
      <c r="F73" s="1574"/>
      <c r="G73" s="1574"/>
      <c r="H73" s="1574"/>
      <c r="I73" s="1574"/>
      <c r="J73" s="1574"/>
      <c r="K73" s="1574"/>
      <c r="L73" s="1574"/>
      <c r="M73" s="1574"/>
      <c r="N73" s="1575"/>
      <c r="O73" s="1567" t="s">
        <v>738</v>
      </c>
      <c r="P73" s="1548"/>
      <c r="Q73" s="1548"/>
      <c r="R73" s="1549"/>
      <c r="S73" s="48"/>
      <c r="T73" s="1547"/>
      <c r="U73" s="1548"/>
      <c r="V73" s="1548"/>
      <c r="W73" s="1548"/>
      <c r="X73" s="1548"/>
      <c r="Y73" s="1549"/>
      <c r="Z73" s="48"/>
      <c r="AA73" s="48"/>
      <c r="AB73" s="48"/>
      <c r="AC73" s="48"/>
      <c r="AD73" s="48"/>
      <c r="AE73" s="48"/>
      <c r="AF73" s="48"/>
      <c r="AG73" s="48"/>
      <c r="AH73" s="48"/>
      <c r="AI73" s="48"/>
      <c r="AJ73" s="48"/>
      <c r="AK73" s="48"/>
      <c r="AL73" s="48"/>
      <c r="AM73" s="48"/>
      <c r="AN73" s="48"/>
      <c r="AO73" s="481"/>
      <c r="AP73" s="481"/>
      <c r="AQ73" s="481"/>
      <c r="AR73" s="481"/>
      <c r="AS73" s="481"/>
      <c r="AT73" s="481"/>
      <c r="AU73" s="481"/>
      <c r="AV73" s="481"/>
      <c r="AW73" s="481"/>
      <c r="AX73" s="481"/>
      <c r="AY73" s="481"/>
      <c r="AZ73" s="481"/>
      <c r="BA73" s="481"/>
      <c r="BB73" s="481"/>
      <c r="BC73" s="481"/>
      <c r="BD73" s="481"/>
      <c r="BE73" s="481"/>
      <c r="BF73" s="481"/>
      <c r="BG73" s="481"/>
      <c r="BH73" s="481"/>
      <c r="BI73" s="481"/>
      <c r="BJ73" s="481"/>
      <c r="BK73" s="481"/>
      <c r="BL73" s="481"/>
      <c r="BM73" s="481"/>
    </row>
    <row r="74" spans="1:65" ht="15" customHeight="1" x14ac:dyDescent="0.2">
      <c r="A74" s="186"/>
      <c r="B74" s="1"/>
      <c r="C74" s="1576" t="s">
        <v>180</v>
      </c>
      <c r="D74" s="1576"/>
      <c r="E74" s="1576"/>
      <c r="F74" s="1576"/>
      <c r="G74" s="1576"/>
      <c r="H74" s="1576"/>
      <c r="I74" s="1576"/>
      <c r="J74" s="1576"/>
      <c r="K74" s="1576"/>
      <c r="L74" s="1576"/>
      <c r="M74" s="1576" t="s">
        <v>181</v>
      </c>
      <c r="N74" s="1576"/>
      <c r="O74" s="1583" t="s">
        <v>182</v>
      </c>
      <c r="P74" s="1583"/>
      <c r="Q74" s="1583"/>
      <c r="R74" s="1583"/>
      <c r="S74" s="1583"/>
      <c r="T74" s="1583"/>
      <c r="U74" s="1583"/>
      <c r="V74" s="1577" t="s">
        <v>183</v>
      </c>
      <c r="W74" s="1577"/>
      <c r="X74" s="1"/>
      <c r="Y74" s="1546" t="s">
        <v>460</v>
      </c>
      <c r="Z74" s="1546"/>
      <c r="AA74" s="1546"/>
      <c r="AB74" s="1546"/>
      <c r="AC74" s="1546"/>
      <c r="AD74" s="1546"/>
      <c r="AE74" s="1546"/>
      <c r="AF74" s="1546"/>
      <c r="AG74" s="1546"/>
      <c r="AH74" s="1546"/>
      <c r="AI74" s="1546"/>
      <c r="AJ74" s="1546"/>
      <c r="AK74" s="1546"/>
      <c r="AL74" s="1546"/>
      <c r="AM74" s="1"/>
      <c r="AN74" s="1"/>
      <c r="AO74" s="1296"/>
      <c r="AP74" s="1296"/>
      <c r="AQ74" s="481"/>
      <c r="AR74" s="481"/>
      <c r="AS74" s="481"/>
      <c r="AT74" s="481"/>
      <c r="AU74" s="481"/>
      <c r="AV74" s="481"/>
      <c r="AW74" s="481"/>
      <c r="AX74" s="481"/>
      <c r="AY74" s="481"/>
      <c r="AZ74" s="481"/>
      <c r="BA74" s="481"/>
      <c r="BB74" s="481"/>
      <c r="BC74" s="481"/>
      <c r="BD74" s="481"/>
      <c r="BE74" s="481"/>
      <c r="BF74" s="481"/>
      <c r="BG74" s="481"/>
      <c r="BH74" s="481"/>
      <c r="BI74" s="481"/>
      <c r="BJ74" s="481"/>
      <c r="BK74" s="481"/>
      <c r="BL74" s="481"/>
      <c r="BM74" s="481"/>
    </row>
    <row r="75" spans="1:65" ht="21" customHeight="1" x14ac:dyDescent="0.2">
      <c r="A75" s="186"/>
      <c r="B75" s="186"/>
      <c r="C75" s="1573" t="s">
        <v>137</v>
      </c>
      <c r="D75" s="1574"/>
      <c r="E75" s="1574"/>
      <c r="F75" s="1574"/>
      <c r="G75" s="1574"/>
      <c r="H75" s="1574"/>
      <c r="I75" s="1574"/>
      <c r="J75" s="1574"/>
      <c r="K75" s="1574"/>
      <c r="L75" s="1575"/>
      <c r="M75" s="1567"/>
      <c r="N75" s="1732"/>
      <c r="O75" s="1759"/>
      <c r="P75" s="1760"/>
      <c r="Q75" s="1760"/>
      <c r="R75" s="1760"/>
      <c r="S75" s="1760"/>
      <c r="T75" s="1760"/>
      <c r="U75" s="1761"/>
      <c r="V75" s="1752"/>
      <c r="W75" s="1753"/>
      <c r="X75" s="186"/>
      <c r="Y75" s="1758" t="s">
        <v>135</v>
      </c>
      <c r="Z75" s="1758"/>
      <c r="AA75" s="1758"/>
      <c r="AB75" s="1758"/>
      <c r="AC75" s="1758"/>
      <c r="AD75" s="1758"/>
      <c r="AE75" s="1758"/>
      <c r="AF75" s="1758"/>
      <c r="AG75" s="1758"/>
      <c r="AH75" s="1758"/>
      <c r="AI75" s="1758"/>
      <c r="AJ75" s="1758"/>
      <c r="AK75" s="1758"/>
      <c r="AL75" s="1758"/>
      <c r="AM75" s="186"/>
      <c r="AN75" s="186"/>
      <c r="AO75" s="482"/>
      <c r="AP75" s="482"/>
      <c r="AQ75" s="481"/>
      <c r="AR75" s="481"/>
      <c r="AS75" s="481"/>
      <c r="AT75" s="481"/>
      <c r="AU75" s="481"/>
      <c r="AV75" s="481"/>
      <c r="AW75" s="481"/>
      <c r="AX75" s="481"/>
      <c r="AY75" s="481"/>
      <c r="AZ75" s="481"/>
      <c r="BA75" s="481"/>
      <c r="BB75" s="481"/>
      <c r="BC75" s="481"/>
      <c r="BD75" s="481"/>
      <c r="BE75" s="481"/>
      <c r="BF75" s="481"/>
      <c r="BG75" s="481"/>
      <c r="BH75" s="481"/>
      <c r="BI75" s="481"/>
      <c r="BJ75" s="481"/>
      <c r="BK75" s="481"/>
      <c r="BL75" s="481"/>
      <c r="BM75" s="481"/>
    </row>
    <row r="76" spans="1:65" ht="18" customHeight="1" x14ac:dyDescent="0.2">
      <c r="A76" s="186"/>
      <c r="B76" s="185"/>
      <c r="C76" s="185"/>
      <c r="D76" s="185"/>
      <c r="E76" s="185"/>
      <c r="F76" s="185"/>
      <c r="G76" s="185"/>
      <c r="H76" s="185"/>
      <c r="I76" s="185"/>
      <c r="J76" s="185"/>
      <c r="K76" s="185"/>
      <c r="L76" s="185"/>
      <c r="M76" s="185"/>
      <c r="N76" s="185"/>
      <c r="O76" s="185"/>
      <c r="P76" s="185"/>
      <c r="Q76" s="185"/>
      <c r="R76" s="185"/>
      <c r="S76" s="185"/>
      <c r="T76" s="185"/>
      <c r="U76" s="185"/>
      <c r="V76" s="185"/>
      <c r="W76" s="185"/>
      <c r="X76" s="185"/>
      <c r="Y76" s="185"/>
      <c r="Z76" s="185"/>
      <c r="AA76" s="185"/>
      <c r="AB76" s="185"/>
      <c r="AC76" s="186"/>
      <c r="AD76" s="186"/>
      <c r="AE76" s="186"/>
      <c r="AF76" s="186"/>
      <c r="AG76" s="186"/>
      <c r="AH76" s="186"/>
      <c r="AI76" s="186"/>
      <c r="AJ76" s="186"/>
      <c r="AK76" s="186"/>
      <c r="AL76" s="186"/>
      <c r="AM76" s="186"/>
      <c r="AN76" s="48"/>
      <c r="AO76" s="481"/>
      <c r="AP76" s="481"/>
      <c r="AQ76" s="481"/>
      <c r="AR76" s="481"/>
      <c r="AS76" s="481"/>
      <c r="AT76" s="481"/>
      <c r="AU76" s="481"/>
      <c r="AV76" s="481"/>
      <c r="AW76" s="481"/>
      <c r="AX76" s="481"/>
      <c r="AY76" s="481"/>
      <c r="AZ76" s="481"/>
      <c r="BA76" s="481"/>
      <c r="BB76" s="481"/>
      <c r="BC76" s="481"/>
      <c r="BD76" s="481"/>
      <c r="BE76" s="481"/>
      <c r="BF76" s="481"/>
      <c r="BG76" s="481"/>
      <c r="BH76" s="481"/>
      <c r="BI76" s="481"/>
      <c r="BJ76" s="481"/>
      <c r="BK76" s="481"/>
      <c r="BL76" s="481"/>
      <c r="BM76" s="481"/>
    </row>
    <row r="77" spans="1:65" ht="18" customHeight="1" x14ac:dyDescent="0.2">
      <c r="A77" s="186"/>
      <c r="B77" s="185"/>
      <c r="C77" s="185"/>
      <c r="D77" s="185"/>
      <c r="E77" s="185"/>
      <c r="F77" s="185"/>
      <c r="G77" s="185"/>
      <c r="H77" s="185"/>
      <c r="I77" s="185"/>
      <c r="J77" s="185"/>
      <c r="K77" s="185"/>
      <c r="L77" s="185"/>
      <c r="M77" s="185"/>
      <c r="N77" s="185"/>
      <c r="O77" s="185"/>
      <c r="P77" s="185"/>
      <c r="Q77" s="185"/>
      <c r="R77" s="185"/>
      <c r="S77" s="185"/>
      <c r="T77" s="185"/>
      <c r="U77" s="185"/>
      <c r="V77" s="185"/>
      <c r="W77" s="185"/>
      <c r="X77" s="185"/>
      <c r="Y77" s="185"/>
      <c r="Z77" s="185"/>
      <c r="AA77" s="185"/>
      <c r="AB77" s="185"/>
      <c r="AC77" s="186"/>
      <c r="AD77" s="186"/>
      <c r="AE77" s="186"/>
      <c r="AF77" s="186"/>
      <c r="AG77" s="186"/>
      <c r="AH77" s="186"/>
      <c r="AI77" s="186"/>
      <c r="AJ77" s="186"/>
      <c r="AK77" s="186"/>
      <c r="AL77" s="186"/>
      <c r="AM77" s="186"/>
      <c r="AN77" s="48"/>
      <c r="AO77" s="481"/>
      <c r="AP77" s="481"/>
      <c r="AQ77" s="481"/>
      <c r="AR77" s="481"/>
      <c r="AS77" s="481"/>
      <c r="AT77" s="481"/>
      <c r="AU77" s="481"/>
      <c r="AV77" s="481"/>
      <c r="AW77" s="481"/>
      <c r="AX77" s="481"/>
      <c r="AY77" s="481"/>
      <c r="AZ77" s="481"/>
      <c r="BA77" s="481"/>
      <c r="BB77" s="481"/>
      <c r="BC77" s="481"/>
      <c r="BD77" s="481"/>
      <c r="BE77" s="481"/>
      <c r="BF77" s="481"/>
      <c r="BG77" s="481"/>
      <c r="BH77" s="481"/>
      <c r="BI77" s="481"/>
      <c r="BJ77" s="481"/>
      <c r="BK77" s="481"/>
      <c r="BL77" s="481"/>
      <c r="BM77" s="481"/>
    </row>
    <row r="78" spans="1:65" ht="18" customHeight="1" x14ac:dyDescent="0.25">
      <c r="A78" s="186"/>
      <c r="B78" s="185"/>
      <c r="C78" s="185"/>
      <c r="D78" s="185"/>
      <c r="E78" s="185"/>
      <c r="F78" s="185"/>
      <c r="G78" s="1751" t="s">
        <v>656</v>
      </c>
      <c r="H78" s="1751"/>
      <c r="I78" s="1751"/>
      <c r="J78" s="1751"/>
      <c r="K78" s="1751"/>
      <c r="L78" s="1751"/>
      <c r="M78" s="1751"/>
      <c r="N78" s="1751"/>
      <c r="O78" s="1751"/>
      <c r="P78" s="1751"/>
      <c r="Q78" s="1751"/>
      <c r="R78" s="1751"/>
      <c r="S78" s="1751"/>
      <c r="T78" s="1751"/>
      <c r="U78" s="1751"/>
      <c r="V78" s="1751"/>
      <c r="W78" s="1751"/>
      <c r="X78" s="1751"/>
      <c r="Y78" s="1751"/>
      <c r="Z78" s="1751"/>
      <c r="AA78" s="1751"/>
      <c r="AB78" s="1751"/>
      <c r="AC78" s="1751"/>
      <c r="AD78" s="1751"/>
      <c r="AE78" s="186"/>
      <c r="AF78" s="186"/>
      <c r="AG78" s="186"/>
      <c r="AH78" s="186"/>
      <c r="AI78" s="186"/>
      <c r="AJ78" s="186"/>
      <c r="AK78" s="186"/>
      <c r="AL78" s="186"/>
      <c r="AM78" s="186"/>
      <c r="AN78" s="48"/>
      <c r="AO78" s="481"/>
      <c r="AP78" s="481"/>
      <c r="AQ78" s="481"/>
      <c r="AR78" s="481"/>
      <c r="AS78" s="481"/>
      <c r="AT78" s="481"/>
      <c r="AU78" s="481"/>
      <c r="AV78" s="481"/>
      <c r="AW78" s="481"/>
      <c r="AX78" s="481"/>
      <c r="AY78" s="481"/>
      <c r="AZ78" s="481"/>
      <c r="BA78" s="481"/>
      <c r="BB78" s="481"/>
      <c r="BC78" s="481"/>
      <c r="BD78" s="481"/>
      <c r="BE78" s="481"/>
      <c r="BF78" s="481"/>
      <c r="BG78" s="481"/>
      <c r="BH78" s="481"/>
      <c r="BI78" s="481"/>
      <c r="BJ78" s="481"/>
      <c r="BK78" s="481"/>
      <c r="BL78" s="481"/>
      <c r="BM78" s="481"/>
    </row>
    <row r="79" spans="1:65" ht="18" customHeight="1" x14ac:dyDescent="0.2">
      <c r="A79" s="186"/>
      <c r="B79" s="185"/>
      <c r="C79" s="185"/>
      <c r="D79" s="185"/>
      <c r="E79" s="185"/>
      <c r="F79" s="185"/>
      <c r="G79" s="1572" t="s">
        <v>576</v>
      </c>
      <c r="H79" s="1572"/>
      <c r="I79" s="1572"/>
      <c r="J79" s="1572"/>
      <c r="K79" s="1572"/>
      <c r="L79" s="1572"/>
      <c r="M79" s="1572"/>
      <c r="N79" s="1572"/>
      <c r="O79" s="1572"/>
      <c r="P79" s="1572"/>
      <c r="Q79" s="1572"/>
      <c r="R79" s="1572"/>
      <c r="S79" s="1572"/>
      <c r="T79" s="1572"/>
      <c r="U79" s="1572"/>
      <c r="V79" s="1572"/>
      <c r="W79" s="1572"/>
      <c r="X79" s="1572"/>
      <c r="Y79" s="1572"/>
      <c r="Z79" s="1572"/>
      <c r="AA79" s="1572"/>
      <c r="AB79" s="1572"/>
      <c r="AC79" s="1572"/>
      <c r="AD79" s="1572"/>
      <c r="AE79" s="186"/>
      <c r="AF79" s="186"/>
      <c r="AG79" s="186"/>
      <c r="AH79" s="186"/>
      <c r="AI79" s="186"/>
      <c r="AJ79" s="186"/>
      <c r="AK79" s="186"/>
      <c r="AL79" s="186"/>
      <c r="AM79" s="186"/>
      <c r="AN79" s="48"/>
      <c r="AO79" s="481"/>
      <c r="AP79" s="481"/>
      <c r="AQ79" s="481"/>
      <c r="AR79" s="481"/>
      <c r="AS79" s="481"/>
      <c r="AT79" s="481"/>
      <c r="AU79" s="481"/>
      <c r="AV79" s="481"/>
      <c r="AW79" s="481"/>
      <c r="AX79" s="481"/>
      <c r="AY79" s="481"/>
      <c r="AZ79" s="481"/>
      <c r="BA79" s="481"/>
      <c r="BB79" s="481"/>
      <c r="BC79" s="481"/>
      <c r="BD79" s="481"/>
      <c r="BE79" s="481"/>
      <c r="BF79" s="481"/>
      <c r="BG79" s="481"/>
      <c r="BH79" s="481"/>
      <c r="BI79" s="481"/>
      <c r="BJ79" s="481"/>
      <c r="BK79" s="481"/>
      <c r="BL79" s="481"/>
      <c r="BM79" s="481"/>
    </row>
    <row r="80" spans="1:65" ht="18" customHeight="1" x14ac:dyDescent="0.25">
      <c r="A80" s="186"/>
      <c r="B80" s="185"/>
      <c r="C80" s="185"/>
      <c r="D80" s="185"/>
      <c r="E80" s="185"/>
      <c r="F80" s="185"/>
      <c r="G80" s="558"/>
      <c r="H80" s="1751" t="s">
        <v>675</v>
      </c>
      <c r="I80" s="1751"/>
      <c r="J80" s="1751"/>
      <c r="K80" s="1751"/>
      <c r="L80" s="1751"/>
      <c r="M80" s="1751"/>
      <c r="N80" s="1751"/>
      <c r="O80" s="1751"/>
      <c r="P80" s="1751"/>
      <c r="Q80" s="1751"/>
      <c r="R80" s="1751"/>
      <c r="S80" s="1751"/>
      <c r="T80" s="1751"/>
      <c r="U80" s="1751"/>
      <c r="V80" s="1751"/>
      <c r="W80" s="1751"/>
      <c r="X80" s="1751"/>
      <c r="Y80" s="1751"/>
      <c r="Z80" s="1751"/>
      <c r="AA80" s="1751"/>
      <c r="AB80" s="1751"/>
      <c r="AC80" s="1751"/>
      <c r="AD80" s="1751"/>
      <c r="AE80" s="186"/>
      <c r="AF80" s="186"/>
      <c r="AG80" s="186"/>
      <c r="AH80" s="186"/>
      <c r="AI80" s="186"/>
      <c r="AJ80" s="186"/>
      <c r="AK80" s="186"/>
      <c r="AL80" s="186"/>
      <c r="AM80" s="186"/>
      <c r="AN80" s="48"/>
      <c r="AO80" s="481"/>
      <c r="AP80" s="481"/>
      <c r="AQ80" s="481"/>
      <c r="AR80" s="481"/>
      <c r="AS80" s="481"/>
      <c r="AT80" s="481"/>
      <c r="AU80" s="481"/>
      <c r="AV80" s="481"/>
      <c r="AW80" s="481"/>
      <c r="AX80" s="481"/>
      <c r="AY80" s="481"/>
      <c r="AZ80" s="481"/>
      <c r="BA80" s="481"/>
      <c r="BB80" s="481"/>
      <c r="BC80" s="481"/>
      <c r="BD80" s="481"/>
      <c r="BE80" s="481"/>
      <c r="BF80" s="481"/>
      <c r="BG80" s="481"/>
      <c r="BH80" s="481"/>
      <c r="BI80" s="481"/>
      <c r="BJ80" s="481"/>
      <c r="BK80" s="481"/>
      <c r="BL80" s="481"/>
      <c r="BM80" s="481"/>
    </row>
    <row r="81" spans="1:65" ht="18" customHeight="1" x14ac:dyDescent="0.2">
      <c r="A81" s="186"/>
      <c r="B81" s="185"/>
      <c r="C81" s="185"/>
      <c r="D81" s="185"/>
      <c r="E81" s="185"/>
      <c r="F81" s="185"/>
      <c r="G81" s="559"/>
      <c r="H81" s="1685" t="s">
        <v>727</v>
      </c>
      <c r="I81" s="1685"/>
      <c r="J81" s="1685"/>
      <c r="K81" s="1685"/>
      <c r="L81" s="1685"/>
      <c r="M81" s="1685"/>
      <c r="N81" s="1685"/>
      <c r="O81" s="1685"/>
      <c r="P81" s="1685"/>
      <c r="Q81" s="1685"/>
      <c r="R81" s="1685"/>
      <c r="S81" s="1685"/>
      <c r="T81" s="1685"/>
      <c r="U81" s="1685"/>
      <c r="V81" s="1685"/>
      <c r="W81" s="1685"/>
      <c r="X81" s="1685"/>
      <c r="Y81" s="1685"/>
      <c r="Z81" s="1685"/>
      <c r="AA81" s="1685"/>
      <c r="AB81" s="1685"/>
      <c r="AC81" s="1685"/>
      <c r="AD81" s="1685"/>
      <c r="AE81" s="186"/>
      <c r="AF81" s="186"/>
      <c r="AG81" s="186"/>
      <c r="AH81" s="186"/>
      <c r="AI81" s="186"/>
      <c r="AJ81" s="186"/>
      <c r="AK81" s="186"/>
      <c r="AL81" s="186"/>
      <c r="AM81" s="186"/>
      <c r="AN81" s="48"/>
      <c r="AO81" s="481"/>
      <c r="AP81" s="481"/>
      <c r="AQ81" s="481"/>
      <c r="AR81" s="481"/>
      <c r="AS81" s="481"/>
      <c r="AT81" s="481"/>
      <c r="AU81" s="481"/>
      <c r="AV81" s="481"/>
      <c r="AW81" s="481"/>
      <c r="AX81" s="481"/>
      <c r="AY81" s="481"/>
      <c r="AZ81" s="481"/>
      <c r="BA81" s="481"/>
      <c r="BB81" s="481"/>
      <c r="BC81" s="481"/>
      <c r="BD81" s="481"/>
      <c r="BE81" s="481"/>
      <c r="BF81" s="481"/>
      <c r="BG81" s="481"/>
      <c r="BH81" s="481"/>
      <c r="BI81" s="481"/>
      <c r="BJ81" s="481"/>
      <c r="BK81" s="481"/>
      <c r="BL81" s="481"/>
      <c r="BM81" s="481"/>
    </row>
    <row r="82" spans="1:65" ht="18" customHeight="1" x14ac:dyDescent="0.2">
      <c r="A82" s="186"/>
      <c r="B82" s="185"/>
      <c r="C82" s="185"/>
      <c r="D82" s="185"/>
      <c r="E82" s="185"/>
      <c r="F82" s="185"/>
      <c r="G82" s="185"/>
      <c r="H82" s="185"/>
      <c r="I82" s="185"/>
      <c r="J82" s="185"/>
      <c r="K82" s="185"/>
      <c r="L82" s="185"/>
      <c r="M82" s="185"/>
      <c r="N82" s="185"/>
      <c r="O82" s="185"/>
      <c r="P82" s="185"/>
      <c r="Q82" s="185"/>
      <c r="R82" s="185"/>
      <c r="S82" s="185"/>
      <c r="T82" s="185"/>
      <c r="U82" s="185"/>
      <c r="V82" s="185"/>
      <c r="W82" s="185"/>
      <c r="X82" s="185"/>
      <c r="Y82" s="185"/>
      <c r="Z82" s="185"/>
      <c r="AA82" s="185"/>
      <c r="AB82" s="185"/>
      <c r="AC82" s="186"/>
      <c r="AD82" s="186"/>
      <c r="AE82" s="186"/>
      <c r="AF82" s="186"/>
      <c r="AG82" s="186"/>
      <c r="AH82" s="186"/>
      <c r="AI82" s="186"/>
      <c r="AJ82" s="186"/>
      <c r="AK82" s="186"/>
      <c r="AL82" s="186"/>
      <c r="AM82" s="186"/>
      <c r="AN82" s="48"/>
      <c r="AO82" s="481"/>
      <c r="AP82" s="481"/>
      <c r="AQ82" s="481"/>
      <c r="AR82" s="481"/>
      <c r="AS82" s="481"/>
      <c r="AT82" s="481"/>
      <c r="AU82" s="481"/>
      <c r="AV82" s="481"/>
      <c r="AW82" s="481"/>
      <c r="AX82" s="481"/>
      <c r="AY82" s="481"/>
      <c r="AZ82" s="481"/>
      <c r="BA82" s="481"/>
      <c r="BB82" s="481"/>
      <c r="BC82" s="481"/>
      <c r="BD82" s="481"/>
      <c r="BE82" s="481"/>
      <c r="BF82" s="481"/>
      <c r="BG82" s="481"/>
      <c r="BH82" s="481"/>
      <c r="BI82" s="481"/>
      <c r="BJ82" s="481"/>
      <c r="BK82" s="481"/>
      <c r="BL82" s="481"/>
      <c r="BM82" s="481"/>
    </row>
    <row r="83" spans="1:65" ht="18" customHeight="1" x14ac:dyDescent="0.2">
      <c r="A83" s="186"/>
      <c r="B83" s="185"/>
      <c r="C83" s="185"/>
      <c r="D83" s="185"/>
      <c r="E83" s="185"/>
      <c r="F83" s="185"/>
      <c r="G83" s="185"/>
      <c r="H83" s="185"/>
      <c r="I83" s="185"/>
      <c r="J83" s="185"/>
      <c r="K83" s="185"/>
      <c r="L83" s="185"/>
      <c r="M83" s="185"/>
      <c r="N83" s="185"/>
      <c r="O83" s="185"/>
      <c r="P83" s="185"/>
      <c r="Q83" s="185"/>
      <c r="R83" s="185"/>
      <c r="S83" s="185"/>
      <c r="T83" s="185"/>
      <c r="U83" s="185"/>
      <c r="V83" s="185"/>
      <c r="W83" s="185"/>
      <c r="X83" s="185"/>
      <c r="Y83" s="185"/>
      <c r="Z83" s="185"/>
      <c r="AA83" s="185"/>
      <c r="AB83" s="185"/>
      <c r="AC83" s="186"/>
      <c r="AD83" s="186"/>
      <c r="AE83" s="186"/>
      <c r="AF83" s="186"/>
      <c r="AG83" s="186"/>
      <c r="AH83" s="186"/>
      <c r="AI83" s="186"/>
      <c r="AJ83" s="186"/>
      <c r="AK83" s="186"/>
      <c r="AL83" s="186"/>
      <c r="AM83" s="186"/>
      <c r="AN83" s="48"/>
      <c r="AO83" s="481"/>
      <c r="AP83" s="481"/>
      <c r="AQ83" s="481"/>
      <c r="AR83" s="481"/>
      <c r="AS83" s="481"/>
      <c r="AT83" s="481"/>
      <c r="AU83" s="481"/>
      <c r="AV83" s="481"/>
      <c r="AW83" s="481"/>
      <c r="AX83" s="481"/>
      <c r="AY83" s="481"/>
      <c r="AZ83" s="481"/>
      <c r="BA83" s="481"/>
      <c r="BB83" s="481"/>
      <c r="BC83" s="481"/>
      <c r="BD83" s="481"/>
      <c r="BE83" s="481"/>
      <c r="BF83" s="481"/>
      <c r="BG83" s="481"/>
      <c r="BH83" s="481"/>
      <c r="BI83" s="481"/>
      <c r="BJ83" s="481"/>
      <c r="BK83" s="481"/>
      <c r="BL83" s="481"/>
      <c r="BM83" s="481"/>
    </row>
    <row r="84" spans="1:65" ht="18" customHeight="1" x14ac:dyDescent="0.2">
      <c r="A84" s="186"/>
      <c r="B84" s="185"/>
      <c r="C84" s="185"/>
      <c r="D84" s="185"/>
      <c r="E84" s="185"/>
      <c r="F84" s="185"/>
      <c r="G84" s="185"/>
      <c r="H84" s="185"/>
      <c r="I84" s="185"/>
      <c r="J84" s="185"/>
      <c r="K84" s="185"/>
      <c r="L84" s="185"/>
      <c r="M84" s="185"/>
      <c r="N84" s="185"/>
      <c r="O84" s="185"/>
      <c r="P84" s="185"/>
      <c r="Q84" s="185"/>
      <c r="R84" s="185"/>
      <c r="S84" s="185"/>
      <c r="T84" s="185"/>
      <c r="U84" s="185"/>
      <c r="V84" s="185"/>
      <c r="W84" s="185"/>
      <c r="X84" s="185"/>
      <c r="Y84" s="185"/>
      <c r="Z84" s="1683" t="s">
        <v>184</v>
      </c>
      <c r="AA84" s="1683"/>
      <c r="AB84" s="1683"/>
      <c r="AC84" s="1686"/>
      <c r="AD84" s="1686"/>
      <c r="AE84" s="1686"/>
      <c r="AF84" s="1686"/>
      <c r="AG84" s="1686"/>
      <c r="AH84" s="1686"/>
      <c r="AI84" s="1686"/>
      <c r="AJ84" s="1686"/>
      <c r="AK84" s="1686"/>
      <c r="AL84" s="1686"/>
      <c r="AM84" s="1686"/>
      <c r="AN84" s="48"/>
      <c r="AO84" s="481"/>
      <c r="AP84" s="481"/>
      <c r="AQ84" s="481"/>
      <c r="AR84" s="481"/>
      <c r="AS84" s="481"/>
      <c r="AT84" s="481"/>
      <c r="AU84" s="481"/>
      <c r="AV84" s="481"/>
      <c r="AW84" s="481"/>
      <c r="AX84" s="481"/>
      <c r="AY84" s="481"/>
      <c r="AZ84" s="481"/>
      <c r="BA84" s="481"/>
      <c r="BB84" s="481"/>
      <c r="BC84" s="481"/>
      <c r="BD84" s="481"/>
      <c r="BE84" s="481"/>
      <c r="BF84" s="481"/>
      <c r="BG84" s="481"/>
      <c r="BH84" s="481"/>
      <c r="BI84" s="481"/>
      <c r="BJ84" s="481"/>
      <c r="BK84" s="481"/>
      <c r="BL84" s="481"/>
      <c r="BM84" s="481"/>
    </row>
    <row r="85" spans="1:65" ht="30" customHeight="1" x14ac:dyDescent="0.2">
      <c r="A85" s="186"/>
      <c r="B85" s="185"/>
      <c r="C85" s="185"/>
      <c r="D85" s="185"/>
      <c r="E85" s="185"/>
      <c r="F85" s="185"/>
      <c r="G85" s="185"/>
      <c r="H85" s="185"/>
      <c r="I85" s="185"/>
      <c r="J85" s="185"/>
      <c r="K85" s="185"/>
      <c r="L85" s="185"/>
      <c r="M85" s="634" t="str">
        <f ca="1">Presentazione!$H$13</f>
        <v/>
      </c>
      <c r="N85" s="185"/>
      <c r="O85" s="185"/>
      <c r="P85" s="185"/>
      <c r="Q85" s="185"/>
      <c r="R85" s="185"/>
      <c r="S85" s="185"/>
      <c r="T85" s="185"/>
      <c r="U85" s="185"/>
      <c r="V85" s="185"/>
      <c r="W85" s="185"/>
      <c r="X85" s="185"/>
      <c r="Y85" s="185"/>
      <c r="Z85" s="185"/>
      <c r="AA85" s="185"/>
      <c r="AB85" s="185"/>
      <c r="AC85" s="186"/>
      <c r="AD85" s="186"/>
      <c r="AE85" s="186"/>
      <c r="AF85" s="186"/>
      <c r="AG85" s="186"/>
      <c r="AH85" s="186"/>
      <c r="AI85" s="186"/>
      <c r="AJ85" s="186"/>
      <c r="AK85" s="186"/>
      <c r="AL85" s="186"/>
      <c r="AM85" s="186"/>
      <c r="AN85" s="48"/>
      <c r="AO85" s="481"/>
      <c r="AP85" s="481"/>
      <c r="AQ85" s="481"/>
      <c r="AR85" s="481"/>
      <c r="AS85" s="481"/>
      <c r="AT85" s="481"/>
      <c r="AU85" s="481"/>
      <c r="AV85" s="481"/>
      <c r="AW85" s="481"/>
      <c r="AX85" s="481"/>
      <c r="AY85" s="481"/>
      <c r="AZ85" s="481"/>
      <c r="BA85" s="481"/>
      <c r="BB85" s="481"/>
      <c r="BC85" s="481"/>
      <c r="BD85" s="481"/>
      <c r="BE85" s="481"/>
      <c r="BF85" s="481"/>
      <c r="BG85" s="481"/>
      <c r="BH85" s="481"/>
      <c r="BI85" s="481"/>
      <c r="BJ85" s="481"/>
      <c r="BK85" s="481"/>
      <c r="BL85" s="481"/>
      <c r="BM85" s="481"/>
    </row>
    <row r="86" spans="1:65" ht="24.75" customHeight="1" x14ac:dyDescent="0.2">
      <c r="A86" s="186"/>
      <c r="B86" s="82" t="str">
        <f>Presentazione!$G$35</f>
        <v>Registro dei Corrispettivi 5.2.4 3txt - per EXCEL .xlsm</v>
      </c>
      <c r="C86" s="173"/>
      <c r="D86" s="173"/>
      <c r="E86" s="173"/>
      <c r="F86" s="173"/>
      <c r="G86" s="173"/>
      <c r="H86" s="173"/>
      <c r="I86" s="173"/>
      <c r="J86" s="173"/>
      <c r="K86" s="173"/>
      <c r="L86" s="218"/>
      <c r="M86" s="635" t="str">
        <f ca="1">IF(Presentazione!$J$165=Presentazione!$K$83,CONCATENATE(Presentazione!$F$77,"   -   ","P.I./C.F ",Presentazione!$K$79),Presentazione!$I$157)</f>
        <v>Sistema parzialmente attivato. Inserisci il tuo CODICE di PROPRIETA' nel foglio Presentazione.</v>
      </c>
      <c r="N86" s="218"/>
      <c r="O86" s="218"/>
      <c r="P86" s="218"/>
      <c r="Q86" s="218"/>
      <c r="R86" s="218"/>
      <c r="S86" s="218"/>
      <c r="T86" s="218"/>
      <c r="U86" s="218"/>
      <c r="V86" s="218"/>
      <c r="W86" s="218"/>
      <c r="X86" s="218"/>
      <c r="Y86" s="218"/>
      <c r="Z86" s="218"/>
      <c r="AA86" s="218"/>
      <c r="AB86" s="218"/>
      <c r="AC86" s="219"/>
      <c r="AD86" s="219"/>
      <c r="AE86" s="219"/>
      <c r="AF86" s="219"/>
      <c r="AG86" s="219"/>
      <c r="AH86" s="173"/>
      <c r="AI86" s="173"/>
      <c r="AJ86" s="173"/>
      <c r="AK86" s="173"/>
      <c r="AL86" s="173"/>
      <c r="AM86" s="636" t="s">
        <v>253</v>
      </c>
      <c r="AN86" s="200"/>
      <c r="AO86" s="481"/>
      <c r="AP86" s="481"/>
      <c r="AQ86" s="481"/>
      <c r="AR86" s="481"/>
      <c r="AS86" s="481"/>
      <c r="AT86" s="481"/>
      <c r="AU86" s="481"/>
      <c r="AV86" s="481"/>
      <c r="AW86" s="481"/>
      <c r="AX86" s="481"/>
      <c r="AY86" s="481"/>
      <c r="AZ86" s="481"/>
      <c r="BA86" s="481"/>
      <c r="BB86" s="481"/>
      <c r="BC86" s="481"/>
      <c r="BD86" s="481"/>
      <c r="BE86" s="481"/>
      <c r="BF86" s="481"/>
      <c r="BG86" s="481"/>
      <c r="BH86" s="481"/>
      <c r="BI86" s="481"/>
      <c r="BJ86" s="481"/>
      <c r="BK86" s="481"/>
      <c r="BL86" s="481"/>
      <c r="BM86" s="481"/>
    </row>
    <row r="87" spans="1:65" x14ac:dyDescent="0.2">
      <c r="A87" s="186"/>
      <c r="B87" s="641" t="s">
        <v>722</v>
      </c>
      <c r="C87" s="641"/>
      <c r="D87" s="641"/>
      <c r="E87" s="641"/>
      <c r="F87" s="641"/>
      <c r="G87" s="641"/>
      <c r="H87" s="641"/>
      <c r="I87" s="641"/>
      <c r="J87" s="641"/>
      <c r="K87" s="641"/>
      <c r="L87" s="641"/>
      <c r="M87" s="641"/>
      <c r="N87" s="641"/>
      <c r="O87" s="641"/>
      <c r="P87" s="641"/>
      <c r="Q87" s="641"/>
      <c r="R87" s="641"/>
      <c r="S87" s="641"/>
      <c r="T87" s="641"/>
      <c r="U87" s="641"/>
      <c r="V87" s="641"/>
      <c r="W87" s="641"/>
      <c r="X87" s="641"/>
      <c r="Y87" s="641"/>
      <c r="Z87" s="641"/>
      <c r="AA87" s="641"/>
      <c r="AB87" s="641"/>
      <c r="AC87" s="641"/>
      <c r="AD87" s="641"/>
      <c r="AE87" s="641"/>
      <c r="AF87" s="641"/>
      <c r="AG87" s="641"/>
      <c r="AH87" s="641"/>
      <c r="AI87" s="641"/>
      <c r="AJ87" s="641"/>
      <c r="AK87" s="641"/>
      <c r="AL87" s="196"/>
      <c r="AM87" s="193"/>
      <c r="AN87" s="48"/>
      <c r="AO87" s="481"/>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1"/>
      <c r="BM87" s="481"/>
    </row>
    <row r="88" spans="1:65" ht="16.5" customHeight="1" x14ac:dyDescent="0.2">
      <c r="A88" s="216"/>
      <c r="B88" s="1581" t="s">
        <v>96</v>
      </c>
      <c r="C88" s="1581"/>
      <c r="D88" s="1581"/>
      <c r="E88" s="1581"/>
      <c r="F88" s="1581"/>
      <c r="G88" s="1581"/>
      <c r="H88" s="1581"/>
      <c r="I88" s="1581"/>
      <c r="J88" s="1581"/>
      <c r="K88" s="1581"/>
      <c r="L88" s="1581"/>
      <c r="M88" s="1581"/>
      <c r="N88" s="1581"/>
      <c r="O88" s="1581"/>
      <c r="P88" s="1581"/>
      <c r="Q88" s="1581"/>
      <c r="R88" s="1581"/>
      <c r="S88" s="1581"/>
      <c r="T88" s="1581"/>
      <c r="U88" s="1581"/>
      <c r="V88" s="1581"/>
      <c r="W88" s="1581"/>
      <c r="X88" s="1581"/>
      <c r="Y88" s="1581"/>
      <c r="Z88" s="1581"/>
      <c r="AA88" s="1581"/>
      <c r="AB88" s="1581"/>
      <c r="AC88" s="1581"/>
      <c r="AD88" s="53"/>
      <c r="AE88" s="53"/>
      <c r="AF88" s="53"/>
      <c r="AG88" s="53"/>
      <c r="AH88" s="53"/>
      <c r="AI88" s="53"/>
      <c r="AJ88" s="53"/>
      <c r="AK88" s="53"/>
      <c r="AL88" s="53"/>
      <c r="AM88" s="194"/>
      <c r="AN88" s="48"/>
      <c r="AO88" s="481"/>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1"/>
      <c r="BM88" s="481"/>
    </row>
    <row r="89" spans="1:65" ht="16.5" customHeight="1" x14ac:dyDescent="0.2">
      <c r="A89" s="186"/>
      <c r="B89" s="1645" t="s">
        <v>94</v>
      </c>
      <c r="C89" s="1645"/>
      <c r="D89" s="1645"/>
      <c r="E89" s="1645"/>
      <c r="F89" s="1645"/>
      <c r="G89" s="1645"/>
      <c r="H89" s="1645"/>
      <c r="I89" s="1645"/>
      <c r="J89" s="1645"/>
      <c r="K89" s="1645"/>
      <c r="L89" s="1645"/>
      <c r="M89" s="1645"/>
      <c r="N89" s="1645"/>
      <c r="O89" s="1645"/>
      <c r="P89" s="1645"/>
      <c r="Q89" s="1645"/>
      <c r="R89" s="1645"/>
      <c r="S89" s="1645"/>
      <c r="T89" s="1645"/>
      <c r="U89" s="1645"/>
      <c r="V89" s="1645"/>
      <c r="W89" s="1645"/>
      <c r="X89" s="1645"/>
      <c r="Y89" s="1645"/>
      <c r="Z89" s="1645"/>
      <c r="AA89" s="1645"/>
      <c r="AB89" s="1645"/>
      <c r="AC89" s="1645"/>
      <c r="AD89" s="1645"/>
      <c r="AE89" s="1645"/>
      <c r="AF89" s="1645"/>
      <c r="AG89" s="1645"/>
      <c r="AH89" s="1645"/>
      <c r="AI89" s="1645"/>
      <c r="AJ89" s="1645"/>
      <c r="AK89" s="1645"/>
      <c r="AL89" s="1645"/>
      <c r="AM89" s="1645"/>
      <c r="AN89" s="48"/>
      <c r="AO89" s="481"/>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1"/>
      <c r="BM89" s="481"/>
    </row>
    <row r="90" spans="1:65" ht="16.5" customHeight="1" x14ac:dyDescent="0.25">
      <c r="A90" s="186"/>
      <c r="B90" s="1684" t="s">
        <v>95</v>
      </c>
      <c r="C90" s="1684"/>
      <c r="D90" s="1684"/>
      <c r="E90" s="1684"/>
      <c r="F90" s="1684"/>
      <c r="G90" s="1684"/>
      <c r="H90" s="1684"/>
      <c r="I90" s="1684"/>
      <c r="J90" s="1684"/>
      <c r="K90" s="1684"/>
      <c r="L90" s="1684"/>
      <c r="M90" s="1684"/>
      <c r="N90" s="1684"/>
      <c r="O90" s="1684"/>
      <c r="P90" s="1684"/>
      <c r="Q90" s="1684"/>
      <c r="R90" s="1684"/>
      <c r="S90" s="1684"/>
      <c r="T90" s="1684"/>
      <c r="U90" s="1684"/>
      <c r="V90" s="1684"/>
      <c r="W90" s="1684"/>
      <c r="X90" s="1684"/>
      <c r="Y90" s="1684"/>
      <c r="Z90" s="1684"/>
      <c r="AA90" s="1684"/>
      <c r="AB90" s="1684"/>
      <c r="AC90" s="1684"/>
      <c r="AD90" s="1684"/>
      <c r="AE90" s="1684"/>
      <c r="AF90" s="1684"/>
      <c r="AG90" s="1684"/>
      <c r="AH90" s="1684"/>
      <c r="AI90" s="1684"/>
      <c r="AJ90" s="1684"/>
      <c r="AK90" s="1684"/>
      <c r="AL90" s="1684"/>
      <c r="AM90" s="1684"/>
      <c r="AN90" s="48"/>
      <c r="AO90" s="481"/>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1"/>
      <c r="BM90" s="481"/>
    </row>
    <row r="91" spans="1:65" ht="16.5" customHeight="1" x14ac:dyDescent="0.2">
      <c r="A91" s="186"/>
      <c r="B91" s="1558" t="s">
        <v>154</v>
      </c>
      <c r="C91" s="1559"/>
      <c r="D91" s="1559"/>
      <c r="E91" s="1559"/>
      <c r="F91" s="1559"/>
      <c r="G91" s="1559"/>
      <c r="H91" s="1559"/>
      <c r="I91" s="1559"/>
      <c r="J91" s="1559"/>
      <c r="K91" s="1559"/>
      <c r="L91" s="1559"/>
      <c r="M91" s="1559"/>
      <c r="N91" s="1559"/>
      <c r="O91" s="1559"/>
      <c r="P91" s="1559"/>
      <c r="Q91" s="1559"/>
      <c r="R91" s="1559"/>
      <c r="S91" s="1559"/>
      <c r="T91" s="1559"/>
      <c r="U91" s="1559"/>
      <c r="V91" s="1559"/>
      <c r="W91" s="1559"/>
      <c r="X91" s="1559"/>
      <c r="Y91" s="1559"/>
      <c r="Z91" s="1559"/>
      <c r="AA91" s="1559"/>
      <c r="AB91" s="1559"/>
      <c r="AC91" s="1559"/>
      <c r="AD91" s="1559"/>
      <c r="AE91" s="1559"/>
      <c r="AF91" s="1559"/>
      <c r="AG91" s="1559"/>
      <c r="AH91" s="1559"/>
      <c r="AI91" s="1559"/>
      <c r="AJ91" s="1559"/>
      <c r="AK91" s="1559"/>
      <c r="AL91" s="1559"/>
      <c r="AM91" s="1559"/>
      <c r="AN91" s="48"/>
      <c r="AO91" s="481"/>
      <c r="AP91" s="481"/>
      <c r="AQ91" s="481"/>
      <c r="AR91" s="481"/>
      <c r="AS91" s="481"/>
      <c r="AT91" s="481"/>
      <c r="AU91" s="481"/>
      <c r="AV91" s="481"/>
      <c r="AW91" s="481"/>
      <c r="AX91" s="481"/>
      <c r="AY91" s="481"/>
      <c r="AZ91" s="481"/>
      <c r="BA91" s="481"/>
      <c r="BB91" s="481"/>
      <c r="BC91" s="481"/>
      <c r="BD91" s="481"/>
      <c r="BE91" s="481"/>
      <c r="BF91" s="481"/>
      <c r="BG91" s="481"/>
      <c r="BH91" s="481"/>
      <c r="BI91" s="481"/>
      <c r="BJ91" s="481"/>
      <c r="BK91" s="481"/>
      <c r="BL91" s="481"/>
      <c r="BM91" s="481"/>
    </row>
    <row r="92" spans="1:65" ht="16.5" customHeight="1" x14ac:dyDescent="0.2">
      <c r="A92" s="186"/>
      <c r="B92" s="176"/>
      <c r="C92" s="1560"/>
      <c r="D92" s="1560"/>
      <c r="E92" s="1560"/>
      <c r="F92" s="1560"/>
      <c r="G92" s="1560"/>
      <c r="H92" s="1560"/>
      <c r="I92" s="1560"/>
      <c r="J92" s="1560"/>
      <c r="K92" s="1560"/>
      <c r="L92" s="1560"/>
      <c r="M92" s="1560"/>
      <c r="N92" s="1560"/>
      <c r="O92" s="1560"/>
      <c r="P92" s="1560"/>
      <c r="Q92" s="176"/>
      <c r="R92" s="176"/>
      <c r="S92" s="176"/>
      <c r="T92" s="176"/>
      <c r="U92" s="176"/>
      <c r="V92" s="176"/>
      <c r="W92" s="176"/>
      <c r="X92" s="176"/>
      <c r="Y92" s="176"/>
      <c r="Z92" s="176"/>
      <c r="AA92" s="176"/>
      <c r="AB92" s="176"/>
      <c r="AC92" s="176"/>
      <c r="AD92" s="176"/>
      <c r="AE92" s="176"/>
      <c r="AF92" s="176"/>
      <c r="AG92" s="176"/>
      <c r="AH92" s="176"/>
      <c r="AI92" s="176"/>
      <c r="AJ92" s="176"/>
      <c r="AK92" s="176"/>
      <c r="AL92" s="176"/>
      <c r="AM92" s="176"/>
      <c r="AN92" s="48"/>
      <c r="AO92" s="481"/>
      <c r="AP92" s="481"/>
      <c r="AQ92" s="481"/>
      <c r="AR92" s="481"/>
      <c r="AS92" s="481"/>
      <c r="AT92" s="481"/>
      <c r="AU92" s="481"/>
      <c r="AV92" s="481"/>
      <c r="AW92" s="481"/>
      <c r="AX92" s="481"/>
      <c r="AY92" s="481"/>
      <c r="AZ92" s="481"/>
      <c r="BA92" s="481"/>
      <c r="BB92" s="481"/>
      <c r="BC92" s="481"/>
      <c r="BD92" s="481"/>
      <c r="BE92" s="481"/>
      <c r="BF92" s="481"/>
      <c r="BG92" s="481"/>
      <c r="BH92" s="481"/>
      <c r="BI92" s="481"/>
      <c r="BJ92" s="481"/>
      <c r="BK92" s="481"/>
      <c r="BL92" s="481"/>
      <c r="BM92" s="481"/>
    </row>
    <row r="93" spans="1:65" ht="19.5" customHeight="1" x14ac:dyDescent="0.2">
      <c r="A93" s="186"/>
      <c r="B93" s="185"/>
      <c r="C93" s="1561" t="s">
        <v>471</v>
      </c>
      <c r="D93" s="1561"/>
      <c r="E93" s="1561"/>
      <c r="F93" s="1561"/>
      <c r="G93" s="1561"/>
      <c r="H93" s="1561"/>
      <c r="I93" s="1561"/>
      <c r="J93" s="1561"/>
      <c r="K93" s="1561"/>
      <c r="L93" s="1561"/>
      <c r="M93" s="1561"/>
      <c r="N93" s="1561"/>
      <c r="O93" s="1561"/>
      <c r="P93" s="1561"/>
      <c r="Q93" s="222"/>
      <c r="R93" s="222"/>
      <c r="S93" s="222"/>
      <c r="T93" s="222"/>
      <c r="U93" s="222"/>
      <c r="V93" s="222"/>
      <c r="W93" s="222"/>
      <c r="X93" s="222"/>
      <c r="Y93" s="222"/>
      <c r="Z93" s="222"/>
      <c r="AA93" s="222"/>
      <c r="AB93" s="222"/>
      <c r="AC93" s="48"/>
      <c r="AD93" s="48"/>
      <c r="AE93" s="48"/>
      <c r="AF93" s="48"/>
      <c r="AG93" s="48"/>
      <c r="AH93" s="48"/>
      <c r="AI93" s="48"/>
      <c r="AJ93" s="48"/>
      <c r="AK93" s="48"/>
      <c r="AL93" s="48"/>
      <c r="AM93" s="48"/>
      <c r="AN93" s="48"/>
      <c r="AO93" s="481"/>
      <c r="AP93" s="481"/>
      <c r="AQ93" s="481"/>
      <c r="AR93" s="481"/>
      <c r="AS93" s="481"/>
      <c r="AT93" s="481"/>
      <c r="AU93" s="481"/>
      <c r="AV93" s="481"/>
      <c r="AW93" s="481"/>
      <c r="AX93" s="481"/>
      <c r="AY93" s="481"/>
      <c r="AZ93" s="481"/>
      <c r="BA93" s="481"/>
      <c r="BB93" s="481"/>
      <c r="BC93" s="481"/>
      <c r="BD93" s="481"/>
      <c r="BE93" s="481"/>
      <c r="BF93" s="481"/>
      <c r="BG93" s="481"/>
      <c r="BH93" s="481"/>
      <c r="BI93" s="481"/>
      <c r="BJ93" s="481"/>
      <c r="BK93" s="481"/>
      <c r="BL93" s="481"/>
      <c r="BM93" s="481"/>
    </row>
    <row r="94" spans="1:65" ht="19.5" customHeight="1" x14ac:dyDescent="0.25">
      <c r="A94" s="186"/>
      <c r="B94" s="218"/>
      <c r="C94" s="1731" t="s">
        <v>472</v>
      </c>
      <c r="D94" s="1731"/>
      <c r="E94" s="1731"/>
      <c r="F94" s="1731"/>
      <c r="G94" s="1731"/>
      <c r="H94" s="1731"/>
      <c r="I94" s="1731"/>
      <c r="J94" s="1763"/>
      <c r="K94" s="1763"/>
      <c r="L94" s="1763"/>
      <c r="M94" s="1763"/>
      <c r="N94" s="1767" t="str">
        <f>IF(J94="","",IF(HLOOKUP(J94,$I$19:$AF$33,15,FALSE)=0,"",HLOOKUP(J94,$I$19:$AF$33,15,FALSE)))</f>
        <v/>
      </c>
      <c r="O94" s="1767"/>
      <c r="P94" s="1767"/>
      <c r="Q94" s="222"/>
      <c r="R94" s="222"/>
      <c r="S94" s="222"/>
      <c r="T94" s="222"/>
      <c r="U94" s="222"/>
      <c r="V94" s="222"/>
      <c r="W94" s="222"/>
      <c r="X94" s="222"/>
      <c r="Y94" s="222"/>
      <c r="Z94" s="1565" t="str">
        <f>IF(SUM(O187:Z187)&gt;0,J$382,"")</f>
        <v/>
      </c>
      <c r="AA94" s="1565"/>
      <c r="AB94" s="1565"/>
      <c r="AC94" s="1565"/>
      <c r="AD94" s="1565"/>
      <c r="AE94" s="1565"/>
      <c r="AF94" s="1565"/>
      <c r="AG94" s="1565"/>
      <c r="AH94" s="48"/>
      <c r="AI94" s="48"/>
      <c r="AJ94" s="48"/>
      <c r="AK94" s="48"/>
      <c r="AL94" s="219"/>
      <c r="AM94" s="200"/>
      <c r="AN94" s="48"/>
      <c r="AO94" s="481"/>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1"/>
      <c r="BM94" s="481"/>
    </row>
    <row r="95" spans="1:65" ht="9" customHeight="1" x14ac:dyDescent="0.2">
      <c r="A95" s="186"/>
      <c r="B95" s="185"/>
      <c r="C95" s="185"/>
      <c r="D95" s="185"/>
      <c r="E95" s="185"/>
      <c r="F95" s="185"/>
      <c r="G95" s="185"/>
      <c r="H95" s="185"/>
      <c r="I95" s="185"/>
      <c r="J95" s="185"/>
      <c r="K95" s="185"/>
      <c r="L95" s="185"/>
      <c r="M95" s="185"/>
      <c r="N95" s="185"/>
      <c r="O95" s="185"/>
      <c r="P95" s="185"/>
      <c r="Q95" s="185"/>
      <c r="R95" s="185"/>
      <c r="S95" s="185"/>
      <c r="T95" s="185"/>
      <c r="U95" s="185"/>
      <c r="V95" s="185"/>
      <c r="W95" s="185"/>
      <c r="X95" s="185"/>
      <c r="Y95" s="185"/>
      <c r="Z95" s="185"/>
      <c r="AA95" s="185"/>
      <c r="AB95" s="185"/>
      <c r="AC95" s="186"/>
      <c r="AD95" s="186"/>
      <c r="AE95" s="186"/>
      <c r="AF95" s="186"/>
      <c r="AG95" s="186"/>
      <c r="AH95" s="186"/>
      <c r="AI95" s="186"/>
      <c r="AJ95" s="186"/>
      <c r="AK95" s="186"/>
      <c r="AL95" s="186"/>
      <c r="AM95" s="186"/>
      <c r="AN95" s="48"/>
      <c r="AO95" s="481"/>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1"/>
      <c r="BM95" s="481"/>
    </row>
    <row r="96" spans="1:65" ht="18.75" customHeight="1" x14ac:dyDescent="0.25">
      <c r="A96" s="186"/>
      <c r="B96" s="185"/>
      <c r="C96" s="185"/>
      <c r="D96" s="48"/>
      <c r="E96" s="48"/>
      <c r="F96" s="48"/>
      <c r="G96" s="546">
        <f>IF(T96="",0,1)</f>
        <v>0</v>
      </c>
      <c r="H96" s="546" t="str">
        <f>IF(J94="","",HLOOKUP(J94,$J$18:$AD$22,3,FALSE))</f>
        <v/>
      </c>
      <c r="I96" s="149" t="str">
        <f>IF(H96=0,"",H96)</f>
        <v/>
      </c>
      <c r="J96" s="1748" t="str">
        <f>IF(J$94="","",HLOOKUP(J$94,$I$19:$AF$26,6,FALSE))</f>
        <v/>
      </c>
      <c r="K96" s="1749"/>
      <c r="L96" s="1749"/>
      <c r="M96" s="1750"/>
      <c r="N96" s="48"/>
      <c r="O96" s="48"/>
      <c r="P96" s="48"/>
      <c r="Q96" s="48"/>
      <c r="R96" s="1740" t="s">
        <v>429</v>
      </c>
      <c r="S96" s="1740"/>
      <c r="T96" s="537"/>
      <c r="U96" s="1748" t="str">
        <f>IF(J$94="","",IF(T96="","",VLOOKUP(T96,$B$8:$K$14,10,FALSE)))</f>
        <v/>
      </c>
      <c r="V96" s="1749"/>
      <c r="W96" s="1749"/>
      <c r="X96" s="1750"/>
      <c r="Y96" s="185"/>
      <c r="Z96" s="1744" t="s">
        <v>475</v>
      </c>
      <c r="AA96" s="1744"/>
      <c r="AB96" s="1744"/>
      <c r="AC96" s="1744"/>
      <c r="AD96" s="1744"/>
      <c r="AE96" s="1744"/>
      <c r="AF96" s="1744"/>
      <c r="AG96" s="1744"/>
      <c r="AH96" s="186"/>
      <c r="AI96" s="186"/>
      <c r="AJ96" s="186"/>
      <c r="AK96" s="186"/>
      <c r="AL96" s="48"/>
      <c r="AM96" s="48"/>
      <c r="AN96" s="48"/>
      <c r="AO96" s="481"/>
      <c r="AP96" s="481"/>
      <c r="AQ96" s="481"/>
      <c r="AR96" s="481"/>
      <c r="AS96" s="481"/>
      <c r="AT96" s="481"/>
      <c r="AU96" s="481"/>
      <c r="AV96" s="481"/>
      <c r="AW96" s="481"/>
      <c r="AX96" s="481"/>
      <c r="AY96" s="481"/>
      <c r="AZ96" s="481"/>
      <c r="BA96" s="481"/>
      <c r="BB96" s="481"/>
      <c r="BC96" s="481"/>
      <c r="BD96" s="481"/>
      <c r="BE96" s="481"/>
      <c r="BF96" s="481"/>
      <c r="BG96" s="481"/>
      <c r="BH96" s="481"/>
      <c r="BI96" s="481"/>
      <c r="BJ96" s="481"/>
      <c r="BK96" s="481"/>
      <c r="BL96" s="481"/>
      <c r="BM96" s="481"/>
    </row>
    <row r="97" spans="1:65" ht="18.75" customHeight="1" x14ac:dyDescent="0.2">
      <c r="A97" s="186"/>
      <c r="B97" s="185"/>
      <c r="C97" s="185"/>
      <c r="D97" s="48"/>
      <c r="E97" s="48"/>
      <c r="F97" s="48"/>
      <c r="G97" s="546">
        <f>IF(T97="",0,1)</f>
        <v>0</v>
      </c>
      <c r="H97" s="546" t="str">
        <f>IF(J94="","",HLOOKUP(J94,$J$18:$AD$22,4,FALSE))</f>
        <v/>
      </c>
      <c r="I97" s="149" t="str">
        <f>IF(H97=0,"",H97)</f>
        <v/>
      </c>
      <c r="J97" s="1754" t="str">
        <f>IF(J$94="","",HLOOKUP(J$94,$I$19:$AF$26,7,FALSE))</f>
        <v/>
      </c>
      <c r="K97" s="1755"/>
      <c r="L97" s="1755"/>
      <c r="M97" s="1756"/>
      <c r="N97" s="1739" t="s">
        <v>474</v>
      </c>
      <c r="O97" s="1739"/>
      <c r="P97" s="1739"/>
      <c r="Q97" s="1739"/>
      <c r="R97" s="1740" t="s">
        <v>430</v>
      </c>
      <c r="S97" s="1740"/>
      <c r="T97" s="538"/>
      <c r="U97" s="1754" t="str">
        <f>IF(J94="","",IF(SUM(G96:G98)=0,"",IF(T97="","",VLOOKUP(T97,$R$131:$Y$145,8,FALSE))))</f>
        <v/>
      </c>
      <c r="V97" s="1755"/>
      <c r="W97" s="1755"/>
      <c r="X97" s="1756"/>
      <c r="Y97" s="185"/>
      <c r="Z97" s="1550" t="s">
        <v>476</v>
      </c>
      <c r="AA97" s="1550"/>
      <c r="AB97" s="1550"/>
      <c r="AC97" s="1550"/>
      <c r="AD97" s="1550" t="s">
        <v>259</v>
      </c>
      <c r="AE97" s="1550"/>
      <c r="AF97" s="1550"/>
      <c r="AG97" s="1550"/>
      <c r="AH97" s="186"/>
      <c r="AI97" s="186"/>
      <c r="AJ97" s="186"/>
      <c r="AK97" s="186"/>
      <c r="AL97" s="48"/>
      <c r="AM97" s="48"/>
      <c r="AN97" s="48"/>
      <c r="AO97" s="481"/>
      <c r="AP97" s="481"/>
      <c r="AQ97" s="481"/>
      <c r="AR97" s="481"/>
      <c r="AS97" s="481"/>
      <c r="AT97" s="481"/>
      <c r="AU97" s="481"/>
      <c r="AV97" s="481"/>
      <c r="AW97" s="481"/>
      <c r="AX97" s="481"/>
      <c r="AY97" s="481"/>
      <c r="AZ97" s="481"/>
      <c r="BA97" s="481"/>
      <c r="BB97" s="481"/>
      <c r="BC97" s="481"/>
      <c r="BD97" s="481"/>
      <c r="BE97" s="481"/>
      <c r="BF97" s="481"/>
      <c r="BG97" s="481"/>
      <c r="BH97" s="481"/>
      <c r="BI97" s="481"/>
      <c r="BJ97" s="481"/>
      <c r="BK97" s="481"/>
      <c r="BL97" s="481"/>
      <c r="BM97" s="481"/>
    </row>
    <row r="98" spans="1:65" ht="18.75" customHeight="1" x14ac:dyDescent="0.2">
      <c r="A98" s="186"/>
      <c r="B98" s="185"/>
      <c r="C98" s="185"/>
      <c r="D98" s="48"/>
      <c r="E98" s="48"/>
      <c r="F98" s="48"/>
      <c r="G98" s="546">
        <f>IF(T98="",0,1)</f>
        <v>0</v>
      </c>
      <c r="H98" s="546" t="str">
        <f>IF(J94="","",HLOOKUP(J94,$J$18:$AD$22,5,FALSE))</f>
        <v/>
      </c>
      <c r="I98" s="149" t="str">
        <f>IF(H98=0,"",H98)</f>
        <v/>
      </c>
      <c r="J98" s="1562" t="str">
        <f>IF(J$94="","",HLOOKUP(J$94,$I$19:$AF$26,8,FALSE))</f>
        <v/>
      </c>
      <c r="K98" s="1563"/>
      <c r="L98" s="1563"/>
      <c r="M98" s="1564"/>
      <c r="N98" s="48"/>
      <c r="O98" s="48"/>
      <c r="P98" s="48"/>
      <c r="Q98" s="48"/>
      <c r="R98" s="1741" t="s">
        <v>432</v>
      </c>
      <c r="S98" s="1741"/>
      <c r="T98" s="539"/>
      <c r="U98" s="1562" t="str">
        <f>IF(J94="","",IF(T98="","",VLOOKUP(T98,$AG$8:$AH$14,2,FALSE)))</f>
        <v/>
      </c>
      <c r="V98" s="1563"/>
      <c r="W98" s="1563"/>
      <c r="X98" s="1564"/>
      <c r="Y98" s="241"/>
      <c r="Z98" s="1745"/>
      <c r="AA98" s="1746"/>
      <c r="AB98" s="1746"/>
      <c r="AC98" s="1747"/>
      <c r="AD98" s="1764"/>
      <c r="AE98" s="1746"/>
      <c r="AF98" s="1746"/>
      <c r="AG98" s="1765"/>
      <c r="AH98" s="1742" t="str">
        <f>IF(N94="",IF(OR(Z98="",AD98="",U97="",U96="",U96=0,U97=0),"",IF(OR(Z99&gt;AD99,AB189=L188),C$152,H$382)),L188)</f>
        <v/>
      </c>
      <c r="AI98" s="1743"/>
      <c r="AJ98" s="1743"/>
      <c r="AK98" s="186"/>
      <c r="AL98" s="48"/>
      <c r="AM98" s="48"/>
      <c r="AN98" s="48"/>
      <c r="AO98" s="481"/>
      <c r="AP98" s="481"/>
      <c r="AQ98" s="481"/>
      <c r="AR98" s="481"/>
      <c r="AS98" s="481"/>
      <c r="AT98" s="481"/>
      <c r="AU98" s="481"/>
      <c r="AV98" s="481"/>
      <c r="AW98" s="481"/>
      <c r="AX98" s="481"/>
      <c r="AY98" s="481"/>
      <c r="AZ98" s="481"/>
      <c r="BA98" s="481"/>
      <c r="BB98" s="481"/>
      <c r="BC98" s="481"/>
      <c r="BD98" s="481"/>
      <c r="BE98" s="481"/>
      <c r="BF98" s="481"/>
      <c r="BG98" s="481"/>
      <c r="BH98" s="481"/>
      <c r="BI98" s="481"/>
      <c r="BJ98" s="481"/>
      <c r="BK98" s="481"/>
      <c r="BL98" s="481"/>
      <c r="BM98" s="481"/>
    </row>
    <row r="99" spans="1:65" ht="18" customHeight="1" x14ac:dyDescent="0.25">
      <c r="A99" s="186"/>
      <c r="B99" s="185"/>
      <c r="C99" s="185"/>
      <c r="D99" s="185"/>
      <c r="E99" s="185"/>
      <c r="F99" s="185"/>
      <c r="G99" s="185"/>
      <c r="H99" s="185"/>
      <c r="I99" s="185"/>
      <c r="J99" s="1766" t="s">
        <v>473</v>
      </c>
      <c r="K99" s="1766"/>
      <c r="L99" s="1766"/>
      <c r="M99" s="1766"/>
      <c r="N99" s="185"/>
      <c r="O99" s="185"/>
      <c r="P99" s="185"/>
      <c r="Q99" s="185"/>
      <c r="R99" s="185"/>
      <c r="S99" s="185"/>
      <c r="T99" s="1757" t="s">
        <v>479</v>
      </c>
      <c r="U99" s="1757"/>
      <c r="V99" s="1757"/>
      <c r="W99" s="1757"/>
      <c r="X99" s="1757"/>
      <c r="Y99" s="185"/>
      <c r="Z99" s="1566" t="e">
        <f>VLOOKUP(Z98,C$170:G$181,5,FALSE)</f>
        <v>#N/A</v>
      </c>
      <c r="AA99" s="1566"/>
      <c r="AB99" s="1566"/>
      <c r="AC99" s="1566"/>
      <c r="AD99" s="1566" t="e">
        <f>VLOOKUP(AD98,C$170:G$181,5,FALSE)</f>
        <v>#N/A</v>
      </c>
      <c r="AE99" s="1566"/>
      <c r="AF99" s="1566"/>
      <c r="AG99" s="1566"/>
      <c r="AH99" s="186"/>
      <c r="AI99" s="186"/>
      <c r="AJ99" s="186"/>
      <c r="AK99" s="186"/>
      <c r="AL99" s="186"/>
      <c r="AM99" s="186"/>
      <c r="AN99" s="48"/>
      <c r="AO99" s="481"/>
      <c r="AP99" s="481"/>
      <c r="AQ99" s="481"/>
      <c r="AR99" s="481"/>
      <c r="AS99" s="481"/>
      <c r="AT99" s="481"/>
      <c r="AU99" s="481"/>
      <c r="AV99" s="481"/>
      <c r="AW99" s="481"/>
      <c r="AX99" s="481"/>
      <c r="AY99" s="481"/>
      <c r="AZ99" s="481"/>
      <c r="BA99" s="481"/>
      <c r="BB99" s="481"/>
      <c r="BC99" s="481"/>
      <c r="BD99" s="481"/>
      <c r="BE99" s="481"/>
      <c r="BF99" s="481"/>
      <c r="BG99" s="481"/>
      <c r="BH99" s="481"/>
      <c r="BI99" s="481"/>
      <c r="BJ99" s="481"/>
      <c r="BK99" s="481"/>
      <c r="BL99" s="481"/>
      <c r="BM99" s="481"/>
    </row>
    <row r="100" spans="1:65" ht="24" customHeight="1" x14ac:dyDescent="0.2">
      <c r="A100" s="186"/>
      <c r="B100" s="185"/>
      <c r="C100" s="185"/>
      <c r="D100" s="185"/>
      <c r="E100" s="185"/>
      <c r="F100" s="185"/>
      <c r="G100" s="185"/>
      <c r="H100" s="185"/>
      <c r="I100" s="185"/>
      <c r="J100" s="185"/>
      <c r="K100" s="185"/>
      <c r="L100" s="185"/>
      <c r="M100" s="185"/>
      <c r="N100" s="185"/>
      <c r="O100" s="185"/>
      <c r="P100" s="185"/>
      <c r="Q100" s="185"/>
      <c r="R100" s="185"/>
      <c r="S100" s="185"/>
      <c r="T100" s="948" t="str">
        <f>AB190</f>
        <v/>
      </c>
      <c r="U100" s="185"/>
      <c r="V100" s="185"/>
      <c r="W100" s="185"/>
      <c r="X100" s="185"/>
      <c r="Y100" s="185"/>
      <c r="Z100" s="185"/>
      <c r="AA100" s="185"/>
      <c r="AB100" s="185"/>
      <c r="AC100" s="186"/>
      <c r="AD100" s="186"/>
      <c r="AE100" s="186"/>
      <c r="AF100" s="186"/>
      <c r="AG100" s="186"/>
      <c r="AH100" s="186"/>
      <c r="AI100" s="186"/>
      <c r="AJ100" s="186"/>
      <c r="AK100" s="186"/>
      <c r="AL100" s="186"/>
      <c r="AM100" s="186"/>
      <c r="AN100" s="48"/>
      <c r="AO100" s="481"/>
      <c r="AP100" s="481"/>
      <c r="AQ100" s="481"/>
      <c r="AR100" s="481"/>
      <c r="AS100" s="481"/>
      <c r="AT100" s="481"/>
      <c r="AU100" s="481"/>
      <c r="AV100" s="481"/>
      <c r="AW100" s="481"/>
      <c r="AX100" s="481"/>
      <c r="AY100" s="481"/>
      <c r="AZ100" s="481"/>
      <c r="BA100" s="481"/>
      <c r="BB100" s="481"/>
      <c r="BC100" s="481"/>
      <c r="BD100" s="481"/>
      <c r="BE100" s="481"/>
      <c r="BF100" s="481"/>
      <c r="BG100" s="481"/>
      <c r="BH100" s="481"/>
      <c r="BI100" s="481"/>
      <c r="BJ100" s="481"/>
      <c r="BK100" s="481"/>
      <c r="BL100" s="481"/>
      <c r="BM100" s="481"/>
    </row>
    <row r="101" spans="1:65" ht="19.5" customHeight="1" x14ac:dyDescent="0.2">
      <c r="A101" s="186"/>
      <c r="B101" s="185"/>
      <c r="C101" s="1561" t="s">
        <v>477</v>
      </c>
      <c r="D101" s="1561"/>
      <c r="E101" s="1561"/>
      <c r="F101" s="1561"/>
      <c r="G101" s="1561"/>
      <c r="H101" s="1561"/>
      <c r="I101" s="1561"/>
      <c r="J101" s="1561"/>
      <c r="K101" s="1561"/>
      <c r="L101" s="1561"/>
      <c r="M101" s="1561"/>
      <c r="N101" s="1561"/>
      <c r="O101" s="1561"/>
      <c r="P101" s="1561"/>
      <c r="Q101" s="222"/>
      <c r="R101" s="222"/>
      <c r="S101" s="222"/>
      <c r="T101" s="222"/>
      <c r="U101" s="222"/>
      <c r="V101" s="222"/>
      <c r="W101" s="222"/>
      <c r="X101" s="222"/>
      <c r="Y101" s="222"/>
      <c r="Z101" s="222"/>
      <c r="AA101" s="222"/>
      <c r="AB101" s="222"/>
      <c r="AC101" s="48"/>
      <c r="AD101" s="48"/>
      <c r="AE101" s="48"/>
      <c r="AF101" s="48"/>
      <c r="AG101" s="48"/>
      <c r="AH101" s="48"/>
      <c r="AI101" s="48"/>
      <c r="AJ101" s="48"/>
      <c r="AK101" s="48"/>
      <c r="AL101" s="48"/>
      <c r="AM101" s="48"/>
      <c r="AN101" s="48"/>
      <c r="AO101" s="481"/>
      <c r="AP101" s="481"/>
      <c r="AQ101" s="481"/>
      <c r="AR101" s="481"/>
      <c r="AS101" s="481"/>
      <c r="AT101" s="481"/>
      <c r="AU101" s="481"/>
      <c r="AV101" s="481"/>
      <c r="AW101" s="481"/>
      <c r="AX101" s="481"/>
      <c r="AY101" s="481"/>
      <c r="AZ101" s="481"/>
      <c r="BA101" s="481"/>
      <c r="BB101" s="481"/>
      <c r="BC101" s="481"/>
      <c r="BD101" s="481"/>
      <c r="BE101" s="481"/>
      <c r="BF101" s="481"/>
      <c r="BG101" s="481"/>
      <c r="BH101" s="481"/>
      <c r="BI101" s="481"/>
      <c r="BJ101" s="481"/>
      <c r="BK101" s="481"/>
      <c r="BL101" s="481"/>
      <c r="BM101" s="481"/>
    </row>
    <row r="102" spans="1:65" ht="19.5" customHeight="1" x14ac:dyDescent="0.25">
      <c r="A102" s="186"/>
      <c r="B102" s="218"/>
      <c r="C102" s="1731" t="s">
        <v>472</v>
      </c>
      <c r="D102" s="1731"/>
      <c r="E102" s="1731"/>
      <c r="F102" s="1731"/>
      <c r="G102" s="1731"/>
      <c r="H102" s="1731"/>
      <c r="I102" s="1731"/>
      <c r="J102" s="1763"/>
      <c r="K102" s="1763"/>
      <c r="L102" s="1763"/>
      <c r="M102" s="1763"/>
      <c r="N102" s="1767" t="str">
        <f>IF(J102="","",IF(HLOOKUP(J102,$I$19:$AF$33,15,FALSE)=0,"",HLOOKUP(J102,$I$19:$AF$33,15,FALSE)))</f>
        <v/>
      </c>
      <c r="O102" s="1767"/>
      <c r="P102" s="1767"/>
      <c r="Q102" s="222"/>
      <c r="R102" s="222"/>
      <c r="S102" s="222"/>
      <c r="T102" s="222"/>
      <c r="U102" s="222"/>
      <c r="V102" s="222"/>
      <c r="W102" s="222"/>
      <c r="X102" s="222"/>
      <c r="Y102" s="222"/>
      <c r="Z102" s="1565" t="str">
        <f>IF(SUM(O188:Z188)&gt;0,J$382,"")</f>
        <v/>
      </c>
      <c r="AA102" s="1565"/>
      <c r="AB102" s="1565"/>
      <c r="AC102" s="1565"/>
      <c r="AD102" s="1565"/>
      <c r="AE102" s="1565"/>
      <c r="AF102" s="1565"/>
      <c r="AG102" s="1565"/>
      <c r="AH102" s="48"/>
      <c r="AI102" s="48"/>
      <c r="AJ102" s="48"/>
      <c r="AK102" s="48"/>
      <c r="AL102" s="219"/>
      <c r="AM102" s="200"/>
      <c r="AN102" s="48"/>
      <c r="AO102" s="481"/>
      <c r="AP102" s="481"/>
      <c r="AQ102" s="481"/>
      <c r="AR102" s="481"/>
      <c r="AS102" s="481"/>
      <c r="AT102" s="481"/>
      <c r="AU102" s="481"/>
      <c r="AV102" s="481"/>
      <c r="AW102" s="481"/>
      <c r="AX102" s="481"/>
      <c r="AY102" s="481"/>
      <c r="AZ102" s="481"/>
      <c r="BA102" s="481"/>
      <c r="BB102" s="481"/>
      <c r="BC102" s="481"/>
      <c r="BD102" s="481"/>
      <c r="BE102" s="481"/>
      <c r="BF102" s="481"/>
      <c r="BG102" s="481"/>
      <c r="BH102" s="481"/>
      <c r="BI102" s="481"/>
      <c r="BJ102" s="481"/>
      <c r="BK102" s="481"/>
      <c r="BL102" s="481"/>
      <c r="BM102" s="481"/>
    </row>
    <row r="103" spans="1:65" ht="9" customHeight="1" x14ac:dyDescent="0.2">
      <c r="A103" s="186"/>
      <c r="B103" s="185"/>
      <c r="C103" s="185"/>
      <c r="D103" s="185"/>
      <c r="E103" s="185"/>
      <c r="F103" s="185"/>
      <c r="G103" s="185"/>
      <c r="H103" s="185"/>
      <c r="I103" s="185"/>
      <c r="J103" s="185"/>
      <c r="K103" s="185"/>
      <c r="L103" s="185"/>
      <c r="M103" s="185"/>
      <c r="N103" s="185"/>
      <c r="O103" s="185"/>
      <c r="P103" s="185"/>
      <c r="Q103" s="185"/>
      <c r="R103" s="185"/>
      <c r="S103" s="185"/>
      <c r="T103" s="185"/>
      <c r="U103" s="185"/>
      <c r="V103" s="185"/>
      <c r="W103" s="185"/>
      <c r="X103" s="185"/>
      <c r="Y103" s="185"/>
      <c r="Z103" s="185"/>
      <c r="AA103" s="185"/>
      <c r="AB103" s="185"/>
      <c r="AC103" s="186"/>
      <c r="AD103" s="186"/>
      <c r="AE103" s="186"/>
      <c r="AF103" s="186"/>
      <c r="AG103" s="186"/>
      <c r="AH103" s="186"/>
      <c r="AI103" s="186"/>
      <c r="AJ103" s="186"/>
      <c r="AK103" s="186"/>
      <c r="AL103" s="186"/>
      <c r="AM103" s="186"/>
      <c r="AN103" s="48"/>
      <c r="AO103" s="481"/>
      <c r="AP103" s="481"/>
      <c r="AQ103" s="481"/>
      <c r="AR103" s="481"/>
      <c r="AS103" s="481"/>
      <c r="AT103" s="481"/>
      <c r="AU103" s="481"/>
      <c r="AV103" s="481"/>
      <c r="AW103" s="481"/>
      <c r="AX103" s="481"/>
      <c r="AY103" s="481"/>
      <c r="AZ103" s="481"/>
      <c r="BA103" s="481"/>
      <c r="BB103" s="481"/>
      <c r="BC103" s="481"/>
      <c r="BD103" s="481"/>
      <c r="BE103" s="481"/>
      <c r="BF103" s="481"/>
      <c r="BG103" s="481"/>
      <c r="BH103" s="481"/>
      <c r="BI103" s="481"/>
      <c r="BJ103" s="481"/>
      <c r="BK103" s="481"/>
      <c r="BL103" s="481"/>
      <c r="BM103" s="481"/>
    </row>
    <row r="104" spans="1:65" ht="18.75" customHeight="1" x14ac:dyDescent="0.25">
      <c r="A104" s="186"/>
      <c r="B104" s="185"/>
      <c r="C104" s="185"/>
      <c r="D104" s="48"/>
      <c r="E104" s="48"/>
      <c r="F104" s="48"/>
      <c r="G104" s="546">
        <f>IF(T104="",0,1)</f>
        <v>0</v>
      </c>
      <c r="H104" s="546" t="str">
        <f>IF(J102="","",HLOOKUP(J102,$J$18:$AD$22,3,FALSE))</f>
        <v/>
      </c>
      <c r="I104" s="149" t="str">
        <f>IF(H104=0,"",H104)</f>
        <v/>
      </c>
      <c r="J104" s="1748" t="str">
        <f>IF(J$102="","",HLOOKUP(J$102,$I$19:$AF$26,6,FALSE))</f>
        <v/>
      </c>
      <c r="K104" s="1749"/>
      <c r="L104" s="1749"/>
      <c r="M104" s="1750"/>
      <c r="N104" s="48"/>
      <c r="O104" s="48"/>
      <c r="P104" s="48"/>
      <c r="Q104" s="48"/>
      <c r="R104" s="1740" t="s">
        <v>429</v>
      </c>
      <c r="S104" s="1740"/>
      <c r="T104" s="537"/>
      <c r="U104" s="1748" t="str">
        <f>IF(J$102="","",IF(T104="","",VLOOKUP(T104,$B$8:$K$14,10,FALSE)))</f>
        <v/>
      </c>
      <c r="V104" s="1749"/>
      <c r="W104" s="1749"/>
      <c r="X104" s="1750"/>
      <c r="Y104" s="185"/>
      <c r="Z104" s="1744" t="s">
        <v>475</v>
      </c>
      <c r="AA104" s="1744"/>
      <c r="AB104" s="1744"/>
      <c r="AC104" s="1744"/>
      <c r="AD104" s="1744"/>
      <c r="AE104" s="1744"/>
      <c r="AF104" s="1744"/>
      <c r="AG104" s="1744"/>
      <c r="AH104" s="186"/>
      <c r="AI104" s="186"/>
      <c r="AJ104" s="186"/>
      <c r="AK104" s="186"/>
      <c r="AL104" s="48"/>
      <c r="AM104" s="48"/>
      <c r="AN104" s="48"/>
      <c r="AO104" s="481"/>
      <c r="AP104" s="481"/>
      <c r="AQ104" s="481"/>
      <c r="AR104" s="481"/>
      <c r="AS104" s="481"/>
      <c r="AT104" s="481"/>
      <c r="AU104" s="481"/>
      <c r="AV104" s="481"/>
      <c r="AW104" s="481"/>
      <c r="AX104" s="481"/>
      <c r="AY104" s="481"/>
      <c r="AZ104" s="481"/>
      <c r="BA104" s="481"/>
      <c r="BB104" s="481"/>
      <c r="BC104" s="481"/>
      <c r="BD104" s="481"/>
      <c r="BE104" s="481"/>
      <c r="BF104" s="481"/>
      <c r="BG104" s="481"/>
      <c r="BH104" s="481"/>
      <c r="BI104" s="481"/>
      <c r="BJ104" s="481"/>
      <c r="BK104" s="481"/>
      <c r="BL104" s="481"/>
      <c r="BM104" s="481"/>
    </row>
    <row r="105" spans="1:65" ht="18.75" customHeight="1" x14ac:dyDescent="0.2">
      <c r="A105" s="186"/>
      <c r="B105" s="185"/>
      <c r="C105" s="185"/>
      <c r="D105" s="48"/>
      <c r="E105" s="48"/>
      <c r="F105" s="48"/>
      <c r="G105" s="546">
        <f>IF(T105="",0,1)</f>
        <v>0</v>
      </c>
      <c r="H105" s="546" t="str">
        <f>IF(J102="","",HLOOKUP(J102,$J$18:$AD$22,4,FALSE))</f>
        <v/>
      </c>
      <c r="I105" s="149" t="str">
        <f>IF(H105=0,"",H105)</f>
        <v/>
      </c>
      <c r="J105" s="1754" t="str">
        <f>IF(J$102="","",HLOOKUP(J$102,$I$19:$AF$26,7,FALSE))</f>
        <v/>
      </c>
      <c r="K105" s="1755"/>
      <c r="L105" s="1755"/>
      <c r="M105" s="1756"/>
      <c r="N105" s="1739" t="s">
        <v>474</v>
      </c>
      <c r="O105" s="1739"/>
      <c r="P105" s="1739"/>
      <c r="Q105" s="1739"/>
      <c r="R105" s="1740" t="s">
        <v>430</v>
      </c>
      <c r="S105" s="1740"/>
      <c r="T105" s="538"/>
      <c r="U105" s="1754" t="str">
        <f>IF(J102="","",IF(SUM(G104:G106)=0,"",IF(T105="","",VLOOKUP(T105,$R$131:$Y$145,8,FALSE))))</f>
        <v/>
      </c>
      <c r="V105" s="1755"/>
      <c r="W105" s="1755"/>
      <c r="X105" s="1756"/>
      <c r="Y105" s="185"/>
      <c r="Z105" s="1550" t="s">
        <v>476</v>
      </c>
      <c r="AA105" s="1550"/>
      <c r="AB105" s="1550"/>
      <c r="AC105" s="1550"/>
      <c r="AD105" s="1550" t="s">
        <v>259</v>
      </c>
      <c r="AE105" s="1550"/>
      <c r="AF105" s="1550"/>
      <c r="AG105" s="1550"/>
      <c r="AH105" s="186"/>
      <c r="AI105" s="186"/>
      <c r="AJ105" s="186"/>
      <c r="AK105" s="186"/>
      <c r="AL105" s="48"/>
      <c r="AM105" s="48"/>
      <c r="AN105" s="48"/>
      <c r="AO105" s="481"/>
      <c r="AP105" s="481"/>
      <c r="AQ105" s="481"/>
      <c r="AR105" s="481"/>
      <c r="AS105" s="481"/>
      <c r="AT105" s="481"/>
      <c r="AU105" s="481"/>
      <c r="AV105" s="481"/>
      <c r="AW105" s="481"/>
      <c r="AX105" s="481"/>
      <c r="AY105" s="481"/>
      <c r="AZ105" s="481"/>
      <c r="BA105" s="481"/>
      <c r="BB105" s="481"/>
      <c r="BC105" s="481"/>
      <c r="BD105" s="481"/>
      <c r="BE105" s="481"/>
      <c r="BF105" s="481"/>
      <c r="BG105" s="481"/>
      <c r="BH105" s="481"/>
      <c r="BI105" s="481"/>
      <c r="BJ105" s="481"/>
      <c r="BK105" s="481"/>
      <c r="BL105" s="481"/>
      <c r="BM105" s="481"/>
    </row>
    <row r="106" spans="1:65" ht="18.75" customHeight="1" x14ac:dyDescent="0.2">
      <c r="A106" s="186"/>
      <c r="B106" s="185"/>
      <c r="C106" s="185"/>
      <c r="D106" s="48"/>
      <c r="E106" s="48"/>
      <c r="F106" s="48"/>
      <c r="G106" s="546">
        <f>IF(T106="",0,1)</f>
        <v>0</v>
      </c>
      <c r="H106" s="546" t="str">
        <f>IF(J102="","",HLOOKUP(J102,$J$18:$AD$22,5,FALSE))</f>
        <v/>
      </c>
      <c r="I106" s="149" t="str">
        <f>IF(H106=0,"",H106)</f>
        <v/>
      </c>
      <c r="J106" s="1562" t="str">
        <f>IF(J$102="","",HLOOKUP(J$102,$I$19:$AF$26,8,FALSE))</f>
        <v/>
      </c>
      <c r="K106" s="1563"/>
      <c r="L106" s="1563"/>
      <c r="M106" s="1564"/>
      <c r="N106" s="48"/>
      <c r="O106" s="48"/>
      <c r="P106" s="48"/>
      <c r="Q106" s="48"/>
      <c r="R106" s="1741" t="s">
        <v>432</v>
      </c>
      <c r="S106" s="1741"/>
      <c r="T106" s="539"/>
      <c r="U106" s="1562" t="str">
        <f>IF(J102="","",IF(T106="","",VLOOKUP(T106,$AG$8:$AH$14,2,FALSE)))</f>
        <v/>
      </c>
      <c r="V106" s="1563"/>
      <c r="W106" s="1563"/>
      <c r="X106" s="1564"/>
      <c r="Y106" s="241"/>
      <c r="Z106" s="1745"/>
      <c r="AA106" s="1746"/>
      <c r="AB106" s="1746"/>
      <c r="AC106" s="1747"/>
      <c r="AD106" s="1764"/>
      <c r="AE106" s="1746"/>
      <c r="AF106" s="1746"/>
      <c r="AG106" s="1765"/>
      <c r="AH106" s="1742" t="str">
        <f>IF(N102="",IF(OR(Z106="",AD106="",U105="",U104="",U104=0,U105=0),"",IF(OR(Z107&gt;AD107,AE189=L188),C$152,H$382)),L188)</f>
        <v/>
      </c>
      <c r="AI106" s="1743"/>
      <c r="AJ106" s="1743"/>
      <c r="AK106" s="186"/>
      <c r="AL106" s="48"/>
      <c r="AM106" s="48"/>
      <c r="AN106" s="48"/>
      <c r="AO106" s="481"/>
      <c r="AP106" s="481"/>
      <c r="AQ106" s="481"/>
      <c r="AR106" s="481"/>
      <c r="AS106" s="481"/>
      <c r="AT106" s="481"/>
      <c r="AU106" s="481"/>
      <c r="AV106" s="481"/>
      <c r="AW106" s="481"/>
      <c r="AX106" s="481"/>
      <c r="AY106" s="481"/>
      <c r="AZ106" s="481"/>
      <c r="BA106" s="481"/>
      <c r="BB106" s="481"/>
      <c r="BC106" s="481"/>
      <c r="BD106" s="481"/>
      <c r="BE106" s="481"/>
      <c r="BF106" s="481"/>
      <c r="BG106" s="481"/>
      <c r="BH106" s="481"/>
      <c r="BI106" s="481"/>
      <c r="BJ106" s="481"/>
      <c r="BK106" s="481"/>
      <c r="BL106" s="481"/>
      <c r="BM106" s="481"/>
    </row>
    <row r="107" spans="1:65" ht="18" customHeight="1" x14ac:dyDescent="0.25">
      <c r="A107" s="186"/>
      <c r="B107" s="185"/>
      <c r="C107" s="185"/>
      <c r="D107" s="185"/>
      <c r="E107" s="185"/>
      <c r="F107" s="185"/>
      <c r="G107" s="185"/>
      <c r="H107" s="185"/>
      <c r="I107" s="185"/>
      <c r="J107" s="1766" t="s">
        <v>473</v>
      </c>
      <c r="K107" s="1766"/>
      <c r="L107" s="1766"/>
      <c r="M107" s="1766"/>
      <c r="N107" s="185"/>
      <c r="O107" s="185"/>
      <c r="P107" s="185"/>
      <c r="Q107" s="185"/>
      <c r="R107" s="185"/>
      <c r="S107" s="185"/>
      <c r="T107" s="1757" t="s">
        <v>479</v>
      </c>
      <c r="U107" s="1757"/>
      <c r="V107" s="1757"/>
      <c r="W107" s="1757"/>
      <c r="X107" s="1757"/>
      <c r="Y107" s="185"/>
      <c r="Z107" s="1566" t="e">
        <f>VLOOKUP(Z106,C$170:G$181,5,FALSE)</f>
        <v>#N/A</v>
      </c>
      <c r="AA107" s="1566"/>
      <c r="AB107" s="1566"/>
      <c r="AC107" s="1566"/>
      <c r="AD107" s="1566" t="e">
        <f>VLOOKUP(AD106,C$170:G$181,5,FALSE)</f>
        <v>#N/A</v>
      </c>
      <c r="AE107" s="1566"/>
      <c r="AF107" s="1566"/>
      <c r="AG107" s="1566"/>
      <c r="AH107" s="186"/>
      <c r="AI107" s="186"/>
      <c r="AJ107" s="186"/>
      <c r="AK107" s="186"/>
      <c r="AL107" s="186"/>
      <c r="AM107" s="186"/>
      <c r="AN107" s="48"/>
      <c r="AO107" s="481"/>
      <c r="AP107" s="481"/>
      <c r="AQ107" s="481"/>
      <c r="AR107" s="481"/>
      <c r="AS107" s="481"/>
      <c r="AT107" s="481"/>
      <c r="AU107" s="481"/>
      <c r="AV107" s="481"/>
      <c r="AW107" s="481"/>
      <c r="AX107" s="481"/>
      <c r="AY107" s="481"/>
      <c r="AZ107" s="481"/>
      <c r="BA107" s="481"/>
      <c r="BB107" s="481"/>
      <c r="BC107" s="481"/>
      <c r="BD107" s="481"/>
      <c r="BE107" s="481"/>
      <c r="BF107" s="481"/>
      <c r="BG107" s="481"/>
      <c r="BH107" s="481"/>
      <c r="BI107" s="481"/>
      <c r="BJ107" s="481"/>
      <c r="BK107" s="481"/>
      <c r="BL107" s="481"/>
      <c r="BM107" s="481"/>
    </row>
    <row r="108" spans="1:65" ht="24" customHeight="1" x14ac:dyDescent="0.2">
      <c r="A108" s="186"/>
      <c r="B108" s="185"/>
      <c r="C108" s="185"/>
      <c r="D108" s="185"/>
      <c r="E108" s="185"/>
      <c r="F108" s="185"/>
      <c r="G108" s="185"/>
      <c r="H108" s="185"/>
      <c r="I108" s="185"/>
      <c r="J108" s="185"/>
      <c r="K108" s="185"/>
      <c r="L108" s="185"/>
      <c r="M108" s="185"/>
      <c r="N108" s="185"/>
      <c r="O108" s="185"/>
      <c r="P108" s="185"/>
      <c r="Q108" s="185"/>
      <c r="R108" s="185"/>
      <c r="S108" s="185"/>
      <c r="T108" s="948" t="str">
        <f>AE190</f>
        <v>Questa colonna esiste già !!!</v>
      </c>
      <c r="U108" s="185"/>
      <c r="V108" s="185"/>
      <c r="W108" s="185"/>
      <c r="X108" s="185"/>
      <c r="Y108" s="185"/>
      <c r="Z108" s="185"/>
      <c r="AA108" s="185"/>
      <c r="AB108" s="185"/>
      <c r="AC108" s="186"/>
      <c r="AD108" s="186"/>
      <c r="AE108" s="186"/>
      <c r="AF108" s="186"/>
      <c r="AG108" s="186"/>
      <c r="AH108" s="186"/>
      <c r="AI108" s="186"/>
      <c r="AJ108" s="186"/>
      <c r="AK108" s="186"/>
      <c r="AL108" s="186"/>
      <c r="AM108" s="186"/>
      <c r="AN108" s="48"/>
      <c r="AO108" s="481"/>
      <c r="AP108" s="481"/>
      <c r="AQ108" s="481"/>
      <c r="AR108" s="481"/>
      <c r="AS108" s="481"/>
      <c r="AT108" s="481"/>
      <c r="AU108" s="481"/>
      <c r="AV108" s="481"/>
      <c r="AW108" s="481"/>
      <c r="AX108" s="481"/>
      <c r="AY108" s="481"/>
      <c r="AZ108" s="481"/>
      <c r="BA108" s="481"/>
      <c r="BB108" s="481"/>
      <c r="BC108" s="481"/>
      <c r="BD108" s="481"/>
      <c r="BE108" s="481"/>
      <c r="BF108" s="481"/>
      <c r="BG108" s="481"/>
      <c r="BH108" s="481"/>
      <c r="BI108" s="481"/>
      <c r="BJ108" s="481"/>
      <c r="BK108" s="481"/>
      <c r="BL108" s="481"/>
      <c r="BM108" s="481"/>
    </row>
    <row r="109" spans="1:65" ht="19.5" customHeight="1" x14ac:dyDescent="0.2">
      <c r="A109" s="186"/>
      <c r="B109" s="185"/>
      <c r="C109" s="1561" t="s">
        <v>478</v>
      </c>
      <c r="D109" s="1561"/>
      <c r="E109" s="1561"/>
      <c r="F109" s="1561"/>
      <c r="G109" s="1561"/>
      <c r="H109" s="1561"/>
      <c r="I109" s="1561"/>
      <c r="J109" s="1561"/>
      <c r="K109" s="1561"/>
      <c r="L109" s="1561"/>
      <c r="M109" s="1561"/>
      <c r="N109" s="1561"/>
      <c r="O109" s="1561"/>
      <c r="P109" s="1561"/>
      <c r="Q109" s="222"/>
      <c r="R109" s="222"/>
      <c r="S109" s="222"/>
      <c r="T109" s="222"/>
      <c r="U109" s="222"/>
      <c r="V109" s="222"/>
      <c r="W109" s="222"/>
      <c r="X109" s="222"/>
      <c r="Y109" s="222"/>
      <c r="Z109" s="222"/>
      <c r="AA109" s="222"/>
      <c r="AB109" s="222"/>
      <c r="AC109" s="48"/>
      <c r="AD109" s="48"/>
      <c r="AE109" s="48"/>
      <c r="AF109" s="48"/>
      <c r="AG109" s="48"/>
      <c r="AH109" s="48"/>
      <c r="AI109" s="48"/>
      <c r="AJ109" s="48"/>
      <c r="AK109" s="48"/>
      <c r="AL109" s="48"/>
      <c r="AM109" s="48"/>
      <c r="AN109" s="48"/>
      <c r="AO109" s="481"/>
      <c r="AP109" s="481"/>
      <c r="AQ109" s="481"/>
      <c r="AR109" s="481"/>
      <c r="AS109" s="481"/>
      <c r="AT109" s="481"/>
      <c r="AU109" s="481"/>
      <c r="AV109" s="481"/>
      <c r="AW109" s="481"/>
      <c r="AX109" s="481"/>
      <c r="AY109" s="481"/>
      <c r="AZ109" s="481"/>
      <c r="BA109" s="481"/>
      <c r="BB109" s="481"/>
      <c r="BC109" s="481"/>
      <c r="BD109" s="481"/>
      <c r="BE109" s="481"/>
      <c r="BF109" s="481"/>
      <c r="BG109" s="481"/>
      <c r="BH109" s="481"/>
      <c r="BI109" s="481"/>
      <c r="BJ109" s="481"/>
      <c r="BK109" s="481"/>
      <c r="BL109" s="481"/>
      <c r="BM109" s="481"/>
    </row>
    <row r="110" spans="1:65" ht="19.5" customHeight="1" x14ac:dyDescent="0.25">
      <c r="A110" s="186"/>
      <c r="B110" s="218"/>
      <c r="C110" s="1731" t="s">
        <v>472</v>
      </c>
      <c r="D110" s="1731"/>
      <c r="E110" s="1731"/>
      <c r="F110" s="1731"/>
      <c r="G110" s="1731"/>
      <c r="H110" s="1731"/>
      <c r="I110" s="1731"/>
      <c r="J110" s="1763"/>
      <c r="K110" s="1763"/>
      <c r="L110" s="1763"/>
      <c r="M110" s="1763"/>
      <c r="N110" s="1767" t="str">
        <f>IF(J110="","",IF(HLOOKUP(J110,$I$19:$AF$33,15,FALSE)=0,"",HLOOKUP(J110,$I$19:$AF$33,15,FALSE)))</f>
        <v/>
      </c>
      <c r="O110" s="1767"/>
      <c r="P110" s="1767"/>
      <c r="Q110" s="222"/>
      <c r="R110" s="222"/>
      <c r="S110" s="222"/>
      <c r="T110" s="222"/>
      <c r="U110" s="222"/>
      <c r="V110" s="222"/>
      <c r="W110" s="222"/>
      <c r="X110" s="222"/>
      <c r="Y110" s="222"/>
      <c r="Z110" s="1565" t="str">
        <f>IF(SUM(O189:Z189)&gt;0,J$382,"")</f>
        <v/>
      </c>
      <c r="AA110" s="1565"/>
      <c r="AB110" s="1565"/>
      <c r="AC110" s="1565"/>
      <c r="AD110" s="1565"/>
      <c r="AE110" s="1565"/>
      <c r="AF110" s="1565"/>
      <c r="AG110" s="1565"/>
      <c r="AH110" s="48"/>
      <c r="AI110" s="48"/>
      <c r="AJ110" s="48"/>
      <c r="AK110" s="48"/>
      <c r="AL110" s="219"/>
      <c r="AM110" s="200"/>
      <c r="AN110" s="48"/>
      <c r="AO110" s="481"/>
      <c r="AP110" s="481"/>
      <c r="AQ110" s="481"/>
      <c r="AR110" s="481"/>
      <c r="AS110" s="481"/>
      <c r="AT110" s="481"/>
      <c r="AU110" s="481"/>
      <c r="AV110" s="481"/>
      <c r="AW110" s="481"/>
      <c r="AX110" s="481"/>
      <c r="AY110" s="481"/>
      <c r="AZ110" s="481"/>
      <c r="BA110" s="481"/>
      <c r="BB110" s="481"/>
      <c r="BC110" s="481"/>
      <c r="BD110" s="481"/>
      <c r="BE110" s="481"/>
      <c r="BF110" s="481"/>
      <c r="BG110" s="481"/>
      <c r="BH110" s="481"/>
      <c r="BI110" s="481"/>
      <c r="BJ110" s="481"/>
      <c r="BK110" s="481"/>
      <c r="BL110" s="481"/>
      <c r="BM110" s="481"/>
    </row>
    <row r="111" spans="1:65" ht="9" customHeight="1" x14ac:dyDescent="0.2">
      <c r="A111" s="186"/>
      <c r="B111" s="185"/>
      <c r="C111" s="185"/>
      <c r="D111" s="185"/>
      <c r="E111" s="185"/>
      <c r="F111" s="185"/>
      <c r="G111" s="185"/>
      <c r="H111" s="185"/>
      <c r="I111" s="185"/>
      <c r="J111" s="185"/>
      <c r="K111" s="185"/>
      <c r="L111" s="185"/>
      <c r="M111" s="185"/>
      <c r="N111" s="185"/>
      <c r="O111" s="185"/>
      <c r="P111" s="185"/>
      <c r="Q111" s="185"/>
      <c r="R111" s="185"/>
      <c r="S111" s="185"/>
      <c r="T111" s="185"/>
      <c r="U111" s="185"/>
      <c r="V111" s="185"/>
      <c r="W111" s="185"/>
      <c r="X111" s="185"/>
      <c r="Y111" s="185"/>
      <c r="Z111" s="185"/>
      <c r="AA111" s="185"/>
      <c r="AB111" s="185"/>
      <c r="AC111" s="186"/>
      <c r="AD111" s="186"/>
      <c r="AE111" s="186"/>
      <c r="AF111" s="186"/>
      <c r="AG111" s="186"/>
      <c r="AH111" s="186"/>
      <c r="AI111" s="186"/>
      <c r="AJ111" s="186"/>
      <c r="AK111" s="186"/>
      <c r="AL111" s="186"/>
      <c r="AM111" s="186"/>
      <c r="AN111" s="48"/>
      <c r="AO111" s="481"/>
      <c r="AP111" s="481"/>
      <c r="AQ111" s="481"/>
      <c r="AR111" s="481"/>
      <c r="AS111" s="481"/>
      <c r="AT111" s="481"/>
      <c r="AU111" s="481"/>
      <c r="AV111" s="481"/>
      <c r="AW111" s="481"/>
      <c r="AX111" s="481"/>
      <c r="AY111" s="481"/>
      <c r="AZ111" s="481"/>
      <c r="BA111" s="481"/>
      <c r="BB111" s="481"/>
      <c r="BC111" s="481"/>
      <c r="BD111" s="481"/>
      <c r="BE111" s="481"/>
      <c r="BF111" s="481"/>
      <c r="BG111" s="481"/>
      <c r="BH111" s="481"/>
      <c r="BI111" s="481"/>
      <c r="BJ111" s="481"/>
      <c r="BK111" s="481"/>
      <c r="BL111" s="481"/>
      <c r="BM111" s="481"/>
    </row>
    <row r="112" spans="1:65" ht="18.75" customHeight="1" x14ac:dyDescent="0.25">
      <c r="A112" s="186"/>
      <c r="B112" s="185"/>
      <c r="C112" s="185"/>
      <c r="D112" s="48"/>
      <c r="E112" s="48"/>
      <c r="F112" s="48"/>
      <c r="G112" s="546">
        <f>IF(T112="",0,1)</f>
        <v>0</v>
      </c>
      <c r="H112" s="546" t="str">
        <f>IF(J110="","",HLOOKUP(J110,$J$18:$AD$22,3,FALSE))</f>
        <v/>
      </c>
      <c r="I112" s="149" t="str">
        <f>IF(H112=0,"",H112)</f>
        <v/>
      </c>
      <c r="J112" s="1748" t="str">
        <f>IF(J$110="","",HLOOKUP(J$110,$I$19:$AF$26,6,FALSE))</f>
        <v/>
      </c>
      <c r="K112" s="1749"/>
      <c r="L112" s="1749"/>
      <c r="M112" s="1750"/>
      <c r="N112" s="48"/>
      <c r="O112" s="48"/>
      <c r="P112" s="48"/>
      <c r="Q112" s="48"/>
      <c r="R112" s="1740" t="s">
        <v>429</v>
      </c>
      <c r="S112" s="1740"/>
      <c r="T112" s="537"/>
      <c r="U112" s="1748" t="str">
        <f>IF(J$110="","",IF(T112="","",VLOOKUP(T112,$B$8:$K$14,10,FALSE)))</f>
        <v/>
      </c>
      <c r="V112" s="1749"/>
      <c r="W112" s="1749"/>
      <c r="X112" s="1750"/>
      <c r="Y112" s="185"/>
      <c r="Z112" s="1744" t="s">
        <v>475</v>
      </c>
      <c r="AA112" s="1744"/>
      <c r="AB112" s="1744"/>
      <c r="AC112" s="1744"/>
      <c r="AD112" s="1744"/>
      <c r="AE112" s="1744"/>
      <c r="AF112" s="1744"/>
      <c r="AG112" s="1744"/>
      <c r="AH112" s="186"/>
      <c r="AI112" s="186"/>
      <c r="AJ112" s="186"/>
      <c r="AK112" s="186"/>
      <c r="AL112" s="48"/>
      <c r="AM112" s="48"/>
      <c r="AN112" s="48"/>
      <c r="AO112" s="481"/>
      <c r="AP112" s="481"/>
      <c r="AQ112" s="481"/>
      <c r="AR112" s="481"/>
      <c r="AS112" s="481"/>
      <c r="AT112" s="481"/>
      <c r="AU112" s="481"/>
      <c r="AV112" s="481"/>
      <c r="AW112" s="481"/>
      <c r="AX112" s="481"/>
      <c r="AY112" s="481"/>
      <c r="AZ112" s="481"/>
      <c r="BA112" s="481"/>
      <c r="BB112" s="481"/>
      <c r="BC112" s="481"/>
      <c r="BD112" s="481"/>
      <c r="BE112" s="481"/>
      <c r="BF112" s="481"/>
      <c r="BG112" s="481"/>
      <c r="BH112" s="481"/>
      <c r="BI112" s="481"/>
      <c r="BJ112" s="481"/>
      <c r="BK112" s="481"/>
      <c r="BL112" s="481"/>
      <c r="BM112" s="481"/>
    </row>
    <row r="113" spans="1:65" ht="18.75" customHeight="1" x14ac:dyDescent="0.2">
      <c r="A113" s="186"/>
      <c r="B113" s="185"/>
      <c r="C113" s="185"/>
      <c r="D113" s="48"/>
      <c r="E113" s="48"/>
      <c r="F113" s="48"/>
      <c r="G113" s="546">
        <f>IF(T113="",0,1)</f>
        <v>0</v>
      </c>
      <c r="H113" s="546" t="str">
        <f>IF(J110="","",HLOOKUP(J110,$J$18:$AD$22,4,FALSE))</f>
        <v/>
      </c>
      <c r="I113" s="149" t="str">
        <f>IF(H113=0,"",H113)</f>
        <v/>
      </c>
      <c r="J113" s="1754" t="str">
        <f>IF(J$110="","",HLOOKUP(J$110,$I$19:$AF$26,7,FALSE))</f>
        <v/>
      </c>
      <c r="K113" s="1755"/>
      <c r="L113" s="1755"/>
      <c r="M113" s="1756"/>
      <c r="N113" s="1739" t="s">
        <v>474</v>
      </c>
      <c r="O113" s="1739"/>
      <c r="P113" s="1739"/>
      <c r="Q113" s="1739"/>
      <c r="R113" s="1740" t="s">
        <v>430</v>
      </c>
      <c r="S113" s="1740"/>
      <c r="T113" s="538"/>
      <c r="U113" s="1754" t="str">
        <f>IF(J110="","",IF(SUM(G112:G114)=0,"",IF(T113="","",VLOOKUP(T113,$R$131:$Y$145,8,FALSE))))</f>
        <v/>
      </c>
      <c r="V113" s="1755"/>
      <c r="W113" s="1755"/>
      <c r="X113" s="1756"/>
      <c r="Y113" s="185"/>
      <c r="Z113" s="1550" t="s">
        <v>476</v>
      </c>
      <c r="AA113" s="1550"/>
      <c r="AB113" s="1550"/>
      <c r="AC113" s="1550"/>
      <c r="AD113" s="1550" t="s">
        <v>259</v>
      </c>
      <c r="AE113" s="1550"/>
      <c r="AF113" s="1550"/>
      <c r="AG113" s="1550"/>
      <c r="AH113" s="186"/>
      <c r="AI113" s="186"/>
      <c r="AJ113" s="186"/>
      <c r="AK113" s="186"/>
      <c r="AL113" s="48"/>
      <c r="AM113" s="48"/>
      <c r="AN113" s="48"/>
      <c r="AO113" s="481"/>
      <c r="AP113" s="481"/>
      <c r="AQ113" s="481"/>
      <c r="AR113" s="481"/>
      <c r="AS113" s="481"/>
      <c r="AT113" s="481"/>
      <c r="AU113" s="481"/>
      <c r="AV113" s="481"/>
      <c r="AW113" s="481"/>
      <c r="AX113" s="481"/>
      <c r="AY113" s="481"/>
      <c r="AZ113" s="481"/>
      <c r="BA113" s="481"/>
      <c r="BB113" s="481"/>
      <c r="BC113" s="481"/>
      <c r="BD113" s="481"/>
      <c r="BE113" s="481"/>
      <c r="BF113" s="481"/>
      <c r="BG113" s="481"/>
      <c r="BH113" s="481"/>
      <c r="BI113" s="481"/>
      <c r="BJ113" s="481"/>
      <c r="BK113" s="481"/>
      <c r="BL113" s="481"/>
      <c r="BM113" s="481"/>
    </row>
    <row r="114" spans="1:65" ht="18.75" customHeight="1" x14ac:dyDescent="0.2">
      <c r="A114" s="186"/>
      <c r="B114" s="185"/>
      <c r="C114" s="185"/>
      <c r="D114" s="48"/>
      <c r="E114" s="48"/>
      <c r="F114" s="48"/>
      <c r="G114" s="546">
        <f>IF(T114="",0,1)</f>
        <v>0</v>
      </c>
      <c r="H114" s="546" t="str">
        <f>IF(J110="","",HLOOKUP(J110,$J$18:$AD$22,5,FALSE))</f>
        <v/>
      </c>
      <c r="I114" s="149" t="str">
        <f>IF(H114=0,"",H114)</f>
        <v/>
      </c>
      <c r="J114" s="1562" t="str">
        <f>IF(J$110="","",HLOOKUP(J$110,$I$19:$AF$26,8,FALSE))</f>
        <v/>
      </c>
      <c r="K114" s="1563"/>
      <c r="L114" s="1563"/>
      <c r="M114" s="1564"/>
      <c r="N114" s="48"/>
      <c r="O114" s="48"/>
      <c r="P114" s="48"/>
      <c r="Q114" s="48"/>
      <c r="R114" s="1741" t="s">
        <v>432</v>
      </c>
      <c r="S114" s="1741"/>
      <c r="T114" s="539"/>
      <c r="U114" s="1562" t="str">
        <f>IF(J110="","",IF(T114="","",VLOOKUP(T114,$AG$8:$AH$14,2,FALSE)))</f>
        <v/>
      </c>
      <c r="V114" s="1563"/>
      <c r="W114" s="1563"/>
      <c r="X114" s="1564"/>
      <c r="Y114" s="241"/>
      <c r="Z114" s="1745"/>
      <c r="AA114" s="1746"/>
      <c r="AB114" s="1746"/>
      <c r="AC114" s="1747"/>
      <c r="AD114" s="1764"/>
      <c r="AE114" s="1746"/>
      <c r="AF114" s="1746"/>
      <c r="AG114" s="1765"/>
      <c r="AH114" s="1742" t="str">
        <f>IF(N110="",IF(OR(Z114="",AD114="",U113="",U112="",U112=0,U113=0),"",IF(OR(Z115&gt;AD115,AH189=L188),C$152,H$382)),L188)</f>
        <v/>
      </c>
      <c r="AI114" s="1743"/>
      <c r="AJ114" s="1743"/>
      <c r="AK114" s="186"/>
      <c r="AL114" s="48"/>
      <c r="AM114" s="48"/>
      <c r="AN114" s="48"/>
      <c r="AO114" s="481"/>
      <c r="AP114" s="481"/>
      <c r="AQ114" s="481"/>
      <c r="AR114" s="481"/>
      <c r="AS114" s="481"/>
      <c r="AT114" s="481"/>
      <c r="AU114" s="481"/>
      <c r="AV114" s="481"/>
      <c r="AW114" s="481"/>
      <c r="AX114" s="481"/>
      <c r="AY114" s="481"/>
      <c r="AZ114" s="481"/>
      <c r="BA114" s="481"/>
      <c r="BB114" s="481"/>
      <c r="BC114" s="481"/>
      <c r="BD114" s="481"/>
      <c r="BE114" s="481"/>
      <c r="BF114" s="481"/>
      <c r="BG114" s="481"/>
      <c r="BH114" s="481"/>
      <c r="BI114" s="481"/>
      <c r="BJ114" s="481"/>
      <c r="BK114" s="481"/>
      <c r="BL114" s="481"/>
      <c r="BM114" s="481"/>
    </row>
    <row r="115" spans="1:65" ht="18" customHeight="1" x14ac:dyDescent="0.25">
      <c r="A115" s="186"/>
      <c r="B115" s="185"/>
      <c r="C115" s="185"/>
      <c r="D115" s="185"/>
      <c r="E115" s="185"/>
      <c r="F115" s="185"/>
      <c r="G115" s="185"/>
      <c r="H115" s="185"/>
      <c r="I115" s="185"/>
      <c r="J115" s="1766" t="s">
        <v>473</v>
      </c>
      <c r="K115" s="1766"/>
      <c r="L115" s="1766"/>
      <c r="M115" s="1766"/>
      <c r="N115" s="185"/>
      <c r="O115" s="185"/>
      <c r="P115" s="185"/>
      <c r="Q115" s="185"/>
      <c r="R115" s="185"/>
      <c r="S115" s="185"/>
      <c r="T115" s="1757" t="s">
        <v>479</v>
      </c>
      <c r="U115" s="1757"/>
      <c r="V115" s="1757"/>
      <c r="W115" s="1757"/>
      <c r="X115" s="1757"/>
      <c r="Y115" s="185"/>
      <c r="Z115" s="1566" t="e">
        <f>VLOOKUP(Z114,C$170:G$181,5,FALSE)</f>
        <v>#N/A</v>
      </c>
      <c r="AA115" s="1566"/>
      <c r="AB115" s="1566"/>
      <c r="AC115" s="1566"/>
      <c r="AD115" s="1566" t="e">
        <f>VLOOKUP(AD114,C$170:G$181,5,FALSE)</f>
        <v>#N/A</v>
      </c>
      <c r="AE115" s="1566"/>
      <c r="AF115" s="1566"/>
      <c r="AG115" s="1566"/>
      <c r="AH115" s="186"/>
      <c r="AI115" s="186"/>
      <c r="AJ115" s="186"/>
      <c r="AK115" s="186"/>
      <c r="AL115" s="186"/>
      <c r="AM115" s="186"/>
      <c r="AN115" s="48"/>
      <c r="AO115" s="481"/>
      <c r="AP115" s="481"/>
      <c r="AQ115" s="481"/>
      <c r="AR115" s="481"/>
      <c r="AS115" s="481"/>
      <c r="AT115" s="481"/>
      <c r="AU115" s="481"/>
      <c r="AV115" s="481"/>
      <c r="AW115" s="481"/>
      <c r="AX115" s="481"/>
      <c r="AY115" s="481"/>
      <c r="AZ115" s="481"/>
      <c r="BA115" s="481"/>
      <c r="BB115" s="481"/>
      <c r="BC115" s="481"/>
      <c r="BD115" s="481"/>
      <c r="BE115" s="481"/>
      <c r="BF115" s="481"/>
      <c r="BG115" s="481"/>
      <c r="BH115" s="481"/>
      <c r="BI115" s="481"/>
      <c r="BJ115" s="481"/>
      <c r="BK115" s="481"/>
      <c r="BL115" s="481"/>
      <c r="BM115" s="481"/>
    </row>
    <row r="116" spans="1:65" ht="24" customHeight="1" x14ac:dyDescent="0.2">
      <c r="A116" s="186"/>
      <c r="B116" s="185"/>
      <c r="C116" s="185"/>
      <c r="D116" s="185"/>
      <c r="E116" s="185"/>
      <c r="F116" s="185"/>
      <c r="G116" s="185"/>
      <c r="H116" s="185"/>
      <c r="I116" s="185"/>
      <c r="J116" s="185"/>
      <c r="K116" s="185"/>
      <c r="L116" s="185"/>
      <c r="M116" s="185"/>
      <c r="N116" s="185"/>
      <c r="O116" s="185"/>
      <c r="P116" s="185"/>
      <c r="Q116" s="185"/>
      <c r="R116" s="185"/>
      <c r="S116" s="185"/>
      <c r="T116" s="948" t="str">
        <f>AH190</f>
        <v>Questa colonna esiste già !!!</v>
      </c>
      <c r="U116" s="185"/>
      <c r="V116" s="185"/>
      <c r="W116" s="185"/>
      <c r="X116" s="185"/>
      <c r="Y116" s="185"/>
      <c r="Z116" s="185"/>
      <c r="AA116" s="185"/>
      <c r="AB116" s="185"/>
      <c r="AC116" s="186"/>
      <c r="AD116" s="186"/>
      <c r="AE116" s="186"/>
      <c r="AF116" s="186"/>
      <c r="AG116" s="186"/>
      <c r="AH116" s="186"/>
      <c r="AI116" s="186"/>
      <c r="AJ116" s="186"/>
      <c r="AK116" s="186"/>
      <c r="AL116" s="186"/>
      <c r="AM116" s="186"/>
      <c r="AN116" s="48"/>
      <c r="AO116" s="481"/>
      <c r="AP116" s="481"/>
      <c r="AQ116" s="481"/>
      <c r="AR116" s="481"/>
      <c r="AS116" s="481"/>
      <c r="AT116" s="481"/>
      <c r="AU116" s="481"/>
      <c r="AV116" s="481"/>
      <c r="AW116" s="481"/>
      <c r="AX116" s="481"/>
      <c r="AY116" s="481"/>
      <c r="AZ116" s="481"/>
      <c r="BA116" s="481"/>
      <c r="BB116" s="481"/>
      <c r="BC116" s="481"/>
      <c r="BD116" s="481"/>
      <c r="BE116" s="481"/>
      <c r="BF116" s="481"/>
      <c r="BG116" s="481"/>
      <c r="BH116" s="481"/>
      <c r="BI116" s="481"/>
      <c r="BJ116" s="481"/>
      <c r="BK116" s="481"/>
      <c r="BL116" s="481"/>
      <c r="BM116" s="481"/>
    </row>
    <row r="117" spans="1:65" ht="18" customHeight="1" x14ac:dyDescent="0.2">
      <c r="A117" s="186"/>
      <c r="B117" s="185"/>
      <c r="C117" s="185"/>
      <c r="D117" s="185"/>
      <c r="E117" s="185"/>
      <c r="F117" s="185"/>
      <c r="G117" s="185"/>
      <c r="H117" s="185"/>
      <c r="I117" s="185"/>
      <c r="J117" s="185"/>
      <c r="K117" s="185"/>
      <c r="L117" s="185"/>
      <c r="M117" s="185"/>
      <c r="N117" s="185"/>
      <c r="O117" s="185"/>
      <c r="P117" s="185"/>
      <c r="Q117" s="185"/>
      <c r="R117" s="185"/>
      <c r="S117" s="185"/>
      <c r="T117" s="185"/>
      <c r="U117" s="185"/>
      <c r="V117" s="185"/>
      <c r="W117" s="185"/>
      <c r="X117" s="185"/>
      <c r="Y117" s="185"/>
      <c r="Z117" s="185"/>
      <c r="AA117" s="185"/>
      <c r="AB117" s="185"/>
      <c r="AC117" s="186"/>
      <c r="AD117" s="186"/>
      <c r="AE117" s="186"/>
      <c r="AF117" s="186"/>
      <c r="AG117" s="186"/>
      <c r="AH117" s="186"/>
      <c r="AI117" s="186"/>
      <c r="AJ117" s="186"/>
      <c r="AK117" s="186"/>
      <c r="AL117" s="186"/>
      <c r="AM117" s="186"/>
      <c r="AN117" s="48"/>
      <c r="AO117" s="481"/>
      <c r="AP117" s="481"/>
      <c r="AQ117" s="481"/>
      <c r="AR117" s="481"/>
      <c r="AS117" s="481"/>
      <c r="AT117" s="481"/>
      <c r="AU117" s="481"/>
      <c r="AV117" s="481"/>
      <c r="AW117" s="481"/>
      <c r="AX117" s="481"/>
      <c r="AY117" s="481"/>
      <c r="AZ117" s="481"/>
      <c r="BA117" s="481"/>
      <c r="BB117" s="481"/>
      <c r="BC117" s="481"/>
      <c r="BD117" s="481"/>
      <c r="BE117" s="481"/>
      <c r="BF117" s="481"/>
      <c r="BG117" s="481"/>
      <c r="BH117" s="481"/>
      <c r="BI117" s="481"/>
      <c r="BJ117" s="481"/>
      <c r="BK117" s="481"/>
      <c r="BL117" s="481"/>
      <c r="BM117" s="481"/>
    </row>
    <row r="118" spans="1:65" ht="18" customHeight="1" x14ac:dyDescent="0.2">
      <c r="A118" s="186"/>
      <c r="B118" s="185"/>
      <c r="C118" s="185"/>
      <c r="D118" s="185"/>
      <c r="E118" s="185"/>
      <c r="F118" s="185"/>
      <c r="G118" s="185"/>
      <c r="H118" s="185"/>
      <c r="I118" s="185"/>
      <c r="J118" s="185"/>
      <c r="K118" s="185"/>
      <c r="L118" s="185"/>
      <c r="M118" s="185"/>
      <c r="N118" s="185"/>
      <c r="O118" s="185"/>
      <c r="P118" s="185"/>
      <c r="Q118" s="185"/>
      <c r="R118" s="185"/>
      <c r="S118" s="185"/>
      <c r="T118" s="185"/>
      <c r="U118" s="185"/>
      <c r="V118" s="185"/>
      <c r="W118" s="185"/>
      <c r="X118" s="185"/>
      <c r="Y118" s="185"/>
      <c r="Z118" s="185"/>
      <c r="AA118" s="185"/>
      <c r="AB118" s="185"/>
      <c r="AC118" s="186"/>
      <c r="AD118" s="186"/>
      <c r="AE118" s="186"/>
      <c r="AF118" s="186"/>
      <c r="AG118" s="186"/>
      <c r="AH118" s="186"/>
      <c r="AI118" s="186"/>
      <c r="AJ118" s="186"/>
      <c r="AK118" s="186"/>
      <c r="AL118" s="186"/>
      <c r="AM118" s="186"/>
      <c r="AN118" s="48"/>
      <c r="AO118" s="481"/>
      <c r="AP118" s="481"/>
      <c r="AQ118" s="481"/>
      <c r="AR118" s="481"/>
      <c r="AS118" s="481"/>
      <c r="AT118" s="481"/>
      <c r="AU118" s="481"/>
      <c r="AV118" s="481"/>
      <c r="AW118" s="481"/>
      <c r="AX118" s="481"/>
      <c r="AY118" s="481"/>
      <c r="AZ118" s="481"/>
      <c r="BA118" s="481"/>
      <c r="BB118" s="481"/>
      <c r="BC118" s="481"/>
      <c r="BD118" s="481"/>
      <c r="BE118" s="481"/>
      <c r="BF118" s="481"/>
      <c r="BG118" s="481"/>
      <c r="BH118" s="481"/>
      <c r="BI118" s="481"/>
      <c r="BJ118" s="481"/>
      <c r="BK118" s="481"/>
      <c r="BL118" s="481"/>
      <c r="BM118" s="481"/>
    </row>
    <row r="119" spans="1:65" ht="18" customHeight="1" x14ac:dyDescent="0.2">
      <c r="A119" s="186"/>
      <c r="B119" s="185"/>
      <c r="C119" s="185"/>
      <c r="D119" s="185"/>
      <c r="E119" s="185"/>
      <c r="F119" s="185"/>
      <c r="G119" s="185"/>
      <c r="H119" s="185"/>
      <c r="I119" s="185"/>
      <c r="J119" s="185"/>
      <c r="K119" s="185"/>
      <c r="L119" s="185"/>
      <c r="M119" s="185"/>
      <c r="N119" s="185"/>
      <c r="O119" s="185"/>
      <c r="P119" s="185"/>
      <c r="Q119" s="185"/>
      <c r="R119" s="185"/>
      <c r="S119" s="185"/>
      <c r="T119" s="185"/>
      <c r="U119" s="185"/>
      <c r="V119" s="185"/>
      <c r="W119" s="185"/>
      <c r="X119" s="185"/>
      <c r="Y119" s="185"/>
      <c r="Z119" s="185"/>
      <c r="AA119" s="185"/>
      <c r="AB119" s="185"/>
      <c r="AC119" s="186"/>
      <c r="AD119" s="186"/>
      <c r="AE119" s="186"/>
      <c r="AF119" s="186"/>
      <c r="AG119" s="186"/>
      <c r="AH119" s="186"/>
      <c r="AI119" s="186"/>
      <c r="AJ119" s="186"/>
      <c r="AK119" s="186"/>
      <c r="AL119" s="186"/>
      <c r="AM119" s="186"/>
      <c r="AN119" s="48"/>
      <c r="AO119" s="481"/>
      <c r="AP119" s="481"/>
      <c r="AQ119" s="481"/>
      <c r="AR119" s="481"/>
      <c r="AS119" s="481"/>
      <c r="AT119" s="481"/>
      <c r="AU119" s="481"/>
      <c r="AV119" s="481"/>
      <c r="AW119" s="481"/>
      <c r="AX119" s="481"/>
      <c r="AY119" s="481"/>
      <c r="AZ119" s="481"/>
      <c r="BA119" s="481"/>
      <c r="BB119" s="481"/>
      <c r="BC119" s="481"/>
      <c r="BD119" s="481"/>
      <c r="BE119" s="481"/>
      <c r="BF119" s="481"/>
      <c r="BG119" s="481"/>
      <c r="BH119" s="481"/>
      <c r="BI119" s="481"/>
      <c r="BJ119" s="481"/>
      <c r="BK119" s="481"/>
      <c r="BL119" s="481"/>
      <c r="BM119" s="481"/>
    </row>
    <row r="120" spans="1:65" ht="17.25" customHeight="1" x14ac:dyDescent="0.2">
      <c r="A120" s="186"/>
      <c r="B120" s="185"/>
      <c r="C120" s="185"/>
      <c r="D120" s="185"/>
      <c r="E120" s="185"/>
      <c r="F120" s="185"/>
      <c r="G120" s="185"/>
      <c r="H120" s="185"/>
      <c r="I120" s="185"/>
      <c r="J120" s="185"/>
      <c r="K120" s="185"/>
      <c r="L120" s="185"/>
      <c r="M120" s="185"/>
      <c r="N120" s="185"/>
      <c r="O120" s="185"/>
      <c r="P120" s="185"/>
      <c r="Q120" s="185"/>
      <c r="R120" s="185"/>
      <c r="S120" s="185"/>
      <c r="T120" s="185"/>
      <c r="U120" s="185"/>
      <c r="V120" s="185"/>
      <c r="W120" s="185"/>
      <c r="X120" s="185"/>
      <c r="Y120" s="185"/>
      <c r="Z120" s="185"/>
      <c r="AA120" s="185"/>
      <c r="AB120" s="185"/>
      <c r="AC120" s="186"/>
      <c r="AD120" s="186"/>
      <c r="AE120" s="186"/>
      <c r="AF120" s="186"/>
      <c r="AG120" s="186"/>
      <c r="AH120" s="186"/>
      <c r="AI120" s="186"/>
      <c r="AJ120" s="186"/>
      <c r="AK120" s="186"/>
      <c r="AL120" s="186"/>
      <c r="AM120" s="186"/>
      <c r="AN120" s="48"/>
      <c r="AO120" s="481"/>
      <c r="AP120" s="481"/>
      <c r="AQ120" s="481"/>
      <c r="AR120" s="481"/>
      <c r="AS120" s="481"/>
      <c r="AT120" s="481"/>
      <c r="AU120" s="481"/>
      <c r="AV120" s="481"/>
      <c r="AW120" s="481"/>
      <c r="AX120" s="481"/>
      <c r="AY120" s="481"/>
      <c r="AZ120" s="481"/>
      <c r="BA120" s="481"/>
      <c r="BB120" s="481"/>
      <c r="BC120" s="481"/>
      <c r="BD120" s="481"/>
      <c r="BE120" s="481"/>
      <c r="BF120" s="481"/>
      <c r="BG120" s="481"/>
      <c r="BH120" s="481"/>
      <c r="BI120" s="481"/>
      <c r="BJ120" s="481"/>
      <c r="BK120" s="481"/>
      <c r="BL120" s="481"/>
      <c r="BM120" s="481"/>
    </row>
    <row r="121" spans="1:65" ht="17.25" customHeight="1" x14ac:dyDescent="0.2">
      <c r="A121" s="186"/>
      <c r="B121" s="185"/>
      <c r="C121" s="185"/>
      <c r="D121" s="185"/>
      <c r="E121" s="185"/>
      <c r="F121" s="185"/>
      <c r="G121" s="185"/>
      <c r="H121" s="185"/>
      <c r="I121" s="185"/>
      <c r="J121" s="185"/>
      <c r="K121" s="185"/>
      <c r="L121" s="185"/>
      <c r="M121" s="185"/>
      <c r="N121" s="185"/>
      <c r="O121" s="185"/>
      <c r="P121" s="185"/>
      <c r="Q121" s="185"/>
      <c r="R121" s="185"/>
      <c r="S121" s="185"/>
      <c r="T121" s="185"/>
      <c r="U121" s="185"/>
      <c r="V121" s="185"/>
      <c r="W121" s="185"/>
      <c r="X121" s="185"/>
      <c r="Y121" s="185"/>
      <c r="Z121" s="185"/>
      <c r="AA121" s="185"/>
      <c r="AB121" s="185"/>
      <c r="AC121" s="186"/>
      <c r="AD121" s="186"/>
      <c r="AE121" s="186"/>
      <c r="AF121" s="186"/>
      <c r="AG121" s="186"/>
      <c r="AH121" s="186"/>
      <c r="AI121" s="186"/>
      <c r="AJ121" s="186"/>
      <c r="AK121" s="186"/>
      <c r="AL121" s="186"/>
      <c r="AM121" s="186"/>
      <c r="AN121" s="48"/>
      <c r="AO121" s="481"/>
      <c r="AP121" s="481"/>
      <c r="AQ121" s="481"/>
      <c r="AR121" s="481"/>
      <c r="AS121" s="481"/>
      <c r="AT121" s="481"/>
      <c r="AU121" s="481"/>
      <c r="AV121" s="481"/>
      <c r="AW121" s="481"/>
      <c r="AX121" s="481"/>
      <c r="AY121" s="481"/>
      <c r="AZ121" s="481"/>
      <c r="BA121" s="481"/>
      <c r="BB121" s="481"/>
      <c r="BC121" s="481"/>
      <c r="BD121" s="481"/>
      <c r="BE121" s="481"/>
      <c r="BF121" s="481"/>
      <c r="BG121" s="481"/>
      <c r="BH121" s="481"/>
      <c r="BI121" s="481"/>
      <c r="BJ121" s="481"/>
      <c r="BK121" s="481"/>
      <c r="BL121" s="481"/>
      <c r="BM121" s="481"/>
    </row>
    <row r="122" spans="1:65" ht="18" customHeight="1" x14ac:dyDescent="0.2">
      <c r="A122" s="186"/>
      <c r="B122" s="185"/>
      <c r="C122" s="185"/>
      <c r="D122" s="185"/>
      <c r="E122" s="185"/>
      <c r="F122" s="185"/>
      <c r="G122" s="185"/>
      <c r="H122" s="185"/>
      <c r="I122" s="185"/>
      <c r="J122" s="185"/>
      <c r="K122" s="185"/>
      <c r="L122" s="185"/>
      <c r="M122" s="185"/>
      <c r="N122" s="185"/>
      <c r="O122" s="185"/>
      <c r="P122" s="185"/>
      <c r="Q122" s="185"/>
      <c r="R122" s="185"/>
      <c r="S122" s="185"/>
      <c r="T122" s="185"/>
      <c r="U122" s="185"/>
      <c r="V122" s="185"/>
      <c r="W122" s="185"/>
      <c r="X122" s="185"/>
      <c r="Y122" s="185"/>
      <c r="Z122" s="185"/>
      <c r="AA122" s="185"/>
      <c r="AB122" s="185"/>
      <c r="AC122" s="186"/>
      <c r="AD122" s="186"/>
      <c r="AE122" s="186"/>
      <c r="AF122" s="186"/>
      <c r="AG122" s="186"/>
      <c r="AH122" s="186"/>
      <c r="AI122" s="186"/>
      <c r="AJ122" s="186"/>
      <c r="AK122" s="186"/>
      <c r="AL122" s="186"/>
      <c r="AM122" s="186"/>
      <c r="AN122" s="48"/>
      <c r="AO122" s="481"/>
      <c r="AP122" s="481"/>
      <c r="AQ122" s="481"/>
      <c r="AR122" s="481"/>
      <c r="AS122" s="481"/>
      <c r="AT122" s="481"/>
      <c r="AU122" s="481"/>
      <c r="AV122" s="481"/>
      <c r="AW122" s="481"/>
      <c r="AX122" s="481"/>
      <c r="AY122" s="481"/>
      <c r="AZ122" s="481"/>
      <c r="BA122" s="481"/>
      <c r="BB122" s="481"/>
      <c r="BC122" s="481"/>
      <c r="BD122" s="481"/>
      <c r="BE122" s="481"/>
      <c r="BF122" s="481"/>
      <c r="BG122" s="481"/>
      <c r="BH122" s="481"/>
      <c r="BI122" s="481"/>
      <c r="BJ122" s="481"/>
      <c r="BK122" s="481"/>
      <c r="BL122" s="481"/>
      <c r="BM122" s="481"/>
    </row>
    <row r="123" spans="1:65" ht="18" customHeight="1" x14ac:dyDescent="0.2">
      <c r="A123" s="186"/>
      <c r="B123" s="185"/>
      <c r="C123" s="185"/>
      <c r="D123" s="185"/>
      <c r="E123" s="185"/>
      <c r="F123" s="185"/>
      <c r="G123" s="185"/>
      <c r="H123" s="185"/>
      <c r="I123" s="185"/>
      <c r="J123" s="185"/>
      <c r="K123" s="185"/>
      <c r="L123" s="185"/>
      <c r="M123" s="185"/>
      <c r="N123" s="185"/>
      <c r="O123" s="185"/>
      <c r="P123" s="185"/>
      <c r="Q123" s="185"/>
      <c r="R123" s="185"/>
      <c r="S123" s="185"/>
      <c r="T123" s="185"/>
      <c r="U123" s="185"/>
      <c r="V123" s="185"/>
      <c r="W123" s="185"/>
      <c r="X123" s="185"/>
      <c r="Y123" s="185"/>
      <c r="Z123" s="1683" t="s">
        <v>184</v>
      </c>
      <c r="AA123" s="1683"/>
      <c r="AB123" s="1683"/>
      <c r="AC123" s="1686"/>
      <c r="AD123" s="1686"/>
      <c r="AE123" s="1686"/>
      <c r="AF123" s="1686"/>
      <c r="AG123" s="1686"/>
      <c r="AH123" s="1686"/>
      <c r="AI123" s="1686"/>
      <c r="AJ123" s="1686"/>
      <c r="AK123" s="1686"/>
      <c r="AL123" s="1686"/>
      <c r="AM123" s="1686"/>
      <c r="AN123" s="48"/>
      <c r="AO123" s="481"/>
      <c r="AP123" s="481"/>
      <c r="AQ123" s="481"/>
      <c r="AR123" s="481"/>
      <c r="AS123" s="481"/>
      <c r="AT123" s="481"/>
      <c r="AU123" s="481"/>
      <c r="AV123" s="481"/>
      <c r="AW123" s="481"/>
      <c r="AX123" s="481"/>
      <c r="AY123" s="481"/>
      <c r="AZ123" s="481"/>
      <c r="BA123" s="481"/>
      <c r="BB123" s="481"/>
      <c r="BC123" s="481"/>
      <c r="BD123" s="481"/>
      <c r="BE123" s="481"/>
      <c r="BF123" s="481"/>
      <c r="BG123" s="481"/>
      <c r="BH123" s="481"/>
      <c r="BI123" s="481"/>
      <c r="BJ123" s="481"/>
      <c r="BK123" s="481"/>
      <c r="BL123" s="481"/>
      <c r="BM123" s="481"/>
    </row>
    <row r="124" spans="1:65" ht="18" customHeight="1" x14ac:dyDescent="0.2">
      <c r="A124" s="186"/>
      <c r="B124" s="185"/>
      <c r="C124" s="185"/>
      <c r="D124" s="185"/>
      <c r="E124" s="185"/>
      <c r="F124" s="185"/>
      <c r="G124" s="185"/>
      <c r="H124" s="185"/>
      <c r="I124" s="185"/>
      <c r="J124" s="185"/>
      <c r="K124" s="185"/>
      <c r="L124" s="185"/>
      <c r="M124" s="185"/>
      <c r="N124" s="185"/>
      <c r="O124" s="185"/>
      <c r="P124" s="185"/>
      <c r="Q124" s="185"/>
      <c r="R124" s="185"/>
      <c r="S124" s="185"/>
      <c r="T124" s="185"/>
      <c r="U124" s="185"/>
      <c r="V124" s="185"/>
      <c r="W124" s="185"/>
      <c r="X124" s="185"/>
      <c r="Y124" s="185"/>
      <c r="Z124" s="185"/>
      <c r="AA124" s="185"/>
      <c r="AB124" s="185"/>
      <c r="AC124" s="186"/>
      <c r="AD124" s="186"/>
      <c r="AE124" s="186"/>
      <c r="AF124" s="186"/>
      <c r="AG124" s="186"/>
      <c r="AH124" s="186"/>
      <c r="AI124" s="186"/>
      <c r="AJ124" s="186"/>
      <c r="AK124" s="186"/>
      <c r="AL124" s="186"/>
      <c r="AM124" s="186"/>
      <c r="AN124" s="48"/>
      <c r="AO124" s="481"/>
      <c r="AP124" s="481"/>
      <c r="AQ124" s="481"/>
      <c r="AR124" s="481"/>
      <c r="AS124" s="481"/>
      <c r="AT124" s="481"/>
      <c r="AU124" s="481"/>
      <c r="AV124" s="481"/>
      <c r="AW124" s="481"/>
      <c r="AX124" s="481"/>
      <c r="AY124" s="481"/>
      <c r="AZ124" s="481"/>
      <c r="BA124" s="481"/>
      <c r="BB124" s="481"/>
      <c r="BC124" s="481"/>
      <c r="BD124" s="481"/>
      <c r="BE124" s="481"/>
      <c r="BF124" s="481"/>
      <c r="BG124" s="481"/>
      <c r="BH124" s="481"/>
      <c r="BI124" s="481"/>
      <c r="BJ124" s="481"/>
      <c r="BK124" s="481"/>
      <c r="BL124" s="481"/>
      <c r="BM124" s="481"/>
    </row>
    <row r="125" spans="1:65" ht="18" customHeight="1" x14ac:dyDescent="0.2">
      <c r="A125" s="186"/>
      <c r="B125" s="185"/>
      <c r="C125" s="185"/>
      <c r="D125" s="185"/>
      <c r="E125" s="185"/>
      <c r="F125" s="185"/>
      <c r="G125" s="185"/>
      <c r="H125" s="185"/>
      <c r="I125" s="185"/>
      <c r="J125" s="185"/>
      <c r="K125" s="185"/>
      <c r="L125" s="185"/>
      <c r="M125" s="634" t="str">
        <f ca="1">Presentazione!$H$13</f>
        <v/>
      </c>
      <c r="N125" s="185"/>
      <c r="O125" s="185"/>
      <c r="P125" s="185"/>
      <c r="Q125" s="185"/>
      <c r="R125" s="185"/>
      <c r="S125" s="185"/>
      <c r="T125" s="185"/>
      <c r="U125" s="185"/>
      <c r="V125" s="185"/>
      <c r="W125" s="185"/>
      <c r="X125" s="185"/>
      <c r="Y125" s="185"/>
      <c r="Z125" s="185"/>
      <c r="AA125" s="185"/>
      <c r="AB125" s="185"/>
      <c r="AC125" s="186"/>
      <c r="AD125" s="186"/>
      <c r="AE125" s="186"/>
      <c r="AF125" s="186"/>
      <c r="AG125" s="186"/>
      <c r="AH125" s="186"/>
      <c r="AI125" s="186"/>
      <c r="AJ125" s="186"/>
      <c r="AK125" s="186"/>
      <c r="AL125" s="186"/>
      <c r="AM125" s="186"/>
      <c r="AN125" s="48"/>
      <c r="AO125" s="481"/>
      <c r="AP125" s="481"/>
      <c r="AQ125" s="481"/>
      <c r="AR125" s="481"/>
      <c r="AS125" s="481"/>
      <c r="AT125" s="481"/>
      <c r="AU125" s="481"/>
      <c r="AV125" s="481"/>
      <c r="AW125" s="481"/>
      <c r="AX125" s="481"/>
      <c r="AY125" s="481"/>
      <c r="AZ125" s="481"/>
      <c r="BA125" s="481"/>
      <c r="BB125" s="481"/>
      <c r="BC125" s="481"/>
      <c r="BD125" s="481"/>
      <c r="BE125" s="481"/>
      <c r="BF125" s="481"/>
      <c r="BG125" s="481"/>
      <c r="BH125" s="481"/>
      <c r="BI125" s="481"/>
      <c r="BJ125" s="481"/>
      <c r="BK125" s="481"/>
      <c r="BL125" s="481"/>
      <c r="BM125" s="481"/>
    </row>
    <row r="126" spans="1:65" ht="16.5" customHeight="1" x14ac:dyDescent="0.2">
      <c r="A126" s="186"/>
      <c r="B126" s="82" t="str">
        <f>Presentazione!$G$35</f>
        <v>Registro dei Corrispettivi 5.2.4 3txt - per EXCEL .xlsm</v>
      </c>
      <c r="C126" s="173"/>
      <c r="D126" s="173"/>
      <c r="E126" s="173"/>
      <c r="F126" s="173"/>
      <c r="G126" s="173"/>
      <c r="H126" s="173"/>
      <c r="I126" s="173"/>
      <c r="J126" s="173"/>
      <c r="K126" s="173"/>
      <c r="L126" s="218"/>
      <c r="M126" s="635" t="str">
        <f ca="1">IF(Presentazione!$J$165=Presentazione!$K$83,CONCATENATE(Presentazione!$F$77,"   -   ","P.I./C.F ",Presentazione!$K$79),Presentazione!$I$157)</f>
        <v>Sistema parzialmente attivato. Inserisci il tuo CODICE di PROPRIETA' nel foglio Presentazione.</v>
      </c>
      <c r="N126" s="218"/>
      <c r="O126" s="218"/>
      <c r="P126" s="218"/>
      <c r="Q126" s="218"/>
      <c r="R126" s="218"/>
      <c r="S126" s="218"/>
      <c r="T126" s="218"/>
      <c r="U126" s="218"/>
      <c r="V126" s="218"/>
      <c r="W126" s="218"/>
      <c r="X126" s="218"/>
      <c r="Y126" s="218"/>
      <c r="Z126" s="218"/>
      <c r="AA126" s="218"/>
      <c r="AB126" s="218"/>
      <c r="AC126" s="219"/>
      <c r="AD126" s="219"/>
      <c r="AE126" s="219"/>
      <c r="AF126" s="219"/>
      <c r="AG126" s="219"/>
      <c r="AH126" s="173"/>
      <c r="AI126" s="173"/>
      <c r="AJ126" s="173"/>
      <c r="AK126" s="173"/>
      <c r="AL126" s="173"/>
      <c r="AM126" s="636" t="s">
        <v>253</v>
      </c>
      <c r="AN126" s="200"/>
      <c r="AO126" s="481"/>
      <c r="AP126" s="481"/>
      <c r="AQ126" s="481"/>
      <c r="AR126" s="481"/>
      <c r="AS126" s="481"/>
      <c r="AT126" s="481"/>
      <c r="AU126" s="481"/>
      <c r="AV126" s="481"/>
      <c r="AW126" s="481"/>
      <c r="AX126" s="481"/>
      <c r="AY126" s="481"/>
      <c r="AZ126" s="481"/>
      <c r="BA126" s="481"/>
      <c r="BB126" s="481"/>
      <c r="BC126" s="481"/>
      <c r="BD126" s="481"/>
      <c r="BE126" s="481"/>
      <c r="BF126" s="481"/>
      <c r="BG126" s="481"/>
      <c r="BH126" s="481"/>
      <c r="BI126" s="481"/>
      <c r="BJ126" s="481"/>
      <c r="BK126" s="481"/>
      <c r="BL126" s="481"/>
      <c r="BM126" s="481"/>
    </row>
    <row r="127" spans="1:65" ht="18" customHeight="1" x14ac:dyDescent="0.2">
      <c r="A127" s="186"/>
      <c r="B127" s="185"/>
      <c r="C127" s="185"/>
      <c r="D127" s="185"/>
      <c r="E127" s="185"/>
      <c r="F127" s="185"/>
      <c r="G127" s="185"/>
      <c r="H127" s="185"/>
      <c r="I127" s="185"/>
      <c r="J127" s="185"/>
      <c r="K127" s="185"/>
      <c r="L127" s="185"/>
      <c r="M127" s="185"/>
      <c r="N127" s="185"/>
      <c r="O127" s="185"/>
      <c r="P127" s="185"/>
      <c r="Q127" s="185"/>
      <c r="R127" s="185"/>
      <c r="S127" s="185"/>
      <c r="T127" s="185"/>
      <c r="U127" s="185"/>
      <c r="V127" s="185"/>
      <c r="W127" s="185"/>
      <c r="X127" s="185"/>
      <c r="Y127" s="185"/>
      <c r="Z127" s="185"/>
      <c r="AA127" s="185"/>
      <c r="AB127" s="185"/>
      <c r="AC127" s="186"/>
      <c r="AD127" s="186"/>
      <c r="AE127" s="186"/>
      <c r="AF127" s="186"/>
      <c r="AG127" s="186"/>
      <c r="AH127" s="186"/>
      <c r="AI127" s="186"/>
      <c r="AJ127" s="186"/>
      <c r="AK127" s="186"/>
      <c r="AL127" s="186"/>
      <c r="AM127" s="186"/>
      <c r="AN127" s="48"/>
      <c r="AO127" s="481"/>
      <c r="AP127" s="481"/>
      <c r="AQ127" s="481"/>
      <c r="AR127" s="481"/>
      <c r="AS127" s="481"/>
      <c r="AT127" s="481"/>
      <c r="AU127" s="481"/>
      <c r="AV127" s="481"/>
      <c r="AW127" s="481"/>
      <c r="AX127" s="481"/>
      <c r="AY127" s="481"/>
      <c r="AZ127" s="481"/>
      <c r="BA127" s="481"/>
      <c r="BB127" s="481"/>
      <c r="BC127" s="481"/>
      <c r="BD127" s="481"/>
      <c r="BE127" s="481"/>
      <c r="BF127" s="481"/>
      <c r="BG127" s="481"/>
      <c r="BH127" s="481"/>
      <c r="BI127" s="481"/>
      <c r="BJ127" s="481"/>
      <c r="BK127" s="481"/>
      <c r="BL127" s="481"/>
      <c r="BM127" s="481"/>
    </row>
    <row r="128" spans="1:65" ht="18" hidden="1" customHeight="1" x14ac:dyDescent="0.2">
      <c r="A128" s="186"/>
      <c r="B128" s="185"/>
      <c r="C128" s="185"/>
      <c r="D128" s="185"/>
      <c r="E128" s="185"/>
      <c r="F128" s="185"/>
      <c r="G128" s="185"/>
      <c r="H128" s="185"/>
      <c r="I128" s="185"/>
      <c r="J128" s="185"/>
      <c r="K128" s="185"/>
      <c r="L128" s="185"/>
      <c r="M128" s="185"/>
      <c r="N128" s="185"/>
      <c r="O128" s="185"/>
      <c r="P128" s="185"/>
      <c r="Q128" s="185"/>
      <c r="R128" s="185"/>
      <c r="S128" s="185"/>
      <c r="T128" s="185"/>
      <c r="U128" s="185"/>
      <c r="V128" s="185"/>
      <c r="W128" s="185"/>
      <c r="X128" s="185"/>
      <c r="Y128" s="185"/>
      <c r="Z128" s="185"/>
      <c r="AA128" s="185"/>
      <c r="AB128" s="185"/>
      <c r="AC128" s="186"/>
      <c r="AD128" s="186"/>
      <c r="AE128" s="186"/>
      <c r="AF128" s="186"/>
      <c r="AG128" s="186"/>
      <c r="AH128" s="186"/>
      <c r="AI128" s="186"/>
      <c r="AJ128" s="186"/>
      <c r="AK128" s="186"/>
      <c r="AL128" s="186"/>
      <c r="AM128" s="186"/>
      <c r="AN128" s="48"/>
      <c r="AO128" s="481"/>
      <c r="AP128" s="481"/>
      <c r="AQ128" s="481"/>
      <c r="AR128" s="481"/>
      <c r="AS128" s="481"/>
      <c r="AT128" s="481"/>
      <c r="AU128" s="481"/>
      <c r="AV128" s="481"/>
      <c r="AW128" s="481"/>
      <c r="AX128" s="481"/>
      <c r="AY128" s="481"/>
      <c r="AZ128" s="481"/>
      <c r="BA128" s="481"/>
      <c r="BB128" s="481"/>
      <c r="BC128" s="481"/>
      <c r="BD128" s="481"/>
      <c r="BE128" s="481"/>
      <c r="BF128" s="481"/>
      <c r="BG128" s="481"/>
      <c r="BH128" s="481"/>
      <c r="BI128" s="481"/>
      <c r="BJ128" s="481"/>
      <c r="BK128" s="481"/>
      <c r="BL128" s="481"/>
      <c r="BM128" s="481"/>
    </row>
    <row r="129" spans="1:105" hidden="1" x14ac:dyDescent="0.2">
      <c r="A129" s="186"/>
      <c r="B129" s="186"/>
      <c r="C129" s="186"/>
      <c r="D129" s="186"/>
      <c r="E129" s="186"/>
      <c r="F129" s="186"/>
      <c r="G129" s="186"/>
      <c r="H129" s="186"/>
      <c r="I129" s="191"/>
      <c r="J129" s="149"/>
      <c r="K129" s="149"/>
      <c r="L129" s="191"/>
      <c r="M129" s="149"/>
      <c r="N129" s="149"/>
      <c r="O129" s="191"/>
      <c r="P129" s="149"/>
      <c r="Q129" s="149"/>
      <c r="R129" s="191"/>
      <c r="S129" s="149"/>
      <c r="T129" s="149"/>
      <c r="U129" s="191"/>
      <c r="V129" s="149"/>
      <c r="W129" s="149"/>
      <c r="X129" s="149"/>
      <c r="Y129" s="186"/>
      <c r="Z129" s="186"/>
      <c r="AA129" s="186"/>
      <c r="AB129" s="186"/>
      <c r="AC129" s="48"/>
      <c r="AD129" s="48"/>
      <c r="AE129" s="48"/>
      <c r="AF129" s="48"/>
      <c r="AG129" s="48"/>
      <c r="AH129" s="48"/>
      <c r="AI129" s="48"/>
      <c r="AJ129" s="48"/>
      <c r="AK129" s="48"/>
      <c r="AL129" s="48"/>
      <c r="AM129" s="48"/>
      <c r="AN129" s="48"/>
      <c r="AO129" s="481"/>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1"/>
      <c r="BM129" s="481"/>
      <c r="BN129" s="481"/>
      <c r="BO129" s="481"/>
      <c r="BP129" s="481"/>
      <c r="BQ129" s="481"/>
      <c r="BR129" s="481"/>
      <c r="BS129" s="481"/>
      <c r="BT129" s="481"/>
      <c r="BU129" s="481"/>
      <c r="BV129" s="481"/>
      <c r="BW129" s="481"/>
      <c r="BX129" s="481"/>
      <c r="BY129" s="481"/>
      <c r="BZ129" s="481"/>
      <c r="CA129" s="481"/>
      <c r="CB129" s="481"/>
      <c r="CC129" s="481"/>
      <c r="CD129" s="481"/>
      <c r="CE129" s="481"/>
      <c r="CF129" s="481"/>
      <c r="CG129" s="481"/>
      <c r="CH129" s="481"/>
      <c r="CI129" s="481"/>
      <c r="CJ129" s="481"/>
      <c r="CK129" s="481"/>
      <c r="CL129" s="481"/>
      <c r="CM129" s="481"/>
      <c r="CN129" s="481"/>
      <c r="CO129" s="481"/>
      <c r="CP129" s="481"/>
      <c r="CQ129" s="481"/>
      <c r="CR129" s="481"/>
      <c r="CS129" s="481"/>
      <c r="CT129" s="481"/>
      <c r="CU129" s="481"/>
      <c r="CV129" s="481"/>
      <c r="CW129" s="481"/>
      <c r="CX129" s="481"/>
      <c r="CY129" s="481"/>
      <c r="CZ129" s="481"/>
      <c r="DA129" s="481"/>
    </row>
    <row r="130" spans="1:105" hidden="1" x14ac:dyDescent="0.2">
      <c r="A130" s="186"/>
      <c r="B130" s="186"/>
      <c r="C130" s="1932" t="s">
        <v>425</v>
      </c>
      <c r="D130" s="1932"/>
      <c r="E130" s="1932"/>
      <c r="F130" s="1932"/>
      <c r="G130" s="186"/>
      <c r="H130" s="1933" t="s">
        <v>440</v>
      </c>
      <c r="I130" s="1933"/>
      <c r="J130" s="1933"/>
      <c r="K130" s="1933"/>
      <c r="L130" s="186"/>
      <c r="M130" s="186"/>
      <c r="N130" s="186"/>
      <c r="O130" s="186"/>
      <c r="P130" s="186"/>
      <c r="Q130" s="186"/>
      <c r="R130" s="203" t="s">
        <v>425</v>
      </c>
      <c r="S130" s="203"/>
      <c r="T130" s="203"/>
      <c r="U130" s="203"/>
      <c r="V130" s="186"/>
      <c r="W130" s="186"/>
      <c r="X130" s="186"/>
      <c r="Y130" s="186"/>
      <c r="Z130" s="186"/>
      <c r="AA130" s="186"/>
      <c r="AB130" s="186"/>
      <c r="AC130" s="48"/>
      <c r="AD130" s="290" t="s">
        <v>486</v>
      </c>
      <c r="AE130" s="48"/>
      <c r="AF130" s="48"/>
      <c r="AG130" s="48"/>
      <c r="AH130" s="48"/>
      <c r="AI130" s="48"/>
      <c r="AJ130" s="48"/>
      <c r="AK130" s="48"/>
      <c r="AL130" s="48"/>
      <c r="AM130" s="48"/>
      <c r="AN130" s="48"/>
      <c r="AO130" s="481"/>
      <c r="AP130" s="481"/>
      <c r="AQ130" s="481"/>
      <c r="AR130" s="481"/>
      <c r="AS130" s="481"/>
      <c r="AT130" s="481"/>
      <c r="AU130" s="481"/>
      <c r="AV130" s="481"/>
      <c r="AW130" s="481"/>
      <c r="AX130" s="481"/>
      <c r="AY130" s="481"/>
      <c r="AZ130" s="481"/>
      <c r="BA130" s="481"/>
      <c r="BB130" s="481"/>
      <c r="BC130" s="481"/>
      <c r="BD130" s="481"/>
      <c r="BE130" s="481"/>
      <c r="BF130" s="481"/>
      <c r="BG130" s="481"/>
      <c r="BH130" s="481"/>
      <c r="BI130" s="481"/>
      <c r="BJ130" s="481"/>
      <c r="BK130" s="481"/>
      <c r="BL130" s="481"/>
      <c r="BM130" s="481"/>
      <c r="BN130" s="481"/>
      <c r="BO130" s="481"/>
      <c r="BP130" s="481"/>
      <c r="BQ130" s="481"/>
      <c r="BR130" s="481"/>
      <c r="BS130" s="481"/>
      <c r="BT130" s="481"/>
      <c r="BU130" s="481"/>
      <c r="BV130" s="481"/>
      <c r="BW130" s="481"/>
      <c r="BX130" s="481"/>
      <c r="BY130" s="481"/>
      <c r="BZ130" s="481"/>
      <c r="CA130" s="481"/>
      <c r="CB130" s="481"/>
      <c r="CC130" s="481"/>
      <c r="CD130" s="481"/>
      <c r="CE130" s="481"/>
      <c r="CF130" s="481"/>
      <c r="CG130" s="481"/>
      <c r="CH130" s="481"/>
      <c r="CI130" s="481"/>
      <c r="CJ130" s="481"/>
      <c r="CK130" s="481"/>
      <c r="CL130" s="481"/>
      <c r="CM130" s="481"/>
      <c r="CN130" s="481"/>
      <c r="CO130" s="481"/>
      <c r="CP130" s="481"/>
      <c r="CQ130" s="481"/>
      <c r="CR130" s="481"/>
      <c r="CS130" s="481"/>
      <c r="CT130" s="481"/>
      <c r="CU130" s="481"/>
      <c r="CV130" s="481"/>
      <c r="CW130" s="481"/>
      <c r="CX130" s="481"/>
      <c r="CY130" s="481"/>
      <c r="CZ130" s="481"/>
      <c r="DA130" s="481"/>
    </row>
    <row r="131" spans="1:105" hidden="1" x14ac:dyDescent="0.2">
      <c r="A131" s="186"/>
      <c r="B131" s="186"/>
      <c r="C131" s="1613" t="s">
        <v>172</v>
      </c>
      <c r="D131" s="1614"/>
      <c r="E131" s="1614"/>
      <c r="F131" s="1931"/>
      <c r="G131" s="204"/>
      <c r="H131" s="1938" t="s">
        <v>191</v>
      </c>
      <c r="I131" s="1938"/>
      <c r="J131" s="1938"/>
      <c r="K131" s="1939"/>
      <c r="L131" s="150" t="s">
        <v>327</v>
      </c>
      <c r="M131" s="186"/>
      <c r="N131" s="186"/>
      <c r="O131" s="186"/>
      <c r="P131" s="186"/>
      <c r="Q131" s="186"/>
      <c r="R131" s="365" t="str">
        <f>P8</f>
        <v>08</v>
      </c>
      <c r="S131" s="1845" t="s">
        <v>185</v>
      </c>
      <c r="T131" s="1846"/>
      <c r="U131" s="1846"/>
      <c r="V131" s="1847"/>
      <c r="W131" s="209">
        <f>IF(ISBLANK(U8),"",U8)</f>
        <v>4</v>
      </c>
      <c r="X131" s="210" t="s">
        <v>186</v>
      </c>
      <c r="Y131" s="1810" t="str">
        <f>IF(W131="","",CONCATENATE(S131," ",W131," ",X131))</f>
        <v>Aliquota 4 %</v>
      </c>
      <c r="Z131" s="1810"/>
      <c r="AA131" s="1810"/>
      <c r="AB131" s="1811"/>
      <c r="AC131" s="249" t="str">
        <f>TEXT(R131,"00")</f>
        <v>08</v>
      </c>
      <c r="AD131" s="289">
        <f t="shared" ref="AD131:AD136" si="2">W131</f>
        <v>4</v>
      </c>
      <c r="AE131" s="48"/>
      <c r="AF131" s="1821" t="s">
        <v>446</v>
      </c>
      <c r="AG131" s="1822"/>
      <c r="AH131" s="1822"/>
      <c r="AI131" s="1823"/>
      <c r="AJ131" s="48"/>
      <c r="AK131" s="48"/>
      <c r="AL131" s="48"/>
      <c r="AM131" s="48"/>
      <c r="AN131" s="48"/>
      <c r="AO131" s="481"/>
      <c r="AP131" s="481"/>
      <c r="AQ131" s="481"/>
      <c r="AR131" s="481"/>
      <c r="AS131" s="481"/>
      <c r="AT131" s="481"/>
      <c r="AU131" s="481"/>
      <c r="AV131" s="481"/>
      <c r="AW131" s="481"/>
      <c r="AX131" s="481"/>
      <c r="AY131" s="481"/>
      <c r="AZ131" s="481"/>
      <c r="BA131" s="481"/>
      <c r="BB131" s="481"/>
      <c r="BC131" s="481"/>
      <c r="BD131" s="481"/>
      <c r="BE131" s="481"/>
      <c r="BF131" s="481"/>
      <c r="BG131" s="481"/>
      <c r="BH131" s="481"/>
      <c r="BI131" s="481"/>
      <c r="BJ131" s="481"/>
      <c r="BK131" s="481"/>
      <c r="BL131" s="481"/>
      <c r="BM131" s="481"/>
      <c r="BN131" s="481"/>
      <c r="BO131" s="481"/>
      <c r="BP131" s="481"/>
      <c r="BQ131" s="481"/>
      <c r="BR131" s="481"/>
      <c r="BS131" s="481"/>
      <c r="BT131" s="481"/>
      <c r="BU131" s="481"/>
      <c r="BV131" s="481"/>
      <c r="BW131" s="481"/>
      <c r="BX131" s="481"/>
      <c r="BY131" s="481"/>
      <c r="BZ131" s="481"/>
      <c r="CA131" s="481"/>
      <c r="CB131" s="481"/>
      <c r="CC131" s="481"/>
      <c r="CD131" s="481"/>
      <c r="CE131" s="481"/>
      <c r="CF131" s="481"/>
      <c r="CG131" s="481"/>
      <c r="CH131" s="481"/>
      <c r="CI131" s="481"/>
      <c r="CJ131" s="481"/>
      <c r="CK131" s="481"/>
      <c r="CL131" s="481"/>
      <c r="CM131" s="481"/>
      <c r="CN131" s="481"/>
      <c r="CO131" s="481"/>
      <c r="CP131" s="481"/>
      <c r="CQ131" s="481"/>
      <c r="CR131" s="481"/>
      <c r="CS131" s="481"/>
      <c r="CT131" s="481"/>
      <c r="CU131" s="481"/>
      <c r="CV131" s="481"/>
      <c r="CW131" s="481"/>
      <c r="CX131" s="481"/>
      <c r="CY131" s="481"/>
      <c r="CZ131" s="481"/>
      <c r="DA131" s="481"/>
    </row>
    <row r="132" spans="1:105" hidden="1" x14ac:dyDescent="0.2">
      <c r="A132" s="186"/>
      <c r="B132" s="186"/>
      <c r="C132" s="1936" t="s">
        <v>173</v>
      </c>
      <c r="D132" s="1797"/>
      <c r="E132" s="1797"/>
      <c r="F132" s="1937"/>
      <c r="G132" s="205"/>
      <c r="H132" s="1934" t="s">
        <v>296</v>
      </c>
      <c r="I132" s="1934"/>
      <c r="J132" s="1934"/>
      <c r="K132" s="1935"/>
      <c r="L132" s="186"/>
      <c r="M132" s="186"/>
      <c r="N132" s="186"/>
      <c r="O132" s="186"/>
      <c r="P132" s="186"/>
      <c r="Q132" s="186"/>
      <c r="R132" s="366" t="str">
        <f>P9</f>
        <v>09</v>
      </c>
      <c r="S132" s="1613" t="str">
        <f>S131</f>
        <v>Aliquota</v>
      </c>
      <c r="T132" s="1614"/>
      <c r="U132" s="1614"/>
      <c r="V132" s="1615"/>
      <c r="W132" s="211">
        <f>IF(ISBLANK(U9),"",U9)</f>
        <v>10</v>
      </c>
      <c r="X132" s="132" t="s">
        <v>186</v>
      </c>
      <c r="Y132" s="1797" t="str">
        <f>IF(W132="","",CONCATENATE(S132," ",W132," ",X132))</f>
        <v>Aliquota 10 %</v>
      </c>
      <c r="Z132" s="1797"/>
      <c r="AA132" s="1797"/>
      <c r="AB132" s="1798"/>
      <c r="AC132" s="249" t="str">
        <f t="shared" ref="AC132:AC143" si="3">TEXT(R132,"00")</f>
        <v>09</v>
      </c>
      <c r="AD132" s="289">
        <f t="shared" si="2"/>
        <v>10</v>
      </c>
      <c r="AE132" s="48"/>
      <c r="AF132" s="1736" t="s">
        <v>465</v>
      </c>
      <c r="AG132" s="1737"/>
      <c r="AH132" s="1737"/>
      <c r="AI132" s="1738"/>
      <c r="AJ132" s="48"/>
      <c r="AK132" s="48"/>
      <c r="AL132" s="48"/>
      <c r="AM132" s="48"/>
      <c r="AN132" s="48"/>
      <c r="AO132" s="481"/>
      <c r="AP132" s="481"/>
      <c r="AQ132" s="481"/>
      <c r="AR132" s="481"/>
      <c r="AS132" s="481"/>
      <c r="AT132" s="481"/>
      <c r="AU132" s="481"/>
      <c r="AV132" s="481"/>
      <c r="AW132" s="481"/>
      <c r="AX132" s="481"/>
      <c r="AY132" s="481"/>
      <c r="AZ132" s="481"/>
      <c r="BA132" s="481"/>
      <c r="BB132" s="481"/>
      <c r="BC132" s="481"/>
      <c r="BD132" s="481"/>
      <c r="BE132" s="481"/>
      <c r="BF132" s="481"/>
      <c r="BG132" s="481"/>
      <c r="BH132" s="481"/>
      <c r="BI132" s="481"/>
      <c r="BJ132" s="481"/>
      <c r="BK132" s="481"/>
      <c r="BL132" s="481"/>
      <c r="BM132" s="481"/>
      <c r="BN132" s="481"/>
      <c r="BO132" s="481"/>
      <c r="BP132" s="481"/>
      <c r="BQ132" s="481"/>
      <c r="BR132" s="481"/>
      <c r="BS132" s="481"/>
      <c r="BT132" s="481"/>
      <c r="BU132" s="481"/>
      <c r="BV132" s="481"/>
      <c r="BW132" s="481"/>
      <c r="BX132" s="481"/>
      <c r="BY132" s="481"/>
      <c r="BZ132" s="481"/>
      <c r="CA132" s="481"/>
      <c r="CB132" s="481"/>
      <c r="CC132" s="481"/>
      <c r="CD132" s="481"/>
      <c r="CE132" s="481"/>
      <c r="CF132" s="481"/>
      <c r="CG132" s="481"/>
      <c r="CH132" s="481"/>
      <c r="CI132" s="481"/>
      <c r="CJ132" s="481"/>
      <c r="CK132" s="481"/>
      <c r="CL132" s="481"/>
      <c r="CM132" s="481"/>
      <c r="CN132" s="481"/>
      <c r="CO132" s="481"/>
      <c r="CP132" s="481"/>
      <c r="CQ132" s="481"/>
      <c r="CR132" s="481"/>
      <c r="CS132" s="481"/>
      <c r="CT132" s="481"/>
      <c r="CU132" s="481"/>
      <c r="CV132" s="481"/>
      <c r="CW132" s="481"/>
      <c r="CX132" s="481"/>
      <c r="CY132" s="481"/>
      <c r="CZ132" s="481"/>
      <c r="DA132" s="481"/>
    </row>
    <row r="133" spans="1:105" hidden="1" x14ac:dyDescent="0.2">
      <c r="A133" s="186"/>
      <c r="B133" s="186"/>
      <c r="C133" s="1936" t="s">
        <v>442</v>
      </c>
      <c r="D133" s="1797"/>
      <c r="E133" s="1797"/>
      <c r="F133" s="1937"/>
      <c r="G133" s="205"/>
      <c r="H133" s="1934" t="s">
        <v>359</v>
      </c>
      <c r="I133" s="1934"/>
      <c r="J133" s="1934"/>
      <c r="K133" s="1935"/>
      <c r="L133" s="186"/>
      <c r="M133" s="220" t="s">
        <v>457</v>
      </c>
      <c r="N133" s="186"/>
      <c r="O133" s="186"/>
      <c r="P133" s="186"/>
      <c r="Q133" s="186"/>
      <c r="R133" s="366" t="str">
        <f>P10</f>
        <v>10</v>
      </c>
      <c r="S133" s="1613" t="str">
        <f>S132</f>
        <v>Aliquota</v>
      </c>
      <c r="T133" s="1614"/>
      <c r="U133" s="1614"/>
      <c r="V133" s="1615"/>
      <c r="W133" s="211">
        <f>IF(ISBLANK(U10),"",U10)</f>
        <v>22</v>
      </c>
      <c r="X133" s="132" t="s">
        <v>186</v>
      </c>
      <c r="Y133" s="1797" t="str">
        <f>IF(W133="","",CONCATENATE(S133," ",W133," ",X133))</f>
        <v>Aliquota 22 %</v>
      </c>
      <c r="Z133" s="1797"/>
      <c r="AA133" s="1797"/>
      <c r="AB133" s="1798"/>
      <c r="AC133" s="249" t="str">
        <f t="shared" si="3"/>
        <v>10</v>
      </c>
      <c r="AD133" s="289">
        <f t="shared" si="2"/>
        <v>22</v>
      </c>
      <c r="AE133" s="48"/>
      <c r="AF133" s="48"/>
      <c r="AG133" s="48"/>
      <c r="AH133" s="48"/>
      <c r="AI133" s="48"/>
      <c r="AJ133" s="48"/>
      <c r="AK133" s="48"/>
      <c r="AL133" s="48"/>
      <c r="AM133" s="48"/>
      <c r="AN133" s="48"/>
      <c r="AO133" s="481"/>
      <c r="AP133" s="481"/>
      <c r="AQ133" s="481"/>
      <c r="AR133" s="481"/>
      <c r="AS133" s="481"/>
      <c r="AT133" s="481"/>
      <c r="AU133" s="481"/>
      <c r="AV133" s="481"/>
      <c r="AW133" s="481"/>
      <c r="AX133" s="481"/>
      <c r="AY133" s="481"/>
      <c r="AZ133" s="481"/>
      <c r="BA133" s="481"/>
      <c r="BB133" s="481"/>
      <c r="BC133" s="481"/>
      <c r="BD133" s="481"/>
      <c r="BE133" s="481"/>
      <c r="BF133" s="481"/>
      <c r="BG133" s="481"/>
      <c r="BH133" s="481"/>
      <c r="BI133" s="481"/>
      <c r="BJ133" s="481"/>
      <c r="BK133" s="481"/>
      <c r="BL133" s="481"/>
      <c r="BM133" s="481"/>
      <c r="BN133" s="481"/>
      <c r="BO133" s="481"/>
      <c r="BP133" s="481"/>
      <c r="BQ133" s="481"/>
      <c r="BR133" s="481"/>
      <c r="BS133" s="481"/>
      <c r="BT133" s="481"/>
      <c r="BU133" s="481"/>
      <c r="BV133" s="481"/>
      <c r="BW133" s="481"/>
      <c r="BX133" s="481"/>
      <c r="BY133" s="481"/>
      <c r="BZ133" s="481"/>
      <c r="CA133" s="481"/>
      <c r="CB133" s="481"/>
      <c r="CC133" s="481"/>
      <c r="CD133" s="481"/>
      <c r="CE133" s="481"/>
      <c r="CF133" s="481"/>
      <c r="CG133" s="481"/>
      <c r="CH133" s="481"/>
      <c r="CI133" s="481"/>
      <c r="CJ133" s="481"/>
      <c r="CK133" s="481"/>
      <c r="CL133" s="481"/>
      <c r="CM133" s="481"/>
      <c r="CN133" s="481"/>
      <c r="CO133" s="481"/>
      <c r="CP133" s="481"/>
      <c r="CQ133" s="481"/>
      <c r="CR133" s="481"/>
      <c r="CS133" s="481"/>
      <c r="CT133" s="481"/>
      <c r="CU133" s="481"/>
      <c r="CV133" s="481"/>
      <c r="CW133" s="481"/>
      <c r="CX133" s="481"/>
      <c r="CY133" s="481"/>
      <c r="CZ133" s="481"/>
      <c r="DA133" s="481"/>
    </row>
    <row r="134" spans="1:105" hidden="1" x14ac:dyDescent="0.2">
      <c r="A134" s="186"/>
      <c r="B134" s="186"/>
      <c r="C134" s="1936" t="s">
        <v>174</v>
      </c>
      <c r="D134" s="1797"/>
      <c r="E134" s="1797"/>
      <c r="F134" s="1937"/>
      <c r="G134" s="205"/>
      <c r="H134" s="1934" t="s">
        <v>487</v>
      </c>
      <c r="I134" s="1934"/>
      <c r="J134" s="1934"/>
      <c r="K134" s="1935"/>
      <c r="L134" s="186"/>
      <c r="M134" s="221"/>
      <c r="N134" s="186"/>
      <c r="O134" s="186"/>
      <c r="P134" s="186"/>
      <c r="Q134" s="186"/>
      <c r="R134" s="366" t="str">
        <f>P11</f>
        <v>11</v>
      </c>
      <c r="S134" s="1613" t="str">
        <f>S133</f>
        <v>Aliquota</v>
      </c>
      <c r="T134" s="1614"/>
      <c r="U134" s="1614"/>
      <c r="V134" s="1615"/>
      <c r="W134" s="211" t="str">
        <f>IF(ISBLANK(U11),"",U11)</f>
        <v/>
      </c>
      <c r="X134" s="132" t="s">
        <v>186</v>
      </c>
      <c r="Y134" s="1797" t="str">
        <f>IF(W134="","",CONCATENATE(S134," ",W134," ",X134))</f>
        <v/>
      </c>
      <c r="Z134" s="1797"/>
      <c r="AA134" s="1797"/>
      <c r="AB134" s="1798"/>
      <c r="AC134" s="249" t="str">
        <f t="shared" si="3"/>
        <v>11</v>
      </c>
      <c r="AD134" s="289" t="str">
        <f t="shared" si="2"/>
        <v/>
      </c>
      <c r="AE134" s="48"/>
      <c r="AF134" s="1799" t="s">
        <v>435</v>
      </c>
      <c r="AG134" s="1800"/>
      <c r="AH134" s="1800"/>
      <c r="AI134" s="1801"/>
      <c r="AJ134" s="48"/>
      <c r="AK134" s="48"/>
      <c r="AL134" s="48"/>
      <c r="AM134" s="48"/>
      <c r="AN134" s="48"/>
      <c r="AO134" s="481"/>
      <c r="AP134" s="481"/>
      <c r="AQ134" s="481"/>
      <c r="AR134" s="481"/>
      <c r="AS134" s="481"/>
      <c r="AT134" s="481"/>
      <c r="AU134" s="481"/>
      <c r="AV134" s="481"/>
      <c r="AW134" s="481"/>
      <c r="AX134" s="481"/>
      <c r="AY134" s="481"/>
      <c r="AZ134" s="481"/>
      <c r="BA134" s="481"/>
      <c r="BB134" s="481"/>
      <c r="BC134" s="481"/>
      <c r="BD134" s="481"/>
      <c r="BE134" s="481"/>
      <c r="BF134" s="481"/>
      <c r="BG134" s="481"/>
      <c r="BH134" s="481"/>
      <c r="BI134" s="481"/>
      <c r="BJ134" s="481"/>
      <c r="BK134" s="481"/>
      <c r="BL134" s="481"/>
      <c r="BM134" s="481"/>
      <c r="BN134" s="481"/>
      <c r="BO134" s="481"/>
      <c r="BP134" s="481"/>
      <c r="BQ134" s="481"/>
      <c r="BR134" s="481"/>
      <c r="BS134" s="481"/>
      <c r="BT134" s="481"/>
      <c r="BU134" s="481"/>
      <c r="BV134" s="481"/>
      <c r="BW134" s="481"/>
      <c r="BX134" s="481"/>
      <c r="BY134" s="481"/>
      <c r="BZ134" s="481"/>
      <c r="CA134" s="481"/>
      <c r="CB134" s="481"/>
      <c r="CC134" s="481"/>
      <c r="CD134" s="481"/>
      <c r="CE134" s="481"/>
      <c r="CF134" s="481"/>
      <c r="CG134" s="481"/>
      <c r="CH134" s="481"/>
      <c r="CI134" s="481"/>
      <c r="CJ134" s="481"/>
      <c r="CK134" s="481"/>
      <c r="CL134" s="481"/>
      <c r="CM134" s="481"/>
      <c r="CN134" s="481"/>
      <c r="CO134" s="481"/>
      <c r="CP134" s="481"/>
      <c r="CQ134" s="481"/>
      <c r="CR134" s="481"/>
      <c r="CS134" s="481"/>
      <c r="CT134" s="481"/>
      <c r="CU134" s="481"/>
      <c r="CV134" s="481"/>
      <c r="CW134" s="481"/>
      <c r="CX134" s="481"/>
      <c r="CY134" s="481"/>
      <c r="CZ134" s="481"/>
      <c r="DA134" s="481"/>
    </row>
    <row r="135" spans="1:105" hidden="1" x14ac:dyDescent="0.2">
      <c r="A135" s="186"/>
      <c r="B135" s="186"/>
      <c r="C135" s="1940"/>
      <c r="D135" s="1941"/>
      <c r="E135" s="1941"/>
      <c r="F135" s="1942"/>
      <c r="G135" s="206"/>
      <c r="H135" s="207"/>
      <c r="I135" s="207"/>
      <c r="J135" s="207"/>
      <c r="K135" s="208"/>
      <c r="L135" s="186"/>
      <c r="M135" s="186"/>
      <c r="N135" s="186"/>
      <c r="O135" s="186"/>
      <c r="P135" s="186"/>
      <c r="Q135" s="186"/>
      <c r="R135" s="367" t="str">
        <f>P12</f>
        <v>12</v>
      </c>
      <c r="S135" s="1806" t="str">
        <f>S134</f>
        <v>Aliquota</v>
      </c>
      <c r="T135" s="1807"/>
      <c r="U135" s="1807"/>
      <c r="V135" s="1808"/>
      <c r="W135" s="212" t="str">
        <f>IF(ISBLANK(U12),"",U12)</f>
        <v/>
      </c>
      <c r="X135" s="213" t="s">
        <v>186</v>
      </c>
      <c r="Y135" s="1812" t="str">
        <f>IF(W135="","",CONCATENATE(S135," ",W135," ",X135))</f>
        <v/>
      </c>
      <c r="Z135" s="1812"/>
      <c r="AA135" s="1812"/>
      <c r="AB135" s="1813"/>
      <c r="AC135" s="249" t="str">
        <f t="shared" si="3"/>
        <v>12</v>
      </c>
      <c r="AD135" s="289" t="str">
        <f t="shared" si="2"/>
        <v/>
      </c>
      <c r="AE135" s="48"/>
      <c r="AF135" s="48"/>
      <c r="AG135" s="48"/>
      <c r="AH135" s="48"/>
      <c r="AI135" s="48"/>
      <c r="AJ135" s="48"/>
      <c r="AK135" s="48"/>
      <c r="AL135" s="48"/>
      <c r="AM135" s="48"/>
      <c r="AN135" s="48"/>
      <c r="AO135" s="48"/>
      <c r="AP135" s="48"/>
      <c r="AQ135" s="48"/>
      <c r="AR135" s="48"/>
      <c r="AS135" s="48"/>
      <c r="AT135" s="48"/>
      <c r="AU135" s="481"/>
      <c r="AV135" s="481"/>
      <c r="AW135" s="481"/>
      <c r="AX135" s="481"/>
      <c r="AY135" s="481"/>
      <c r="AZ135" s="481"/>
      <c r="BA135" s="481"/>
      <c r="BB135" s="481"/>
      <c r="BC135" s="481"/>
      <c r="BD135" s="481"/>
      <c r="BE135" s="481"/>
      <c r="BF135" s="481"/>
      <c r="BG135" s="481"/>
      <c r="BH135" s="481"/>
      <c r="BI135" s="481"/>
      <c r="BJ135" s="481"/>
      <c r="BK135" s="481"/>
      <c r="BL135" s="481"/>
      <c r="BM135" s="481"/>
      <c r="BN135" s="481"/>
      <c r="BO135" s="481"/>
      <c r="BP135" s="481"/>
      <c r="BQ135" s="481"/>
      <c r="BR135" s="481"/>
      <c r="BS135" s="481"/>
      <c r="BT135" s="481"/>
      <c r="BU135" s="481"/>
      <c r="BV135" s="481"/>
      <c r="BW135" s="481"/>
      <c r="BX135" s="481"/>
      <c r="BY135" s="481"/>
      <c r="BZ135" s="481"/>
      <c r="CA135" s="481"/>
      <c r="CB135" s="481"/>
      <c r="CC135" s="481"/>
      <c r="CD135" s="481"/>
      <c r="CE135" s="481"/>
      <c r="CF135" s="481"/>
      <c r="CG135" s="481"/>
      <c r="CH135" s="481"/>
      <c r="CI135" s="481"/>
      <c r="CJ135" s="481"/>
      <c r="CK135" s="481"/>
      <c r="CL135" s="481"/>
      <c r="CM135" s="481"/>
      <c r="CN135" s="481"/>
      <c r="CO135" s="481"/>
      <c r="CP135" s="481"/>
      <c r="CQ135" s="481"/>
      <c r="CR135" s="481"/>
      <c r="CS135" s="481"/>
      <c r="CT135" s="481"/>
      <c r="CU135" s="481"/>
      <c r="CV135" s="481"/>
      <c r="CW135" s="481"/>
      <c r="CX135" s="481"/>
      <c r="CY135" s="481"/>
      <c r="CZ135" s="481"/>
      <c r="DA135" s="481"/>
    </row>
    <row r="136" spans="1:105" hidden="1" x14ac:dyDescent="0.2">
      <c r="A136" s="186"/>
      <c r="B136" s="186"/>
      <c r="C136" s="1613" t="s">
        <v>185</v>
      </c>
      <c r="D136" s="1614"/>
      <c r="E136" s="1614"/>
      <c r="F136" s="1931"/>
      <c r="G136" s="187"/>
      <c r="H136" s="1944" t="s">
        <v>76</v>
      </c>
      <c r="I136" s="1944"/>
      <c r="J136" s="1944"/>
      <c r="K136" s="1945"/>
      <c r="L136" s="186"/>
      <c r="M136" s="561"/>
      <c r="N136" s="562"/>
      <c r="O136" s="562"/>
      <c r="P136" s="562"/>
      <c r="Q136" s="563" t="s">
        <v>566</v>
      </c>
      <c r="R136" s="368" t="str">
        <f>P14</f>
        <v>13</v>
      </c>
      <c r="S136" s="1803" t="s">
        <v>358</v>
      </c>
      <c r="T136" s="1804"/>
      <c r="U136" s="1804"/>
      <c r="V136" s="1805"/>
      <c r="W136" s="214" t="s">
        <v>279</v>
      </c>
      <c r="X136" s="215" t="s">
        <v>186</v>
      </c>
      <c r="Y136" s="1611" t="str">
        <f>S136</f>
        <v>Aliquote diverse</v>
      </c>
      <c r="Z136" s="1611"/>
      <c r="AA136" s="1611"/>
      <c r="AB136" s="1612"/>
      <c r="AC136" s="249" t="str">
        <f t="shared" si="3"/>
        <v>13</v>
      </c>
      <c r="AD136" s="289" t="str">
        <f t="shared" si="2"/>
        <v>X</v>
      </c>
      <c r="AE136" s="48"/>
      <c r="AF136" s="1802" t="s">
        <v>447</v>
      </c>
      <c r="AG136" s="1802"/>
      <c r="AH136" s="1802"/>
      <c r="AI136" s="1802"/>
      <c r="AJ136" s="1802"/>
      <c r="AK136" s="1802"/>
      <c r="AL136" s="1802"/>
      <c r="AM136" s="48"/>
      <c r="AN136" s="48"/>
      <c r="AO136" s="48"/>
      <c r="AP136" s="48"/>
      <c r="AQ136" s="48"/>
      <c r="AR136" s="48"/>
      <c r="AS136" s="48"/>
      <c r="AT136" s="48"/>
      <c r="AU136" s="481"/>
      <c r="AV136" s="481"/>
      <c r="AW136" s="481"/>
      <c r="AX136" s="481"/>
      <c r="AY136" s="481"/>
      <c r="AZ136" s="481"/>
      <c r="BA136" s="481"/>
      <c r="BB136" s="481"/>
      <c r="BC136" s="481"/>
      <c r="BD136" s="481"/>
      <c r="BE136" s="481"/>
      <c r="BF136" s="481"/>
      <c r="BG136" s="481"/>
      <c r="BH136" s="481"/>
      <c r="BI136" s="481"/>
      <c r="BJ136" s="481"/>
      <c r="BK136" s="481"/>
      <c r="BL136" s="481"/>
      <c r="BM136" s="481"/>
      <c r="BN136" s="481"/>
      <c r="BO136" s="481"/>
      <c r="BP136" s="481"/>
      <c r="BQ136" s="481"/>
      <c r="BR136" s="481"/>
      <c r="BS136" s="481"/>
      <c r="BT136" s="481"/>
      <c r="BU136" s="481"/>
      <c r="BV136" s="481"/>
      <c r="BW136" s="481"/>
      <c r="BX136" s="481"/>
      <c r="BY136" s="481"/>
      <c r="BZ136" s="481"/>
      <c r="CA136" s="481"/>
      <c r="CB136" s="481"/>
      <c r="CC136" s="481"/>
      <c r="CD136" s="481"/>
      <c r="CE136" s="481"/>
      <c r="CF136" s="481"/>
      <c r="CG136" s="481"/>
      <c r="CH136" s="481"/>
      <c r="CI136" s="481"/>
      <c r="CJ136" s="481"/>
      <c r="CK136" s="481"/>
      <c r="CL136" s="481"/>
      <c r="CM136" s="481"/>
      <c r="CN136" s="481"/>
      <c r="CO136" s="481"/>
      <c r="CP136" s="481"/>
      <c r="CQ136" s="481"/>
      <c r="CR136" s="481"/>
      <c r="CS136" s="481"/>
      <c r="CT136" s="481"/>
      <c r="CU136" s="481"/>
      <c r="CV136" s="481"/>
      <c r="CW136" s="481"/>
      <c r="CX136" s="481"/>
      <c r="CY136" s="481"/>
      <c r="CZ136" s="481"/>
      <c r="DA136" s="481"/>
    </row>
    <row r="137" spans="1:105" hidden="1" x14ac:dyDescent="0.2">
      <c r="A137" s="186"/>
      <c r="B137" s="186"/>
      <c r="C137" s="1940"/>
      <c r="D137" s="1941"/>
      <c r="E137" s="1941"/>
      <c r="F137" s="1942"/>
      <c r="G137" s="186"/>
      <c r="H137" s="186"/>
      <c r="I137" s="186"/>
      <c r="J137" s="186"/>
      <c r="K137" s="186"/>
      <c r="L137" s="186"/>
      <c r="M137" s="564"/>
      <c r="N137" s="565"/>
      <c r="O137" s="565"/>
      <c r="P137" s="565"/>
      <c r="Q137" s="566" t="str">
        <f>IF(LEFT(Y137,8)=H$133,CONCATENATE(C$133," ",W137),"")</f>
        <v>Fuori C. IVA Art. 15</v>
      </c>
      <c r="R137" s="365" t="str">
        <f t="shared" ref="R137:R143" si="4">X8</f>
        <v>14</v>
      </c>
      <c r="S137" s="1809" t="str">
        <f t="shared" ref="S137:S143" si="5">VLOOKUP(Y8,$C$131:$H$134,6,FALSE)</f>
        <v>F.C. IVA</v>
      </c>
      <c r="T137" s="1810"/>
      <c r="U137" s="1810"/>
      <c r="V137" s="1811"/>
      <c r="W137" s="209" t="str">
        <f t="shared" ref="W137:W143" si="6">AD8</f>
        <v>15</v>
      </c>
      <c r="X137" s="210" t="s">
        <v>187</v>
      </c>
      <c r="Y137" s="1810" t="str">
        <f t="shared" ref="Y137:Y143" si="7">IF(ISERROR(S137),"",CONCATENATE(S137," ",X137," ",W137))</f>
        <v>F.C. IVA Art. 15</v>
      </c>
      <c r="Z137" s="1810"/>
      <c r="AA137" s="1810"/>
      <c r="AB137" s="1811"/>
      <c r="AC137" s="249" t="str">
        <f t="shared" si="3"/>
        <v>14</v>
      </c>
      <c r="AD137" s="289">
        <v>0</v>
      </c>
      <c r="AE137" s="48"/>
      <c r="AF137" s="380">
        <f>J21</f>
        <v>0</v>
      </c>
      <c r="AG137" s="381">
        <f>N21</f>
        <v>0</v>
      </c>
      <c r="AH137" s="381">
        <f>V21</f>
        <v>0</v>
      </c>
      <c r="AI137" s="381">
        <f>AD21</f>
        <v>0</v>
      </c>
      <c r="AJ137" s="381">
        <f>T97</f>
        <v>0</v>
      </c>
      <c r="AK137" s="381">
        <f>T105</f>
        <v>0</v>
      </c>
      <c r="AL137" s="382">
        <f>T113</f>
        <v>0</v>
      </c>
      <c r="AM137" s="48"/>
      <c r="AN137" s="48"/>
      <c r="AO137" s="48"/>
      <c r="AP137" s="48"/>
      <c r="AQ137" s="48"/>
      <c r="AR137" s="48"/>
      <c r="AS137" s="48"/>
      <c r="AT137" s="48"/>
      <c r="AU137" s="481"/>
      <c r="AV137" s="481"/>
      <c r="AW137" s="481"/>
      <c r="AX137" s="481"/>
      <c r="AY137" s="481"/>
      <c r="AZ137" s="481"/>
      <c r="BA137" s="481"/>
      <c r="BB137" s="481"/>
      <c r="BC137" s="481"/>
      <c r="BD137" s="481"/>
      <c r="BE137" s="481"/>
      <c r="BF137" s="481"/>
      <c r="BG137" s="481"/>
      <c r="BH137" s="481"/>
      <c r="BI137" s="481"/>
      <c r="BJ137" s="481"/>
      <c r="BK137" s="481"/>
      <c r="BL137" s="481"/>
      <c r="BM137" s="481"/>
      <c r="BN137" s="481"/>
      <c r="BO137" s="481"/>
      <c r="BP137" s="481"/>
      <c r="BQ137" s="481"/>
      <c r="BR137" s="481"/>
      <c r="BS137" s="481"/>
      <c r="BT137" s="481"/>
      <c r="BU137" s="481"/>
      <c r="BV137" s="481"/>
      <c r="BW137" s="481"/>
      <c r="BX137" s="481"/>
      <c r="BY137" s="481"/>
      <c r="BZ137" s="481"/>
      <c r="CA137" s="481"/>
      <c r="CB137" s="481"/>
      <c r="CC137" s="481"/>
      <c r="CD137" s="481"/>
      <c r="CE137" s="481"/>
      <c r="CF137" s="481"/>
      <c r="CG137" s="481"/>
      <c r="CH137" s="481"/>
      <c r="CI137" s="481"/>
      <c r="CJ137" s="481"/>
      <c r="CK137" s="481"/>
      <c r="CL137" s="481"/>
      <c r="CM137" s="481"/>
      <c r="CN137" s="481"/>
      <c r="CO137" s="481"/>
      <c r="CP137" s="481"/>
      <c r="CQ137" s="481"/>
      <c r="CR137" s="481"/>
      <c r="CS137" s="481"/>
      <c r="CT137" s="481"/>
      <c r="CU137" s="481"/>
      <c r="CV137" s="481"/>
      <c r="CW137" s="481"/>
      <c r="CX137" s="481"/>
    </row>
    <row r="138" spans="1:105" hidden="1" x14ac:dyDescent="0.2">
      <c r="A138" s="186"/>
      <c r="B138" s="186"/>
      <c r="C138" s="186"/>
      <c r="D138" s="186"/>
      <c r="E138" s="186"/>
      <c r="F138" s="186"/>
      <c r="G138" s="186"/>
      <c r="H138" s="186"/>
      <c r="I138" s="186"/>
      <c r="J138" s="186"/>
      <c r="K138" s="186"/>
      <c r="L138" s="186"/>
      <c r="M138" s="564"/>
      <c r="N138" s="565"/>
      <c r="O138" s="565"/>
      <c r="P138" s="565"/>
      <c r="Q138" s="566" t="str">
        <f t="shared" ref="Q138:Q143" si="8">IF(LEFT(Y138,8)=H$133,CONCATENATE(C$133," ",W138),"")</f>
        <v/>
      </c>
      <c r="R138" s="366" t="str">
        <f t="shared" si="4"/>
        <v>15</v>
      </c>
      <c r="S138" s="1613" t="str">
        <f t="shared" si="5"/>
        <v>Non Imp.</v>
      </c>
      <c r="T138" s="1614"/>
      <c r="U138" s="1614"/>
      <c r="V138" s="1615"/>
      <c r="W138" s="211">
        <f t="shared" si="6"/>
        <v>0</v>
      </c>
      <c r="X138" s="132" t="s">
        <v>187</v>
      </c>
      <c r="Y138" s="1797" t="str">
        <f t="shared" si="7"/>
        <v>Non Imp. Art. 0</v>
      </c>
      <c r="Z138" s="1797"/>
      <c r="AA138" s="1797"/>
      <c r="AB138" s="1798"/>
      <c r="AC138" s="249" t="str">
        <f t="shared" si="3"/>
        <v>15</v>
      </c>
      <c r="AD138" s="289">
        <v>0</v>
      </c>
      <c r="AE138" s="48"/>
      <c r="AF138" s="383" t="str">
        <f t="shared" ref="AF138:AL138" si="9">IF(ISERROR(VLOOKUP(AF137,$P$8:$P$12,1,FALSE)),"",VLOOKUP(AF137,$P$8:$U$12,6,FALSE))</f>
        <v/>
      </c>
      <c r="AG138" s="384" t="str">
        <f t="shared" si="9"/>
        <v/>
      </c>
      <c r="AH138" s="384" t="str">
        <f t="shared" si="9"/>
        <v/>
      </c>
      <c r="AI138" s="384" t="str">
        <f t="shared" si="9"/>
        <v/>
      </c>
      <c r="AJ138" s="384" t="str">
        <f t="shared" si="9"/>
        <v/>
      </c>
      <c r="AK138" s="384" t="str">
        <f t="shared" si="9"/>
        <v/>
      </c>
      <c r="AL138" s="385" t="str">
        <f t="shared" si="9"/>
        <v/>
      </c>
      <c r="AM138" s="189" t="s">
        <v>227</v>
      </c>
      <c r="AN138" s="48" t="str">
        <f>IF(SUM(AR139:AR143)&gt;4,C152,H382)</f>
        <v>OK</v>
      </c>
      <c r="AO138" s="48"/>
      <c r="AP138" s="48"/>
      <c r="AQ138" s="48"/>
      <c r="AR138" s="48"/>
      <c r="AS138" s="48"/>
      <c r="AT138" s="48"/>
      <c r="AU138" s="481"/>
      <c r="AV138" s="481"/>
      <c r="AW138" s="481"/>
      <c r="AX138" s="481"/>
      <c r="AY138" s="481"/>
      <c r="AZ138" s="481"/>
      <c r="BA138" s="481"/>
      <c r="BB138" s="481"/>
      <c r="BC138" s="481"/>
      <c r="BD138" s="481"/>
      <c r="BE138" s="481"/>
      <c r="BF138" s="481"/>
      <c r="BG138" s="481"/>
      <c r="BH138" s="481"/>
      <c r="BI138" s="481"/>
      <c r="BJ138" s="481"/>
      <c r="BK138" s="481"/>
      <c r="BL138" s="481"/>
      <c r="BM138" s="481"/>
      <c r="BN138" s="481"/>
      <c r="BO138" s="481"/>
      <c r="BP138" s="481"/>
      <c r="BQ138" s="481"/>
      <c r="BR138" s="481"/>
      <c r="BS138" s="481"/>
      <c r="BT138" s="481"/>
      <c r="BU138" s="481"/>
      <c r="BV138" s="481"/>
      <c r="BW138" s="481"/>
      <c r="BX138" s="481"/>
      <c r="BY138" s="481"/>
      <c r="BZ138" s="481"/>
      <c r="CA138" s="481"/>
      <c r="CB138" s="481"/>
      <c r="CC138" s="481"/>
      <c r="CD138" s="481"/>
      <c r="CE138" s="481"/>
      <c r="CF138" s="481"/>
      <c r="CG138" s="481"/>
      <c r="CH138" s="481"/>
      <c r="CI138" s="481"/>
      <c r="CJ138" s="481"/>
      <c r="CK138" s="481"/>
      <c r="CL138" s="481"/>
      <c r="CM138" s="481"/>
      <c r="CN138" s="481"/>
      <c r="CO138" s="481"/>
      <c r="CP138" s="481"/>
      <c r="CQ138" s="481"/>
      <c r="CR138" s="481"/>
      <c r="CS138" s="481"/>
      <c r="CT138" s="481"/>
      <c r="CU138" s="481"/>
      <c r="CV138" s="481"/>
      <c r="CW138" s="481"/>
      <c r="CX138" s="481"/>
    </row>
    <row r="139" spans="1:105" hidden="1" x14ac:dyDescent="0.2">
      <c r="A139" s="186"/>
      <c r="B139" s="48"/>
      <c r="C139" s="466"/>
      <c r="D139" s="466"/>
      <c r="E139" s="466"/>
      <c r="F139" s="466"/>
      <c r="G139" s="466"/>
      <c r="H139" s="466"/>
      <c r="I139" s="466"/>
      <c r="J139" s="466"/>
      <c r="K139" s="34"/>
      <c r="L139" s="34"/>
      <c r="M139" s="564"/>
      <c r="N139" s="565"/>
      <c r="O139" s="565"/>
      <c r="P139" s="565"/>
      <c r="Q139" s="566" t="str">
        <f t="shared" si="8"/>
        <v/>
      </c>
      <c r="R139" s="366" t="str">
        <f t="shared" si="4"/>
        <v>16</v>
      </c>
      <c r="S139" s="1613" t="str">
        <f t="shared" si="5"/>
        <v>ESCLUSO</v>
      </c>
      <c r="T139" s="1614"/>
      <c r="U139" s="1614"/>
      <c r="V139" s="1615"/>
      <c r="W139" s="211">
        <f t="shared" si="6"/>
        <v>0</v>
      </c>
      <c r="X139" s="132" t="s">
        <v>187</v>
      </c>
      <c r="Y139" s="1797" t="str">
        <f t="shared" si="7"/>
        <v>ESCLUSO Art. 0</v>
      </c>
      <c r="Z139" s="1797"/>
      <c r="AA139" s="1797"/>
      <c r="AB139" s="1798"/>
      <c r="AC139" s="249" t="str">
        <f t="shared" si="3"/>
        <v>16</v>
      </c>
      <c r="AD139" s="289">
        <v>0</v>
      </c>
      <c r="AE139" s="48"/>
      <c r="AF139" s="399">
        <f>IF(ISBLANK(U8),"",U8)</f>
        <v>4</v>
      </c>
      <c r="AG139" s="400">
        <f>IF(ISBLANK(U9),"",U9)</f>
        <v>10</v>
      </c>
      <c r="AH139" s="400">
        <f>IF(ISBLANK(U10),"",U10)</f>
        <v>22</v>
      </c>
      <c r="AI139" s="400" t="str">
        <f>IF(ISBLANK(U11),"",U11)</f>
        <v/>
      </c>
      <c r="AJ139" s="401" t="str">
        <f>IF(ISBLANK(U12),"",U12)</f>
        <v/>
      </c>
      <c r="AP139" s="389">
        <f>IF(U8="",-1,U8)</f>
        <v>4</v>
      </c>
      <c r="AQ139" s="395">
        <f>IF(AP139&gt;=0,COUNTIF(AF$138:AL$138,AP139),0)</f>
        <v>0</v>
      </c>
      <c r="AR139" s="392">
        <f>IF(AQ139&gt;0,1,0)</f>
        <v>0</v>
      </c>
      <c r="AS139" s="48"/>
      <c r="AT139" s="48"/>
      <c r="AU139" s="481"/>
      <c r="AV139" s="481"/>
      <c r="AW139" s="481"/>
      <c r="AX139" s="481"/>
      <c r="AY139" s="481"/>
      <c r="AZ139" s="481"/>
      <c r="BA139" s="481"/>
      <c r="BB139" s="481"/>
      <c r="BC139" s="481"/>
      <c r="BD139" s="481"/>
      <c r="BE139" s="481"/>
      <c r="BF139" s="481"/>
      <c r="BG139" s="481"/>
      <c r="BH139" s="481"/>
      <c r="BI139" s="481"/>
      <c r="BJ139" s="481"/>
      <c r="BK139" s="481"/>
      <c r="BL139" s="481"/>
      <c r="BM139" s="481"/>
      <c r="BN139" s="481"/>
      <c r="BO139" s="481"/>
      <c r="BP139" s="481"/>
      <c r="BQ139" s="481"/>
      <c r="BR139" s="481"/>
      <c r="BS139" s="481"/>
      <c r="BT139" s="481"/>
      <c r="BU139" s="481"/>
      <c r="BV139" s="481"/>
      <c r="BW139" s="481"/>
      <c r="BX139" s="481"/>
      <c r="BY139" s="481"/>
      <c r="BZ139" s="481"/>
      <c r="CA139" s="481"/>
      <c r="CB139" s="481"/>
      <c r="CC139" s="481"/>
      <c r="CD139" s="481"/>
      <c r="CE139" s="481"/>
      <c r="CF139" s="481"/>
      <c r="CG139" s="481"/>
      <c r="CH139" s="481"/>
      <c r="CI139" s="481"/>
      <c r="CJ139" s="481"/>
      <c r="CK139" s="481"/>
      <c r="CL139" s="481"/>
      <c r="CM139" s="481"/>
      <c r="CN139" s="481"/>
      <c r="CO139" s="481"/>
      <c r="CP139" s="481"/>
      <c r="CQ139" s="481"/>
      <c r="CR139" s="481"/>
      <c r="CS139" s="481"/>
      <c r="CT139" s="481"/>
      <c r="CU139" s="481"/>
      <c r="CV139" s="481"/>
      <c r="CW139" s="481"/>
      <c r="CX139" s="481"/>
      <c r="CY139" s="481"/>
      <c r="CZ139" s="481"/>
      <c r="DA139" s="481"/>
    </row>
    <row r="140" spans="1:105" hidden="1" x14ac:dyDescent="0.2">
      <c r="A140" s="186"/>
      <c r="B140" s="48"/>
      <c r="C140" s="466"/>
      <c r="D140" s="466"/>
      <c r="E140" s="466"/>
      <c r="F140" s="466"/>
      <c r="G140" s="466"/>
      <c r="H140" s="466"/>
      <c r="I140" s="466"/>
      <c r="J140" s="466"/>
      <c r="K140" s="34"/>
      <c r="L140" s="34"/>
      <c r="M140" s="564"/>
      <c r="N140" s="565"/>
      <c r="O140" s="565"/>
      <c r="P140" s="565"/>
      <c r="Q140" s="566" t="str">
        <f t="shared" si="8"/>
        <v/>
      </c>
      <c r="R140" s="366" t="str">
        <f t="shared" si="4"/>
        <v>17</v>
      </c>
      <c r="S140" s="1613" t="str">
        <f t="shared" si="5"/>
        <v>ESENTE</v>
      </c>
      <c r="T140" s="1614"/>
      <c r="U140" s="1614"/>
      <c r="V140" s="1615"/>
      <c r="W140" s="211" t="str">
        <f t="shared" si="6"/>
        <v>7</v>
      </c>
      <c r="X140" s="132" t="s">
        <v>187</v>
      </c>
      <c r="Y140" s="1797" t="str">
        <f t="shared" si="7"/>
        <v>ESENTE Art. 7</v>
      </c>
      <c r="Z140" s="1797"/>
      <c r="AA140" s="1797"/>
      <c r="AB140" s="1798"/>
      <c r="AC140" s="249" t="str">
        <f t="shared" si="3"/>
        <v>17</v>
      </c>
      <c r="AD140" s="289">
        <v>0</v>
      </c>
      <c r="AE140" s="48"/>
      <c r="AF140" s="301">
        <f>IF(ISERROR(HLOOKUP(AF139,$AF$138:$AL$138,1,FALSE)),AF139,"")</f>
        <v>4</v>
      </c>
      <c r="AG140" s="302">
        <f>IF(ISERROR(HLOOKUP(AG139,$AF$138:$AL$138,1,FALSE)),AG139,"")</f>
        <v>10</v>
      </c>
      <c r="AH140" s="302">
        <f>IF(ISERROR(HLOOKUP(AH139,$AF$138:$AL$138,1,FALSE)),AH139,"")</f>
        <v>22</v>
      </c>
      <c r="AI140" s="302" t="str">
        <f>IF(ISERROR(HLOOKUP(AI139,$AF$138:$AL$138,1,FALSE)),AI139,"")</f>
        <v/>
      </c>
      <c r="AJ140" s="303" t="str">
        <f>IF(ISERROR(HLOOKUP(AJ139,$AF$138:$AL$138,1,FALSE)),AJ139,"")</f>
        <v/>
      </c>
      <c r="AK140" s="301">
        <f>IF(AF140="",0,AF140)</f>
        <v>4</v>
      </c>
      <c r="AL140" s="302">
        <f>IF(AG140="",0,AG140)</f>
        <v>10</v>
      </c>
      <c r="AM140" s="302">
        <f>IF(AH140="",0,AH140)</f>
        <v>22</v>
      </c>
      <c r="AN140" s="302">
        <f>IF(AI140="",0,AI140)</f>
        <v>0</v>
      </c>
      <c r="AO140" s="303">
        <f>IF(AJ140="",0,AJ140)</f>
        <v>0</v>
      </c>
      <c r="AP140" s="390">
        <f>IF(U9="",-1,U9)</f>
        <v>10</v>
      </c>
      <c r="AQ140" s="396">
        <f>IF(AP140&gt;=0,COUNTIF(AF$138:AL$138,AP140),0)</f>
        <v>0</v>
      </c>
      <c r="AR140" s="393">
        <f>IF(AQ140&gt;0,1,0)</f>
        <v>0</v>
      </c>
      <c r="AS140" s="48"/>
      <c r="AT140" s="48"/>
      <c r="AU140" s="481"/>
      <c r="AV140" s="481"/>
      <c r="AW140" s="481"/>
      <c r="AX140" s="481"/>
      <c r="AY140" s="481"/>
      <c r="AZ140" s="481"/>
      <c r="BA140" s="481"/>
      <c r="BB140" s="481"/>
      <c r="BC140" s="481"/>
      <c r="BD140" s="481"/>
      <c r="BE140" s="481"/>
      <c r="BF140" s="481"/>
      <c r="BG140" s="481"/>
      <c r="BH140" s="481"/>
      <c r="BI140" s="481"/>
      <c r="BJ140" s="481"/>
      <c r="BK140" s="481"/>
      <c r="BL140" s="481"/>
      <c r="BM140" s="481"/>
      <c r="BN140" s="481"/>
      <c r="BO140" s="481"/>
      <c r="BP140" s="481"/>
      <c r="BQ140" s="481"/>
      <c r="BR140" s="481"/>
      <c r="BS140" s="481"/>
      <c r="BT140" s="481"/>
      <c r="BU140" s="481"/>
      <c r="BV140" s="481"/>
      <c r="BW140" s="481"/>
      <c r="BX140" s="481"/>
      <c r="BY140" s="481"/>
      <c r="BZ140" s="481"/>
      <c r="CA140" s="481"/>
      <c r="CB140" s="481"/>
      <c r="CC140" s="481"/>
      <c r="CD140" s="481"/>
      <c r="CE140" s="481"/>
      <c r="CF140" s="481"/>
      <c r="CG140" s="481"/>
      <c r="CH140" s="481"/>
      <c r="CI140" s="481"/>
      <c r="CJ140" s="481"/>
      <c r="CK140" s="481"/>
      <c r="CL140" s="481"/>
      <c r="CM140" s="481"/>
      <c r="CN140" s="481"/>
      <c r="CO140" s="481"/>
      <c r="CP140" s="481"/>
      <c r="CQ140" s="481"/>
      <c r="CR140" s="481"/>
      <c r="CS140" s="481"/>
      <c r="CT140" s="481"/>
      <c r="CU140" s="481"/>
      <c r="CV140" s="481"/>
      <c r="CW140" s="481"/>
      <c r="CX140" s="481"/>
      <c r="CY140" s="481"/>
      <c r="CZ140" s="481"/>
      <c r="DA140" s="481"/>
    </row>
    <row r="141" spans="1:105" hidden="1" x14ac:dyDescent="0.2">
      <c r="A141" s="186"/>
      <c r="B141" s="48"/>
      <c r="C141" s="466"/>
      <c r="D141" s="466"/>
      <c r="E141" s="466"/>
      <c r="F141" s="466"/>
      <c r="G141" s="466"/>
      <c r="H141" s="466"/>
      <c r="I141" s="466"/>
      <c r="J141" s="466"/>
      <c r="K141" s="34"/>
      <c r="L141" s="34"/>
      <c r="M141" s="564"/>
      <c r="N141" s="565"/>
      <c r="O141" s="565"/>
      <c r="P141" s="565"/>
      <c r="Q141" s="566" t="str">
        <f t="shared" si="8"/>
        <v/>
      </c>
      <c r="R141" s="366" t="str">
        <f t="shared" si="4"/>
        <v>18</v>
      </c>
      <c r="S141" s="1613" t="e">
        <f t="shared" si="5"/>
        <v>#N/A</v>
      </c>
      <c r="T141" s="1614"/>
      <c r="U141" s="1614"/>
      <c r="V141" s="1615"/>
      <c r="W141" s="211">
        <f t="shared" si="6"/>
        <v>0</v>
      </c>
      <c r="X141" s="132" t="s">
        <v>187</v>
      </c>
      <c r="Y141" s="1797" t="str">
        <f t="shared" si="7"/>
        <v/>
      </c>
      <c r="Z141" s="1797"/>
      <c r="AA141" s="1797"/>
      <c r="AB141" s="1798"/>
      <c r="AC141" s="249" t="str">
        <f t="shared" si="3"/>
        <v>18</v>
      </c>
      <c r="AD141" s="289">
        <v>0</v>
      </c>
      <c r="AE141" s="48"/>
      <c r="AF141" s="301" t="str">
        <f>IF(ISERROR(LARGE($AF$138:$AL$138,1)),"",LARGE($AF$138:$AL$138,1))</f>
        <v/>
      </c>
      <c r="AG141" s="302" t="str">
        <f>IF(AF141=0,"",IF(ISERROR(LARGE($AF$138:$AL$138,COUNTIF($AF138:$AL138,AF141)+1)),"",LARGE($AF$138:$AL$138,COUNTIF($AF138:$AL138,AF141)+1)))</f>
        <v/>
      </c>
      <c r="AH141" s="302" t="str">
        <f>IF(OR(AG141=0,AG141=""),"",IF(ISERROR(LARGE($AF$138:$AL$138,COUNTIF($AF138:$AL138,AF141)+COUNTIF($AF138:$AL138,AG141)+1)),"",LARGE($AF$138:$AL$138,COUNTIF($AF138:$AL138,AF141)+COUNTIF($AF138:$AL138,AG141)+1)))</f>
        <v/>
      </c>
      <c r="AI141" s="303" t="str">
        <f>IF(OR(AH141=0,AH141=""),"",IF(ISERROR(LARGE($AF$138:$AL$138,COUNTIF($AF138:$AL138,AF141)+COUNTIF($AF138:$AL138,AG141)+COUNTIF($AF138:$AL138,AH141)+1)),"",LARGE($AF$138:$AL$138,COUNTIF($AF138:$AL138,AF141)+COUNTIF($AF138:$AL138,AG141)+COUNTIF($AF138:$AL138,AH141)+1)))</f>
        <v/>
      </c>
      <c r="AJ141" s="1816" t="s">
        <v>491</v>
      </c>
      <c r="AK141" s="1817"/>
      <c r="AL141" s="1817"/>
      <c r="AM141" s="1817"/>
      <c r="AN141" s="48"/>
      <c r="AO141" s="48"/>
      <c r="AP141" s="390">
        <f>IF(U10="",-1,U10)</f>
        <v>22</v>
      </c>
      <c r="AQ141" s="396">
        <f>IF(AP141&gt;=0,COUNTIF(AF$138:AL$138,AP141),0)</f>
        <v>0</v>
      </c>
      <c r="AR141" s="393">
        <f>IF(AQ141&gt;0,1,0)</f>
        <v>0</v>
      </c>
      <c r="AS141" s="48"/>
      <c r="AT141" s="48"/>
      <c r="AU141" s="481"/>
      <c r="AV141" s="481"/>
      <c r="AW141" s="481"/>
      <c r="AX141" s="481"/>
      <c r="AY141" s="481"/>
      <c r="AZ141" s="481"/>
      <c r="BA141" s="481"/>
      <c r="BB141" s="481"/>
      <c r="BC141" s="481"/>
      <c r="BD141" s="481"/>
      <c r="BE141" s="481"/>
      <c r="BF141" s="481"/>
      <c r="BG141" s="481"/>
      <c r="BH141" s="481"/>
      <c r="BI141" s="481"/>
      <c r="BJ141" s="481"/>
      <c r="BK141" s="481"/>
      <c r="BL141" s="481"/>
      <c r="BM141" s="481"/>
      <c r="BN141" s="481"/>
      <c r="BO141" s="481"/>
      <c r="BP141" s="481"/>
      <c r="BQ141" s="481"/>
      <c r="BR141" s="481"/>
      <c r="BS141" s="481"/>
      <c r="BT141" s="481"/>
      <c r="BU141" s="481"/>
      <c r="BV141" s="481"/>
      <c r="BW141" s="481"/>
      <c r="BX141" s="481"/>
      <c r="BY141" s="481"/>
      <c r="BZ141" s="481"/>
      <c r="CA141" s="481"/>
      <c r="CB141" s="481"/>
      <c r="CC141" s="481"/>
      <c r="CD141" s="481"/>
      <c r="CE141" s="481"/>
      <c r="CF141" s="481"/>
      <c r="CG141" s="481"/>
      <c r="CH141" s="481"/>
      <c r="CI141" s="481"/>
      <c r="CJ141" s="481"/>
      <c r="CK141" s="481"/>
      <c r="CL141" s="481"/>
      <c r="CM141" s="481"/>
      <c r="CN141" s="481"/>
      <c r="CO141" s="481"/>
      <c r="CP141" s="481"/>
      <c r="CQ141" s="481"/>
      <c r="CR141" s="481"/>
      <c r="CS141" s="481"/>
      <c r="CT141" s="481"/>
      <c r="CU141" s="481"/>
      <c r="CV141" s="481"/>
      <c r="CW141" s="481"/>
      <c r="CX141" s="481"/>
      <c r="CY141" s="481"/>
      <c r="CZ141" s="481"/>
      <c r="DA141" s="481"/>
    </row>
    <row r="142" spans="1:105" hidden="1" x14ac:dyDescent="0.2">
      <c r="A142" s="186"/>
      <c r="B142" s="48"/>
      <c r="C142" s="466"/>
      <c r="D142" s="466"/>
      <c r="E142" s="466"/>
      <c r="F142" s="466"/>
      <c r="G142" s="466"/>
      <c r="H142" s="466"/>
      <c r="I142" s="466"/>
      <c r="J142" s="466"/>
      <c r="K142" s="34"/>
      <c r="L142" s="34"/>
      <c r="M142" s="564"/>
      <c r="N142" s="565"/>
      <c r="O142" s="565"/>
      <c r="P142" s="565"/>
      <c r="Q142" s="566" t="str">
        <f t="shared" si="8"/>
        <v/>
      </c>
      <c r="R142" s="366" t="str">
        <f t="shared" si="4"/>
        <v>19</v>
      </c>
      <c r="S142" s="1613" t="e">
        <f t="shared" si="5"/>
        <v>#N/A</v>
      </c>
      <c r="T142" s="1614"/>
      <c r="U142" s="1614"/>
      <c r="V142" s="1615"/>
      <c r="W142" s="211">
        <f t="shared" si="6"/>
        <v>0</v>
      </c>
      <c r="X142" s="132" t="s">
        <v>187</v>
      </c>
      <c r="Y142" s="1797" t="str">
        <f t="shared" si="7"/>
        <v/>
      </c>
      <c r="Z142" s="1797"/>
      <c r="AA142" s="1797"/>
      <c r="AB142" s="1798"/>
      <c r="AC142" s="249" t="str">
        <f t="shared" si="3"/>
        <v>19</v>
      </c>
      <c r="AD142" s="289">
        <v>0</v>
      </c>
      <c r="AE142" s="48"/>
      <c r="AF142" s="386">
        <f>IF(AF141="",IF(AQ144&lt;7,LARGE($AK$140:$AO$140,4)),0)</f>
        <v>0</v>
      </c>
      <c r="AG142" s="387">
        <f>IF(AG141="",IF(AQ144&lt;7,LARGE($AK$140:$AO$140,3)),0)</f>
        <v>4</v>
      </c>
      <c r="AH142" s="387">
        <f>IF(AH141="",IF(AQ144&lt;7,LARGE($AK$140:$AO$140,2)),0)</f>
        <v>10</v>
      </c>
      <c r="AI142" s="388">
        <f>IF(AI141="",IF(AQ144&lt;7,LARGE($AK$140:$AO$140,1)),0)</f>
        <v>22</v>
      </c>
      <c r="AJ142" s="48"/>
      <c r="AK142" s="48"/>
      <c r="AL142" s="48"/>
      <c r="AM142" s="48"/>
      <c r="AN142" s="48"/>
      <c r="AO142" s="48"/>
      <c r="AP142" s="390">
        <f>IF(U11="",-1,U11)</f>
        <v>-1</v>
      </c>
      <c r="AQ142" s="396">
        <f>IF(AP142&gt;=0,COUNTIF(AF$138:AL$138,AP142),0)</f>
        <v>0</v>
      </c>
      <c r="AR142" s="393">
        <f>IF(AQ142&gt;0,1,0)</f>
        <v>0</v>
      </c>
      <c r="AS142" s="48"/>
      <c r="AT142" s="48"/>
      <c r="AU142" s="481"/>
      <c r="AV142" s="481"/>
      <c r="AW142" s="481"/>
      <c r="AX142" s="481"/>
      <c r="AY142" s="481"/>
      <c r="AZ142" s="481"/>
      <c r="BA142" s="481"/>
      <c r="BB142" s="481"/>
      <c r="BC142" s="481"/>
      <c r="BD142" s="481"/>
      <c r="BE142" s="481"/>
      <c r="BF142" s="481"/>
      <c r="BG142" s="481"/>
      <c r="BH142" s="481"/>
      <c r="BI142" s="481"/>
      <c r="BJ142" s="481"/>
      <c r="BK142" s="481"/>
      <c r="BL142" s="481"/>
      <c r="BM142" s="481"/>
      <c r="BN142" s="481"/>
      <c r="BO142" s="481"/>
      <c r="BP142" s="481"/>
      <c r="BQ142" s="481"/>
      <c r="BR142" s="481"/>
      <c r="BS142" s="481"/>
      <c r="BT142" s="481"/>
      <c r="BU142" s="481"/>
      <c r="BV142" s="481"/>
      <c r="BW142" s="481"/>
      <c r="BX142" s="481"/>
      <c r="BY142" s="481"/>
      <c r="BZ142" s="481"/>
      <c r="CA142" s="481"/>
      <c r="CB142" s="481"/>
      <c r="CC142" s="481"/>
      <c r="CD142" s="481"/>
      <c r="CE142" s="481"/>
      <c r="CF142" s="481"/>
      <c r="CG142" s="481"/>
      <c r="CH142" s="481"/>
      <c r="CI142" s="481"/>
      <c r="CJ142" s="481"/>
      <c r="CK142" s="481"/>
      <c r="CL142" s="481"/>
      <c r="CM142" s="481"/>
      <c r="CN142" s="481"/>
      <c r="CO142" s="481"/>
      <c r="CP142" s="481"/>
      <c r="CQ142" s="481"/>
      <c r="CR142" s="481"/>
      <c r="CS142" s="481"/>
      <c r="CT142" s="481"/>
      <c r="CU142" s="481"/>
      <c r="CV142" s="481"/>
      <c r="CW142" s="481"/>
      <c r="CX142" s="481"/>
      <c r="CY142" s="481"/>
      <c r="CZ142" s="481"/>
      <c r="DA142" s="481"/>
    </row>
    <row r="143" spans="1:105" hidden="1" x14ac:dyDescent="0.2">
      <c r="A143" s="186"/>
      <c r="B143" s="48"/>
      <c r="C143" s="466"/>
      <c r="D143" s="466"/>
      <c r="E143" s="466"/>
      <c r="F143" s="466"/>
      <c r="G143" s="466"/>
      <c r="H143" s="1821" t="s">
        <v>788</v>
      </c>
      <c r="I143" s="1822"/>
      <c r="J143" s="1822"/>
      <c r="K143" s="1823"/>
      <c r="L143" s="34"/>
      <c r="M143" s="569"/>
      <c r="N143" s="567"/>
      <c r="O143" s="567"/>
      <c r="P143" s="567"/>
      <c r="Q143" s="568" t="str">
        <f t="shared" si="8"/>
        <v/>
      </c>
      <c r="R143" s="366" t="str">
        <f t="shared" si="4"/>
        <v>20</v>
      </c>
      <c r="S143" s="1613" t="e">
        <f t="shared" si="5"/>
        <v>#N/A</v>
      </c>
      <c r="T143" s="1614"/>
      <c r="U143" s="1614"/>
      <c r="V143" s="1615"/>
      <c r="W143" s="211">
        <f t="shared" si="6"/>
        <v>0</v>
      </c>
      <c r="X143" s="132" t="s">
        <v>187</v>
      </c>
      <c r="Y143" s="1797" t="str">
        <f t="shared" si="7"/>
        <v/>
      </c>
      <c r="Z143" s="1797"/>
      <c r="AA143" s="1797"/>
      <c r="AB143" s="1798"/>
      <c r="AC143" s="249" t="str">
        <f t="shared" si="3"/>
        <v>20</v>
      </c>
      <c r="AD143" s="289">
        <v>0</v>
      </c>
      <c r="AE143" s="48"/>
      <c r="AF143" s="301">
        <f>SUM(AF141:AF142)</f>
        <v>0</v>
      </c>
      <c r="AG143" s="302">
        <f>SUM(AG141:AG142)</f>
        <v>4</v>
      </c>
      <c r="AH143" s="302">
        <f>SUM(AH141:AH142)</f>
        <v>10</v>
      </c>
      <c r="AI143" s="303">
        <f>SUM(AI141:AI142)</f>
        <v>22</v>
      </c>
      <c r="AJ143" s="48"/>
      <c r="AK143" s="48"/>
      <c r="AL143" s="48"/>
      <c r="AM143" s="48"/>
      <c r="AN143" s="48"/>
      <c r="AO143" s="48"/>
      <c r="AP143" s="391">
        <f>IF(U12="",-1,U12)</f>
        <v>-1</v>
      </c>
      <c r="AQ143" s="397">
        <f>IF(AP143&gt;=0,COUNTIF(AF$138:AL$138,AP143),0)</f>
        <v>0</v>
      </c>
      <c r="AR143" s="394">
        <f>IF(AQ143&gt;0,1,0)</f>
        <v>0</v>
      </c>
      <c r="AS143" s="48"/>
      <c r="AT143" s="48"/>
      <c r="AU143" s="481"/>
      <c r="AV143" s="481"/>
      <c r="AW143" s="481"/>
      <c r="AX143" s="481"/>
      <c r="AY143" s="481"/>
      <c r="AZ143" s="481"/>
      <c r="BA143" s="481"/>
      <c r="BB143" s="481"/>
      <c r="BC143" s="481"/>
      <c r="BD143" s="481"/>
      <c r="BE143" s="481"/>
      <c r="BF143" s="481"/>
      <c r="BG143" s="481"/>
      <c r="BH143" s="481"/>
      <c r="BI143" s="481"/>
      <c r="BJ143" s="481"/>
      <c r="BK143" s="481"/>
      <c r="BL143" s="481"/>
      <c r="BM143" s="481"/>
      <c r="BN143" s="481"/>
      <c r="BO143" s="481"/>
      <c r="BP143" s="481"/>
      <c r="BQ143" s="481"/>
      <c r="BR143" s="481"/>
      <c r="BS143" s="481"/>
      <c r="BT143" s="481"/>
      <c r="BU143" s="481"/>
      <c r="BV143" s="481"/>
      <c r="BW143" s="481"/>
      <c r="BX143" s="481"/>
      <c r="BY143" s="481"/>
      <c r="BZ143" s="481"/>
      <c r="CA143" s="481"/>
      <c r="CB143" s="481"/>
      <c r="CC143" s="481"/>
      <c r="CD143" s="481"/>
      <c r="CE143" s="481"/>
      <c r="CF143" s="481"/>
      <c r="CG143" s="481"/>
      <c r="CH143" s="481"/>
      <c r="CI143" s="481"/>
      <c r="CJ143" s="481"/>
      <c r="CK143" s="481"/>
      <c r="CL143" s="481"/>
      <c r="CM143" s="481"/>
      <c r="CN143" s="481"/>
      <c r="CO143" s="481"/>
      <c r="CP143" s="481"/>
      <c r="CQ143" s="481"/>
      <c r="CR143" s="481"/>
      <c r="CS143" s="481"/>
      <c r="CT143" s="481"/>
      <c r="CU143" s="481"/>
      <c r="CV143" s="481"/>
      <c r="CW143" s="481"/>
      <c r="CX143" s="481"/>
      <c r="CY143" s="481"/>
      <c r="CZ143" s="481"/>
      <c r="DA143" s="481"/>
    </row>
    <row r="144" spans="1:105" hidden="1" x14ac:dyDescent="0.2">
      <c r="A144" s="186"/>
      <c r="B144" s="48"/>
      <c r="C144" s="466"/>
      <c r="D144" s="466"/>
      <c r="E144" s="466"/>
      <c r="F144" s="466"/>
      <c r="G144" s="466"/>
      <c r="H144" s="1736" t="s">
        <v>789</v>
      </c>
      <c r="I144" s="1737"/>
      <c r="J144" s="1737"/>
      <c r="K144" s="1738"/>
      <c r="L144" s="34"/>
      <c r="M144" s="34"/>
      <c r="N144" s="34"/>
      <c r="O144" s="186"/>
      <c r="P144" s="186"/>
      <c r="Q144" s="186"/>
      <c r="AE144" s="48"/>
      <c r="AF144" s="48"/>
      <c r="AG144" s="48"/>
      <c r="AH144" s="48"/>
      <c r="AI144" s="48"/>
      <c r="AJ144" s="48"/>
      <c r="AK144" s="48"/>
      <c r="AL144" s="48"/>
      <c r="AM144" s="48"/>
      <c r="AN144" s="48"/>
      <c r="AO144" s="48"/>
      <c r="AP144" s="48"/>
      <c r="AQ144" s="398">
        <f>SUM(AQ139:AQ143)</f>
        <v>0</v>
      </c>
      <c r="AR144" s="48"/>
      <c r="AS144" s="48"/>
      <c r="AT144" s="48"/>
      <c r="AU144" s="481"/>
      <c r="AV144" s="481"/>
      <c r="AW144" s="481"/>
      <c r="AX144" s="481"/>
      <c r="AY144" s="481"/>
      <c r="AZ144" s="481"/>
      <c r="BA144" s="481"/>
      <c r="BB144" s="481"/>
      <c r="BC144" s="481"/>
      <c r="BD144" s="481"/>
      <c r="BE144" s="481"/>
      <c r="BF144" s="481"/>
      <c r="BG144" s="481"/>
      <c r="BH144" s="481"/>
      <c r="BI144" s="481"/>
      <c r="BJ144" s="481"/>
      <c r="BK144" s="481"/>
      <c r="BL144" s="481"/>
      <c r="BM144" s="481"/>
      <c r="BN144" s="481"/>
      <c r="BO144" s="481"/>
      <c r="BP144" s="481"/>
      <c r="BQ144" s="481"/>
      <c r="BR144" s="481"/>
      <c r="BS144" s="481"/>
      <c r="BT144" s="481"/>
      <c r="BU144" s="481"/>
      <c r="BV144" s="481"/>
      <c r="BW144" s="481"/>
      <c r="BX144" s="481"/>
      <c r="BY144" s="481"/>
      <c r="BZ144" s="481"/>
      <c r="CA144" s="481"/>
      <c r="CB144" s="481"/>
      <c r="CC144" s="481"/>
      <c r="CD144" s="481"/>
      <c r="CE144" s="481"/>
      <c r="CF144" s="481"/>
      <c r="CG144" s="481"/>
      <c r="CH144" s="481"/>
      <c r="CI144" s="481"/>
      <c r="CJ144" s="481"/>
      <c r="CK144" s="481"/>
      <c r="CL144" s="481"/>
      <c r="CM144" s="481"/>
      <c r="CN144" s="481"/>
      <c r="CO144" s="481"/>
      <c r="CP144" s="481"/>
      <c r="CQ144" s="481"/>
      <c r="CR144" s="481"/>
      <c r="CS144" s="481"/>
      <c r="CT144" s="481"/>
      <c r="CU144" s="481"/>
      <c r="CV144" s="481"/>
      <c r="CW144" s="481"/>
      <c r="CX144" s="481"/>
      <c r="CY144" s="481"/>
      <c r="CZ144" s="481"/>
      <c r="DA144" s="481"/>
    </row>
    <row r="145" spans="1:105" hidden="1" x14ac:dyDescent="0.2">
      <c r="A145" s="186"/>
      <c r="B145" s="48"/>
      <c r="C145" s="466"/>
      <c r="D145" s="466"/>
      <c r="E145" s="466"/>
      <c r="F145" s="466"/>
      <c r="G145" s="466"/>
      <c r="H145" s="466"/>
      <c r="I145" s="466"/>
      <c r="J145" s="466"/>
      <c r="K145" s="34"/>
      <c r="L145" s="34"/>
      <c r="M145" s="34"/>
      <c r="N145" s="34"/>
      <c r="O145" s="186"/>
      <c r="P145" s="186"/>
      <c r="Q145" s="186"/>
      <c r="AE145" s="48"/>
      <c r="AF145" s="217">
        <f>SMALL($AF$143:$AI$143,1)</f>
        <v>0</v>
      </c>
      <c r="AG145" s="217">
        <f>SMALL($AF$143:$AI$143,2)</f>
        <v>4</v>
      </c>
      <c r="AH145" s="217">
        <f>SMALL($AF$143:$AI$143,3)</f>
        <v>10</v>
      </c>
      <c r="AI145" s="217">
        <f>SMALL($AF$143:$AI$143,4)</f>
        <v>22</v>
      </c>
      <c r="AJ145" s="48"/>
      <c r="AK145" s="48"/>
      <c r="AL145" s="48"/>
      <c r="AM145" s="48"/>
      <c r="AN145" s="48"/>
      <c r="AO145" s="48"/>
      <c r="AP145" s="48"/>
      <c r="AQ145" s="48"/>
      <c r="AR145" s="48"/>
      <c r="AS145" s="48"/>
      <c r="AT145" s="48"/>
      <c r="AU145" s="481"/>
      <c r="AV145" s="481"/>
      <c r="AW145" s="481"/>
      <c r="AX145" s="481"/>
      <c r="AY145" s="481"/>
      <c r="AZ145" s="481"/>
      <c r="BA145" s="481"/>
      <c r="BB145" s="481"/>
      <c r="BC145" s="481"/>
      <c r="BD145" s="481"/>
      <c r="BE145" s="481"/>
      <c r="BF145" s="481"/>
      <c r="BG145" s="481"/>
      <c r="BH145" s="481"/>
      <c r="BI145" s="481"/>
      <c r="BJ145" s="481"/>
      <c r="BK145" s="481"/>
      <c r="BL145" s="481"/>
      <c r="BM145" s="481"/>
      <c r="BN145" s="481"/>
      <c r="BO145" s="481"/>
      <c r="BP145" s="481"/>
      <c r="BQ145" s="481"/>
      <c r="BR145" s="481"/>
      <c r="BS145" s="481"/>
      <c r="BT145" s="481"/>
      <c r="BU145" s="481"/>
      <c r="BV145" s="481"/>
      <c r="BW145" s="481"/>
      <c r="BX145" s="481"/>
      <c r="BY145" s="481"/>
      <c r="BZ145" s="481"/>
      <c r="CA145" s="481"/>
      <c r="CB145" s="481"/>
      <c r="CC145" s="481"/>
      <c r="CD145" s="481"/>
      <c r="CE145" s="481"/>
      <c r="CF145" s="481"/>
      <c r="CG145" s="481"/>
      <c r="CH145" s="481"/>
      <c r="CI145" s="481"/>
      <c r="CJ145" s="481"/>
      <c r="CK145" s="481"/>
      <c r="CL145" s="481"/>
      <c r="CM145" s="481"/>
      <c r="CN145" s="481"/>
      <c r="CO145" s="481"/>
      <c r="CP145" s="481"/>
      <c r="CQ145" s="481"/>
      <c r="CR145" s="481"/>
      <c r="CS145" s="481"/>
      <c r="CT145" s="481"/>
      <c r="CU145" s="481"/>
      <c r="CV145" s="481"/>
      <c r="CW145" s="481"/>
      <c r="CX145" s="481"/>
      <c r="CY145" s="481"/>
      <c r="CZ145" s="481"/>
      <c r="DA145" s="481"/>
    </row>
    <row r="146" spans="1:105" hidden="1" x14ac:dyDescent="0.2">
      <c r="A146" s="186"/>
      <c r="B146" s="48"/>
      <c r="C146" s="1551" t="s">
        <v>537</v>
      </c>
      <c r="D146" s="1552"/>
      <c r="E146" s="1552"/>
      <c r="F146" s="1553"/>
      <c r="G146" s="466"/>
      <c r="H146" s="1551" t="s">
        <v>739</v>
      </c>
      <c r="I146" s="1552"/>
      <c r="J146" s="1552"/>
      <c r="K146" s="1553"/>
      <c r="L146" s="34"/>
      <c r="M146" s="34"/>
      <c r="N146" s="34"/>
      <c r="O146" s="186"/>
      <c r="P146" s="186"/>
      <c r="Q146" s="186"/>
      <c r="R146" s="202"/>
      <c r="S146" s="186"/>
      <c r="T146" s="186"/>
      <c r="U146" s="186"/>
      <c r="V146" s="186"/>
      <c r="W146" s="186"/>
      <c r="X146" s="186"/>
      <c r="Y146" s="186"/>
      <c r="Z146" s="186"/>
      <c r="AA146" s="186"/>
      <c r="AB146" s="186"/>
      <c r="AC146" s="186"/>
      <c r="AD146" s="48"/>
      <c r="AE146" s="48"/>
      <c r="AF146" s="249">
        <v>1</v>
      </c>
      <c r="AG146" s="249">
        <v>2</v>
      </c>
      <c r="AH146" s="249">
        <v>3</v>
      </c>
      <c r="AI146" s="249">
        <v>4</v>
      </c>
      <c r="AJ146" s="48"/>
      <c r="AK146" s="48"/>
      <c r="AL146" s="48"/>
      <c r="AM146" s="48"/>
      <c r="AN146" s="48"/>
      <c r="AO146" s="48"/>
      <c r="AP146" s="48"/>
      <c r="AQ146" s="48"/>
      <c r="AR146" s="48"/>
      <c r="AS146" s="48"/>
      <c r="AT146" s="48"/>
      <c r="AU146" s="481"/>
      <c r="AV146" s="481"/>
      <c r="AW146" s="481"/>
      <c r="AX146" s="481"/>
      <c r="AY146" s="481"/>
      <c r="AZ146" s="481"/>
      <c r="BA146" s="481"/>
      <c r="BB146" s="481"/>
      <c r="BC146" s="481"/>
      <c r="BD146" s="481"/>
      <c r="BE146" s="481"/>
      <c r="BF146" s="481"/>
      <c r="BG146" s="481"/>
      <c r="BH146" s="481"/>
      <c r="BI146" s="481"/>
      <c r="BJ146" s="481"/>
      <c r="BK146" s="481"/>
      <c r="BL146" s="481"/>
      <c r="BM146" s="481"/>
      <c r="BN146" s="481"/>
      <c r="BO146" s="481"/>
      <c r="BP146" s="481"/>
      <c r="BQ146" s="481"/>
      <c r="BR146" s="481"/>
      <c r="BS146" s="481"/>
      <c r="BT146" s="481"/>
      <c r="BU146" s="481"/>
      <c r="BV146" s="481"/>
      <c r="BW146" s="481"/>
      <c r="BX146" s="481"/>
      <c r="BY146" s="481"/>
      <c r="BZ146" s="481"/>
      <c r="CA146" s="481"/>
      <c r="CB146" s="481"/>
      <c r="CC146" s="481"/>
      <c r="CD146" s="481"/>
      <c r="CE146" s="481"/>
      <c r="CF146" s="481"/>
      <c r="CG146" s="481"/>
      <c r="CH146" s="481"/>
      <c r="CI146" s="481"/>
      <c r="CJ146" s="481"/>
      <c r="CK146" s="481"/>
      <c r="CL146" s="481"/>
      <c r="CM146" s="481"/>
      <c r="CN146" s="481"/>
      <c r="CO146" s="481"/>
      <c r="CP146" s="481"/>
      <c r="CQ146" s="481"/>
      <c r="CR146" s="481"/>
      <c r="CS146" s="481"/>
      <c r="CT146" s="481"/>
      <c r="CU146" s="481"/>
      <c r="CV146" s="481"/>
      <c r="CW146" s="481"/>
      <c r="CX146" s="481"/>
      <c r="CY146" s="481"/>
      <c r="CZ146" s="481"/>
      <c r="DA146" s="481"/>
    </row>
    <row r="147" spans="1:105" hidden="1" x14ac:dyDescent="0.2">
      <c r="A147" s="186"/>
      <c r="B147" s="48"/>
      <c r="C147" s="466"/>
      <c r="D147" s="466"/>
      <c r="E147" s="466"/>
      <c r="F147" s="466"/>
      <c r="G147" s="466"/>
      <c r="H147" s="48"/>
      <c r="I147" s="48"/>
      <c r="J147" s="48"/>
      <c r="K147" s="48"/>
      <c r="L147" s="219"/>
      <c r="M147" s="219"/>
      <c r="N147" s="219"/>
      <c r="O147" s="186"/>
      <c r="P147" s="186"/>
      <c r="Q147" s="186"/>
      <c r="R147" s="201"/>
      <c r="S147" s="186"/>
      <c r="T147" s="186"/>
      <c r="U147" s="186"/>
      <c r="V147" s="186"/>
      <c r="W147" s="186"/>
      <c r="X147" s="186"/>
      <c r="Y147" s="186"/>
      <c r="Z147" s="186"/>
      <c r="AA147" s="186"/>
      <c r="AB147" s="186"/>
      <c r="AC147" s="573" t="s">
        <v>568</v>
      </c>
      <c r="AD147" s="519">
        <f>IF(SUM(I41:AF41)&gt;0,1,0)</f>
        <v>0</v>
      </c>
      <c r="AE147" s="48"/>
      <c r="AF147" s="1238">
        <f>IF(ISERROR(LARGE($U$8:$V$12,1)),"",LARGE($U$8:$V$12,1))</f>
        <v>22</v>
      </c>
      <c r="AG147" s="1239">
        <f>IF(ISERROR(LARGE($U$8:$V$12,2)),"",LARGE($U$8:$V$12,2))</f>
        <v>10</v>
      </c>
      <c r="AH147" s="1239">
        <f>IF(ISERROR(LARGE($U$8:$V$12,3)),"",LARGE($U$8:$V$12,3))</f>
        <v>4</v>
      </c>
      <c r="AI147" s="1240" t="str">
        <f>IF(ISERROR(LARGE($U$8:$V$12,4)),"",LARGE($U$8:$V$12,4))</f>
        <v/>
      </c>
      <c r="AJ147" s="1241" t="s">
        <v>821</v>
      </c>
      <c r="AK147" s="48"/>
      <c r="AL147" s="48"/>
      <c r="AM147" s="48"/>
      <c r="AN147" s="48"/>
      <c r="AO147" s="48"/>
      <c r="AP147" s="48"/>
      <c r="AQ147" s="48"/>
      <c r="AR147" s="48"/>
      <c r="AS147" s="48"/>
      <c r="AT147" s="48"/>
      <c r="AU147" s="481"/>
      <c r="AV147" s="481"/>
      <c r="AW147" s="481"/>
      <c r="AX147" s="481"/>
      <c r="AY147" s="481"/>
      <c r="AZ147" s="481"/>
      <c r="BA147" s="481"/>
      <c r="BB147" s="481"/>
      <c r="BC147" s="481"/>
      <c r="BD147" s="481"/>
      <c r="BE147" s="481"/>
      <c r="BF147" s="481"/>
      <c r="BG147" s="481"/>
      <c r="BH147" s="481"/>
      <c r="BI147" s="481"/>
      <c r="BJ147" s="481"/>
      <c r="BK147" s="481"/>
      <c r="BL147" s="481"/>
      <c r="BM147" s="481"/>
      <c r="BN147" s="481"/>
      <c r="BO147" s="481"/>
      <c r="BP147" s="481"/>
      <c r="BQ147" s="481"/>
      <c r="BR147" s="481"/>
      <c r="BS147" s="481"/>
      <c r="BT147" s="481"/>
      <c r="BU147" s="481"/>
      <c r="BV147" s="481"/>
      <c r="BW147" s="481"/>
      <c r="BX147" s="481"/>
      <c r="BY147" s="481"/>
      <c r="BZ147" s="481"/>
      <c r="CA147" s="481"/>
      <c r="CB147" s="481"/>
      <c r="CC147" s="481"/>
      <c r="CD147" s="481"/>
      <c r="CE147" s="481"/>
      <c r="CF147" s="481"/>
      <c r="CG147" s="481"/>
      <c r="CH147" s="481"/>
      <c r="CI147" s="481"/>
      <c r="CJ147" s="481"/>
      <c r="CK147" s="481"/>
      <c r="CL147" s="481"/>
      <c r="CM147" s="481"/>
      <c r="CN147" s="481"/>
      <c r="CO147" s="481"/>
      <c r="CP147" s="481"/>
      <c r="CQ147" s="481"/>
      <c r="CR147" s="481"/>
      <c r="CS147" s="481"/>
      <c r="CT147" s="481"/>
      <c r="CU147" s="481"/>
      <c r="CV147" s="481"/>
      <c r="CW147" s="481"/>
      <c r="CX147" s="481"/>
      <c r="CY147" s="481"/>
      <c r="CZ147" s="481"/>
      <c r="DA147" s="481"/>
    </row>
    <row r="148" spans="1:105" hidden="1" x14ac:dyDescent="0.2">
      <c r="A148" s="186"/>
      <c r="B148" s="186"/>
      <c r="C148" s="1821" t="s">
        <v>176</v>
      </c>
      <c r="D148" s="1822"/>
      <c r="E148" s="1822"/>
      <c r="F148" s="1823"/>
      <c r="G148" s="186"/>
      <c r="H148" s="1551" t="s">
        <v>742</v>
      </c>
      <c r="I148" s="1552"/>
      <c r="J148" s="1552"/>
      <c r="K148" s="1553"/>
      <c r="L148" s="186"/>
      <c r="M148" s="186"/>
      <c r="N148" s="186"/>
      <c r="O148" s="186"/>
      <c r="P148" s="186"/>
      <c r="Q148" s="186"/>
      <c r="R148" s="186"/>
      <c r="S148" s="186"/>
      <c r="T148" s="186"/>
      <c r="U148" s="186"/>
      <c r="V148" s="186"/>
      <c r="W148" s="186"/>
      <c r="X148" s="186"/>
      <c r="Y148" s="186"/>
      <c r="Z148" s="186"/>
      <c r="AA148" s="186"/>
      <c r="AB148" s="186"/>
      <c r="AC148" s="186"/>
      <c r="AD148" s="48"/>
      <c r="AE148" s="48"/>
      <c r="AF148" s="48"/>
      <c r="AG148" s="48"/>
      <c r="AH148" s="48"/>
      <c r="AI148" s="136"/>
      <c r="AJ148" s="48"/>
      <c r="AK148" s="48"/>
      <c r="AL148" s="48"/>
      <c r="AM148" s="48"/>
      <c r="AN148" s="48"/>
      <c r="AO148" s="48"/>
      <c r="AP148" s="48"/>
      <c r="AQ148" s="48"/>
      <c r="AR148" s="481"/>
      <c r="AS148" s="481"/>
      <c r="AT148" s="481"/>
      <c r="AU148" s="481"/>
      <c r="AV148" s="481"/>
      <c r="AW148" s="481"/>
      <c r="AX148" s="481"/>
      <c r="AY148" s="481"/>
      <c r="AZ148" s="481"/>
      <c r="BA148" s="481"/>
      <c r="BB148" s="481"/>
      <c r="BC148" s="481"/>
      <c r="BD148" s="481"/>
      <c r="BE148" s="481"/>
      <c r="BF148" s="481"/>
      <c r="BG148" s="481"/>
      <c r="BH148" s="481"/>
      <c r="BI148" s="481"/>
      <c r="BJ148" s="481"/>
      <c r="BK148" s="481"/>
      <c r="BL148" s="481"/>
      <c r="BM148" s="481"/>
      <c r="BN148" s="481"/>
      <c r="BO148" s="481"/>
      <c r="BP148" s="481"/>
      <c r="BQ148" s="481"/>
      <c r="BR148" s="481"/>
      <c r="BS148" s="481"/>
      <c r="BT148" s="481"/>
      <c r="BU148" s="481"/>
      <c r="BV148" s="481"/>
      <c r="BW148" s="481"/>
      <c r="BX148" s="481"/>
      <c r="BY148" s="481"/>
      <c r="BZ148" s="481"/>
      <c r="CA148" s="481"/>
      <c r="CB148" s="481"/>
      <c r="CC148" s="481"/>
      <c r="CD148" s="481"/>
      <c r="CE148" s="481"/>
      <c r="CF148" s="481"/>
      <c r="CG148" s="481"/>
      <c r="CH148" s="481"/>
      <c r="CI148" s="481"/>
      <c r="CJ148" s="481"/>
      <c r="CK148" s="481"/>
      <c r="CL148" s="481"/>
      <c r="CM148" s="481"/>
      <c r="CN148" s="481"/>
      <c r="CO148" s="481"/>
      <c r="CP148" s="481"/>
      <c r="CQ148" s="481"/>
      <c r="CR148" s="481"/>
      <c r="CS148" s="481"/>
      <c r="CT148" s="481"/>
      <c r="CU148" s="481"/>
      <c r="CV148" s="481"/>
      <c r="CW148" s="481"/>
      <c r="CX148" s="481"/>
      <c r="CY148" s="481"/>
      <c r="CZ148" s="481"/>
      <c r="DA148" s="481"/>
    </row>
    <row r="149" spans="1:105" hidden="1" x14ac:dyDescent="0.2">
      <c r="A149" s="186"/>
      <c r="B149" s="48"/>
      <c r="C149" s="1736" t="s">
        <v>731</v>
      </c>
      <c r="D149" s="1737"/>
      <c r="E149" s="1737"/>
      <c r="F149" s="1738"/>
      <c r="G149" s="48"/>
      <c r="H149" s="48"/>
      <c r="I149" s="48"/>
      <c r="J149" s="48"/>
      <c r="K149" s="48"/>
      <c r="L149" s="48"/>
      <c r="M149" s="48"/>
      <c r="N149" s="48"/>
      <c r="O149" s="186"/>
      <c r="P149" s="186"/>
      <c r="Q149" s="186"/>
      <c r="R149" s="186"/>
      <c r="S149" s="186"/>
      <c r="T149" s="186"/>
      <c r="U149" s="186"/>
      <c r="V149" s="186"/>
      <c r="W149" s="186"/>
      <c r="X149" s="186"/>
      <c r="Y149" s="186"/>
      <c r="Z149" s="186"/>
      <c r="AA149" s="186"/>
      <c r="AB149" s="186"/>
      <c r="AC149" s="186"/>
      <c r="AD149" s="48"/>
      <c r="AE149" s="48"/>
      <c r="AF149" s="48"/>
      <c r="AG149" s="48"/>
      <c r="AH149" s="48"/>
      <c r="AI149" s="48"/>
      <c r="AJ149" s="48"/>
      <c r="AK149" s="48"/>
      <c r="AL149" s="48"/>
      <c r="AM149" s="48"/>
      <c r="AN149" s="48"/>
      <c r="AO149" s="48"/>
      <c r="AP149" s="48"/>
      <c r="AQ149" s="48"/>
      <c r="AR149" s="481"/>
      <c r="AS149" s="481"/>
      <c r="AT149" s="481"/>
      <c r="AU149" s="481"/>
      <c r="AV149" s="481"/>
      <c r="AW149" s="481"/>
      <c r="AX149" s="481"/>
      <c r="AY149" s="481"/>
      <c r="AZ149" s="481"/>
      <c r="BA149" s="481"/>
      <c r="BB149" s="481"/>
      <c r="BC149" s="481"/>
      <c r="BD149" s="481"/>
      <c r="BE149" s="481"/>
      <c r="BF149" s="481"/>
      <c r="BG149" s="481"/>
      <c r="BH149" s="481"/>
      <c r="BI149" s="481"/>
      <c r="BJ149" s="481"/>
      <c r="BK149" s="481"/>
      <c r="BL149" s="481"/>
      <c r="BM149" s="481"/>
      <c r="BN149" s="481"/>
      <c r="BO149" s="481"/>
      <c r="BP149" s="481"/>
      <c r="BQ149" s="481"/>
      <c r="BR149" s="481"/>
      <c r="BS149" s="481"/>
      <c r="BT149" s="481"/>
      <c r="BU149" s="481"/>
      <c r="BV149" s="481"/>
      <c r="BW149" s="481"/>
      <c r="BX149" s="481"/>
      <c r="BY149" s="481"/>
      <c r="BZ149" s="481"/>
      <c r="CA149" s="481"/>
      <c r="CB149" s="481"/>
      <c r="CC149" s="481"/>
      <c r="CD149" s="481"/>
      <c r="CE149" s="481"/>
      <c r="CF149" s="481"/>
      <c r="CG149" s="481"/>
      <c r="CH149" s="481"/>
      <c r="CI149" s="481"/>
      <c r="CJ149" s="481"/>
      <c r="CK149" s="481"/>
      <c r="CL149" s="481"/>
      <c r="CM149" s="481"/>
      <c r="CN149" s="481"/>
      <c r="CO149" s="481"/>
      <c r="CP149" s="481"/>
      <c r="CQ149" s="481"/>
      <c r="CR149" s="481"/>
      <c r="CS149" s="481"/>
      <c r="CT149" s="481"/>
      <c r="CU149" s="481"/>
      <c r="CV149" s="481"/>
      <c r="CW149" s="481"/>
      <c r="CX149" s="481"/>
      <c r="CY149" s="481"/>
      <c r="CZ149" s="481"/>
      <c r="DA149" s="481"/>
    </row>
    <row r="150" spans="1:105" hidden="1" x14ac:dyDescent="0.2">
      <c r="A150" s="186"/>
      <c r="B150" s="48"/>
      <c r="C150" s="48"/>
      <c r="D150" s="48"/>
      <c r="E150" s="48"/>
      <c r="F150" s="48"/>
      <c r="G150" s="48"/>
      <c r="H150" s="1814">
        <f>IF(H151="",0,1)</f>
        <v>0</v>
      </c>
      <c r="I150" s="1814"/>
      <c r="J150" s="1814"/>
      <c r="K150" s="1814"/>
      <c r="L150" s="1814">
        <f>IF(L151="",0,1)</f>
        <v>0</v>
      </c>
      <c r="M150" s="1814"/>
      <c r="N150" s="1814"/>
      <c r="O150" s="1814"/>
      <c r="P150" s="1814">
        <f>IF(P151="",0,1)</f>
        <v>0</v>
      </c>
      <c r="Q150" s="1814"/>
      <c r="R150" s="1814"/>
      <c r="S150" s="1814"/>
      <c r="T150" s="1814">
        <f>IF(T151="",0,1)</f>
        <v>0</v>
      </c>
      <c r="U150" s="1814"/>
      <c r="V150" s="1814"/>
      <c r="W150" s="1814"/>
      <c r="X150" s="48"/>
      <c r="Y150" s="48"/>
      <c r="Z150" s="48"/>
      <c r="AA150" s="48"/>
      <c r="AB150" s="48"/>
      <c r="AC150" s="48"/>
      <c r="AD150" s="48"/>
      <c r="AE150" s="48"/>
      <c r="AF150" s="48"/>
      <c r="AG150" s="48"/>
      <c r="AH150" s="48"/>
      <c r="AI150" s="48"/>
      <c r="AJ150" s="48"/>
      <c r="AK150" s="48"/>
      <c r="AL150" s="48"/>
      <c r="AM150" s="48"/>
      <c r="AN150" s="48"/>
      <c r="AO150" s="48"/>
      <c r="AP150" s="48"/>
      <c r="AQ150" s="48"/>
      <c r="AR150" s="481"/>
      <c r="AS150" s="481"/>
      <c r="AT150" s="481"/>
      <c r="AU150" s="481"/>
      <c r="AV150" s="481"/>
      <c r="AW150" s="481"/>
      <c r="AX150" s="481"/>
      <c r="AY150" s="481"/>
      <c r="AZ150" s="481"/>
      <c r="BA150" s="481"/>
      <c r="BB150" s="481"/>
      <c r="BC150" s="481"/>
      <c r="BD150" s="481"/>
      <c r="BE150" s="481"/>
      <c r="BF150" s="481"/>
      <c r="BG150" s="481"/>
      <c r="BH150" s="481"/>
      <c r="BI150" s="481"/>
      <c r="BJ150" s="481"/>
      <c r="BK150" s="481"/>
      <c r="BL150" s="481"/>
      <c r="BM150" s="481"/>
      <c r="BN150" s="481"/>
      <c r="BO150" s="481"/>
      <c r="BP150" s="481"/>
      <c r="BQ150" s="481"/>
      <c r="BR150" s="481"/>
      <c r="BS150" s="481"/>
      <c r="BT150" s="481"/>
      <c r="BU150" s="481"/>
      <c r="BV150" s="481"/>
      <c r="BW150" s="481"/>
      <c r="BX150" s="481"/>
      <c r="BY150" s="481"/>
      <c r="BZ150" s="481"/>
      <c r="CA150" s="481"/>
      <c r="CB150" s="481"/>
      <c r="CC150" s="481"/>
      <c r="CD150" s="481"/>
      <c r="CE150" s="481"/>
      <c r="CF150" s="481"/>
      <c r="CG150" s="481"/>
      <c r="CH150" s="481"/>
      <c r="CI150" s="481"/>
      <c r="CJ150" s="481"/>
      <c r="CK150" s="481"/>
      <c r="CL150" s="481"/>
      <c r="CM150" s="481"/>
      <c r="CN150" s="481"/>
      <c r="CO150" s="481"/>
    </row>
    <row r="151" spans="1:105" ht="18" hidden="1" customHeight="1" x14ac:dyDescent="0.2">
      <c r="A151" s="186"/>
      <c r="B151" s="48"/>
      <c r="C151" s="1821" t="s">
        <v>822</v>
      </c>
      <c r="D151" s="1822"/>
      <c r="E151" s="1822"/>
      <c r="F151" s="1823"/>
      <c r="G151" s="48"/>
      <c r="H151" s="1554" t="str">
        <f>IF(SUM(L20:L22)=0,"",IF(OR(AND(L20&gt;0,L21=0),AND(L21&gt;0,L20=0)),$C151,IF(OR(AND(L20=0,L21=0,L22&gt;0),AND(I25&lt;&gt;0,I24=0),AND(I24&lt;&gt;0,I25=0),AND(I25&lt;&gt;0,I24=""),AND(I24&lt;&gt;0,I25="")),$C152,"")))</f>
        <v/>
      </c>
      <c r="I151" s="1555"/>
      <c r="J151" s="1555"/>
      <c r="K151" s="1556"/>
      <c r="L151" s="1554" t="str">
        <f>IF(SUM(P20:P22)=0,"",IF(OR(AND(P20&gt;0,P21=0),AND(P21&gt;0,P20=0)),$C151,IF(OR(AND(P20=0,P21=0,P22&gt;0),AND(M25&lt;&gt;0,M24=0),AND(M24&lt;&gt;0,M25=0),AND(M25&lt;&gt;0,M24=""),AND(M24&lt;&gt;0,M25="")),$C152,"")))</f>
        <v/>
      </c>
      <c r="M151" s="1555"/>
      <c r="N151" s="1555"/>
      <c r="O151" s="1556"/>
      <c r="P151" s="1554" t="str">
        <f>IF(SUM(X20:X22)=0,"",IF(OR(AND(X20&gt;0,X21=0),AND(X21&gt;0,X20=0)),$C151,IF(OR(AND(X20=0,X21=0,X22&gt;0),AND(U25&lt;&gt;0,U24=0),AND(U24&lt;&gt;0,U25=0),AND(U25&lt;&gt;0,U24=""),AND(U24&lt;&gt;0,U25="")),$C152,"")))</f>
        <v/>
      </c>
      <c r="Q151" s="1555"/>
      <c r="R151" s="1555"/>
      <c r="S151" s="1556"/>
      <c r="T151" s="1554" t="str">
        <f>IF(SUM(AF20:AF22)=0,"",IF(OR(AND(AF20&gt;0,AF21=0),AND(AF21&gt;0,AF20=0)),$C151,IF(OR(AND(AF20=0,AF21=0,AF22&gt;0),AND(AC25&lt;&gt;0,AC24=0),AND(AC24&lt;&gt;0,AC25=0),AND(AC25&lt;&gt;0,AC24=""),AND(AC24&lt;&gt;0,AC25="")),$C152,"")))</f>
        <v/>
      </c>
      <c r="U151" s="1555"/>
      <c r="V151" s="1555"/>
      <c r="W151" s="1556"/>
      <c r="X151" s="48"/>
      <c r="Y151" s="217">
        <f>IF(OR(AE151=FALSE,SUM(H152+L152+P152+T152)=W152,AH52=""),1,SUM(H150:W150))</f>
        <v>1</v>
      </c>
      <c r="Z151" s="183" t="s">
        <v>464</v>
      </c>
      <c r="AA151" s="48"/>
      <c r="AB151" s="48"/>
      <c r="AC151" s="48"/>
      <c r="AD151" s="48"/>
      <c r="AE151" s="1694" t="b">
        <f>Presentazione!F156</f>
        <v>1</v>
      </c>
      <c r="AF151" s="1815"/>
      <c r="AG151" s="48"/>
      <c r="AH151" s="48"/>
      <c r="AI151" s="48"/>
      <c r="AJ151" s="48"/>
      <c r="AK151" s="48"/>
      <c r="AL151" s="48"/>
      <c r="AM151" s="48"/>
      <c r="AN151" s="48"/>
      <c r="AO151" s="48"/>
      <c r="AP151" s="481"/>
      <c r="AQ151" s="481"/>
      <c r="AR151" s="481"/>
      <c r="AS151" s="481"/>
      <c r="AT151" s="481"/>
      <c r="AU151" s="481"/>
      <c r="AV151" s="481"/>
      <c r="AW151" s="481"/>
      <c r="AX151" s="481"/>
      <c r="AY151" s="481"/>
      <c r="AZ151" s="481"/>
      <c r="BA151" s="481"/>
      <c r="BB151" s="481"/>
      <c r="BC151" s="481"/>
      <c r="BD151" s="481"/>
      <c r="BE151" s="481"/>
      <c r="BF151" s="481"/>
      <c r="BG151" s="481"/>
      <c r="BH151" s="481"/>
      <c r="BI151" s="481"/>
      <c r="BJ151" s="481"/>
      <c r="BK151" s="481"/>
      <c r="BL151" s="481"/>
      <c r="BM151" s="481"/>
      <c r="BN151" s="481"/>
      <c r="BO151" s="481"/>
      <c r="BP151" s="481"/>
      <c r="BQ151" s="481"/>
      <c r="BR151" s="481"/>
      <c r="BS151" s="481"/>
      <c r="BT151" s="481"/>
      <c r="BU151" s="481"/>
      <c r="BV151" s="481"/>
      <c r="BW151" s="481"/>
      <c r="BX151" s="481"/>
      <c r="BY151" s="481"/>
      <c r="BZ151" s="481"/>
      <c r="CA151" s="481"/>
      <c r="CB151" s="481"/>
      <c r="CC151" s="481"/>
      <c r="CD151" s="481"/>
      <c r="CE151" s="481"/>
      <c r="CF151" s="481"/>
      <c r="CG151" s="481"/>
      <c r="CH151" s="481"/>
      <c r="CI151" s="481"/>
      <c r="CJ151" s="481"/>
      <c r="CK151" s="481"/>
      <c r="CL151" s="481"/>
      <c r="CM151" s="481"/>
      <c r="CN151" s="481"/>
      <c r="CO151" s="481"/>
    </row>
    <row r="152" spans="1:105" ht="18" hidden="1" customHeight="1" x14ac:dyDescent="0.2">
      <c r="A152" s="186"/>
      <c r="B152" s="48"/>
      <c r="C152" s="1736" t="s">
        <v>356</v>
      </c>
      <c r="D152" s="1737"/>
      <c r="E152" s="1737"/>
      <c r="F152" s="1738"/>
      <c r="G152" s="48"/>
      <c r="H152" s="149">
        <f>IF(AND(ISBLANK(J20),ISBLANK(J21)),1,0)</f>
        <v>1</v>
      </c>
      <c r="I152" s="49"/>
      <c r="J152" s="49"/>
      <c r="K152" s="49"/>
      <c r="L152" s="149">
        <f>IF(AND(ISBLANK(N20),ISBLANK(N21)),1,0)</f>
        <v>1</v>
      </c>
      <c r="M152" s="49"/>
      <c r="N152" s="49"/>
      <c r="O152" s="149"/>
      <c r="P152" s="149">
        <f>IF(AND(ISBLANK(V20),ISBLANK(V21)),1,0)</f>
        <v>1</v>
      </c>
      <c r="Q152" s="149"/>
      <c r="R152" s="149"/>
      <c r="S152" s="149"/>
      <c r="T152" s="149">
        <f>IF(AND(ISBLANK(AD20),ISBLANK(AD21)),1,0)</f>
        <v>1</v>
      </c>
      <c r="U152" s="48"/>
      <c r="V152" s="48"/>
      <c r="W152" s="429">
        <v>4</v>
      </c>
      <c r="X152" s="48"/>
      <c r="Y152" s="48"/>
      <c r="Z152" s="48"/>
      <c r="AA152" s="48"/>
      <c r="AB152" s="48"/>
      <c r="AC152" s="48"/>
      <c r="AD152" s="48"/>
      <c r="AE152" s="48"/>
      <c r="AF152" s="48"/>
      <c r="AG152" s="48"/>
      <c r="AH152" s="48"/>
      <c r="AI152" s="48"/>
      <c r="AJ152" s="48"/>
      <c r="AK152" s="48"/>
      <c r="AL152" s="48"/>
      <c r="AM152" s="48"/>
      <c r="AN152" s="48"/>
      <c r="AO152" s="48"/>
      <c r="AP152" s="481"/>
      <c r="AQ152" s="481"/>
      <c r="AR152" s="481"/>
      <c r="AS152" s="481"/>
      <c r="AT152" s="481"/>
      <c r="AU152" s="481"/>
      <c r="AV152" s="481"/>
      <c r="AW152" s="481"/>
      <c r="AX152" s="481"/>
      <c r="AY152" s="481"/>
      <c r="AZ152" s="481"/>
      <c r="BA152" s="481"/>
      <c r="BB152" s="481"/>
      <c r="BC152" s="481"/>
      <c r="BD152" s="481"/>
      <c r="BE152" s="481"/>
      <c r="BF152" s="481"/>
      <c r="BG152" s="481"/>
      <c r="BH152" s="481"/>
      <c r="BI152" s="481"/>
      <c r="BJ152" s="481"/>
      <c r="BK152" s="481"/>
      <c r="BL152" s="481"/>
      <c r="BM152" s="481"/>
      <c r="BN152" s="481"/>
      <c r="BO152" s="481"/>
      <c r="BP152" s="481"/>
      <c r="BQ152" s="481"/>
      <c r="BR152" s="481"/>
      <c r="BS152" s="481"/>
      <c r="BT152" s="481"/>
      <c r="BU152" s="481"/>
      <c r="BV152" s="481"/>
      <c r="BW152" s="481"/>
      <c r="BX152" s="481"/>
      <c r="BY152" s="481"/>
      <c r="BZ152" s="481"/>
      <c r="CA152" s="481"/>
      <c r="CB152" s="481"/>
      <c r="CC152" s="481"/>
      <c r="CD152" s="481"/>
      <c r="CE152" s="481"/>
      <c r="CF152" s="481"/>
      <c r="CG152" s="481"/>
      <c r="CH152" s="481"/>
      <c r="CI152" s="481"/>
      <c r="CJ152" s="481"/>
      <c r="CK152" s="481"/>
      <c r="CL152" s="481"/>
      <c r="CM152" s="481"/>
      <c r="CN152" s="481"/>
      <c r="CO152" s="481"/>
    </row>
    <row r="153" spans="1:105" ht="18" hidden="1" customHeight="1" x14ac:dyDescent="0.2">
      <c r="A153" s="186"/>
      <c r="B153" s="48"/>
      <c r="C153" s="48"/>
      <c r="D153" s="48"/>
      <c r="E153" s="48"/>
      <c r="F153" s="48"/>
      <c r="G153" s="48"/>
      <c r="H153" s="1733">
        <f>(100+$AF145)+(100+$AG145)+(100+$AH145)+(100+$AI145)</f>
        <v>436</v>
      </c>
      <c r="I153" s="1734"/>
      <c r="J153" s="1734"/>
      <c r="K153" s="1735"/>
      <c r="L153" s="1733">
        <f>(100+$AF145)+(100+$AG145)+(100+$AH145)+(100+$AI145)</f>
        <v>436</v>
      </c>
      <c r="M153" s="1734"/>
      <c r="N153" s="1734"/>
      <c r="O153" s="1735"/>
      <c r="P153" s="1733">
        <f>(100+$AF145)+(100+$AG145)+(100+$AH145)+(100+$AI145)</f>
        <v>436</v>
      </c>
      <c r="Q153" s="1734"/>
      <c r="R153" s="1734"/>
      <c r="S153" s="1735"/>
      <c r="T153" s="1733">
        <f>(100+$AF145)+(100+$AG145)+(100+$AH145)+(100+$AI145)</f>
        <v>436</v>
      </c>
      <c r="U153" s="1734"/>
      <c r="V153" s="1734"/>
      <c r="W153" s="1735"/>
      <c r="X153" s="48"/>
      <c r="Y153" s="217">
        <f>IF(AND(Y151=0,AD44=AF131),1,0)</f>
        <v>0</v>
      </c>
      <c r="Z153" s="183" t="s">
        <v>463</v>
      </c>
      <c r="AA153" s="48"/>
      <c r="AB153" s="48"/>
      <c r="AC153" s="48"/>
      <c r="AD153" s="48"/>
      <c r="AE153" s="48"/>
      <c r="AF153" s="48"/>
      <c r="AG153" s="48"/>
      <c r="AH153" s="48"/>
      <c r="AI153" s="48"/>
      <c r="AJ153" s="48"/>
      <c r="AK153" s="48"/>
      <c r="AL153" s="48"/>
      <c r="AM153" s="48"/>
      <c r="AN153" s="48"/>
      <c r="AO153" s="48"/>
      <c r="AP153" s="481"/>
      <c r="AQ153" s="481"/>
      <c r="AR153" s="481"/>
      <c r="AS153" s="481"/>
      <c r="AT153" s="481"/>
      <c r="AU153" s="481"/>
      <c r="AV153" s="481"/>
      <c r="AW153" s="481"/>
      <c r="AX153" s="481"/>
      <c r="AY153" s="481"/>
      <c r="AZ153" s="481"/>
      <c r="BA153" s="481"/>
      <c r="BB153" s="481"/>
      <c r="BC153" s="481"/>
      <c r="BD153" s="481"/>
      <c r="BE153" s="481"/>
      <c r="BF153" s="481"/>
      <c r="BG153" s="481"/>
      <c r="BH153" s="481"/>
      <c r="BI153" s="481"/>
      <c r="BJ153" s="481"/>
      <c r="BK153" s="481"/>
      <c r="BL153" s="481"/>
      <c r="BM153" s="481"/>
      <c r="BN153" s="481"/>
      <c r="BO153" s="481"/>
      <c r="BP153" s="481"/>
      <c r="BQ153" s="481"/>
      <c r="BR153" s="481"/>
      <c r="BS153" s="481"/>
      <c r="BT153" s="481"/>
      <c r="BU153" s="481"/>
      <c r="BV153" s="481"/>
      <c r="BW153" s="481"/>
      <c r="BX153" s="481"/>
      <c r="BY153" s="481"/>
      <c r="BZ153" s="481"/>
      <c r="CA153" s="481"/>
      <c r="CB153" s="481"/>
      <c r="CC153" s="481"/>
      <c r="CD153" s="481"/>
      <c r="CE153" s="481"/>
      <c r="CF153" s="481"/>
      <c r="CG153" s="481"/>
      <c r="CH153" s="481"/>
      <c r="CI153" s="481"/>
      <c r="CJ153" s="481"/>
      <c r="CK153" s="481"/>
      <c r="CL153" s="481"/>
      <c r="CM153" s="481"/>
      <c r="CN153" s="481"/>
      <c r="CO153" s="481"/>
    </row>
    <row r="154" spans="1:105" hidden="1" x14ac:dyDescent="0.2">
      <c r="A154" s="186"/>
      <c r="B154" s="48"/>
      <c r="C154" s="1821" t="s">
        <v>443</v>
      </c>
      <c r="D154" s="1822"/>
      <c r="E154" s="1822"/>
      <c r="F154" s="1823"/>
      <c r="G154" s="48"/>
      <c r="H154" s="48"/>
      <c r="I154" s="48"/>
      <c r="J154" s="48"/>
      <c r="K154" s="48"/>
      <c r="L154" s="48"/>
      <c r="M154" s="48"/>
      <c r="N154" s="48"/>
      <c r="O154" s="186"/>
      <c r="P154" s="186"/>
      <c r="Q154" s="186"/>
      <c r="R154" s="186"/>
      <c r="S154" s="186"/>
      <c r="T154" s="186"/>
      <c r="U154" s="186"/>
      <c r="V154" s="186"/>
      <c r="W154" s="186"/>
      <c r="X154" s="186"/>
      <c r="Y154" s="186"/>
      <c r="Z154" s="186"/>
      <c r="AA154" s="186"/>
      <c r="AB154" s="186"/>
      <c r="AC154" s="186"/>
      <c r="AD154" s="48"/>
      <c r="AE154" s="48"/>
      <c r="AF154" s="48"/>
      <c r="AG154" s="48"/>
      <c r="AH154" s="48"/>
      <c r="AI154" s="48"/>
      <c r="AJ154" s="48"/>
      <c r="AK154" s="48"/>
      <c r="AL154" s="48"/>
      <c r="AM154" s="48"/>
      <c r="AN154" s="48"/>
      <c r="AO154" s="48"/>
      <c r="AP154" s="481"/>
      <c r="AQ154" s="481"/>
      <c r="AR154" s="481"/>
      <c r="AS154" s="481"/>
      <c r="AT154" s="481"/>
      <c r="AU154" s="481"/>
      <c r="AV154" s="481"/>
      <c r="AW154" s="481"/>
      <c r="AX154" s="481"/>
      <c r="AY154" s="481"/>
      <c r="AZ154" s="481"/>
      <c r="BA154" s="481"/>
      <c r="BB154" s="481"/>
      <c r="BC154" s="481"/>
      <c r="BD154" s="481"/>
      <c r="BE154" s="481"/>
      <c r="BF154" s="481"/>
      <c r="BG154" s="481"/>
      <c r="BH154" s="481"/>
      <c r="BI154" s="481"/>
      <c r="BJ154" s="481"/>
      <c r="BK154" s="481"/>
      <c r="BL154" s="481"/>
      <c r="BM154" s="481"/>
      <c r="BN154" s="481"/>
      <c r="BO154" s="481"/>
      <c r="BP154" s="481"/>
      <c r="BQ154" s="481"/>
      <c r="BR154" s="481"/>
      <c r="BS154" s="481"/>
      <c r="BT154" s="481"/>
      <c r="BU154" s="481"/>
      <c r="BV154" s="481"/>
      <c r="BW154" s="481"/>
      <c r="BX154" s="481"/>
      <c r="BY154" s="481"/>
      <c r="BZ154" s="481"/>
      <c r="CA154" s="481"/>
      <c r="CB154" s="481"/>
      <c r="CC154" s="481"/>
      <c r="CD154" s="481"/>
      <c r="CE154" s="481"/>
      <c r="CF154" s="481"/>
      <c r="CG154" s="481"/>
      <c r="CH154" s="481"/>
      <c r="CI154" s="481"/>
      <c r="CJ154" s="481"/>
      <c r="CK154" s="481"/>
      <c r="CL154" s="481"/>
      <c r="CM154" s="481"/>
      <c r="CN154" s="481"/>
      <c r="CO154" s="481"/>
      <c r="CP154" s="481"/>
      <c r="CQ154" s="481"/>
      <c r="CR154" s="481"/>
      <c r="CS154" s="481"/>
      <c r="CT154" s="481"/>
      <c r="CU154" s="481"/>
      <c r="CV154" s="481"/>
      <c r="CW154" s="481"/>
      <c r="CX154" s="481"/>
      <c r="CY154" s="481"/>
      <c r="CZ154" s="481"/>
      <c r="DA154" s="481"/>
    </row>
    <row r="155" spans="1:105" hidden="1" x14ac:dyDescent="0.2">
      <c r="A155" s="186"/>
      <c r="B155" s="48"/>
      <c r="C155" s="1736" t="s">
        <v>444</v>
      </c>
      <c r="D155" s="1737"/>
      <c r="E155" s="1737"/>
      <c r="F155" s="1738"/>
      <c r="G155" s="48"/>
      <c r="H155" s="48"/>
      <c r="I155" s="48"/>
      <c r="J155" s="48"/>
      <c r="K155" s="48"/>
      <c r="L155" s="48"/>
      <c r="M155" s="48"/>
      <c r="N155" s="48"/>
      <c r="O155" s="48"/>
      <c r="P155" s="48"/>
      <c r="Q155" s="48"/>
      <c r="R155" s="48"/>
      <c r="S155" s="48"/>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1"/>
      <c r="AQ155" s="481"/>
      <c r="AR155" s="481"/>
      <c r="AS155" s="481"/>
      <c r="AT155" s="481"/>
      <c r="AU155" s="481"/>
      <c r="AV155" s="481"/>
      <c r="AW155" s="481"/>
      <c r="AX155" s="481"/>
      <c r="AY155" s="481"/>
      <c r="AZ155" s="481"/>
      <c r="BA155" s="481"/>
      <c r="BB155" s="481"/>
      <c r="BC155" s="481"/>
      <c r="BD155" s="481"/>
      <c r="BE155" s="481"/>
      <c r="BF155" s="481"/>
      <c r="BG155" s="481"/>
      <c r="BH155" s="481"/>
      <c r="BI155" s="481"/>
      <c r="BJ155" s="481"/>
      <c r="BK155" s="481"/>
      <c r="BL155" s="481"/>
      <c r="BM155" s="481"/>
      <c r="BN155" s="481"/>
      <c r="BO155" s="481"/>
      <c r="BP155" s="481"/>
      <c r="BQ155" s="481"/>
      <c r="BR155" s="481"/>
      <c r="BS155" s="481"/>
      <c r="BT155" s="481"/>
      <c r="BU155" s="481"/>
      <c r="BV155" s="481"/>
      <c r="BW155" s="481"/>
      <c r="BX155" s="481"/>
      <c r="BY155" s="481"/>
      <c r="BZ155" s="481"/>
      <c r="CA155" s="481"/>
      <c r="CB155" s="481"/>
      <c r="CC155" s="481"/>
      <c r="CD155" s="481"/>
      <c r="CE155" s="481"/>
      <c r="CF155" s="481"/>
      <c r="CG155" s="481"/>
      <c r="CH155" s="481"/>
      <c r="CI155" s="481"/>
      <c r="CJ155" s="481"/>
      <c r="CK155" s="481"/>
      <c r="CL155" s="481"/>
      <c r="CM155" s="481"/>
      <c r="CN155" s="481"/>
      <c r="CO155" s="481"/>
      <c r="CP155" s="481"/>
      <c r="CQ155" s="481"/>
      <c r="CR155" s="481"/>
      <c r="CS155" s="481"/>
      <c r="CT155" s="481"/>
      <c r="CU155" s="481"/>
      <c r="CV155" s="481"/>
      <c r="CW155" s="481"/>
      <c r="CX155" s="481"/>
      <c r="CY155" s="481"/>
      <c r="CZ155" s="481"/>
      <c r="DA155" s="481"/>
    </row>
    <row r="156" spans="1:105" hidden="1" x14ac:dyDescent="0.2">
      <c r="A156" s="186"/>
      <c r="B156" s="48"/>
      <c r="C156" s="48"/>
      <c r="D156" s="48"/>
      <c r="E156" s="48"/>
      <c r="F156" s="48"/>
      <c r="G156" s="48"/>
      <c r="H156" s="48"/>
      <c r="I156" s="48"/>
      <c r="J156" s="48"/>
      <c r="K156" s="48"/>
      <c r="L156" s="48"/>
      <c r="M156" s="48"/>
      <c r="N156" s="48"/>
      <c r="O156" s="186"/>
      <c r="P156" s="186"/>
      <c r="Q156" s="186"/>
      <c r="R156" s="186"/>
      <c r="S156" s="186"/>
      <c r="T156" s="186"/>
      <c r="U156" s="186"/>
      <c r="V156" s="186"/>
      <c r="W156" s="186"/>
      <c r="X156" s="186"/>
      <c r="Y156" s="186"/>
      <c r="Z156" s="186"/>
      <c r="AA156" s="186"/>
      <c r="AB156" s="186"/>
      <c r="AC156" s="186"/>
      <c r="AD156" s="48"/>
      <c r="AE156" s="48"/>
      <c r="AF156" s="48"/>
      <c r="AG156" s="48"/>
      <c r="AH156" s="48"/>
      <c r="AI156" s="48"/>
      <c r="AJ156" s="48"/>
      <c r="AK156" s="48"/>
      <c r="AL156" s="48"/>
      <c r="AM156" s="48"/>
      <c r="AN156" s="48"/>
      <c r="AO156" s="48"/>
      <c r="AP156" s="481"/>
      <c r="AQ156" s="481"/>
      <c r="AR156" s="481"/>
      <c r="AS156" s="481"/>
      <c r="AT156" s="481"/>
      <c r="AU156" s="481"/>
      <c r="AV156" s="481"/>
      <c r="AW156" s="481"/>
      <c r="AX156" s="481"/>
      <c r="AY156" s="481"/>
      <c r="AZ156" s="481"/>
      <c r="BA156" s="481"/>
      <c r="BB156" s="481"/>
      <c r="BC156" s="481"/>
      <c r="BD156" s="481"/>
      <c r="BE156" s="481"/>
      <c r="BF156" s="481"/>
      <c r="BG156" s="481"/>
      <c r="BH156" s="481"/>
      <c r="BI156" s="481"/>
      <c r="BJ156" s="481"/>
      <c r="BK156" s="481"/>
      <c r="BL156" s="481"/>
      <c r="BM156" s="481"/>
      <c r="BN156" s="481"/>
      <c r="BO156" s="481"/>
      <c r="BP156" s="481"/>
      <c r="BQ156" s="481"/>
      <c r="BR156" s="481"/>
      <c r="BS156" s="481"/>
      <c r="BT156" s="481"/>
      <c r="BU156" s="481"/>
      <c r="BV156" s="481"/>
      <c r="BW156" s="481"/>
      <c r="BX156" s="481"/>
      <c r="BY156" s="481"/>
      <c r="BZ156" s="481"/>
      <c r="CA156" s="481"/>
      <c r="CB156" s="481"/>
      <c r="CC156" s="481"/>
      <c r="CD156" s="481"/>
      <c r="CE156" s="481"/>
      <c r="CF156" s="481"/>
      <c r="CG156" s="481"/>
      <c r="CH156" s="481"/>
      <c r="CI156" s="481"/>
      <c r="CJ156" s="481"/>
      <c r="CK156" s="481"/>
      <c r="CL156" s="481"/>
      <c r="CM156" s="481"/>
      <c r="CN156" s="481"/>
      <c r="CO156" s="481"/>
      <c r="CP156" s="481"/>
      <c r="CQ156" s="481"/>
      <c r="CR156" s="481"/>
      <c r="CS156" s="481"/>
      <c r="CT156" s="481"/>
      <c r="CU156" s="481"/>
      <c r="CV156" s="481"/>
      <c r="CW156" s="481"/>
      <c r="CX156" s="481"/>
      <c r="CY156" s="481"/>
      <c r="CZ156" s="481"/>
      <c r="DA156" s="481"/>
    </row>
    <row r="157" spans="1:105" ht="13.5" hidden="1" customHeight="1" x14ac:dyDescent="0.2">
      <c r="A157" s="186"/>
      <c r="B157" s="136">
        <v>1</v>
      </c>
      <c r="C157" s="1551" t="str">
        <f t="shared" ref="C157:C162" si="10">C60</f>
        <v>Gennaio</v>
      </c>
      <c r="D157" s="1552"/>
      <c r="E157" s="1552"/>
      <c r="F157" s="1553"/>
      <c r="G157" s="48"/>
      <c r="H157" s="226">
        <v>1</v>
      </c>
      <c r="I157" s="226">
        <v>2</v>
      </c>
      <c r="J157" s="226">
        <v>3</v>
      </c>
      <c r="K157" s="226">
        <v>4</v>
      </c>
      <c r="L157" s="226">
        <v>5</v>
      </c>
      <c r="M157" s="226">
        <v>6</v>
      </c>
      <c r="N157" s="226">
        <v>7</v>
      </c>
      <c r="O157" s="226">
        <v>8</v>
      </c>
      <c r="P157" s="226">
        <v>9</v>
      </c>
      <c r="Q157" s="226">
        <v>10</v>
      </c>
      <c r="R157" s="226">
        <v>11</v>
      </c>
      <c r="S157" s="226">
        <v>12</v>
      </c>
      <c r="T157" s="226">
        <v>13</v>
      </c>
      <c r="U157" s="226">
        <v>14</v>
      </c>
      <c r="V157" s="226">
        <v>15</v>
      </c>
      <c r="W157" s="226">
        <v>16</v>
      </c>
      <c r="X157" s="226">
        <v>17</v>
      </c>
      <c r="Y157" s="226">
        <v>18</v>
      </c>
      <c r="Z157" s="226">
        <v>19</v>
      </c>
      <c r="AA157" s="226">
        <v>20</v>
      </c>
      <c r="AB157" s="226">
        <v>21</v>
      </c>
      <c r="AC157" s="226">
        <v>22</v>
      </c>
      <c r="AD157" s="226">
        <v>23</v>
      </c>
      <c r="AE157" s="226">
        <v>24</v>
      </c>
      <c r="AF157" s="226">
        <v>25</v>
      </c>
      <c r="AG157" s="226">
        <v>26</v>
      </c>
      <c r="AH157" s="226">
        <v>27</v>
      </c>
      <c r="AI157" s="226">
        <v>28</v>
      </c>
      <c r="AJ157" s="226">
        <v>29</v>
      </c>
      <c r="AK157" s="226">
        <v>30</v>
      </c>
      <c r="AL157" s="226">
        <v>31</v>
      </c>
      <c r="AM157" s="48"/>
      <c r="AN157" s="48"/>
      <c r="AO157" s="48"/>
      <c r="AP157" s="481"/>
      <c r="AQ157" s="481"/>
      <c r="AR157" s="481"/>
      <c r="AS157" s="481"/>
      <c r="AT157" s="481"/>
      <c r="AU157" s="481"/>
      <c r="AV157" s="481"/>
      <c r="AW157" s="481"/>
      <c r="AX157" s="481"/>
      <c r="AY157" s="481"/>
      <c r="AZ157" s="481"/>
      <c r="BA157" s="481"/>
      <c r="BB157" s="481"/>
      <c r="BC157" s="481"/>
      <c r="BD157" s="481"/>
      <c r="BE157" s="481"/>
      <c r="BF157" s="481"/>
      <c r="BG157" s="481"/>
      <c r="BH157" s="481"/>
      <c r="BI157" s="481"/>
      <c r="BJ157" s="481"/>
      <c r="BK157" s="481"/>
      <c r="BL157" s="481"/>
      <c r="BM157" s="481"/>
      <c r="BN157" s="481"/>
      <c r="BO157" s="481"/>
      <c r="BP157" s="481"/>
      <c r="BQ157" s="481"/>
      <c r="BR157" s="481"/>
      <c r="BS157" s="481"/>
      <c r="BT157" s="481"/>
      <c r="BU157" s="481"/>
      <c r="BV157" s="481"/>
      <c r="BW157" s="481"/>
      <c r="BX157" s="481"/>
      <c r="BY157" s="481"/>
      <c r="BZ157" s="481"/>
      <c r="CA157" s="481"/>
      <c r="CB157" s="481"/>
      <c r="CC157" s="481"/>
      <c r="CD157" s="481"/>
      <c r="CE157" s="481"/>
      <c r="CF157" s="481"/>
      <c r="CG157" s="481"/>
      <c r="CH157" s="481"/>
      <c r="CI157" s="481"/>
      <c r="CJ157" s="481"/>
      <c r="CK157" s="481"/>
      <c r="CL157" s="481"/>
      <c r="CM157" s="481"/>
      <c r="CN157" s="481"/>
      <c r="CO157" s="481"/>
      <c r="CP157" s="481"/>
      <c r="CQ157" s="481"/>
      <c r="CR157" s="481"/>
      <c r="CS157" s="481"/>
      <c r="CT157" s="481"/>
      <c r="CU157" s="481"/>
      <c r="CV157" s="481"/>
      <c r="CW157" s="481"/>
      <c r="CX157" s="481"/>
      <c r="CY157" s="481"/>
      <c r="CZ157" s="481"/>
      <c r="DA157" s="481"/>
    </row>
    <row r="158" spans="1:105" ht="13.5" hidden="1" customHeight="1" x14ac:dyDescent="0.2">
      <c r="A158" s="186"/>
      <c r="B158" s="136">
        <v>2</v>
      </c>
      <c r="C158" s="1551" t="str">
        <f t="shared" si="10"/>
        <v>Febbraio</v>
      </c>
      <c r="D158" s="1552"/>
      <c r="E158" s="1552"/>
      <c r="F158" s="1553"/>
      <c r="G158" s="48"/>
      <c r="H158" s="226">
        <v>1</v>
      </c>
      <c r="I158" s="226">
        <v>2</v>
      </c>
      <c r="J158" s="226">
        <v>3</v>
      </c>
      <c r="K158" s="226">
        <v>4</v>
      </c>
      <c r="L158" s="226">
        <v>5</v>
      </c>
      <c r="M158" s="226">
        <v>6</v>
      </c>
      <c r="N158" s="226">
        <v>7</v>
      </c>
      <c r="O158" s="226">
        <v>8</v>
      </c>
      <c r="P158" s="226">
        <v>9</v>
      </c>
      <c r="Q158" s="226">
        <v>10</v>
      </c>
      <c r="R158" s="226">
        <v>11</v>
      </c>
      <c r="S158" s="226">
        <v>12</v>
      </c>
      <c r="T158" s="226">
        <v>13</v>
      </c>
      <c r="U158" s="226">
        <v>14</v>
      </c>
      <c r="V158" s="226">
        <v>15</v>
      </c>
      <c r="W158" s="226">
        <v>16</v>
      </c>
      <c r="X158" s="226">
        <v>17</v>
      </c>
      <c r="Y158" s="226">
        <v>18</v>
      </c>
      <c r="Z158" s="226">
        <v>19</v>
      </c>
      <c r="AA158" s="226">
        <v>20</v>
      </c>
      <c r="AB158" s="226">
        <v>21</v>
      </c>
      <c r="AC158" s="226">
        <v>22</v>
      </c>
      <c r="AD158" s="226">
        <v>23</v>
      </c>
      <c r="AE158" s="226">
        <v>24</v>
      </c>
      <c r="AF158" s="226">
        <v>25</v>
      </c>
      <c r="AG158" s="226">
        <v>26</v>
      </c>
      <c r="AH158" s="226">
        <v>27</v>
      </c>
      <c r="AI158" s="226">
        <v>28</v>
      </c>
      <c r="AJ158" s="227">
        <f>IF(CASSA!E173="",0,29)</f>
        <v>29</v>
      </c>
      <c r="AK158" s="48"/>
      <c r="AL158" s="48"/>
      <c r="AM158" s="48"/>
      <c r="AN158" s="48"/>
      <c r="AO158" s="48"/>
      <c r="AP158" s="481"/>
      <c r="AQ158" s="481"/>
      <c r="AR158" s="481"/>
      <c r="AS158" s="481"/>
      <c r="AT158" s="481"/>
      <c r="AU158" s="481"/>
      <c r="AV158" s="481"/>
      <c r="AW158" s="481"/>
      <c r="AX158" s="481"/>
      <c r="AY158" s="481"/>
      <c r="AZ158" s="481"/>
      <c r="BA158" s="481"/>
      <c r="BB158" s="481"/>
      <c r="BC158" s="481"/>
      <c r="BD158" s="481"/>
      <c r="BE158" s="481"/>
      <c r="BF158" s="481"/>
      <c r="BG158" s="481"/>
      <c r="BH158" s="481"/>
      <c r="BI158" s="481"/>
      <c r="BJ158" s="481"/>
      <c r="BK158" s="481"/>
      <c r="BL158" s="481"/>
      <c r="BM158" s="481"/>
      <c r="BN158" s="481"/>
      <c r="BO158" s="481"/>
      <c r="BP158" s="481"/>
      <c r="BQ158" s="481"/>
      <c r="BR158" s="481"/>
      <c r="BS158" s="481"/>
      <c r="BT158" s="481"/>
      <c r="BU158" s="481"/>
      <c r="BV158" s="481"/>
      <c r="BW158" s="481"/>
      <c r="BX158" s="481"/>
      <c r="BY158" s="481"/>
      <c r="BZ158" s="481"/>
      <c r="CA158" s="481"/>
      <c r="CB158" s="481"/>
      <c r="CC158" s="481"/>
      <c r="CD158" s="481"/>
      <c r="CE158" s="481"/>
      <c r="CF158" s="481"/>
      <c r="CG158" s="481"/>
      <c r="CH158" s="481"/>
      <c r="CI158" s="481"/>
      <c r="CJ158" s="481"/>
      <c r="CK158" s="481"/>
      <c r="CL158" s="481"/>
      <c r="CM158" s="481"/>
      <c r="CN158" s="481"/>
      <c r="CO158" s="481"/>
      <c r="CP158" s="481"/>
      <c r="CQ158" s="481"/>
      <c r="CR158" s="481"/>
      <c r="CS158" s="481"/>
      <c r="CT158" s="481"/>
      <c r="CU158" s="481"/>
      <c r="CV158" s="481"/>
      <c r="CW158" s="481"/>
      <c r="CX158" s="481"/>
      <c r="CY158" s="481"/>
      <c r="CZ158" s="481"/>
      <c r="DA158" s="481"/>
    </row>
    <row r="159" spans="1:105" ht="13.5" hidden="1" customHeight="1" x14ac:dyDescent="0.2">
      <c r="A159" s="186"/>
      <c r="B159" s="136">
        <v>3</v>
      </c>
      <c r="C159" s="1551" t="str">
        <f t="shared" si="10"/>
        <v>Marzo</v>
      </c>
      <c r="D159" s="1552"/>
      <c r="E159" s="1552"/>
      <c r="F159" s="1553"/>
      <c r="G159" s="48"/>
      <c r="H159" s="226">
        <v>1</v>
      </c>
      <c r="I159" s="226">
        <v>2</v>
      </c>
      <c r="J159" s="226">
        <v>3</v>
      </c>
      <c r="K159" s="226">
        <v>4</v>
      </c>
      <c r="L159" s="226">
        <v>5</v>
      </c>
      <c r="M159" s="226">
        <v>6</v>
      </c>
      <c r="N159" s="226">
        <v>7</v>
      </c>
      <c r="O159" s="226">
        <v>8</v>
      </c>
      <c r="P159" s="226">
        <v>9</v>
      </c>
      <c r="Q159" s="226">
        <v>10</v>
      </c>
      <c r="R159" s="226">
        <v>11</v>
      </c>
      <c r="S159" s="226">
        <v>12</v>
      </c>
      <c r="T159" s="226">
        <v>13</v>
      </c>
      <c r="U159" s="226">
        <v>14</v>
      </c>
      <c r="V159" s="226">
        <v>15</v>
      </c>
      <c r="W159" s="226">
        <v>16</v>
      </c>
      <c r="X159" s="226">
        <v>17</v>
      </c>
      <c r="Y159" s="226">
        <v>18</v>
      </c>
      <c r="Z159" s="226">
        <v>19</v>
      </c>
      <c r="AA159" s="226">
        <v>20</v>
      </c>
      <c r="AB159" s="226">
        <v>21</v>
      </c>
      <c r="AC159" s="226">
        <v>22</v>
      </c>
      <c r="AD159" s="226">
        <v>23</v>
      </c>
      <c r="AE159" s="226">
        <v>24</v>
      </c>
      <c r="AF159" s="226">
        <v>25</v>
      </c>
      <c r="AG159" s="226">
        <v>26</v>
      </c>
      <c r="AH159" s="226">
        <v>27</v>
      </c>
      <c r="AI159" s="226">
        <v>28</v>
      </c>
      <c r="AJ159" s="226">
        <v>29</v>
      </c>
      <c r="AK159" s="226">
        <v>30</v>
      </c>
      <c r="AL159" s="226">
        <v>31</v>
      </c>
      <c r="AM159" s="48"/>
      <c r="AN159" s="48"/>
      <c r="AO159" s="48"/>
      <c r="AP159" s="481"/>
      <c r="AQ159" s="481"/>
      <c r="AR159" s="481"/>
      <c r="AS159" s="481"/>
      <c r="AT159" s="481"/>
      <c r="AU159" s="481"/>
      <c r="AV159" s="481"/>
      <c r="AW159" s="481"/>
      <c r="AX159" s="481"/>
      <c r="AY159" s="481"/>
      <c r="AZ159" s="481"/>
      <c r="BA159" s="481"/>
      <c r="BB159" s="481"/>
      <c r="BC159" s="481"/>
      <c r="BD159" s="481"/>
      <c r="BE159" s="481"/>
      <c r="BF159" s="481"/>
      <c r="BG159" s="481"/>
      <c r="BH159" s="481"/>
      <c r="BI159" s="481"/>
      <c r="BJ159" s="481"/>
      <c r="BK159" s="481"/>
      <c r="BL159" s="481"/>
      <c r="BM159" s="481"/>
      <c r="BN159" s="481"/>
      <c r="BO159" s="481"/>
      <c r="BP159" s="481"/>
      <c r="BQ159" s="481"/>
      <c r="BR159" s="481"/>
      <c r="BS159" s="481"/>
      <c r="BT159" s="481"/>
      <c r="BU159" s="481"/>
      <c r="BV159" s="481"/>
      <c r="BW159" s="481"/>
      <c r="BX159" s="481"/>
      <c r="BY159" s="481"/>
      <c r="BZ159" s="481"/>
      <c r="CA159" s="481"/>
      <c r="CB159" s="481"/>
      <c r="CC159" s="481"/>
      <c r="CD159" s="481"/>
      <c r="CE159" s="481"/>
      <c r="CF159" s="481"/>
      <c r="CG159" s="481"/>
      <c r="CH159" s="481"/>
      <c r="CI159" s="481"/>
      <c r="CJ159" s="481"/>
      <c r="CK159" s="481"/>
      <c r="CL159" s="481"/>
      <c r="CM159" s="481"/>
      <c r="CN159" s="481"/>
      <c r="CO159" s="481"/>
      <c r="CP159" s="481"/>
      <c r="CQ159" s="481"/>
      <c r="CR159" s="481"/>
      <c r="CS159" s="481"/>
      <c r="CT159" s="481"/>
      <c r="CU159" s="481"/>
      <c r="CV159" s="481"/>
      <c r="CW159" s="481"/>
      <c r="CX159" s="481"/>
      <c r="CY159" s="481"/>
      <c r="CZ159" s="481"/>
      <c r="DA159" s="481"/>
    </row>
    <row r="160" spans="1:105" ht="13.5" hidden="1" customHeight="1" x14ac:dyDescent="0.2">
      <c r="A160" s="186"/>
      <c r="B160" s="136">
        <v>4</v>
      </c>
      <c r="C160" s="1551" t="str">
        <f t="shared" si="10"/>
        <v>Aprile</v>
      </c>
      <c r="D160" s="1552"/>
      <c r="E160" s="1552"/>
      <c r="F160" s="1553"/>
      <c r="G160" s="48"/>
      <c r="H160" s="226">
        <v>1</v>
      </c>
      <c r="I160" s="226">
        <v>2</v>
      </c>
      <c r="J160" s="226">
        <v>3</v>
      </c>
      <c r="K160" s="226">
        <v>4</v>
      </c>
      <c r="L160" s="226">
        <v>5</v>
      </c>
      <c r="M160" s="226">
        <v>6</v>
      </c>
      <c r="N160" s="226">
        <v>7</v>
      </c>
      <c r="O160" s="226">
        <v>8</v>
      </c>
      <c r="P160" s="226">
        <v>9</v>
      </c>
      <c r="Q160" s="226">
        <v>10</v>
      </c>
      <c r="R160" s="226">
        <v>11</v>
      </c>
      <c r="S160" s="226">
        <v>12</v>
      </c>
      <c r="T160" s="226">
        <v>13</v>
      </c>
      <c r="U160" s="226">
        <v>14</v>
      </c>
      <c r="V160" s="226">
        <v>15</v>
      </c>
      <c r="W160" s="226">
        <v>16</v>
      </c>
      <c r="X160" s="226">
        <v>17</v>
      </c>
      <c r="Y160" s="226">
        <v>18</v>
      </c>
      <c r="Z160" s="226">
        <v>19</v>
      </c>
      <c r="AA160" s="226">
        <v>20</v>
      </c>
      <c r="AB160" s="226">
        <v>21</v>
      </c>
      <c r="AC160" s="226">
        <v>22</v>
      </c>
      <c r="AD160" s="226">
        <v>23</v>
      </c>
      <c r="AE160" s="226">
        <v>24</v>
      </c>
      <c r="AF160" s="226">
        <v>25</v>
      </c>
      <c r="AG160" s="226">
        <v>26</v>
      </c>
      <c r="AH160" s="226">
        <v>27</v>
      </c>
      <c r="AI160" s="226">
        <v>28</v>
      </c>
      <c r="AJ160" s="226">
        <v>29</v>
      </c>
      <c r="AK160" s="226">
        <v>30</v>
      </c>
      <c r="AL160" s="48"/>
      <c r="AM160" s="48"/>
      <c r="AN160" s="48"/>
      <c r="AO160" s="48"/>
      <c r="AP160" s="481"/>
      <c r="AQ160" s="481"/>
      <c r="AR160" s="481"/>
      <c r="AS160" s="481"/>
      <c r="AT160" s="481"/>
      <c r="AU160" s="481"/>
      <c r="AV160" s="481"/>
      <c r="AW160" s="481"/>
      <c r="AX160" s="481"/>
      <c r="AY160" s="481"/>
      <c r="AZ160" s="481"/>
      <c r="BA160" s="481"/>
      <c r="BB160" s="481"/>
      <c r="BC160" s="481"/>
      <c r="BD160" s="481"/>
      <c r="BE160" s="481"/>
      <c r="BF160" s="481"/>
      <c r="BG160" s="481"/>
      <c r="BH160" s="481"/>
      <c r="BI160" s="481"/>
      <c r="BJ160" s="481"/>
      <c r="BK160" s="481"/>
      <c r="BL160" s="481"/>
      <c r="BM160" s="481"/>
      <c r="BN160" s="481"/>
      <c r="BO160" s="481"/>
      <c r="BP160" s="481"/>
      <c r="BQ160" s="481"/>
      <c r="BR160" s="481"/>
      <c r="BS160" s="481"/>
      <c r="BT160" s="481"/>
      <c r="BU160" s="481"/>
      <c r="BV160" s="481"/>
      <c r="BW160" s="481"/>
      <c r="BX160" s="481"/>
      <c r="BY160" s="481"/>
      <c r="BZ160" s="481"/>
      <c r="CA160" s="481"/>
      <c r="CB160" s="481"/>
      <c r="CC160" s="481"/>
      <c r="CD160" s="481"/>
      <c r="CE160" s="481"/>
      <c r="CF160" s="481"/>
      <c r="CG160" s="481"/>
      <c r="CH160" s="481"/>
      <c r="CI160" s="481"/>
      <c r="CJ160" s="481"/>
      <c r="CK160" s="481"/>
      <c r="CL160" s="481"/>
      <c r="CM160" s="481"/>
      <c r="CN160" s="481"/>
      <c r="CO160" s="481"/>
      <c r="CP160" s="481"/>
      <c r="CQ160" s="481"/>
      <c r="CR160" s="481"/>
      <c r="CS160" s="481"/>
      <c r="CT160" s="481"/>
      <c r="CU160" s="481"/>
      <c r="CV160" s="481"/>
      <c r="CW160" s="481"/>
      <c r="CX160" s="481"/>
      <c r="CY160" s="481"/>
      <c r="CZ160" s="481"/>
      <c r="DA160" s="481"/>
    </row>
    <row r="161" spans="1:105" ht="13.5" hidden="1" customHeight="1" x14ac:dyDescent="0.2">
      <c r="A161" s="186"/>
      <c r="B161" s="136">
        <v>5</v>
      </c>
      <c r="C161" s="1551" t="str">
        <f t="shared" si="10"/>
        <v>Maggio</v>
      </c>
      <c r="D161" s="1552"/>
      <c r="E161" s="1552"/>
      <c r="F161" s="1553"/>
      <c r="G161" s="48"/>
      <c r="H161" s="226">
        <v>1</v>
      </c>
      <c r="I161" s="226">
        <v>2</v>
      </c>
      <c r="J161" s="226">
        <v>3</v>
      </c>
      <c r="K161" s="226">
        <v>4</v>
      </c>
      <c r="L161" s="226">
        <v>5</v>
      </c>
      <c r="M161" s="226">
        <v>6</v>
      </c>
      <c r="N161" s="226">
        <v>7</v>
      </c>
      <c r="O161" s="226">
        <v>8</v>
      </c>
      <c r="P161" s="226">
        <v>9</v>
      </c>
      <c r="Q161" s="226">
        <v>10</v>
      </c>
      <c r="R161" s="226">
        <v>11</v>
      </c>
      <c r="S161" s="226">
        <v>12</v>
      </c>
      <c r="T161" s="226">
        <v>13</v>
      </c>
      <c r="U161" s="226">
        <v>14</v>
      </c>
      <c r="V161" s="226">
        <v>15</v>
      </c>
      <c r="W161" s="226">
        <v>16</v>
      </c>
      <c r="X161" s="226">
        <v>17</v>
      </c>
      <c r="Y161" s="226">
        <v>18</v>
      </c>
      <c r="Z161" s="226">
        <v>19</v>
      </c>
      <c r="AA161" s="226">
        <v>20</v>
      </c>
      <c r="AB161" s="226">
        <v>21</v>
      </c>
      <c r="AC161" s="226">
        <v>22</v>
      </c>
      <c r="AD161" s="226">
        <v>23</v>
      </c>
      <c r="AE161" s="226">
        <v>24</v>
      </c>
      <c r="AF161" s="226">
        <v>25</v>
      </c>
      <c r="AG161" s="226">
        <v>26</v>
      </c>
      <c r="AH161" s="226">
        <v>27</v>
      </c>
      <c r="AI161" s="226">
        <v>28</v>
      </c>
      <c r="AJ161" s="226">
        <v>29</v>
      </c>
      <c r="AK161" s="226">
        <v>30</v>
      </c>
      <c r="AL161" s="226">
        <v>31</v>
      </c>
      <c r="AM161" s="48"/>
      <c r="AN161" s="48"/>
      <c r="AO161" s="48"/>
      <c r="AP161" s="481"/>
      <c r="AQ161" s="481"/>
      <c r="AR161" s="481"/>
      <c r="AS161" s="481"/>
      <c r="AT161" s="481"/>
      <c r="AU161" s="481"/>
      <c r="AV161" s="481"/>
      <c r="AW161" s="481"/>
      <c r="AX161" s="481"/>
      <c r="AY161" s="481"/>
      <c r="AZ161" s="481"/>
      <c r="BA161" s="481"/>
      <c r="BB161" s="481"/>
      <c r="BC161" s="481"/>
      <c r="BD161" s="481"/>
      <c r="BE161" s="481"/>
      <c r="BF161" s="481"/>
      <c r="BG161" s="481"/>
      <c r="BH161" s="481"/>
      <c r="BI161" s="481"/>
      <c r="BJ161" s="481"/>
      <c r="BK161" s="481"/>
      <c r="BL161" s="481"/>
      <c r="BM161" s="481"/>
      <c r="BN161" s="481"/>
      <c r="BO161" s="481"/>
      <c r="BP161" s="481"/>
      <c r="BQ161" s="481"/>
      <c r="BR161" s="481"/>
      <c r="BS161" s="481"/>
      <c r="BT161" s="481"/>
      <c r="BU161" s="481"/>
      <c r="BV161" s="481"/>
      <c r="BW161" s="481"/>
      <c r="BX161" s="481"/>
      <c r="BY161" s="481"/>
      <c r="BZ161" s="481"/>
      <c r="CA161" s="481"/>
      <c r="CB161" s="481"/>
      <c r="CC161" s="481"/>
      <c r="CD161" s="481"/>
      <c r="CE161" s="481"/>
      <c r="CF161" s="481"/>
      <c r="CG161" s="481"/>
      <c r="CH161" s="481"/>
      <c r="CI161" s="481"/>
      <c r="CJ161" s="481"/>
      <c r="CK161" s="481"/>
      <c r="CL161" s="481"/>
      <c r="CM161" s="481"/>
      <c r="CN161" s="481"/>
      <c r="CO161" s="481"/>
      <c r="CP161" s="481"/>
      <c r="CQ161" s="481"/>
      <c r="CR161" s="481"/>
      <c r="CS161" s="481"/>
      <c r="CT161" s="481"/>
      <c r="CU161" s="481"/>
      <c r="CV161" s="481"/>
      <c r="CW161" s="481"/>
      <c r="CX161" s="481"/>
      <c r="CY161" s="481"/>
      <c r="CZ161" s="481"/>
      <c r="DA161" s="481"/>
    </row>
    <row r="162" spans="1:105" ht="13.5" hidden="1" customHeight="1" x14ac:dyDescent="0.2">
      <c r="A162" s="186"/>
      <c r="B162" s="136">
        <v>6</v>
      </c>
      <c r="C162" s="1551" t="str">
        <f t="shared" si="10"/>
        <v>Giugno</v>
      </c>
      <c r="D162" s="1552"/>
      <c r="E162" s="1552"/>
      <c r="F162" s="1553"/>
      <c r="G162" s="48"/>
      <c r="H162" s="226">
        <v>1</v>
      </c>
      <c r="I162" s="226">
        <v>2</v>
      </c>
      <c r="J162" s="226">
        <v>3</v>
      </c>
      <c r="K162" s="226">
        <v>4</v>
      </c>
      <c r="L162" s="226">
        <v>5</v>
      </c>
      <c r="M162" s="226">
        <v>6</v>
      </c>
      <c r="N162" s="226">
        <v>7</v>
      </c>
      <c r="O162" s="226">
        <v>8</v>
      </c>
      <c r="P162" s="226">
        <v>9</v>
      </c>
      <c r="Q162" s="226">
        <v>10</v>
      </c>
      <c r="R162" s="226">
        <v>11</v>
      </c>
      <c r="S162" s="226">
        <v>12</v>
      </c>
      <c r="T162" s="226">
        <v>13</v>
      </c>
      <c r="U162" s="226">
        <v>14</v>
      </c>
      <c r="V162" s="226">
        <v>15</v>
      </c>
      <c r="W162" s="226">
        <v>16</v>
      </c>
      <c r="X162" s="226">
        <v>17</v>
      </c>
      <c r="Y162" s="226">
        <v>18</v>
      </c>
      <c r="Z162" s="226">
        <v>19</v>
      </c>
      <c r="AA162" s="226">
        <v>20</v>
      </c>
      <c r="AB162" s="226">
        <v>21</v>
      </c>
      <c r="AC162" s="226">
        <v>22</v>
      </c>
      <c r="AD162" s="226">
        <v>23</v>
      </c>
      <c r="AE162" s="226">
        <v>24</v>
      </c>
      <c r="AF162" s="226">
        <v>25</v>
      </c>
      <c r="AG162" s="226">
        <v>26</v>
      </c>
      <c r="AH162" s="226">
        <v>27</v>
      </c>
      <c r="AI162" s="226">
        <v>28</v>
      </c>
      <c r="AJ162" s="226">
        <v>29</v>
      </c>
      <c r="AK162" s="226">
        <v>30</v>
      </c>
      <c r="AL162" s="48"/>
      <c r="AM162" s="48"/>
      <c r="AN162" s="48"/>
      <c r="AO162" s="48"/>
      <c r="AP162" s="481"/>
      <c r="AQ162" s="481"/>
      <c r="AR162" s="481"/>
      <c r="AS162" s="481"/>
      <c r="AT162" s="481"/>
      <c r="AU162" s="481"/>
      <c r="AV162" s="481"/>
      <c r="AW162" s="481"/>
      <c r="AX162" s="481"/>
      <c r="AY162" s="481"/>
      <c r="AZ162" s="481"/>
      <c r="BA162" s="481"/>
      <c r="BB162" s="481"/>
      <c r="BC162" s="481"/>
      <c r="BD162" s="481"/>
      <c r="BE162" s="481"/>
      <c r="BF162" s="481"/>
      <c r="BG162" s="481"/>
      <c r="BH162" s="481"/>
      <c r="BI162" s="481"/>
      <c r="BJ162" s="481"/>
      <c r="BK162" s="481"/>
      <c r="BL162" s="481"/>
      <c r="BM162" s="481"/>
      <c r="BN162" s="481"/>
      <c r="BO162" s="481"/>
      <c r="BP162" s="481"/>
      <c r="BQ162" s="481"/>
      <c r="BR162" s="481"/>
      <c r="BS162" s="481"/>
      <c r="BT162" s="481"/>
      <c r="BU162" s="481"/>
      <c r="BV162" s="481"/>
      <c r="BW162" s="481"/>
      <c r="BX162" s="481"/>
      <c r="BY162" s="481"/>
      <c r="BZ162" s="481"/>
      <c r="CA162" s="481"/>
      <c r="CB162" s="481"/>
      <c r="CC162" s="481"/>
      <c r="CD162" s="481"/>
      <c r="CE162" s="481"/>
      <c r="CF162" s="481"/>
      <c r="CG162" s="481"/>
      <c r="CH162" s="481"/>
      <c r="CI162" s="481"/>
      <c r="CJ162" s="481"/>
      <c r="CK162" s="481"/>
      <c r="CL162" s="481"/>
      <c r="CM162" s="481"/>
      <c r="CN162" s="481"/>
      <c r="CO162" s="481"/>
      <c r="CP162" s="481"/>
      <c r="CQ162" s="481"/>
      <c r="CR162" s="481"/>
      <c r="CS162" s="481"/>
      <c r="CT162" s="481"/>
      <c r="CU162" s="481"/>
      <c r="CV162" s="481"/>
      <c r="CW162" s="481"/>
      <c r="CX162" s="481"/>
      <c r="CY162" s="481"/>
      <c r="CZ162" s="481"/>
      <c r="DA162" s="481"/>
    </row>
    <row r="163" spans="1:105" ht="13.5" hidden="1" customHeight="1" x14ac:dyDescent="0.2">
      <c r="A163" s="186"/>
      <c r="B163" s="136">
        <v>7</v>
      </c>
      <c r="C163" s="1551" t="str">
        <f t="shared" ref="C163:C168" si="11">U60</f>
        <v>Luglio</v>
      </c>
      <c r="D163" s="1552"/>
      <c r="E163" s="1552"/>
      <c r="F163" s="1553"/>
      <c r="G163" s="48"/>
      <c r="H163" s="226">
        <v>1</v>
      </c>
      <c r="I163" s="226">
        <v>2</v>
      </c>
      <c r="J163" s="226">
        <v>3</v>
      </c>
      <c r="K163" s="226">
        <v>4</v>
      </c>
      <c r="L163" s="226">
        <v>5</v>
      </c>
      <c r="M163" s="226">
        <v>6</v>
      </c>
      <c r="N163" s="226">
        <v>7</v>
      </c>
      <c r="O163" s="226">
        <v>8</v>
      </c>
      <c r="P163" s="226">
        <v>9</v>
      </c>
      <c r="Q163" s="226">
        <v>10</v>
      </c>
      <c r="R163" s="226">
        <v>11</v>
      </c>
      <c r="S163" s="226">
        <v>12</v>
      </c>
      <c r="T163" s="226">
        <v>13</v>
      </c>
      <c r="U163" s="226">
        <v>14</v>
      </c>
      <c r="V163" s="226">
        <v>15</v>
      </c>
      <c r="W163" s="226">
        <v>16</v>
      </c>
      <c r="X163" s="226">
        <v>17</v>
      </c>
      <c r="Y163" s="226">
        <v>18</v>
      </c>
      <c r="Z163" s="226">
        <v>19</v>
      </c>
      <c r="AA163" s="226">
        <v>20</v>
      </c>
      <c r="AB163" s="226">
        <v>21</v>
      </c>
      <c r="AC163" s="226">
        <v>22</v>
      </c>
      <c r="AD163" s="226">
        <v>23</v>
      </c>
      <c r="AE163" s="226">
        <v>24</v>
      </c>
      <c r="AF163" s="226">
        <v>25</v>
      </c>
      <c r="AG163" s="226">
        <v>26</v>
      </c>
      <c r="AH163" s="226">
        <v>27</v>
      </c>
      <c r="AI163" s="226">
        <v>28</v>
      </c>
      <c r="AJ163" s="226">
        <v>29</v>
      </c>
      <c r="AK163" s="226">
        <v>30</v>
      </c>
      <c r="AL163" s="226">
        <v>31</v>
      </c>
      <c r="AM163" s="48"/>
      <c r="AN163" s="48"/>
      <c r="AO163" s="48"/>
      <c r="AP163" s="481"/>
      <c r="AQ163" s="481"/>
      <c r="AR163" s="481"/>
      <c r="AS163" s="481"/>
      <c r="AT163" s="481"/>
      <c r="AU163" s="481"/>
      <c r="AV163" s="481"/>
      <c r="AW163" s="481"/>
      <c r="AX163" s="481"/>
      <c r="AY163" s="481"/>
      <c r="AZ163" s="481"/>
      <c r="BA163" s="481"/>
      <c r="BB163" s="481"/>
      <c r="BC163" s="481"/>
      <c r="BD163" s="481"/>
      <c r="BE163" s="481"/>
      <c r="BF163" s="481"/>
      <c r="BG163" s="481"/>
      <c r="BH163" s="481"/>
      <c r="BI163" s="481"/>
      <c r="BJ163" s="481"/>
      <c r="BK163" s="481"/>
      <c r="BL163" s="481"/>
      <c r="BM163" s="481"/>
      <c r="BN163" s="481"/>
      <c r="BO163" s="481"/>
      <c r="BP163" s="481"/>
      <c r="BQ163" s="481"/>
      <c r="BR163" s="481"/>
      <c r="BS163" s="481"/>
      <c r="BT163" s="481"/>
      <c r="BU163" s="481"/>
      <c r="BV163" s="481"/>
      <c r="BW163" s="481"/>
      <c r="BX163" s="481"/>
      <c r="BY163" s="481"/>
      <c r="BZ163" s="481"/>
      <c r="CA163" s="481"/>
      <c r="CB163" s="481"/>
      <c r="CC163" s="481"/>
      <c r="CD163" s="481"/>
      <c r="CE163" s="481"/>
      <c r="CF163" s="481"/>
      <c r="CG163" s="481"/>
      <c r="CH163" s="481"/>
      <c r="CI163" s="481"/>
      <c r="CJ163" s="481"/>
      <c r="CK163" s="481"/>
      <c r="CL163" s="481"/>
      <c r="CM163" s="481"/>
      <c r="CN163" s="481"/>
      <c r="CO163" s="481"/>
      <c r="CP163" s="481"/>
      <c r="CQ163" s="481"/>
      <c r="CR163" s="481"/>
      <c r="CS163" s="481"/>
      <c r="CT163" s="481"/>
      <c r="CU163" s="481"/>
      <c r="CV163" s="481"/>
      <c r="CW163" s="481"/>
      <c r="CX163" s="481"/>
      <c r="CY163" s="481"/>
      <c r="CZ163" s="481"/>
      <c r="DA163" s="481"/>
    </row>
    <row r="164" spans="1:105" ht="13.5" hidden="1" customHeight="1" x14ac:dyDescent="0.2">
      <c r="A164" s="186"/>
      <c r="B164" s="136">
        <v>8</v>
      </c>
      <c r="C164" s="1551" t="str">
        <f t="shared" si="11"/>
        <v>Agosto</v>
      </c>
      <c r="D164" s="1552"/>
      <c r="E164" s="1552"/>
      <c r="F164" s="1553"/>
      <c r="G164" s="48"/>
      <c r="H164" s="226">
        <v>1</v>
      </c>
      <c r="I164" s="226">
        <v>2</v>
      </c>
      <c r="J164" s="226">
        <v>3</v>
      </c>
      <c r="K164" s="226">
        <v>4</v>
      </c>
      <c r="L164" s="226">
        <v>5</v>
      </c>
      <c r="M164" s="226">
        <v>6</v>
      </c>
      <c r="N164" s="226">
        <v>7</v>
      </c>
      <c r="O164" s="226">
        <v>8</v>
      </c>
      <c r="P164" s="226">
        <v>9</v>
      </c>
      <c r="Q164" s="226">
        <v>10</v>
      </c>
      <c r="R164" s="226">
        <v>11</v>
      </c>
      <c r="S164" s="226">
        <v>12</v>
      </c>
      <c r="T164" s="226">
        <v>13</v>
      </c>
      <c r="U164" s="226">
        <v>14</v>
      </c>
      <c r="V164" s="226">
        <v>15</v>
      </c>
      <c r="W164" s="226">
        <v>16</v>
      </c>
      <c r="X164" s="226">
        <v>17</v>
      </c>
      <c r="Y164" s="226">
        <v>18</v>
      </c>
      <c r="Z164" s="226">
        <v>19</v>
      </c>
      <c r="AA164" s="226">
        <v>20</v>
      </c>
      <c r="AB164" s="226">
        <v>21</v>
      </c>
      <c r="AC164" s="226">
        <v>22</v>
      </c>
      <c r="AD164" s="226">
        <v>23</v>
      </c>
      <c r="AE164" s="226">
        <v>24</v>
      </c>
      <c r="AF164" s="226">
        <v>25</v>
      </c>
      <c r="AG164" s="226">
        <v>26</v>
      </c>
      <c r="AH164" s="226">
        <v>27</v>
      </c>
      <c r="AI164" s="226">
        <v>28</v>
      </c>
      <c r="AJ164" s="226">
        <v>29</v>
      </c>
      <c r="AK164" s="226">
        <v>30</v>
      </c>
      <c r="AL164" s="226">
        <v>31</v>
      </c>
      <c r="AM164" s="48"/>
      <c r="AN164" s="48"/>
      <c r="AO164" s="48"/>
      <c r="AP164" s="481"/>
      <c r="AQ164" s="481"/>
      <c r="AR164" s="481"/>
      <c r="AS164" s="481"/>
      <c r="AT164" s="481"/>
      <c r="AU164" s="481"/>
      <c r="AV164" s="481"/>
      <c r="AW164" s="481"/>
      <c r="AX164" s="481"/>
      <c r="AY164" s="481"/>
      <c r="AZ164" s="481"/>
      <c r="BA164" s="481"/>
      <c r="BB164" s="481"/>
      <c r="BC164" s="481"/>
      <c r="BD164" s="481"/>
      <c r="BE164" s="481"/>
      <c r="BF164" s="481"/>
      <c r="BG164" s="481"/>
      <c r="BH164" s="481"/>
      <c r="BI164" s="481"/>
      <c r="BJ164" s="481"/>
      <c r="BK164" s="481"/>
      <c r="BL164" s="481"/>
      <c r="BM164" s="481"/>
      <c r="BN164" s="481"/>
      <c r="BO164" s="481"/>
      <c r="BP164" s="481"/>
      <c r="BQ164" s="481"/>
      <c r="BR164" s="481"/>
      <c r="BS164" s="481"/>
      <c r="BT164" s="481"/>
      <c r="BU164" s="481"/>
      <c r="BV164" s="481"/>
      <c r="BW164" s="481"/>
      <c r="BX164" s="481"/>
      <c r="BY164" s="481"/>
      <c r="BZ164" s="481"/>
      <c r="CA164" s="481"/>
      <c r="CB164" s="481"/>
      <c r="CC164" s="481"/>
      <c r="CD164" s="481"/>
      <c r="CE164" s="481"/>
      <c r="CF164" s="481"/>
      <c r="CG164" s="481"/>
      <c r="CH164" s="481"/>
      <c r="CI164" s="481"/>
      <c r="CJ164" s="481"/>
      <c r="CK164" s="481"/>
      <c r="CL164" s="481"/>
      <c r="CM164" s="481"/>
      <c r="CN164" s="481"/>
      <c r="CO164" s="481"/>
      <c r="CP164" s="481"/>
      <c r="CQ164" s="481"/>
      <c r="CR164" s="481"/>
      <c r="CS164" s="481"/>
      <c r="CT164" s="481"/>
      <c r="CU164" s="481"/>
      <c r="CV164" s="481"/>
      <c r="CW164" s="481"/>
      <c r="CX164" s="481"/>
      <c r="CY164" s="481"/>
      <c r="CZ164" s="481"/>
      <c r="DA164" s="481"/>
    </row>
    <row r="165" spans="1:105" ht="13.5" hidden="1" customHeight="1" x14ac:dyDescent="0.2">
      <c r="A165" s="186"/>
      <c r="B165" s="136">
        <v>9</v>
      </c>
      <c r="C165" s="1551" t="str">
        <f t="shared" si="11"/>
        <v>Settembre</v>
      </c>
      <c r="D165" s="1552"/>
      <c r="E165" s="1552"/>
      <c r="F165" s="1553"/>
      <c r="G165" s="48"/>
      <c r="H165" s="226">
        <v>1</v>
      </c>
      <c r="I165" s="226">
        <v>2</v>
      </c>
      <c r="J165" s="226">
        <v>3</v>
      </c>
      <c r="K165" s="226">
        <v>4</v>
      </c>
      <c r="L165" s="226">
        <v>5</v>
      </c>
      <c r="M165" s="226">
        <v>6</v>
      </c>
      <c r="N165" s="226">
        <v>7</v>
      </c>
      <c r="O165" s="226">
        <v>8</v>
      </c>
      <c r="P165" s="226">
        <v>9</v>
      </c>
      <c r="Q165" s="226">
        <v>10</v>
      </c>
      <c r="R165" s="226">
        <v>11</v>
      </c>
      <c r="S165" s="226">
        <v>12</v>
      </c>
      <c r="T165" s="226">
        <v>13</v>
      </c>
      <c r="U165" s="226">
        <v>14</v>
      </c>
      <c r="V165" s="226">
        <v>15</v>
      </c>
      <c r="W165" s="226">
        <v>16</v>
      </c>
      <c r="X165" s="226">
        <v>17</v>
      </c>
      <c r="Y165" s="226">
        <v>18</v>
      </c>
      <c r="Z165" s="226">
        <v>19</v>
      </c>
      <c r="AA165" s="226">
        <v>20</v>
      </c>
      <c r="AB165" s="226">
        <v>21</v>
      </c>
      <c r="AC165" s="226">
        <v>22</v>
      </c>
      <c r="AD165" s="226">
        <v>23</v>
      </c>
      <c r="AE165" s="226">
        <v>24</v>
      </c>
      <c r="AF165" s="226">
        <v>25</v>
      </c>
      <c r="AG165" s="226">
        <v>26</v>
      </c>
      <c r="AH165" s="226">
        <v>27</v>
      </c>
      <c r="AI165" s="226">
        <v>28</v>
      </c>
      <c r="AJ165" s="226">
        <v>29</v>
      </c>
      <c r="AK165" s="226">
        <v>30</v>
      </c>
      <c r="AL165" s="48"/>
      <c r="AM165" s="48"/>
      <c r="AN165" s="48"/>
      <c r="AO165" s="48"/>
      <c r="AP165" s="481"/>
      <c r="AQ165" s="481"/>
      <c r="AR165" s="481"/>
      <c r="AS165" s="481"/>
      <c r="AT165" s="481"/>
      <c r="AU165" s="481"/>
      <c r="AV165" s="481"/>
      <c r="AW165" s="481"/>
      <c r="AX165" s="481"/>
      <c r="AY165" s="481"/>
      <c r="AZ165" s="481"/>
      <c r="BA165" s="481"/>
      <c r="BB165" s="481"/>
      <c r="BC165" s="481"/>
      <c r="BD165" s="481"/>
      <c r="BE165" s="481"/>
      <c r="BF165" s="481"/>
      <c r="BG165" s="481"/>
      <c r="BH165" s="481"/>
      <c r="BI165" s="481"/>
      <c r="BJ165" s="481"/>
      <c r="BK165" s="481"/>
      <c r="BL165" s="481"/>
      <c r="BM165" s="481"/>
      <c r="BN165" s="481"/>
      <c r="BO165" s="481"/>
      <c r="BP165" s="481"/>
      <c r="BQ165" s="481"/>
      <c r="BR165" s="481"/>
      <c r="BS165" s="481"/>
      <c r="BT165" s="481"/>
      <c r="BU165" s="481"/>
      <c r="BV165" s="481"/>
      <c r="BW165" s="481"/>
      <c r="BX165" s="481"/>
      <c r="BY165" s="481"/>
      <c r="BZ165" s="481"/>
      <c r="CA165" s="481"/>
      <c r="CB165" s="481"/>
      <c r="CC165" s="481"/>
      <c r="CD165" s="481"/>
      <c r="CE165" s="481"/>
      <c r="CF165" s="481"/>
      <c r="CG165" s="481"/>
      <c r="CH165" s="481"/>
      <c r="CI165" s="481"/>
      <c r="CJ165" s="481"/>
      <c r="CK165" s="481"/>
      <c r="CL165" s="481"/>
      <c r="CM165" s="481"/>
      <c r="CN165" s="481"/>
      <c r="CO165" s="481"/>
      <c r="CP165" s="481"/>
      <c r="CQ165" s="481"/>
      <c r="CR165" s="481"/>
      <c r="CS165" s="481"/>
      <c r="CT165" s="481"/>
      <c r="CU165" s="481"/>
      <c r="CV165" s="481"/>
      <c r="CW165" s="481"/>
      <c r="CX165" s="481"/>
      <c r="CY165" s="481"/>
      <c r="CZ165" s="481"/>
      <c r="DA165" s="481"/>
    </row>
    <row r="166" spans="1:105" ht="13.5" hidden="1" customHeight="1" x14ac:dyDescent="0.2">
      <c r="A166" s="186"/>
      <c r="B166" s="136">
        <v>10</v>
      </c>
      <c r="C166" s="1551" t="str">
        <f t="shared" si="11"/>
        <v>Ottobre</v>
      </c>
      <c r="D166" s="1552"/>
      <c r="E166" s="1552"/>
      <c r="F166" s="1553"/>
      <c r="G166" s="48"/>
      <c r="H166" s="226">
        <v>1</v>
      </c>
      <c r="I166" s="226">
        <v>2</v>
      </c>
      <c r="J166" s="226">
        <v>3</v>
      </c>
      <c r="K166" s="226">
        <v>4</v>
      </c>
      <c r="L166" s="226">
        <v>5</v>
      </c>
      <c r="M166" s="226">
        <v>6</v>
      </c>
      <c r="N166" s="226">
        <v>7</v>
      </c>
      <c r="O166" s="226">
        <v>8</v>
      </c>
      <c r="P166" s="226">
        <v>9</v>
      </c>
      <c r="Q166" s="226">
        <v>10</v>
      </c>
      <c r="R166" s="226">
        <v>11</v>
      </c>
      <c r="S166" s="226">
        <v>12</v>
      </c>
      <c r="T166" s="226">
        <v>13</v>
      </c>
      <c r="U166" s="226">
        <v>14</v>
      </c>
      <c r="V166" s="226">
        <v>15</v>
      </c>
      <c r="W166" s="226">
        <v>16</v>
      </c>
      <c r="X166" s="226">
        <v>17</v>
      </c>
      <c r="Y166" s="226">
        <v>18</v>
      </c>
      <c r="Z166" s="226">
        <v>19</v>
      </c>
      <c r="AA166" s="226">
        <v>20</v>
      </c>
      <c r="AB166" s="226">
        <v>21</v>
      </c>
      <c r="AC166" s="226">
        <v>22</v>
      </c>
      <c r="AD166" s="226">
        <v>23</v>
      </c>
      <c r="AE166" s="226">
        <v>24</v>
      </c>
      <c r="AF166" s="226">
        <v>25</v>
      </c>
      <c r="AG166" s="226">
        <v>26</v>
      </c>
      <c r="AH166" s="226">
        <v>27</v>
      </c>
      <c r="AI166" s="226">
        <v>28</v>
      </c>
      <c r="AJ166" s="226">
        <v>29</v>
      </c>
      <c r="AK166" s="226">
        <v>30</v>
      </c>
      <c r="AL166" s="226">
        <v>31</v>
      </c>
      <c r="AM166" s="48"/>
      <c r="AN166" s="48"/>
      <c r="AO166" s="48"/>
      <c r="AP166" s="481"/>
      <c r="AQ166" s="481"/>
      <c r="AR166" s="481"/>
      <c r="AS166" s="481"/>
      <c r="AT166" s="481"/>
      <c r="AU166" s="481"/>
      <c r="AV166" s="481"/>
      <c r="AW166" s="481"/>
      <c r="AX166" s="481"/>
      <c r="AY166" s="481"/>
      <c r="AZ166" s="481"/>
      <c r="BA166" s="481"/>
      <c r="BB166" s="481"/>
      <c r="BC166" s="481"/>
      <c r="BD166" s="481"/>
      <c r="BE166" s="481"/>
      <c r="BF166" s="481"/>
      <c r="BG166" s="481"/>
      <c r="BH166" s="481"/>
      <c r="BI166" s="481"/>
      <c r="BJ166" s="481"/>
      <c r="BK166" s="481"/>
      <c r="BL166" s="481"/>
      <c r="BM166" s="481"/>
      <c r="BN166" s="481"/>
      <c r="BO166" s="481"/>
      <c r="BP166" s="481"/>
      <c r="BQ166" s="481"/>
      <c r="BR166" s="481"/>
      <c r="BS166" s="481"/>
      <c r="BT166" s="481"/>
      <c r="BU166" s="481"/>
      <c r="BV166" s="481"/>
      <c r="BW166" s="481"/>
      <c r="BX166" s="481"/>
      <c r="BY166" s="481"/>
      <c r="BZ166" s="481"/>
      <c r="CA166" s="481"/>
      <c r="CB166" s="481"/>
      <c r="CC166" s="481"/>
      <c r="CD166" s="481"/>
      <c r="CE166" s="481"/>
      <c r="CF166" s="481"/>
      <c r="CG166" s="481"/>
      <c r="CH166" s="481"/>
      <c r="CI166" s="481"/>
      <c r="CJ166" s="481"/>
      <c r="CK166" s="481"/>
      <c r="CL166" s="481"/>
      <c r="CM166" s="481"/>
      <c r="CN166" s="481"/>
      <c r="CO166" s="481"/>
      <c r="CP166" s="481"/>
      <c r="CQ166" s="481"/>
      <c r="CR166" s="481"/>
      <c r="CS166" s="481"/>
      <c r="CT166" s="481"/>
      <c r="CU166" s="481"/>
      <c r="CV166" s="481"/>
      <c r="CW166" s="481"/>
      <c r="CX166" s="481"/>
      <c r="CY166" s="481"/>
      <c r="CZ166" s="481"/>
      <c r="DA166" s="481"/>
    </row>
    <row r="167" spans="1:105" ht="13.5" hidden="1" customHeight="1" x14ac:dyDescent="0.2">
      <c r="A167" s="186"/>
      <c r="B167" s="136">
        <v>11</v>
      </c>
      <c r="C167" s="1551" t="str">
        <f t="shared" si="11"/>
        <v>Novembre</v>
      </c>
      <c r="D167" s="1552"/>
      <c r="E167" s="1552"/>
      <c r="F167" s="1553"/>
      <c r="G167" s="48"/>
      <c r="H167" s="226">
        <v>1</v>
      </c>
      <c r="I167" s="226">
        <v>2</v>
      </c>
      <c r="J167" s="226">
        <v>3</v>
      </c>
      <c r="K167" s="226">
        <v>4</v>
      </c>
      <c r="L167" s="226">
        <v>5</v>
      </c>
      <c r="M167" s="226">
        <v>6</v>
      </c>
      <c r="N167" s="226">
        <v>7</v>
      </c>
      <c r="O167" s="226">
        <v>8</v>
      </c>
      <c r="P167" s="226">
        <v>9</v>
      </c>
      <c r="Q167" s="226">
        <v>10</v>
      </c>
      <c r="R167" s="226">
        <v>11</v>
      </c>
      <c r="S167" s="226">
        <v>12</v>
      </c>
      <c r="T167" s="226">
        <v>13</v>
      </c>
      <c r="U167" s="226">
        <v>14</v>
      </c>
      <c r="V167" s="226">
        <v>15</v>
      </c>
      <c r="W167" s="226">
        <v>16</v>
      </c>
      <c r="X167" s="226">
        <v>17</v>
      </c>
      <c r="Y167" s="226">
        <v>18</v>
      </c>
      <c r="Z167" s="226">
        <v>19</v>
      </c>
      <c r="AA167" s="226">
        <v>20</v>
      </c>
      <c r="AB167" s="226">
        <v>21</v>
      </c>
      <c r="AC167" s="226">
        <v>22</v>
      </c>
      <c r="AD167" s="226">
        <v>23</v>
      </c>
      <c r="AE167" s="226">
        <v>24</v>
      </c>
      <c r="AF167" s="226">
        <v>25</v>
      </c>
      <c r="AG167" s="226">
        <v>26</v>
      </c>
      <c r="AH167" s="226">
        <v>27</v>
      </c>
      <c r="AI167" s="226">
        <v>28</v>
      </c>
      <c r="AJ167" s="226">
        <v>29</v>
      </c>
      <c r="AK167" s="226">
        <v>30</v>
      </c>
      <c r="AL167" s="48"/>
      <c r="AM167" s="48"/>
      <c r="AN167" s="48"/>
      <c r="AO167" s="48"/>
      <c r="AP167" s="481"/>
      <c r="AQ167" s="481"/>
      <c r="AR167" s="481"/>
      <c r="AS167" s="481"/>
      <c r="AT167" s="481"/>
      <c r="AU167" s="481"/>
      <c r="AV167" s="481"/>
      <c r="AW167" s="481"/>
      <c r="AX167" s="481"/>
      <c r="AY167" s="481"/>
      <c r="AZ167" s="481"/>
      <c r="BA167" s="481"/>
      <c r="BB167" s="481"/>
      <c r="BC167" s="481"/>
      <c r="BD167" s="481"/>
      <c r="BE167" s="481"/>
      <c r="BF167" s="481"/>
      <c r="BG167" s="481"/>
      <c r="BH167" s="481"/>
      <c r="BI167" s="481"/>
      <c r="BJ167" s="481"/>
      <c r="BK167" s="481"/>
      <c r="BL167" s="481"/>
      <c r="BM167" s="481"/>
      <c r="BN167" s="481"/>
      <c r="BO167" s="481"/>
      <c r="BP167" s="481"/>
      <c r="BQ167" s="481"/>
      <c r="BR167" s="481"/>
      <c r="BS167" s="481"/>
      <c r="BT167" s="481"/>
      <c r="BU167" s="481"/>
      <c r="BV167" s="481"/>
      <c r="BW167" s="481"/>
      <c r="BX167" s="481"/>
      <c r="BY167" s="481"/>
      <c r="BZ167" s="481"/>
      <c r="CA167" s="481"/>
      <c r="CB167" s="481"/>
      <c r="CC167" s="481"/>
      <c r="CD167" s="481"/>
      <c r="CE167" s="481"/>
      <c r="CF167" s="481"/>
      <c r="CG167" s="481"/>
      <c r="CH167" s="481"/>
      <c r="CI167" s="481"/>
      <c r="CJ167" s="481"/>
      <c r="CK167" s="481"/>
      <c r="CL167" s="481"/>
      <c r="CM167" s="481"/>
      <c r="CN167" s="481"/>
      <c r="CO167" s="481"/>
      <c r="CP167" s="481"/>
      <c r="CQ167" s="481"/>
      <c r="CR167" s="481"/>
      <c r="CS167" s="481"/>
      <c r="CT167" s="481"/>
      <c r="CU167" s="481"/>
      <c r="CV167" s="481"/>
      <c r="CW167" s="481"/>
      <c r="CX167" s="481"/>
      <c r="CY167" s="481"/>
      <c r="CZ167" s="481"/>
      <c r="DA167" s="481"/>
    </row>
    <row r="168" spans="1:105" ht="13.5" hidden="1" customHeight="1" x14ac:dyDescent="0.2">
      <c r="A168" s="186"/>
      <c r="B168" s="136">
        <v>12</v>
      </c>
      <c r="C168" s="1551" t="str">
        <f t="shared" si="11"/>
        <v>Dicembre</v>
      </c>
      <c r="D168" s="1552"/>
      <c r="E168" s="1552"/>
      <c r="F168" s="1553"/>
      <c r="G168" s="48"/>
      <c r="H168" s="226">
        <v>1</v>
      </c>
      <c r="I168" s="226">
        <v>2</v>
      </c>
      <c r="J168" s="226">
        <v>3</v>
      </c>
      <c r="K168" s="226">
        <v>4</v>
      </c>
      <c r="L168" s="226">
        <v>5</v>
      </c>
      <c r="M168" s="226">
        <v>6</v>
      </c>
      <c r="N168" s="226">
        <v>7</v>
      </c>
      <c r="O168" s="226">
        <v>8</v>
      </c>
      <c r="P168" s="226">
        <v>9</v>
      </c>
      <c r="Q168" s="226">
        <v>10</v>
      </c>
      <c r="R168" s="226">
        <v>11</v>
      </c>
      <c r="S168" s="226">
        <v>12</v>
      </c>
      <c r="T168" s="226">
        <v>13</v>
      </c>
      <c r="U168" s="226">
        <v>14</v>
      </c>
      <c r="V168" s="226">
        <v>15</v>
      </c>
      <c r="W168" s="226">
        <v>16</v>
      </c>
      <c r="X168" s="226">
        <v>17</v>
      </c>
      <c r="Y168" s="226">
        <v>18</v>
      </c>
      <c r="Z168" s="226">
        <v>19</v>
      </c>
      <c r="AA168" s="226">
        <v>20</v>
      </c>
      <c r="AB168" s="226">
        <v>21</v>
      </c>
      <c r="AC168" s="226">
        <v>22</v>
      </c>
      <c r="AD168" s="226">
        <v>23</v>
      </c>
      <c r="AE168" s="226">
        <v>24</v>
      </c>
      <c r="AF168" s="226">
        <v>25</v>
      </c>
      <c r="AG168" s="226">
        <v>26</v>
      </c>
      <c r="AH168" s="226">
        <v>27</v>
      </c>
      <c r="AI168" s="226">
        <v>28</v>
      </c>
      <c r="AJ168" s="226">
        <v>29</v>
      </c>
      <c r="AK168" s="226">
        <v>30</v>
      </c>
      <c r="AL168" s="226">
        <v>31</v>
      </c>
      <c r="AM168" s="48"/>
      <c r="AN168" s="48"/>
      <c r="AO168" s="48"/>
      <c r="AP168" s="481"/>
      <c r="AQ168" s="481"/>
      <c r="AR168" s="481"/>
      <c r="AS168" s="481"/>
      <c r="AT168" s="481"/>
      <c r="AU168" s="481"/>
      <c r="AV168" s="481"/>
      <c r="AW168" s="481"/>
      <c r="AX168" s="481"/>
      <c r="AY168" s="481"/>
      <c r="AZ168" s="481"/>
      <c r="BA168" s="481"/>
      <c r="BB168" s="481"/>
      <c r="BC168" s="481"/>
      <c r="BD168" s="481"/>
      <c r="BE168" s="481"/>
      <c r="BF168" s="481"/>
      <c r="BG168" s="481"/>
      <c r="BH168" s="481"/>
      <c r="BI168" s="481"/>
      <c r="BJ168" s="481"/>
      <c r="BK168" s="481"/>
      <c r="BL168" s="481"/>
      <c r="BM168" s="481"/>
      <c r="BN168" s="481"/>
      <c r="BO168" s="481"/>
      <c r="BP168" s="481"/>
      <c r="BQ168" s="481"/>
      <c r="BR168" s="481"/>
      <c r="BS168" s="481"/>
      <c r="BT168" s="481"/>
      <c r="BU168" s="481"/>
      <c r="BV168" s="481"/>
      <c r="BW168" s="481"/>
      <c r="BX168" s="481"/>
      <c r="BY168" s="481"/>
      <c r="BZ168" s="481"/>
      <c r="CA168" s="481"/>
      <c r="CB168" s="481"/>
      <c r="CC168" s="481"/>
      <c r="CD168" s="481"/>
      <c r="CE168" s="481"/>
      <c r="CF168" s="481"/>
      <c r="CG168" s="481"/>
      <c r="CH168" s="481"/>
      <c r="CI168" s="481"/>
      <c r="CJ168" s="481"/>
      <c r="CK168" s="481"/>
      <c r="CL168" s="481"/>
      <c r="CM168" s="481"/>
      <c r="CN168" s="481"/>
      <c r="CO168" s="481"/>
      <c r="CP168" s="481"/>
      <c r="CQ168" s="481"/>
      <c r="CR168" s="481"/>
      <c r="CS168" s="481"/>
      <c r="CT168" s="481"/>
      <c r="CU168" s="481"/>
      <c r="CV168" s="481"/>
      <c r="CW168" s="481"/>
      <c r="CX168" s="481"/>
      <c r="CY168" s="481"/>
      <c r="CZ168" s="481"/>
      <c r="DA168" s="481"/>
    </row>
    <row r="169" spans="1:105" hidden="1" x14ac:dyDescent="0.2">
      <c r="A169" s="186"/>
      <c r="B169" s="186"/>
      <c r="C169" s="186"/>
      <c r="D169" s="186"/>
      <c r="E169" s="186"/>
      <c r="F169" s="186"/>
      <c r="G169" s="186"/>
      <c r="H169" s="186"/>
      <c r="I169" s="186"/>
      <c r="J169" s="186"/>
      <c r="K169" s="186"/>
      <c r="L169" s="186"/>
      <c r="M169" s="186"/>
      <c r="N169" s="186"/>
      <c r="O169" s="186"/>
      <c r="P169" s="186"/>
      <c r="Q169" s="186"/>
      <c r="R169" s="186"/>
      <c r="S169" s="186"/>
      <c r="T169" s="186"/>
      <c r="U169" s="186"/>
      <c r="V169" s="186"/>
      <c r="W169" s="186"/>
      <c r="X169" s="186"/>
      <c r="Y169" s="186"/>
      <c r="Z169" s="186"/>
      <c r="AA169" s="186"/>
      <c r="AB169" s="186"/>
      <c r="AC169" s="186"/>
      <c r="AD169" s="48"/>
      <c r="AE169" s="48"/>
      <c r="AF169" s="48"/>
      <c r="AG169" s="48"/>
      <c r="AH169" s="48"/>
      <c r="AI169" s="48"/>
      <c r="AJ169" s="48"/>
      <c r="AK169" s="48"/>
      <c r="AL169" s="48"/>
      <c r="AM169" s="48"/>
      <c r="AN169" s="48"/>
      <c r="AO169" s="48"/>
      <c r="AP169" s="481"/>
      <c r="AQ169" s="481"/>
      <c r="AR169" s="481"/>
      <c r="AS169" s="481"/>
      <c r="AT169" s="481"/>
      <c r="AU169" s="481"/>
      <c r="AV169" s="481"/>
      <c r="AW169" s="481"/>
      <c r="AX169" s="481"/>
      <c r="AY169" s="481"/>
      <c r="AZ169" s="481"/>
      <c r="BA169" s="481"/>
      <c r="BB169" s="481"/>
      <c r="BC169" s="481"/>
      <c r="BD169" s="481"/>
      <c r="BE169" s="481"/>
      <c r="BF169" s="481"/>
      <c r="BG169" s="481"/>
      <c r="BH169" s="481"/>
      <c r="BI169" s="481"/>
      <c r="BJ169" s="481"/>
      <c r="BK169" s="481"/>
      <c r="BL169" s="481"/>
      <c r="BM169" s="481"/>
      <c r="BN169" s="481"/>
      <c r="BO169" s="481"/>
      <c r="BP169" s="481"/>
      <c r="BQ169" s="481"/>
      <c r="BR169" s="481"/>
      <c r="BS169" s="481"/>
      <c r="BT169" s="481"/>
      <c r="BU169" s="481"/>
      <c r="BV169" s="481"/>
      <c r="BW169" s="481"/>
      <c r="BX169" s="481"/>
      <c r="BY169" s="481"/>
      <c r="BZ169" s="481"/>
      <c r="CA169" s="481"/>
      <c r="CB169" s="481"/>
      <c r="CC169" s="481"/>
      <c r="CD169" s="481"/>
      <c r="CE169" s="481"/>
      <c r="CF169" s="481"/>
      <c r="CG169" s="481"/>
      <c r="CH169" s="481"/>
      <c r="CI169" s="481"/>
      <c r="CJ169" s="481"/>
      <c r="CK169" s="481"/>
      <c r="CL169" s="481"/>
      <c r="CM169" s="481"/>
      <c r="CN169" s="481"/>
      <c r="CO169" s="481"/>
      <c r="CP169" s="481"/>
      <c r="CQ169" s="481"/>
      <c r="CR169" s="481"/>
      <c r="CS169" s="481"/>
      <c r="CT169" s="481"/>
      <c r="CU169" s="481"/>
      <c r="CV169" s="481"/>
      <c r="CW169" s="481"/>
      <c r="CX169" s="481"/>
      <c r="CY169" s="481"/>
      <c r="CZ169" s="481"/>
      <c r="DA169" s="481"/>
    </row>
    <row r="170" spans="1:105" ht="13.5" hidden="1" customHeight="1" x14ac:dyDescent="0.2">
      <c r="A170" s="186"/>
      <c r="B170" s="48"/>
      <c r="C170" s="1551" t="str">
        <f>C157</f>
        <v>Gennaio</v>
      </c>
      <c r="D170" s="1552"/>
      <c r="E170" s="1552"/>
      <c r="F170" s="1553"/>
      <c r="G170" s="136">
        <f>B157</f>
        <v>1</v>
      </c>
      <c r="H170" s="228">
        <f t="shared" ref="H170:AL170" si="12">DATE($AH$52,$B157,H157)</f>
        <v>45292</v>
      </c>
      <c r="I170" s="228">
        <f t="shared" si="12"/>
        <v>45293</v>
      </c>
      <c r="J170" s="228">
        <f t="shared" si="12"/>
        <v>45294</v>
      </c>
      <c r="K170" s="228">
        <f t="shared" si="12"/>
        <v>45295</v>
      </c>
      <c r="L170" s="228">
        <f t="shared" si="12"/>
        <v>45296</v>
      </c>
      <c r="M170" s="228">
        <f t="shared" si="12"/>
        <v>45297</v>
      </c>
      <c r="N170" s="228">
        <f t="shared" si="12"/>
        <v>45298</v>
      </c>
      <c r="O170" s="228">
        <f t="shared" si="12"/>
        <v>45299</v>
      </c>
      <c r="P170" s="228">
        <f t="shared" ref="P170:V181" si="13">DATE($AH$52,$B157,P157)</f>
        <v>45300</v>
      </c>
      <c r="Q170" s="228">
        <f t="shared" si="13"/>
        <v>45301</v>
      </c>
      <c r="R170" s="228">
        <f t="shared" si="13"/>
        <v>45302</v>
      </c>
      <c r="S170" s="228">
        <f t="shared" si="13"/>
        <v>45303</v>
      </c>
      <c r="T170" s="228">
        <f t="shared" si="13"/>
        <v>45304</v>
      </c>
      <c r="U170" s="228">
        <f t="shared" si="13"/>
        <v>45305</v>
      </c>
      <c r="V170" s="228">
        <f t="shared" si="13"/>
        <v>45306</v>
      </c>
      <c r="W170" s="228">
        <f t="shared" si="12"/>
        <v>45307</v>
      </c>
      <c r="X170" s="228">
        <f t="shared" si="12"/>
        <v>45308</v>
      </c>
      <c r="Y170" s="228">
        <f t="shared" si="12"/>
        <v>45309</v>
      </c>
      <c r="Z170" s="228">
        <f t="shared" si="12"/>
        <v>45310</v>
      </c>
      <c r="AA170" s="228">
        <f t="shared" si="12"/>
        <v>45311</v>
      </c>
      <c r="AB170" s="228">
        <f t="shared" si="12"/>
        <v>45312</v>
      </c>
      <c r="AC170" s="228">
        <f t="shared" si="12"/>
        <v>45313</v>
      </c>
      <c r="AD170" s="228">
        <f t="shared" si="12"/>
        <v>45314</v>
      </c>
      <c r="AE170" s="228">
        <f t="shared" si="12"/>
        <v>45315</v>
      </c>
      <c r="AF170" s="228">
        <f t="shared" si="12"/>
        <v>45316</v>
      </c>
      <c r="AG170" s="228">
        <f t="shared" si="12"/>
        <v>45317</v>
      </c>
      <c r="AH170" s="228">
        <f t="shared" si="12"/>
        <v>45318</v>
      </c>
      <c r="AI170" s="228">
        <f t="shared" si="12"/>
        <v>45319</v>
      </c>
      <c r="AJ170" s="228">
        <f t="shared" si="12"/>
        <v>45320</v>
      </c>
      <c r="AK170" s="228">
        <f t="shared" si="12"/>
        <v>45321</v>
      </c>
      <c r="AL170" s="228">
        <f t="shared" si="12"/>
        <v>45322</v>
      </c>
      <c r="AM170" s="48"/>
      <c r="AN170" s="48"/>
      <c r="AO170" s="48"/>
      <c r="AP170" s="481"/>
      <c r="AQ170" s="481"/>
      <c r="AR170" s="481"/>
      <c r="AS170" s="481"/>
      <c r="AT170" s="481"/>
      <c r="AU170" s="481"/>
      <c r="AV170" s="481"/>
      <c r="AW170" s="481"/>
      <c r="AX170" s="481"/>
      <c r="AY170" s="481"/>
      <c r="AZ170" s="481"/>
      <c r="BA170" s="481"/>
      <c r="BB170" s="481"/>
      <c r="BC170" s="481"/>
      <c r="BD170" s="481"/>
      <c r="BE170" s="481"/>
      <c r="BF170" s="481"/>
      <c r="BG170" s="481"/>
      <c r="BH170" s="481"/>
      <c r="BI170" s="481"/>
      <c r="BJ170" s="481"/>
      <c r="BK170" s="481"/>
      <c r="BL170" s="481"/>
      <c r="BM170" s="481"/>
      <c r="BN170" s="481"/>
      <c r="BO170" s="481"/>
      <c r="BP170" s="481"/>
      <c r="BQ170" s="481"/>
      <c r="BR170" s="481"/>
      <c r="BS170" s="481"/>
      <c r="BT170" s="481"/>
      <c r="BU170" s="481"/>
      <c r="BV170" s="481"/>
      <c r="BW170" s="481"/>
      <c r="BX170" s="481"/>
      <c r="BY170" s="481"/>
      <c r="BZ170" s="481"/>
      <c r="CA170" s="481"/>
      <c r="CB170" s="481"/>
      <c r="CC170" s="481"/>
      <c r="CD170" s="481"/>
      <c r="CE170" s="481"/>
      <c r="CF170" s="481"/>
      <c r="CG170" s="481"/>
      <c r="CH170" s="481"/>
      <c r="CI170" s="481"/>
      <c r="CJ170" s="481"/>
      <c r="CK170" s="481"/>
      <c r="CL170" s="481"/>
      <c r="CM170" s="481"/>
      <c r="CN170" s="481"/>
      <c r="CO170" s="481"/>
      <c r="CP170" s="481"/>
      <c r="CQ170" s="481"/>
      <c r="CR170" s="481"/>
      <c r="CS170" s="481"/>
      <c r="CT170" s="481"/>
      <c r="CU170" s="481"/>
      <c r="CV170" s="481"/>
      <c r="CW170" s="481"/>
      <c r="CX170" s="481"/>
      <c r="CY170" s="481"/>
      <c r="CZ170" s="481"/>
      <c r="DA170" s="481"/>
    </row>
    <row r="171" spans="1:105" ht="13.5" hidden="1" customHeight="1" x14ac:dyDescent="0.2">
      <c r="A171" s="186"/>
      <c r="B171" s="48"/>
      <c r="C171" s="1551" t="str">
        <f t="shared" ref="C171:C181" si="14">C158</f>
        <v>Febbraio</v>
      </c>
      <c r="D171" s="1552"/>
      <c r="E171" s="1552"/>
      <c r="F171" s="1553"/>
      <c r="G171" s="136">
        <f t="shared" ref="G171:G181" si="15">B158</f>
        <v>2</v>
      </c>
      <c r="H171" s="228">
        <f t="shared" ref="H171:AI171" si="16">DATE($AH$52,$B158,H158)</f>
        <v>45323</v>
      </c>
      <c r="I171" s="228">
        <f t="shared" si="16"/>
        <v>45324</v>
      </c>
      <c r="J171" s="228">
        <f t="shared" si="16"/>
        <v>45325</v>
      </c>
      <c r="K171" s="228">
        <f t="shared" si="16"/>
        <v>45326</v>
      </c>
      <c r="L171" s="228">
        <f t="shared" si="16"/>
        <v>45327</v>
      </c>
      <c r="M171" s="228">
        <f t="shared" si="16"/>
        <v>45328</v>
      </c>
      <c r="N171" s="228">
        <f t="shared" si="16"/>
        <v>45329</v>
      </c>
      <c r="O171" s="228">
        <f t="shared" si="16"/>
        <v>45330</v>
      </c>
      <c r="P171" s="228">
        <f t="shared" si="13"/>
        <v>45331</v>
      </c>
      <c r="Q171" s="228">
        <f t="shared" si="13"/>
        <v>45332</v>
      </c>
      <c r="R171" s="228">
        <f t="shared" si="13"/>
        <v>45333</v>
      </c>
      <c r="S171" s="228">
        <f t="shared" si="13"/>
        <v>45334</v>
      </c>
      <c r="T171" s="228">
        <f t="shared" si="13"/>
        <v>45335</v>
      </c>
      <c r="U171" s="228">
        <f t="shared" si="13"/>
        <v>45336</v>
      </c>
      <c r="V171" s="228">
        <f t="shared" si="13"/>
        <v>45337</v>
      </c>
      <c r="W171" s="228">
        <f t="shared" si="16"/>
        <v>45338</v>
      </c>
      <c r="X171" s="228">
        <f t="shared" si="16"/>
        <v>45339</v>
      </c>
      <c r="Y171" s="228">
        <f t="shared" si="16"/>
        <v>45340</v>
      </c>
      <c r="Z171" s="228">
        <f t="shared" si="16"/>
        <v>45341</v>
      </c>
      <c r="AA171" s="228">
        <f t="shared" si="16"/>
        <v>45342</v>
      </c>
      <c r="AB171" s="228">
        <f t="shared" si="16"/>
        <v>45343</v>
      </c>
      <c r="AC171" s="228">
        <f t="shared" si="16"/>
        <v>45344</v>
      </c>
      <c r="AD171" s="228">
        <f t="shared" si="16"/>
        <v>45345</v>
      </c>
      <c r="AE171" s="228">
        <f t="shared" si="16"/>
        <v>45346</v>
      </c>
      <c r="AF171" s="228">
        <f t="shared" si="16"/>
        <v>45347</v>
      </c>
      <c r="AG171" s="228">
        <f t="shared" si="16"/>
        <v>45348</v>
      </c>
      <c r="AH171" s="228">
        <f t="shared" si="16"/>
        <v>45349</v>
      </c>
      <c r="AI171" s="228">
        <f t="shared" si="16"/>
        <v>45350</v>
      </c>
      <c r="AJ171" s="229">
        <f>IF(AJ158=0,0,DATE($AH$52,$B158,AJ158))</f>
        <v>45351</v>
      </c>
      <c r="AK171" s="230"/>
      <c r="AL171" s="230"/>
      <c r="AM171" s="48"/>
      <c r="AN171" s="48"/>
      <c r="AO171" s="48"/>
      <c r="AP171" s="481"/>
      <c r="AQ171" s="481"/>
      <c r="AR171" s="481"/>
      <c r="AS171" s="481"/>
      <c r="AT171" s="481"/>
      <c r="AU171" s="481"/>
      <c r="AV171" s="481"/>
      <c r="AW171" s="481"/>
      <c r="AX171" s="481"/>
      <c r="AY171" s="481"/>
      <c r="AZ171" s="481"/>
      <c r="BA171" s="481"/>
      <c r="BB171" s="481"/>
      <c r="BC171" s="481"/>
      <c r="BD171" s="481"/>
      <c r="BE171" s="481"/>
      <c r="BF171" s="481"/>
      <c r="BG171" s="481"/>
      <c r="BH171" s="481"/>
      <c r="BI171" s="481"/>
      <c r="BJ171" s="481"/>
      <c r="BK171" s="481"/>
      <c r="BL171" s="481"/>
      <c r="BM171" s="481"/>
      <c r="BN171" s="481"/>
      <c r="BO171" s="481"/>
      <c r="BP171" s="481"/>
      <c r="BQ171" s="481"/>
      <c r="BR171" s="481"/>
      <c r="BS171" s="481"/>
      <c r="BT171" s="481"/>
      <c r="BU171" s="481"/>
      <c r="BV171" s="481"/>
      <c r="BW171" s="481"/>
      <c r="BX171" s="481"/>
      <c r="BY171" s="481"/>
      <c r="BZ171" s="481"/>
      <c r="CA171" s="481"/>
      <c r="CB171" s="481"/>
      <c r="CC171" s="481"/>
      <c r="CD171" s="481"/>
      <c r="CE171" s="481"/>
      <c r="CF171" s="481"/>
      <c r="CG171" s="481"/>
      <c r="CH171" s="481"/>
      <c r="CI171" s="481"/>
      <c r="CJ171" s="481"/>
      <c r="CK171" s="481"/>
      <c r="CL171" s="481"/>
      <c r="CM171" s="481"/>
      <c r="CN171" s="481"/>
      <c r="CO171" s="481"/>
      <c r="CP171" s="481"/>
      <c r="CQ171" s="481"/>
      <c r="CR171" s="481"/>
      <c r="CS171" s="481"/>
      <c r="CT171" s="481"/>
      <c r="CU171" s="481"/>
      <c r="CV171" s="481"/>
      <c r="CW171" s="481"/>
      <c r="CX171" s="481"/>
      <c r="CY171" s="481"/>
      <c r="CZ171" s="481"/>
      <c r="DA171" s="481"/>
    </row>
    <row r="172" spans="1:105" ht="13.5" hidden="1" customHeight="1" x14ac:dyDescent="0.2">
      <c r="A172" s="186"/>
      <c r="B172" s="48"/>
      <c r="C172" s="1551" t="str">
        <f t="shared" si="14"/>
        <v>Marzo</v>
      </c>
      <c r="D172" s="1552"/>
      <c r="E172" s="1552"/>
      <c r="F172" s="1553"/>
      <c r="G172" s="136">
        <f t="shared" si="15"/>
        <v>3</v>
      </c>
      <c r="H172" s="228">
        <f t="shared" ref="H172:AI172" si="17">DATE($AH$52,$B159,H159)</f>
        <v>45352</v>
      </c>
      <c r="I172" s="228">
        <f t="shared" si="17"/>
        <v>45353</v>
      </c>
      <c r="J172" s="228">
        <f t="shared" si="17"/>
        <v>45354</v>
      </c>
      <c r="K172" s="228">
        <f t="shared" si="17"/>
        <v>45355</v>
      </c>
      <c r="L172" s="228">
        <f t="shared" si="17"/>
        <v>45356</v>
      </c>
      <c r="M172" s="228">
        <f t="shared" si="17"/>
        <v>45357</v>
      </c>
      <c r="N172" s="228">
        <f t="shared" si="17"/>
        <v>45358</v>
      </c>
      <c r="O172" s="228">
        <f t="shared" si="17"/>
        <v>45359</v>
      </c>
      <c r="P172" s="228">
        <f t="shared" si="13"/>
        <v>45360</v>
      </c>
      <c r="Q172" s="228">
        <f t="shared" si="13"/>
        <v>45361</v>
      </c>
      <c r="R172" s="228">
        <f t="shared" si="13"/>
        <v>45362</v>
      </c>
      <c r="S172" s="228">
        <f t="shared" si="13"/>
        <v>45363</v>
      </c>
      <c r="T172" s="228">
        <f t="shared" si="13"/>
        <v>45364</v>
      </c>
      <c r="U172" s="228">
        <f t="shared" si="13"/>
        <v>45365</v>
      </c>
      <c r="V172" s="228">
        <f t="shared" si="13"/>
        <v>45366</v>
      </c>
      <c r="W172" s="228">
        <f t="shared" si="17"/>
        <v>45367</v>
      </c>
      <c r="X172" s="228">
        <f t="shared" si="17"/>
        <v>45368</v>
      </c>
      <c r="Y172" s="228">
        <f t="shared" si="17"/>
        <v>45369</v>
      </c>
      <c r="Z172" s="228">
        <f t="shared" si="17"/>
        <v>45370</v>
      </c>
      <c r="AA172" s="228">
        <f t="shared" si="17"/>
        <v>45371</v>
      </c>
      <c r="AB172" s="228">
        <f t="shared" si="17"/>
        <v>45372</v>
      </c>
      <c r="AC172" s="228">
        <f t="shared" si="17"/>
        <v>45373</v>
      </c>
      <c r="AD172" s="228">
        <f t="shared" si="17"/>
        <v>45374</v>
      </c>
      <c r="AE172" s="228">
        <f t="shared" si="17"/>
        <v>45375</v>
      </c>
      <c r="AF172" s="228">
        <f t="shared" si="17"/>
        <v>45376</v>
      </c>
      <c r="AG172" s="228">
        <f t="shared" si="17"/>
        <v>45377</v>
      </c>
      <c r="AH172" s="228">
        <f t="shared" si="17"/>
        <v>45378</v>
      </c>
      <c r="AI172" s="228">
        <f t="shared" si="17"/>
        <v>45379</v>
      </c>
      <c r="AJ172" s="228">
        <f>DATE($AH$52,$B159,AJ159)</f>
        <v>45380</v>
      </c>
      <c r="AK172" s="228">
        <f>DATE($AH$52,$B159,AK159)</f>
        <v>45381</v>
      </c>
      <c r="AL172" s="228">
        <f>DATE($AH$52,$B159,AL159)</f>
        <v>45382</v>
      </c>
      <c r="AM172" s="48"/>
      <c r="AN172" s="48"/>
      <c r="AO172" s="48"/>
      <c r="AP172" s="481"/>
      <c r="AQ172" s="481"/>
      <c r="AR172" s="481"/>
      <c r="AS172" s="481"/>
      <c r="AT172" s="481"/>
      <c r="AU172" s="481"/>
      <c r="AV172" s="481"/>
      <c r="AW172" s="481"/>
      <c r="AX172" s="481"/>
      <c r="AY172" s="481"/>
      <c r="AZ172" s="481"/>
      <c r="BA172" s="481"/>
      <c r="BB172" s="481"/>
      <c r="BC172" s="481"/>
      <c r="BD172" s="481"/>
      <c r="BE172" s="481"/>
      <c r="BF172" s="481"/>
      <c r="BG172" s="481"/>
      <c r="BH172" s="481"/>
      <c r="BI172" s="481"/>
      <c r="BJ172" s="481"/>
      <c r="BK172" s="481"/>
      <c r="BL172" s="481"/>
      <c r="BM172" s="481"/>
      <c r="BN172" s="481"/>
      <c r="BO172" s="481"/>
      <c r="BP172" s="481"/>
      <c r="BQ172" s="481"/>
      <c r="BR172" s="481"/>
      <c r="BS172" s="481"/>
      <c r="BT172" s="481"/>
      <c r="BU172" s="481"/>
      <c r="BV172" s="481"/>
      <c r="BW172" s="481"/>
      <c r="BX172" s="481"/>
      <c r="BY172" s="481"/>
      <c r="BZ172" s="481"/>
      <c r="CA172" s="481"/>
      <c r="CB172" s="481"/>
      <c r="CC172" s="481"/>
      <c r="CD172" s="481"/>
      <c r="CE172" s="481"/>
      <c r="CF172" s="481"/>
      <c r="CG172" s="481"/>
      <c r="CH172" s="481"/>
      <c r="CI172" s="481"/>
      <c r="CJ172" s="481"/>
      <c r="CK172" s="481"/>
      <c r="CL172" s="481"/>
      <c r="CM172" s="481"/>
      <c r="CN172" s="481"/>
      <c r="CO172" s="481"/>
      <c r="CP172" s="481"/>
      <c r="CQ172" s="481"/>
      <c r="CR172" s="481"/>
      <c r="CS172" s="481"/>
      <c r="CT172" s="481"/>
      <c r="CU172" s="481"/>
      <c r="CV172" s="481"/>
      <c r="CW172" s="481"/>
      <c r="CX172" s="481"/>
      <c r="CY172" s="481"/>
      <c r="CZ172" s="481"/>
      <c r="DA172" s="481"/>
    </row>
    <row r="173" spans="1:105" ht="13.5" hidden="1" customHeight="1" x14ac:dyDescent="0.2">
      <c r="A173" s="186"/>
      <c r="B173" s="48"/>
      <c r="C173" s="1551" t="str">
        <f t="shared" si="14"/>
        <v>Aprile</v>
      </c>
      <c r="D173" s="1552"/>
      <c r="E173" s="1552"/>
      <c r="F173" s="1553"/>
      <c r="G173" s="136">
        <f t="shared" si="15"/>
        <v>4</v>
      </c>
      <c r="H173" s="228">
        <f t="shared" ref="H173:AI173" si="18">DATE($AH$52,$B160,H160)</f>
        <v>45383</v>
      </c>
      <c r="I173" s="228">
        <f t="shared" si="18"/>
        <v>45384</v>
      </c>
      <c r="J173" s="228">
        <f t="shared" si="18"/>
        <v>45385</v>
      </c>
      <c r="K173" s="228">
        <f t="shared" si="18"/>
        <v>45386</v>
      </c>
      <c r="L173" s="228">
        <f t="shared" si="18"/>
        <v>45387</v>
      </c>
      <c r="M173" s="228">
        <f t="shared" si="18"/>
        <v>45388</v>
      </c>
      <c r="N173" s="228">
        <f t="shared" si="18"/>
        <v>45389</v>
      </c>
      <c r="O173" s="228">
        <f t="shared" si="18"/>
        <v>45390</v>
      </c>
      <c r="P173" s="228">
        <f t="shared" si="13"/>
        <v>45391</v>
      </c>
      <c r="Q173" s="228">
        <f t="shared" si="13"/>
        <v>45392</v>
      </c>
      <c r="R173" s="228">
        <f t="shared" si="13"/>
        <v>45393</v>
      </c>
      <c r="S173" s="228">
        <f t="shared" si="13"/>
        <v>45394</v>
      </c>
      <c r="T173" s="228">
        <f t="shared" si="13"/>
        <v>45395</v>
      </c>
      <c r="U173" s="228">
        <f t="shared" si="13"/>
        <v>45396</v>
      </c>
      <c r="V173" s="228">
        <f t="shared" si="13"/>
        <v>45397</v>
      </c>
      <c r="W173" s="228">
        <f t="shared" si="18"/>
        <v>45398</v>
      </c>
      <c r="X173" s="228">
        <f t="shared" si="18"/>
        <v>45399</v>
      </c>
      <c r="Y173" s="228">
        <f t="shared" si="18"/>
        <v>45400</v>
      </c>
      <c r="Z173" s="228">
        <f t="shared" si="18"/>
        <v>45401</v>
      </c>
      <c r="AA173" s="228">
        <f t="shared" si="18"/>
        <v>45402</v>
      </c>
      <c r="AB173" s="228">
        <f t="shared" si="18"/>
        <v>45403</v>
      </c>
      <c r="AC173" s="228">
        <f t="shared" si="18"/>
        <v>45404</v>
      </c>
      <c r="AD173" s="228">
        <f t="shared" si="18"/>
        <v>45405</v>
      </c>
      <c r="AE173" s="228">
        <f t="shared" si="18"/>
        <v>45406</v>
      </c>
      <c r="AF173" s="228">
        <f t="shared" si="18"/>
        <v>45407</v>
      </c>
      <c r="AG173" s="228">
        <f t="shared" si="18"/>
        <v>45408</v>
      </c>
      <c r="AH173" s="228">
        <f t="shared" si="18"/>
        <v>45409</v>
      </c>
      <c r="AI173" s="228">
        <f t="shared" si="18"/>
        <v>45410</v>
      </c>
      <c r="AJ173" s="228">
        <f t="shared" ref="AJ173:AK181" si="19">DATE($AH$52,$B160,AJ160)</f>
        <v>45411</v>
      </c>
      <c r="AK173" s="228">
        <f t="shared" si="19"/>
        <v>45412</v>
      </c>
      <c r="AL173" s="230"/>
      <c r="AM173" s="48"/>
      <c r="AN173" s="48"/>
      <c r="AO173" s="48"/>
      <c r="AP173" s="481"/>
      <c r="AQ173" s="481"/>
      <c r="AR173" s="481"/>
      <c r="AS173" s="481"/>
      <c r="AT173" s="481"/>
      <c r="AU173" s="481"/>
      <c r="AV173" s="481"/>
      <c r="AW173" s="481"/>
      <c r="AX173" s="481"/>
      <c r="AY173" s="481"/>
      <c r="AZ173" s="481"/>
      <c r="BA173" s="481"/>
      <c r="BB173" s="481"/>
      <c r="BC173" s="481"/>
      <c r="BD173" s="481"/>
      <c r="BE173" s="481"/>
      <c r="BF173" s="481"/>
      <c r="BG173" s="481"/>
      <c r="BH173" s="481"/>
      <c r="BI173" s="481"/>
      <c r="BJ173" s="481"/>
      <c r="BK173" s="481"/>
      <c r="BL173" s="481"/>
      <c r="BM173" s="481"/>
      <c r="BN173" s="481"/>
      <c r="BO173" s="481"/>
      <c r="BP173" s="481"/>
      <c r="BQ173" s="481"/>
      <c r="BR173" s="481"/>
      <c r="BS173" s="481"/>
      <c r="BT173" s="481"/>
      <c r="BU173" s="481"/>
      <c r="BV173" s="481"/>
      <c r="BW173" s="481"/>
      <c r="BX173" s="481"/>
      <c r="BY173" s="481"/>
      <c r="BZ173" s="481"/>
      <c r="CA173" s="481"/>
      <c r="CB173" s="481"/>
      <c r="CC173" s="481"/>
      <c r="CD173" s="481"/>
      <c r="CE173" s="481"/>
      <c r="CF173" s="481"/>
      <c r="CG173" s="481"/>
      <c r="CH173" s="481"/>
      <c r="CI173" s="481"/>
      <c r="CJ173" s="481"/>
      <c r="CK173" s="481"/>
      <c r="CL173" s="481"/>
      <c r="CM173" s="481"/>
      <c r="CN173" s="481"/>
      <c r="CO173" s="481"/>
      <c r="CP173" s="481"/>
      <c r="CQ173" s="481"/>
      <c r="CR173" s="481"/>
      <c r="CS173" s="481"/>
      <c r="CT173" s="481"/>
      <c r="CU173" s="481"/>
      <c r="CV173" s="481"/>
      <c r="CW173" s="481"/>
      <c r="CX173" s="481"/>
      <c r="CY173" s="481"/>
      <c r="CZ173" s="481"/>
      <c r="DA173" s="481"/>
    </row>
    <row r="174" spans="1:105" ht="13.5" hidden="1" customHeight="1" x14ac:dyDescent="0.2">
      <c r="A174" s="186"/>
      <c r="B174" s="48"/>
      <c r="C174" s="1551" t="str">
        <f t="shared" si="14"/>
        <v>Maggio</v>
      </c>
      <c r="D174" s="1552"/>
      <c r="E174" s="1552"/>
      <c r="F174" s="1553"/>
      <c r="G174" s="136">
        <f t="shared" si="15"/>
        <v>5</v>
      </c>
      <c r="H174" s="228">
        <f t="shared" ref="H174:AI174" si="20">DATE($AH$52,$B161,H161)</f>
        <v>45413</v>
      </c>
      <c r="I174" s="228">
        <f t="shared" si="20"/>
        <v>45414</v>
      </c>
      <c r="J174" s="228">
        <f t="shared" si="20"/>
        <v>45415</v>
      </c>
      <c r="K174" s="228">
        <f t="shared" si="20"/>
        <v>45416</v>
      </c>
      <c r="L174" s="228">
        <f t="shared" si="20"/>
        <v>45417</v>
      </c>
      <c r="M174" s="228">
        <f t="shared" si="20"/>
        <v>45418</v>
      </c>
      <c r="N174" s="228">
        <f t="shared" si="20"/>
        <v>45419</v>
      </c>
      <c r="O174" s="228">
        <f t="shared" si="20"/>
        <v>45420</v>
      </c>
      <c r="P174" s="228">
        <f t="shared" si="13"/>
        <v>45421</v>
      </c>
      <c r="Q174" s="228">
        <f t="shared" si="13"/>
        <v>45422</v>
      </c>
      <c r="R174" s="228">
        <f t="shared" si="13"/>
        <v>45423</v>
      </c>
      <c r="S174" s="228">
        <f t="shared" si="13"/>
        <v>45424</v>
      </c>
      <c r="T174" s="228">
        <f t="shared" si="13"/>
        <v>45425</v>
      </c>
      <c r="U174" s="228">
        <f t="shared" si="13"/>
        <v>45426</v>
      </c>
      <c r="V174" s="228">
        <f t="shared" si="13"/>
        <v>45427</v>
      </c>
      <c r="W174" s="228">
        <f t="shared" si="20"/>
        <v>45428</v>
      </c>
      <c r="X174" s="228">
        <f t="shared" si="20"/>
        <v>45429</v>
      </c>
      <c r="Y174" s="228">
        <f t="shared" si="20"/>
        <v>45430</v>
      </c>
      <c r="Z174" s="228">
        <f t="shared" si="20"/>
        <v>45431</v>
      </c>
      <c r="AA174" s="228">
        <f t="shared" si="20"/>
        <v>45432</v>
      </c>
      <c r="AB174" s="228">
        <f t="shared" si="20"/>
        <v>45433</v>
      </c>
      <c r="AC174" s="228">
        <f t="shared" si="20"/>
        <v>45434</v>
      </c>
      <c r="AD174" s="228">
        <f t="shared" si="20"/>
        <v>45435</v>
      </c>
      <c r="AE174" s="228">
        <f t="shared" si="20"/>
        <v>45436</v>
      </c>
      <c r="AF174" s="228">
        <f t="shared" si="20"/>
        <v>45437</v>
      </c>
      <c r="AG174" s="228">
        <f t="shared" si="20"/>
        <v>45438</v>
      </c>
      <c r="AH174" s="228">
        <f t="shared" si="20"/>
        <v>45439</v>
      </c>
      <c r="AI174" s="228">
        <f t="shared" si="20"/>
        <v>45440</v>
      </c>
      <c r="AJ174" s="228">
        <f t="shared" si="19"/>
        <v>45441</v>
      </c>
      <c r="AK174" s="228">
        <f t="shared" si="19"/>
        <v>45442</v>
      </c>
      <c r="AL174" s="228">
        <f>DATE($AH$52,$B161,AL161)</f>
        <v>45443</v>
      </c>
      <c r="AM174" s="48"/>
      <c r="AN174" s="48"/>
      <c r="AO174" s="48"/>
      <c r="AP174" s="481"/>
      <c r="AQ174" s="481"/>
      <c r="AR174" s="481"/>
      <c r="AS174" s="481"/>
      <c r="AT174" s="481"/>
      <c r="AU174" s="481"/>
      <c r="AV174" s="481"/>
      <c r="AW174" s="481"/>
      <c r="AX174" s="481"/>
      <c r="AY174" s="481"/>
      <c r="AZ174" s="481"/>
      <c r="BA174" s="481"/>
      <c r="BB174" s="481"/>
      <c r="BC174" s="481"/>
      <c r="BD174" s="481"/>
      <c r="BE174" s="481"/>
      <c r="BF174" s="481"/>
      <c r="BG174" s="481"/>
      <c r="BH174" s="481"/>
      <c r="BI174" s="481"/>
      <c r="BJ174" s="481"/>
      <c r="BK174" s="481"/>
      <c r="BL174" s="481"/>
      <c r="BM174" s="481"/>
      <c r="BN174" s="481"/>
      <c r="BO174" s="481"/>
      <c r="BP174" s="481"/>
      <c r="BQ174" s="481"/>
      <c r="BR174" s="481"/>
      <c r="BS174" s="481"/>
      <c r="BT174" s="481"/>
      <c r="BU174" s="481"/>
      <c r="BV174" s="481"/>
      <c r="BW174" s="481"/>
      <c r="BX174" s="481"/>
      <c r="BY174" s="481"/>
      <c r="BZ174" s="481"/>
      <c r="CA174" s="481"/>
      <c r="CB174" s="481"/>
      <c r="CC174" s="481"/>
      <c r="CD174" s="481"/>
      <c r="CE174" s="481"/>
      <c r="CF174" s="481"/>
      <c r="CG174" s="481"/>
      <c r="CH174" s="481"/>
      <c r="CI174" s="481"/>
      <c r="CJ174" s="481"/>
      <c r="CK174" s="481"/>
      <c r="CL174" s="481"/>
      <c r="CM174" s="481"/>
      <c r="CN174" s="481"/>
      <c r="CO174" s="481"/>
      <c r="CP174" s="481"/>
      <c r="CQ174" s="481"/>
      <c r="CR174" s="481"/>
      <c r="CS174" s="481"/>
      <c r="CT174" s="481"/>
      <c r="CU174" s="481"/>
      <c r="CV174" s="481"/>
      <c r="CW174" s="481"/>
      <c r="CX174" s="481"/>
      <c r="CY174" s="481"/>
      <c r="CZ174" s="481"/>
      <c r="DA174" s="481"/>
    </row>
    <row r="175" spans="1:105" ht="13.5" hidden="1" customHeight="1" x14ac:dyDescent="0.2">
      <c r="A175" s="186"/>
      <c r="B175" s="48"/>
      <c r="C175" s="1551" t="str">
        <f t="shared" si="14"/>
        <v>Giugno</v>
      </c>
      <c r="D175" s="1552"/>
      <c r="E175" s="1552"/>
      <c r="F175" s="1553"/>
      <c r="G175" s="136">
        <f t="shared" si="15"/>
        <v>6</v>
      </c>
      <c r="H175" s="228">
        <f t="shared" ref="H175:AI175" si="21">DATE($AH$52,$B162,H162)</f>
        <v>45444</v>
      </c>
      <c r="I175" s="228">
        <f t="shared" si="21"/>
        <v>45445</v>
      </c>
      <c r="J175" s="228">
        <f t="shared" si="21"/>
        <v>45446</v>
      </c>
      <c r="K175" s="228">
        <f t="shared" si="21"/>
        <v>45447</v>
      </c>
      <c r="L175" s="228">
        <f t="shared" si="21"/>
        <v>45448</v>
      </c>
      <c r="M175" s="228">
        <f t="shared" si="21"/>
        <v>45449</v>
      </c>
      <c r="N175" s="228">
        <f t="shared" si="21"/>
        <v>45450</v>
      </c>
      <c r="O175" s="228">
        <f t="shared" si="21"/>
        <v>45451</v>
      </c>
      <c r="P175" s="228">
        <f t="shared" si="13"/>
        <v>45452</v>
      </c>
      <c r="Q175" s="228">
        <f t="shared" si="13"/>
        <v>45453</v>
      </c>
      <c r="R175" s="228">
        <f t="shared" si="13"/>
        <v>45454</v>
      </c>
      <c r="S175" s="228">
        <f t="shared" si="13"/>
        <v>45455</v>
      </c>
      <c r="T175" s="228">
        <f t="shared" si="13"/>
        <v>45456</v>
      </c>
      <c r="U175" s="228">
        <f t="shared" si="13"/>
        <v>45457</v>
      </c>
      <c r="V175" s="228">
        <f t="shared" si="13"/>
        <v>45458</v>
      </c>
      <c r="W175" s="228">
        <f t="shared" si="21"/>
        <v>45459</v>
      </c>
      <c r="X175" s="228">
        <f t="shared" si="21"/>
        <v>45460</v>
      </c>
      <c r="Y175" s="228">
        <f t="shared" si="21"/>
        <v>45461</v>
      </c>
      <c r="Z175" s="228">
        <f t="shared" si="21"/>
        <v>45462</v>
      </c>
      <c r="AA175" s="228">
        <f t="shared" si="21"/>
        <v>45463</v>
      </c>
      <c r="AB175" s="228">
        <f t="shared" si="21"/>
        <v>45464</v>
      </c>
      <c r="AC175" s="228">
        <f t="shared" si="21"/>
        <v>45465</v>
      </c>
      <c r="AD175" s="228">
        <f t="shared" si="21"/>
        <v>45466</v>
      </c>
      <c r="AE175" s="228">
        <f t="shared" si="21"/>
        <v>45467</v>
      </c>
      <c r="AF175" s="228">
        <f t="shared" si="21"/>
        <v>45468</v>
      </c>
      <c r="AG175" s="228">
        <f t="shared" si="21"/>
        <v>45469</v>
      </c>
      <c r="AH175" s="228">
        <f t="shared" si="21"/>
        <v>45470</v>
      </c>
      <c r="AI175" s="228">
        <f t="shared" si="21"/>
        <v>45471</v>
      </c>
      <c r="AJ175" s="228">
        <f t="shared" si="19"/>
        <v>45472</v>
      </c>
      <c r="AK175" s="228">
        <f t="shared" si="19"/>
        <v>45473</v>
      </c>
      <c r="AL175" s="230"/>
      <c r="AM175" s="48"/>
      <c r="AN175" s="48"/>
      <c r="AO175" s="48"/>
      <c r="AP175" s="481"/>
      <c r="AQ175" s="481"/>
      <c r="AR175" s="481"/>
      <c r="AS175" s="481"/>
      <c r="AT175" s="481"/>
      <c r="AU175" s="481"/>
      <c r="AV175" s="481"/>
      <c r="AW175" s="481"/>
      <c r="AX175" s="481"/>
      <c r="AY175" s="481"/>
      <c r="AZ175" s="481"/>
      <c r="BA175" s="481"/>
      <c r="BB175" s="481"/>
      <c r="BC175" s="481"/>
      <c r="BD175" s="481"/>
      <c r="BE175" s="481"/>
      <c r="BF175" s="481"/>
      <c r="BG175" s="481"/>
      <c r="BH175" s="481"/>
      <c r="BI175" s="481"/>
      <c r="BJ175" s="481"/>
      <c r="BK175" s="481"/>
      <c r="BL175" s="481"/>
      <c r="BM175" s="481"/>
      <c r="BN175" s="481"/>
      <c r="BO175" s="481"/>
      <c r="BP175" s="481"/>
      <c r="BQ175" s="481"/>
      <c r="BR175" s="481"/>
      <c r="BS175" s="481"/>
      <c r="BT175" s="481"/>
      <c r="BU175" s="481"/>
      <c r="BV175" s="481"/>
      <c r="BW175" s="481"/>
      <c r="BX175" s="481"/>
      <c r="BY175" s="481"/>
      <c r="BZ175" s="481"/>
      <c r="CA175" s="481"/>
      <c r="CB175" s="481"/>
      <c r="CC175" s="481"/>
      <c r="CD175" s="481"/>
      <c r="CE175" s="481"/>
      <c r="CF175" s="481"/>
      <c r="CG175" s="481"/>
      <c r="CH175" s="481"/>
      <c r="CI175" s="481"/>
      <c r="CJ175" s="481"/>
      <c r="CK175" s="481"/>
      <c r="CL175" s="481"/>
      <c r="CM175" s="481"/>
      <c r="CN175" s="481"/>
      <c r="CO175" s="481"/>
      <c r="CP175" s="481"/>
      <c r="CQ175" s="481"/>
      <c r="CR175" s="481"/>
      <c r="CS175" s="481"/>
      <c r="CT175" s="481"/>
      <c r="CU175" s="481"/>
      <c r="CV175" s="481"/>
      <c r="CW175" s="481"/>
      <c r="CX175" s="481"/>
      <c r="CY175" s="481"/>
      <c r="CZ175" s="481"/>
      <c r="DA175" s="481"/>
    </row>
    <row r="176" spans="1:105" ht="13.5" hidden="1" customHeight="1" x14ac:dyDescent="0.2">
      <c r="A176" s="186"/>
      <c r="B176" s="48"/>
      <c r="C176" s="1551" t="str">
        <f t="shared" si="14"/>
        <v>Luglio</v>
      </c>
      <c r="D176" s="1552"/>
      <c r="E176" s="1552"/>
      <c r="F176" s="1553"/>
      <c r="G176" s="136">
        <f t="shared" si="15"/>
        <v>7</v>
      </c>
      <c r="H176" s="228">
        <f t="shared" ref="H176:AI176" si="22">DATE($AH$52,$B163,H163)</f>
        <v>45474</v>
      </c>
      <c r="I176" s="228">
        <f t="shared" si="22"/>
        <v>45475</v>
      </c>
      <c r="J176" s="228">
        <f t="shared" si="22"/>
        <v>45476</v>
      </c>
      <c r="K176" s="228">
        <f t="shared" si="22"/>
        <v>45477</v>
      </c>
      <c r="L176" s="228">
        <f t="shared" si="22"/>
        <v>45478</v>
      </c>
      <c r="M176" s="228">
        <f t="shared" si="22"/>
        <v>45479</v>
      </c>
      <c r="N176" s="228">
        <f t="shared" si="22"/>
        <v>45480</v>
      </c>
      <c r="O176" s="228">
        <f t="shared" si="22"/>
        <v>45481</v>
      </c>
      <c r="P176" s="228">
        <f t="shared" si="13"/>
        <v>45482</v>
      </c>
      <c r="Q176" s="228">
        <f t="shared" si="13"/>
        <v>45483</v>
      </c>
      <c r="R176" s="228">
        <f t="shared" si="13"/>
        <v>45484</v>
      </c>
      <c r="S176" s="228">
        <f t="shared" si="13"/>
        <v>45485</v>
      </c>
      <c r="T176" s="228">
        <f t="shared" si="13"/>
        <v>45486</v>
      </c>
      <c r="U176" s="228">
        <f t="shared" si="13"/>
        <v>45487</v>
      </c>
      <c r="V176" s="228">
        <f t="shared" si="13"/>
        <v>45488</v>
      </c>
      <c r="W176" s="228">
        <f t="shared" si="22"/>
        <v>45489</v>
      </c>
      <c r="X176" s="228">
        <f t="shared" si="22"/>
        <v>45490</v>
      </c>
      <c r="Y176" s="228">
        <f t="shared" si="22"/>
        <v>45491</v>
      </c>
      <c r="Z176" s="228">
        <f t="shared" si="22"/>
        <v>45492</v>
      </c>
      <c r="AA176" s="228">
        <f t="shared" si="22"/>
        <v>45493</v>
      </c>
      <c r="AB176" s="228">
        <f t="shared" si="22"/>
        <v>45494</v>
      </c>
      <c r="AC176" s="228">
        <f t="shared" si="22"/>
        <v>45495</v>
      </c>
      <c r="AD176" s="228">
        <f t="shared" si="22"/>
        <v>45496</v>
      </c>
      <c r="AE176" s="228">
        <f t="shared" si="22"/>
        <v>45497</v>
      </c>
      <c r="AF176" s="228">
        <f t="shared" si="22"/>
        <v>45498</v>
      </c>
      <c r="AG176" s="228">
        <f t="shared" si="22"/>
        <v>45499</v>
      </c>
      <c r="AH176" s="228">
        <f t="shared" si="22"/>
        <v>45500</v>
      </c>
      <c r="AI176" s="228">
        <f t="shared" si="22"/>
        <v>45501</v>
      </c>
      <c r="AJ176" s="228">
        <f t="shared" si="19"/>
        <v>45502</v>
      </c>
      <c r="AK176" s="228">
        <f t="shared" si="19"/>
        <v>45503</v>
      </c>
      <c r="AL176" s="228">
        <f>DATE($AH$52,$B163,AL163)</f>
        <v>45504</v>
      </c>
      <c r="AM176" s="48"/>
      <c r="AN176" s="48"/>
      <c r="AO176" s="48"/>
      <c r="AP176" s="481"/>
      <c r="AQ176" s="481"/>
      <c r="AR176" s="481"/>
      <c r="AS176" s="481"/>
      <c r="AT176" s="481"/>
      <c r="AU176" s="481"/>
      <c r="AV176" s="481"/>
      <c r="AW176" s="481"/>
      <c r="AX176" s="481"/>
      <c r="AY176" s="481"/>
      <c r="AZ176" s="481"/>
      <c r="BA176" s="481"/>
      <c r="BB176" s="481"/>
      <c r="BC176" s="481"/>
      <c r="BD176" s="481"/>
      <c r="BE176" s="481"/>
      <c r="BF176" s="481"/>
      <c r="BG176" s="481"/>
      <c r="BH176" s="481"/>
      <c r="BI176" s="481"/>
      <c r="BJ176" s="481"/>
      <c r="BK176" s="481"/>
      <c r="BL176" s="481"/>
      <c r="BM176" s="481"/>
      <c r="BN176" s="481"/>
      <c r="BO176" s="481"/>
      <c r="BP176" s="481"/>
      <c r="BQ176" s="481"/>
      <c r="BR176" s="481"/>
      <c r="BS176" s="481"/>
      <c r="BT176" s="481"/>
      <c r="BU176" s="481"/>
      <c r="BV176" s="481"/>
      <c r="BW176" s="481"/>
      <c r="BX176" s="481"/>
      <c r="BY176" s="481"/>
      <c r="BZ176" s="481"/>
      <c r="CA176" s="481"/>
      <c r="CB176" s="481"/>
      <c r="CC176" s="481"/>
      <c r="CD176" s="481"/>
      <c r="CE176" s="481"/>
      <c r="CF176" s="481"/>
      <c r="CG176" s="481"/>
      <c r="CH176" s="481"/>
      <c r="CI176" s="481"/>
      <c r="CJ176" s="481"/>
      <c r="CK176" s="481"/>
      <c r="CL176" s="481"/>
      <c r="CM176" s="481"/>
      <c r="CN176" s="481"/>
      <c r="CO176" s="481"/>
      <c r="CP176" s="481"/>
      <c r="CQ176" s="481"/>
      <c r="CR176" s="481"/>
      <c r="CS176" s="481"/>
      <c r="CT176" s="481"/>
      <c r="CU176" s="481"/>
      <c r="CV176" s="481"/>
      <c r="CW176" s="481"/>
      <c r="CX176" s="481"/>
      <c r="CY176" s="481"/>
      <c r="CZ176" s="481"/>
      <c r="DA176" s="481"/>
    </row>
    <row r="177" spans="1:105" ht="13.5" hidden="1" customHeight="1" x14ac:dyDescent="0.2">
      <c r="A177" s="186"/>
      <c r="B177" s="48"/>
      <c r="C177" s="1551" t="str">
        <f t="shared" si="14"/>
        <v>Agosto</v>
      </c>
      <c r="D177" s="1552"/>
      <c r="E177" s="1552"/>
      <c r="F177" s="1553"/>
      <c r="G177" s="136">
        <f t="shared" si="15"/>
        <v>8</v>
      </c>
      <c r="H177" s="228">
        <f t="shared" ref="H177:AI177" si="23">DATE($AH$52,$B164,H164)</f>
        <v>45505</v>
      </c>
      <c r="I177" s="228">
        <f t="shared" si="23"/>
        <v>45506</v>
      </c>
      <c r="J177" s="228">
        <f t="shared" si="23"/>
        <v>45507</v>
      </c>
      <c r="K177" s="228">
        <f t="shared" si="23"/>
        <v>45508</v>
      </c>
      <c r="L177" s="228">
        <f t="shared" si="23"/>
        <v>45509</v>
      </c>
      <c r="M177" s="228">
        <f t="shared" si="23"/>
        <v>45510</v>
      </c>
      <c r="N177" s="228">
        <f t="shared" si="23"/>
        <v>45511</v>
      </c>
      <c r="O177" s="228">
        <f t="shared" si="23"/>
        <v>45512</v>
      </c>
      <c r="P177" s="228">
        <f t="shared" si="13"/>
        <v>45513</v>
      </c>
      <c r="Q177" s="228">
        <f t="shared" si="13"/>
        <v>45514</v>
      </c>
      <c r="R177" s="228">
        <f t="shared" si="13"/>
        <v>45515</v>
      </c>
      <c r="S177" s="228">
        <f t="shared" si="13"/>
        <v>45516</v>
      </c>
      <c r="T177" s="228">
        <f t="shared" si="13"/>
        <v>45517</v>
      </c>
      <c r="U177" s="228">
        <f t="shared" si="13"/>
        <v>45518</v>
      </c>
      <c r="V177" s="228">
        <f t="shared" si="13"/>
        <v>45519</v>
      </c>
      <c r="W177" s="228">
        <f t="shared" si="23"/>
        <v>45520</v>
      </c>
      <c r="X177" s="228">
        <f t="shared" si="23"/>
        <v>45521</v>
      </c>
      <c r="Y177" s="228">
        <f t="shared" si="23"/>
        <v>45522</v>
      </c>
      <c r="Z177" s="228">
        <f t="shared" si="23"/>
        <v>45523</v>
      </c>
      <c r="AA177" s="228">
        <f t="shared" si="23"/>
        <v>45524</v>
      </c>
      <c r="AB177" s="228">
        <f t="shared" si="23"/>
        <v>45525</v>
      </c>
      <c r="AC177" s="228">
        <f t="shared" si="23"/>
        <v>45526</v>
      </c>
      <c r="AD177" s="228">
        <f t="shared" si="23"/>
        <v>45527</v>
      </c>
      <c r="AE177" s="228">
        <f t="shared" si="23"/>
        <v>45528</v>
      </c>
      <c r="AF177" s="228">
        <f t="shared" si="23"/>
        <v>45529</v>
      </c>
      <c r="AG177" s="228">
        <f t="shared" si="23"/>
        <v>45530</v>
      </c>
      <c r="AH177" s="228">
        <f t="shared" si="23"/>
        <v>45531</v>
      </c>
      <c r="AI177" s="228">
        <f t="shared" si="23"/>
        <v>45532</v>
      </c>
      <c r="AJ177" s="228">
        <f t="shared" si="19"/>
        <v>45533</v>
      </c>
      <c r="AK177" s="228">
        <f t="shared" si="19"/>
        <v>45534</v>
      </c>
      <c r="AL177" s="228">
        <f>DATE($AH$52,$B164,AL164)</f>
        <v>45535</v>
      </c>
      <c r="AM177" s="48"/>
      <c r="AN177" s="48"/>
      <c r="AO177" s="48"/>
      <c r="AP177" s="481"/>
      <c r="AQ177" s="481"/>
      <c r="AR177" s="481"/>
      <c r="AS177" s="481"/>
      <c r="AT177" s="481"/>
      <c r="AU177" s="481"/>
      <c r="AV177" s="481"/>
      <c r="AW177" s="481"/>
      <c r="AX177" s="481"/>
      <c r="AY177" s="481"/>
      <c r="AZ177" s="481"/>
      <c r="BA177" s="481"/>
      <c r="BB177" s="481"/>
      <c r="BC177" s="481"/>
      <c r="BD177" s="481"/>
      <c r="BE177" s="481"/>
      <c r="BF177" s="481"/>
      <c r="BG177" s="481"/>
      <c r="BH177" s="481"/>
      <c r="BI177" s="481"/>
      <c r="BJ177" s="481"/>
      <c r="BK177" s="481"/>
      <c r="BL177" s="481"/>
      <c r="BM177" s="481"/>
      <c r="BN177" s="481"/>
      <c r="BO177" s="481"/>
      <c r="BP177" s="481"/>
      <c r="BQ177" s="481"/>
      <c r="BR177" s="481"/>
      <c r="BS177" s="481"/>
      <c r="BT177" s="481"/>
      <c r="BU177" s="481"/>
      <c r="BV177" s="481"/>
      <c r="BW177" s="481"/>
      <c r="BX177" s="481"/>
      <c r="BY177" s="481"/>
      <c r="BZ177" s="481"/>
      <c r="CA177" s="481"/>
      <c r="CB177" s="481"/>
      <c r="CC177" s="481"/>
      <c r="CD177" s="481"/>
      <c r="CE177" s="481"/>
      <c r="CF177" s="481"/>
      <c r="CG177" s="481"/>
      <c r="CH177" s="481"/>
      <c r="CI177" s="481"/>
      <c r="CJ177" s="481"/>
      <c r="CK177" s="481"/>
      <c r="CL177" s="481"/>
      <c r="CM177" s="481"/>
      <c r="CN177" s="481"/>
      <c r="CO177" s="481"/>
      <c r="CP177" s="481"/>
      <c r="CQ177" s="481"/>
      <c r="CR177" s="481"/>
      <c r="CS177" s="481"/>
      <c r="CT177" s="481"/>
      <c r="CU177" s="481"/>
      <c r="CV177" s="481"/>
      <c r="CW177" s="481"/>
      <c r="CX177" s="481"/>
      <c r="CY177" s="481"/>
      <c r="CZ177" s="481"/>
      <c r="DA177" s="481"/>
    </row>
    <row r="178" spans="1:105" ht="13.5" hidden="1" customHeight="1" x14ac:dyDescent="0.2">
      <c r="A178" s="186"/>
      <c r="B178" s="48"/>
      <c r="C178" s="1551" t="str">
        <f t="shared" si="14"/>
        <v>Settembre</v>
      </c>
      <c r="D178" s="1552"/>
      <c r="E178" s="1552"/>
      <c r="F178" s="1553"/>
      <c r="G178" s="136">
        <f t="shared" si="15"/>
        <v>9</v>
      </c>
      <c r="H178" s="228">
        <f t="shared" ref="H178:AI178" si="24">DATE($AH$52,$B165,H165)</f>
        <v>45536</v>
      </c>
      <c r="I178" s="228">
        <f t="shared" si="24"/>
        <v>45537</v>
      </c>
      <c r="J178" s="228">
        <f t="shared" si="24"/>
        <v>45538</v>
      </c>
      <c r="K178" s="228">
        <f t="shared" si="24"/>
        <v>45539</v>
      </c>
      <c r="L178" s="228">
        <f t="shared" si="24"/>
        <v>45540</v>
      </c>
      <c r="M178" s="228">
        <f t="shared" si="24"/>
        <v>45541</v>
      </c>
      <c r="N178" s="228">
        <f t="shared" si="24"/>
        <v>45542</v>
      </c>
      <c r="O178" s="228">
        <f t="shared" si="24"/>
        <v>45543</v>
      </c>
      <c r="P178" s="228">
        <f t="shared" si="13"/>
        <v>45544</v>
      </c>
      <c r="Q178" s="228">
        <f t="shared" si="13"/>
        <v>45545</v>
      </c>
      <c r="R178" s="228">
        <f t="shared" si="13"/>
        <v>45546</v>
      </c>
      <c r="S178" s="228">
        <f t="shared" si="13"/>
        <v>45547</v>
      </c>
      <c r="T178" s="228">
        <f t="shared" si="13"/>
        <v>45548</v>
      </c>
      <c r="U178" s="228">
        <f t="shared" si="13"/>
        <v>45549</v>
      </c>
      <c r="V178" s="228">
        <f t="shared" si="13"/>
        <v>45550</v>
      </c>
      <c r="W178" s="228">
        <f t="shared" si="24"/>
        <v>45551</v>
      </c>
      <c r="X178" s="228">
        <f t="shared" si="24"/>
        <v>45552</v>
      </c>
      <c r="Y178" s="228">
        <f t="shared" si="24"/>
        <v>45553</v>
      </c>
      <c r="Z178" s="228">
        <f t="shared" si="24"/>
        <v>45554</v>
      </c>
      <c r="AA178" s="228">
        <f t="shared" si="24"/>
        <v>45555</v>
      </c>
      <c r="AB178" s="228">
        <f t="shared" si="24"/>
        <v>45556</v>
      </c>
      <c r="AC178" s="228">
        <f t="shared" si="24"/>
        <v>45557</v>
      </c>
      <c r="AD178" s="228">
        <f t="shared" si="24"/>
        <v>45558</v>
      </c>
      <c r="AE178" s="228">
        <f t="shared" si="24"/>
        <v>45559</v>
      </c>
      <c r="AF178" s="228">
        <f t="shared" si="24"/>
        <v>45560</v>
      </c>
      <c r="AG178" s="228">
        <f t="shared" si="24"/>
        <v>45561</v>
      </c>
      <c r="AH178" s="228">
        <f t="shared" si="24"/>
        <v>45562</v>
      </c>
      <c r="AI178" s="228">
        <f t="shared" si="24"/>
        <v>45563</v>
      </c>
      <c r="AJ178" s="228">
        <f t="shared" si="19"/>
        <v>45564</v>
      </c>
      <c r="AK178" s="228">
        <f t="shared" si="19"/>
        <v>45565</v>
      </c>
      <c r="AL178" s="230"/>
      <c r="AM178" s="48"/>
      <c r="AN178" s="48"/>
      <c r="AO178" s="48"/>
      <c r="AP178" s="481"/>
      <c r="AQ178" s="481"/>
      <c r="AR178" s="481"/>
      <c r="AS178" s="481"/>
      <c r="AT178" s="481"/>
      <c r="AU178" s="481"/>
      <c r="AV178" s="481"/>
      <c r="AW178" s="481"/>
      <c r="AX178" s="481"/>
      <c r="AY178" s="481"/>
      <c r="AZ178" s="481"/>
      <c r="BA178" s="481"/>
      <c r="BB178" s="481"/>
      <c r="BC178" s="481"/>
      <c r="BD178" s="481"/>
      <c r="BE178" s="481"/>
      <c r="BF178" s="481"/>
      <c r="BG178" s="481"/>
      <c r="BH178" s="481"/>
      <c r="BI178" s="481"/>
      <c r="BJ178" s="481"/>
      <c r="BK178" s="481"/>
      <c r="BL178" s="481"/>
      <c r="BM178" s="481"/>
      <c r="BN178" s="481"/>
      <c r="BO178" s="481"/>
      <c r="BP178" s="481"/>
      <c r="BQ178" s="481"/>
      <c r="BR178" s="481"/>
      <c r="BS178" s="481"/>
      <c r="BT178" s="481"/>
      <c r="BU178" s="481"/>
      <c r="BV178" s="481"/>
      <c r="BW178" s="481"/>
      <c r="BX178" s="481"/>
      <c r="BY178" s="481"/>
      <c r="BZ178" s="481"/>
      <c r="CA178" s="481"/>
      <c r="CB178" s="481"/>
      <c r="CC178" s="481"/>
      <c r="CD178" s="481"/>
      <c r="CE178" s="481"/>
      <c r="CF178" s="481"/>
      <c r="CG178" s="481"/>
      <c r="CH178" s="481"/>
      <c r="CI178" s="481"/>
      <c r="CJ178" s="481"/>
      <c r="CK178" s="481"/>
      <c r="CL178" s="481"/>
      <c r="CM178" s="481"/>
      <c r="CN178" s="481"/>
      <c r="CO178" s="481"/>
      <c r="CP178" s="481"/>
      <c r="CQ178" s="481"/>
      <c r="CR178" s="481"/>
      <c r="CS178" s="481"/>
      <c r="CT178" s="481"/>
      <c r="CU178" s="481"/>
      <c r="CV178" s="481"/>
      <c r="CW178" s="481"/>
      <c r="CX178" s="481"/>
      <c r="CY178" s="481"/>
      <c r="CZ178" s="481"/>
      <c r="DA178" s="481"/>
    </row>
    <row r="179" spans="1:105" ht="13.5" hidden="1" customHeight="1" x14ac:dyDescent="0.2">
      <c r="A179" s="186"/>
      <c r="B179" s="48"/>
      <c r="C179" s="1551" t="str">
        <f t="shared" si="14"/>
        <v>Ottobre</v>
      </c>
      <c r="D179" s="1552"/>
      <c r="E179" s="1552"/>
      <c r="F179" s="1553"/>
      <c r="G179" s="136">
        <f t="shared" si="15"/>
        <v>10</v>
      </c>
      <c r="H179" s="228">
        <f t="shared" ref="H179:AI179" si="25">DATE($AH$52,$B166,H166)</f>
        <v>45566</v>
      </c>
      <c r="I179" s="228">
        <f t="shared" si="25"/>
        <v>45567</v>
      </c>
      <c r="J179" s="228">
        <f t="shared" si="25"/>
        <v>45568</v>
      </c>
      <c r="K179" s="228">
        <f t="shared" si="25"/>
        <v>45569</v>
      </c>
      <c r="L179" s="228">
        <f t="shared" si="25"/>
        <v>45570</v>
      </c>
      <c r="M179" s="228">
        <f t="shared" si="25"/>
        <v>45571</v>
      </c>
      <c r="N179" s="228">
        <f t="shared" si="25"/>
        <v>45572</v>
      </c>
      <c r="O179" s="228">
        <f t="shared" si="25"/>
        <v>45573</v>
      </c>
      <c r="P179" s="228">
        <f t="shared" si="13"/>
        <v>45574</v>
      </c>
      <c r="Q179" s="228">
        <f t="shared" si="13"/>
        <v>45575</v>
      </c>
      <c r="R179" s="228">
        <f t="shared" si="13"/>
        <v>45576</v>
      </c>
      <c r="S179" s="228">
        <f t="shared" si="13"/>
        <v>45577</v>
      </c>
      <c r="T179" s="228">
        <f t="shared" si="13"/>
        <v>45578</v>
      </c>
      <c r="U179" s="228">
        <f t="shared" si="13"/>
        <v>45579</v>
      </c>
      <c r="V179" s="228">
        <f t="shared" si="13"/>
        <v>45580</v>
      </c>
      <c r="W179" s="228">
        <f t="shared" si="25"/>
        <v>45581</v>
      </c>
      <c r="X179" s="228">
        <f t="shared" si="25"/>
        <v>45582</v>
      </c>
      <c r="Y179" s="228">
        <f t="shared" si="25"/>
        <v>45583</v>
      </c>
      <c r="Z179" s="228">
        <f t="shared" si="25"/>
        <v>45584</v>
      </c>
      <c r="AA179" s="228">
        <f t="shared" si="25"/>
        <v>45585</v>
      </c>
      <c r="AB179" s="228">
        <f t="shared" si="25"/>
        <v>45586</v>
      </c>
      <c r="AC179" s="228">
        <f t="shared" si="25"/>
        <v>45587</v>
      </c>
      <c r="AD179" s="228">
        <f t="shared" si="25"/>
        <v>45588</v>
      </c>
      <c r="AE179" s="228">
        <f t="shared" si="25"/>
        <v>45589</v>
      </c>
      <c r="AF179" s="228">
        <f t="shared" si="25"/>
        <v>45590</v>
      </c>
      <c r="AG179" s="228">
        <f t="shared" si="25"/>
        <v>45591</v>
      </c>
      <c r="AH179" s="228">
        <f t="shared" si="25"/>
        <v>45592</v>
      </c>
      <c r="AI179" s="228">
        <f t="shared" si="25"/>
        <v>45593</v>
      </c>
      <c r="AJ179" s="228">
        <f t="shared" si="19"/>
        <v>45594</v>
      </c>
      <c r="AK179" s="228">
        <f t="shared" si="19"/>
        <v>45595</v>
      </c>
      <c r="AL179" s="228">
        <f>DATE($AH$52,$B166,AL166)</f>
        <v>45596</v>
      </c>
      <c r="AM179" s="48"/>
      <c r="AN179" s="48"/>
      <c r="AO179" s="48"/>
      <c r="AP179" s="481"/>
      <c r="AQ179" s="481"/>
      <c r="AR179" s="481"/>
      <c r="AS179" s="481"/>
      <c r="AT179" s="481"/>
      <c r="AU179" s="481"/>
      <c r="AV179" s="481"/>
      <c r="AW179" s="481"/>
      <c r="AX179" s="481"/>
      <c r="AY179" s="481"/>
      <c r="AZ179" s="481"/>
      <c r="BA179" s="481"/>
      <c r="BB179" s="481"/>
      <c r="BC179" s="481"/>
      <c r="BD179" s="481"/>
      <c r="BE179" s="481"/>
      <c r="BF179" s="481"/>
      <c r="BG179" s="481"/>
      <c r="BH179" s="481"/>
      <c r="BI179" s="481"/>
      <c r="BJ179" s="481"/>
      <c r="BK179" s="481"/>
      <c r="BL179" s="481"/>
      <c r="BM179" s="481"/>
      <c r="BN179" s="481"/>
      <c r="BO179" s="481"/>
      <c r="BP179" s="481"/>
      <c r="BQ179" s="481"/>
      <c r="BR179" s="481"/>
      <c r="BS179" s="481"/>
      <c r="BT179" s="481"/>
      <c r="BU179" s="481"/>
      <c r="BV179" s="481"/>
      <c r="BW179" s="481"/>
      <c r="BX179" s="481"/>
      <c r="BY179" s="481"/>
      <c r="BZ179" s="481"/>
      <c r="CA179" s="481"/>
      <c r="CB179" s="481"/>
      <c r="CC179" s="481"/>
      <c r="CD179" s="481"/>
      <c r="CE179" s="481"/>
      <c r="CF179" s="481"/>
      <c r="CG179" s="481"/>
      <c r="CH179" s="481"/>
      <c r="CI179" s="481"/>
      <c r="CJ179" s="481"/>
      <c r="CK179" s="481"/>
      <c r="CL179" s="481"/>
      <c r="CM179" s="481"/>
      <c r="CN179" s="481"/>
      <c r="CO179" s="481"/>
      <c r="CP179" s="481"/>
      <c r="CQ179" s="481"/>
      <c r="CR179" s="481"/>
      <c r="CS179" s="481"/>
      <c r="CT179" s="481"/>
      <c r="CU179" s="481"/>
      <c r="CV179" s="481"/>
      <c r="CW179" s="481"/>
      <c r="CX179" s="481"/>
      <c r="CY179" s="481"/>
      <c r="CZ179" s="481"/>
      <c r="DA179" s="481"/>
    </row>
    <row r="180" spans="1:105" ht="13.5" hidden="1" customHeight="1" x14ac:dyDescent="0.2">
      <c r="A180" s="186"/>
      <c r="B180" s="48"/>
      <c r="C180" s="1551" t="str">
        <f t="shared" si="14"/>
        <v>Novembre</v>
      </c>
      <c r="D180" s="1552"/>
      <c r="E180" s="1552"/>
      <c r="F180" s="1553"/>
      <c r="G180" s="136">
        <f t="shared" si="15"/>
        <v>11</v>
      </c>
      <c r="H180" s="228">
        <f t="shared" ref="H180:AI180" si="26">DATE($AH$52,$B167,H167)</f>
        <v>45597</v>
      </c>
      <c r="I180" s="228">
        <f t="shared" si="26"/>
        <v>45598</v>
      </c>
      <c r="J180" s="228">
        <f t="shared" si="26"/>
        <v>45599</v>
      </c>
      <c r="K180" s="228">
        <f t="shared" si="26"/>
        <v>45600</v>
      </c>
      <c r="L180" s="228">
        <f t="shared" si="26"/>
        <v>45601</v>
      </c>
      <c r="M180" s="228">
        <f t="shared" si="26"/>
        <v>45602</v>
      </c>
      <c r="N180" s="228">
        <f t="shared" si="26"/>
        <v>45603</v>
      </c>
      <c r="O180" s="228">
        <f t="shared" si="26"/>
        <v>45604</v>
      </c>
      <c r="P180" s="228">
        <f t="shared" si="13"/>
        <v>45605</v>
      </c>
      <c r="Q180" s="228">
        <f t="shared" si="13"/>
        <v>45606</v>
      </c>
      <c r="R180" s="228">
        <f t="shared" si="13"/>
        <v>45607</v>
      </c>
      <c r="S180" s="228">
        <f t="shared" si="13"/>
        <v>45608</v>
      </c>
      <c r="T180" s="228">
        <f t="shared" si="13"/>
        <v>45609</v>
      </c>
      <c r="U180" s="228">
        <f t="shared" si="13"/>
        <v>45610</v>
      </c>
      <c r="V180" s="228">
        <f t="shared" si="13"/>
        <v>45611</v>
      </c>
      <c r="W180" s="228">
        <f t="shared" si="26"/>
        <v>45612</v>
      </c>
      <c r="X180" s="228">
        <f t="shared" si="26"/>
        <v>45613</v>
      </c>
      <c r="Y180" s="228">
        <f t="shared" si="26"/>
        <v>45614</v>
      </c>
      <c r="Z180" s="228">
        <f t="shared" si="26"/>
        <v>45615</v>
      </c>
      <c r="AA180" s="228">
        <f t="shared" si="26"/>
        <v>45616</v>
      </c>
      <c r="AB180" s="228">
        <f t="shared" si="26"/>
        <v>45617</v>
      </c>
      <c r="AC180" s="228">
        <f t="shared" si="26"/>
        <v>45618</v>
      </c>
      <c r="AD180" s="228">
        <f t="shared" si="26"/>
        <v>45619</v>
      </c>
      <c r="AE180" s="228">
        <f t="shared" si="26"/>
        <v>45620</v>
      </c>
      <c r="AF180" s="228">
        <f t="shared" si="26"/>
        <v>45621</v>
      </c>
      <c r="AG180" s="228">
        <f t="shared" si="26"/>
        <v>45622</v>
      </c>
      <c r="AH180" s="228">
        <f t="shared" si="26"/>
        <v>45623</v>
      </c>
      <c r="AI180" s="228">
        <f t="shared" si="26"/>
        <v>45624</v>
      </c>
      <c r="AJ180" s="228">
        <f t="shared" si="19"/>
        <v>45625</v>
      </c>
      <c r="AK180" s="228">
        <f t="shared" si="19"/>
        <v>45626</v>
      </c>
      <c r="AL180" s="230"/>
      <c r="AM180" s="48"/>
      <c r="AN180" s="48"/>
      <c r="AO180" s="48"/>
      <c r="AP180" s="481"/>
      <c r="AQ180" s="481"/>
      <c r="AR180" s="481"/>
      <c r="AS180" s="481"/>
      <c r="AT180" s="481"/>
      <c r="AU180" s="481"/>
      <c r="AV180" s="481"/>
      <c r="AW180" s="481"/>
      <c r="AX180" s="481"/>
      <c r="AY180" s="481"/>
      <c r="AZ180" s="481"/>
      <c r="BA180" s="481"/>
      <c r="BB180" s="481"/>
      <c r="BC180" s="481"/>
      <c r="BD180" s="481"/>
      <c r="BE180" s="481"/>
      <c r="BF180" s="481"/>
      <c r="BG180" s="481"/>
      <c r="BH180" s="481"/>
      <c r="BI180" s="481"/>
      <c r="BJ180" s="481"/>
      <c r="BK180" s="481"/>
      <c r="BL180" s="481"/>
      <c r="BM180" s="481"/>
      <c r="BN180" s="481"/>
      <c r="BO180" s="481"/>
      <c r="BP180" s="481"/>
      <c r="BQ180" s="481"/>
      <c r="BR180" s="481"/>
      <c r="BS180" s="481"/>
      <c r="BT180" s="481"/>
      <c r="BU180" s="481"/>
      <c r="BV180" s="481"/>
      <c r="BW180" s="481"/>
      <c r="BX180" s="481"/>
      <c r="BY180" s="481"/>
      <c r="BZ180" s="481"/>
      <c r="CA180" s="481"/>
      <c r="CB180" s="481"/>
      <c r="CC180" s="481"/>
      <c r="CD180" s="481"/>
      <c r="CE180" s="481"/>
      <c r="CF180" s="481"/>
      <c r="CG180" s="481"/>
      <c r="CH180" s="481"/>
      <c r="CI180" s="481"/>
      <c r="CJ180" s="481"/>
      <c r="CK180" s="481"/>
      <c r="CL180" s="481"/>
      <c r="CM180" s="481"/>
      <c r="CN180" s="481"/>
      <c r="CO180" s="481"/>
      <c r="CP180" s="481"/>
      <c r="CQ180" s="481"/>
      <c r="CR180" s="481"/>
      <c r="CS180" s="481"/>
      <c r="CT180" s="481"/>
      <c r="CU180" s="481"/>
      <c r="CV180" s="481"/>
      <c r="CW180" s="481"/>
      <c r="CX180" s="481"/>
      <c r="CY180" s="481"/>
      <c r="CZ180" s="481"/>
      <c r="DA180" s="481"/>
    </row>
    <row r="181" spans="1:105" ht="13.5" hidden="1" customHeight="1" x14ac:dyDescent="0.2">
      <c r="A181" s="186"/>
      <c r="B181" s="48"/>
      <c r="C181" s="1551" t="str">
        <f t="shared" si="14"/>
        <v>Dicembre</v>
      </c>
      <c r="D181" s="1552"/>
      <c r="E181" s="1552"/>
      <c r="F181" s="1553"/>
      <c r="G181" s="136">
        <f t="shared" si="15"/>
        <v>12</v>
      </c>
      <c r="H181" s="228">
        <f t="shared" ref="H181:AI181" si="27">DATE($AH$52,$B168,H168)</f>
        <v>45627</v>
      </c>
      <c r="I181" s="228">
        <f t="shared" si="27"/>
        <v>45628</v>
      </c>
      <c r="J181" s="228">
        <f t="shared" si="27"/>
        <v>45629</v>
      </c>
      <c r="K181" s="228">
        <f t="shared" si="27"/>
        <v>45630</v>
      </c>
      <c r="L181" s="228">
        <f t="shared" si="27"/>
        <v>45631</v>
      </c>
      <c r="M181" s="228">
        <f t="shared" si="27"/>
        <v>45632</v>
      </c>
      <c r="N181" s="228">
        <f t="shared" si="27"/>
        <v>45633</v>
      </c>
      <c r="O181" s="228">
        <f t="shared" si="27"/>
        <v>45634</v>
      </c>
      <c r="P181" s="228">
        <f t="shared" si="13"/>
        <v>45635</v>
      </c>
      <c r="Q181" s="228">
        <f t="shared" si="13"/>
        <v>45636</v>
      </c>
      <c r="R181" s="228">
        <f t="shared" si="13"/>
        <v>45637</v>
      </c>
      <c r="S181" s="228">
        <f t="shared" si="13"/>
        <v>45638</v>
      </c>
      <c r="T181" s="228">
        <f t="shared" si="13"/>
        <v>45639</v>
      </c>
      <c r="U181" s="228">
        <f t="shared" si="13"/>
        <v>45640</v>
      </c>
      <c r="V181" s="228">
        <f t="shared" si="13"/>
        <v>45641</v>
      </c>
      <c r="W181" s="228">
        <f t="shared" si="27"/>
        <v>45642</v>
      </c>
      <c r="X181" s="228">
        <f t="shared" si="27"/>
        <v>45643</v>
      </c>
      <c r="Y181" s="228">
        <f t="shared" si="27"/>
        <v>45644</v>
      </c>
      <c r="Z181" s="228">
        <f t="shared" si="27"/>
        <v>45645</v>
      </c>
      <c r="AA181" s="228">
        <f t="shared" si="27"/>
        <v>45646</v>
      </c>
      <c r="AB181" s="228">
        <f t="shared" si="27"/>
        <v>45647</v>
      </c>
      <c r="AC181" s="228">
        <f t="shared" si="27"/>
        <v>45648</v>
      </c>
      <c r="AD181" s="228">
        <f t="shared" si="27"/>
        <v>45649</v>
      </c>
      <c r="AE181" s="228">
        <f t="shared" si="27"/>
        <v>45650</v>
      </c>
      <c r="AF181" s="228">
        <f t="shared" si="27"/>
        <v>45651</v>
      </c>
      <c r="AG181" s="228">
        <f t="shared" si="27"/>
        <v>45652</v>
      </c>
      <c r="AH181" s="228">
        <f t="shared" si="27"/>
        <v>45653</v>
      </c>
      <c r="AI181" s="228">
        <f t="shared" si="27"/>
        <v>45654</v>
      </c>
      <c r="AJ181" s="228">
        <f t="shared" si="19"/>
        <v>45655</v>
      </c>
      <c r="AK181" s="228">
        <f t="shared" si="19"/>
        <v>45656</v>
      </c>
      <c r="AL181" s="228">
        <f>DATE($AH$52,$B168,AL168)</f>
        <v>45657</v>
      </c>
      <c r="AM181" s="48"/>
      <c r="AN181" s="48"/>
      <c r="AO181" s="48"/>
      <c r="AP181" s="481"/>
      <c r="AQ181" s="481"/>
      <c r="AR181" s="481"/>
      <c r="AS181" s="481"/>
      <c r="AT181" s="481"/>
      <c r="AU181" s="481"/>
      <c r="AV181" s="481"/>
      <c r="AW181" s="481"/>
      <c r="AX181" s="481"/>
      <c r="AY181" s="481"/>
      <c r="AZ181" s="481"/>
      <c r="BA181" s="481"/>
      <c r="BB181" s="481"/>
      <c r="BC181" s="481"/>
      <c r="BD181" s="481"/>
      <c r="BE181" s="481"/>
      <c r="BF181" s="481"/>
      <c r="BG181" s="481"/>
      <c r="BH181" s="481"/>
      <c r="BI181" s="481"/>
      <c r="BJ181" s="481"/>
      <c r="BK181" s="481"/>
      <c r="BL181" s="481"/>
      <c r="BM181" s="481"/>
      <c r="BN181" s="481"/>
      <c r="BO181" s="481"/>
      <c r="BP181" s="481"/>
      <c r="BQ181" s="481"/>
      <c r="BR181" s="481"/>
      <c r="BS181" s="481"/>
      <c r="BT181" s="481"/>
      <c r="BU181" s="481"/>
      <c r="BV181" s="481"/>
      <c r="BW181" s="481"/>
      <c r="BX181" s="481"/>
      <c r="BY181" s="481"/>
      <c r="BZ181" s="481"/>
      <c r="CA181" s="481"/>
      <c r="CB181" s="481"/>
      <c r="CC181" s="481"/>
      <c r="CD181" s="481"/>
      <c r="CE181" s="481"/>
      <c r="CF181" s="481"/>
      <c r="CG181" s="481"/>
      <c r="CH181" s="481"/>
      <c r="CI181" s="481"/>
      <c r="CJ181" s="481"/>
      <c r="CK181" s="481"/>
      <c r="CL181" s="481"/>
      <c r="CM181" s="481"/>
      <c r="CN181" s="481"/>
      <c r="CO181" s="481"/>
      <c r="CP181" s="481"/>
      <c r="CQ181" s="481"/>
      <c r="CR181" s="481"/>
      <c r="CS181" s="481"/>
      <c r="CT181" s="481"/>
      <c r="CU181" s="481"/>
      <c r="CV181" s="481"/>
      <c r="CW181" s="481"/>
      <c r="CX181" s="481"/>
      <c r="CY181" s="481"/>
      <c r="CZ181" s="481"/>
      <c r="DA181" s="481"/>
    </row>
    <row r="182" spans="1:105" ht="14.25" hidden="1" customHeight="1" x14ac:dyDescent="0.2">
      <c r="A182" s="186"/>
      <c r="B182" s="186"/>
      <c r="C182" s="186"/>
      <c r="D182" s="186"/>
      <c r="E182" s="186"/>
      <c r="F182" s="186"/>
      <c r="G182" s="186"/>
      <c r="H182" s="186"/>
      <c r="I182" s="186"/>
      <c r="J182" s="186"/>
      <c r="K182" s="186"/>
      <c r="L182" s="186"/>
      <c r="M182" s="186"/>
      <c r="N182" s="186"/>
      <c r="O182" s="186"/>
      <c r="P182" s="186"/>
      <c r="Q182" s="186"/>
      <c r="R182" s="186"/>
      <c r="S182" s="186"/>
      <c r="T182" s="186"/>
      <c r="U182" s="186"/>
      <c r="V182" s="186"/>
      <c r="W182" s="186"/>
      <c r="X182" s="186"/>
      <c r="Y182" s="186"/>
      <c r="Z182" s="186"/>
      <c r="AA182" s="186"/>
      <c r="AB182" s="186"/>
      <c r="AC182" s="186"/>
      <c r="AD182" s="48"/>
      <c r="AE182" s="48"/>
      <c r="AF182" s="48"/>
      <c r="AG182" s="48"/>
      <c r="AH182" s="48"/>
      <c r="AI182" s="48"/>
      <c r="AJ182" s="48"/>
      <c r="AK182" s="48"/>
      <c r="AL182" s="48"/>
      <c r="AM182" s="48"/>
      <c r="AN182" s="48"/>
      <c r="AO182" s="48"/>
      <c r="AP182" s="481"/>
      <c r="AQ182" s="481"/>
      <c r="AR182" s="481"/>
      <c r="AS182" s="481"/>
      <c r="AT182" s="481"/>
      <c r="AU182" s="481"/>
      <c r="AV182" s="481"/>
      <c r="AW182" s="481"/>
      <c r="AX182" s="481"/>
      <c r="AY182" s="481"/>
      <c r="AZ182" s="481"/>
      <c r="BA182" s="481"/>
      <c r="BB182" s="481"/>
      <c r="BC182" s="481"/>
      <c r="BD182" s="481"/>
      <c r="BE182" s="481"/>
      <c r="BF182" s="481"/>
      <c r="BG182" s="481"/>
      <c r="BH182" s="481"/>
      <c r="BI182" s="481"/>
      <c r="BJ182" s="481"/>
      <c r="BK182" s="481"/>
      <c r="BL182" s="481"/>
      <c r="BM182" s="481"/>
      <c r="BN182" s="481"/>
      <c r="BO182" s="481"/>
      <c r="BP182" s="481"/>
      <c r="BQ182" s="481"/>
      <c r="BR182" s="481"/>
      <c r="BS182" s="481"/>
      <c r="BT182" s="481"/>
      <c r="BU182" s="481"/>
      <c r="BV182" s="481"/>
      <c r="BW182" s="481"/>
      <c r="BX182" s="481"/>
      <c r="BY182" s="481"/>
      <c r="BZ182" s="481"/>
      <c r="CA182" s="481"/>
      <c r="CB182" s="481"/>
      <c r="CC182" s="481"/>
      <c r="CD182" s="481"/>
      <c r="CE182" s="481"/>
      <c r="CF182" s="481"/>
      <c r="CG182" s="481"/>
      <c r="CH182" s="481"/>
      <c r="CI182" s="481"/>
      <c r="CJ182" s="481"/>
      <c r="CK182" s="481"/>
      <c r="CL182" s="481"/>
      <c r="CM182" s="481"/>
      <c r="CN182" s="481"/>
      <c r="CO182" s="481"/>
      <c r="CP182" s="481"/>
      <c r="CQ182" s="481"/>
      <c r="CR182" s="481"/>
      <c r="CS182" s="481"/>
      <c r="CT182" s="481"/>
      <c r="CU182" s="481"/>
      <c r="CV182" s="481"/>
      <c r="CW182" s="481"/>
      <c r="CX182" s="481"/>
      <c r="CY182" s="481"/>
      <c r="CZ182" s="481"/>
      <c r="DA182" s="481"/>
    </row>
    <row r="183" spans="1:105" ht="14.25" hidden="1" customHeight="1" x14ac:dyDescent="0.2">
      <c r="A183" s="186"/>
      <c r="B183" s="186"/>
      <c r="C183" s="186"/>
      <c r="D183" s="186"/>
      <c r="E183" s="186"/>
      <c r="F183" s="186"/>
      <c r="G183" s="186"/>
      <c r="H183" s="186"/>
      <c r="I183" s="186"/>
      <c r="J183" s="186"/>
      <c r="K183" s="186"/>
      <c r="L183" s="186"/>
      <c r="M183" s="186"/>
      <c r="N183" s="186"/>
      <c r="O183" s="246">
        <v>1</v>
      </c>
      <c r="P183" s="246">
        <v>2</v>
      </c>
      <c r="Q183" s="246">
        <v>3</v>
      </c>
      <c r="R183" s="246">
        <v>4</v>
      </c>
      <c r="S183" s="246">
        <v>5</v>
      </c>
      <c r="T183" s="246">
        <v>6</v>
      </c>
      <c r="U183" s="246">
        <v>7</v>
      </c>
      <c r="V183" s="246">
        <v>8</v>
      </c>
      <c r="W183" s="246">
        <v>9</v>
      </c>
      <c r="X183" s="246">
        <v>10</v>
      </c>
      <c r="Y183" s="246">
        <v>11</v>
      </c>
      <c r="Z183" s="246">
        <v>12</v>
      </c>
      <c r="AA183" s="186"/>
      <c r="AB183" s="1706" t="str">
        <f>IF(J94="","",CONCATENATE(T96,"-",T97,"-",T98))</f>
        <v/>
      </c>
      <c r="AC183" s="1706"/>
      <c r="AD183" s="1706"/>
      <c r="AE183" s="1706" t="str">
        <f>IF(J102="","",CONCATENATE(T104,"-",T105,"-",T106))</f>
        <v/>
      </c>
      <c r="AF183" s="1706"/>
      <c r="AG183" s="1706"/>
      <c r="AH183" s="1706" t="str">
        <f>IF(J110="","",CONCATENATE(T112,"-",T113,"-",T114))</f>
        <v/>
      </c>
      <c r="AI183" s="1706"/>
      <c r="AJ183" s="1706"/>
      <c r="AK183" s="48"/>
      <c r="AL183" s="48"/>
      <c r="AM183" s="48"/>
      <c r="AN183" s="48"/>
      <c r="AO183" s="48"/>
      <c r="AP183" s="481"/>
      <c r="AQ183" s="481"/>
      <c r="AR183" s="481"/>
      <c r="AS183" s="481"/>
      <c r="AT183" s="481"/>
      <c r="AU183" s="481"/>
      <c r="AV183" s="481"/>
      <c r="AW183" s="481"/>
      <c r="AX183" s="481"/>
      <c r="AY183" s="481"/>
      <c r="AZ183" s="481"/>
      <c r="BA183" s="481"/>
      <c r="BB183" s="481"/>
      <c r="BC183" s="481"/>
      <c r="BD183" s="481"/>
      <c r="BE183" s="481"/>
      <c r="BF183" s="481"/>
      <c r="BG183" s="481"/>
      <c r="BH183" s="481"/>
      <c r="BI183" s="481"/>
      <c r="BJ183" s="481"/>
      <c r="BK183" s="481"/>
      <c r="BL183" s="481"/>
      <c r="BM183" s="481"/>
      <c r="BN183" s="481"/>
      <c r="BO183" s="481"/>
      <c r="BP183" s="481"/>
      <c r="BQ183" s="481"/>
      <c r="BR183" s="481"/>
      <c r="BS183" s="481"/>
      <c r="BT183" s="481"/>
      <c r="BU183" s="481"/>
      <c r="BV183" s="481"/>
      <c r="BW183" s="481"/>
      <c r="BX183" s="481"/>
      <c r="BY183" s="481"/>
      <c r="BZ183" s="481"/>
      <c r="CA183" s="481"/>
      <c r="CB183" s="481"/>
      <c r="CC183" s="481"/>
      <c r="CD183" s="481"/>
      <c r="CE183" s="481"/>
      <c r="CF183" s="481"/>
      <c r="CG183" s="481"/>
      <c r="CH183" s="481"/>
      <c r="CI183" s="481"/>
      <c r="CJ183" s="481"/>
      <c r="CK183" s="481"/>
      <c r="CL183" s="481"/>
      <c r="CM183" s="481"/>
      <c r="CN183" s="481"/>
      <c r="CO183" s="481"/>
      <c r="CP183" s="481"/>
      <c r="CQ183" s="481"/>
      <c r="CR183" s="481"/>
      <c r="CS183" s="481"/>
      <c r="CT183" s="481"/>
      <c r="CU183" s="481"/>
      <c r="CV183" s="481"/>
      <c r="CW183" s="481"/>
      <c r="CX183" s="481"/>
      <c r="CY183" s="481"/>
      <c r="CZ183" s="481"/>
      <c r="DA183" s="481"/>
    </row>
    <row r="184" spans="1:105" ht="14.25" hidden="1" customHeight="1" x14ac:dyDescent="0.2">
      <c r="A184" s="186"/>
      <c r="B184" s="186"/>
      <c r="C184" s="1728" t="s">
        <v>436</v>
      </c>
      <c r="D184" s="1729"/>
      <c r="E184" s="1586"/>
      <c r="F184" s="186"/>
      <c r="G184" s="186"/>
      <c r="H184" s="1622" t="str">
        <f>CONCATENATE("I",J94)</f>
        <v>I</v>
      </c>
      <c r="I184" s="1730"/>
      <c r="J184" s="1623"/>
      <c r="K184" s="245">
        <v>2</v>
      </c>
      <c r="L184" s="242">
        <f>IF(AH98=H382,Z99,0)</f>
        <v>0</v>
      </c>
      <c r="M184" s="242">
        <f>IF(AH98=H382,AD99,0)</f>
        <v>0</v>
      </c>
      <c r="N184" s="48"/>
      <c r="O184" s="243">
        <f t="shared" ref="O184:Z186" si="28">IF(OR(ISERROR($L184),ISERROR($M184)),O$183,IF(OR(O$183&lt;$L184,O$183&gt;$M184),O$183,0))</f>
        <v>1</v>
      </c>
      <c r="P184" s="243">
        <f t="shared" si="28"/>
        <v>2</v>
      </c>
      <c r="Q184" s="243">
        <f t="shared" si="28"/>
        <v>3</v>
      </c>
      <c r="R184" s="243">
        <f t="shared" si="28"/>
        <v>4</v>
      </c>
      <c r="S184" s="243">
        <f t="shared" si="28"/>
        <v>5</v>
      </c>
      <c r="T184" s="243">
        <f t="shared" si="28"/>
        <v>6</v>
      </c>
      <c r="U184" s="243">
        <f t="shared" si="28"/>
        <v>7</v>
      </c>
      <c r="V184" s="243">
        <f t="shared" si="28"/>
        <v>8</v>
      </c>
      <c r="W184" s="243">
        <f t="shared" si="28"/>
        <v>9</v>
      </c>
      <c r="X184" s="243">
        <f t="shared" si="28"/>
        <v>10</v>
      </c>
      <c r="Y184" s="243">
        <f t="shared" si="28"/>
        <v>11</v>
      </c>
      <c r="Z184" s="243">
        <f t="shared" si="28"/>
        <v>12</v>
      </c>
      <c r="AA184" s="186"/>
      <c r="AB184" s="1622" t="str">
        <f>H184</f>
        <v>I</v>
      </c>
      <c r="AC184" s="1726"/>
      <c r="AD184" s="1727"/>
      <c r="AE184" s="1622" t="str">
        <f>H185</f>
        <v>II</v>
      </c>
      <c r="AF184" s="1726"/>
      <c r="AG184" s="1727"/>
      <c r="AH184" s="1622" t="str">
        <f>H186</f>
        <v>III</v>
      </c>
      <c r="AI184" s="1726"/>
      <c r="AJ184" s="1727"/>
      <c r="AK184" s="48"/>
      <c r="AL184" s="48"/>
      <c r="AM184" s="48"/>
      <c r="AN184" s="48"/>
      <c r="AO184" s="48"/>
      <c r="AP184" s="481"/>
      <c r="AQ184" s="481"/>
      <c r="AR184" s="481"/>
      <c r="AS184" s="481"/>
      <c r="AT184" s="481"/>
      <c r="AU184" s="481"/>
      <c r="AV184" s="481"/>
      <c r="AW184" s="481"/>
      <c r="AX184" s="481"/>
      <c r="AY184" s="481"/>
      <c r="AZ184" s="481"/>
      <c r="BA184" s="481"/>
      <c r="BB184" s="481"/>
      <c r="BC184" s="481"/>
      <c r="BD184" s="481"/>
      <c r="BE184" s="481"/>
      <c r="BF184" s="481"/>
      <c r="BG184" s="481"/>
      <c r="BH184" s="481"/>
      <c r="BI184" s="481"/>
      <c r="BJ184" s="481"/>
      <c r="BK184" s="481"/>
      <c r="BL184" s="481"/>
      <c r="BM184" s="481"/>
      <c r="BN184" s="481"/>
      <c r="BO184" s="481"/>
      <c r="BP184" s="481"/>
      <c r="BQ184" s="481"/>
      <c r="BR184" s="481"/>
      <c r="BS184" s="481"/>
      <c r="BT184" s="481"/>
      <c r="BU184" s="481"/>
      <c r="BV184" s="481"/>
      <c r="BW184" s="481"/>
      <c r="BX184" s="481"/>
      <c r="BY184" s="481"/>
      <c r="BZ184" s="481"/>
      <c r="CA184" s="481"/>
      <c r="CB184" s="481"/>
      <c r="CC184" s="481"/>
      <c r="CD184" s="481"/>
      <c r="CE184" s="481"/>
      <c r="CF184" s="481"/>
      <c r="CG184" s="481"/>
      <c r="CH184" s="481"/>
      <c r="CI184" s="481"/>
      <c r="CJ184" s="481"/>
      <c r="CK184" s="481"/>
      <c r="CL184" s="481"/>
      <c r="CM184" s="481"/>
      <c r="CN184" s="481"/>
      <c r="CO184" s="481"/>
      <c r="CP184" s="481"/>
      <c r="CQ184" s="481"/>
      <c r="CR184" s="481"/>
      <c r="CS184" s="481"/>
      <c r="CT184" s="481"/>
      <c r="CU184" s="481"/>
      <c r="CV184" s="481"/>
      <c r="CW184" s="481"/>
      <c r="CX184" s="481"/>
      <c r="CY184" s="481"/>
      <c r="CZ184" s="481"/>
      <c r="DA184" s="481"/>
    </row>
    <row r="185" spans="1:105" ht="14.25" hidden="1" customHeight="1" x14ac:dyDescent="0.2">
      <c r="A185" s="186"/>
      <c r="B185" s="186"/>
      <c r="C185" s="1728" t="s">
        <v>437</v>
      </c>
      <c r="D185" s="1729"/>
      <c r="E185" s="1586"/>
      <c r="F185" s="186"/>
      <c r="G185" s="186"/>
      <c r="H185" s="1622" t="str">
        <f>CONCATENATE("II",J102)</f>
        <v>II</v>
      </c>
      <c r="I185" s="1730"/>
      <c r="J185" s="1623"/>
      <c r="K185" s="245">
        <v>3</v>
      </c>
      <c r="L185" s="242">
        <f>IF(AH106=H382,Z107,0)</f>
        <v>0</v>
      </c>
      <c r="M185" s="242">
        <f>IF(AH106=H382,AD107,0)</f>
        <v>0</v>
      </c>
      <c r="N185" s="48"/>
      <c r="O185" s="243">
        <f t="shared" si="28"/>
        <v>1</v>
      </c>
      <c r="P185" s="243">
        <f t="shared" si="28"/>
        <v>2</v>
      </c>
      <c r="Q185" s="243">
        <f t="shared" si="28"/>
        <v>3</v>
      </c>
      <c r="R185" s="243">
        <f t="shared" si="28"/>
        <v>4</v>
      </c>
      <c r="S185" s="243">
        <f t="shared" si="28"/>
        <v>5</v>
      </c>
      <c r="T185" s="243">
        <f t="shared" si="28"/>
        <v>6</v>
      </c>
      <c r="U185" s="243">
        <f t="shared" si="28"/>
        <v>7</v>
      </c>
      <c r="V185" s="243">
        <f t="shared" si="28"/>
        <v>8</v>
      </c>
      <c r="W185" s="243">
        <f t="shared" si="28"/>
        <v>9</v>
      </c>
      <c r="X185" s="243">
        <f t="shared" si="28"/>
        <v>10</v>
      </c>
      <c r="Y185" s="243">
        <f t="shared" si="28"/>
        <v>11</v>
      </c>
      <c r="Z185" s="243">
        <f t="shared" si="28"/>
        <v>12</v>
      </c>
      <c r="AA185" s="186"/>
      <c r="AB185" s="1616" t="str">
        <f>U96</f>
        <v/>
      </c>
      <c r="AC185" s="1617"/>
      <c r="AD185" s="1618"/>
      <c r="AE185" s="1616" t="str">
        <f>U104</f>
        <v/>
      </c>
      <c r="AF185" s="1617"/>
      <c r="AG185" s="1618"/>
      <c r="AH185" s="1616" t="str">
        <f>U112</f>
        <v/>
      </c>
      <c r="AI185" s="1617"/>
      <c r="AJ185" s="1618"/>
      <c r="AK185" s="48"/>
      <c r="AL185" s="48"/>
      <c r="AM185" s="48"/>
      <c r="AN185" s="48"/>
      <c r="AO185" s="48"/>
      <c r="AP185" s="481"/>
      <c r="AQ185" s="481"/>
      <c r="AR185" s="481"/>
      <c r="AS185" s="481"/>
      <c r="AT185" s="481"/>
      <c r="AU185" s="481"/>
      <c r="AV185" s="481"/>
      <c r="AW185" s="481"/>
      <c r="AX185" s="481"/>
      <c r="AY185" s="481"/>
      <c r="AZ185" s="481"/>
      <c r="BA185" s="481"/>
      <c r="BB185" s="481"/>
      <c r="BC185" s="481"/>
      <c r="BD185" s="481"/>
      <c r="BE185" s="481"/>
      <c r="BF185" s="481"/>
      <c r="BG185" s="481"/>
      <c r="BH185" s="481"/>
      <c r="BI185" s="481"/>
      <c r="BJ185" s="481"/>
      <c r="BK185" s="481"/>
      <c r="BL185" s="481"/>
      <c r="BM185" s="481"/>
      <c r="BN185" s="481"/>
      <c r="BO185" s="481"/>
      <c r="BP185" s="481"/>
      <c r="BQ185" s="481"/>
      <c r="BR185" s="481"/>
      <c r="BS185" s="481"/>
      <c r="BT185" s="481"/>
      <c r="BU185" s="481"/>
      <c r="BV185" s="481"/>
      <c r="BW185" s="481"/>
      <c r="BX185" s="481"/>
      <c r="BY185" s="481"/>
      <c r="BZ185" s="481"/>
      <c r="CA185" s="481"/>
      <c r="CB185" s="481"/>
      <c r="CC185" s="481"/>
      <c r="CD185" s="481"/>
      <c r="CE185" s="481"/>
      <c r="CF185" s="481"/>
      <c r="CG185" s="481"/>
      <c r="CH185" s="481"/>
      <c r="CI185" s="481"/>
      <c r="CJ185" s="481"/>
      <c r="CK185" s="481"/>
      <c r="CL185" s="481"/>
      <c r="CM185" s="481"/>
      <c r="CN185" s="481"/>
      <c r="CO185" s="481"/>
      <c r="CP185" s="481"/>
      <c r="CQ185" s="481"/>
      <c r="CR185" s="481"/>
      <c r="CS185" s="481"/>
      <c r="CT185" s="481"/>
      <c r="CU185" s="481"/>
      <c r="CV185" s="481"/>
      <c r="CW185" s="481"/>
      <c r="CX185" s="481"/>
      <c r="CY185" s="481"/>
      <c r="CZ185" s="481"/>
      <c r="DA185" s="481"/>
    </row>
    <row r="186" spans="1:105" ht="14.25" hidden="1" customHeight="1" x14ac:dyDescent="0.2">
      <c r="A186" s="186"/>
      <c r="B186" s="186"/>
      <c r="C186" s="1728" t="s">
        <v>438</v>
      </c>
      <c r="D186" s="1729"/>
      <c r="E186" s="1586"/>
      <c r="F186" s="186"/>
      <c r="G186" s="186"/>
      <c r="H186" s="1622" t="str">
        <f>CONCATENATE("III",J110)</f>
        <v>III</v>
      </c>
      <c r="I186" s="1730"/>
      <c r="J186" s="1623"/>
      <c r="K186" s="245">
        <v>4</v>
      </c>
      <c r="L186" s="242">
        <f>IF(AH114=H382,Z115,0)</f>
        <v>0</v>
      </c>
      <c r="M186" s="242">
        <f>IF(AH114=H382,AD115,0)</f>
        <v>0</v>
      </c>
      <c r="N186" s="186"/>
      <c r="O186" s="243">
        <f t="shared" si="28"/>
        <v>1</v>
      </c>
      <c r="P186" s="243">
        <f t="shared" si="28"/>
        <v>2</v>
      </c>
      <c r="Q186" s="243">
        <f t="shared" si="28"/>
        <v>3</v>
      </c>
      <c r="R186" s="243">
        <f t="shared" si="28"/>
        <v>4</v>
      </c>
      <c r="S186" s="243">
        <f t="shared" si="28"/>
        <v>5</v>
      </c>
      <c r="T186" s="243">
        <f t="shared" si="28"/>
        <v>6</v>
      </c>
      <c r="U186" s="243">
        <f t="shared" si="28"/>
        <v>7</v>
      </c>
      <c r="V186" s="243">
        <f t="shared" si="28"/>
        <v>8</v>
      </c>
      <c r="W186" s="243">
        <f t="shared" si="28"/>
        <v>9</v>
      </c>
      <c r="X186" s="243">
        <f t="shared" si="28"/>
        <v>10</v>
      </c>
      <c r="Y186" s="243">
        <f t="shared" si="28"/>
        <v>11</v>
      </c>
      <c r="Z186" s="243">
        <f t="shared" si="28"/>
        <v>12</v>
      </c>
      <c r="AA186" s="186"/>
      <c r="AB186" s="1678" t="str">
        <f>U97</f>
        <v/>
      </c>
      <c r="AC186" s="1679"/>
      <c r="AD186" s="1680"/>
      <c r="AE186" s="1678" t="str">
        <f>U105</f>
        <v/>
      </c>
      <c r="AF186" s="1679"/>
      <c r="AG186" s="1680"/>
      <c r="AH186" s="1678" t="str">
        <f>U113</f>
        <v/>
      </c>
      <c r="AI186" s="1679"/>
      <c r="AJ186" s="1680"/>
      <c r="AK186" s="48"/>
      <c r="AL186" s="48"/>
      <c r="AM186" s="48"/>
      <c r="AN186" s="48"/>
      <c r="AO186" s="48"/>
      <c r="AP186" s="481"/>
      <c r="AQ186" s="481"/>
      <c r="AR186" s="481"/>
      <c r="AS186" s="481"/>
      <c r="AT186" s="481"/>
      <c r="AU186" s="481"/>
      <c r="AV186" s="481"/>
      <c r="AW186" s="481"/>
      <c r="AX186" s="481"/>
      <c r="AY186" s="481"/>
      <c r="AZ186" s="481"/>
      <c r="BA186" s="481"/>
      <c r="BB186" s="481"/>
      <c r="BC186" s="481"/>
      <c r="BD186" s="481"/>
      <c r="BE186" s="481"/>
      <c r="BF186" s="481"/>
      <c r="BG186" s="481"/>
      <c r="BH186" s="481"/>
      <c r="BI186" s="481"/>
      <c r="BJ186" s="481"/>
      <c r="BK186" s="481"/>
      <c r="BL186" s="481"/>
      <c r="BM186" s="481"/>
      <c r="BN186" s="481"/>
      <c r="BO186" s="481"/>
      <c r="BP186" s="481"/>
      <c r="BQ186" s="481"/>
      <c r="BR186" s="481"/>
      <c r="BS186" s="481"/>
      <c r="BT186" s="481"/>
      <c r="BU186" s="481"/>
      <c r="BV186" s="481"/>
      <c r="BW186" s="481"/>
      <c r="BX186" s="481"/>
      <c r="BY186" s="481"/>
      <c r="BZ186" s="481"/>
      <c r="CA186" s="481"/>
      <c r="CB186" s="481"/>
      <c r="CC186" s="481"/>
      <c r="CD186" s="481"/>
      <c r="CE186" s="481"/>
      <c r="CF186" s="481"/>
      <c r="CG186" s="481"/>
      <c r="CH186" s="481"/>
      <c r="CI186" s="481"/>
      <c r="CJ186" s="481"/>
      <c r="CK186" s="481"/>
      <c r="CL186" s="481"/>
      <c r="CM186" s="481"/>
      <c r="CN186" s="481"/>
      <c r="CO186" s="481"/>
      <c r="CP186" s="481"/>
      <c r="CQ186" s="481"/>
      <c r="CR186" s="481"/>
      <c r="CS186" s="481"/>
      <c r="CT186" s="481"/>
      <c r="CU186" s="481"/>
      <c r="CV186" s="481"/>
      <c r="CW186" s="481"/>
      <c r="CX186" s="481"/>
      <c r="CY186" s="481"/>
      <c r="CZ186" s="481"/>
      <c r="DA186" s="481"/>
    </row>
    <row r="187" spans="1:105" ht="14.25" hidden="1" customHeight="1" x14ac:dyDescent="0.2">
      <c r="A187" s="186"/>
      <c r="B187" s="186"/>
      <c r="C187" s="1728" t="s">
        <v>439</v>
      </c>
      <c r="D187" s="1729"/>
      <c r="E187" s="1586"/>
      <c r="F187" s="186"/>
      <c r="G187" s="186"/>
      <c r="H187" s="48"/>
      <c r="I187" s="48"/>
      <c r="J187" s="48"/>
      <c r="K187" s="48"/>
      <c r="L187" s="48"/>
      <c r="M187" s="48"/>
      <c r="N187" s="259">
        <f>IF(H186=H184,1,0)</f>
        <v>0</v>
      </c>
      <c r="O187" s="260">
        <f t="shared" ref="O187:Z187" si="29">IF($N187=1,IF(SUM(O184+O186)=0,1,0),0)</f>
        <v>0</v>
      </c>
      <c r="P187" s="260">
        <f t="shared" si="29"/>
        <v>0</v>
      </c>
      <c r="Q187" s="260">
        <f t="shared" si="29"/>
        <v>0</v>
      </c>
      <c r="R187" s="260">
        <f t="shared" si="29"/>
        <v>0</v>
      </c>
      <c r="S187" s="260">
        <f t="shared" si="29"/>
        <v>0</v>
      </c>
      <c r="T187" s="260">
        <f t="shared" si="29"/>
        <v>0</v>
      </c>
      <c r="U187" s="260">
        <f t="shared" si="29"/>
        <v>0</v>
      </c>
      <c r="V187" s="260">
        <f t="shared" si="29"/>
        <v>0</v>
      </c>
      <c r="W187" s="260">
        <f t="shared" si="29"/>
        <v>0</v>
      </c>
      <c r="X187" s="260">
        <f t="shared" si="29"/>
        <v>0</v>
      </c>
      <c r="Y187" s="260">
        <f t="shared" si="29"/>
        <v>0</v>
      </c>
      <c r="Z187" s="260">
        <f t="shared" si="29"/>
        <v>0</v>
      </c>
      <c r="AA187" s="48"/>
      <c r="AB187" s="1619" t="str">
        <f>U98</f>
        <v/>
      </c>
      <c r="AC187" s="1620"/>
      <c r="AD187" s="1621"/>
      <c r="AE187" s="1619" t="str">
        <f>U106</f>
        <v/>
      </c>
      <c r="AF187" s="1620"/>
      <c r="AG187" s="1621"/>
      <c r="AH187" s="1619" t="str">
        <f>U114</f>
        <v/>
      </c>
      <c r="AI187" s="1620"/>
      <c r="AJ187" s="1621"/>
      <c r="AK187" s="48"/>
      <c r="AL187" s="48"/>
      <c r="AM187" s="48"/>
      <c r="AN187" s="48"/>
      <c r="AO187" s="48"/>
      <c r="AP187" s="481"/>
      <c r="AQ187" s="481"/>
      <c r="AR187" s="481"/>
      <c r="AS187" s="481"/>
      <c r="AT187" s="481"/>
      <c r="AU187" s="481"/>
      <c r="AV187" s="481"/>
      <c r="AW187" s="481"/>
      <c r="AX187" s="481"/>
      <c r="AY187" s="481"/>
      <c r="AZ187" s="481"/>
      <c r="BA187" s="481"/>
      <c r="BB187" s="481"/>
      <c r="BC187" s="481"/>
      <c r="BD187" s="481"/>
      <c r="BE187" s="481"/>
      <c r="BF187" s="481"/>
      <c r="BG187" s="481"/>
      <c r="BH187" s="481"/>
      <c r="BI187" s="481"/>
      <c r="BJ187" s="481"/>
      <c r="BK187" s="481"/>
      <c r="BL187" s="481"/>
      <c r="BM187" s="481"/>
      <c r="BN187" s="481"/>
      <c r="BO187" s="481"/>
      <c r="BP187" s="481"/>
      <c r="BQ187" s="481"/>
      <c r="BR187" s="481"/>
      <c r="BS187" s="481"/>
      <c r="BT187" s="481"/>
      <c r="BU187" s="481"/>
      <c r="BV187" s="481"/>
      <c r="BW187" s="481"/>
      <c r="BX187" s="481"/>
      <c r="BY187" s="481"/>
      <c r="BZ187" s="481"/>
      <c r="CA187" s="481"/>
      <c r="CB187" s="481"/>
      <c r="CC187" s="481"/>
      <c r="CD187" s="481"/>
      <c r="CE187" s="481"/>
      <c r="CF187" s="481"/>
      <c r="CG187" s="481"/>
      <c r="CH187" s="481"/>
      <c r="CI187" s="481"/>
      <c r="CJ187" s="481"/>
      <c r="CK187" s="481"/>
      <c r="CL187" s="481"/>
      <c r="CM187" s="481"/>
      <c r="CN187" s="481"/>
      <c r="CO187" s="481"/>
      <c r="CP187" s="481"/>
      <c r="CQ187" s="481"/>
      <c r="CR187" s="481"/>
      <c r="CS187" s="481"/>
      <c r="CT187" s="481"/>
      <c r="CU187" s="481"/>
      <c r="CV187" s="481"/>
      <c r="CW187" s="481"/>
      <c r="CX187" s="481"/>
      <c r="CY187" s="481"/>
      <c r="CZ187" s="481"/>
      <c r="DA187" s="481"/>
    </row>
    <row r="188" spans="1:105" ht="14.25" hidden="1" customHeight="1" x14ac:dyDescent="0.2">
      <c r="A188" s="186"/>
      <c r="B188" s="186"/>
      <c r="C188" s="1728" t="s">
        <v>562</v>
      </c>
      <c r="D188" s="1729"/>
      <c r="E188" s="1586"/>
      <c r="F188" s="186"/>
      <c r="G188" s="186"/>
      <c r="H188" s="48"/>
      <c r="I188" s="48"/>
      <c r="J188" s="48"/>
      <c r="K188" s="48"/>
      <c r="L188" s="1724" t="str">
        <f>UPPER(C152)</f>
        <v>ERROR</v>
      </c>
      <c r="M188" s="1724"/>
      <c r="N188" s="136">
        <f>IF(H184=H185,1,0)</f>
        <v>0</v>
      </c>
      <c r="O188" s="261">
        <f t="shared" ref="O188:Z188" si="30">IF($N188=1,IF(SUM(O184:O185)=0,1,0),0)</f>
        <v>0</v>
      </c>
      <c r="P188" s="261">
        <f t="shared" si="30"/>
        <v>0</v>
      </c>
      <c r="Q188" s="261">
        <f t="shared" si="30"/>
        <v>0</v>
      </c>
      <c r="R188" s="261">
        <f t="shared" si="30"/>
        <v>0</v>
      </c>
      <c r="S188" s="261">
        <f t="shared" si="30"/>
        <v>0</v>
      </c>
      <c r="T188" s="261">
        <f t="shared" si="30"/>
        <v>0</v>
      </c>
      <c r="U188" s="261">
        <f t="shared" si="30"/>
        <v>0</v>
      </c>
      <c r="V188" s="261">
        <f t="shared" si="30"/>
        <v>0</v>
      </c>
      <c r="W188" s="261">
        <f t="shared" si="30"/>
        <v>0</v>
      </c>
      <c r="X188" s="261">
        <f t="shared" si="30"/>
        <v>0</v>
      </c>
      <c r="Y188" s="261">
        <f t="shared" si="30"/>
        <v>0</v>
      </c>
      <c r="Z188" s="261">
        <f t="shared" si="30"/>
        <v>0</v>
      </c>
      <c r="AA188" s="48"/>
      <c r="AB188" s="1725" t="e">
        <f>VLOOKUP(AB183,$B$234:$B$243,1,FALSE)</f>
        <v>#N/A</v>
      </c>
      <c r="AC188" s="1725"/>
      <c r="AD188" s="1725"/>
      <c r="AE188" s="1725" t="str">
        <f>VLOOKUP(AE183,$B$234:$B$246,1,FALSE)</f>
        <v/>
      </c>
      <c r="AF188" s="1725"/>
      <c r="AG188" s="1725"/>
      <c r="AH188" s="1725" t="str">
        <f>VLOOKUP(AH183,$B$234:$B$249,1,FALSE)</f>
        <v/>
      </c>
      <c r="AI188" s="1725"/>
      <c r="AJ188" s="1725"/>
      <c r="AK188" s="48"/>
      <c r="AL188" s="48"/>
      <c r="AM188" s="48"/>
      <c r="AN188" s="48"/>
      <c r="AO188" s="48"/>
      <c r="AP188" s="481"/>
      <c r="AQ188" s="481"/>
      <c r="AR188" s="481"/>
      <c r="AS188" s="481"/>
      <c r="AT188" s="481"/>
      <c r="AU188" s="481"/>
      <c r="AV188" s="481"/>
      <c r="AW188" s="481"/>
      <c r="AX188" s="481"/>
      <c r="AY188" s="481"/>
      <c r="AZ188" s="481"/>
      <c r="BA188" s="481"/>
      <c r="BB188" s="481"/>
      <c r="BC188" s="481"/>
      <c r="BD188" s="481"/>
      <c r="BE188" s="481"/>
      <c r="BF188" s="481"/>
      <c r="BG188" s="481"/>
      <c r="BH188" s="481"/>
      <c r="BI188" s="481"/>
      <c r="BJ188" s="481"/>
      <c r="BK188" s="481"/>
      <c r="BL188" s="481"/>
      <c r="BM188" s="481"/>
      <c r="BN188" s="481"/>
      <c r="BO188" s="481"/>
      <c r="BP188" s="481"/>
      <c r="BQ188" s="481"/>
      <c r="BR188" s="481"/>
      <c r="BS188" s="481"/>
      <c r="BT188" s="481"/>
      <c r="BU188" s="481"/>
      <c r="BV188" s="481"/>
      <c r="BW188" s="481"/>
      <c r="BX188" s="481"/>
      <c r="BY188" s="481"/>
      <c r="BZ188" s="481"/>
      <c r="CA188" s="481"/>
      <c r="CB188" s="481"/>
      <c r="CC188" s="481"/>
      <c r="CD188" s="481"/>
      <c r="CE188" s="481"/>
      <c r="CF188" s="481"/>
      <c r="CG188" s="481"/>
      <c r="CH188" s="481"/>
      <c r="CI188" s="481"/>
      <c r="CJ188" s="481"/>
      <c r="CK188" s="481"/>
      <c r="CL188" s="481"/>
      <c r="CM188" s="481"/>
      <c r="CN188" s="481"/>
      <c r="CO188" s="481"/>
      <c r="CP188" s="481"/>
      <c r="CQ188" s="481"/>
      <c r="CR188" s="481"/>
      <c r="CS188" s="481"/>
      <c r="CT188" s="481"/>
      <c r="CU188" s="481"/>
      <c r="CV188" s="481"/>
      <c r="CW188" s="481"/>
      <c r="CX188" s="481"/>
      <c r="CY188" s="481"/>
      <c r="CZ188" s="481"/>
      <c r="DA188" s="481"/>
    </row>
    <row r="189" spans="1:105" ht="14.25" hidden="1" customHeight="1" x14ac:dyDescent="0.2">
      <c r="A189" s="186"/>
      <c r="B189" s="186"/>
      <c r="C189" s="1728" t="s">
        <v>562</v>
      </c>
      <c r="D189" s="1729"/>
      <c r="E189" s="1586"/>
      <c r="F189" s="186"/>
      <c r="G189" s="186"/>
      <c r="H189" s="48"/>
      <c r="I189" s="48"/>
      <c r="J189" s="48"/>
      <c r="K189" s="48"/>
      <c r="L189" s="48"/>
      <c r="M189" s="947" t="s">
        <v>733</v>
      </c>
      <c r="N189" s="258">
        <f>IF(H185=H186,1,0)</f>
        <v>0</v>
      </c>
      <c r="O189" s="262">
        <f t="shared" ref="O189:Z189" si="31">IF($N189=1,IF(SUM(O185:O186)=0,1,0),0)</f>
        <v>0</v>
      </c>
      <c r="P189" s="262">
        <f t="shared" si="31"/>
        <v>0</v>
      </c>
      <c r="Q189" s="262">
        <f t="shared" si="31"/>
        <v>0</v>
      </c>
      <c r="R189" s="262">
        <f t="shared" si="31"/>
        <v>0</v>
      </c>
      <c r="S189" s="262">
        <f t="shared" si="31"/>
        <v>0</v>
      </c>
      <c r="T189" s="262">
        <f t="shared" si="31"/>
        <v>0</v>
      </c>
      <c r="U189" s="262">
        <f t="shared" si="31"/>
        <v>0</v>
      </c>
      <c r="V189" s="262">
        <f t="shared" si="31"/>
        <v>0</v>
      </c>
      <c r="W189" s="262">
        <f t="shared" si="31"/>
        <v>0</v>
      </c>
      <c r="X189" s="262">
        <f t="shared" si="31"/>
        <v>0</v>
      </c>
      <c r="Y189" s="262">
        <f t="shared" si="31"/>
        <v>0</v>
      </c>
      <c r="Z189" s="262">
        <f t="shared" si="31"/>
        <v>0</v>
      </c>
      <c r="AA189" s="48"/>
      <c r="AB189" s="1697" t="str">
        <f>IF(ISERROR(AB188),"OK",IF(AB188="--","",$L$188))</f>
        <v>OK</v>
      </c>
      <c r="AC189" s="1697"/>
      <c r="AD189" s="1697"/>
      <c r="AE189" s="1697" t="str">
        <f>IF(ISERROR(AE188),"OK",IF(AE188="--","",$L$188))</f>
        <v>ERROR</v>
      </c>
      <c r="AF189" s="1697"/>
      <c r="AG189" s="1697"/>
      <c r="AH189" s="1697" t="str">
        <f>IF(ISERROR(AH188),"OK",IF(AH188="--","",$L$188))</f>
        <v>ERROR</v>
      </c>
      <c r="AI189" s="1697"/>
      <c r="AJ189" s="1697"/>
      <c r="AK189" s="48"/>
      <c r="AL189" s="48"/>
      <c r="AM189" s="48"/>
      <c r="AN189" s="48"/>
      <c r="AO189" s="48"/>
      <c r="AP189" s="481"/>
      <c r="AQ189" s="481"/>
      <c r="AR189" s="481"/>
      <c r="AS189" s="481"/>
      <c r="AT189" s="481"/>
      <c r="AU189" s="481"/>
      <c r="AV189" s="481"/>
      <c r="AW189" s="481"/>
      <c r="AX189" s="481"/>
      <c r="AY189" s="481"/>
      <c r="AZ189" s="481"/>
      <c r="BA189" s="481"/>
      <c r="BB189" s="481"/>
      <c r="BC189" s="481"/>
      <c r="BD189" s="481"/>
      <c r="BE189" s="481"/>
      <c r="BF189" s="481"/>
      <c r="BG189" s="481"/>
      <c r="BH189" s="481"/>
      <c r="BI189" s="481"/>
      <c r="BJ189" s="481"/>
      <c r="BK189" s="481"/>
      <c r="BL189" s="481"/>
      <c r="BM189" s="481"/>
      <c r="BN189" s="481"/>
      <c r="BO189" s="481"/>
      <c r="BP189" s="481"/>
      <c r="BQ189" s="481"/>
      <c r="BR189" s="481"/>
      <c r="BS189" s="481"/>
      <c r="BT189" s="481"/>
      <c r="BU189" s="481"/>
      <c r="BV189" s="481"/>
      <c r="BW189" s="481"/>
      <c r="BX189" s="481"/>
      <c r="BY189" s="481"/>
      <c r="BZ189" s="481"/>
      <c r="CA189" s="481"/>
      <c r="CB189" s="481"/>
      <c r="CC189" s="481"/>
      <c r="CD189" s="481"/>
      <c r="CE189" s="481"/>
      <c r="CF189" s="481"/>
      <c r="CG189" s="481"/>
      <c r="CH189" s="481"/>
      <c r="CI189" s="481"/>
      <c r="CJ189" s="481"/>
      <c r="CK189" s="481"/>
      <c r="CL189" s="481"/>
      <c r="CM189" s="481"/>
      <c r="CN189" s="481"/>
      <c r="CO189" s="481"/>
      <c r="CP189" s="481"/>
      <c r="CQ189" s="481"/>
      <c r="CR189" s="481"/>
      <c r="CS189" s="481"/>
      <c r="CT189" s="481"/>
      <c r="CU189" s="481"/>
      <c r="CV189" s="481"/>
      <c r="CW189" s="481"/>
      <c r="CX189" s="481"/>
      <c r="CY189" s="481"/>
      <c r="CZ189" s="481"/>
      <c r="DA189" s="481"/>
    </row>
    <row r="190" spans="1:105" ht="14.25" hidden="1" customHeight="1" x14ac:dyDescent="0.2">
      <c r="A190" s="186"/>
      <c r="B190" s="186"/>
      <c r="C190" s="1728" t="s">
        <v>562</v>
      </c>
      <c r="D190" s="1729"/>
      <c r="E190" s="1586"/>
      <c r="F190" s="186"/>
      <c r="G190" s="186"/>
      <c r="H190" s="48"/>
      <c r="I190" s="48"/>
      <c r="J190" s="48"/>
      <c r="K190" s="48"/>
      <c r="L190" s="48"/>
      <c r="M190" s="48"/>
      <c r="N190" s="48"/>
      <c r="O190" s="48"/>
      <c r="P190" s="48"/>
      <c r="Q190" s="48"/>
      <c r="R190" s="48"/>
      <c r="S190" s="48"/>
      <c r="T190" s="48"/>
      <c r="U190" s="48"/>
      <c r="V190" s="48"/>
      <c r="W190" s="48"/>
      <c r="X190" s="48"/>
      <c r="Y190" s="48"/>
      <c r="Z190" s="48"/>
      <c r="AA190" s="48"/>
      <c r="AB190" s="1724" t="str">
        <f>IF(AB189=$L188,$M189,"")</f>
        <v/>
      </c>
      <c r="AC190" s="1724"/>
      <c r="AD190" s="1724"/>
      <c r="AE190" s="1724" t="str">
        <f>IF(AE189=$L188,$M189,"")</f>
        <v>Questa colonna esiste già !!!</v>
      </c>
      <c r="AF190" s="1724"/>
      <c r="AG190" s="1724"/>
      <c r="AH190" s="1724" t="str">
        <f>IF(AH189=$L188,$M189,"")</f>
        <v>Questa colonna esiste già !!!</v>
      </c>
      <c r="AI190" s="1724"/>
      <c r="AJ190" s="1724"/>
      <c r="AK190" s="48"/>
      <c r="AL190" s="48"/>
      <c r="AM190" s="48"/>
      <c r="AN190" s="48"/>
      <c r="AO190" s="48"/>
      <c r="AP190" s="481"/>
      <c r="AQ190" s="481"/>
      <c r="AR190" s="481"/>
      <c r="AS190" s="481"/>
      <c r="AT190" s="481"/>
      <c r="AU190" s="481"/>
      <c r="AV190" s="481"/>
      <c r="AW190" s="481"/>
      <c r="AX190" s="481"/>
      <c r="AY190" s="481"/>
      <c r="AZ190" s="481"/>
      <c r="BA190" s="481"/>
      <c r="BB190" s="481"/>
      <c r="BC190" s="481"/>
      <c r="BD190" s="481"/>
      <c r="BE190" s="481"/>
      <c r="BF190" s="481"/>
      <c r="BG190" s="481"/>
      <c r="BH190" s="481"/>
      <c r="BI190" s="481"/>
      <c r="BJ190" s="481"/>
      <c r="BK190" s="481"/>
      <c r="BL190" s="481"/>
      <c r="BM190" s="481"/>
      <c r="BN190" s="481"/>
      <c r="BO190" s="481"/>
      <c r="BP190" s="481"/>
      <c r="BQ190" s="481"/>
      <c r="BR190" s="481"/>
      <c r="BS190" s="481"/>
      <c r="BT190" s="481"/>
      <c r="BU190" s="481"/>
      <c r="BV190" s="481"/>
      <c r="BW190" s="481"/>
      <c r="BX190" s="481"/>
      <c r="BY190" s="481"/>
      <c r="BZ190" s="481"/>
      <c r="CA190" s="481"/>
      <c r="CB190" s="481"/>
      <c r="CC190" s="481"/>
      <c r="CD190" s="481"/>
      <c r="CE190" s="481"/>
      <c r="CF190" s="481"/>
      <c r="CG190" s="481"/>
      <c r="CH190" s="481"/>
      <c r="CI190" s="481"/>
      <c r="CJ190" s="481"/>
      <c r="CK190" s="481"/>
      <c r="CL190" s="481"/>
      <c r="CM190" s="481"/>
      <c r="CN190" s="481"/>
      <c r="CO190" s="481"/>
      <c r="CP190" s="481"/>
      <c r="CQ190" s="481"/>
      <c r="CR190" s="481"/>
      <c r="CS190" s="481"/>
      <c r="CT190" s="481"/>
      <c r="CU190" s="481"/>
      <c r="CV190" s="481"/>
      <c r="CW190" s="481"/>
      <c r="CX190" s="481"/>
      <c r="CY190" s="481"/>
      <c r="CZ190" s="481"/>
      <c r="DA190" s="481"/>
    </row>
    <row r="191" spans="1:105" ht="14.25" hidden="1" customHeight="1" x14ac:dyDescent="0.2">
      <c r="A191" s="186"/>
      <c r="B191" s="185"/>
      <c r="C191" s="185"/>
      <c r="D191" s="185"/>
      <c r="E191" s="185"/>
      <c r="F191" s="185"/>
      <c r="G191" s="185"/>
      <c r="H191" s="48"/>
      <c r="I191" s="48"/>
      <c r="J191" s="48"/>
      <c r="K191" s="48"/>
      <c r="L191" s="48"/>
      <c r="M191" s="48"/>
      <c r="N191" s="48"/>
      <c r="O191" s="48"/>
      <c r="P191" s="48"/>
      <c r="Q191" s="48"/>
      <c r="R191" s="48"/>
      <c r="S191" s="48"/>
      <c r="T191" s="48"/>
      <c r="U191" s="48"/>
      <c r="V191" s="48"/>
      <c r="W191" s="48"/>
      <c r="X191" s="48"/>
      <c r="Y191" s="48"/>
      <c r="Z191" s="48"/>
      <c r="AA191" s="48"/>
      <c r="AB191" s="48"/>
      <c r="AC191" s="48"/>
      <c r="AD191" s="48"/>
      <c r="AE191" s="48"/>
      <c r="AF191" s="48"/>
      <c r="AG191" s="48"/>
      <c r="AH191" s="48"/>
      <c r="AI191" s="48"/>
      <c r="AJ191" s="48"/>
      <c r="AK191" s="186"/>
      <c r="AL191" s="186"/>
      <c r="AM191" s="48"/>
      <c r="AN191" s="48"/>
      <c r="AO191" s="48"/>
      <c r="AP191" s="481"/>
      <c r="AQ191" s="481"/>
      <c r="AR191" s="481"/>
      <c r="AS191" s="481"/>
      <c r="AT191" s="481"/>
      <c r="AU191" s="481"/>
      <c r="AV191" s="481"/>
      <c r="AW191" s="481"/>
      <c r="AX191" s="481"/>
      <c r="AY191" s="481"/>
      <c r="AZ191" s="481"/>
      <c r="BA191" s="481"/>
      <c r="BB191" s="481"/>
      <c r="BC191" s="481"/>
      <c r="BD191" s="481"/>
      <c r="BE191" s="481"/>
      <c r="BF191" s="481"/>
      <c r="BG191" s="481"/>
      <c r="BH191" s="481"/>
      <c r="BI191" s="481"/>
      <c r="BJ191" s="481"/>
      <c r="BK191" s="481"/>
      <c r="BL191" s="481"/>
      <c r="BM191" s="481"/>
      <c r="BN191" s="481"/>
      <c r="BO191" s="481"/>
      <c r="BP191" s="481"/>
      <c r="BQ191" s="481"/>
      <c r="BR191" s="481"/>
      <c r="BS191" s="481"/>
      <c r="BT191" s="481"/>
      <c r="BU191" s="481"/>
      <c r="BV191" s="481"/>
      <c r="BW191" s="481"/>
      <c r="BX191" s="481"/>
      <c r="BY191" s="481"/>
      <c r="BZ191" s="481"/>
      <c r="CA191" s="481"/>
      <c r="CB191" s="481"/>
      <c r="CC191" s="481"/>
      <c r="CD191" s="481"/>
      <c r="CE191" s="481"/>
      <c r="CF191" s="481"/>
      <c r="CG191" s="481"/>
      <c r="CH191" s="481"/>
      <c r="CI191" s="481"/>
      <c r="CJ191" s="481"/>
      <c r="CK191" s="481"/>
      <c r="CL191" s="481"/>
      <c r="CM191" s="481"/>
      <c r="CN191" s="481"/>
      <c r="CO191" s="481"/>
      <c r="CP191" s="481"/>
      <c r="CQ191" s="481"/>
      <c r="CR191" s="481"/>
      <c r="CS191" s="481"/>
      <c r="CT191" s="481"/>
      <c r="CU191" s="481"/>
      <c r="CV191" s="481"/>
      <c r="CW191" s="481"/>
      <c r="CX191" s="481"/>
      <c r="CY191" s="481"/>
      <c r="CZ191" s="481"/>
      <c r="DA191" s="481"/>
    </row>
    <row r="192" spans="1:105" ht="15" hidden="1" customHeight="1" x14ac:dyDescent="0.2">
      <c r="A192" s="186"/>
      <c r="B192" s="185"/>
      <c r="C192" s="185"/>
      <c r="D192" s="185"/>
      <c r="E192" s="185"/>
      <c r="F192" s="429" t="str">
        <f>IF(AND(ISERROR(VLOOKUP(CONCATENATE("I",G192),$H184:$J186,1,FALSE)),ISERROR(VLOOKUP(CONCATENATE("II",G192),$H184:$J186,1,FALSE)),ISERROR(VLOOKUP(CONCATENATE("III",G192),$H184:$J186,1,FALSE))),"","!!!")</f>
        <v/>
      </c>
      <c r="G192" s="1675" t="str">
        <f>I19</f>
        <v>Colonna 1</v>
      </c>
      <c r="H192" s="1676"/>
      <c r="I192" s="1676"/>
      <c r="J192" s="1677"/>
      <c r="K192" s="429" t="str">
        <f>IF(AND(ISERROR(VLOOKUP(CONCATENATE("I",L192),$H184:$J186,1,FALSE)),ISERROR(VLOOKUP(CONCATENATE("II",L192),$H184:$J186,1,FALSE)),ISERROR(VLOOKUP(CONCATENATE("III",L192),$H184:$J186,1,FALSE))),"","!!!")</f>
        <v/>
      </c>
      <c r="L192" s="1675" t="str">
        <f>M19</f>
        <v>Colonna 2</v>
      </c>
      <c r="M192" s="1676"/>
      <c r="N192" s="1676"/>
      <c r="O192" s="1677"/>
      <c r="P192" s="429" t="str">
        <f>IF(AND(ISERROR(VLOOKUP(CONCATENATE("I",Q192),$H184:$J186,1,FALSE)),ISERROR(VLOOKUP(CONCATENATE("II",Q192),$H184:$J186,1,FALSE)),ISERROR(VLOOKUP(CONCATENATE("III",Q192),$H184:$J186,1,FALSE))),"","!!!")</f>
        <v/>
      </c>
      <c r="Q192" s="1675" t="str">
        <f>U19</f>
        <v>Colonna 3</v>
      </c>
      <c r="R192" s="1676"/>
      <c r="S192" s="1676"/>
      <c r="T192" s="1677"/>
      <c r="U192" s="429" t="str">
        <f>IF(AND(ISERROR(VLOOKUP(CONCATENATE("I",V192),$H184:$J186,1,FALSE)),ISERROR(VLOOKUP(CONCATENATE("II",V192),$H184:$J186,1,FALSE)),ISERROR(VLOOKUP(CONCATENATE("III",V192),$H184:$J186,1,FALSE))),"","!!!")</f>
        <v/>
      </c>
      <c r="V192" s="1675" t="str">
        <f>AC19</f>
        <v>Colonna 4</v>
      </c>
      <c r="W192" s="1676"/>
      <c r="X192" s="1676"/>
      <c r="Y192" s="1677"/>
      <c r="Z192" s="186"/>
      <c r="AA192" s="186"/>
      <c r="AB192" s="935">
        <v>1</v>
      </c>
      <c r="AC192" s="935">
        <v>2</v>
      </c>
      <c r="AD192" s="935">
        <v>3</v>
      </c>
      <c r="AE192" s="935">
        <v>4</v>
      </c>
      <c r="AF192" s="186"/>
      <c r="AG192" s="935">
        <v>1</v>
      </c>
      <c r="AH192" s="935">
        <v>2</v>
      </c>
      <c r="AI192" s="935">
        <v>3</v>
      </c>
      <c r="AJ192" s="935">
        <v>4</v>
      </c>
      <c r="AK192" s="48"/>
      <c r="AL192" s="481"/>
      <c r="AM192" s="481"/>
      <c r="AN192" s="481"/>
      <c r="AO192" s="481"/>
      <c r="AP192" s="481"/>
      <c r="AQ192" s="481"/>
      <c r="AR192" s="481"/>
      <c r="AS192" s="481"/>
      <c r="AT192" s="481"/>
      <c r="AU192" s="481"/>
      <c r="AV192" s="481"/>
      <c r="AW192" s="481"/>
      <c r="AX192" s="481"/>
      <c r="AY192" s="481"/>
      <c r="AZ192" s="481"/>
      <c r="BA192" s="481"/>
      <c r="BB192" s="481"/>
      <c r="BC192" s="481"/>
      <c r="BD192" s="481"/>
      <c r="BE192" s="481"/>
      <c r="BF192" s="481"/>
      <c r="BG192" s="481"/>
      <c r="BH192" s="481"/>
      <c r="BI192" s="481"/>
      <c r="BJ192" s="481"/>
      <c r="BK192" s="481"/>
      <c r="BL192" s="481"/>
      <c r="BM192" s="481"/>
      <c r="BN192" s="481"/>
      <c r="BO192" s="481"/>
      <c r="BP192" s="481"/>
      <c r="BQ192" s="481"/>
      <c r="BR192" s="481"/>
      <c r="BS192" s="481"/>
      <c r="BT192" s="481"/>
      <c r="BU192" s="481"/>
      <c r="BV192" s="481"/>
      <c r="BW192" s="481"/>
      <c r="BX192" s="481"/>
      <c r="BY192" s="481"/>
      <c r="BZ192" s="481"/>
      <c r="CA192" s="481"/>
      <c r="CB192" s="481"/>
      <c r="CC192" s="481"/>
      <c r="CD192" s="481"/>
      <c r="CE192" s="481"/>
      <c r="CF192" s="481"/>
      <c r="CG192" s="481"/>
      <c r="CH192" s="481"/>
      <c r="CI192" s="481"/>
      <c r="CJ192" s="481"/>
      <c r="CK192" s="481"/>
      <c r="CL192" s="481"/>
    </row>
    <row r="193" spans="1:90" ht="15" hidden="1" customHeight="1" x14ac:dyDescent="0.2">
      <c r="A193" s="186"/>
      <c r="B193" s="1950" t="str">
        <f>C157</f>
        <v>Gennaio</v>
      </c>
      <c r="C193" s="1725"/>
      <c r="D193" s="1951"/>
      <c r="E193" s="242">
        <f>O183</f>
        <v>1</v>
      </c>
      <c r="F193" s="247" t="str">
        <f>IF(G193="","",VLOOKUP(G193,$K$8:$O$14,5,FALSE))</f>
        <v/>
      </c>
      <c r="G193" s="1616" t="str">
        <f>IF(F$192="",I$24,IF(AB193=0,HLOOKUP(CONCATENATE("I",G$192),$AB$184:$AJ$187,$K$184,FALSE),IF(AB194=0,HLOOKUP(CONCATENATE("II",G$192),$AB$184:$AJ$187,$K$184,FALSE),IF(AB195=0,HLOOKUP(CONCATENATE("III",G$192),$AB$184:$AJ$187,$K$184,FALSE),I$24))))</f>
        <v/>
      </c>
      <c r="H193" s="1617"/>
      <c r="I193" s="1617"/>
      <c r="J193" s="1618"/>
      <c r="K193" s="247" t="str">
        <f>IF(L193="","",VLOOKUP(L193,$K$8:$O$14,5,FALSE))</f>
        <v/>
      </c>
      <c r="L193" s="1616" t="str">
        <f>IF(K$192="",M$24,IF(AC193=0,HLOOKUP(CONCATENATE("I",L$192),$AB$184:$AJ$187,$K$184,FALSE),IF(AC194=0,HLOOKUP(CONCATENATE("II",L$192),$AB$184:$AJ$187,$K$184,FALSE),IF(AC195=0,HLOOKUP(CONCATENATE("III",L$192),$AB$184:$AJ$187,$K$184,FALSE),M$24))))</f>
        <v/>
      </c>
      <c r="M193" s="1617"/>
      <c r="N193" s="1617"/>
      <c r="O193" s="1618"/>
      <c r="P193" s="247" t="str">
        <f>IF(Q193="","",VLOOKUP(Q193,$K$8:$O$14,5,FALSE))</f>
        <v/>
      </c>
      <c r="Q193" s="1616" t="str">
        <f>IF(P$192="",U$24,IF(AD193=0,HLOOKUP(CONCATENATE("I",Q$192),$AB$184:$AJ$187,$K$184,FALSE),IF(AD194=0,HLOOKUP(CONCATENATE("II",Q$192),$AB$184:$AJ$187,$K$184,FALSE),IF(AD195=0,HLOOKUP(CONCATENATE("III",Q$192),$AB$184:$AJ$187,$K$184,FALSE),U$24))))</f>
        <v/>
      </c>
      <c r="R193" s="1617"/>
      <c r="S193" s="1617"/>
      <c r="T193" s="1618"/>
      <c r="U193" s="247" t="str">
        <f>IF(V193="","",VLOOKUP(V193,$K$8:$O$14,5,FALSE))</f>
        <v/>
      </c>
      <c r="V193" s="1616" t="str">
        <f>IF(U$192="",AC$24,IF(AE193=0,HLOOKUP(CONCATENATE("I",V$192),$AB$184:$AJ$187,$K$184,FALSE),IF(AE194=0,HLOOKUP(CONCATENATE("II",V$192),$AB$184:$AJ$187,$K$184,FALSE),IF(AE195=0,HLOOKUP(CONCATENATE("III",V$192),$AB$184:$AJ$187,$K$184,FALSE),AC$24))))</f>
        <v/>
      </c>
      <c r="W193" s="1617"/>
      <c r="X193" s="1617"/>
      <c r="Y193" s="1618"/>
      <c r="Z193" s="186"/>
      <c r="AA193" s="1326" t="s">
        <v>171</v>
      </c>
      <c r="AB193" s="259" t="str">
        <f>IF(ISERROR(AG193),"---",AG193)</f>
        <v>---</v>
      </c>
      <c r="AC193" s="259" t="str">
        <f t="shared" ref="AC193:AC228" si="32">IF(ISERROR(AH193),"---",AH193)</f>
        <v>---</v>
      </c>
      <c r="AD193" s="259" t="str">
        <f t="shared" ref="AD193:AD228" si="33">IF(ISERROR(AI193),"---",AI193)</f>
        <v>---</v>
      </c>
      <c r="AE193" s="259" t="str">
        <f t="shared" ref="AE193:AE228" si="34">IF(ISERROR(AJ193),"---",AJ193)</f>
        <v>---</v>
      </c>
      <c r="AF193" s="48"/>
      <c r="AG193" s="259" t="e">
        <f>HLOOKUP($E193,$O$183:$Z$186,VLOOKUP(CONCATENATE("I",G$192),$H$184:$K$186,4,FALSE),FALSE)</f>
        <v>#N/A</v>
      </c>
      <c r="AH193" s="259" t="e">
        <f>HLOOKUP($E193,$O$183:$Z$186,VLOOKUP(CONCATENATE("I",L$192),$H$184:$K$186,4,FALSE),FALSE)</f>
        <v>#N/A</v>
      </c>
      <c r="AI193" s="259" t="e">
        <f>HLOOKUP($E193,$O$183:$Z$186,VLOOKUP(CONCATENATE("I",Q$192),$H$184:$K$186,4,FALSE),FALSE)</f>
        <v>#N/A</v>
      </c>
      <c r="AJ193" s="259" t="e">
        <f>HLOOKUP($E193,$O$183:$Z$186,VLOOKUP(CONCATENATE("I",V$192),$H$184:$K$186,4,FALSE),FALSE)</f>
        <v>#N/A</v>
      </c>
      <c r="AK193" s="48"/>
      <c r="AL193" s="481"/>
      <c r="AM193" s="481"/>
      <c r="AN193" s="481"/>
      <c r="AO193" s="481"/>
      <c r="AP193" s="481"/>
      <c r="AQ193" s="481"/>
      <c r="AR193" s="481"/>
      <c r="AS193" s="481"/>
      <c r="AT193" s="481"/>
      <c r="AU193" s="481"/>
      <c r="AV193" s="481"/>
      <c r="AW193" s="481"/>
      <c r="AX193" s="481"/>
      <c r="AY193" s="481"/>
      <c r="AZ193" s="481"/>
      <c r="BA193" s="481"/>
      <c r="BB193" s="481"/>
      <c r="BC193" s="481"/>
      <c r="BD193" s="481"/>
      <c r="BE193" s="481"/>
      <c r="BF193" s="481"/>
      <c r="BG193" s="481"/>
      <c r="BH193" s="481"/>
      <c r="BI193" s="481"/>
      <c r="BJ193" s="481"/>
      <c r="BK193" s="481"/>
      <c r="BL193" s="481"/>
      <c r="BM193" s="481"/>
      <c r="BN193" s="481"/>
      <c r="BO193" s="481"/>
      <c r="BP193" s="481"/>
      <c r="BQ193" s="481"/>
      <c r="BR193" s="481"/>
      <c r="BS193" s="481"/>
      <c r="BT193" s="481"/>
      <c r="BU193" s="481"/>
      <c r="BV193" s="481"/>
      <c r="BW193" s="481"/>
      <c r="BX193" s="481"/>
      <c r="BY193" s="481"/>
      <c r="BZ193" s="481"/>
      <c r="CA193" s="481"/>
      <c r="CB193" s="481"/>
      <c r="CC193" s="481"/>
      <c r="CD193" s="481"/>
      <c r="CE193" s="481"/>
      <c r="CF193" s="481"/>
      <c r="CG193" s="481"/>
      <c r="CH193" s="481"/>
      <c r="CI193" s="481"/>
      <c r="CJ193" s="481"/>
      <c r="CK193" s="481"/>
      <c r="CL193" s="481"/>
    </row>
    <row r="194" spans="1:90" ht="15" hidden="1" customHeight="1" x14ac:dyDescent="0.2">
      <c r="A194" s="186"/>
      <c r="B194" s="1696" t="str">
        <f>B193</f>
        <v>Gennaio</v>
      </c>
      <c r="C194" s="1948"/>
      <c r="D194" s="1949"/>
      <c r="E194" s="244">
        <f>E193</f>
        <v>1</v>
      </c>
      <c r="F194" s="248" t="str">
        <f>IF(G194="- - - - - - -","",VLOOKUP(G194,$Y$131:$AC$145,5,FALSE))</f>
        <v/>
      </c>
      <c r="G194" s="1678" t="str">
        <f>IF(F$192="",I$25,IF(AB193=0,HLOOKUP(CONCATENATE("I",G$192),$AB$184:$AJ$187,$K$185,FALSE),IF(AB194=0,HLOOKUP(CONCATENATE("II",G$192),$AB$184:$AJ$187,$K$185,FALSE),IF(AB195=0,HLOOKUP(CONCATENATE("III",G$192),$AB$184:$AJ$187,$K$185,FALSE),I$25))))</f>
        <v>- - - - - - -</v>
      </c>
      <c r="H194" s="1679"/>
      <c r="I194" s="1679"/>
      <c r="J194" s="1680"/>
      <c r="K194" s="248" t="str">
        <f>IF(L194="- - - - - - -","",VLOOKUP(L194,$Y$131:$AC$145,5,FALSE))</f>
        <v/>
      </c>
      <c r="L194" s="1678" t="str">
        <f>IF(K$192="",M$25,IF(AC193=0,HLOOKUP(CONCATENATE("I",L$192),$AB$184:$AJ$187,$K$185,FALSE),IF(AC194=0,HLOOKUP(CONCATENATE("II",L$192),$AB$184:$AJ$187,$K$185,FALSE),IF(AC195=0,HLOOKUP(CONCATENATE("III",L$192),$AB$184:$AJ$187,$K$185,FALSE),M$25))))</f>
        <v>- - - - - - -</v>
      </c>
      <c r="M194" s="1679"/>
      <c r="N194" s="1679"/>
      <c r="O194" s="1680"/>
      <c r="P194" s="248" t="str">
        <f>IF(Q194="- - - - - - -","",VLOOKUP(Q194,$Y$131:$AC$145,5,FALSE))</f>
        <v/>
      </c>
      <c r="Q194" s="1678" t="str">
        <f>IF(P$192="",U$25,IF(AD193=0,HLOOKUP(CONCATENATE("I",Q$192),$AB$184:$AJ$187,$K$185,FALSE),IF(AD194=0,HLOOKUP(CONCATENATE("II",Q$192),$AB$184:$AJ$187,$K$185,FALSE),IF(AD195=0,HLOOKUP(CONCATENATE("III",Q$192),$AB$184:$AJ$187,$K$185,FALSE),U$25))))</f>
        <v>- - - - - - -</v>
      </c>
      <c r="R194" s="1679"/>
      <c r="S194" s="1679"/>
      <c r="T194" s="1680"/>
      <c r="U194" s="248" t="str">
        <f>IF(V194="- - - - - - -","",VLOOKUP(V194,$Y$131:$AC$145,5,FALSE))</f>
        <v/>
      </c>
      <c r="V194" s="1678" t="str">
        <f>IF(U$192="",AC$25,IF(AE193=0,HLOOKUP(CONCATENATE("I",V$192),$AB$184:$AJ$187,$K$185,FALSE),IF(AE194=0,HLOOKUP(CONCATENATE("II",V$192),$AB$184:$AJ$187,$K$185,FALSE),IF(AE195=0,HLOOKUP(CONCATENATE("III",V$192),$AB$184:$AJ$187,$K$185,FALSE),AC$25))))</f>
        <v>- - - - - - -</v>
      </c>
      <c r="W194" s="1679"/>
      <c r="X194" s="1679"/>
      <c r="Y194" s="1680"/>
      <c r="Z194" s="186"/>
      <c r="AA194" s="573" t="s">
        <v>92</v>
      </c>
      <c r="AB194" s="136" t="str">
        <f t="shared" ref="AB194:AB228" si="35">IF(ISERROR(AG194),"---",AG194)</f>
        <v>---</v>
      </c>
      <c r="AC194" s="136" t="str">
        <f t="shared" si="32"/>
        <v>---</v>
      </c>
      <c r="AD194" s="136" t="str">
        <f t="shared" si="33"/>
        <v>---</v>
      </c>
      <c r="AE194" s="136" t="str">
        <f t="shared" si="34"/>
        <v>---</v>
      </c>
      <c r="AF194" s="48"/>
      <c r="AG194" s="136" t="e">
        <f>HLOOKUP($E193,$O$183:$Z$186,VLOOKUP(CONCATENATE("II",G$192),$H$184:$K$186,4,FALSE),FALSE)</f>
        <v>#N/A</v>
      </c>
      <c r="AH194" s="136" t="e">
        <f>HLOOKUP($E193,$O$183:$Z$186,VLOOKUP(CONCATENATE("II",L$192),$H$184:$K$186,4,FALSE),FALSE)</f>
        <v>#N/A</v>
      </c>
      <c r="AI194" s="136" t="e">
        <f>HLOOKUP($E193,$O$183:$Z$186,VLOOKUP(CONCATENATE("II",Q$192),$H$184:$K$186,4,FALSE),FALSE)</f>
        <v>#N/A</v>
      </c>
      <c r="AJ194" s="136" t="e">
        <f>HLOOKUP($E193,$O$183:$Z$186,VLOOKUP(CONCATENATE("II",V$192),$H$184:$K$186,4,FALSE),FALSE)</f>
        <v>#N/A</v>
      </c>
      <c r="AK194" s="48"/>
      <c r="AL194" s="481"/>
      <c r="AM194" s="481"/>
      <c r="AN194" s="481"/>
      <c r="AO194" s="481"/>
      <c r="AP194" s="481"/>
      <c r="AQ194" s="481"/>
      <c r="AR194" s="481"/>
      <c r="AS194" s="481"/>
      <c r="AT194" s="481"/>
      <c r="AU194" s="481"/>
      <c r="AV194" s="481"/>
      <c r="AW194" s="481"/>
      <c r="AX194" s="481"/>
      <c r="AY194" s="481"/>
      <c r="AZ194" s="481"/>
      <c r="BA194" s="481"/>
      <c r="BB194" s="481"/>
      <c r="BC194" s="481"/>
      <c r="BD194" s="481"/>
      <c r="BE194" s="481"/>
      <c r="BF194" s="481"/>
      <c r="BG194" s="481"/>
      <c r="BH194" s="481"/>
      <c r="BI194" s="481"/>
      <c r="BJ194" s="481"/>
      <c r="BK194" s="481"/>
      <c r="BL194" s="481"/>
      <c r="BM194" s="481"/>
      <c r="BN194" s="481"/>
      <c r="BO194" s="481"/>
      <c r="BP194" s="481"/>
      <c r="BQ194" s="481"/>
      <c r="BR194" s="481"/>
      <c r="BS194" s="481"/>
      <c r="BT194" s="481"/>
      <c r="BU194" s="481"/>
      <c r="BV194" s="481"/>
      <c r="BW194" s="481"/>
      <c r="BX194" s="481"/>
      <c r="BY194" s="481"/>
      <c r="BZ194" s="481"/>
      <c r="CA194" s="481"/>
      <c r="CB194" s="481"/>
      <c r="CC194" s="481"/>
      <c r="CD194" s="481"/>
      <c r="CE194" s="481"/>
      <c r="CF194" s="481"/>
      <c r="CG194" s="481"/>
      <c r="CH194" s="481"/>
      <c r="CI194" s="481"/>
      <c r="CJ194" s="481"/>
      <c r="CK194" s="481"/>
      <c r="CL194" s="481"/>
    </row>
    <row r="195" spans="1:90" ht="15" hidden="1" customHeight="1" x14ac:dyDescent="0.2">
      <c r="A195" s="186"/>
      <c r="B195" s="1946" t="str">
        <f>B193</f>
        <v>Gennaio</v>
      </c>
      <c r="C195" s="1814"/>
      <c r="D195" s="1947"/>
      <c r="E195" s="244">
        <f>E194</f>
        <v>1</v>
      </c>
      <c r="F195" s="250" t="str">
        <f>IF(G195="","",VLOOKUP(G195,$AH$8:$AL$14,5,FALSE))</f>
        <v/>
      </c>
      <c r="G195" s="1619" t="str">
        <f>IF(F$192="",I$26,IF(AB193=0,HLOOKUP(CONCATENATE("I",G$192),$AB$184:$AJ$187,$K$186,FALSE),IF(AB194=0,HLOOKUP(CONCATENATE("II",G$192),$AB$184:$AJ$187,$K$186,FALSE),IF(AB195=0,HLOOKUP(CONCATENATE("III",G$192),$AB$184:$AJ$187,$K$186,FALSE),I$26))))</f>
        <v/>
      </c>
      <c r="H195" s="1620"/>
      <c r="I195" s="1620"/>
      <c r="J195" s="1621"/>
      <c r="K195" s="250" t="str">
        <f>IF(L195="","",VLOOKUP(L195,$AH$8:$AL$14,5,FALSE))</f>
        <v/>
      </c>
      <c r="L195" s="1619" t="str">
        <f>IF(K$192="",M$26,IF(AC193=0,HLOOKUP(CONCATENATE("I",L$192),$AB$184:$AJ$187,$K$186,FALSE),IF(AC194=0,HLOOKUP(CONCATENATE("II",L$192),$AB$184:$AJ$187,$K$186,FALSE),IF(AC195=0,HLOOKUP(CONCATENATE("III",L$192),$AB$184:$AJ$187,$K$186,FALSE),M$26))))</f>
        <v/>
      </c>
      <c r="M195" s="1620"/>
      <c r="N195" s="1620"/>
      <c r="O195" s="1621"/>
      <c r="P195" s="250" t="str">
        <f>IF(Q195="","",VLOOKUP(Q195,$AH$8:$AL$14,5,FALSE))</f>
        <v/>
      </c>
      <c r="Q195" s="1619" t="str">
        <f>IF(P$192="",U$26,IF(AD193=0,HLOOKUP(CONCATENATE("I",Q$192),$AB$184:$AJ$187,$K$186,FALSE),IF(AD194=0,HLOOKUP(CONCATENATE("II",Q$192),$AB$184:$AJ$187,$K$186,FALSE),IF(AD195=0,HLOOKUP(CONCATENATE("III",Q$192),$AB$184:$AJ$187,$K$186,FALSE),U$26))))</f>
        <v/>
      </c>
      <c r="R195" s="1620"/>
      <c r="S195" s="1620"/>
      <c r="T195" s="1621"/>
      <c r="U195" s="250" t="str">
        <f>IF(V195="","",VLOOKUP(V195,$AH$8:$AL$14,5,FALSE))</f>
        <v/>
      </c>
      <c r="V195" s="1619" t="str">
        <f>IF(U$192="",AC$26,IF(AE193=0,HLOOKUP(CONCATENATE("I",V$192),$AB$184:$AJ$187,$K$186,FALSE),IF(AE194=0,HLOOKUP(CONCATENATE("II",V$192),$AB$184:$AJ$187,$K$186,FALSE),IF(AE195=0,HLOOKUP(CONCATENATE("III",V$192),$AB$184:$AJ$187,$K$186,FALSE),AC$26))))</f>
        <v/>
      </c>
      <c r="W195" s="1620"/>
      <c r="X195" s="1620"/>
      <c r="Y195" s="1621"/>
      <c r="Z195" s="186"/>
      <c r="AA195" s="1327" t="s">
        <v>93</v>
      </c>
      <c r="AB195" s="258" t="str">
        <f t="shared" si="35"/>
        <v>---</v>
      </c>
      <c r="AC195" s="258" t="str">
        <f t="shared" si="32"/>
        <v>---</v>
      </c>
      <c r="AD195" s="258" t="str">
        <f t="shared" si="33"/>
        <v>---</v>
      </c>
      <c r="AE195" s="258" t="str">
        <f t="shared" si="34"/>
        <v>---</v>
      </c>
      <c r="AF195" s="48"/>
      <c r="AG195" s="258" t="e">
        <f>HLOOKUP($E193,$O$183:$Z$186,VLOOKUP(CONCATENATE("III",G$192),$H$184:$K$186,4,FALSE),FALSE)</f>
        <v>#N/A</v>
      </c>
      <c r="AH195" s="258" t="e">
        <f>HLOOKUP($E193,$O$183:$Z$186,VLOOKUP(CONCATENATE("III",L$192),$H$184:$K$186,4,FALSE),FALSE)</f>
        <v>#N/A</v>
      </c>
      <c r="AI195" s="258" t="e">
        <f>HLOOKUP($E193,$O$183:$Z$186,VLOOKUP(CONCATENATE("III",Q$192),$H$184:$K$186,4,FALSE),FALSE)</f>
        <v>#N/A</v>
      </c>
      <c r="AJ195" s="258" t="e">
        <f>HLOOKUP($E193,$O$183:$Z$186,VLOOKUP(CONCATENATE("III",V$192),$H$184:$K$186,4,FALSE),FALSE)</f>
        <v>#N/A</v>
      </c>
      <c r="AK195" s="48"/>
      <c r="AL195" s="481"/>
      <c r="AM195" s="481"/>
      <c r="AN195" s="481"/>
      <c r="AO195" s="481"/>
      <c r="AP195" s="481"/>
      <c r="AQ195" s="481"/>
      <c r="AR195" s="481"/>
      <c r="AS195" s="481"/>
      <c r="AT195" s="481"/>
      <c r="AU195" s="481"/>
      <c r="AV195" s="481"/>
      <c r="AW195" s="481"/>
      <c r="AX195" s="481"/>
      <c r="AY195" s="481"/>
      <c r="AZ195" s="481"/>
      <c r="BA195" s="481"/>
      <c r="BB195" s="481"/>
      <c r="BC195" s="481"/>
      <c r="BD195" s="481"/>
      <c r="BE195" s="481"/>
      <c r="BF195" s="481"/>
      <c r="BG195" s="481"/>
      <c r="BH195" s="481"/>
      <c r="BI195" s="481"/>
      <c r="BJ195" s="481"/>
      <c r="BK195" s="481"/>
      <c r="BL195" s="481"/>
      <c r="BM195" s="481"/>
      <c r="BN195" s="481"/>
      <c r="BO195" s="481"/>
      <c r="BP195" s="481"/>
      <c r="BQ195" s="481"/>
      <c r="BR195" s="481"/>
      <c r="BS195" s="481"/>
      <c r="BT195" s="481"/>
      <c r="BU195" s="481"/>
      <c r="BV195" s="481"/>
      <c r="BW195" s="481"/>
      <c r="BX195" s="481"/>
      <c r="BY195" s="481"/>
      <c r="BZ195" s="481"/>
      <c r="CA195" s="481"/>
      <c r="CB195" s="481"/>
      <c r="CC195" s="481"/>
      <c r="CD195" s="481"/>
      <c r="CE195" s="481"/>
      <c r="CF195" s="481"/>
      <c r="CG195" s="481"/>
      <c r="CH195" s="481"/>
      <c r="CI195" s="481"/>
      <c r="CJ195" s="481"/>
      <c r="CK195" s="481"/>
      <c r="CL195" s="481"/>
    </row>
    <row r="196" spans="1:90" ht="15" hidden="1" customHeight="1" x14ac:dyDescent="0.2">
      <c r="A196" s="186"/>
      <c r="B196" s="1950" t="str">
        <f>C158</f>
        <v>Febbraio</v>
      </c>
      <c r="C196" s="1725"/>
      <c r="D196" s="1951"/>
      <c r="E196" s="242">
        <f>P183</f>
        <v>2</v>
      </c>
      <c r="F196" s="247" t="str">
        <f>IF(G196="","",VLOOKUP(G196,$K$8:$O$14,5,FALSE))</f>
        <v/>
      </c>
      <c r="G196" s="1616" t="str">
        <f>IF(F$192="",I$24,IF(AB196=0,HLOOKUP(CONCATENATE("I",G$192),$AB$184:$AJ$187,$K$184,FALSE),IF(AB197=0,HLOOKUP(CONCATENATE("II",G$192),$AB$184:$AJ$187,$K$184,FALSE),IF(AB198=0,HLOOKUP(CONCATENATE("III",G$192),$AB$184:$AJ$187,$K$184,FALSE),I$24))))</f>
        <v/>
      </c>
      <c r="H196" s="1617"/>
      <c r="I196" s="1617"/>
      <c r="J196" s="1618"/>
      <c r="K196" s="247" t="str">
        <f>IF(L196="","",VLOOKUP(L196,$K$8:$O$14,5,FALSE))</f>
        <v/>
      </c>
      <c r="L196" s="1616" t="str">
        <f>IF(K$192="",M$24,IF(AC196=0,HLOOKUP(CONCATENATE("I",L$192),$AB$184:$AJ$187,$K$184,FALSE),IF(AC197=0,HLOOKUP(CONCATENATE("II",L$192),$AB$184:$AJ$187,$K$184,FALSE),IF(AC198=0,HLOOKUP(CONCATENATE("III",L$192),$AB$184:$AJ$187,$K$184,FALSE),M$24))))</f>
        <v/>
      </c>
      <c r="M196" s="1617"/>
      <c r="N196" s="1617"/>
      <c r="O196" s="1618"/>
      <c r="P196" s="247" t="str">
        <f>IF(Q196="","",VLOOKUP(Q196,$K$8:$O$14,5,FALSE))</f>
        <v/>
      </c>
      <c r="Q196" s="1616" t="str">
        <f>IF(P$192="",U$24,IF(AD196=0,HLOOKUP(CONCATENATE("I",Q$192),$AB$184:$AJ$187,$K$184,FALSE),IF(AD197=0,HLOOKUP(CONCATENATE("II",Q$192),$AB$184:$AJ$187,$K$184,FALSE),IF(AD198=0,HLOOKUP(CONCATENATE("III",Q$192),$AB$184:$AJ$187,$K$184,FALSE),U$24))))</f>
        <v/>
      </c>
      <c r="R196" s="1617"/>
      <c r="S196" s="1617"/>
      <c r="T196" s="1618"/>
      <c r="U196" s="247" t="str">
        <f>IF(V196="","",VLOOKUP(V196,$K$8:$O$14,5,FALSE))</f>
        <v/>
      </c>
      <c r="V196" s="1616" t="str">
        <f>IF(U$192="",AC$24,IF(AE196=0,HLOOKUP(CONCATENATE("I",V$192),$AB$184:$AJ$187,$K$184,FALSE),IF(AE197=0,HLOOKUP(CONCATENATE("II",V$192),$AB$184:$AJ$187,$K$184,FALSE),IF(AE198=0,HLOOKUP(CONCATENATE("III",V$192),$AB$184:$AJ$187,$K$184,FALSE),AC$24))))</f>
        <v/>
      </c>
      <c r="W196" s="1617"/>
      <c r="X196" s="1617"/>
      <c r="Y196" s="1618"/>
      <c r="Z196" s="186"/>
      <c r="AA196" s="1326" t="s">
        <v>171</v>
      </c>
      <c r="AB196" s="259" t="str">
        <f t="shared" si="35"/>
        <v>---</v>
      </c>
      <c r="AC196" s="259" t="str">
        <f t="shared" si="32"/>
        <v>---</v>
      </c>
      <c r="AD196" s="259" t="str">
        <f t="shared" si="33"/>
        <v>---</v>
      </c>
      <c r="AE196" s="259" t="str">
        <f t="shared" si="34"/>
        <v>---</v>
      </c>
      <c r="AF196" s="48"/>
      <c r="AG196" s="259" t="e">
        <f>HLOOKUP($E196,$O$183:$Z$186,VLOOKUP(CONCATENATE("I",G$192),$H$184:$K$186,4,FALSE),FALSE)</f>
        <v>#N/A</v>
      </c>
      <c r="AH196" s="259" t="e">
        <f>HLOOKUP($E196,$O$183:$Z$186,VLOOKUP(CONCATENATE("I",L$192),$H$184:$K$186,4,FALSE),FALSE)</f>
        <v>#N/A</v>
      </c>
      <c r="AI196" s="259" t="e">
        <f>HLOOKUP($E196,$O$183:$Z$186,VLOOKUP(CONCATENATE("I",Q$192),$H$184:$K$186,4,FALSE),FALSE)</f>
        <v>#N/A</v>
      </c>
      <c r="AJ196" s="259" t="e">
        <f>HLOOKUP($E196,$O$183:$Z$186,VLOOKUP(CONCATENATE("I",V$192),$H$184:$K$186,4,FALSE),FALSE)</f>
        <v>#N/A</v>
      </c>
      <c r="AK196" s="48"/>
      <c r="AL196" s="481"/>
      <c r="AM196" s="481"/>
      <c r="AN196" s="481"/>
      <c r="AO196" s="481"/>
      <c r="AP196" s="481"/>
      <c r="AQ196" s="481"/>
      <c r="AR196" s="481"/>
      <c r="AS196" s="481"/>
      <c r="AT196" s="481"/>
      <c r="AU196" s="481"/>
      <c r="AV196" s="481"/>
      <c r="AW196" s="481"/>
      <c r="AX196" s="481"/>
      <c r="AY196" s="481"/>
      <c r="AZ196" s="481"/>
      <c r="BA196" s="481"/>
      <c r="BB196" s="481"/>
      <c r="BC196" s="481"/>
      <c r="BD196" s="481"/>
      <c r="BE196" s="481"/>
      <c r="BF196" s="481"/>
      <c r="BG196" s="481"/>
      <c r="BH196" s="481"/>
      <c r="BI196" s="481"/>
      <c r="BJ196" s="481"/>
      <c r="BK196" s="481"/>
      <c r="BL196" s="481"/>
      <c r="BM196" s="481"/>
      <c r="BN196" s="481"/>
      <c r="BO196" s="481"/>
      <c r="BP196" s="481"/>
      <c r="BQ196" s="481"/>
      <c r="BR196" s="481"/>
      <c r="BS196" s="481"/>
      <c r="BT196" s="481"/>
      <c r="BU196" s="481"/>
      <c r="BV196" s="481"/>
      <c r="BW196" s="481"/>
      <c r="BX196" s="481"/>
      <c r="BY196" s="481"/>
      <c r="BZ196" s="481"/>
      <c r="CA196" s="481"/>
      <c r="CB196" s="481"/>
      <c r="CC196" s="481"/>
      <c r="CD196" s="481"/>
      <c r="CE196" s="481"/>
      <c r="CF196" s="481"/>
      <c r="CG196" s="481"/>
      <c r="CH196" s="481"/>
      <c r="CI196" s="481"/>
      <c r="CJ196" s="481"/>
      <c r="CK196" s="481"/>
      <c r="CL196" s="481"/>
    </row>
    <row r="197" spans="1:90" ht="15" hidden="1" customHeight="1" x14ac:dyDescent="0.2">
      <c r="A197" s="186"/>
      <c r="B197" s="1696" t="str">
        <f>B196</f>
        <v>Febbraio</v>
      </c>
      <c r="C197" s="1948"/>
      <c r="D197" s="1949"/>
      <c r="E197" s="244">
        <f>E196</f>
        <v>2</v>
      </c>
      <c r="F197" s="248" t="str">
        <f>IF(G197="- - - - - - -","",VLOOKUP(G197,$Y$131:$AC$145,5,FALSE))</f>
        <v/>
      </c>
      <c r="G197" s="1678" t="str">
        <f>IF(F$192="",I$25,IF(AB196=0,HLOOKUP(CONCATENATE("I",G$192),$AB$184:$AJ$187,$K$185,FALSE),IF(AB197=0,HLOOKUP(CONCATENATE("II",G$192),$AB$184:$AJ$187,$K$185,FALSE),IF(AB198=0,HLOOKUP(CONCATENATE("III",G$192),$AB$184:$AJ$187,$K$185,FALSE),I$25))))</f>
        <v>- - - - - - -</v>
      </c>
      <c r="H197" s="1679"/>
      <c r="I197" s="1679"/>
      <c r="J197" s="1680"/>
      <c r="K197" s="248" t="str">
        <f>IF(L197="- - - - - - -","",VLOOKUP(L197,$Y$131:$AC$145,5,FALSE))</f>
        <v/>
      </c>
      <c r="L197" s="1678" t="str">
        <f>IF(K$192="",M$25,IF(AC196=0,HLOOKUP(CONCATENATE("I",L$192),$AB$184:$AJ$187,$K$185,FALSE),IF(AC197=0,HLOOKUP(CONCATENATE("II",L$192),$AB$184:$AJ$187,$K$185,FALSE),IF(AC198=0,HLOOKUP(CONCATENATE("III",L$192),$AB$184:$AJ$187,$K$185,FALSE),M$25))))</f>
        <v>- - - - - - -</v>
      </c>
      <c r="M197" s="1679"/>
      <c r="N197" s="1679"/>
      <c r="O197" s="1680"/>
      <c r="P197" s="248" t="str">
        <f>IF(Q197="- - - - - - -","",VLOOKUP(Q197,$Y$131:$AC$145,5,FALSE))</f>
        <v/>
      </c>
      <c r="Q197" s="1678" t="str">
        <f>IF(P$192="",U$25,IF(AD196=0,HLOOKUP(CONCATENATE("I",Q$192),$AB$184:$AJ$187,$K$185,FALSE),IF(AD197=0,HLOOKUP(CONCATENATE("II",Q$192),$AB$184:$AJ$187,$K$185,FALSE),IF(AD198=0,HLOOKUP(CONCATENATE("III",Q$192),$AB$184:$AJ$187,$K$185,FALSE),U$25))))</f>
        <v>- - - - - - -</v>
      </c>
      <c r="R197" s="1679"/>
      <c r="S197" s="1679"/>
      <c r="T197" s="1680"/>
      <c r="U197" s="248" t="str">
        <f>IF(V197="- - - - - - -","",VLOOKUP(V197,$Y$131:$AC$145,5,FALSE))</f>
        <v/>
      </c>
      <c r="V197" s="1678" t="str">
        <f>IF(U$192="",AC$25,IF(AE196=0,HLOOKUP(CONCATENATE("I",V$192),$AB$184:$AJ$187,$K$185,FALSE),IF(AE197=0,HLOOKUP(CONCATENATE("II",V$192),$AB$184:$AJ$187,$K$185,FALSE),IF(AE198=0,HLOOKUP(CONCATENATE("III",V$192),$AB$184:$AJ$187,$K$185,FALSE),AC$25))))</f>
        <v>- - - - - - -</v>
      </c>
      <c r="W197" s="1679"/>
      <c r="X197" s="1679"/>
      <c r="Y197" s="1680"/>
      <c r="Z197" s="186"/>
      <c r="AA197" s="573" t="s">
        <v>92</v>
      </c>
      <c r="AB197" s="136" t="str">
        <f t="shared" si="35"/>
        <v>---</v>
      </c>
      <c r="AC197" s="136" t="str">
        <f t="shared" si="32"/>
        <v>---</v>
      </c>
      <c r="AD197" s="136" t="str">
        <f t="shared" si="33"/>
        <v>---</v>
      </c>
      <c r="AE197" s="136" t="str">
        <f t="shared" si="34"/>
        <v>---</v>
      </c>
      <c r="AF197" s="48"/>
      <c r="AG197" s="136" t="e">
        <f>HLOOKUP($E196,$O$183:$Z$186,VLOOKUP(CONCATENATE("II",G$192),$H$184:$K$186,4,FALSE),FALSE)</f>
        <v>#N/A</v>
      </c>
      <c r="AH197" s="136" t="e">
        <f>HLOOKUP($E196,$O$183:$Z$186,VLOOKUP(CONCATENATE("II",L$192),$H$184:$K$186,4,FALSE),FALSE)</f>
        <v>#N/A</v>
      </c>
      <c r="AI197" s="136" t="e">
        <f>HLOOKUP($E196,$O$183:$Z$186,VLOOKUP(CONCATENATE("II",Q$192),$H$184:$K$186,4,FALSE),FALSE)</f>
        <v>#N/A</v>
      </c>
      <c r="AJ197" s="136" t="e">
        <f>HLOOKUP($E196,$O$183:$Z$186,VLOOKUP(CONCATENATE("II",V$192),$H$184:$K$186,4,FALSE),FALSE)</f>
        <v>#N/A</v>
      </c>
      <c r="AK197" s="48"/>
      <c r="AL197" s="481"/>
      <c r="AM197" s="481"/>
      <c r="AN197" s="481"/>
      <c r="AO197" s="481"/>
      <c r="AP197" s="481"/>
      <c r="AQ197" s="481"/>
      <c r="AR197" s="481"/>
      <c r="AS197" s="481"/>
      <c r="AT197" s="481"/>
      <c r="AU197" s="481"/>
      <c r="AV197" s="481"/>
      <c r="AW197" s="481"/>
      <c r="AX197" s="481"/>
      <c r="AY197" s="481"/>
      <c r="AZ197" s="481"/>
      <c r="BA197" s="481"/>
      <c r="BB197" s="481"/>
      <c r="BC197" s="481"/>
      <c r="BD197" s="481"/>
      <c r="BE197" s="481"/>
      <c r="BF197" s="481"/>
      <c r="BG197" s="481"/>
      <c r="BH197" s="481"/>
      <c r="BI197" s="481"/>
      <c r="BJ197" s="481"/>
      <c r="BK197" s="481"/>
      <c r="BL197" s="481"/>
      <c r="BM197" s="481"/>
      <c r="BN197" s="481"/>
      <c r="BO197" s="481"/>
      <c r="BP197" s="481"/>
      <c r="BQ197" s="481"/>
      <c r="BR197" s="481"/>
      <c r="BS197" s="481"/>
      <c r="BT197" s="481"/>
      <c r="BU197" s="481"/>
      <c r="BV197" s="481"/>
      <c r="BW197" s="481"/>
      <c r="BX197" s="481"/>
      <c r="BY197" s="481"/>
      <c r="BZ197" s="481"/>
      <c r="CA197" s="481"/>
      <c r="CB197" s="481"/>
      <c r="CC197" s="481"/>
      <c r="CD197" s="481"/>
      <c r="CE197" s="481"/>
      <c r="CF197" s="481"/>
      <c r="CG197" s="481"/>
      <c r="CH197" s="481"/>
      <c r="CI197" s="481"/>
      <c r="CJ197" s="481"/>
      <c r="CK197" s="481"/>
      <c r="CL197" s="481"/>
    </row>
    <row r="198" spans="1:90" ht="15" hidden="1" customHeight="1" x14ac:dyDescent="0.2">
      <c r="A198" s="186"/>
      <c r="B198" s="1946" t="str">
        <f>B196</f>
        <v>Febbraio</v>
      </c>
      <c r="C198" s="1814"/>
      <c r="D198" s="1947"/>
      <c r="E198" s="244">
        <f>E197</f>
        <v>2</v>
      </c>
      <c r="F198" s="250" t="str">
        <f>IF(G198="","",VLOOKUP(G198,$AH$8:$AL$14,5,FALSE))</f>
        <v/>
      </c>
      <c r="G198" s="1619" t="str">
        <f>IF(F$192="",I$26,IF(AB196=0,HLOOKUP(CONCATENATE("I",G$192),$AB$184:$AJ$187,$K$186,FALSE),IF(AB197=0,HLOOKUP(CONCATENATE("II",G$192),$AB$184:$AJ$187,$K$186,FALSE),IF(AB198=0,HLOOKUP(CONCATENATE("III",G$192),$AB$184:$AJ$187,$K$186,FALSE),I$26))))</f>
        <v/>
      </c>
      <c r="H198" s="1620"/>
      <c r="I198" s="1620"/>
      <c r="J198" s="1621"/>
      <c r="K198" s="250" t="str">
        <f>IF(L198="","",VLOOKUP(L198,$AH$8:$AL$14,5,FALSE))</f>
        <v/>
      </c>
      <c r="L198" s="1619" t="str">
        <f>IF(K$192="",M$26,IF(AC196=0,HLOOKUP(CONCATENATE("I",L$192),$AB$184:$AJ$187,$K$186,FALSE),IF(AC197=0,HLOOKUP(CONCATENATE("II",L$192),$AB$184:$AJ$187,$K$186,FALSE),IF(AC198=0,HLOOKUP(CONCATENATE("III",L$192),$AB$184:$AJ$187,$K$186,FALSE),M$26))))</f>
        <v/>
      </c>
      <c r="M198" s="1620"/>
      <c r="N198" s="1620"/>
      <c r="O198" s="1621"/>
      <c r="P198" s="250" t="str">
        <f>IF(Q198="","",VLOOKUP(Q198,$AH$8:$AL$14,5,FALSE))</f>
        <v/>
      </c>
      <c r="Q198" s="1619" t="str">
        <f>IF(P$192="",U$26,IF(AD196=0,HLOOKUP(CONCATENATE("I",Q$192),$AB$184:$AJ$187,$K$186,FALSE),IF(AD197=0,HLOOKUP(CONCATENATE("II",Q$192),$AB$184:$AJ$187,$K$186,FALSE),IF(AD198=0,HLOOKUP(CONCATENATE("III",Q$192),$AB$184:$AJ$187,$K$186,FALSE),U$26))))</f>
        <v/>
      </c>
      <c r="R198" s="1620"/>
      <c r="S198" s="1620"/>
      <c r="T198" s="1621"/>
      <c r="U198" s="250" t="str">
        <f>IF(V198="","",VLOOKUP(V198,$AH$8:$AL$14,5,FALSE))</f>
        <v/>
      </c>
      <c r="V198" s="1619" t="str">
        <f>IF(U$192="",AC$26,IF(AE196=0,HLOOKUP(CONCATENATE("I",V$192),$AB$184:$AJ$187,$K$186,FALSE),IF(AE197=0,HLOOKUP(CONCATENATE("II",V$192),$AB$184:$AJ$187,$K$186,FALSE),IF(AE198=0,HLOOKUP(CONCATENATE("III",V$192),$AB$184:$AJ$187,$K$186,FALSE),AC$26))))</f>
        <v/>
      </c>
      <c r="W198" s="1620"/>
      <c r="X198" s="1620"/>
      <c r="Y198" s="1621"/>
      <c r="Z198" s="186"/>
      <c r="AA198" s="1327" t="s">
        <v>93</v>
      </c>
      <c r="AB198" s="258" t="str">
        <f t="shared" si="35"/>
        <v>---</v>
      </c>
      <c r="AC198" s="258" t="str">
        <f t="shared" si="32"/>
        <v>---</v>
      </c>
      <c r="AD198" s="258" t="str">
        <f t="shared" si="33"/>
        <v>---</v>
      </c>
      <c r="AE198" s="258" t="str">
        <f t="shared" si="34"/>
        <v>---</v>
      </c>
      <c r="AF198" s="48"/>
      <c r="AG198" s="258" t="e">
        <f>HLOOKUP($E196,$O$183:$Z$186,VLOOKUP(CONCATENATE("III",G$192),$H$184:$K$186,4,FALSE),FALSE)</f>
        <v>#N/A</v>
      </c>
      <c r="AH198" s="258" t="e">
        <f>HLOOKUP($E196,$O$183:$Z$186,VLOOKUP(CONCATENATE("III",L$192),$H$184:$K$186,4,FALSE),FALSE)</f>
        <v>#N/A</v>
      </c>
      <c r="AI198" s="258" t="e">
        <f>HLOOKUP($E196,$O$183:$Z$186,VLOOKUP(CONCATENATE("III",Q$192),$H$184:$K$186,4,FALSE),FALSE)</f>
        <v>#N/A</v>
      </c>
      <c r="AJ198" s="258" t="e">
        <f>HLOOKUP($E196,$O$183:$Z$186,VLOOKUP(CONCATENATE("III",V$192),$H$184:$K$186,4,FALSE),FALSE)</f>
        <v>#N/A</v>
      </c>
      <c r="AK198" s="48"/>
      <c r="AL198" s="481"/>
      <c r="AM198" s="481"/>
      <c r="AN198" s="481"/>
      <c r="AO198" s="481"/>
      <c r="AP198" s="481"/>
      <c r="AQ198" s="481"/>
      <c r="AR198" s="481"/>
      <c r="AS198" s="481"/>
      <c r="AT198" s="481"/>
      <c r="AU198" s="481"/>
      <c r="AV198" s="481"/>
      <c r="AW198" s="481"/>
      <c r="AX198" s="481"/>
      <c r="AY198" s="481"/>
      <c r="AZ198" s="481"/>
      <c r="BA198" s="481"/>
      <c r="BB198" s="481"/>
      <c r="BC198" s="481"/>
      <c r="BD198" s="481"/>
      <c r="BE198" s="481"/>
      <c r="BF198" s="481"/>
      <c r="BG198" s="481"/>
      <c r="BH198" s="481"/>
      <c r="BI198" s="481"/>
      <c r="BJ198" s="481"/>
      <c r="BK198" s="481"/>
      <c r="BL198" s="481"/>
      <c r="BM198" s="481"/>
      <c r="BN198" s="481"/>
      <c r="BO198" s="481"/>
      <c r="BP198" s="481"/>
      <c r="BQ198" s="481"/>
      <c r="BR198" s="481"/>
      <c r="BS198" s="481"/>
      <c r="BT198" s="481"/>
      <c r="BU198" s="481"/>
      <c r="BV198" s="481"/>
      <c r="BW198" s="481"/>
      <c r="BX198" s="481"/>
      <c r="BY198" s="481"/>
      <c r="BZ198" s="481"/>
      <c r="CA198" s="481"/>
      <c r="CB198" s="481"/>
      <c r="CC198" s="481"/>
      <c r="CD198" s="481"/>
      <c r="CE198" s="481"/>
      <c r="CF198" s="481"/>
      <c r="CG198" s="481"/>
      <c r="CH198" s="481"/>
      <c r="CI198" s="481"/>
      <c r="CJ198" s="481"/>
      <c r="CK198" s="481"/>
      <c r="CL198" s="481"/>
    </row>
    <row r="199" spans="1:90" ht="15" hidden="1" customHeight="1" x14ac:dyDescent="0.2">
      <c r="A199" s="186"/>
      <c r="B199" s="1950" t="str">
        <f>C159</f>
        <v>Marzo</v>
      </c>
      <c r="C199" s="1725"/>
      <c r="D199" s="1951"/>
      <c r="E199" s="242">
        <f>Q183</f>
        <v>3</v>
      </c>
      <c r="F199" s="247" t="str">
        <f>IF(G199="","",VLOOKUP(G199,$K$8:$O$14,5,FALSE))</f>
        <v/>
      </c>
      <c r="G199" s="1616" t="str">
        <f>IF(F$192="",I$24,IF(AB199=0,HLOOKUP(CONCATENATE("I",G$192),$AB$184:$AJ$187,$K$184,FALSE),IF(AB200=0,HLOOKUP(CONCATENATE("II",G$192),$AB$184:$AJ$187,$K$184,FALSE),IF(AB201=0,HLOOKUP(CONCATENATE("III",G$192),$AB$184:$AJ$187,$K$184,FALSE),I$24))))</f>
        <v/>
      </c>
      <c r="H199" s="1617"/>
      <c r="I199" s="1617"/>
      <c r="J199" s="1618"/>
      <c r="K199" s="247" t="str">
        <f>IF(L199="","",VLOOKUP(L199,$K$8:$O$14,5,FALSE))</f>
        <v/>
      </c>
      <c r="L199" s="1616" t="str">
        <f>IF(K$192="",M$24,IF(AC199=0,HLOOKUP(CONCATENATE("I",L$192),$AB$184:$AJ$187,$K$184,FALSE),IF(AC200=0,HLOOKUP(CONCATENATE("II",L$192),$AB$184:$AJ$187,$K$184,FALSE),IF(AC201=0,HLOOKUP(CONCATENATE("III",L$192),$AB$184:$AJ$187,$K$184,FALSE),M$24))))</f>
        <v/>
      </c>
      <c r="M199" s="1617"/>
      <c r="N199" s="1617"/>
      <c r="O199" s="1618"/>
      <c r="P199" s="247" t="str">
        <f>IF(Q199="","",VLOOKUP(Q199,$K$8:$O$14,5,FALSE))</f>
        <v/>
      </c>
      <c r="Q199" s="1616" t="str">
        <f>IF(P$192="",U$24,IF(AD199=0,HLOOKUP(CONCATENATE("I",Q$192),$AB$184:$AJ$187,$K$184,FALSE),IF(AD200=0,HLOOKUP(CONCATENATE("II",Q$192),$AB$184:$AJ$187,$K$184,FALSE),IF(AD201=0,HLOOKUP(CONCATENATE("III",Q$192),$AB$184:$AJ$187,$K$184,FALSE),U$24))))</f>
        <v/>
      </c>
      <c r="R199" s="1617"/>
      <c r="S199" s="1617"/>
      <c r="T199" s="1618"/>
      <c r="U199" s="247" t="str">
        <f>IF(V199="","",VLOOKUP(V199,$K$8:$O$14,5,FALSE))</f>
        <v/>
      </c>
      <c r="V199" s="1616" t="str">
        <f>IF(U$192="",AC$24,IF(AE199=0,HLOOKUP(CONCATENATE("I",V$192),$AB$184:$AJ$187,$K$184,FALSE),IF(AE200=0,HLOOKUP(CONCATENATE("II",V$192),$AB$184:$AJ$187,$K$184,FALSE),IF(AE201=0,HLOOKUP(CONCATENATE("III",V$192),$AB$184:$AJ$187,$K$184,FALSE),AC$24))))</f>
        <v/>
      </c>
      <c r="W199" s="1617"/>
      <c r="X199" s="1617"/>
      <c r="Y199" s="1618"/>
      <c r="Z199" s="186"/>
      <c r="AA199" s="1326" t="s">
        <v>171</v>
      </c>
      <c r="AB199" s="259" t="str">
        <f t="shared" si="35"/>
        <v>---</v>
      </c>
      <c r="AC199" s="259" t="str">
        <f t="shared" si="32"/>
        <v>---</v>
      </c>
      <c r="AD199" s="259" t="str">
        <f t="shared" si="33"/>
        <v>---</v>
      </c>
      <c r="AE199" s="259" t="str">
        <f t="shared" si="34"/>
        <v>---</v>
      </c>
      <c r="AF199" s="48"/>
      <c r="AG199" s="259" t="e">
        <f>HLOOKUP($E199,$O$183:$Z$186,VLOOKUP(CONCATENATE("I",G$192),$H$184:$K$186,4,FALSE),FALSE)</f>
        <v>#N/A</v>
      </c>
      <c r="AH199" s="259" t="e">
        <f>HLOOKUP($E199,$O$183:$Z$186,VLOOKUP(CONCATENATE("I",L$192),$H$184:$K$186,4,FALSE),FALSE)</f>
        <v>#N/A</v>
      </c>
      <c r="AI199" s="259" t="e">
        <f>HLOOKUP($E199,$O$183:$Z$186,VLOOKUP(CONCATENATE("I",Q$192),$H$184:$K$186,4,FALSE),FALSE)</f>
        <v>#N/A</v>
      </c>
      <c r="AJ199" s="259" t="e">
        <f>HLOOKUP($E199,$O$183:$Z$186,VLOOKUP(CONCATENATE("I",V$192),$H$184:$K$186,4,FALSE),FALSE)</f>
        <v>#N/A</v>
      </c>
      <c r="AK199" s="48"/>
      <c r="AL199" s="481"/>
      <c r="AM199" s="481"/>
      <c r="AN199" s="481"/>
      <c r="AO199" s="481"/>
      <c r="AP199" s="481"/>
      <c r="AQ199" s="481"/>
      <c r="AR199" s="481"/>
      <c r="AS199" s="481"/>
      <c r="AT199" s="481"/>
      <c r="AU199" s="481"/>
      <c r="AV199" s="481"/>
      <c r="AW199" s="481"/>
      <c r="AX199" s="481"/>
      <c r="AY199" s="481"/>
      <c r="AZ199" s="481"/>
      <c r="BA199" s="481"/>
      <c r="BB199" s="481"/>
      <c r="BC199" s="481"/>
      <c r="BD199" s="481"/>
      <c r="BE199" s="481"/>
      <c r="BF199" s="481"/>
      <c r="BG199" s="481"/>
      <c r="BH199" s="481"/>
      <c r="BI199" s="481"/>
      <c r="BJ199" s="481"/>
      <c r="BK199" s="481"/>
      <c r="BL199" s="481"/>
      <c r="BM199" s="481"/>
      <c r="BN199" s="481"/>
      <c r="BO199" s="481"/>
      <c r="BP199" s="481"/>
      <c r="BQ199" s="481"/>
      <c r="BR199" s="481"/>
      <c r="BS199" s="481"/>
      <c r="BT199" s="481"/>
      <c r="BU199" s="481"/>
      <c r="BV199" s="481"/>
      <c r="BW199" s="481"/>
      <c r="BX199" s="481"/>
      <c r="BY199" s="481"/>
      <c r="BZ199" s="481"/>
      <c r="CA199" s="481"/>
      <c r="CB199" s="481"/>
      <c r="CC199" s="481"/>
      <c r="CD199" s="481"/>
      <c r="CE199" s="481"/>
      <c r="CF199" s="481"/>
      <c r="CG199" s="481"/>
      <c r="CH199" s="481"/>
      <c r="CI199" s="481"/>
      <c r="CJ199" s="481"/>
      <c r="CK199" s="481"/>
      <c r="CL199" s="481"/>
    </row>
    <row r="200" spans="1:90" ht="15" hidden="1" customHeight="1" x14ac:dyDescent="0.2">
      <c r="A200" s="186"/>
      <c r="B200" s="1696" t="str">
        <f>B199</f>
        <v>Marzo</v>
      </c>
      <c r="C200" s="1948"/>
      <c r="D200" s="1949"/>
      <c r="E200" s="244">
        <f>E199</f>
        <v>3</v>
      </c>
      <c r="F200" s="248" t="str">
        <f>IF(G200="- - - - - - -","",VLOOKUP(G200,$Y$131:$AC$145,5,FALSE))</f>
        <v/>
      </c>
      <c r="G200" s="1678" t="str">
        <f>IF(F$192="",I$25,IF(AB199=0,HLOOKUP(CONCATENATE("I",G$192),$AB$184:$AJ$187,$K$185,FALSE),IF(AB200=0,HLOOKUP(CONCATENATE("II",G$192),$AB$184:$AJ$187,$K$185,FALSE),IF(AB201=0,HLOOKUP(CONCATENATE("III",G$192),$AB$184:$AJ$187,$K$185,FALSE),I$25))))</f>
        <v>- - - - - - -</v>
      </c>
      <c r="H200" s="1679"/>
      <c r="I200" s="1679"/>
      <c r="J200" s="1680"/>
      <c r="K200" s="248" t="str">
        <f>IF(L200="- - - - - - -","",VLOOKUP(L200,$Y$131:$AC$145,5,FALSE))</f>
        <v/>
      </c>
      <c r="L200" s="1678" t="str">
        <f>IF(K$192="",M$25,IF(AC199=0,HLOOKUP(CONCATENATE("I",L$192),$AB$184:$AJ$187,$K$185,FALSE),IF(AC200=0,HLOOKUP(CONCATENATE("II",L$192),$AB$184:$AJ$187,$K$185,FALSE),IF(AC201=0,HLOOKUP(CONCATENATE("III",L$192),$AB$184:$AJ$187,$K$185,FALSE),M$25))))</f>
        <v>- - - - - - -</v>
      </c>
      <c r="M200" s="1679"/>
      <c r="N200" s="1679"/>
      <c r="O200" s="1680"/>
      <c r="P200" s="248" t="str">
        <f>IF(Q200="- - - - - - -","",VLOOKUP(Q200,$Y$131:$AC$145,5,FALSE))</f>
        <v/>
      </c>
      <c r="Q200" s="1678" t="str">
        <f>IF(P$192="",U$25,IF(AD199=0,HLOOKUP(CONCATENATE("I",Q$192),$AB$184:$AJ$187,$K$185,FALSE),IF(AD200=0,HLOOKUP(CONCATENATE("II",Q$192),$AB$184:$AJ$187,$K$185,FALSE),IF(AD201=0,HLOOKUP(CONCATENATE("III",Q$192),$AB$184:$AJ$187,$K$185,FALSE),U$25))))</f>
        <v>- - - - - - -</v>
      </c>
      <c r="R200" s="1679"/>
      <c r="S200" s="1679"/>
      <c r="T200" s="1680"/>
      <c r="U200" s="248" t="str">
        <f>IF(V200="- - - - - - -","",VLOOKUP(V200,$Y$131:$AC$145,5,FALSE))</f>
        <v/>
      </c>
      <c r="V200" s="1678" t="str">
        <f>IF(U$192="",AC$25,IF(AE199=0,HLOOKUP(CONCATENATE("I",V$192),$AB$184:$AJ$187,$K$185,FALSE),IF(AE200=0,HLOOKUP(CONCATENATE("II",V$192),$AB$184:$AJ$187,$K$185,FALSE),IF(AE201=0,HLOOKUP(CONCATENATE("III",V$192),$AB$184:$AJ$187,$K$185,FALSE),AC$25))))</f>
        <v>- - - - - - -</v>
      </c>
      <c r="W200" s="1679"/>
      <c r="X200" s="1679"/>
      <c r="Y200" s="1680"/>
      <c r="Z200" s="186"/>
      <c r="AA200" s="573" t="s">
        <v>92</v>
      </c>
      <c r="AB200" s="136" t="str">
        <f t="shared" si="35"/>
        <v>---</v>
      </c>
      <c r="AC200" s="136" t="str">
        <f t="shared" si="32"/>
        <v>---</v>
      </c>
      <c r="AD200" s="136" t="str">
        <f t="shared" si="33"/>
        <v>---</v>
      </c>
      <c r="AE200" s="136" t="str">
        <f t="shared" si="34"/>
        <v>---</v>
      </c>
      <c r="AF200" s="48"/>
      <c r="AG200" s="136" t="e">
        <f>HLOOKUP($E199,$O$183:$Z$186,VLOOKUP(CONCATENATE("II",G$192),$H$184:$K$186,4,FALSE),FALSE)</f>
        <v>#N/A</v>
      </c>
      <c r="AH200" s="136" t="e">
        <f>HLOOKUP($E199,$O$183:$Z$186,VLOOKUP(CONCATENATE("II",L$192),$H$184:$K$186,4,FALSE),FALSE)</f>
        <v>#N/A</v>
      </c>
      <c r="AI200" s="136" t="e">
        <f>HLOOKUP($E199,$O$183:$Z$186,VLOOKUP(CONCATENATE("II",Q$192),$H$184:$K$186,4,FALSE),FALSE)</f>
        <v>#N/A</v>
      </c>
      <c r="AJ200" s="136" t="e">
        <f>HLOOKUP($E199,$O$183:$Z$186,VLOOKUP(CONCATENATE("II",V$192),$H$184:$K$186,4,FALSE),FALSE)</f>
        <v>#N/A</v>
      </c>
      <c r="AK200" s="48"/>
      <c r="AL200" s="481"/>
      <c r="AM200" s="481"/>
      <c r="AN200" s="481"/>
      <c r="AO200" s="481"/>
      <c r="AP200" s="481"/>
      <c r="AQ200" s="481"/>
      <c r="AR200" s="481"/>
      <c r="AS200" s="481"/>
      <c r="AT200" s="481"/>
      <c r="AU200" s="481"/>
      <c r="AV200" s="481"/>
      <c r="AW200" s="481"/>
      <c r="AX200" s="481"/>
      <c r="AY200" s="481"/>
      <c r="AZ200" s="481"/>
      <c r="BA200" s="481"/>
      <c r="BB200" s="481"/>
      <c r="BC200" s="481"/>
      <c r="BD200" s="481"/>
      <c r="BE200" s="481"/>
      <c r="BF200" s="481"/>
      <c r="BG200" s="481"/>
      <c r="BH200" s="481"/>
      <c r="BI200" s="481"/>
      <c r="BJ200" s="481"/>
      <c r="BK200" s="481"/>
      <c r="BL200" s="481"/>
      <c r="BM200" s="481"/>
      <c r="BN200" s="481"/>
      <c r="BO200" s="481"/>
      <c r="BP200" s="481"/>
      <c r="BQ200" s="481"/>
      <c r="BR200" s="481"/>
      <c r="BS200" s="481"/>
      <c r="BT200" s="481"/>
      <c r="BU200" s="481"/>
      <c r="BV200" s="481"/>
      <c r="BW200" s="481"/>
      <c r="BX200" s="481"/>
      <c r="BY200" s="481"/>
      <c r="BZ200" s="481"/>
      <c r="CA200" s="481"/>
      <c r="CB200" s="481"/>
      <c r="CC200" s="481"/>
      <c r="CD200" s="481"/>
      <c r="CE200" s="481"/>
      <c r="CF200" s="481"/>
      <c r="CG200" s="481"/>
      <c r="CH200" s="481"/>
      <c r="CI200" s="481"/>
      <c r="CJ200" s="481"/>
      <c r="CK200" s="481"/>
      <c r="CL200" s="481"/>
    </row>
    <row r="201" spans="1:90" ht="15" hidden="1" customHeight="1" x14ac:dyDescent="0.2">
      <c r="A201" s="186"/>
      <c r="B201" s="1946" t="str">
        <f>B199</f>
        <v>Marzo</v>
      </c>
      <c r="C201" s="1814"/>
      <c r="D201" s="1947"/>
      <c r="E201" s="244">
        <f>E200</f>
        <v>3</v>
      </c>
      <c r="F201" s="250" t="str">
        <f>IF(G201="","",VLOOKUP(G201,$AH$8:$AL$14,5,FALSE))</f>
        <v/>
      </c>
      <c r="G201" s="1619" t="str">
        <f>IF(F$192="",I$26,IF(AB199=0,HLOOKUP(CONCATENATE("I",G$192),$AB$184:$AJ$187,$K$186,FALSE),IF(AB200=0,HLOOKUP(CONCATENATE("II",G$192),$AB$184:$AJ$187,$K$186,FALSE),IF(AB201=0,HLOOKUP(CONCATENATE("III",G$192),$AB$184:$AJ$187,$K$186,FALSE),I$26))))</f>
        <v/>
      </c>
      <c r="H201" s="1620"/>
      <c r="I201" s="1620"/>
      <c r="J201" s="1621"/>
      <c r="K201" s="250" t="str">
        <f>IF(L201="","",VLOOKUP(L201,$AH$8:$AL$14,5,FALSE))</f>
        <v/>
      </c>
      <c r="L201" s="1619" t="str">
        <f>IF(K$192="",M$26,IF(AC199=0,HLOOKUP(CONCATENATE("I",L$192),$AB$184:$AJ$187,$K$186,FALSE),IF(AC200=0,HLOOKUP(CONCATENATE("II",L$192),$AB$184:$AJ$187,$K$186,FALSE),IF(AC201=0,HLOOKUP(CONCATENATE("III",L$192),$AB$184:$AJ$187,$K$186,FALSE),M$26))))</f>
        <v/>
      </c>
      <c r="M201" s="1620"/>
      <c r="N201" s="1620"/>
      <c r="O201" s="1621"/>
      <c r="P201" s="250" t="str">
        <f>IF(Q201="","",VLOOKUP(Q201,$AH$8:$AL$14,5,FALSE))</f>
        <v/>
      </c>
      <c r="Q201" s="1619" t="str">
        <f>IF(P$192="",U$26,IF(AD199=0,HLOOKUP(CONCATENATE("I",Q$192),$AB$184:$AJ$187,$K$186,FALSE),IF(AD200=0,HLOOKUP(CONCATENATE("II",Q$192),$AB$184:$AJ$187,$K$186,FALSE),IF(AD201=0,HLOOKUP(CONCATENATE("III",Q$192),$AB$184:$AJ$187,$K$186,FALSE),U$26))))</f>
        <v/>
      </c>
      <c r="R201" s="1620"/>
      <c r="S201" s="1620"/>
      <c r="T201" s="1621"/>
      <c r="U201" s="250" t="str">
        <f>IF(V201="","",VLOOKUP(V201,$AH$8:$AL$14,5,FALSE))</f>
        <v/>
      </c>
      <c r="V201" s="1619" t="str">
        <f>IF(U$192="",AC$26,IF(AE199=0,HLOOKUP(CONCATENATE("I",V$192),$AB$184:$AJ$187,$K$186,FALSE),IF(AE200=0,HLOOKUP(CONCATENATE("II",V$192),$AB$184:$AJ$187,$K$186,FALSE),IF(AE201=0,HLOOKUP(CONCATENATE("III",V$192),$AB$184:$AJ$187,$K$186,FALSE),AC$26))))</f>
        <v/>
      </c>
      <c r="W201" s="1620"/>
      <c r="X201" s="1620"/>
      <c r="Y201" s="1621"/>
      <c r="Z201" s="186"/>
      <c r="AA201" s="1327" t="s">
        <v>93</v>
      </c>
      <c r="AB201" s="258" t="str">
        <f t="shared" si="35"/>
        <v>---</v>
      </c>
      <c r="AC201" s="258" t="str">
        <f t="shared" si="32"/>
        <v>---</v>
      </c>
      <c r="AD201" s="258" t="str">
        <f t="shared" si="33"/>
        <v>---</v>
      </c>
      <c r="AE201" s="258" t="str">
        <f t="shared" si="34"/>
        <v>---</v>
      </c>
      <c r="AF201" s="48"/>
      <c r="AG201" s="258" t="e">
        <f>HLOOKUP($E199,$O$183:$Z$186,VLOOKUP(CONCATENATE("III",G$192),$H$184:$K$186,4,FALSE),FALSE)</f>
        <v>#N/A</v>
      </c>
      <c r="AH201" s="258" t="e">
        <f>HLOOKUP($E199,$O$183:$Z$186,VLOOKUP(CONCATENATE("III",L$192),$H$184:$K$186,4,FALSE),FALSE)</f>
        <v>#N/A</v>
      </c>
      <c r="AI201" s="258" t="e">
        <f>HLOOKUP($E199,$O$183:$Z$186,VLOOKUP(CONCATENATE("III",Q$192),$H$184:$K$186,4,FALSE),FALSE)</f>
        <v>#N/A</v>
      </c>
      <c r="AJ201" s="258" t="e">
        <f>HLOOKUP($E199,$O$183:$Z$186,VLOOKUP(CONCATENATE("III",V$192),$H$184:$K$186,4,FALSE),FALSE)</f>
        <v>#N/A</v>
      </c>
      <c r="AK201" s="48"/>
      <c r="AL201" s="481"/>
      <c r="AM201" s="481"/>
      <c r="AN201" s="481"/>
      <c r="AO201" s="481"/>
      <c r="AP201" s="481"/>
      <c r="AQ201" s="481"/>
      <c r="AR201" s="481"/>
      <c r="AS201" s="481"/>
      <c r="AT201" s="481"/>
      <c r="AU201" s="481"/>
      <c r="AV201" s="481"/>
      <c r="AW201" s="481"/>
      <c r="AX201" s="481"/>
      <c r="AY201" s="481"/>
      <c r="AZ201" s="481"/>
      <c r="BA201" s="481"/>
      <c r="BB201" s="481"/>
      <c r="BC201" s="481"/>
      <c r="BD201" s="481"/>
      <c r="BE201" s="481"/>
      <c r="BF201" s="481"/>
      <c r="BG201" s="481"/>
      <c r="BH201" s="481"/>
      <c r="BI201" s="481"/>
      <c r="BJ201" s="481"/>
      <c r="BK201" s="481"/>
      <c r="BL201" s="481"/>
      <c r="BM201" s="481"/>
      <c r="BN201" s="481"/>
      <c r="BO201" s="481"/>
      <c r="BP201" s="481"/>
      <c r="BQ201" s="481"/>
      <c r="BR201" s="481"/>
      <c r="BS201" s="481"/>
      <c r="BT201" s="481"/>
      <c r="BU201" s="481"/>
      <c r="BV201" s="481"/>
      <c r="BW201" s="481"/>
      <c r="BX201" s="481"/>
      <c r="BY201" s="481"/>
      <c r="BZ201" s="481"/>
      <c r="CA201" s="481"/>
      <c r="CB201" s="481"/>
      <c r="CC201" s="481"/>
      <c r="CD201" s="481"/>
      <c r="CE201" s="481"/>
      <c r="CF201" s="481"/>
      <c r="CG201" s="481"/>
      <c r="CH201" s="481"/>
      <c r="CI201" s="481"/>
      <c r="CJ201" s="481"/>
      <c r="CK201" s="481"/>
      <c r="CL201" s="481"/>
    </row>
    <row r="202" spans="1:90" ht="15" hidden="1" customHeight="1" x14ac:dyDescent="0.2">
      <c r="A202" s="186"/>
      <c r="B202" s="1950" t="str">
        <f>C160</f>
        <v>Aprile</v>
      </c>
      <c r="C202" s="1725"/>
      <c r="D202" s="1951"/>
      <c r="E202" s="242">
        <f>R183</f>
        <v>4</v>
      </c>
      <c r="F202" s="247" t="str">
        <f>IF(G202="","",VLOOKUP(G202,$K$8:$O$14,5,FALSE))</f>
        <v/>
      </c>
      <c r="G202" s="1616" t="str">
        <f>IF(F$192="",I$24,IF(AB202=0,HLOOKUP(CONCATENATE("I",G$192),$AB$184:$AJ$187,$K$184,FALSE),IF(AB203=0,HLOOKUP(CONCATENATE("II",G$192),$AB$184:$AJ$187,$K$184,FALSE),IF(AB204=0,HLOOKUP(CONCATENATE("III",G$192),$AB$184:$AJ$187,$K$184,FALSE),I$24))))</f>
        <v/>
      </c>
      <c r="H202" s="1617"/>
      <c r="I202" s="1617"/>
      <c r="J202" s="1618"/>
      <c r="K202" s="247" t="str">
        <f>IF(L202="","",VLOOKUP(L202,$K$8:$O$14,5,FALSE))</f>
        <v/>
      </c>
      <c r="L202" s="1616" t="str">
        <f>IF(K$192="",M$24,IF(AC202=0,HLOOKUP(CONCATENATE("I",L$192),$AB$184:$AJ$187,$K$184,FALSE),IF(AC203=0,HLOOKUP(CONCATENATE("II",L$192),$AB$184:$AJ$187,$K$184,FALSE),IF(AC204=0,HLOOKUP(CONCATENATE("III",L$192),$AB$184:$AJ$187,$K$184,FALSE),M$24))))</f>
        <v/>
      </c>
      <c r="M202" s="1617"/>
      <c r="N202" s="1617"/>
      <c r="O202" s="1618"/>
      <c r="P202" s="247" t="str">
        <f>IF(Q202="","",VLOOKUP(Q202,$K$8:$O$14,5,FALSE))</f>
        <v/>
      </c>
      <c r="Q202" s="1616" t="str">
        <f>IF(P$192="",U$24,IF(AD202=0,HLOOKUP(CONCATENATE("I",Q$192),$AB$184:$AJ$187,$K$184,FALSE),IF(AD203=0,HLOOKUP(CONCATENATE("II",Q$192),$AB$184:$AJ$187,$K$184,FALSE),IF(AD204=0,HLOOKUP(CONCATENATE("III",Q$192),$AB$184:$AJ$187,$K$184,FALSE),U$24))))</f>
        <v/>
      </c>
      <c r="R202" s="1617"/>
      <c r="S202" s="1617"/>
      <c r="T202" s="1618"/>
      <c r="U202" s="247" t="str">
        <f>IF(V202="","",VLOOKUP(V202,$K$8:$O$14,5,FALSE))</f>
        <v/>
      </c>
      <c r="V202" s="1616" t="str">
        <f>IF(U$192="",AC$24,IF(AE202=0,HLOOKUP(CONCATENATE("I",V$192),$AB$184:$AJ$187,$K$184,FALSE),IF(AE203=0,HLOOKUP(CONCATENATE("II",V$192),$AB$184:$AJ$187,$K$184,FALSE),IF(AE204=0,HLOOKUP(CONCATENATE("III",V$192),$AB$184:$AJ$187,$K$184,FALSE),AC$24))))</f>
        <v/>
      </c>
      <c r="W202" s="1617"/>
      <c r="X202" s="1617"/>
      <c r="Y202" s="1618"/>
      <c r="Z202" s="186"/>
      <c r="AA202" s="1326" t="s">
        <v>171</v>
      </c>
      <c r="AB202" s="259" t="str">
        <f t="shared" si="35"/>
        <v>---</v>
      </c>
      <c r="AC202" s="259" t="str">
        <f t="shared" si="32"/>
        <v>---</v>
      </c>
      <c r="AD202" s="259" t="str">
        <f t="shared" si="33"/>
        <v>---</v>
      </c>
      <c r="AE202" s="259" t="str">
        <f t="shared" si="34"/>
        <v>---</v>
      </c>
      <c r="AF202" s="48"/>
      <c r="AG202" s="259" t="e">
        <f>HLOOKUP($E202,$O$183:$Z$186,VLOOKUP(CONCATENATE("I",G$192),$H$184:$K$186,4,FALSE),FALSE)</f>
        <v>#N/A</v>
      </c>
      <c r="AH202" s="259" t="e">
        <f>HLOOKUP($E202,$O$183:$Z$186,VLOOKUP(CONCATENATE("I",L$192),$H$184:$K$186,4,FALSE),FALSE)</f>
        <v>#N/A</v>
      </c>
      <c r="AI202" s="259" t="e">
        <f>HLOOKUP($E202,$O$183:$Z$186,VLOOKUP(CONCATENATE("I",Q$192),$H$184:$K$186,4,FALSE),FALSE)</f>
        <v>#N/A</v>
      </c>
      <c r="AJ202" s="259" t="e">
        <f>HLOOKUP($E202,$O$183:$Z$186,VLOOKUP(CONCATENATE("I",V$192),$H$184:$K$186,4,FALSE),FALSE)</f>
        <v>#N/A</v>
      </c>
      <c r="AK202" s="48"/>
      <c r="AL202" s="481"/>
      <c r="AM202" s="481"/>
      <c r="AN202" s="481"/>
      <c r="AO202" s="481"/>
      <c r="AP202" s="481"/>
      <c r="AQ202" s="481"/>
      <c r="AR202" s="481"/>
      <c r="AS202" s="481"/>
      <c r="AT202" s="481"/>
      <c r="AU202" s="481"/>
      <c r="AV202" s="481"/>
      <c r="AW202" s="481"/>
      <c r="AX202" s="481"/>
      <c r="AY202" s="481"/>
      <c r="AZ202" s="481"/>
      <c r="BA202" s="481"/>
      <c r="BB202" s="481"/>
      <c r="BC202" s="481"/>
      <c r="BD202" s="481"/>
      <c r="BE202" s="481"/>
      <c r="BF202" s="481"/>
      <c r="BG202" s="481"/>
      <c r="BH202" s="481"/>
      <c r="BI202" s="481"/>
      <c r="BJ202" s="481"/>
      <c r="BK202" s="481"/>
      <c r="BL202" s="481"/>
      <c r="BM202" s="481"/>
      <c r="BN202" s="481"/>
      <c r="BO202" s="481"/>
      <c r="BP202" s="481"/>
      <c r="BQ202" s="481"/>
      <c r="BR202" s="481"/>
      <c r="BS202" s="481"/>
      <c r="BT202" s="481"/>
      <c r="BU202" s="481"/>
      <c r="BV202" s="481"/>
      <c r="BW202" s="481"/>
      <c r="BX202" s="481"/>
      <c r="BY202" s="481"/>
      <c r="BZ202" s="481"/>
      <c r="CA202" s="481"/>
      <c r="CB202" s="481"/>
      <c r="CC202" s="481"/>
      <c r="CD202" s="481"/>
      <c r="CE202" s="481"/>
      <c r="CF202" s="481"/>
      <c r="CG202" s="481"/>
      <c r="CH202" s="481"/>
      <c r="CI202" s="481"/>
      <c r="CJ202" s="481"/>
      <c r="CK202" s="481"/>
      <c r="CL202" s="481"/>
    </row>
    <row r="203" spans="1:90" ht="15" hidden="1" customHeight="1" x14ac:dyDescent="0.2">
      <c r="A203" s="186"/>
      <c r="B203" s="1696" t="str">
        <f>B202</f>
        <v>Aprile</v>
      </c>
      <c r="C203" s="1948"/>
      <c r="D203" s="1949"/>
      <c r="E203" s="244">
        <f>E202</f>
        <v>4</v>
      </c>
      <c r="F203" s="248" t="str">
        <f>IF(G203="- - - - - - -","",VLOOKUP(G203,$Y$131:$AC$145,5,FALSE))</f>
        <v/>
      </c>
      <c r="G203" s="1678" t="str">
        <f>IF(F$192="",I$25,IF(AB202=0,HLOOKUP(CONCATENATE("I",G$192),$AB$184:$AJ$187,$K$185,FALSE),IF(AB203=0,HLOOKUP(CONCATENATE("II",G$192),$AB$184:$AJ$187,$K$185,FALSE),IF(AB204=0,HLOOKUP(CONCATENATE("III",G$192),$AB$184:$AJ$187,$K$185,FALSE),I$25))))</f>
        <v>- - - - - - -</v>
      </c>
      <c r="H203" s="1679"/>
      <c r="I203" s="1679"/>
      <c r="J203" s="1680"/>
      <c r="K203" s="248" t="str">
        <f>IF(L203="- - - - - - -","",VLOOKUP(L203,$Y$131:$AC$145,5,FALSE))</f>
        <v/>
      </c>
      <c r="L203" s="1678" t="str">
        <f>IF(K$192="",M$25,IF(AC202=0,HLOOKUP(CONCATENATE("I",L$192),$AB$184:$AJ$187,$K$185,FALSE),IF(AC203=0,HLOOKUP(CONCATENATE("II",L$192),$AB$184:$AJ$187,$K$185,FALSE),IF(AC204=0,HLOOKUP(CONCATENATE("III",L$192),$AB$184:$AJ$187,$K$185,FALSE),M$25))))</f>
        <v>- - - - - - -</v>
      </c>
      <c r="M203" s="1679"/>
      <c r="N203" s="1679"/>
      <c r="O203" s="1680"/>
      <c r="P203" s="248" t="str">
        <f>IF(Q203="- - - - - - -","",VLOOKUP(Q203,$Y$131:$AC$145,5,FALSE))</f>
        <v/>
      </c>
      <c r="Q203" s="1678" t="str">
        <f>IF(P$192="",U$25,IF(AD202=0,HLOOKUP(CONCATENATE("I",Q$192),$AB$184:$AJ$187,$K$185,FALSE),IF(AD203=0,HLOOKUP(CONCATENATE("II",Q$192),$AB$184:$AJ$187,$K$185,FALSE),IF(AD204=0,HLOOKUP(CONCATENATE("III",Q$192),$AB$184:$AJ$187,$K$185,FALSE),U$25))))</f>
        <v>- - - - - - -</v>
      </c>
      <c r="R203" s="1679"/>
      <c r="S203" s="1679"/>
      <c r="T203" s="1680"/>
      <c r="U203" s="248" t="str">
        <f>IF(V203="- - - - - - -","",VLOOKUP(V203,$Y$131:$AC$145,5,FALSE))</f>
        <v/>
      </c>
      <c r="V203" s="1678" t="str">
        <f>IF(U$192="",AC$25,IF(AE202=0,HLOOKUP(CONCATENATE("I",V$192),$AB$184:$AJ$187,$K$185,FALSE),IF(AE203=0,HLOOKUP(CONCATENATE("II",V$192),$AB$184:$AJ$187,$K$185,FALSE),IF(AE204=0,HLOOKUP(CONCATENATE("III",V$192),$AB$184:$AJ$187,$K$185,FALSE),AC$25))))</f>
        <v>- - - - - - -</v>
      </c>
      <c r="W203" s="1679"/>
      <c r="X203" s="1679"/>
      <c r="Y203" s="1680"/>
      <c r="Z203" s="186"/>
      <c r="AA203" s="573" t="s">
        <v>92</v>
      </c>
      <c r="AB203" s="136" t="str">
        <f t="shared" si="35"/>
        <v>---</v>
      </c>
      <c r="AC203" s="136" t="str">
        <f t="shared" si="32"/>
        <v>---</v>
      </c>
      <c r="AD203" s="136" t="str">
        <f t="shared" si="33"/>
        <v>---</v>
      </c>
      <c r="AE203" s="136" t="str">
        <f t="shared" si="34"/>
        <v>---</v>
      </c>
      <c r="AF203" s="48"/>
      <c r="AG203" s="136" t="e">
        <f>HLOOKUP($E202,$O$183:$Z$186,VLOOKUP(CONCATENATE("II",G$192),$H$184:$K$186,4,FALSE),FALSE)</f>
        <v>#N/A</v>
      </c>
      <c r="AH203" s="136" t="e">
        <f>HLOOKUP($E202,$O$183:$Z$186,VLOOKUP(CONCATENATE("II",L$192),$H$184:$K$186,4,FALSE),FALSE)</f>
        <v>#N/A</v>
      </c>
      <c r="AI203" s="136" t="e">
        <f>HLOOKUP($E202,$O$183:$Z$186,VLOOKUP(CONCATENATE("II",Q$192),$H$184:$K$186,4,FALSE),FALSE)</f>
        <v>#N/A</v>
      </c>
      <c r="AJ203" s="136" t="e">
        <f>HLOOKUP($E202,$O$183:$Z$186,VLOOKUP(CONCATENATE("II",V$192),$H$184:$K$186,4,FALSE),FALSE)</f>
        <v>#N/A</v>
      </c>
      <c r="AK203" s="48"/>
      <c r="AL203" s="481"/>
      <c r="AM203" s="481"/>
      <c r="AN203" s="481"/>
      <c r="AO203" s="481"/>
      <c r="AP203" s="481"/>
      <c r="AQ203" s="481"/>
      <c r="AR203" s="481"/>
      <c r="AS203" s="481"/>
      <c r="AT203" s="481"/>
      <c r="AU203" s="481"/>
      <c r="AV203" s="481"/>
      <c r="AW203" s="481"/>
      <c r="AX203" s="481"/>
      <c r="AY203" s="481"/>
      <c r="AZ203" s="481"/>
      <c r="BA203" s="481"/>
      <c r="BB203" s="481"/>
      <c r="BC203" s="481"/>
      <c r="BD203" s="481"/>
      <c r="BE203" s="481"/>
      <c r="BF203" s="481"/>
      <c r="BG203" s="481"/>
      <c r="BH203" s="481"/>
      <c r="BI203" s="481"/>
      <c r="BJ203" s="481"/>
      <c r="BK203" s="481"/>
      <c r="BL203" s="481"/>
      <c r="BM203" s="481"/>
      <c r="BN203" s="481"/>
      <c r="BO203" s="481"/>
      <c r="BP203" s="481"/>
      <c r="BQ203" s="481"/>
      <c r="BR203" s="481"/>
      <c r="BS203" s="481"/>
      <c r="BT203" s="481"/>
      <c r="BU203" s="481"/>
      <c r="BV203" s="481"/>
      <c r="BW203" s="481"/>
      <c r="BX203" s="481"/>
      <c r="BY203" s="481"/>
      <c r="BZ203" s="481"/>
      <c r="CA203" s="481"/>
      <c r="CB203" s="481"/>
      <c r="CC203" s="481"/>
      <c r="CD203" s="481"/>
      <c r="CE203" s="481"/>
      <c r="CF203" s="481"/>
      <c r="CG203" s="481"/>
      <c r="CH203" s="481"/>
      <c r="CI203" s="481"/>
      <c r="CJ203" s="481"/>
      <c r="CK203" s="481"/>
      <c r="CL203" s="481"/>
    </row>
    <row r="204" spans="1:90" ht="15" hidden="1" customHeight="1" x14ac:dyDescent="0.2">
      <c r="A204" s="186"/>
      <c r="B204" s="1946" t="str">
        <f>B202</f>
        <v>Aprile</v>
      </c>
      <c r="C204" s="1814"/>
      <c r="D204" s="1947"/>
      <c r="E204" s="244">
        <f>E203</f>
        <v>4</v>
      </c>
      <c r="F204" s="250" t="str">
        <f>IF(G204="","",VLOOKUP(G204,$AH$8:$AL$14,5,FALSE))</f>
        <v/>
      </c>
      <c r="G204" s="1619" t="str">
        <f>IF(F$192="",I$26,IF(AB202=0,HLOOKUP(CONCATENATE("I",G$192),$AB$184:$AJ$187,$K$186,FALSE),IF(AB203=0,HLOOKUP(CONCATENATE("II",G$192),$AB$184:$AJ$187,$K$186,FALSE),IF(AB204=0,HLOOKUP(CONCATENATE("III",G$192),$AB$184:$AJ$187,$K$186,FALSE),I$26))))</f>
        <v/>
      </c>
      <c r="H204" s="1620"/>
      <c r="I204" s="1620"/>
      <c r="J204" s="1621"/>
      <c r="K204" s="250" t="str">
        <f>IF(L204="","",VLOOKUP(L204,$AH$8:$AL$14,5,FALSE))</f>
        <v/>
      </c>
      <c r="L204" s="1619" t="str">
        <f>IF(K$192="",M$26,IF(AC202=0,HLOOKUP(CONCATENATE("I",L$192),$AB$184:$AJ$187,$K$186,FALSE),IF(AC203=0,HLOOKUP(CONCATENATE("II",L$192),$AB$184:$AJ$187,$K$186,FALSE),IF(AC204=0,HLOOKUP(CONCATENATE("III",L$192),$AB$184:$AJ$187,$K$186,FALSE),M$26))))</f>
        <v/>
      </c>
      <c r="M204" s="1620"/>
      <c r="N204" s="1620"/>
      <c r="O204" s="1621"/>
      <c r="P204" s="250" t="str">
        <f>IF(Q204="","",VLOOKUP(Q204,$AH$8:$AL$14,5,FALSE))</f>
        <v/>
      </c>
      <c r="Q204" s="1619" t="str">
        <f>IF(P$192="",U$26,IF(AD202=0,HLOOKUP(CONCATENATE("I",Q$192),$AB$184:$AJ$187,$K$186,FALSE),IF(AD203=0,HLOOKUP(CONCATENATE("II",Q$192),$AB$184:$AJ$187,$K$186,FALSE),IF(AD204=0,HLOOKUP(CONCATENATE("III",Q$192),$AB$184:$AJ$187,$K$186,FALSE),U$26))))</f>
        <v/>
      </c>
      <c r="R204" s="1620"/>
      <c r="S204" s="1620"/>
      <c r="T204" s="1621"/>
      <c r="U204" s="250" t="str">
        <f>IF(V204="","",VLOOKUP(V204,$AH$8:$AL$14,5,FALSE))</f>
        <v/>
      </c>
      <c r="V204" s="1619" t="str">
        <f>IF(U$192="",AC$26,IF(AE202=0,HLOOKUP(CONCATENATE("I",V$192),$AB$184:$AJ$187,$K$186,FALSE),IF(AE203=0,HLOOKUP(CONCATENATE("II",V$192),$AB$184:$AJ$187,$K$186,FALSE),IF(AE204=0,HLOOKUP(CONCATENATE("III",V$192),$AB$184:$AJ$187,$K$186,FALSE),AC$26))))</f>
        <v/>
      </c>
      <c r="W204" s="1620"/>
      <c r="X204" s="1620"/>
      <c r="Y204" s="1621"/>
      <c r="Z204" s="186"/>
      <c r="AA204" s="1327" t="s">
        <v>93</v>
      </c>
      <c r="AB204" s="258" t="str">
        <f t="shared" si="35"/>
        <v>---</v>
      </c>
      <c r="AC204" s="258" t="str">
        <f t="shared" si="32"/>
        <v>---</v>
      </c>
      <c r="AD204" s="258" t="str">
        <f t="shared" si="33"/>
        <v>---</v>
      </c>
      <c r="AE204" s="258" t="str">
        <f t="shared" si="34"/>
        <v>---</v>
      </c>
      <c r="AF204" s="48"/>
      <c r="AG204" s="258" t="e">
        <f>HLOOKUP($E202,$O$183:$Z$186,VLOOKUP(CONCATENATE("III",G$192),$H$184:$K$186,4,FALSE),FALSE)</f>
        <v>#N/A</v>
      </c>
      <c r="AH204" s="258" t="e">
        <f>HLOOKUP($E202,$O$183:$Z$186,VLOOKUP(CONCATENATE("III",L$192),$H$184:$K$186,4,FALSE),FALSE)</f>
        <v>#N/A</v>
      </c>
      <c r="AI204" s="258" t="e">
        <f>HLOOKUP($E202,$O$183:$Z$186,VLOOKUP(CONCATENATE("III",Q$192),$H$184:$K$186,4,FALSE),FALSE)</f>
        <v>#N/A</v>
      </c>
      <c r="AJ204" s="258" t="e">
        <f>HLOOKUP($E202,$O$183:$Z$186,VLOOKUP(CONCATENATE("III",V$192),$H$184:$K$186,4,FALSE),FALSE)</f>
        <v>#N/A</v>
      </c>
      <c r="AK204" s="48"/>
      <c r="AL204" s="481"/>
      <c r="AM204" s="481"/>
      <c r="AN204" s="481"/>
      <c r="AO204" s="481"/>
      <c r="AP204" s="481"/>
      <c r="AQ204" s="481"/>
      <c r="AR204" s="481"/>
      <c r="AS204" s="481"/>
      <c r="AT204" s="481"/>
      <c r="AU204" s="481"/>
      <c r="AV204" s="481"/>
      <c r="AW204" s="481"/>
      <c r="AX204" s="481"/>
      <c r="AY204" s="481"/>
      <c r="AZ204" s="481"/>
      <c r="BA204" s="481"/>
      <c r="BB204" s="481"/>
      <c r="BC204" s="481"/>
      <c r="BD204" s="481"/>
      <c r="BE204" s="481"/>
      <c r="BF204" s="481"/>
      <c r="BG204" s="481"/>
      <c r="BH204" s="481"/>
      <c r="BI204" s="481"/>
      <c r="BJ204" s="481"/>
      <c r="BK204" s="481"/>
      <c r="BL204" s="481"/>
      <c r="BM204" s="481"/>
      <c r="BN204" s="481"/>
      <c r="BO204" s="481"/>
      <c r="BP204" s="481"/>
      <c r="BQ204" s="481"/>
      <c r="BR204" s="481"/>
      <c r="BS204" s="481"/>
      <c r="BT204" s="481"/>
      <c r="BU204" s="481"/>
      <c r="BV204" s="481"/>
      <c r="BW204" s="481"/>
      <c r="BX204" s="481"/>
      <c r="BY204" s="481"/>
      <c r="BZ204" s="481"/>
      <c r="CA204" s="481"/>
      <c r="CB204" s="481"/>
      <c r="CC204" s="481"/>
      <c r="CD204" s="481"/>
      <c r="CE204" s="481"/>
      <c r="CF204" s="481"/>
      <c r="CG204" s="481"/>
      <c r="CH204" s="481"/>
      <c r="CI204" s="481"/>
      <c r="CJ204" s="481"/>
      <c r="CK204" s="481"/>
      <c r="CL204" s="481"/>
    </row>
    <row r="205" spans="1:90" ht="15" hidden="1" customHeight="1" x14ac:dyDescent="0.2">
      <c r="A205" s="186"/>
      <c r="B205" s="1950" t="str">
        <f>C161</f>
        <v>Maggio</v>
      </c>
      <c r="C205" s="1725"/>
      <c r="D205" s="1951"/>
      <c r="E205" s="242">
        <f>S183</f>
        <v>5</v>
      </c>
      <c r="F205" s="247" t="str">
        <f>IF(G205="","",VLOOKUP(G205,$K$8:$O$14,5,FALSE))</f>
        <v/>
      </c>
      <c r="G205" s="1616" t="str">
        <f>IF(F$192="",I$24,IF(AB205=0,HLOOKUP(CONCATENATE("I",G$192),$AB$184:$AJ$187,$K$184,FALSE),IF(AB206=0,HLOOKUP(CONCATENATE("II",G$192),$AB$184:$AJ$187,$K$184,FALSE),IF(AB207=0,HLOOKUP(CONCATENATE("III",G$192),$AB$184:$AJ$187,$K$184,FALSE),I$24))))</f>
        <v/>
      </c>
      <c r="H205" s="1617"/>
      <c r="I205" s="1617"/>
      <c r="J205" s="1618"/>
      <c r="K205" s="247" t="str">
        <f>IF(L205="","",VLOOKUP(L205,$K$8:$O$14,5,FALSE))</f>
        <v/>
      </c>
      <c r="L205" s="1616" t="str">
        <f>IF(K$192="",M$24,IF(AC205=0,HLOOKUP(CONCATENATE("I",L$192),$AB$184:$AJ$187,$K$184,FALSE),IF(AC206=0,HLOOKUP(CONCATENATE("II",L$192),$AB$184:$AJ$187,$K$184,FALSE),IF(AC207=0,HLOOKUP(CONCATENATE("III",L$192),$AB$184:$AJ$187,$K$184,FALSE),M$24))))</f>
        <v/>
      </c>
      <c r="M205" s="1617"/>
      <c r="N205" s="1617"/>
      <c r="O205" s="1618"/>
      <c r="P205" s="247" t="str">
        <f>IF(Q205="","",VLOOKUP(Q205,$K$8:$O$14,5,FALSE))</f>
        <v/>
      </c>
      <c r="Q205" s="1616" t="str">
        <f>IF(P$192="",U$24,IF(AD205=0,HLOOKUP(CONCATENATE("I",Q$192),$AB$184:$AJ$187,$K$184,FALSE),IF(AD206=0,HLOOKUP(CONCATENATE("II",Q$192),$AB$184:$AJ$187,$K$184,FALSE),IF(AD207=0,HLOOKUP(CONCATENATE("III",Q$192),$AB$184:$AJ$187,$K$184,FALSE),U$24))))</f>
        <v/>
      </c>
      <c r="R205" s="1617"/>
      <c r="S205" s="1617"/>
      <c r="T205" s="1618"/>
      <c r="U205" s="247" t="str">
        <f>IF(V205="","",VLOOKUP(V205,$K$8:$O$14,5,FALSE))</f>
        <v/>
      </c>
      <c r="V205" s="1616" t="str">
        <f>IF(U$192="",AC$24,IF(AE205=0,HLOOKUP(CONCATENATE("I",V$192),$AB$184:$AJ$187,$K$184,FALSE),IF(AE206=0,HLOOKUP(CONCATENATE("II",V$192),$AB$184:$AJ$187,$K$184,FALSE),IF(AE207=0,HLOOKUP(CONCATENATE("III",V$192),$AB$184:$AJ$187,$K$184,FALSE),AC$24))))</f>
        <v/>
      </c>
      <c r="W205" s="1617"/>
      <c r="X205" s="1617"/>
      <c r="Y205" s="1618"/>
      <c r="Z205" s="186"/>
      <c r="AA205" s="1326" t="s">
        <v>171</v>
      </c>
      <c r="AB205" s="259" t="str">
        <f t="shared" si="35"/>
        <v>---</v>
      </c>
      <c r="AC205" s="259" t="str">
        <f t="shared" si="32"/>
        <v>---</v>
      </c>
      <c r="AD205" s="259" t="str">
        <f t="shared" si="33"/>
        <v>---</v>
      </c>
      <c r="AE205" s="259" t="str">
        <f t="shared" si="34"/>
        <v>---</v>
      </c>
      <c r="AF205" s="48"/>
      <c r="AG205" s="259" t="e">
        <f>HLOOKUP($E205,$O$183:$Z$186,VLOOKUP(CONCATENATE("I",G$192),$H$184:$K$186,4,FALSE),FALSE)</f>
        <v>#N/A</v>
      </c>
      <c r="AH205" s="259" t="e">
        <f>HLOOKUP($E205,$O$183:$Z$186,VLOOKUP(CONCATENATE("I",L$192),$H$184:$K$186,4,FALSE),FALSE)</f>
        <v>#N/A</v>
      </c>
      <c r="AI205" s="259" t="e">
        <f>HLOOKUP($E205,$O$183:$Z$186,VLOOKUP(CONCATENATE("I",Q$192),$H$184:$K$186,4,FALSE),FALSE)</f>
        <v>#N/A</v>
      </c>
      <c r="AJ205" s="259" t="e">
        <f>HLOOKUP($E205,$O$183:$Z$186,VLOOKUP(CONCATENATE("I",V$192),$H$184:$K$186,4,FALSE),FALSE)</f>
        <v>#N/A</v>
      </c>
      <c r="AK205" s="48"/>
      <c r="AL205" s="481"/>
      <c r="AM205" s="481"/>
      <c r="AN205" s="481"/>
      <c r="AO205" s="481"/>
      <c r="AP205" s="481"/>
      <c r="AQ205" s="481"/>
      <c r="AR205" s="481"/>
      <c r="AS205" s="481"/>
      <c r="AT205" s="481"/>
      <c r="AU205" s="481"/>
      <c r="AV205" s="481"/>
      <c r="AW205" s="481"/>
      <c r="AX205" s="481"/>
      <c r="AY205" s="481"/>
      <c r="AZ205" s="481"/>
      <c r="BA205" s="481"/>
      <c r="BB205" s="481"/>
      <c r="BC205" s="481"/>
      <c r="BD205" s="481"/>
      <c r="BE205" s="481"/>
      <c r="BF205" s="481"/>
      <c r="BG205" s="481"/>
      <c r="BH205" s="481"/>
      <c r="BI205" s="481"/>
      <c r="BJ205" s="481"/>
      <c r="BK205" s="481"/>
      <c r="BL205" s="481"/>
      <c r="BM205" s="481"/>
      <c r="BN205" s="481"/>
      <c r="BO205" s="481"/>
      <c r="BP205" s="481"/>
      <c r="BQ205" s="481"/>
      <c r="BR205" s="481"/>
      <c r="BS205" s="481"/>
      <c r="BT205" s="481"/>
      <c r="BU205" s="481"/>
      <c r="BV205" s="481"/>
      <c r="BW205" s="481"/>
      <c r="BX205" s="481"/>
      <c r="BY205" s="481"/>
      <c r="BZ205" s="481"/>
      <c r="CA205" s="481"/>
      <c r="CB205" s="481"/>
      <c r="CC205" s="481"/>
      <c r="CD205" s="481"/>
      <c r="CE205" s="481"/>
      <c r="CF205" s="481"/>
      <c r="CG205" s="481"/>
      <c r="CH205" s="481"/>
      <c r="CI205" s="481"/>
      <c r="CJ205" s="481"/>
      <c r="CK205" s="481"/>
      <c r="CL205" s="481"/>
    </row>
    <row r="206" spans="1:90" ht="15" hidden="1" customHeight="1" x14ac:dyDescent="0.2">
      <c r="A206" s="186"/>
      <c r="B206" s="1696" t="str">
        <f>B205</f>
        <v>Maggio</v>
      </c>
      <c r="C206" s="1948"/>
      <c r="D206" s="1949"/>
      <c r="E206" s="244">
        <f>E205</f>
        <v>5</v>
      </c>
      <c r="F206" s="248" t="str">
        <f>IF(G206="- - - - - - -","",VLOOKUP(G206,$Y$131:$AC$145,5,FALSE))</f>
        <v/>
      </c>
      <c r="G206" s="1678" t="str">
        <f>IF(F$192="",I$25,IF(AB205=0,HLOOKUP(CONCATENATE("I",G$192),$AB$184:$AJ$187,$K$185,FALSE),IF(AB206=0,HLOOKUP(CONCATENATE("II",G$192),$AB$184:$AJ$187,$K$185,FALSE),IF(AB207=0,HLOOKUP(CONCATENATE("III",G$192),$AB$184:$AJ$187,$K$185,FALSE),I$25))))</f>
        <v>- - - - - - -</v>
      </c>
      <c r="H206" s="1679"/>
      <c r="I206" s="1679"/>
      <c r="J206" s="1680"/>
      <c r="K206" s="248" t="str">
        <f>IF(L206="- - - - - - -","",VLOOKUP(L206,$Y$131:$AC$145,5,FALSE))</f>
        <v/>
      </c>
      <c r="L206" s="1678" t="str">
        <f>IF(K$192="",M$25,IF(AC205=0,HLOOKUP(CONCATENATE("I",L$192),$AB$184:$AJ$187,$K$185,FALSE),IF(AC206=0,HLOOKUP(CONCATENATE("II",L$192),$AB$184:$AJ$187,$K$185,FALSE),IF(AC207=0,HLOOKUP(CONCATENATE("III",L$192),$AB$184:$AJ$187,$K$185,FALSE),M$25))))</f>
        <v>- - - - - - -</v>
      </c>
      <c r="M206" s="1679"/>
      <c r="N206" s="1679"/>
      <c r="O206" s="1680"/>
      <c r="P206" s="248" t="str">
        <f>IF(Q206="- - - - - - -","",VLOOKUP(Q206,$Y$131:$AC$145,5,FALSE))</f>
        <v/>
      </c>
      <c r="Q206" s="1678" t="str">
        <f>IF(P$192="",U$25,IF(AD205=0,HLOOKUP(CONCATENATE("I",Q$192),$AB$184:$AJ$187,$K$185,FALSE),IF(AD206=0,HLOOKUP(CONCATENATE("II",Q$192),$AB$184:$AJ$187,$K$185,FALSE),IF(AD207=0,HLOOKUP(CONCATENATE("III",Q$192),$AB$184:$AJ$187,$K$185,FALSE),U$25))))</f>
        <v>- - - - - - -</v>
      </c>
      <c r="R206" s="1679"/>
      <c r="S206" s="1679"/>
      <c r="T206" s="1680"/>
      <c r="U206" s="248" t="str">
        <f>IF(V206="- - - - - - -","",VLOOKUP(V206,$Y$131:$AC$145,5,FALSE))</f>
        <v/>
      </c>
      <c r="V206" s="1678" t="str">
        <f>IF(U$192="",AC$25,IF(AE205=0,HLOOKUP(CONCATENATE("I",V$192),$AB$184:$AJ$187,$K$185,FALSE),IF(AE206=0,HLOOKUP(CONCATENATE("II",V$192),$AB$184:$AJ$187,$K$185,FALSE),IF(AE207=0,HLOOKUP(CONCATENATE("III",V$192),$AB$184:$AJ$187,$K$185,FALSE),AC$25))))</f>
        <v>- - - - - - -</v>
      </c>
      <c r="W206" s="1679"/>
      <c r="X206" s="1679"/>
      <c r="Y206" s="1680"/>
      <c r="Z206" s="186"/>
      <c r="AA206" s="573" t="s">
        <v>92</v>
      </c>
      <c r="AB206" s="136" t="str">
        <f t="shared" si="35"/>
        <v>---</v>
      </c>
      <c r="AC206" s="136" t="str">
        <f t="shared" si="32"/>
        <v>---</v>
      </c>
      <c r="AD206" s="136" t="str">
        <f t="shared" si="33"/>
        <v>---</v>
      </c>
      <c r="AE206" s="136" t="str">
        <f t="shared" si="34"/>
        <v>---</v>
      </c>
      <c r="AF206" s="48"/>
      <c r="AG206" s="136" t="e">
        <f>HLOOKUP($E205,$O$183:$Z$186,VLOOKUP(CONCATENATE("II",G$192),$H$184:$K$186,4,FALSE),FALSE)</f>
        <v>#N/A</v>
      </c>
      <c r="AH206" s="136" t="e">
        <f>HLOOKUP($E205,$O$183:$Z$186,VLOOKUP(CONCATENATE("II",L$192),$H$184:$K$186,4,FALSE),FALSE)</f>
        <v>#N/A</v>
      </c>
      <c r="AI206" s="136" t="e">
        <f>HLOOKUP($E205,$O$183:$Z$186,VLOOKUP(CONCATENATE("II",Q$192),$H$184:$K$186,4,FALSE),FALSE)</f>
        <v>#N/A</v>
      </c>
      <c r="AJ206" s="136" t="e">
        <f>HLOOKUP($E205,$O$183:$Z$186,VLOOKUP(CONCATENATE("II",V$192),$H$184:$K$186,4,FALSE),FALSE)</f>
        <v>#N/A</v>
      </c>
      <c r="AK206" s="48"/>
      <c r="AL206" s="481"/>
      <c r="AM206" s="481"/>
      <c r="AN206" s="481"/>
      <c r="AO206" s="481"/>
      <c r="AP206" s="481"/>
      <c r="AQ206" s="481"/>
      <c r="AR206" s="481"/>
      <c r="AS206" s="481"/>
      <c r="AT206" s="481"/>
      <c r="AU206" s="481"/>
      <c r="AV206" s="481"/>
      <c r="AW206" s="481"/>
      <c r="AX206" s="481"/>
      <c r="AY206" s="481"/>
      <c r="AZ206" s="481"/>
      <c r="BA206" s="481"/>
      <c r="BB206" s="481"/>
      <c r="BC206" s="481"/>
      <c r="BD206" s="481"/>
      <c r="BE206" s="481"/>
      <c r="BF206" s="481"/>
      <c r="BG206" s="481"/>
      <c r="BH206" s="481"/>
      <c r="BI206" s="481"/>
      <c r="BJ206" s="481"/>
      <c r="BK206" s="481"/>
      <c r="BL206" s="481"/>
      <c r="BM206" s="481"/>
      <c r="BN206" s="481"/>
      <c r="BO206" s="481"/>
      <c r="BP206" s="481"/>
      <c r="BQ206" s="481"/>
      <c r="BR206" s="481"/>
      <c r="BS206" s="481"/>
      <c r="BT206" s="481"/>
      <c r="BU206" s="481"/>
      <c r="BV206" s="481"/>
      <c r="BW206" s="481"/>
      <c r="BX206" s="481"/>
      <c r="BY206" s="481"/>
      <c r="BZ206" s="481"/>
      <c r="CA206" s="481"/>
      <c r="CB206" s="481"/>
      <c r="CC206" s="481"/>
      <c r="CD206" s="481"/>
      <c r="CE206" s="481"/>
      <c r="CF206" s="481"/>
      <c r="CG206" s="481"/>
      <c r="CH206" s="481"/>
      <c r="CI206" s="481"/>
      <c r="CJ206" s="481"/>
      <c r="CK206" s="481"/>
      <c r="CL206" s="481"/>
    </row>
    <row r="207" spans="1:90" ht="15" hidden="1" customHeight="1" x14ac:dyDescent="0.2">
      <c r="A207" s="186"/>
      <c r="B207" s="1946" t="str">
        <f>B205</f>
        <v>Maggio</v>
      </c>
      <c r="C207" s="1814"/>
      <c r="D207" s="1947"/>
      <c r="E207" s="244">
        <f>E206</f>
        <v>5</v>
      </c>
      <c r="F207" s="250" t="str">
        <f>IF(G207="","",VLOOKUP(G207,$AH$8:$AL$14,5,FALSE))</f>
        <v/>
      </c>
      <c r="G207" s="1619" t="str">
        <f>IF(F$192="",I$26,IF(AB205=0,HLOOKUP(CONCATENATE("I",G$192),$AB$184:$AJ$187,$K$186,FALSE),IF(AB206=0,HLOOKUP(CONCATENATE("II",G$192),$AB$184:$AJ$187,$K$186,FALSE),IF(AB207=0,HLOOKUP(CONCATENATE("III",G$192),$AB$184:$AJ$187,$K$186,FALSE),I$26))))</f>
        <v/>
      </c>
      <c r="H207" s="1620"/>
      <c r="I207" s="1620"/>
      <c r="J207" s="1621"/>
      <c r="K207" s="250" t="str">
        <f>IF(L207="","",VLOOKUP(L207,$AH$8:$AL$14,5,FALSE))</f>
        <v/>
      </c>
      <c r="L207" s="1619" t="str">
        <f>IF(K$192="",M$26,IF(AC205=0,HLOOKUP(CONCATENATE("I",L$192),$AB$184:$AJ$187,$K$186,FALSE),IF(AC206=0,HLOOKUP(CONCATENATE("II",L$192),$AB$184:$AJ$187,$K$186,FALSE),IF(AC207=0,HLOOKUP(CONCATENATE("III",L$192),$AB$184:$AJ$187,$K$186,FALSE),M$26))))</f>
        <v/>
      </c>
      <c r="M207" s="1620"/>
      <c r="N207" s="1620"/>
      <c r="O207" s="1621"/>
      <c r="P207" s="250" t="str">
        <f>IF(Q207="","",VLOOKUP(Q207,$AH$8:$AL$14,5,FALSE))</f>
        <v/>
      </c>
      <c r="Q207" s="1619" t="str">
        <f>IF(P$192="",U$26,IF(AD205=0,HLOOKUP(CONCATENATE("I",Q$192),$AB$184:$AJ$187,$K$186,FALSE),IF(AD206=0,HLOOKUP(CONCATENATE("II",Q$192),$AB$184:$AJ$187,$K$186,FALSE),IF(AD207=0,HLOOKUP(CONCATENATE("III",Q$192),$AB$184:$AJ$187,$K$186,FALSE),U$26))))</f>
        <v/>
      </c>
      <c r="R207" s="1620"/>
      <c r="S207" s="1620"/>
      <c r="T207" s="1621"/>
      <c r="U207" s="250" t="str">
        <f>IF(V207="","",VLOOKUP(V207,$AH$8:$AL$14,5,FALSE))</f>
        <v/>
      </c>
      <c r="V207" s="1619" t="str">
        <f>IF(U$192="",AC$26,IF(AE205=0,HLOOKUP(CONCATENATE("I",V$192),$AB$184:$AJ$187,$K$186,FALSE),IF(AE206=0,HLOOKUP(CONCATENATE("II",V$192),$AB$184:$AJ$187,$K$186,FALSE),IF(AE207=0,HLOOKUP(CONCATENATE("III",V$192),$AB$184:$AJ$187,$K$186,FALSE),AC$26))))</f>
        <v/>
      </c>
      <c r="W207" s="1620"/>
      <c r="X207" s="1620"/>
      <c r="Y207" s="1621"/>
      <c r="Z207" s="186"/>
      <c r="AA207" s="1327" t="s">
        <v>93</v>
      </c>
      <c r="AB207" s="258" t="str">
        <f t="shared" si="35"/>
        <v>---</v>
      </c>
      <c r="AC207" s="258" t="str">
        <f t="shared" si="32"/>
        <v>---</v>
      </c>
      <c r="AD207" s="258" t="str">
        <f t="shared" si="33"/>
        <v>---</v>
      </c>
      <c r="AE207" s="258" t="str">
        <f t="shared" si="34"/>
        <v>---</v>
      </c>
      <c r="AF207" s="48"/>
      <c r="AG207" s="258" t="e">
        <f>HLOOKUP($E205,$O$183:$Z$186,VLOOKUP(CONCATENATE("III",G$192),$H$184:$K$186,4,FALSE),FALSE)</f>
        <v>#N/A</v>
      </c>
      <c r="AH207" s="258" t="e">
        <f>HLOOKUP($E205,$O$183:$Z$186,VLOOKUP(CONCATENATE("III",L$192),$H$184:$K$186,4,FALSE),FALSE)</f>
        <v>#N/A</v>
      </c>
      <c r="AI207" s="258" t="e">
        <f>HLOOKUP($E205,$O$183:$Z$186,VLOOKUP(CONCATENATE("III",Q$192),$H$184:$K$186,4,FALSE),FALSE)</f>
        <v>#N/A</v>
      </c>
      <c r="AJ207" s="258" t="e">
        <f>HLOOKUP($E205,$O$183:$Z$186,VLOOKUP(CONCATENATE("III",V$192),$H$184:$K$186,4,FALSE),FALSE)</f>
        <v>#N/A</v>
      </c>
      <c r="AK207" s="48"/>
      <c r="AL207" s="481"/>
      <c r="AM207" s="481"/>
      <c r="AN207" s="481"/>
      <c r="AO207" s="481"/>
      <c r="AP207" s="481"/>
      <c r="AQ207" s="481"/>
      <c r="AR207" s="481"/>
      <c r="AS207" s="481"/>
      <c r="AT207" s="481"/>
      <c r="AU207" s="481"/>
      <c r="AV207" s="481"/>
      <c r="AW207" s="481"/>
      <c r="AX207" s="481"/>
      <c r="AY207" s="481"/>
      <c r="AZ207" s="481"/>
      <c r="BA207" s="481"/>
      <c r="BB207" s="481"/>
      <c r="BC207" s="481"/>
      <c r="BD207" s="481"/>
      <c r="BE207" s="481"/>
      <c r="BF207" s="481"/>
      <c r="BG207" s="481"/>
      <c r="BH207" s="481"/>
      <c r="BI207" s="481"/>
      <c r="BJ207" s="481"/>
      <c r="BK207" s="481"/>
      <c r="BL207" s="481"/>
      <c r="BM207" s="481"/>
      <c r="BN207" s="481"/>
      <c r="BO207" s="481"/>
      <c r="BP207" s="481"/>
      <c r="BQ207" s="481"/>
      <c r="BR207" s="481"/>
      <c r="BS207" s="481"/>
      <c r="BT207" s="481"/>
      <c r="BU207" s="481"/>
      <c r="BV207" s="481"/>
      <c r="BW207" s="481"/>
      <c r="BX207" s="481"/>
      <c r="BY207" s="481"/>
      <c r="BZ207" s="481"/>
      <c r="CA207" s="481"/>
      <c r="CB207" s="481"/>
      <c r="CC207" s="481"/>
      <c r="CD207" s="481"/>
      <c r="CE207" s="481"/>
      <c r="CF207" s="481"/>
      <c r="CG207" s="481"/>
      <c r="CH207" s="481"/>
      <c r="CI207" s="481"/>
      <c r="CJ207" s="481"/>
      <c r="CK207" s="481"/>
      <c r="CL207" s="481"/>
    </row>
    <row r="208" spans="1:90" ht="15" hidden="1" customHeight="1" x14ac:dyDescent="0.2">
      <c r="A208" s="186"/>
      <c r="B208" s="1950" t="str">
        <f>C162</f>
        <v>Giugno</v>
      </c>
      <c r="C208" s="1725"/>
      <c r="D208" s="1951"/>
      <c r="E208" s="242">
        <f>T183</f>
        <v>6</v>
      </c>
      <c r="F208" s="247" t="str">
        <f>IF(G208="","",VLOOKUP(G208,$K$8:$O$14,5,FALSE))</f>
        <v/>
      </c>
      <c r="G208" s="1616" t="str">
        <f>IF(F$192="",I$24,IF(AB208=0,HLOOKUP(CONCATENATE("I",G$192),$AB$184:$AJ$187,$K$184,FALSE),IF(AB209=0,HLOOKUP(CONCATENATE("II",G$192),$AB$184:$AJ$187,$K$184,FALSE),IF(AB210=0,HLOOKUP(CONCATENATE("III",G$192),$AB$184:$AJ$187,$K$184,FALSE),I$24))))</f>
        <v/>
      </c>
      <c r="H208" s="1617"/>
      <c r="I208" s="1617"/>
      <c r="J208" s="1618"/>
      <c r="K208" s="247" t="str">
        <f>IF(L208="","",VLOOKUP(L208,$K$8:$O$14,5,FALSE))</f>
        <v/>
      </c>
      <c r="L208" s="1616" t="str">
        <f>IF(K$192="",M$24,IF(AC208=0,HLOOKUP(CONCATENATE("I",L$192),$AB$184:$AJ$187,$K$184,FALSE),IF(AC209=0,HLOOKUP(CONCATENATE("II",L$192),$AB$184:$AJ$187,$K$184,FALSE),IF(AC210=0,HLOOKUP(CONCATENATE("III",L$192),$AB$184:$AJ$187,$K$184,FALSE),M$24))))</f>
        <v/>
      </c>
      <c r="M208" s="1617"/>
      <c r="N208" s="1617"/>
      <c r="O208" s="1618"/>
      <c r="P208" s="247" t="str">
        <f>IF(Q208="","",VLOOKUP(Q208,$K$8:$O$14,5,FALSE))</f>
        <v/>
      </c>
      <c r="Q208" s="1616" t="str">
        <f>IF(P$192="",U$24,IF(AD208=0,HLOOKUP(CONCATENATE("I",Q$192),$AB$184:$AJ$187,$K$184,FALSE),IF(AD209=0,HLOOKUP(CONCATENATE("II",Q$192),$AB$184:$AJ$187,$K$184,FALSE),IF(AD210=0,HLOOKUP(CONCATENATE("III",Q$192),$AB$184:$AJ$187,$K$184,FALSE),U$24))))</f>
        <v/>
      </c>
      <c r="R208" s="1617"/>
      <c r="S208" s="1617"/>
      <c r="T208" s="1618"/>
      <c r="U208" s="247" t="str">
        <f>IF(V208="","",VLOOKUP(V208,$K$8:$O$14,5,FALSE))</f>
        <v/>
      </c>
      <c r="V208" s="1616" t="str">
        <f>IF(U$192="",AC$24,IF(AE208=0,HLOOKUP(CONCATENATE("I",V$192),$AB$184:$AJ$187,$K$184,FALSE),IF(AE209=0,HLOOKUP(CONCATENATE("II",V$192),$AB$184:$AJ$187,$K$184,FALSE),IF(AE210=0,HLOOKUP(CONCATENATE("III",V$192),$AB$184:$AJ$187,$K$184,FALSE),AC$24))))</f>
        <v/>
      </c>
      <c r="W208" s="1617"/>
      <c r="X208" s="1617"/>
      <c r="Y208" s="1618"/>
      <c r="Z208" s="186"/>
      <c r="AA208" s="1326" t="s">
        <v>171</v>
      </c>
      <c r="AB208" s="259" t="str">
        <f t="shared" si="35"/>
        <v>---</v>
      </c>
      <c r="AC208" s="259" t="str">
        <f t="shared" si="32"/>
        <v>---</v>
      </c>
      <c r="AD208" s="259" t="str">
        <f t="shared" si="33"/>
        <v>---</v>
      </c>
      <c r="AE208" s="259" t="str">
        <f t="shared" si="34"/>
        <v>---</v>
      </c>
      <c r="AF208" s="48"/>
      <c r="AG208" s="259" t="e">
        <f>HLOOKUP($E208,$O$183:$Z$186,VLOOKUP(CONCATENATE("I",G$192),$H$184:$K$186,4,FALSE),FALSE)</f>
        <v>#N/A</v>
      </c>
      <c r="AH208" s="259" t="e">
        <f>HLOOKUP($E208,$O$183:$Z$186,VLOOKUP(CONCATENATE("I",L$192),$H$184:$K$186,4,FALSE),FALSE)</f>
        <v>#N/A</v>
      </c>
      <c r="AI208" s="259" t="e">
        <f>HLOOKUP($E208,$O$183:$Z$186,VLOOKUP(CONCATENATE("I",Q$192),$H$184:$K$186,4,FALSE),FALSE)</f>
        <v>#N/A</v>
      </c>
      <c r="AJ208" s="259" t="e">
        <f>HLOOKUP($E208,$O$183:$Z$186,VLOOKUP(CONCATENATE("I",V$192),$H$184:$K$186,4,FALSE),FALSE)</f>
        <v>#N/A</v>
      </c>
      <c r="AK208" s="48"/>
      <c r="AL208" s="481"/>
      <c r="AM208" s="481"/>
      <c r="AN208" s="481"/>
      <c r="AO208" s="481"/>
      <c r="AP208" s="481"/>
      <c r="AQ208" s="481"/>
      <c r="AR208" s="481"/>
      <c r="AS208" s="481"/>
      <c r="AT208" s="481"/>
      <c r="AU208" s="481"/>
      <c r="AV208" s="481"/>
      <c r="AW208" s="481"/>
      <c r="AX208" s="481"/>
      <c r="AY208" s="481"/>
      <c r="AZ208" s="481"/>
      <c r="BA208" s="481"/>
      <c r="BB208" s="481"/>
      <c r="BC208" s="481"/>
      <c r="BD208" s="481"/>
      <c r="BE208" s="481"/>
      <c r="BF208" s="481"/>
      <c r="BG208" s="481"/>
      <c r="BH208" s="481"/>
      <c r="BI208" s="481"/>
      <c r="BJ208" s="481"/>
      <c r="BK208" s="481"/>
      <c r="BL208" s="481"/>
      <c r="BM208" s="481"/>
      <c r="BN208" s="481"/>
      <c r="BO208" s="481"/>
      <c r="BP208" s="481"/>
      <c r="BQ208" s="481"/>
      <c r="BR208" s="481"/>
      <c r="BS208" s="481"/>
      <c r="BT208" s="481"/>
      <c r="BU208" s="481"/>
      <c r="BV208" s="481"/>
      <c r="BW208" s="481"/>
      <c r="BX208" s="481"/>
      <c r="BY208" s="481"/>
      <c r="BZ208" s="481"/>
      <c r="CA208" s="481"/>
      <c r="CB208" s="481"/>
      <c r="CC208" s="481"/>
      <c r="CD208" s="481"/>
      <c r="CE208" s="481"/>
      <c r="CF208" s="481"/>
      <c r="CG208" s="481"/>
      <c r="CH208" s="481"/>
      <c r="CI208" s="481"/>
      <c r="CJ208" s="481"/>
      <c r="CK208" s="481"/>
      <c r="CL208" s="481"/>
    </row>
    <row r="209" spans="1:90" ht="15" hidden="1" customHeight="1" x14ac:dyDescent="0.2">
      <c r="A209" s="186"/>
      <c r="B209" s="1696" t="str">
        <f>B208</f>
        <v>Giugno</v>
      </c>
      <c r="C209" s="1948"/>
      <c r="D209" s="1949"/>
      <c r="E209" s="244">
        <f>E208</f>
        <v>6</v>
      </c>
      <c r="F209" s="248" t="str">
        <f>IF(G209="- - - - - - -","",VLOOKUP(G209,$Y$131:$AC$145,5,FALSE))</f>
        <v/>
      </c>
      <c r="G209" s="1678" t="str">
        <f>IF(F$192="",I$25,IF(AB208=0,HLOOKUP(CONCATENATE("I",G$192),$AB$184:$AJ$187,$K$185,FALSE),IF(AB209=0,HLOOKUP(CONCATENATE("II",G$192),$AB$184:$AJ$187,$K$185,FALSE),IF(AB210=0,HLOOKUP(CONCATENATE("III",G$192),$AB$184:$AJ$187,$K$185,FALSE),I$25))))</f>
        <v>- - - - - - -</v>
      </c>
      <c r="H209" s="1679"/>
      <c r="I209" s="1679"/>
      <c r="J209" s="1680"/>
      <c r="K209" s="248" t="str">
        <f>IF(L209="- - - - - - -","",VLOOKUP(L209,$Y$131:$AC$145,5,FALSE))</f>
        <v/>
      </c>
      <c r="L209" s="1678" t="str">
        <f>IF(K$192="",M$25,IF(AC208=0,HLOOKUP(CONCATENATE("I",L$192),$AB$184:$AJ$187,$K$185,FALSE),IF(AC209=0,HLOOKUP(CONCATENATE("II",L$192),$AB$184:$AJ$187,$K$185,FALSE),IF(AC210=0,HLOOKUP(CONCATENATE("III",L$192),$AB$184:$AJ$187,$K$185,FALSE),M$25))))</f>
        <v>- - - - - - -</v>
      </c>
      <c r="M209" s="1679"/>
      <c r="N209" s="1679"/>
      <c r="O209" s="1680"/>
      <c r="P209" s="248" t="str">
        <f>IF(Q209="- - - - - - -","",VLOOKUP(Q209,$Y$131:$AC$145,5,FALSE))</f>
        <v/>
      </c>
      <c r="Q209" s="1678" t="str">
        <f>IF(P$192="",U$25,IF(AD208=0,HLOOKUP(CONCATENATE("I",Q$192),$AB$184:$AJ$187,$K$185,FALSE),IF(AD209=0,HLOOKUP(CONCATENATE("II",Q$192),$AB$184:$AJ$187,$K$185,FALSE),IF(AD210=0,HLOOKUP(CONCATENATE("III",Q$192),$AB$184:$AJ$187,$K$185,FALSE),U$25))))</f>
        <v>- - - - - - -</v>
      </c>
      <c r="R209" s="1679"/>
      <c r="S209" s="1679"/>
      <c r="T209" s="1680"/>
      <c r="U209" s="248" t="str">
        <f>IF(V209="- - - - - - -","",VLOOKUP(V209,$Y$131:$AC$145,5,FALSE))</f>
        <v/>
      </c>
      <c r="V209" s="1678" t="str">
        <f>IF(U$192="",AC$25,IF(AE208=0,HLOOKUP(CONCATENATE("I",V$192),$AB$184:$AJ$187,$K$185,FALSE),IF(AE209=0,HLOOKUP(CONCATENATE("II",V$192),$AB$184:$AJ$187,$K$185,FALSE),IF(AE210=0,HLOOKUP(CONCATENATE("III",V$192),$AB$184:$AJ$187,$K$185,FALSE),AC$25))))</f>
        <v>- - - - - - -</v>
      </c>
      <c r="W209" s="1679"/>
      <c r="X209" s="1679"/>
      <c r="Y209" s="1680"/>
      <c r="Z209" s="186"/>
      <c r="AA209" s="573" t="s">
        <v>92</v>
      </c>
      <c r="AB209" s="136" t="str">
        <f t="shared" si="35"/>
        <v>---</v>
      </c>
      <c r="AC209" s="136" t="str">
        <f t="shared" si="32"/>
        <v>---</v>
      </c>
      <c r="AD209" s="136" t="str">
        <f t="shared" si="33"/>
        <v>---</v>
      </c>
      <c r="AE209" s="136" t="str">
        <f t="shared" si="34"/>
        <v>---</v>
      </c>
      <c r="AF209" s="48"/>
      <c r="AG209" s="136" t="e">
        <f>HLOOKUP($E208,$O$183:$Z$186,VLOOKUP(CONCATENATE("II",G$192),$H$184:$K$186,4,FALSE),FALSE)</f>
        <v>#N/A</v>
      </c>
      <c r="AH209" s="136" t="e">
        <f>HLOOKUP($E208,$O$183:$Z$186,VLOOKUP(CONCATENATE("II",L$192),$H$184:$K$186,4,FALSE),FALSE)</f>
        <v>#N/A</v>
      </c>
      <c r="AI209" s="136" t="e">
        <f>HLOOKUP($E208,$O$183:$Z$186,VLOOKUP(CONCATENATE("II",Q$192),$H$184:$K$186,4,FALSE),FALSE)</f>
        <v>#N/A</v>
      </c>
      <c r="AJ209" s="136" t="e">
        <f>HLOOKUP($E208,$O$183:$Z$186,VLOOKUP(CONCATENATE("II",V$192),$H$184:$K$186,4,FALSE),FALSE)</f>
        <v>#N/A</v>
      </c>
      <c r="AK209" s="48"/>
      <c r="AL209" s="481"/>
      <c r="AM209" s="481"/>
      <c r="AN209" s="481"/>
      <c r="AO209" s="481"/>
      <c r="AP209" s="481"/>
      <c r="AQ209" s="481"/>
      <c r="AR209" s="481"/>
      <c r="AS209" s="481"/>
      <c r="AT209" s="481"/>
      <c r="AU209" s="481"/>
      <c r="AV209" s="481"/>
      <c r="AW209" s="481"/>
      <c r="AX209" s="481"/>
      <c r="AY209" s="481"/>
      <c r="AZ209" s="481"/>
      <c r="BA209" s="481"/>
      <c r="BB209" s="481"/>
      <c r="BC209" s="481"/>
      <c r="BD209" s="481"/>
      <c r="BE209" s="481"/>
      <c r="BF209" s="481"/>
      <c r="BG209" s="481"/>
      <c r="BH209" s="481"/>
      <c r="BI209" s="481"/>
      <c r="BJ209" s="481"/>
      <c r="BK209" s="481"/>
      <c r="BL209" s="481"/>
      <c r="BM209" s="481"/>
      <c r="BN209" s="481"/>
      <c r="BO209" s="481"/>
      <c r="BP209" s="481"/>
      <c r="BQ209" s="481"/>
      <c r="BR209" s="481"/>
      <c r="BS209" s="481"/>
      <c r="BT209" s="481"/>
      <c r="BU209" s="481"/>
      <c r="BV209" s="481"/>
      <c r="BW209" s="481"/>
      <c r="BX209" s="481"/>
      <c r="BY209" s="481"/>
      <c r="BZ209" s="481"/>
      <c r="CA209" s="481"/>
      <c r="CB209" s="481"/>
      <c r="CC209" s="481"/>
      <c r="CD209" s="481"/>
      <c r="CE209" s="481"/>
      <c r="CF209" s="481"/>
      <c r="CG209" s="481"/>
      <c r="CH209" s="481"/>
      <c r="CI209" s="481"/>
      <c r="CJ209" s="481"/>
      <c r="CK209" s="481"/>
      <c r="CL209" s="481"/>
    </row>
    <row r="210" spans="1:90" ht="15" hidden="1" customHeight="1" x14ac:dyDescent="0.2">
      <c r="A210" s="186"/>
      <c r="B210" s="1946" t="str">
        <f>B208</f>
        <v>Giugno</v>
      </c>
      <c r="C210" s="1814"/>
      <c r="D210" s="1947"/>
      <c r="E210" s="244">
        <f>E209</f>
        <v>6</v>
      </c>
      <c r="F210" s="250" t="str">
        <f>IF(G210="","",VLOOKUP(G210,$AH$8:$AL$14,5,FALSE))</f>
        <v/>
      </c>
      <c r="G210" s="1619" t="str">
        <f>IF(F$192="",I$26,IF(AB208=0,HLOOKUP(CONCATENATE("I",G$192),$AB$184:$AJ$187,$K$186,FALSE),IF(AB209=0,HLOOKUP(CONCATENATE("II",G$192),$AB$184:$AJ$187,$K$186,FALSE),IF(AB210=0,HLOOKUP(CONCATENATE("III",G$192),$AB$184:$AJ$187,$K$186,FALSE),I$26))))</f>
        <v/>
      </c>
      <c r="H210" s="1620"/>
      <c r="I210" s="1620"/>
      <c r="J210" s="1621"/>
      <c r="K210" s="250" t="str">
        <f>IF(L210="","",VLOOKUP(L210,$AH$8:$AL$14,5,FALSE))</f>
        <v/>
      </c>
      <c r="L210" s="1619" t="str">
        <f>IF(K$192="",M$26,IF(AC208=0,HLOOKUP(CONCATENATE("I",L$192),$AB$184:$AJ$187,$K$186,FALSE),IF(AC209=0,HLOOKUP(CONCATENATE("II",L$192),$AB$184:$AJ$187,$K$186,FALSE),IF(AC210=0,HLOOKUP(CONCATENATE("III",L$192),$AB$184:$AJ$187,$K$186,FALSE),M$26))))</f>
        <v/>
      </c>
      <c r="M210" s="1620"/>
      <c r="N210" s="1620"/>
      <c r="O210" s="1621"/>
      <c r="P210" s="250" t="str">
        <f>IF(Q210="","",VLOOKUP(Q210,$AH$8:$AL$14,5,FALSE))</f>
        <v/>
      </c>
      <c r="Q210" s="1619" t="str">
        <f>IF(P$192="",U$26,IF(AD208=0,HLOOKUP(CONCATENATE("I",Q$192),$AB$184:$AJ$187,$K$186,FALSE),IF(AD209=0,HLOOKUP(CONCATENATE("II",Q$192),$AB$184:$AJ$187,$K$186,FALSE),IF(AD210=0,HLOOKUP(CONCATENATE("III",Q$192),$AB$184:$AJ$187,$K$186,FALSE),U$26))))</f>
        <v/>
      </c>
      <c r="R210" s="1620"/>
      <c r="S210" s="1620"/>
      <c r="T210" s="1621"/>
      <c r="U210" s="250" t="str">
        <f>IF(V210="","",VLOOKUP(V210,$AH$8:$AL$14,5,FALSE))</f>
        <v/>
      </c>
      <c r="V210" s="1619" t="str">
        <f>IF(U$192="",AC$26,IF(AE208=0,HLOOKUP(CONCATENATE("I",V$192),$AB$184:$AJ$187,$K$186,FALSE),IF(AE209=0,HLOOKUP(CONCATENATE("II",V$192),$AB$184:$AJ$187,$K$186,FALSE),IF(AE210=0,HLOOKUP(CONCATENATE("III",V$192),$AB$184:$AJ$187,$K$186,FALSE),AC$26))))</f>
        <v/>
      </c>
      <c r="W210" s="1620"/>
      <c r="X210" s="1620"/>
      <c r="Y210" s="1621"/>
      <c r="Z210" s="186"/>
      <c r="AA210" s="1327" t="s">
        <v>93</v>
      </c>
      <c r="AB210" s="258" t="str">
        <f t="shared" si="35"/>
        <v>---</v>
      </c>
      <c r="AC210" s="258" t="str">
        <f t="shared" si="32"/>
        <v>---</v>
      </c>
      <c r="AD210" s="258" t="str">
        <f t="shared" si="33"/>
        <v>---</v>
      </c>
      <c r="AE210" s="258" t="str">
        <f t="shared" si="34"/>
        <v>---</v>
      </c>
      <c r="AF210" s="48"/>
      <c r="AG210" s="258" t="e">
        <f>HLOOKUP($E208,$O$183:$Z$186,VLOOKUP(CONCATENATE("III",G$192),$H$184:$K$186,4,FALSE),FALSE)</f>
        <v>#N/A</v>
      </c>
      <c r="AH210" s="258" t="e">
        <f>HLOOKUP($E208,$O$183:$Z$186,VLOOKUP(CONCATENATE("III",L$192),$H$184:$K$186,4,FALSE),FALSE)</f>
        <v>#N/A</v>
      </c>
      <c r="AI210" s="258" t="e">
        <f>HLOOKUP($E208,$O$183:$Z$186,VLOOKUP(CONCATENATE("III",Q$192),$H$184:$K$186,4,FALSE),FALSE)</f>
        <v>#N/A</v>
      </c>
      <c r="AJ210" s="258" t="e">
        <f>HLOOKUP($E208,$O$183:$Z$186,VLOOKUP(CONCATENATE("III",V$192),$H$184:$K$186,4,FALSE),FALSE)</f>
        <v>#N/A</v>
      </c>
      <c r="AK210" s="48"/>
      <c r="AL210" s="481"/>
      <c r="AM210" s="481"/>
      <c r="AN210" s="481"/>
      <c r="AO210" s="481"/>
      <c r="AP210" s="481"/>
      <c r="AQ210" s="481"/>
      <c r="AR210" s="481"/>
      <c r="AS210" s="481"/>
      <c r="AT210" s="481"/>
      <c r="AU210" s="481"/>
      <c r="AV210" s="481"/>
      <c r="AW210" s="481"/>
      <c r="AX210" s="481"/>
      <c r="AY210" s="481"/>
      <c r="AZ210" s="481"/>
      <c r="BA210" s="481"/>
      <c r="BB210" s="481"/>
      <c r="BC210" s="481"/>
      <c r="BD210" s="481"/>
      <c r="BE210" s="481"/>
      <c r="BF210" s="481"/>
      <c r="BG210" s="481"/>
      <c r="BH210" s="481"/>
      <c r="BI210" s="481"/>
      <c r="BJ210" s="481"/>
      <c r="BK210" s="481"/>
      <c r="BL210" s="481"/>
      <c r="BM210" s="481"/>
      <c r="BN210" s="481"/>
      <c r="BO210" s="481"/>
      <c r="BP210" s="481"/>
      <c r="BQ210" s="481"/>
      <c r="BR210" s="481"/>
      <c r="BS210" s="481"/>
      <c r="BT210" s="481"/>
      <c r="BU210" s="481"/>
      <c r="BV210" s="481"/>
      <c r="BW210" s="481"/>
      <c r="BX210" s="481"/>
      <c r="BY210" s="481"/>
      <c r="BZ210" s="481"/>
      <c r="CA210" s="481"/>
      <c r="CB210" s="481"/>
      <c r="CC210" s="481"/>
      <c r="CD210" s="481"/>
      <c r="CE210" s="481"/>
      <c r="CF210" s="481"/>
      <c r="CG210" s="481"/>
      <c r="CH210" s="481"/>
      <c r="CI210" s="481"/>
      <c r="CJ210" s="481"/>
      <c r="CK210" s="481"/>
      <c r="CL210" s="481"/>
    </row>
    <row r="211" spans="1:90" ht="15" hidden="1" customHeight="1" x14ac:dyDescent="0.2">
      <c r="A211" s="186"/>
      <c r="B211" s="1950" t="str">
        <f>C163</f>
        <v>Luglio</v>
      </c>
      <c r="C211" s="1725"/>
      <c r="D211" s="1951"/>
      <c r="E211" s="242">
        <f>U183</f>
        <v>7</v>
      </c>
      <c r="F211" s="247" t="str">
        <f>IF(G211="","",VLOOKUP(G211,$K$8:$O$14,5,FALSE))</f>
        <v/>
      </c>
      <c r="G211" s="1616" t="str">
        <f>IF(F$192="",I$24,IF(AB211=0,HLOOKUP(CONCATENATE("I",G$192),$AB$184:$AJ$187,$K$184,FALSE),IF(AB212=0,HLOOKUP(CONCATENATE("II",G$192),$AB$184:$AJ$187,$K$184,FALSE),IF(AB213=0,HLOOKUP(CONCATENATE("III",G$192),$AB$184:$AJ$187,$K$184,FALSE),I$24))))</f>
        <v/>
      </c>
      <c r="H211" s="1617"/>
      <c r="I211" s="1617"/>
      <c r="J211" s="1618"/>
      <c r="K211" s="247" t="str">
        <f>IF(L211="","",VLOOKUP(L211,$K$8:$O$14,5,FALSE))</f>
        <v/>
      </c>
      <c r="L211" s="1616" t="str">
        <f>IF(K$192="",M$24,IF(AC211=0,HLOOKUP(CONCATENATE("I",L$192),$AB$184:$AJ$187,$K$184,FALSE),IF(AC212=0,HLOOKUP(CONCATENATE("II",L$192),$AB$184:$AJ$187,$K$184,FALSE),IF(AC213=0,HLOOKUP(CONCATENATE("III",L$192),$AB$184:$AJ$187,$K$184,FALSE),M$24))))</f>
        <v/>
      </c>
      <c r="M211" s="1617"/>
      <c r="N211" s="1617"/>
      <c r="O211" s="1618"/>
      <c r="P211" s="247" t="str">
        <f>IF(Q211="","",VLOOKUP(Q211,$K$8:$O$14,5,FALSE))</f>
        <v/>
      </c>
      <c r="Q211" s="1616" t="str">
        <f>IF(P$192="",U$24,IF(AD211=0,HLOOKUP(CONCATENATE("I",Q$192),$AB$184:$AJ$187,$K$184,FALSE),IF(AD212=0,HLOOKUP(CONCATENATE("II",Q$192),$AB$184:$AJ$187,$K$184,FALSE),IF(AD213=0,HLOOKUP(CONCATENATE("III",Q$192),$AB$184:$AJ$187,$K$184,FALSE),U$24))))</f>
        <v/>
      </c>
      <c r="R211" s="1617"/>
      <c r="S211" s="1617"/>
      <c r="T211" s="1618"/>
      <c r="U211" s="247" t="str">
        <f>IF(V211="","",VLOOKUP(V211,$K$8:$O$14,5,FALSE))</f>
        <v/>
      </c>
      <c r="V211" s="1616" t="str">
        <f>IF(U$192="",AC$24,IF(AE211=0,HLOOKUP(CONCATENATE("I",V$192),$AB$184:$AJ$187,$K$184,FALSE),IF(AE212=0,HLOOKUP(CONCATENATE("II",V$192),$AB$184:$AJ$187,$K$184,FALSE),IF(AE213=0,HLOOKUP(CONCATENATE("III",V$192),$AB$184:$AJ$187,$K$184,FALSE),AC$24))))</f>
        <v/>
      </c>
      <c r="W211" s="1617"/>
      <c r="X211" s="1617"/>
      <c r="Y211" s="1618"/>
      <c r="Z211" s="186"/>
      <c r="AA211" s="1326" t="s">
        <v>171</v>
      </c>
      <c r="AB211" s="259" t="str">
        <f t="shared" si="35"/>
        <v>---</v>
      </c>
      <c r="AC211" s="259" t="str">
        <f t="shared" si="32"/>
        <v>---</v>
      </c>
      <c r="AD211" s="259" t="str">
        <f t="shared" si="33"/>
        <v>---</v>
      </c>
      <c r="AE211" s="259" t="str">
        <f t="shared" si="34"/>
        <v>---</v>
      </c>
      <c r="AF211" s="48"/>
      <c r="AG211" s="259" t="e">
        <f>HLOOKUP($E211,$O$183:$Z$186,VLOOKUP(CONCATENATE("I",G$192),$H$184:$K$186,4,FALSE),FALSE)</f>
        <v>#N/A</v>
      </c>
      <c r="AH211" s="259" t="e">
        <f>HLOOKUP($E211,$O$183:$Z$186,VLOOKUP(CONCATENATE("I",L$192),$H$184:$K$186,4,FALSE),FALSE)</f>
        <v>#N/A</v>
      </c>
      <c r="AI211" s="259" t="e">
        <f>HLOOKUP($E211,$O$183:$Z$186,VLOOKUP(CONCATENATE("I",Q$192),$H$184:$K$186,4,FALSE),FALSE)</f>
        <v>#N/A</v>
      </c>
      <c r="AJ211" s="259" t="e">
        <f>HLOOKUP($E211,$O$183:$Z$186,VLOOKUP(CONCATENATE("I",V$192),$H$184:$K$186,4,FALSE),FALSE)</f>
        <v>#N/A</v>
      </c>
      <c r="AK211" s="48"/>
      <c r="AL211" s="481"/>
      <c r="AM211" s="481"/>
      <c r="AN211" s="481"/>
      <c r="AO211" s="481"/>
      <c r="AP211" s="481"/>
      <c r="AQ211" s="481"/>
      <c r="AR211" s="481"/>
      <c r="AS211" s="481"/>
      <c r="AT211" s="481"/>
      <c r="AU211" s="481"/>
      <c r="AV211" s="481"/>
      <c r="AW211" s="481"/>
      <c r="AX211" s="481"/>
      <c r="AY211" s="481"/>
      <c r="AZ211" s="481"/>
      <c r="BA211" s="481"/>
      <c r="BB211" s="481"/>
      <c r="BC211" s="481"/>
      <c r="BD211" s="481"/>
      <c r="BE211" s="481"/>
      <c r="BF211" s="481"/>
      <c r="BG211" s="481"/>
      <c r="BH211" s="481"/>
      <c r="BI211" s="481"/>
      <c r="BJ211" s="481"/>
      <c r="BK211" s="481"/>
      <c r="BL211" s="481"/>
      <c r="BM211" s="481"/>
      <c r="BN211" s="481"/>
      <c r="BO211" s="481"/>
      <c r="BP211" s="481"/>
      <c r="BQ211" s="481"/>
      <c r="BR211" s="481"/>
      <c r="BS211" s="481"/>
      <c r="BT211" s="481"/>
      <c r="BU211" s="481"/>
      <c r="BV211" s="481"/>
      <c r="BW211" s="481"/>
      <c r="BX211" s="481"/>
      <c r="BY211" s="481"/>
      <c r="BZ211" s="481"/>
      <c r="CA211" s="481"/>
      <c r="CB211" s="481"/>
      <c r="CC211" s="481"/>
      <c r="CD211" s="481"/>
      <c r="CE211" s="481"/>
      <c r="CF211" s="481"/>
      <c r="CG211" s="481"/>
      <c r="CH211" s="481"/>
      <c r="CI211" s="481"/>
      <c r="CJ211" s="481"/>
      <c r="CK211" s="481"/>
      <c r="CL211" s="481"/>
    </row>
    <row r="212" spans="1:90" ht="15" hidden="1" customHeight="1" x14ac:dyDescent="0.2">
      <c r="A212" s="186"/>
      <c r="B212" s="1696" t="str">
        <f>B211</f>
        <v>Luglio</v>
      </c>
      <c r="C212" s="1948"/>
      <c r="D212" s="1949"/>
      <c r="E212" s="244">
        <f>E211</f>
        <v>7</v>
      </c>
      <c r="F212" s="248" t="str">
        <f>IF(G212="- - - - - - -","",VLOOKUP(G212,$Y$131:$AC$145,5,FALSE))</f>
        <v/>
      </c>
      <c r="G212" s="1678" t="str">
        <f>IF(F$192="",I$25,IF(AB211=0,HLOOKUP(CONCATENATE("I",G$192),$AB$184:$AJ$187,$K$185,FALSE),IF(AB212=0,HLOOKUP(CONCATENATE("II",G$192),$AB$184:$AJ$187,$K$185,FALSE),IF(AB213=0,HLOOKUP(CONCATENATE("III",G$192),$AB$184:$AJ$187,$K$185,FALSE),I$25))))</f>
        <v>- - - - - - -</v>
      </c>
      <c r="H212" s="1679"/>
      <c r="I212" s="1679"/>
      <c r="J212" s="1680"/>
      <c r="K212" s="248" t="str">
        <f>IF(L212="- - - - - - -","",VLOOKUP(L212,$Y$131:$AC$145,5,FALSE))</f>
        <v/>
      </c>
      <c r="L212" s="1678" t="str">
        <f>IF(K$192="",M$25,IF(AC211=0,HLOOKUP(CONCATENATE("I",L$192),$AB$184:$AJ$187,$K$185,FALSE),IF(AC212=0,HLOOKUP(CONCATENATE("II",L$192),$AB$184:$AJ$187,$K$185,FALSE),IF(AC213=0,HLOOKUP(CONCATENATE("III",L$192),$AB$184:$AJ$187,$K$185,FALSE),M$25))))</f>
        <v>- - - - - - -</v>
      </c>
      <c r="M212" s="1679"/>
      <c r="N212" s="1679"/>
      <c r="O212" s="1680"/>
      <c r="P212" s="248" t="str">
        <f>IF(Q212="- - - - - - -","",VLOOKUP(Q212,$Y$131:$AC$145,5,FALSE))</f>
        <v/>
      </c>
      <c r="Q212" s="1678" t="str">
        <f>IF(P$192="",U$25,IF(AD211=0,HLOOKUP(CONCATENATE("I",Q$192),$AB$184:$AJ$187,$K$185,FALSE),IF(AD212=0,HLOOKUP(CONCATENATE("II",Q$192),$AB$184:$AJ$187,$K$185,FALSE),IF(AD213=0,HLOOKUP(CONCATENATE("III",Q$192),$AB$184:$AJ$187,$K$185,FALSE),U$25))))</f>
        <v>- - - - - - -</v>
      </c>
      <c r="R212" s="1679"/>
      <c r="S212" s="1679"/>
      <c r="T212" s="1680"/>
      <c r="U212" s="248" t="str">
        <f>IF(V212="- - - - - - -","",VLOOKUP(V212,$Y$131:$AC$145,5,FALSE))</f>
        <v/>
      </c>
      <c r="V212" s="1678" t="str">
        <f>IF(U$192="",AC$25,IF(AE211=0,HLOOKUP(CONCATENATE("I",V$192),$AB$184:$AJ$187,$K$185,FALSE),IF(AE212=0,HLOOKUP(CONCATENATE("II",V$192),$AB$184:$AJ$187,$K$185,FALSE),IF(AE213=0,HLOOKUP(CONCATENATE("III",V$192),$AB$184:$AJ$187,$K$185,FALSE),AC$25))))</f>
        <v>- - - - - - -</v>
      </c>
      <c r="W212" s="1679"/>
      <c r="X212" s="1679"/>
      <c r="Y212" s="1680"/>
      <c r="Z212" s="186"/>
      <c r="AA212" s="573" t="s">
        <v>92</v>
      </c>
      <c r="AB212" s="136" t="str">
        <f t="shared" si="35"/>
        <v>---</v>
      </c>
      <c r="AC212" s="136" t="str">
        <f t="shared" si="32"/>
        <v>---</v>
      </c>
      <c r="AD212" s="136" t="str">
        <f t="shared" si="33"/>
        <v>---</v>
      </c>
      <c r="AE212" s="136" t="str">
        <f t="shared" si="34"/>
        <v>---</v>
      </c>
      <c r="AF212" s="48"/>
      <c r="AG212" s="136" t="e">
        <f>HLOOKUP($E211,$O$183:$Z$186,VLOOKUP(CONCATENATE("II",G$192),$H$184:$K$186,4,FALSE),FALSE)</f>
        <v>#N/A</v>
      </c>
      <c r="AH212" s="136" t="e">
        <f>HLOOKUP($E211,$O$183:$Z$186,VLOOKUP(CONCATENATE("II",L$192),$H$184:$K$186,4,FALSE),FALSE)</f>
        <v>#N/A</v>
      </c>
      <c r="AI212" s="136" t="e">
        <f>HLOOKUP($E211,$O$183:$Z$186,VLOOKUP(CONCATENATE("II",Q$192),$H$184:$K$186,4,FALSE),FALSE)</f>
        <v>#N/A</v>
      </c>
      <c r="AJ212" s="136" t="e">
        <f>HLOOKUP($E211,$O$183:$Z$186,VLOOKUP(CONCATENATE("II",V$192),$H$184:$K$186,4,FALSE),FALSE)</f>
        <v>#N/A</v>
      </c>
      <c r="AK212" s="48"/>
      <c r="AL212" s="481"/>
      <c r="AM212" s="481"/>
      <c r="AN212" s="481"/>
      <c r="AO212" s="481"/>
      <c r="AP212" s="481"/>
      <c r="AQ212" s="481"/>
      <c r="AR212" s="481"/>
      <c r="AS212" s="481"/>
      <c r="AT212" s="481"/>
      <c r="AU212" s="481"/>
      <c r="AV212" s="481"/>
      <c r="AW212" s="481"/>
      <c r="AX212" s="481"/>
      <c r="AY212" s="481"/>
      <c r="AZ212" s="481"/>
      <c r="BA212" s="481"/>
      <c r="BB212" s="481"/>
      <c r="BC212" s="481"/>
      <c r="BD212" s="481"/>
      <c r="BE212" s="481"/>
      <c r="BF212" s="481"/>
      <c r="BG212" s="481"/>
      <c r="BH212" s="481"/>
      <c r="BI212" s="481"/>
      <c r="BJ212" s="481"/>
      <c r="BK212" s="481"/>
      <c r="BL212" s="481"/>
      <c r="BM212" s="481"/>
      <c r="BN212" s="481"/>
      <c r="BO212" s="481"/>
      <c r="BP212" s="481"/>
      <c r="BQ212" s="481"/>
      <c r="BR212" s="481"/>
      <c r="BS212" s="481"/>
      <c r="BT212" s="481"/>
      <c r="BU212" s="481"/>
      <c r="BV212" s="481"/>
      <c r="BW212" s="481"/>
      <c r="BX212" s="481"/>
      <c r="BY212" s="481"/>
      <c r="BZ212" s="481"/>
      <c r="CA212" s="481"/>
      <c r="CB212" s="481"/>
      <c r="CC212" s="481"/>
      <c r="CD212" s="481"/>
      <c r="CE212" s="481"/>
      <c r="CF212" s="481"/>
      <c r="CG212" s="481"/>
      <c r="CH212" s="481"/>
      <c r="CI212" s="481"/>
      <c r="CJ212" s="481"/>
      <c r="CK212" s="481"/>
      <c r="CL212" s="481"/>
    </row>
    <row r="213" spans="1:90" ht="15" hidden="1" customHeight="1" x14ac:dyDescent="0.2">
      <c r="A213" s="186"/>
      <c r="B213" s="1946" t="str">
        <f>B211</f>
        <v>Luglio</v>
      </c>
      <c r="C213" s="1814"/>
      <c r="D213" s="1947"/>
      <c r="E213" s="244">
        <f>E212</f>
        <v>7</v>
      </c>
      <c r="F213" s="250" t="str">
        <f>IF(G213="","",VLOOKUP(G213,$AH$8:$AL$14,5,FALSE))</f>
        <v/>
      </c>
      <c r="G213" s="1619" t="str">
        <f>IF(F$192="",I$26,IF(AB211=0,HLOOKUP(CONCATENATE("I",G$192),$AB$184:$AJ$187,$K$186,FALSE),IF(AB212=0,HLOOKUP(CONCATENATE("II",G$192),$AB$184:$AJ$187,$K$186,FALSE),IF(AB213=0,HLOOKUP(CONCATENATE("III",G$192),$AB$184:$AJ$187,$K$186,FALSE),I$26))))</f>
        <v/>
      </c>
      <c r="H213" s="1620"/>
      <c r="I213" s="1620"/>
      <c r="J213" s="1621"/>
      <c r="K213" s="250" t="str">
        <f>IF(L213="","",VLOOKUP(L213,$AH$8:$AL$14,5,FALSE))</f>
        <v/>
      </c>
      <c r="L213" s="1619" t="str">
        <f>IF(K$192="",M$26,IF(AC211=0,HLOOKUP(CONCATENATE("I",L$192),$AB$184:$AJ$187,$K$186,FALSE),IF(AC212=0,HLOOKUP(CONCATENATE("II",L$192),$AB$184:$AJ$187,$K$186,FALSE),IF(AC213=0,HLOOKUP(CONCATENATE("III",L$192),$AB$184:$AJ$187,$K$186,FALSE),M$26))))</f>
        <v/>
      </c>
      <c r="M213" s="1620"/>
      <c r="N213" s="1620"/>
      <c r="O213" s="1621"/>
      <c r="P213" s="250" t="str">
        <f>IF(Q213="","",VLOOKUP(Q213,$AH$8:$AL$14,5,FALSE))</f>
        <v/>
      </c>
      <c r="Q213" s="1619" t="str">
        <f>IF(P$192="",U$26,IF(AD211=0,HLOOKUP(CONCATENATE("I",Q$192),$AB$184:$AJ$187,$K$186,FALSE),IF(AD212=0,HLOOKUP(CONCATENATE("II",Q$192),$AB$184:$AJ$187,$K$186,FALSE),IF(AD213=0,HLOOKUP(CONCATENATE("III",Q$192),$AB$184:$AJ$187,$K$186,FALSE),U$26))))</f>
        <v/>
      </c>
      <c r="R213" s="1620"/>
      <c r="S213" s="1620"/>
      <c r="T213" s="1621"/>
      <c r="U213" s="250" t="str">
        <f>IF(V213="","",VLOOKUP(V213,$AH$8:$AL$14,5,FALSE))</f>
        <v/>
      </c>
      <c r="V213" s="1619" t="str">
        <f>IF(U$192="",AC$26,IF(AE211=0,HLOOKUP(CONCATENATE("I",V$192),$AB$184:$AJ$187,$K$186,FALSE),IF(AE212=0,HLOOKUP(CONCATENATE("II",V$192),$AB$184:$AJ$187,$K$186,FALSE),IF(AE213=0,HLOOKUP(CONCATENATE("III",V$192),$AB$184:$AJ$187,$K$186,FALSE),AC$26))))</f>
        <v/>
      </c>
      <c r="W213" s="1620"/>
      <c r="X213" s="1620"/>
      <c r="Y213" s="1621"/>
      <c r="Z213" s="186"/>
      <c r="AA213" s="1327" t="s">
        <v>93</v>
      </c>
      <c r="AB213" s="258" t="str">
        <f t="shared" si="35"/>
        <v>---</v>
      </c>
      <c r="AC213" s="258" t="str">
        <f t="shared" si="32"/>
        <v>---</v>
      </c>
      <c r="AD213" s="258" t="str">
        <f t="shared" si="33"/>
        <v>---</v>
      </c>
      <c r="AE213" s="258" t="str">
        <f t="shared" si="34"/>
        <v>---</v>
      </c>
      <c r="AF213" s="48"/>
      <c r="AG213" s="258" t="e">
        <f>HLOOKUP($E211,$O$183:$Z$186,VLOOKUP(CONCATENATE("III",G$192),$H$184:$K$186,4,FALSE),FALSE)</f>
        <v>#N/A</v>
      </c>
      <c r="AH213" s="258" t="e">
        <f>HLOOKUP($E211,$O$183:$Z$186,VLOOKUP(CONCATENATE("III",L$192),$H$184:$K$186,4,FALSE),FALSE)</f>
        <v>#N/A</v>
      </c>
      <c r="AI213" s="258" t="e">
        <f>HLOOKUP($E211,$O$183:$Z$186,VLOOKUP(CONCATENATE("III",Q$192),$H$184:$K$186,4,FALSE),FALSE)</f>
        <v>#N/A</v>
      </c>
      <c r="AJ213" s="258" t="e">
        <f>HLOOKUP($E211,$O$183:$Z$186,VLOOKUP(CONCATENATE("III",V$192),$H$184:$K$186,4,FALSE),FALSE)</f>
        <v>#N/A</v>
      </c>
      <c r="AK213" s="48"/>
      <c r="AL213" s="481"/>
      <c r="AM213" s="481"/>
      <c r="AN213" s="481"/>
      <c r="AO213" s="481"/>
      <c r="AP213" s="481"/>
      <c r="AQ213" s="481"/>
      <c r="AR213" s="481"/>
      <c r="AS213" s="481"/>
      <c r="AT213" s="481"/>
      <c r="AU213" s="481"/>
      <c r="AV213" s="481"/>
      <c r="AW213" s="481"/>
      <c r="AX213" s="481"/>
      <c r="AY213" s="481"/>
      <c r="AZ213" s="481"/>
      <c r="BA213" s="481"/>
      <c r="BB213" s="481"/>
      <c r="BC213" s="481"/>
      <c r="BD213" s="481"/>
      <c r="BE213" s="481"/>
      <c r="BF213" s="481"/>
      <c r="BG213" s="481"/>
      <c r="BH213" s="481"/>
      <c r="BI213" s="481"/>
      <c r="BJ213" s="481"/>
      <c r="BK213" s="481"/>
      <c r="BL213" s="481"/>
      <c r="BM213" s="481"/>
      <c r="BN213" s="481"/>
      <c r="BO213" s="481"/>
      <c r="BP213" s="481"/>
      <c r="BQ213" s="481"/>
      <c r="BR213" s="481"/>
      <c r="BS213" s="481"/>
      <c r="BT213" s="481"/>
      <c r="BU213" s="481"/>
      <c r="BV213" s="481"/>
      <c r="BW213" s="481"/>
      <c r="BX213" s="481"/>
      <c r="BY213" s="481"/>
      <c r="BZ213" s="481"/>
      <c r="CA213" s="481"/>
      <c r="CB213" s="481"/>
      <c r="CC213" s="481"/>
      <c r="CD213" s="481"/>
      <c r="CE213" s="481"/>
      <c r="CF213" s="481"/>
      <c r="CG213" s="481"/>
      <c r="CH213" s="481"/>
      <c r="CI213" s="481"/>
      <c r="CJ213" s="481"/>
      <c r="CK213" s="481"/>
      <c r="CL213" s="481"/>
    </row>
    <row r="214" spans="1:90" ht="15" hidden="1" customHeight="1" x14ac:dyDescent="0.2">
      <c r="A214" s="186"/>
      <c r="B214" s="1950" t="str">
        <f>C164</f>
        <v>Agosto</v>
      </c>
      <c r="C214" s="1725"/>
      <c r="D214" s="1951"/>
      <c r="E214" s="242">
        <f>V183</f>
        <v>8</v>
      </c>
      <c r="F214" s="247" t="str">
        <f>IF(G214="","",VLOOKUP(G214,$K$8:$O$14,5,FALSE))</f>
        <v/>
      </c>
      <c r="G214" s="1616" t="str">
        <f>IF(F$192="",I$24,IF(AB214=0,HLOOKUP(CONCATENATE("I",G$192),$AB$184:$AJ$187,$K$184,FALSE),IF(AB215=0,HLOOKUP(CONCATENATE("II",G$192),$AB$184:$AJ$187,$K$184,FALSE),IF(AB216=0,HLOOKUP(CONCATENATE("III",G$192),$AB$184:$AJ$187,$K$184,FALSE),I$24))))</f>
        <v/>
      </c>
      <c r="H214" s="1617"/>
      <c r="I214" s="1617"/>
      <c r="J214" s="1618"/>
      <c r="K214" s="247" t="str">
        <f>IF(L214="","",VLOOKUP(L214,$K$8:$O$14,5,FALSE))</f>
        <v/>
      </c>
      <c r="L214" s="1616" t="str">
        <f>IF(K$192="",M$24,IF(AC214=0,HLOOKUP(CONCATENATE("I",L$192),$AB$184:$AJ$187,$K$184,FALSE),IF(AC215=0,HLOOKUP(CONCATENATE("II",L$192),$AB$184:$AJ$187,$K$184,FALSE),IF(AC216=0,HLOOKUP(CONCATENATE("III",L$192),$AB$184:$AJ$187,$K$184,FALSE),M$24))))</f>
        <v/>
      </c>
      <c r="M214" s="1617"/>
      <c r="N214" s="1617"/>
      <c r="O214" s="1618"/>
      <c r="P214" s="247" t="str">
        <f>IF(Q214="","",VLOOKUP(Q214,$K$8:$O$14,5,FALSE))</f>
        <v/>
      </c>
      <c r="Q214" s="1616" t="str">
        <f>IF(P$192="",U$24,IF(AD214=0,HLOOKUP(CONCATENATE("I",Q$192),$AB$184:$AJ$187,$K$184,FALSE),IF(AD215=0,HLOOKUP(CONCATENATE("II",Q$192),$AB$184:$AJ$187,$K$184,FALSE),IF(AD216=0,HLOOKUP(CONCATENATE("III",Q$192),$AB$184:$AJ$187,$K$184,FALSE),U$24))))</f>
        <v/>
      </c>
      <c r="R214" s="1617"/>
      <c r="S214" s="1617"/>
      <c r="T214" s="1618"/>
      <c r="U214" s="247" t="str">
        <f>IF(V214="","",VLOOKUP(V214,$K$8:$O$14,5,FALSE))</f>
        <v/>
      </c>
      <c r="V214" s="1616" t="str">
        <f>IF(U$192="",AC$24,IF(AE214=0,HLOOKUP(CONCATENATE("I",V$192),$AB$184:$AJ$187,$K$184,FALSE),IF(AE215=0,HLOOKUP(CONCATENATE("II",V$192),$AB$184:$AJ$187,$K$184,FALSE),IF(AE216=0,HLOOKUP(CONCATENATE("III",V$192),$AB$184:$AJ$187,$K$184,FALSE),AC$24))))</f>
        <v/>
      </c>
      <c r="W214" s="1617"/>
      <c r="X214" s="1617"/>
      <c r="Y214" s="1618"/>
      <c r="Z214" s="186"/>
      <c r="AA214" s="1326" t="s">
        <v>171</v>
      </c>
      <c r="AB214" s="259" t="str">
        <f t="shared" si="35"/>
        <v>---</v>
      </c>
      <c r="AC214" s="259" t="str">
        <f t="shared" si="32"/>
        <v>---</v>
      </c>
      <c r="AD214" s="259" t="str">
        <f t="shared" si="33"/>
        <v>---</v>
      </c>
      <c r="AE214" s="259" t="str">
        <f t="shared" si="34"/>
        <v>---</v>
      </c>
      <c r="AF214" s="48"/>
      <c r="AG214" s="259" t="e">
        <f>HLOOKUP($E214,$O$183:$Z$186,VLOOKUP(CONCATENATE("I",G$192),$H$184:$K$186,4,FALSE),FALSE)</f>
        <v>#N/A</v>
      </c>
      <c r="AH214" s="259" t="e">
        <f>HLOOKUP($E214,$O$183:$Z$186,VLOOKUP(CONCATENATE("I",L$192),$H$184:$K$186,4,FALSE),FALSE)</f>
        <v>#N/A</v>
      </c>
      <c r="AI214" s="259" t="e">
        <f>HLOOKUP($E214,$O$183:$Z$186,VLOOKUP(CONCATENATE("I",Q$192),$H$184:$K$186,4,FALSE),FALSE)</f>
        <v>#N/A</v>
      </c>
      <c r="AJ214" s="259" t="e">
        <f>HLOOKUP($E214,$O$183:$Z$186,VLOOKUP(CONCATENATE("I",V$192),$H$184:$K$186,4,FALSE),FALSE)</f>
        <v>#N/A</v>
      </c>
      <c r="AK214" s="48"/>
      <c r="AL214" s="481"/>
      <c r="AM214" s="481"/>
      <c r="AN214" s="481"/>
      <c r="AO214" s="481"/>
      <c r="AP214" s="481"/>
      <c r="AQ214" s="481"/>
      <c r="AR214" s="481"/>
      <c r="AS214" s="481"/>
      <c r="AT214" s="481"/>
      <c r="AU214" s="481"/>
      <c r="AV214" s="481"/>
      <c r="AW214" s="481"/>
      <c r="AX214" s="481"/>
      <c r="AY214" s="481"/>
      <c r="AZ214" s="481"/>
      <c r="BA214" s="481"/>
      <c r="BB214" s="481"/>
      <c r="BC214" s="481"/>
      <c r="BD214" s="481"/>
      <c r="BE214" s="481"/>
      <c r="BF214" s="481"/>
      <c r="BG214" s="481"/>
      <c r="BH214" s="481"/>
      <c r="BI214" s="481"/>
      <c r="BJ214" s="481"/>
      <c r="BK214" s="481"/>
      <c r="BL214" s="481"/>
      <c r="BM214" s="481"/>
      <c r="BN214" s="481"/>
      <c r="BO214" s="481"/>
      <c r="BP214" s="481"/>
      <c r="BQ214" s="481"/>
      <c r="BR214" s="481"/>
      <c r="BS214" s="481"/>
      <c r="BT214" s="481"/>
      <c r="BU214" s="481"/>
      <c r="BV214" s="481"/>
      <c r="BW214" s="481"/>
      <c r="BX214" s="481"/>
      <c r="BY214" s="481"/>
      <c r="BZ214" s="481"/>
      <c r="CA214" s="481"/>
      <c r="CB214" s="481"/>
      <c r="CC214" s="481"/>
      <c r="CD214" s="481"/>
      <c r="CE214" s="481"/>
      <c r="CF214" s="481"/>
      <c r="CG214" s="481"/>
      <c r="CH214" s="481"/>
      <c r="CI214" s="481"/>
      <c r="CJ214" s="481"/>
      <c r="CK214" s="481"/>
      <c r="CL214" s="481"/>
    </row>
    <row r="215" spans="1:90" ht="15" hidden="1" customHeight="1" x14ac:dyDescent="0.2">
      <c r="A215" s="186"/>
      <c r="B215" s="1696" t="str">
        <f>B214</f>
        <v>Agosto</v>
      </c>
      <c r="C215" s="1948"/>
      <c r="D215" s="1949"/>
      <c r="E215" s="244">
        <f>E214</f>
        <v>8</v>
      </c>
      <c r="F215" s="248" t="str">
        <f>IF(G215="- - - - - - -","",VLOOKUP(G215,$Y$131:$AC$145,5,FALSE))</f>
        <v/>
      </c>
      <c r="G215" s="1678" t="str">
        <f>IF(F$192="",I$25,IF(AB214=0,HLOOKUP(CONCATENATE("I",G$192),$AB$184:$AJ$187,$K$185,FALSE),IF(AB215=0,HLOOKUP(CONCATENATE("II",G$192),$AB$184:$AJ$187,$K$185,FALSE),IF(AB216=0,HLOOKUP(CONCATENATE("III",G$192),$AB$184:$AJ$187,$K$185,FALSE),I$25))))</f>
        <v>- - - - - - -</v>
      </c>
      <c r="H215" s="1679"/>
      <c r="I215" s="1679"/>
      <c r="J215" s="1680"/>
      <c r="K215" s="248" t="str">
        <f>IF(L215="- - - - - - -","",VLOOKUP(L215,$Y$131:$AC$145,5,FALSE))</f>
        <v/>
      </c>
      <c r="L215" s="1678" t="str">
        <f>IF(K$192="",M$25,IF(AC214=0,HLOOKUP(CONCATENATE("I",L$192),$AB$184:$AJ$187,$K$185,FALSE),IF(AC215=0,HLOOKUP(CONCATENATE("II",L$192),$AB$184:$AJ$187,$K$185,FALSE),IF(AC216=0,HLOOKUP(CONCATENATE("III",L$192),$AB$184:$AJ$187,$K$185,FALSE),M$25))))</f>
        <v>- - - - - - -</v>
      </c>
      <c r="M215" s="1679"/>
      <c r="N215" s="1679"/>
      <c r="O215" s="1680"/>
      <c r="P215" s="248" t="str">
        <f>IF(Q215="- - - - - - -","",VLOOKUP(Q215,$Y$131:$AC$145,5,FALSE))</f>
        <v/>
      </c>
      <c r="Q215" s="1678" t="str">
        <f>IF(P$192="",U$25,IF(AD214=0,HLOOKUP(CONCATENATE("I",Q$192),$AB$184:$AJ$187,$K$185,FALSE),IF(AD215=0,HLOOKUP(CONCATENATE("II",Q$192),$AB$184:$AJ$187,$K$185,FALSE),IF(AD216=0,HLOOKUP(CONCATENATE("III",Q$192),$AB$184:$AJ$187,$K$185,FALSE),U$25))))</f>
        <v>- - - - - - -</v>
      </c>
      <c r="R215" s="1679"/>
      <c r="S215" s="1679"/>
      <c r="T215" s="1680"/>
      <c r="U215" s="248" t="str">
        <f>IF(V215="- - - - - - -","",VLOOKUP(V215,$Y$131:$AC$145,5,FALSE))</f>
        <v/>
      </c>
      <c r="V215" s="1678" t="str">
        <f>IF(U$192="",AC$25,IF(AE214=0,HLOOKUP(CONCATENATE("I",V$192),$AB$184:$AJ$187,$K$185,FALSE),IF(AE215=0,HLOOKUP(CONCATENATE("II",V$192),$AB$184:$AJ$187,$K$185,FALSE),IF(AE216=0,HLOOKUP(CONCATENATE("III",V$192),$AB$184:$AJ$187,$K$185,FALSE),AC$25))))</f>
        <v>- - - - - - -</v>
      </c>
      <c r="W215" s="1679"/>
      <c r="X215" s="1679"/>
      <c r="Y215" s="1680"/>
      <c r="Z215" s="186"/>
      <c r="AA215" s="573" t="s">
        <v>92</v>
      </c>
      <c r="AB215" s="136" t="str">
        <f t="shared" si="35"/>
        <v>---</v>
      </c>
      <c r="AC215" s="136" t="str">
        <f t="shared" si="32"/>
        <v>---</v>
      </c>
      <c r="AD215" s="136" t="str">
        <f t="shared" si="33"/>
        <v>---</v>
      </c>
      <c r="AE215" s="136" t="str">
        <f t="shared" si="34"/>
        <v>---</v>
      </c>
      <c r="AF215" s="48"/>
      <c r="AG215" s="136" t="e">
        <f>HLOOKUP($E214,$O$183:$Z$186,VLOOKUP(CONCATENATE("II",G$192),$H$184:$K$186,4,FALSE),FALSE)</f>
        <v>#N/A</v>
      </c>
      <c r="AH215" s="136" t="e">
        <f>HLOOKUP($E214,$O$183:$Z$186,VLOOKUP(CONCATENATE("II",L$192),$H$184:$K$186,4,FALSE),FALSE)</f>
        <v>#N/A</v>
      </c>
      <c r="AI215" s="136" t="e">
        <f>HLOOKUP($E214,$O$183:$Z$186,VLOOKUP(CONCATENATE("II",Q$192),$H$184:$K$186,4,FALSE),FALSE)</f>
        <v>#N/A</v>
      </c>
      <c r="AJ215" s="136" t="e">
        <f>HLOOKUP($E214,$O$183:$Z$186,VLOOKUP(CONCATENATE("II",V$192),$H$184:$K$186,4,FALSE),FALSE)</f>
        <v>#N/A</v>
      </c>
      <c r="AK215" s="48"/>
      <c r="AL215" s="481"/>
      <c r="AM215" s="481"/>
      <c r="AN215" s="481"/>
      <c r="AO215" s="481"/>
      <c r="AP215" s="481"/>
      <c r="AQ215" s="481"/>
      <c r="AR215" s="481"/>
      <c r="AS215" s="481"/>
      <c r="AT215" s="481"/>
      <c r="AU215" s="481"/>
      <c r="AV215" s="481"/>
      <c r="AW215" s="481"/>
      <c r="AX215" s="481"/>
      <c r="AY215" s="481"/>
      <c r="AZ215" s="481"/>
      <c r="BA215" s="481"/>
      <c r="BB215" s="481"/>
      <c r="BC215" s="481"/>
      <c r="BD215" s="481"/>
      <c r="BE215" s="481"/>
      <c r="BF215" s="481"/>
      <c r="BG215" s="481"/>
      <c r="BH215" s="481"/>
      <c r="BI215" s="481"/>
      <c r="BJ215" s="481"/>
      <c r="BK215" s="481"/>
      <c r="BL215" s="481"/>
      <c r="BM215" s="481"/>
      <c r="BN215" s="481"/>
      <c r="BO215" s="481"/>
      <c r="BP215" s="481"/>
      <c r="BQ215" s="481"/>
      <c r="BR215" s="481"/>
      <c r="BS215" s="481"/>
      <c r="BT215" s="481"/>
      <c r="BU215" s="481"/>
      <c r="BV215" s="481"/>
      <c r="BW215" s="481"/>
      <c r="BX215" s="481"/>
      <c r="BY215" s="481"/>
      <c r="BZ215" s="481"/>
      <c r="CA215" s="481"/>
      <c r="CB215" s="481"/>
      <c r="CC215" s="481"/>
      <c r="CD215" s="481"/>
      <c r="CE215" s="481"/>
      <c r="CF215" s="481"/>
      <c r="CG215" s="481"/>
      <c r="CH215" s="481"/>
      <c r="CI215" s="481"/>
      <c r="CJ215" s="481"/>
      <c r="CK215" s="481"/>
      <c r="CL215" s="481"/>
    </row>
    <row r="216" spans="1:90" ht="15" hidden="1" customHeight="1" x14ac:dyDescent="0.2">
      <c r="A216" s="186"/>
      <c r="B216" s="1946" t="str">
        <f>B214</f>
        <v>Agosto</v>
      </c>
      <c r="C216" s="1814"/>
      <c r="D216" s="1947"/>
      <c r="E216" s="244">
        <f>E215</f>
        <v>8</v>
      </c>
      <c r="F216" s="250" t="str">
        <f>IF(G216="","",VLOOKUP(G216,$AH$8:$AL$14,5,FALSE))</f>
        <v/>
      </c>
      <c r="G216" s="1619" t="str">
        <f>IF(F$192="",I$26,IF(AB214=0,HLOOKUP(CONCATENATE("I",G$192),$AB$184:$AJ$187,$K$186,FALSE),IF(AB215=0,HLOOKUP(CONCATENATE("II",G$192),$AB$184:$AJ$187,$K$186,FALSE),IF(AB216=0,HLOOKUP(CONCATENATE("III",G$192),$AB$184:$AJ$187,$K$186,FALSE),I$26))))</f>
        <v/>
      </c>
      <c r="H216" s="1620"/>
      <c r="I216" s="1620"/>
      <c r="J216" s="1621"/>
      <c r="K216" s="250" t="str">
        <f>IF(L216="","",VLOOKUP(L216,$AH$8:$AL$14,5,FALSE))</f>
        <v/>
      </c>
      <c r="L216" s="1619" t="str">
        <f>IF(K$192="",M$26,IF(AC214=0,HLOOKUP(CONCATENATE("I",L$192),$AB$184:$AJ$187,$K$186,FALSE),IF(AC215=0,HLOOKUP(CONCATENATE("II",L$192),$AB$184:$AJ$187,$K$186,FALSE),IF(AC216=0,HLOOKUP(CONCATENATE("III",L$192),$AB$184:$AJ$187,$K$186,FALSE),M$26))))</f>
        <v/>
      </c>
      <c r="M216" s="1620"/>
      <c r="N216" s="1620"/>
      <c r="O216" s="1621"/>
      <c r="P216" s="250" t="str">
        <f>IF(Q216="","",VLOOKUP(Q216,$AH$8:$AL$14,5,FALSE))</f>
        <v/>
      </c>
      <c r="Q216" s="1619" t="str">
        <f>IF(P$192="",U$26,IF(AD214=0,HLOOKUP(CONCATENATE("I",Q$192),$AB$184:$AJ$187,$K$186,FALSE),IF(AD215=0,HLOOKUP(CONCATENATE("II",Q$192),$AB$184:$AJ$187,$K$186,FALSE),IF(AD216=0,HLOOKUP(CONCATENATE("III",Q$192),$AB$184:$AJ$187,$K$186,FALSE),U$26))))</f>
        <v/>
      </c>
      <c r="R216" s="1620"/>
      <c r="S216" s="1620"/>
      <c r="T216" s="1621"/>
      <c r="U216" s="250" t="str">
        <f>IF(V216="","",VLOOKUP(V216,$AH$8:$AL$14,5,FALSE))</f>
        <v/>
      </c>
      <c r="V216" s="1619" t="str">
        <f>IF(U$192="",AC$26,IF(AE214=0,HLOOKUP(CONCATENATE("I",V$192),$AB$184:$AJ$187,$K$186,FALSE),IF(AE215=0,HLOOKUP(CONCATENATE("II",V$192),$AB$184:$AJ$187,$K$186,FALSE),IF(AE216=0,HLOOKUP(CONCATENATE("III",V$192),$AB$184:$AJ$187,$K$186,FALSE),AC$26))))</f>
        <v/>
      </c>
      <c r="W216" s="1620"/>
      <c r="X216" s="1620"/>
      <c r="Y216" s="1621"/>
      <c r="Z216" s="186"/>
      <c r="AA216" s="1327" t="s">
        <v>93</v>
      </c>
      <c r="AB216" s="258" t="str">
        <f t="shared" si="35"/>
        <v>---</v>
      </c>
      <c r="AC216" s="258" t="str">
        <f t="shared" si="32"/>
        <v>---</v>
      </c>
      <c r="AD216" s="258" t="str">
        <f t="shared" si="33"/>
        <v>---</v>
      </c>
      <c r="AE216" s="258" t="str">
        <f t="shared" si="34"/>
        <v>---</v>
      </c>
      <c r="AF216" s="48"/>
      <c r="AG216" s="258" t="e">
        <f>HLOOKUP($E214,$O$183:$Z$186,VLOOKUP(CONCATENATE("III",G$192),$H$184:$K$186,4,FALSE),FALSE)</f>
        <v>#N/A</v>
      </c>
      <c r="AH216" s="258" t="e">
        <f>HLOOKUP($E214,$O$183:$Z$186,VLOOKUP(CONCATENATE("III",L$192),$H$184:$K$186,4,FALSE),FALSE)</f>
        <v>#N/A</v>
      </c>
      <c r="AI216" s="258" t="e">
        <f>HLOOKUP($E214,$O$183:$Z$186,VLOOKUP(CONCATENATE("III",Q$192),$H$184:$K$186,4,FALSE),FALSE)</f>
        <v>#N/A</v>
      </c>
      <c r="AJ216" s="258" t="e">
        <f>HLOOKUP($E214,$O$183:$Z$186,VLOOKUP(CONCATENATE("III",V$192),$H$184:$K$186,4,FALSE),FALSE)</f>
        <v>#N/A</v>
      </c>
      <c r="AK216" s="48"/>
      <c r="AL216" s="481"/>
      <c r="AM216" s="481"/>
      <c r="AN216" s="481"/>
      <c r="AO216" s="481"/>
      <c r="AP216" s="481"/>
      <c r="AQ216" s="481"/>
      <c r="AR216" s="481"/>
      <c r="AS216" s="481"/>
      <c r="AT216" s="481"/>
      <c r="AU216" s="481"/>
      <c r="AV216" s="481"/>
      <c r="AW216" s="481"/>
      <c r="AX216" s="481"/>
      <c r="AY216" s="481"/>
      <c r="AZ216" s="481"/>
      <c r="BA216" s="481"/>
      <c r="BB216" s="481"/>
      <c r="BC216" s="481"/>
      <c r="BD216" s="481"/>
      <c r="BE216" s="481"/>
      <c r="BF216" s="481"/>
      <c r="BG216" s="481"/>
      <c r="BH216" s="481"/>
      <c r="BI216" s="481"/>
      <c r="BJ216" s="481"/>
      <c r="BK216" s="481"/>
      <c r="BL216" s="481"/>
      <c r="BM216" s="481"/>
      <c r="BN216" s="481"/>
      <c r="BO216" s="481"/>
      <c r="BP216" s="481"/>
      <c r="BQ216" s="481"/>
      <c r="BR216" s="481"/>
      <c r="BS216" s="481"/>
      <c r="BT216" s="481"/>
      <c r="BU216" s="481"/>
      <c r="BV216" s="481"/>
      <c r="BW216" s="481"/>
      <c r="BX216" s="481"/>
      <c r="BY216" s="481"/>
      <c r="BZ216" s="481"/>
      <c r="CA216" s="481"/>
      <c r="CB216" s="481"/>
      <c r="CC216" s="481"/>
      <c r="CD216" s="481"/>
      <c r="CE216" s="481"/>
      <c r="CF216" s="481"/>
      <c r="CG216" s="481"/>
      <c r="CH216" s="481"/>
      <c r="CI216" s="481"/>
      <c r="CJ216" s="481"/>
      <c r="CK216" s="481"/>
      <c r="CL216" s="481"/>
    </row>
    <row r="217" spans="1:90" ht="15" hidden="1" customHeight="1" x14ac:dyDescent="0.2">
      <c r="A217" s="186"/>
      <c r="B217" s="1950" t="str">
        <f>C165</f>
        <v>Settembre</v>
      </c>
      <c r="C217" s="1725"/>
      <c r="D217" s="1951"/>
      <c r="E217" s="242">
        <f>W183</f>
        <v>9</v>
      </c>
      <c r="F217" s="247" t="str">
        <f>IF(G217="","",VLOOKUP(G217,$K$8:$O$14,5,FALSE))</f>
        <v/>
      </c>
      <c r="G217" s="1616" t="str">
        <f>IF(F$192="",I$24,IF(AB217=0,HLOOKUP(CONCATENATE("I",G$192),$AB$184:$AJ$187,$K$184,FALSE),IF(AB218=0,HLOOKUP(CONCATENATE("II",G$192),$AB$184:$AJ$187,$K$184,FALSE),IF(AB219=0,HLOOKUP(CONCATENATE("III",G$192),$AB$184:$AJ$187,$K$184,FALSE),I$24))))</f>
        <v/>
      </c>
      <c r="H217" s="1617"/>
      <c r="I217" s="1617"/>
      <c r="J217" s="1618"/>
      <c r="K217" s="247" t="str">
        <f>IF(L217="","",VLOOKUP(L217,$K$8:$O$14,5,FALSE))</f>
        <v/>
      </c>
      <c r="L217" s="1616" t="str">
        <f>IF(K$192="",M$24,IF(AC217=0,HLOOKUP(CONCATENATE("I",L$192),$AB$184:$AJ$187,$K$184,FALSE),IF(AC218=0,HLOOKUP(CONCATENATE("II",L$192),$AB$184:$AJ$187,$K$184,FALSE),IF(AC219=0,HLOOKUP(CONCATENATE("III",L$192),$AB$184:$AJ$187,$K$184,FALSE),M$24))))</f>
        <v/>
      </c>
      <c r="M217" s="1617"/>
      <c r="N217" s="1617"/>
      <c r="O217" s="1618"/>
      <c r="P217" s="247" t="str">
        <f>IF(Q217="","",VLOOKUP(Q217,$K$8:$O$14,5,FALSE))</f>
        <v/>
      </c>
      <c r="Q217" s="1616" t="str">
        <f>IF(P$192="",U$24,IF(AD217=0,HLOOKUP(CONCATENATE("I",Q$192),$AB$184:$AJ$187,$K$184,FALSE),IF(AD218=0,HLOOKUP(CONCATENATE("II",Q$192),$AB$184:$AJ$187,$K$184,FALSE),IF(AD219=0,HLOOKUP(CONCATENATE("III",Q$192),$AB$184:$AJ$187,$K$184,FALSE),U$24))))</f>
        <v/>
      </c>
      <c r="R217" s="1617"/>
      <c r="S217" s="1617"/>
      <c r="T217" s="1618"/>
      <c r="U217" s="247" t="str">
        <f>IF(V217="","",VLOOKUP(V217,$K$8:$O$14,5,FALSE))</f>
        <v/>
      </c>
      <c r="V217" s="1616" t="str">
        <f>IF(U$192="",AC$24,IF(AE217=0,HLOOKUP(CONCATENATE("I",V$192),$AB$184:$AJ$187,$K$184,FALSE),IF(AE218=0,HLOOKUP(CONCATENATE("II",V$192),$AB$184:$AJ$187,$K$184,FALSE),IF(AE219=0,HLOOKUP(CONCATENATE("III",V$192),$AB$184:$AJ$187,$K$184,FALSE),AC$24))))</f>
        <v/>
      </c>
      <c r="W217" s="1617"/>
      <c r="X217" s="1617"/>
      <c r="Y217" s="1618"/>
      <c r="Z217" s="186"/>
      <c r="AA217" s="1326" t="s">
        <v>171</v>
      </c>
      <c r="AB217" s="259" t="str">
        <f t="shared" si="35"/>
        <v>---</v>
      </c>
      <c r="AC217" s="259" t="str">
        <f t="shared" si="32"/>
        <v>---</v>
      </c>
      <c r="AD217" s="259" t="str">
        <f t="shared" si="33"/>
        <v>---</v>
      </c>
      <c r="AE217" s="259" t="str">
        <f t="shared" si="34"/>
        <v>---</v>
      </c>
      <c r="AF217" s="48"/>
      <c r="AG217" s="259" t="e">
        <f>HLOOKUP($E217,$O$183:$Z$186,VLOOKUP(CONCATENATE("I",G$192),$H$184:$K$186,4,FALSE),FALSE)</f>
        <v>#N/A</v>
      </c>
      <c r="AH217" s="259" t="e">
        <f>HLOOKUP($E217,$O$183:$Z$186,VLOOKUP(CONCATENATE("I",L$192),$H$184:$K$186,4,FALSE),FALSE)</f>
        <v>#N/A</v>
      </c>
      <c r="AI217" s="259" t="e">
        <f>HLOOKUP($E217,$O$183:$Z$186,VLOOKUP(CONCATENATE("I",Q$192),$H$184:$K$186,4,FALSE),FALSE)</f>
        <v>#N/A</v>
      </c>
      <c r="AJ217" s="259" t="e">
        <f>HLOOKUP($E217,$O$183:$Z$186,VLOOKUP(CONCATENATE("I",V$192),$H$184:$K$186,4,FALSE),FALSE)</f>
        <v>#N/A</v>
      </c>
      <c r="AK217" s="48"/>
      <c r="AL217" s="481"/>
      <c r="AM217" s="481"/>
      <c r="AN217" s="481"/>
      <c r="AO217" s="481"/>
      <c r="AP217" s="481"/>
      <c r="AQ217" s="481"/>
      <c r="AR217" s="481"/>
      <c r="AS217" s="481"/>
      <c r="AT217" s="481"/>
      <c r="AU217" s="481"/>
      <c r="AV217" s="481"/>
      <c r="AW217" s="481"/>
      <c r="AX217" s="481"/>
      <c r="AY217" s="481"/>
      <c r="AZ217" s="481"/>
      <c r="BA217" s="481"/>
      <c r="BB217" s="481"/>
      <c r="BC217" s="481"/>
      <c r="BD217" s="481"/>
      <c r="BE217" s="481"/>
      <c r="BF217" s="481"/>
      <c r="BG217" s="481"/>
      <c r="BH217" s="481"/>
      <c r="BI217" s="481"/>
      <c r="BJ217" s="481"/>
      <c r="BK217" s="481"/>
      <c r="BL217" s="481"/>
      <c r="BM217" s="481"/>
      <c r="BN217" s="481"/>
      <c r="BO217" s="481"/>
      <c r="BP217" s="481"/>
      <c r="BQ217" s="481"/>
      <c r="BR217" s="481"/>
      <c r="BS217" s="481"/>
      <c r="BT217" s="481"/>
      <c r="BU217" s="481"/>
      <c r="BV217" s="481"/>
      <c r="BW217" s="481"/>
      <c r="BX217" s="481"/>
      <c r="BY217" s="481"/>
      <c r="BZ217" s="481"/>
      <c r="CA217" s="481"/>
      <c r="CB217" s="481"/>
      <c r="CC217" s="481"/>
      <c r="CD217" s="481"/>
      <c r="CE217" s="481"/>
      <c r="CF217" s="481"/>
      <c r="CG217" s="481"/>
      <c r="CH217" s="481"/>
      <c r="CI217" s="481"/>
      <c r="CJ217" s="481"/>
      <c r="CK217" s="481"/>
      <c r="CL217" s="481"/>
    </row>
    <row r="218" spans="1:90" ht="15" hidden="1" customHeight="1" x14ac:dyDescent="0.2">
      <c r="A218" s="186"/>
      <c r="B218" s="1696" t="str">
        <f>B217</f>
        <v>Settembre</v>
      </c>
      <c r="C218" s="1948"/>
      <c r="D218" s="1949"/>
      <c r="E218" s="244">
        <f>E217</f>
        <v>9</v>
      </c>
      <c r="F218" s="248" t="str">
        <f>IF(G218="- - - - - - -","",VLOOKUP(G218,$Y$131:$AC$145,5,FALSE))</f>
        <v/>
      </c>
      <c r="G218" s="1678" t="str">
        <f>IF(F$192="",I$25,IF(AB217=0,HLOOKUP(CONCATENATE("I",G$192),$AB$184:$AJ$187,$K$185,FALSE),IF(AB218=0,HLOOKUP(CONCATENATE("II",G$192),$AB$184:$AJ$187,$K$185,FALSE),IF(AB219=0,HLOOKUP(CONCATENATE("III",G$192),$AB$184:$AJ$187,$K$185,FALSE),I$25))))</f>
        <v>- - - - - - -</v>
      </c>
      <c r="H218" s="1679"/>
      <c r="I218" s="1679"/>
      <c r="J218" s="1680"/>
      <c r="K218" s="248" t="str">
        <f>IF(L218="- - - - - - -","",VLOOKUP(L218,$Y$131:$AC$145,5,FALSE))</f>
        <v/>
      </c>
      <c r="L218" s="1678" t="str">
        <f>IF(K$192="",M$25,IF(AC217=0,HLOOKUP(CONCATENATE("I",L$192),$AB$184:$AJ$187,$K$185,FALSE),IF(AC218=0,HLOOKUP(CONCATENATE("II",L$192),$AB$184:$AJ$187,$K$185,FALSE),IF(AC219=0,HLOOKUP(CONCATENATE("III",L$192),$AB$184:$AJ$187,$K$185,FALSE),M$25))))</f>
        <v>- - - - - - -</v>
      </c>
      <c r="M218" s="1679"/>
      <c r="N218" s="1679"/>
      <c r="O218" s="1680"/>
      <c r="P218" s="248" t="str">
        <f>IF(Q218="- - - - - - -","",VLOOKUP(Q218,$Y$131:$AC$145,5,FALSE))</f>
        <v/>
      </c>
      <c r="Q218" s="1678" t="str">
        <f>IF(P$192="",U$25,IF(AD217=0,HLOOKUP(CONCATENATE("I",Q$192),$AB$184:$AJ$187,$K$185,FALSE),IF(AD218=0,HLOOKUP(CONCATENATE("II",Q$192),$AB$184:$AJ$187,$K$185,FALSE),IF(AD219=0,HLOOKUP(CONCATENATE("III",Q$192),$AB$184:$AJ$187,$K$185,FALSE),U$25))))</f>
        <v>- - - - - - -</v>
      </c>
      <c r="R218" s="1679"/>
      <c r="S218" s="1679"/>
      <c r="T218" s="1680"/>
      <c r="U218" s="248" t="str">
        <f>IF(V218="- - - - - - -","",VLOOKUP(V218,$Y$131:$AC$145,5,FALSE))</f>
        <v/>
      </c>
      <c r="V218" s="1678" t="str">
        <f>IF(U$192="",AC$25,IF(AE217=0,HLOOKUP(CONCATENATE("I",V$192),$AB$184:$AJ$187,$K$185,FALSE),IF(AE218=0,HLOOKUP(CONCATENATE("II",V$192),$AB$184:$AJ$187,$K$185,FALSE),IF(AE219=0,HLOOKUP(CONCATENATE("III",V$192),$AB$184:$AJ$187,$K$185,FALSE),AC$25))))</f>
        <v>- - - - - - -</v>
      </c>
      <c r="W218" s="1679"/>
      <c r="X218" s="1679"/>
      <c r="Y218" s="1680"/>
      <c r="Z218" s="186"/>
      <c r="AA218" s="573" t="s">
        <v>92</v>
      </c>
      <c r="AB218" s="136" t="str">
        <f t="shared" si="35"/>
        <v>---</v>
      </c>
      <c r="AC218" s="136" t="str">
        <f t="shared" si="32"/>
        <v>---</v>
      </c>
      <c r="AD218" s="136" t="str">
        <f t="shared" si="33"/>
        <v>---</v>
      </c>
      <c r="AE218" s="136" t="str">
        <f t="shared" si="34"/>
        <v>---</v>
      </c>
      <c r="AF218" s="48"/>
      <c r="AG218" s="136" t="e">
        <f>HLOOKUP($E217,$O$183:$Z$186,VLOOKUP(CONCATENATE("II",G$192),$H$184:$K$186,4,FALSE),FALSE)</f>
        <v>#N/A</v>
      </c>
      <c r="AH218" s="136" t="e">
        <f>HLOOKUP($E217,$O$183:$Z$186,VLOOKUP(CONCATENATE("II",L$192),$H$184:$K$186,4,FALSE),FALSE)</f>
        <v>#N/A</v>
      </c>
      <c r="AI218" s="136" t="e">
        <f>HLOOKUP($E217,$O$183:$Z$186,VLOOKUP(CONCATENATE("II",Q$192),$H$184:$K$186,4,FALSE),FALSE)</f>
        <v>#N/A</v>
      </c>
      <c r="AJ218" s="136" t="e">
        <f>HLOOKUP($E217,$O$183:$Z$186,VLOOKUP(CONCATENATE("II",V$192),$H$184:$K$186,4,FALSE),FALSE)</f>
        <v>#N/A</v>
      </c>
      <c r="AK218" s="48"/>
      <c r="AL218" s="481"/>
      <c r="AM218" s="481"/>
      <c r="AN218" s="481"/>
      <c r="AO218" s="481"/>
      <c r="AP218" s="481"/>
      <c r="AQ218" s="481"/>
      <c r="AR218" s="481"/>
      <c r="AS218" s="481"/>
      <c r="AT218" s="481"/>
      <c r="AU218" s="481"/>
      <c r="AV218" s="481"/>
      <c r="AW218" s="481"/>
      <c r="AX218" s="481"/>
      <c r="AY218" s="481"/>
      <c r="AZ218" s="481"/>
      <c r="BA218" s="481"/>
      <c r="BB218" s="481"/>
      <c r="BC218" s="481"/>
      <c r="BD218" s="481"/>
      <c r="BE218" s="481"/>
      <c r="BF218" s="481"/>
      <c r="BG218" s="481"/>
      <c r="BH218" s="481"/>
      <c r="BI218" s="481"/>
      <c r="BJ218" s="481"/>
      <c r="BK218" s="481"/>
      <c r="BL218" s="481"/>
      <c r="BM218" s="481"/>
      <c r="BN218" s="481"/>
      <c r="BO218" s="481"/>
      <c r="BP218" s="481"/>
      <c r="BQ218" s="481"/>
      <c r="BR218" s="481"/>
      <c r="BS218" s="481"/>
      <c r="BT218" s="481"/>
      <c r="BU218" s="481"/>
      <c r="BV218" s="481"/>
      <c r="BW218" s="481"/>
      <c r="BX218" s="481"/>
      <c r="BY218" s="481"/>
      <c r="BZ218" s="481"/>
      <c r="CA218" s="481"/>
      <c r="CB218" s="481"/>
      <c r="CC218" s="481"/>
      <c r="CD218" s="481"/>
      <c r="CE218" s="481"/>
      <c r="CF218" s="481"/>
      <c r="CG218" s="481"/>
      <c r="CH218" s="481"/>
      <c r="CI218" s="481"/>
      <c r="CJ218" s="481"/>
      <c r="CK218" s="481"/>
      <c r="CL218" s="481"/>
    </row>
    <row r="219" spans="1:90" ht="15" hidden="1" customHeight="1" x14ac:dyDescent="0.2">
      <c r="A219" s="186"/>
      <c r="B219" s="1946" t="str">
        <f>B217</f>
        <v>Settembre</v>
      </c>
      <c r="C219" s="1814"/>
      <c r="D219" s="1947"/>
      <c r="E219" s="244">
        <f>E218</f>
        <v>9</v>
      </c>
      <c r="F219" s="250" t="str">
        <f>IF(G219="","",VLOOKUP(G219,$AH$8:$AL$14,5,FALSE))</f>
        <v/>
      </c>
      <c r="G219" s="1619" t="str">
        <f>IF(F$192="",I$26,IF(AB217=0,HLOOKUP(CONCATENATE("I",G$192),$AB$184:$AJ$187,$K$186,FALSE),IF(AB218=0,HLOOKUP(CONCATENATE("II",G$192),$AB$184:$AJ$187,$K$186,FALSE),IF(AB219=0,HLOOKUP(CONCATENATE("III",G$192),$AB$184:$AJ$187,$K$186,FALSE),I$26))))</f>
        <v/>
      </c>
      <c r="H219" s="1620"/>
      <c r="I219" s="1620"/>
      <c r="J219" s="1621"/>
      <c r="K219" s="250" t="str">
        <f>IF(L219="","",VLOOKUP(L219,$AH$8:$AL$14,5,FALSE))</f>
        <v/>
      </c>
      <c r="L219" s="1619" t="str">
        <f>IF(K$192="",M$26,IF(AC217=0,HLOOKUP(CONCATENATE("I",L$192),$AB$184:$AJ$187,$K$186,FALSE),IF(AC218=0,HLOOKUP(CONCATENATE("II",L$192),$AB$184:$AJ$187,$K$186,FALSE),IF(AC219=0,HLOOKUP(CONCATENATE("III",L$192),$AB$184:$AJ$187,$K$186,FALSE),M$26))))</f>
        <v/>
      </c>
      <c r="M219" s="1620"/>
      <c r="N219" s="1620"/>
      <c r="O219" s="1621"/>
      <c r="P219" s="250" t="str">
        <f>IF(Q219="","",VLOOKUP(Q219,$AH$8:$AL$14,5,FALSE))</f>
        <v/>
      </c>
      <c r="Q219" s="1619" t="str">
        <f>IF(P$192="",U$26,IF(AD217=0,HLOOKUP(CONCATENATE("I",Q$192),$AB$184:$AJ$187,$K$186,FALSE),IF(AD218=0,HLOOKUP(CONCATENATE("II",Q$192),$AB$184:$AJ$187,$K$186,FALSE),IF(AD219=0,HLOOKUP(CONCATENATE("III",Q$192),$AB$184:$AJ$187,$K$186,FALSE),U$26))))</f>
        <v/>
      </c>
      <c r="R219" s="1620"/>
      <c r="S219" s="1620"/>
      <c r="T219" s="1621"/>
      <c r="U219" s="250" t="str">
        <f>IF(V219="","",VLOOKUP(V219,$AH$8:$AL$14,5,FALSE))</f>
        <v/>
      </c>
      <c r="V219" s="1619" t="str">
        <f>IF(U$192="",AC$26,IF(AE217=0,HLOOKUP(CONCATENATE("I",V$192),$AB$184:$AJ$187,$K$186,FALSE),IF(AE218=0,HLOOKUP(CONCATENATE("II",V$192),$AB$184:$AJ$187,$K$186,FALSE),IF(AE219=0,HLOOKUP(CONCATENATE("III",V$192),$AB$184:$AJ$187,$K$186,FALSE),AC$26))))</f>
        <v/>
      </c>
      <c r="W219" s="1620"/>
      <c r="X219" s="1620"/>
      <c r="Y219" s="1621"/>
      <c r="Z219" s="186"/>
      <c r="AA219" s="1327" t="s">
        <v>93</v>
      </c>
      <c r="AB219" s="258" t="str">
        <f t="shared" si="35"/>
        <v>---</v>
      </c>
      <c r="AC219" s="258" t="str">
        <f t="shared" si="32"/>
        <v>---</v>
      </c>
      <c r="AD219" s="258" t="str">
        <f t="shared" si="33"/>
        <v>---</v>
      </c>
      <c r="AE219" s="258" t="str">
        <f t="shared" si="34"/>
        <v>---</v>
      </c>
      <c r="AF219" s="48"/>
      <c r="AG219" s="258" t="e">
        <f>HLOOKUP($E217,$O$183:$Z$186,VLOOKUP(CONCATENATE("III",G$192),$H$184:$K$186,4,FALSE),FALSE)</f>
        <v>#N/A</v>
      </c>
      <c r="AH219" s="258" t="e">
        <f>HLOOKUP($E217,$O$183:$Z$186,VLOOKUP(CONCATENATE("III",L$192),$H$184:$K$186,4,FALSE),FALSE)</f>
        <v>#N/A</v>
      </c>
      <c r="AI219" s="258" t="e">
        <f>HLOOKUP($E217,$O$183:$Z$186,VLOOKUP(CONCATENATE("III",Q$192),$H$184:$K$186,4,FALSE),FALSE)</f>
        <v>#N/A</v>
      </c>
      <c r="AJ219" s="258" t="e">
        <f>HLOOKUP($E217,$O$183:$Z$186,VLOOKUP(CONCATENATE("III",V$192),$H$184:$K$186,4,FALSE),FALSE)</f>
        <v>#N/A</v>
      </c>
      <c r="AK219" s="48"/>
      <c r="AL219" s="481"/>
      <c r="AM219" s="481"/>
      <c r="AN219" s="481"/>
      <c r="AO219" s="481"/>
      <c r="AP219" s="481"/>
      <c r="AQ219" s="481"/>
      <c r="AR219" s="481"/>
      <c r="AS219" s="481"/>
      <c r="AT219" s="481"/>
      <c r="AU219" s="481"/>
      <c r="AV219" s="481"/>
      <c r="AW219" s="481"/>
      <c r="AX219" s="481"/>
      <c r="AY219" s="481"/>
      <c r="AZ219" s="481"/>
      <c r="BA219" s="481"/>
      <c r="BB219" s="481"/>
      <c r="BC219" s="481"/>
      <c r="BD219" s="481"/>
      <c r="BE219" s="481"/>
      <c r="BF219" s="481"/>
      <c r="BG219" s="481"/>
      <c r="BH219" s="481"/>
      <c r="BI219" s="481"/>
      <c r="BJ219" s="481"/>
      <c r="BK219" s="481"/>
      <c r="BL219" s="481"/>
      <c r="BM219" s="481"/>
      <c r="BN219" s="481"/>
      <c r="BO219" s="481"/>
      <c r="BP219" s="481"/>
      <c r="BQ219" s="481"/>
      <c r="BR219" s="481"/>
      <c r="BS219" s="481"/>
      <c r="BT219" s="481"/>
      <c r="BU219" s="481"/>
      <c r="BV219" s="481"/>
      <c r="BW219" s="481"/>
      <c r="BX219" s="481"/>
      <c r="BY219" s="481"/>
      <c r="BZ219" s="481"/>
      <c r="CA219" s="481"/>
      <c r="CB219" s="481"/>
      <c r="CC219" s="481"/>
      <c r="CD219" s="481"/>
      <c r="CE219" s="481"/>
      <c r="CF219" s="481"/>
      <c r="CG219" s="481"/>
      <c r="CH219" s="481"/>
      <c r="CI219" s="481"/>
      <c r="CJ219" s="481"/>
      <c r="CK219" s="481"/>
      <c r="CL219" s="481"/>
    </row>
    <row r="220" spans="1:90" ht="15" hidden="1" customHeight="1" x14ac:dyDescent="0.2">
      <c r="A220" s="186"/>
      <c r="B220" s="1950" t="str">
        <f>C166</f>
        <v>Ottobre</v>
      </c>
      <c r="C220" s="1725"/>
      <c r="D220" s="1951"/>
      <c r="E220" s="242">
        <f>X183</f>
        <v>10</v>
      </c>
      <c r="F220" s="247" t="str">
        <f>IF(G220="","",VLOOKUP(G220,$K$8:$O$14,5,FALSE))</f>
        <v/>
      </c>
      <c r="G220" s="1616" t="str">
        <f>IF(F$192="",I$24,IF(AB220=0,HLOOKUP(CONCATENATE("I",G$192),$AB$184:$AJ$187,$K$184,FALSE),IF(AB221=0,HLOOKUP(CONCATENATE("II",G$192),$AB$184:$AJ$187,$K$184,FALSE),IF(AB222=0,HLOOKUP(CONCATENATE("III",G$192),$AB$184:$AJ$187,$K$184,FALSE),I$24))))</f>
        <v/>
      </c>
      <c r="H220" s="1617"/>
      <c r="I220" s="1617"/>
      <c r="J220" s="1618"/>
      <c r="K220" s="247" t="str">
        <f>IF(L220="","",VLOOKUP(L220,$K$8:$O$14,5,FALSE))</f>
        <v/>
      </c>
      <c r="L220" s="1616" t="str">
        <f>IF(K$192="",M$24,IF(AC220=0,HLOOKUP(CONCATENATE("I",L$192),$AB$184:$AJ$187,$K$184,FALSE),IF(AC221=0,HLOOKUP(CONCATENATE("II",L$192),$AB$184:$AJ$187,$K$184,FALSE),IF(AC222=0,HLOOKUP(CONCATENATE("III",L$192),$AB$184:$AJ$187,$K$184,FALSE),M$24))))</f>
        <v/>
      </c>
      <c r="M220" s="1617"/>
      <c r="N220" s="1617"/>
      <c r="O220" s="1618"/>
      <c r="P220" s="247" t="str">
        <f>IF(Q220="","",VLOOKUP(Q220,$K$8:$O$14,5,FALSE))</f>
        <v/>
      </c>
      <c r="Q220" s="1616" t="str">
        <f>IF(P$192="",U$24,IF(AD220=0,HLOOKUP(CONCATENATE("I",Q$192),$AB$184:$AJ$187,$K$184,FALSE),IF(AD221=0,HLOOKUP(CONCATENATE("II",Q$192),$AB$184:$AJ$187,$K$184,FALSE),IF(AD222=0,HLOOKUP(CONCATENATE("III",Q$192),$AB$184:$AJ$187,$K$184,FALSE),U$24))))</f>
        <v/>
      </c>
      <c r="R220" s="1617"/>
      <c r="S220" s="1617"/>
      <c r="T220" s="1618"/>
      <c r="U220" s="247" t="str">
        <f>IF(V220="","",VLOOKUP(V220,$K$8:$O$14,5,FALSE))</f>
        <v/>
      </c>
      <c r="V220" s="1616" t="str">
        <f>IF(U$192="",AC$24,IF(AE220=0,HLOOKUP(CONCATENATE("I",V$192),$AB$184:$AJ$187,$K$184,FALSE),IF(AE221=0,HLOOKUP(CONCATENATE("II",V$192),$AB$184:$AJ$187,$K$184,FALSE),IF(AE222=0,HLOOKUP(CONCATENATE("III",V$192),$AB$184:$AJ$187,$K$184,FALSE),AC$24))))</f>
        <v/>
      </c>
      <c r="W220" s="1617"/>
      <c r="X220" s="1617"/>
      <c r="Y220" s="1618"/>
      <c r="Z220" s="186"/>
      <c r="AA220" s="1326" t="s">
        <v>171</v>
      </c>
      <c r="AB220" s="259" t="str">
        <f t="shared" si="35"/>
        <v>---</v>
      </c>
      <c r="AC220" s="259" t="str">
        <f t="shared" si="32"/>
        <v>---</v>
      </c>
      <c r="AD220" s="259" t="str">
        <f t="shared" si="33"/>
        <v>---</v>
      </c>
      <c r="AE220" s="259" t="str">
        <f t="shared" si="34"/>
        <v>---</v>
      </c>
      <c r="AF220" s="48"/>
      <c r="AG220" s="259" t="e">
        <f>HLOOKUP($E220,$O$183:$Z$186,VLOOKUP(CONCATENATE("I",G$192),$H$184:$K$186,4,FALSE),FALSE)</f>
        <v>#N/A</v>
      </c>
      <c r="AH220" s="259" t="e">
        <f>HLOOKUP($E220,$O$183:$Z$186,VLOOKUP(CONCATENATE("I",L$192),$H$184:$K$186,4,FALSE),FALSE)</f>
        <v>#N/A</v>
      </c>
      <c r="AI220" s="259" t="e">
        <f>HLOOKUP($E220,$O$183:$Z$186,VLOOKUP(CONCATENATE("I",Q$192),$H$184:$K$186,4,FALSE),FALSE)</f>
        <v>#N/A</v>
      </c>
      <c r="AJ220" s="259" t="e">
        <f>HLOOKUP($E220,$O$183:$Z$186,VLOOKUP(CONCATENATE("I",V$192),$H$184:$K$186,4,FALSE),FALSE)</f>
        <v>#N/A</v>
      </c>
      <c r="AK220" s="48"/>
      <c r="AL220" s="481"/>
      <c r="AM220" s="481"/>
      <c r="AN220" s="481"/>
      <c r="AO220" s="481"/>
      <c r="AP220" s="481"/>
      <c r="AQ220" s="481"/>
      <c r="AR220" s="481"/>
      <c r="AS220" s="481"/>
      <c r="AT220" s="481"/>
      <c r="AU220" s="481"/>
      <c r="AV220" s="481"/>
      <c r="AW220" s="481"/>
      <c r="AX220" s="481"/>
      <c r="AY220" s="481"/>
      <c r="AZ220" s="481"/>
      <c r="BA220" s="481"/>
      <c r="BB220" s="481"/>
      <c r="BC220" s="481"/>
      <c r="BD220" s="481"/>
      <c r="BE220" s="481"/>
      <c r="BF220" s="481"/>
      <c r="BG220" s="481"/>
      <c r="BH220" s="481"/>
      <c r="BI220" s="481"/>
      <c r="BJ220" s="481"/>
      <c r="BK220" s="481"/>
      <c r="BL220" s="481"/>
      <c r="BM220" s="481"/>
      <c r="BN220" s="481"/>
      <c r="BO220" s="481"/>
      <c r="BP220" s="481"/>
      <c r="BQ220" s="481"/>
      <c r="BR220" s="481"/>
      <c r="BS220" s="481"/>
      <c r="BT220" s="481"/>
      <c r="BU220" s="481"/>
      <c r="BV220" s="481"/>
      <c r="BW220" s="481"/>
      <c r="BX220" s="481"/>
      <c r="BY220" s="481"/>
      <c r="BZ220" s="481"/>
      <c r="CA220" s="481"/>
      <c r="CB220" s="481"/>
      <c r="CC220" s="481"/>
      <c r="CD220" s="481"/>
      <c r="CE220" s="481"/>
      <c r="CF220" s="481"/>
      <c r="CG220" s="481"/>
      <c r="CH220" s="481"/>
      <c r="CI220" s="481"/>
      <c r="CJ220" s="481"/>
      <c r="CK220" s="481"/>
      <c r="CL220" s="481"/>
    </row>
    <row r="221" spans="1:90" ht="15" hidden="1" customHeight="1" x14ac:dyDescent="0.2">
      <c r="A221" s="186"/>
      <c r="B221" s="1696" t="str">
        <f>B220</f>
        <v>Ottobre</v>
      </c>
      <c r="C221" s="1948"/>
      <c r="D221" s="1949"/>
      <c r="E221" s="244">
        <f>E220</f>
        <v>10</v>
      </c>
      <c r="F221" s="248" t="str">
        <f>IF(G221="- - - - - - -","",VLOOKUP(G221,$Y$131:$AC$145,5,FALSE))</f>
        <v/>
      </c>
      <c r="G221" s="1678" t="str">
        <f>IF(F$192="",I$25,IF(AB220=0,HLOOKUP(CONCATENATE("I",G$192),$AB$184:$AJ$187,$K$185,FALSE),IF(AB221=0,HLOOKUP(CONCATENATE("II",G$192),$AB$184:$AJ$187,$K$185,FALSE),IF(AB222=0,HLOOKUP(CONCATENATE("III",G$192),$AB$184:$AJ$187,$K$185,FALSE),I$25))))</f>
        <v>- - - - - - -</v>
      </c>
      <c r="H221" s="1679"/>
      <c r="I221" s="1679"/>
      <c r="J221" s="1680"/>
      <c r="K221" s="248" t="str">
        <f>IF(L221="- - - - - - -","",VLOOKUP(L221,$Y$131:$AC$145,5,FALSE))</f>
        <v/>
      </c>
      <c r="L221" s="1678" t="str">
        <f>IF(K$192="",M$25,IF(AC220=0,HLOOKUP(CONCATENATE("I",L$192),$AB$184:$AJ$187,$K$185,FALSE),IF(AC221=0,HLOOKUP(CONCATENATE("II",L$192),$AB$184:$AJ$187,$K$185,FALSE),IF(AC222=0,HLOOKUP(CONCATENATE("III",L$192),$AB$184:$AJ$187,$K$185,FALSE),M$25))))</f>
        <v>- - - - - - -</v>
      </c>
      <c r="M221" s="1679"/>
      <c r="N221" s="1679"/>
      <c r="O221" s="1680"/>
      <c r="P221" s="248" t="str">
        <f>IF(Q221="- - - - - - -","",VLOOKUP(Q221,$Y$131:$AC$145,5,FALSE))</f>
        <v/>
      </c>
      <c r="Q221" s="1678" t="str">
        <f>IF(P$192="",U$25,IF(AD220=0,HLOOKUP(CONCATENATE("I",Q$192),$AB$184:$AJ$187,$K$185,FALSE),IF(AD221=0,HLOOKUP(CONCATENATE("II",Q$192),$AB$184:$AJ$187,$K$185,FALSE),IF(AD222=0,HLOOKUP(CONCATENATE("III",Q$192),$AB$184:$AJ$187,$K$185,FALSE),U$25))))</f>
        <v>- - - - - - -</v>
      </c>
      <c r="R221" s="1679"/>
      <c r="S221" s="1679"/>
      <c r="T221" s="1680"/>
      <c r="U221" s="248" t="str">
        <f>IF(V221="- - - - - - -","",VLOOKUP(V221,$Y$131:$AC$145,5,FALSE))</f>
        <v/>
      </c>
      <c r="V221" s="1678" t="str">
        <f>IF(U$192="",AC$25,IF(AE220=0,HLOOKUP(CONCATENATE("I",V$192),$AB$184:$AJ$187,$K$185,FALSE),IF(AE221=0,HLOOKUP(CONCATENATE("II",V$192),$AB$184:$AJ$187,$K$185,FALSE),IF(AE222=0,HLOOKUP(CONCATENATE("III",V$192),$AB$184:$AJ$187,$K$185,FALSE),AC$25))))</f>
        <v>- - - - - - -</v>
      </c>
      <c r="W221" s="1679"/>
      <c r="X221" s="1679"/>
      <c r="Y221" s="1680"/>
      <c r="Z221" s="186"/>
      <c r="AA221" s="573" t="s">
        <v>92</v>
      </c>
      <c r="AB221" s="136" t="str">
        <f t="shared" si="35"/>
        <v>---</v>
      </c>
      <c r="AC221" s="136" t="str">
        <f t="shared" si="32"/>
        <v>---</v>
      </c>
      <c r="AD221" s="136" t="str">
        <f t="shared" si="33"/>
        <v>---</v>
      </c>
      <c r="AE221" s="136" t="str">
        <f t="shared" si="34"/>
        <v>---</v>
      </c>
      <c r="AF221" s="48"/>
      <c r="AG221" s="136" t="e">
        <f>HLOOKUP($E220,$O$183:$Z$186,VLOOKUP(CONCATENATE("II",G$192),$H$184:$K$186,4,FALSE),FALSE)</f>
        <v>#N/A</v>
      </c>
      <c r="AH221" s="136" t="e">
        <f>HLOOKUP($E220,$O$183:$Z$186,VLOOKUP(CONCATENATE("II",L$192),$H$184:$K$186,4,FALSE),FALSE)</f>
        <v>#N/A</v>
      </c>
      <c r="AI221" s="136" t="e">
        <f>HLOOKUP($E220,$O$183:$Z$186,VLOOKUP(CONCATENATE("II",Q$192),$H$184:$K$186,4,FALSE),FALSE)</f>
        <v>#N/A</v>
      </c>
      <c r="AJ221" s="136" t="e">
        <f>HLOOKUP($E220,$O$183:$Z$186,VLOOKUP(CONCATENATE("II",V$192),$H$184:$K$186,4,FALSE),FALSE)</f>
        <v>#N/A</v>
      </c>
      <c r="AK221" s="48"/>
      <c r="AL221" s="481"/>
      <c r="AM221" s="481"/>
      <c r="AN221" s="481"/>
      <c r="AO221" s="481"/>
      <c r="AP221" s="481"/>
      <c r="AQ221" s="481"/>
      <c r="AR221" s="481"/>
      <c r="AS221" s="481"/>
      <c r="AT221" s="481"/>
      <c r="AU221" s="481"/>
      <c r="AV221" s="481"/>
      <c r="AW221" s="481"/>
      <c r="AX221" s="481"/>
      <c r="AY221" s="481"/>
      <c r="AZ221" s="481"/>
      <c r="BA221" s="481"/>
      <c r="BB221" s="481"/>
      <c r="BC221" s="481"/>
      <c r="BD221" s="481"/>
      <c r="BE221" s="481"/>
      <c r="BF221" s="481"/>
      <c r="BG221" s="481"/>
      <c r="BH221" s="481"/>
      <c r="BI221" s="481"/>
      <c r="BJ221" s="481"/>
      <c r="BK221" s="481"/>
      <c r="BL221" s="481"/>
      <c r="BM221" s="481"/>
      <c r="BN221" s="481"/>
      <c r="BO221" s="481"/>
      <c r="BP221" s="481"/>
      <c r="BQ221" s="481"/>
      <c r="BR221" s="481"/>
      <c r="BS221" s="481"/>
      <c r="BT221" s="481"/>
      <c r="BU221" s="481"/>
      <c r="BV221" s="481"/>
      <c r="BW221" s="481"/>
      <c r="BX221" s="481"/>
      <c r="BY221" s="481"/>
      <c r="BZ221" s="481"/>
      <c r="CA221" s="481"/>
      <c r="CB221" s="481"/>
      <c r="CC221" s="481"/>
      <c r="CD221" s="481"/>
      <c r="CE221" s="481"/>
      <c r="CF221" s="481"/>
      <c r="CG221" s="481"/>
      <c r="CH221" s="481"/>
      <c r="CI221" s="481"/>
      <c r="CJ221" s="481"/>
      <c r="CK221" s="481"/>
      <c r="CL221" s="481"/>
    </row>
    <row r="222" spans="1:90" ht="15" hidden="1" customHeight="1" x14ac:dyDescent="0.2">
      <c r="A222" s="186"/>
      <c r="B222" s="1946" t="str">
        <f>B220</f>
        <v>Ottobre</v>
      </c>
      <c r="C222" s="1814"/>
      <c r="D222" s="1947"/>
      <c r="E222" s="244">
        <f>E221</f>
        <v>10</v>
      </c>
      <c r="F222" s="250" t="str">
        <f>IF(G222="","",VLOOKUP(G222,$AH$8:$AL$14,5,FALSE))</f>
        <v/>
      </c>
      <c r="G222" s="1619" t="str">
        <f>IF(F$192="",I$26,IF(AB220=0,HLOOKUP(CONCATENATE("I",G$192),$AB$184:$AJ$187,$K$186,FALSE),IF(AB221=0,HLOOKUP(CONCATENATE("II",G$192),$AB$184:$AJ$187,$K$186,FALSE),IF(AB222=0,HLOOKUP(CONCATENATE("III",G$192),$AB$184:$AJ$187,$K$186,FALSE),I$26))))</f>
        <v/>
      </c>
      <c r="H222" s="1620"/>
      <c r="I222" s="1620"/>
      <c r="J222" s="1621"/>
      <c r="K222" s="250" t="str">
        <f>IF(L222="","",VLOOKUP(L222,$AH$8:$AL$14,5,FALSE))</f>
        <v/>
      </c>
      <c r="L222" s="1619" t="str">
        <f>IF(K$192="",M$26,IF(AC220=0,HLOOKUP(CONCATENATE("I",L$192),$AB$184:$AJ$187,$K$186,FALSE),IF(AC221=0,HLOOKUP(CONCATENATE("II",L$192),$AB$184:$AJ$187,$K$186,FALSE),IF(AC222=0,HLOOKUP(CONCATENATE("III",L$192),$AB$184:$AJ$187,$K$186,FALSE),M$26))))</f>
        <v/>
      </c>
      <c r="M222" s="1620"/>
      <c r="N222" s="1620"/>
      <c r="O222" s="1621"/>
      <c r="P222" s="250" t="str">
        <f>IF(Q222="","",VLOOKUP(Q222,$AH$8:$AL$14,5,FALSE))</f>
        <v/>
      </c>
      <c r="Q222" s="1619" t="str">
        <f>IF(P$192="",U$26,IF(AD220=0,HLOOKUP(CONCATENATE("I",Q$192),$AB$184:$AJ$187,$K$186,FALSE),IF(AD221=0,HLOOKUP(CONCATENATE("II",Q$192),$AB$184:$AJ$187,$K$186,FALSE),IF(AD222=0,HLOOKUP(CONCATENATE("III",Q$192),$AB$184:$AJ$187,$K$186,FALSE),U$26))))</f>
        <v/>
      </c>
      <c r="R222" s="1620"/>
      <c r="S222" s="1620"/>
      <c r="T222" s="1621"/>
      <c r="U222" s="250" t="str">
        <f>IF(V222="","",VLOOKUP(V222,$AH$8:$AL$14,5,FALSE))</f>
        <v/>
      </c>
      <c r="V222" s="1619" t="str">
        <f>IF(U$192="",AC$26,IF(AE220=0,HLOOKUP(CONCATENATE("I",V$192),$AB$184:$AJ$187,$K$186,FALSE),IF(AE221=0,HLOOKUP(CONCATENATE("II",V$192),$AB$184:$AJ$187,$K$186,FALSE),IF(AE222=0,HLOOKUP(CONCATENATE("III",V$192),$AB$184:$AJ$187,$K$186,FALSE),AC$26))))</f>
        <v/>
      </c>
      <c r="W222" s="1620"/>
      <c r="X222" s="1620"/>
      <c r="Y222" s="1621"/>
      <c r="Z222" s="186"/>
      <c r="AA222" s="1327" t="s">
        <v>93</v>
      </c>
      <c r="AB222" s="258" t="str">
        <f t="shared" si="35"/>
        <v>---</v>
      </c>
      <c r="AC222" s="258" t="str">
        <f t="shared" si="32"/>
        <v>---</v>
      </c>
      <c r="AD222" s="258" t="str">
        <f t="shared" si="33"/>
        <v>---</v>
      </c>
      <c r="AE222" s="258" t="str">
        <f t="shared" si="34"/>
        <v>---</v>
      </c>
      <c r="AF222" s="48"/>
      <c r="AG222" s="258" t="e">
        <f>HLOOKUP($E220,$O$183:$Z$186,VLOOKUP(CONCATENATE("III",G$192),$H$184:$K$186,4,FALSE),FALSE)</f>
        <v>#N/A</v>
      </c>
      <c r="AH222" s="258" t="e">
        <f>HLOOKUP($E220,$O$183:$Z$186,VLOOKUP(CONCATENATE("III",L$192),$H$184:$K$186,4,FALSE),FALSE)</f>
        <v>#N/A</v>
      </c>
      <c r="AI222" s="258" t="e">
        <f>HLOOKUP($E220,$O$183:$Z$186,VLOOKUP(CONCATENATE("III",Q$192),$H$184:$K$186,4,FALSE),FALSE)</f>
        <v>#N/A</v>
      </c>
      <c r="AJ222" s="258" t="e">
        <f>HLOOKUP($E220,$O$183:$Z$186,VLOOKUP(CONCATENATE("III",V$192),$H$184:$K$186,4,FALSE),FALSE)</f>
        <v>#N/A</v>
      </c>
      <c r="AK222" s="48"/>
      <c r="AL222" s="481"/>
      <c r="AM222" s="481"/>
      <c r="AN222" s="481"/>
      <c r="AO222" s="481"/>
      <c r="AP222" s="481"/>
      <c r="AQ222" s="481"/>
      <c r="AR222" s="481"/>
      <c r="AS222" s="481"/>
      <c r="AT222" s="481"/>
      <c r="AU222" s="481"/>
      <c r="AV222" s="481"/>
      <c r="AW222" s="481"/>
      <c r="AX222" s="481"/>
      <c r="AY222" s="481"/>
      <c r="AZ222" s="481"/>
      <c r="BA222" s="481"/>
      <c r="BB222" s="481"/>
      <c r="BC222" s="481"/>
      <c r="BD222" s="481"/>
      <c r="BE222" s="481"/>
      <c r="BF222" s="481"/>
      <c r="BG222" s="481"/>
      <c r="BH222" s="481"/>
      <c r="BI222" s="481"/>
      <c r="BJ222" s="481"/>
      <c r="BK222" s="481"/>
      <c r="BL222" s="481"/>
      <c r="BM222" s="481"/>
      <c r="BN222" s="481"/>
      <c r="BO222" s="481"/>
      <c r="BP222" s="481"/>
      <c r="BQ222" s="481"/>
      <c r="BR222" s="481"/>
      <c r="BS222" s="481"/>
      <c r="BT222" s="481"/>
      <c r="BU222" s="481"/>
      <c r="BV222" s="481"/>
      <c r="BW222" s="481"/>
      <c r="BX222" s="481"/>
      <c r="BY222" s="481"/>
      <c r="BZ222" s="481"/>
      <c r="CA222" s="481"/>
      <c r="CB222" s="481"/>
      <c r="CC222" s="481"/>
      <c r="CD222" s="481"/>
      <c r="CE222" s="481"/>
      <c r="CF222" s="481"/>
      <c r="CG222" s="481"/>
      <c r="CH222" s="481"/>
      <c r="CI222" s="481"/>
      <c r="CJ222" s="481"/>
      <c r="CK222" s="481"/>
      <c r="CL222" s="481"/>
    </row>
    <row r="223" spans="1:90" ht="15" hidden="1" customHeight="1" x14ac:dyDescent="0.2">
      <c r="A223" s="186"/>
      <c r="B223" s="1950" t="str">
        <f>C167</f>
        <v>Novembre</v>
      </c>
      <c r="C223" s="1725"/>
      <c r="D223" s="1951"/>
      <c r="E223" s="242">
        <f>Y183</f>
        <v>11</v>
      </c>
      <c r="F223" s="247" t="str">
        <f>IF(G223="","",VLOOKUP(G223,$K$8:$O$14,5,FALSE))</f>
        <v/>
      </c>
      <c r="G223" s="1616" t="str">
        <f>IF(F$192="",I$24,IF(AB223=0,HLOOKUP(CONCATENATE("I",G$192),$AB$184:$AJ$187,$K$184,FALSE),IF(AB224=0,HLOOKUP(CONCATENATE("II",G$192),$AB$184:$AJ$187,$K$184,FALSE),IF(AB225=0,HLOOKUP(CONCATENATE("III",G$192),$AB$184:$AJ$187,$K$184,FALSE),I$24))))</f>
        <v/>
      </c>
      <c r="H223" s="1617"/>
      <c r="I223" s="1617"/>
      <c r="J223" s="1618"/>
      <c r="K223" s="247" t="str">
        <f>IF(L223="","",VLOOKUP(L223,$K$8:$O$14,5,FALSE))</f>
        <v/>
      </c>
      <c r="L223" s="1616" t="str">
        <f>IF(K$192="",M$24,IF(AC223=0,HLOOKUP(CONCATENATE("I",L$192),$AB$184:$AJ$187,$K$184,FALSE),IF(AC224=0,HLOOKUP(CONCATENATE("II",L$192),$AB$184:$AJ$187,$K$184,FALSE),IF(AC225=0,HLOOKUP(CONCATENATE("III",L$192),$AB$184:$AJ$187,$K$184,FALSE),M$24))))</f>
        <v/>
      </c>
      <c r="M223" s="1617"/>
      <c r="N223" s="1617"/>
      <c r="O223" s="1618"/>
      <c r="P223" s="247" t="str">
        <f>IF(Q223="","",VLOOKUP(Q223,$K$8:$O$14,5,FALSE))</f>
        <v/>
      </c>
      <c r="Q223" s="1616" t="str">
        <f>IF(P$192="",U$24,IF(AD223=0,HLOOKUP(CONCATENATE("I",Q$192),$AB$184:$AJ$187,$K$184,FALSE),IF(AD224=0,HLOOKUP(CONCATENATE("II",Q$192),$AB$184:$AJ$187,$K$184,FALSE),IF(AD225=0,HLOOKUP(CONCATENATE("III",Q$192),$AB$184:$AJ$187,$K$184,FALSE),U$24))))</f>
        <v/>
      </c>
      <c r="R223" s="1617"/>
      <c r="S223" s="1617"/>
      <c r="T223" s="1618"/>
      <c r="U223" s="247" t="str">
        <f>IF(V223="","",VLOOKUP(V223,$K$8:$O$14,5,FALSE))</f>
        <v/>
      </c>
      <c r="V223" s="1616" t="str">
        <f>IF(U$192="",AC$24,IF(AE223=0,HLOOKUP(CONCATENATE("I",V$192),$AB$184:$AJ$187,$K$184,FALSE),IF(AE224=0,HLOOKUP(CONCATENATE("II",V$192),$AB$184:$AJ$187,$K$184,FALSE),IF(AE225=0,HLOOKUP(CONCATENATE("III",V$192),$AB$184:$AJ$187,$K$184,FALSE),AC$24))))</f>
        <v/>
      </c>
      <c r="W223" s="1617"/>
      <c r="X223" s="1617"/>
      <c r="Y223" s="1618"/>
      <c r="Z223" s="186"/>
      <c r="AA223" s="1326" t="s">
        <v>171</v>
      </c>
      <c r="AB223" s="259" t="str">
        <f t="shared" si="35"/>
        <v>---</v>
      </c>
      <c r="AC223" s="259" t="str">
        <f t="shared" si="32"/>
        <v>---</v>
      </c>
      <c r="AD223" s="259" t="str">
        <f t="shared" si="33"/>
        <v>---</v>
      </c>
      <c r="AE223" s="259" t="str">
        <f t="shared" si="34"/>
        <v>---</v>
      </c>
      <c r="AF223" s="48"/>
      <c r="AG223" s="259" t="e">
        <f>HLOOKUP($E223,$O$183:$Z$186,VLOOKUP(CONCATENATE("I",G$192),$H$184:$K$186,4,FALSE),FALSE)</f>
        <v>#N/A</v>
      </c>
      <c r="AH223" s="259" t="e">
        <f>HLOOKUP($E223,$O$183:$Z$186,VLOOKUP(CONCATENATE("I",L$192),$H$184:$K$186,4,FALSE),FALSE)</f>
        <v>#N/A</v>
      </c>
      <c r="AI223" s="259" t="e">
        <f>HLOOKUP($E223,$O$183:$Z$186,VLOOKUP(CONCATENATE("I",Q$192),$H$184:$K$186,4,FALSE),FALSE)</f>
        <v>#N/A</v>
      </c>
      <c r="AJ223" s="259" t="e">
        <f>HLOOKUP($E223,$O$183:$Z$186,VLOOKUP(CONCATENATE("I",V$192),$H$184:$K$186,4,FALSE),FALSE)</f>
        <v>#N/A</v>
      </c>
      <c r="AK223" s="48"/>
      <c r="AL223" s="481"/>
      <c r="AM223" s="481"/>
      <c r="AN223" s="481"/>
      <c r="AO223" s="481"/>
      <c r="AP223" s="481"/>
      <c r="AQ223" s="481"/>
      <c r="AR223" s="481"/>
      <c r="AS223" s="481"/>
      <c r="AT223" s="481"/>
      <c r="AU223" s="481"/>
      <c r="AV223" s="481"/>
      <c r="AW223" s="481"/>
      <c r="AX223" s="481"/>
      <c r="AY223" s="481"/>
      <c r="AZ223" s="481"/>
      <c r="BA223" s="481"/>
      <c r="BB223" s="481"/>
      <c r="BC223" s="481"/>
      <c r="BD223" s="481"/>
      <c r="BE223" s="481"/>
      <c r="BF223" s="481"/>
      <c r="BG223" s="481"/>
      <c r="BH223" s="481"/>
      <c r="BI223" s="481"/>
      <c r="BJ223" s="481"/>
      <c r="BK223" s="481"/>
      <c r="BL223" s="481"/>
      <c r="BM223" s="481"/>
      <c r="BN223" s="481"/>
      <c r="BO223" s="481"/>
      <c r="BP223" s="481"/>
      <c r="BQ223" s="481"/>
      <c r="BR223" s="481"/>
      <c r="BS223" s="481"/>
      <c r="BT223" s="481"/>
      <c r="BU223" s="481"/>
      <c r="BV223" s="481"/>
      <c r="BW223" s="481"/>
      <c r="BX223" s="481"/>
      <c r="BY223" s="481"/>
      <c r="BZ223" s="481"/>
      <c r="CA223" s="481"/>
      <c r="CB223" s="481"/>
      <c r="CC223" s="481"/>
      <c r="CD223" s="481"/>
      <c r="CE223" s="481"/>
      <c r="CF223" s="481"/>
      <c r="CG223" s="481"/>
      <c r="CH223" s="481"/>
      <c r="CI223" s="481"/>
      <c r="CJ223" s="481"/>
      <c r="CK223" s="481"/>
      <c r="CL223" s="481"/>
    </row>
    <row r="224" spans="1:90" ht="15" hidden="1" customHeight="1" x14ac:dyDescent="0.2">
      <c r="A224" s="186"/>
      <c r="B224" s="1696" t="str">
        <f>B223</f>
        <v>Novembre</v>
      </c>
      <c r="C224" s="1948"/>
      <c r="D224" s="1949"/>
      <c r="E224" s="244">
        <f>E223</f>
        <v>11</v>
      </c>
      <c r="F224" s="248" t="str">
        <f>IF(G224="- - - - - - -","",VLOOKUP(G224,$Y$131:$AC$145,5,FALSE))</f>
        <v/>
      </c>
      <c r="G224" s="1678" t="str">
        <f>IF(F$192="",I$25,IF(AB223=0,HLOOKUP(CONCATENATE("I",G$192),$AB$184:$AJ$187,$K$185,FALSE),IF(AB224=0,HLOOKUP(CONCATENATE("II",G$192),$AB$184:$AJ$187,$K$185,FALSE),IF(AB225=0,HLOOKUP(CONCATENATE("III",G$192),$AB$184:$AJ$187,$K$185,FALSE),I$25))))</f>
        <v>- - - - - - -</v>
      </c>
      <c r="H224" s="1679"/>
      <c r="I224" s="1679"/>
      <c r="J224" s="1680"/>
      <c r="K224" s="248" t="str">
        <f>IF(L224="- - - - - - -","",VLOOKUP(L224,$Y$131:$AC$145,5,FALSE))</f>
        <v/>
      </c>
      <c r="L224" s="1678" t="str">
        <f>IF(K$192="",M$25,IF(AC223=0,HLOOKUP(CONCATENATE("I",L$192),$AB$184:$AJ$187,$K$185,FALSE),IF(AC224=0,HLOOKUP(CONCATENATE("II",L$192),$AB$184:$AJ$187,$K$185,FALSE),IF(AC225=0,HLOOKUP(CONCATENATE("III",L$192),$AB$184:$AJ$187,$K$185,FALSE),M$25))))</f>
        <v>- - - - - - -</v>
      </c>
      <c r="M224" s="1679"/>
      <c r="N224" s="1679"/>
      <c r="O224" s="1680"/>
      <c r="P224" s="248" t="str">
        <f>IF(Q224="- - - - - - -","",VLOOKUP(Q224,$Y$131:$AC$145,5,FALSE))</f>
        <v/>
      </c>
      <c r="Q224" s="1678" t="str">
        <f>IF(P$192="",U$25,IF(AD223=0,HLOOKUP(CONCATENATE("I",Q$192),$AB$184:$AJ$187,$K$185,FALSE),IF(AD224=0,HLOOKUP(CONCATENATE("II",Q$192),$AB$184:$AJ$187,$K$185,FALSE),IF(AD225=0,HLOOKUP(CONCATENATE("III",Q$192),$AB$184:$AJ$187,$K$185,FALSE),U$25))))</f>
        <v>- - - - - - -</v>
      </c>
      <c r="R224" s="1679"/>
      <c r="S224" s="1679"/>
      <c r="T224" s="1680"/>
      <c r="U224" s="248" t="str">
        <f>IF(V224="- - - - - - -","",VLOOKUP(V224,$Y$131:$AC$145,5,FALSE))</f>
        <v/>
      </c>
      <c r="V224" s="1678" t="str">
        <f>IF(U$192="",AC$25,IF(AE223=0,HLOOKUP(CONCATENATE("I",V$192),$AB$184:$AJ$187,$K$185,FALSE),IF(AE224=0,HLOOKUP(CONCATENATE("II",V$192),$AB$184:$AJ$187,$K$185,FALSE),IF(AE225=0,HLOOKUP(CONCATENATE("III",V$192),$AB$184:$AJ$187,$K$185,FALSE),AC$25))))</f>
        <v>- - - - - - -</v>
      </c>
      <c r="W224" s="1679"/>
      <c r="X224" s="1679"/>
      <c r="Y224" s="1680"/>
      <c r="Z224" s="186"/>
      <c r="AA224" s="573" t="s">
        <v>92</v>
      </c>
      <c r="AB224" s="136" t="str">
        <f t="shared" si="35"/>
        <v>---</v>
      </c>
      <c r="AC224" s="136" t="str">
        <f t="shared" si="32"/>
        <v>---</v>
      </c>
      <c r="AD224" s="136" t="str">
        <f t="shared" si="33"/>
        <v>---</v>
      </c>
      <c r="AE224" s="136" t="str">
        <f t="shared" si="34"/>
        <v>---</v>
      </c>
      <c r="AF224" s="48"/>
      <c r="AG224" s="136" t="e">
        <f>HLOOKUP($E223,$O$183:$Z$186,VLOOKUP(CONCATENATE("II",G$192),$H$184:$K$186,4,FALSE),FALSE)</f>
        <v>#N/A</v>
      </c>
      <c r="AH224" s="136" t="e">
        <f>HLOOKUP($E223,$O$183:$Z$186,VLOOKUP(CONCATENATE("II",L$192),$H$184:$K$186,4,FALSE),FALSE)</f>
        <v>#N/A</v>
      </c>
      <c r="AI224" s="136" t="e">
        <f>HLOOKUP($E223,$O$183:$Z$186,VLOOKUP(CONCATENATE("II",Q$192),$H$184:$K$186,4,FALSE),FALSE)</f>
        <v>#N/A</v>
      </c>
      <c r="AJ224" s="136" t="e">
        <f>HLOOKUP($E223,$O$183:$Z$186,VLOOKUP(CONCATENATE("II",V$192),$H$184:$K$186,4,FALSE),FALSE)</f>
        <v>#N/A</v>
      </c>
      <c r="AK224" s="48"/>
      <c r="AL224" s="481"/>
      <c r="AM224" s="481"/>
      <c r="AN224" s="481"/>
      <c r="AO224" s="481"/>
      <c r="AP224" s="481"/>
      <c r="AQ224" s="481"/>
      <c r="AR224" s="481"/>
      <c r="AS224" s="481"/>
      <c r="AT224" s="481"/>
      <c r="AU224" s="481"/>
      <c r="AV224" s="481"/>
      <c r="AW224" s="481"/>
      <c r="AX224" s="481"/>
      <c r="AY224" s="481"/>
      <c r="AZ224" s="481"/>
      <c r="BA224" s="481"/>
      <c r="BB224" s="481"/>
      <c r="BC224" s="481"/>
      <c r="BD224" s="481"/>
      <c r="BE224" s="481"/>
      <c r="BF224" s="481"/>
      <c r="BG224" s="481"/>
      <c r="BH224" s="481"/>
      <c r="BI224" s="481"/>
      <c r="BJ224" s="481"/>
      <c r="BK224" s="481"/>
      <c r="BL224" s="481"/>
      <c r="BM224" s="481"/>
      <c r="BN224" s="481"/>
      <c r="BO224" s="481"/>
      <c r="BP224" s="481"/>
      <c r="BQ224" s="481"/>
      <c r="BR224" s="481"/>
      <c r="BS224" s="481"/>
      <c r="BT224" s="481"/>
      <c r="BU224" s="481"/>
      <c r="BV224" s="481"/>
      <c r="BW224" s="481"/>
      <c r="BX224" s="481"/>
      <c r="BY224" s="481"/>
      <c r="BZ224" s="481"/>
      <c r="CA224" s="481"/>
      <c r="CB224" s="481"/>
      <c r="CC224" s="481"/>
      <c r="CD224" s="481"/>
      <c r="CE224" s="481"/>
      <c r="CF224" s="481"/>
      <c r="CG224" s="481"/>
      <c r="CH224" s="481"/>
      <c r="CI224" s="481"/>
      <c r="CJ224" s="481"/>
      <c r="CK224" s="481"/>
      <c r="CL224" s="481"/>
    </row>
    <row r="225" spans="1:105" ht="15" hidden="1" customHeight="1" x14ac:dyDescent="0.2">
      <c r="A225" s="186"/>
      <c r="B225" s="1946" t="str">
        <f>B223</f>
        <v>Novembre</v>
      </c>
      <c r="C225" s="1814"/>
      <c r="D225" s="1947"/>
      <c r="E225" s="244">
        <f>E224</f>
        <v>11</v>
      </c>
      <c r="F225" s="250" t="str">
        <f>IF(G225="","",VLOOKUP(G225,$AH$8:$AL$14,5,FALSE))</f>
        <v/>
      </c>
      <c r="G225" s="1619" t="str">
        <f>IF(F$192="",I$26,IF(AB223=0,HLOOKUP(CONCATENATE("I",G$192),$AB$184:$AJ$187,$K$186,FALSE),IF(AB224=0,HLOOKUP(CONCATENATE("II",G$192),$AB$184:$AJ$187,$K$186,FALSE),IF(AB225=0,HLOOKUP(CONCATENATE("III",G$192),$AB$184:$AJ$187,$K$186,FALSE),I$26))))</f>
        <v/>
      </c>
      <c r="H225" s="1620"/>
      <c r="I225" s="1620"/>
      <c r="J225" s="1621"/>
      <c r="K225" s="250" t="str">
        <f>IF(L225="","",VLOOKUP(L225,$AH$8:$AL$14,5,FALSE))</f>
        <v/>
      </c>
      <c r="L225" s="1619" t="str">
        <f>IF(K$192="",M$26,IF(AC223=0,HLOOKUP(CONCATENATE("I",L$192),$AB$184:$AJ$187,$K$186,FALSE),IF(AC224=0,HLOOKUP(CONCATENATE("II",L$192),$AB$184:$AJ$187,$K$186,FALSE),IF(AC225=0,HLOOKUP(CONCATENATE("III",L$192),$AB$184:$AJ$187,$K$186,FALSE),M$26))))</f>
        <v/>
      </c>
      <c r="M225" s="1620"/>
      <c r="N225" s="1620"/>
      <c r="O225" s="1621"/>
      <c r="P225" s="250" t="str">
        <f>IF(Q225="","",VLOOKUP(Q225,$AH$8:$AL$14,5,FALSE))</f>
        <v/>
      </c>
      <c r="Q225" s="1619" t="str">
        <f>IF(P$192="",U$26,IF(AD223=0,HLOOKUP(CONCATENATE("I",Q$192),$AB$184:$AJ$187,$K$186,FALSE),IF(AD224=0,HLOOKUP(CONCATENATE("II",Q$192),$AB$184:$AJ$187,$K$186,FALSE),IF(AD225=0,HLOOKUP(CONCATENATE("III",Q$192),$AB$184:$AJ$187,$K$186,FALSE),U$26))))</f>
        <v/>
      </c>
      <c r="R225" s="1620"/>
      <c r="S225" s="1620"/>
      <c r="T225" s="1621"/>
      <c r="U225" s="250" t="str">
        <f>IF(V225="","",VLOOKUP(V225,$AH$8:$AL$14,5,FALSE))</f>
        <v/>
      </c>
      <c r="V225" s="1619" t="str">
        <f>IF(U$192="",AC$26,IF(AE223=0,HLOOKUP(CONCATENATE("I",V$192),$AB$184:$AJ$187,$K$186,FALSE),IF(AE224=0,HLOOKUP(CONCATENATE("II",V$192),$AB$184:$AJ$187,$K$186,FALSE),IF(AE225=0,HLOOKUP(CONCATENATE("III",V$192),$AB$184:$AJ$187,$K$186,FALSE),AC$26))))</f>
        <v/>
      </c>
      <c r="W225" s="1620"/>
      <c r="X225" s="1620"/>
      <c r="Y225" s="1621"/>
      <c r="Z225" s="186"/>
      <c r="AA225" s="1327" t="s">
        <v>93</v>
      </c>
      <c r="AB225" s="258" t="str">
        <f t="shared" si="35"/>
        <v>---</v>
      </c>
      <c r="AC225" s="258" t="str">
        <f t="shared" si="32"/>
        <v>---</v>
      </c>
      <c r="AD225" s="258" t="str">
        <f t="shared" si="33"/>
        <v>---</v>
      </c>
      <c r="AE225" s="258" t="str">
        <f t="shared" si="34"/>
        <v>---</v>
      </c>
      <c r="AF225" s="48"/>
      <c r="AG225" s="258" t="e">
        <f>HLOOKUP($E223,$O$183:$Z$186,VLOOKUP(CONCATENATE("III",G$192),$H$184:$K$186,4,FALSE),FALSE)</f>
        <v>#N/A</v>
      </c>
      <c r="AH225" s="258" t="e">
        <f>HLOOKUP($E223,$O$183:$Z$186,VLOOKUP(CONCATENATE("III",L$192),$H$184:$K$186,4,FALSE),FALSE)</f>
        <v>#N/A</v>
      </c>
      <c r="AI225" s="258" t="e">
        <f>HLOOKUP($E223,$O$183:$Z$186,VLOOKUP(CONCATENATE("III",Q$192),$H$184:$K$186,4,FALSE),FALSE)</f>
        <v>#N/A</v>
      </c>
      <c r="AJ225" s="258" t="e">
        <f>HLOOKUP($E223,$O$183:$Z$186,VLOOKUP(CONCATENATE("III",V$192),$H$184:$K$186,4,FALSE),FALSE)</f>
        <v>#N/A</v>
      </c>
      <c r="AK225" s="48"/>
      <c r="AL225" s="481"/>
      <c r="AM225" s="481"/>
      <c r="AN225" s="481"/>
      <c r="AO225" s="481"/>
      <c r="AP225" s="481"/>
      <c r="AQ225" s="481"/>
      <c r="AR225" s="481"/>
      <c r="AS225" s="481"/>
      <c r="AT225" s="481"/>
      <c r="AU225" s="481"/>
      <c r="AV225" s="481"/>
      <c r="AW225" s="481"/>
      <c r="AX225" s="481"/>
      <c r="AY225" s="481"/>
      <c r="AZ225" s="481"/>
      <c r="BA225" s="481"/>
      <c r="BB225" s="481"/>
      <c r="BC225" s="481"/>
      <c r="BD225" s="481"/>
      <c r="BE225" s="481"/>
      <c r="BF225" s="481"/>
      <c r="BG225" s="481"/>
      <c r="BH225" s="481"/>
      <c r="BI225" s="481"/>
      <c r="BJ225" s="481"/>
      <c r="BK225" s="481"/>
      <c r="BL225" s="481"/>
      <c r="BM225" s="481"/>
      <c r="BN225" s="481"/>
      <c r="BO225" s="481"/>
      <c r="BP225" s="481"/>
      <c r="BQ225" s="481"/>
      <c r="BR225" s="481"/>
      <c r="BS225" s="481"/>
      <c r="BT225" s="481"/>
      <c r="BU225" s="481"/>
      <c r="BV225" s="481"/>
      <c r="BW225" s="481"/>
      <c r="BX225" s="481"/>
      <c r="BY225" s="481"/>
      <c r="BZ225" s="481"/>
      <c r="CA225" s="481"/>
      <c r="CB225" s="481"/>
      <c r="CC225" s="481"/>
      <c r="CD225" s="481"/>
      <c r="CE225" s="481"/>
      <c r="CF225" s="481"/>
      <c r="CG225" s="481"/>
      <c r="CH225" s="481"/>
      <c r="CI225" s="481"/>
      <c r="CJ225" s="481"/>
      <c r="CK225" s="481"/>
      <c r="CL225" s="481"/>
    </row>
    <row r="226" spans="1:105" ht="15" hidden="1" customHeight="1" x14ac:dyDescent="0.2">
      <c r="A226" s="186"/>
      <c r="B226" s="1950" t="str">
        <f>C168</f>
        <v>Dicembre</v>
      </c>
      <c r="C226" s="1725"/>
      <c r="D226" s="1951"/>
      <c r="E226" s="242">
        <f>Z183</f>
        <v>12</v>
      </c>
      <c r="F226" s="247" t="str">
        <f>IF(G226="","",VLOOKUP(G226,$K$8:$O$14,5,FALSE))</f>
        <v/>
      </c>
      <c r="G226" s="1616" t="str">
        <f>IF(F$192="",I$24,IF(AB226=0,HLOOKUP(CONCATENATE("I",G$192),$AB$184:$AJ$187,$K$184,FALSE),IF(AB227=0,HLOOKUP(CONCATENATE("II",G$192),$AB$184:$AJ$187,$K$184,FALSE),IF(AB228=0,HLOOKUP(CONCATENATE("III",G$192),$AB$184:$AJ$187,$K$184,FALSE),I$24))))</f>
        <v/>
      </c>
      <c r="H226" s="1617"/>
      <c r="I226" s="1617"/>
      <c r="J226" s="1618"/>
      <c r="K226" s="247" t="str">
        <f>IF(L226="","",VLOOKUP(L226,$K$8:$O$14,5,FALSE))</f>
        <v/>
      </c>
      <c r="L226" s="1616" t="str">
        <f>IF(K$192="",M$24,IF(AC226=0,HLOOKUP(CONCATENATE("I",L$192),$AB$184:$AJ$187,$K$184,FALSE),IF(AC227=0,HLOOKUP(CONCATENATE("II",L$192),$AB$184:$AJ$187,$K$184,FALSE),IF(AC228=0,HLOOKUP(CONCATENATE("III",L$192),$AB$184:$AJ$187,$K$184,FALSE),M$24))))</f>
        <v/>
      </c>
      <c r="M226" s="1617"/>
      <c r="N226" s="1617"/>
      <c r="O226" s="1618"/>
      <c r="P226" s="247" t="str">
        <f>IF(Q226="","",VLOOKUP(Q226,$K$8:$O$14,5,FALSE))</f>
        <v/>
      </c>
      <c r="Q226" s="1616" t="str">
        <f>IF(P$192="",U$24,IF(AD226=0,HLOOKUP(CONCATENATE("I",Q$192),$AB$184:$AJ$187,$K$184,FALSE),IF(AD227=0,HLOOKUP(CONCATENATE("II",Q$192),$AB$184:$AJ$187,$K$184,FALSE),IF(AD228=0,HLOOKUP(CONCATENATE("III",Q$192),$AB$184:$AJ$187,$K$184,FALSE),U$24))))</f>
        <v/>
      </c>
      <c r="R226" s="1617"/>
      <c r="S226" s="1617"/>
      <c r="T226" s="1618"/>
      <c r="U226" s="247" t="str">
        <f>IF(V226="","",VLOOKUP(V226,$K$8:$O$14,5,FALSE))</f>
        <v/>
      </c>
      <c r="V226" s="1616" t="str">
        <f>IF(U$192="",AC$24,IF(AE226=0,HLOOKUP(CONCATENATE("I",V$192),$AB$184:$AJ$187,$K$184,FALSE),IF(AE227=0,HLOOKUP(CONCATENATE("II",V$192),$AB$184:$AJ$187,$K$184,FALSE),IF(AE228=0,HLOOKUP(CONCATENATE("III",V$192),$AB$184:$AJ$187,$K$184,FALSE),AC$24))))</f>
        <v/>
      </c>
      <c r="W226" s="1617"/>
      <c r="X226" s="1617"/>
      <c r="Y226" s="1618"/>
      <c r="Z226" s="186"/>
      <c r="AA226" s="1326" t="s">
        <v>171</v>
      </c>
      <c r="AB226" s="259" t="str">
        <f t="shared" si="35"/>
        <v>---</v>
      </c>
      <c r="AC226" s="259" t="str">
        <f t="shared" si="32"/>
        <v>---</v>
      </c>
      <c r="AD226" s="259" t="str">
        <f t="shared" si="33"/>
        <v>---</v>
      </c>
      <c r="AE226" s="259" t="str">
        <f t="shared" si="34"/>
        <v>---</v>
      </c>
      <c r="AF226" s="48"/>
      <c r="AG226" s="259" t="e">
        <f>HLOOKUP($E226,$O$183:$Z$186,VLOOKUP(CONCATENATE("I",G$192),$H$184:$K$186,4,FALSE),FALSE)</f>
        <v>#N/A</v>
      </c>
      <c r="AH226" s="259" t="e">
        <f>HLOOKUP($E226,$O$183:$Z$186,VLOOKUP(CONCATENATE("I",L$192),$H$184:$K$186,4,FALSE),FALSE)</f>
        <v>#N/A</v>
      </c>
      <c r="AI226" s="259" t="e">
        <f>HLOOKUP($E226,$O$183:$Z$186,VLOOKUP(CONCATENATE("I",Q$192),$H$184:$K$186,4,FALSE),FALSE)</f>
        <v>#N/A</v>
      </c>
      <c r="AJ226" s="259" t="e">
        <f>HLOOKUP($E226,$O$183:$Z$186,VLOOKUP(CONCATENATE("I",V$192),$H$184:$K$186,4,FALSE),FALSE)</f>
        <v>#N/A</v>
      </c>
      <c r="AK226" s="48"/>
      <c r="AL226" s="481"/>
      <c r="AM226" s="481"/>
      <c r="AN226" s="481"/>
      <c r="AO226" s="481"/>
      <c r="AP226" s="481"/>
      <c r="AQ226" s="481"/>
      <c r="AR226" s="481"/>
      <c r="AS226" s="481"/>
      <c r="AT226" s="481"/>
      <c r="AU226" s="481"/>
      <c r="AV226" s="481"/>
      <c r="AW226" s="481"/>
      <c r="AX226" s="481"/>
      <c r="AY226" s="481"/>
      <c r="AZ226" s="481"/>
      <c r="BA226" s="481"/>
      <c r="BB226" s="481"/>
      <c r="BC226" s="481"/>
      <c r="BD226" s="481"/>
      <c r="BE226" s="481"/>
      <c r="BF226" s="481"/>
      <c r="BG226" s="481"/>
      <c r="BH226" s="481"/>
      <c r="BI226" s="481"/>
      <c r="BJ226" s="481"/>
      <c r="BK226" s="481"/>
      <c r="BL226" s="481"/>
      <c r="BM226" s="481"/>
      <c r="BN226" s="481"/>
      <c r="BO226" s="481"/>
      <c r="BP226" s="481"/>
      <c r="BQ226" s="481"/>
      <c r="BR226" s="481"/>
      <c r="BS226" s="481"/>
      <c r="BT226" s="481"/>
      <c r="BU226" s="481"/>
      <c r="BV226" s="481"/>
      <c r="BW226" s="481"/>
      <c r="BX226" s="481"/>
      <c r="BY226" s="481"/>
      <c r="BZ226" s="481"/>
      <c r="CA226" s="481"/>
      <c r="CB226" s="481"/>
      <c r="CC226" s="481"/>
      <c r="CD226" s="481"/>
      <c r="CE226" s="481"/>
      <c r="CF226" s="481"/>
      <c r="CG226" s="481"/>
      <c r="CH226" s="481"/>
      <c r="CI226" s="481"/>
      <c r="CJ226" s="481"/>
      <c r="CK226" s="481"/>
      <c r="CL226" s="481"/>
    </row>
    <row r="227" spans="1:105" ht="15" hidden="1" customHeight="1" x14ac:dyDescent="0.2">
      <c r="A227" s="186"/>
      <c r="B227" s="1696" t="str">
        <f>B226</f>
        <v>Dicembre</v>
      </c>
      <c r="C227" s="1948"/>
      <c r="D227" s="1949"/>
      <c r="E227" s="244">
        <f>E226</f>
        <v>12</v>
      </c>
      <c r="F227" s="248" t="str">
        <f>IF(G227="- - - - - - -","",VLOOKUP(G227,$Y$131:$AC$145,5,FALSE))</f>
        <v/>
      </c>
      <c r="G227" s="1678" t="str">
        <f>IF(F$192="",I$25,IF(AB226=0,HLOOKUP(CONCATENATE("I",G$192),$AB$184:$AJ$187,$K$185,FALSE),IF(AB227=0,HLOOKUP(CONCATENATE("II",G$192),$AB$184:$AJ$187,$K$185,FALSE),IF(AB228=0,HLOOKUP(CONCATENATE("III",G$192),$AB$184:$AJ$187,$K$185,FALSE),I$25))))</f>
        <v>- - - - - - -</v>
      </c>
      <c r="H227" s="1679"/>
      <c r="I227" s="1679"/>
      <c r="J227" s="1680"/>
      <c r="K227" s="248" t="str">
        <f>IF(L227="- - - - - - -","",VLOOKUP(L227,$Y$131:$AC$145,5,FALSE))</f>
        <v/>
      </c>
      <c r="L227" s="1678" t="str">
        <f>IF(K$192="",M$25,IF(AC226=0,HLOOKUP(CONCATENATE("I",L$192),$AB$184:$AJ$187,$K$185,FALSE),IF(AC227=0,HLOOKUP(CONCATENATE("II",L$192),$AB$184:$AJ$187,$K$185,FALSE),IF(AC228=0,HLOOKUP(CONCATENATE("III",L$192),$AB$184:$AJ$187,$K$185,FALSE),M$25))))</f>
        <v>- - - - - - -</v>
      </c>
      <c r="M227" s="1679"/>
      <c r="N227" s="1679"/>
      <c r="O227" s="1680"/>
      <c r="P227" s="248" t="str">
        <f>IF(Q227="- - - - - - -","",VLOOKUP(Q227,$Y$131:$AC$145,5,FALSE))</f>
        <v/>
      </c>
      <c r="Q227" s="1678" t="str">
        <f>IF(P$192="",U$25,IF(AD226=0,HLOOKUP(CONCATENATE("I",Q$192),$AB$184:$AJ$187,$K$185,FALSE),IF(AD227=0,HLOOKUP(CONCATENATE("II",Q$192),$AB$184:$AJ$187,$K$185,FALSE),IF(AD228=0,HLOOKUP(CONCATENATE("III",Q$192),$AB$184:$AJ$187,$K$185,FALSE),U$25))))</f>
        <v>- - - - - - -</v>
      </c>
      <c r="R227" s="1679"/>
      <c r="S227" s="1679"/>
      <c r="T227" s="1680"/>
      <c r="U227" s="248" t="str">
        <f>IF(V227="- - - - - - -","",VLOOKUP(V227,$Y$131:$AC$145,5,FALSE))</f>
        <v/>
      </c>
      <c r="V227" s="1678" t="str">
        <f>IF(U$192="",AC$25,IF(AE226=0,HLOOKUP(CONCATENATE("I",V$192),$AB$184:$AJ$187,$K$185,FALSE),IF(AE227=0,HLOOKUP(CONCATENATE("II",V$192),$AB$184:$AJ$187,$K$185,FALSE),IF(AE228=0,HLOOKUP(CONCATENATE("III",V$192),$AB$184:$AJ$187,$K$185,FALSE),AC$25))))</f>
        <v>- - - - - - -</v>
      </c>
      <c r="W227" s="1679"/>
      <c r="X227" s="1679"/>
      <c r="Y227" s="1680"/>
      <c r="Z227" s="186"/>
      <c r="AA227" s="573" t="s">
        <v>92</v>
      </c>
      <c r="AB227" s="136" t="str">
        <f t="shared" si="35"/>
        <v>---</v>
      </c>
      <c r="AC227" s="136" t="str">
        <f t="shared" si="32"/>
        <v>---</v>
      </c>
      <c r="AD227" s="136" t="str">
        <f t="shared" si="33"/>
        <v>---</v>
      </c>
      <c r="AE227" s="136" t="str">
        <f t="shared" si="34"/>
        <v>---</v>
      </c>
      <c r="AF227" s="48"/>
      <c r="AG227" s="136" t="e">
        <f>HLOOKUP($E226,$O$183:$Z$186,VLOOKUP(CONCATENATE("II",G$192),$H$184:$K$186,4,FALSE),FALSE)</f>
        <v>#N/A</v>
      </c>
      <c r="AH227" s="136" t="e">
        <f>HLOOKUP($E226,$O$183:$Z$186,VLOOKUP(CONCATENATE("II",L$192),$H$184:$K$186,4,FALSE),FALSE)</f>
        <v>#N/A</v>
      </c>
      <c r="AI227" s="136" t="e">
        <f>HLOOKUP($E226,$O$183:$Z$186,VLOOKUP(CONCATENATE("II",Q$192),$H$184:$K$186,4,FALSE),FALSE)</f>
        <v>#N/A</v>
      </c>
      <c r="AJ227" s="136" t="e">
        <f>HLOOKUP($E226,$O$183:$Z$186,VLOOKUP(CONCATENATE("II",V$192),$H$184:$K$186,4,FALSE),FALSE)</f>
        <v>#N/A</v>
      </c>
      <c r="AK227" s="48"/>
      <c r="AL227" s="481"/>
      <c r="AM227" s="481"/>
      <c r="AN227" s="481"/>
      <c r="AO227" s="481"/>
      <c r="AP227" s="481"/>
      <c r="AQ227" s="481"/>
      <c r="AR227" s="481"/>
      <c r="AS227" s="481"/>
      <c r="AT227" s="481"/>
      <c r="AU227" s="481"/>
      <c r="AV227" s="481"/>
      <c r="AW227" s="481"/>
      <c r="AX227" s="481"/>
      <c r="AY227" s="481"/>
      <c r="AZ227" s="481"/>
      <c r="BA227" s="481"/>
      <c r="BB227" s="481"/>
      <c r="BC227" s="481"/>
      <c r="BD227" s="481"/>
      <c r="BE227" s="481"/>
      <c r="BF227" s="481"/>
      <c r="BG227" s="481"/>
      <c r="BH227" s="481"/>
      <c r="BI227" s="481"/>
      <c r="BJ227" s="481"/>
      <c r="BK227" s="481"/>
      <c r="BL227" s="481"/>
      <c r="BM227" s="481"/>
      <c r="BN227" s="481"/>
      <c r="BO227" s="481"/>
      <c r="BP227" s="481"/>
      <c r="BQ227" s="481"/>
      <c r="BR227" s="481"/>
      <c r="BS227" s="481"/>
      <c r="BT227" s="481"/>
      <c r="BU227" s="481"/>
      <c r="BV227" s="481"/>
      <c r="BW227" s="481"/>
      <c r="BX227" s="481"/>
      <c r="BY227" s="481"/>
      <c r="BZ227" s="481"/>
      <c r="CA227" s="481"/>
      <c r="CB227" s="481"/>
      <c r="CC227" s="481"/>
      <c r="CD227" s="481"/>
      <c r="CE227" s="481"/>
      <c r="CF227" s="481"/>
      <c r="CG227" s="481"/>
      <c r="CH227" s="481"/>
      <c r="CI227" s="481"/>
      <c r="CJ227" s="481"/>
      <c r="CK227" s="481"/>
      <c r="CL227" s="481"/>
    </row>
    <row r="228" spans="1:105" ht="15" hidden="1" customHeight="1" x14ac:dyDescent="0.2">
      <c r="A228" s="186"/>
      <c r="B228" s="1946" t="str">
        <f>B226</f>
        <v>Dicembre</v>
      </c>
      <c r="C228" s="1814"/>
      <c r="D228" s="1947"/>
      <c r="E228" s="244">
        <f>E227</f>
        <v>12</v>
      </c>
      <c r="F228" s="250" t="str">
        <f>IF(G228="","",VLOOKUP(G228,$AH$8:$AL$14,5,FALSE))</f>
        <v/>
      </c>
      <c r="G228" s="1619" t="str">
        <f>IF(F$192="",I$26,IF(AB226=0,HLOOKUP(CONCATENATE("I",G$192),$AB$184:$AJ$187,$K$186,FALSE),IF(AB227=0,HLOOKUP(CONCATENATE("II",G$192),$AB$184:$AJ$187,$K$186,FALSE),IF(AB228=0,HLOOKUP(CONCATENATE("III",G$192),$AB$184:$AJ$187,$K$186,FALSE),I$26))))</f>
        <v/>
      </c>
      <c r="H228" s="1620"/>
      <c r="I228" s="1620"/>
      <c r="J228" s="1621"/>
      <c r="K228" s="250" t="str">
        <f>IF(L228="","",VLOOKUP(L228,$AH$8:$AL$14,5,FALSE))</f>
        <v/>
      </c>
      <c r="L228" s="1619" t="str">
        <f>IF(K$192="",M$26,IF(AC226=0,HLOOKUP(CONCATENATE("I",L$192),$AB$184:$AJ$187,$K$186,FALSE),IF(AC227=0,HLOOKUP(CONCATENATE("II",L$192),$AB$184:$AJ$187,$K$186,FALSE),IF(AC228=0,HLOOKUP(CONCATENATE("III",L$192),$AB$184:$AJ$187,$K$186,FALSE),M$26))))</f>
        <v/>
      </c>
      <c r="M228" s="1620"/>
      <c r="N228" s="1620"/>
      <c r="O228" s="1621"/>
      <c r="P228" s="250" t="str">
        <f>IF(Q228="","",VLOOKUP(Q228,$AH$8:$AL$14,5,FALSE))</f>
        <v/>
      </c>
      <c r="Q228" s="1619" t="str">
        <f>IF(P$192="",U$26,IF(AD226=0,HLOOKUP(CONCATENATE("I",Q$192),$AB$184:$AJ$187,$K$186,FALSE),IF(AD227=0,HLOOKUP(CONCATENATE("II",Q$192),$AB$184:$AJ$187,$K$186,FALSE),IF(AD228=0,HLOOKUP(CONCATENATE("III",Q$192),$AB$184:$AJ$187,$K$186,FALSE),U$26))))</f>
        <v/>
      </c>
      <c r="R228" s="1620"/>
      <c r="S228" s="1620"/>
      <c r="T228" s="1621"/>
      <c r="U228" s="250" t="str">
        <f>IF(V228="","",VLOOKUP(V228,$AH$8:$AL$14,5,FALSE))</f>
        <v/>
      </c>
      <c r="V228" s="1619" t="str">
        <f>IF(U$192="",AC$26,IF(AE226=0,HLOOKUP(CONCATENATE("I",V$192),$AB$184:$AJ$187,$K$186,FALSE),IF(AE227=0,HLOOKUP(CONCATENATE("II",V$192),$AB$184:$AJ$187,$K$186,FALSE),IF(AE228=0,HLOOKUP(CONCATENATE("III",V$192),$AB$184:$AJ$187,$K$186,FALSE),AC$26))))</f>
        <v/>
      </c>
      <c r="W228" s="1620"/>
      <c r="X228" s="1620"/>
      <c r="Y228" s="1621"/>
      <c r="Z228" s="186"/>
      <c r="AA228" s="1327" t="s">
        <v>93</v>
      </c>
      <c r="AB228" s="258" t="str">
        <f t="shared" si="35"/>
        <v>---</v>
      </c>
      <c r="AC228" s="258" t="str">
        <f t="shared" si="32"/>
        <v>---</v>
      </c>
      <c r="AD228" s="258" t="str">
        <f t="shared" si="33"/>
        <v>---</v>
      </c>
      <c r="AE228" s="258" t="str">
        <f t="shared" si="34"/>
        <v>---</v>
      </c>
      <c r="AF228" s="48"/>
      <c r="AG228" s="258" t="e">
        <f>HLOOKUP($E226,$O$183:$Z$186,VLOOKUP(CONCATENATE("III",G$192),$H$184:$K$186,4,FALSE),FALSE)</f>
        <v>#N/A</v>
      </c>
      <c r="AH228" s="258" t="e">
        <f>HLOOKUP($E226,$O$183:$Z$186,VLOOKUP(CONCATENATE("III",L$192),$H$184:$K$186,4,FALSE),FALSE)</f>
        <v>#N/A</v>
      </c>
      <c r="AI228" s="258" t="e">
        <f>HLOOKUP($E226,$O$183:$Z$186,VLOOKUP(CONCATENATE("III",Q$192),$H$184:$K$186,4,FALSE),FALSE)</f>
        <v>#N/A</v>
      </c>
      <c r="AJ228" s="258" t="e">
        <f>HLOOKUP($E226,$O$183:$Z$186,VLOOKUP(CONCATENATE("III",V$192),$H$184:$K$186,4,FALSE),FALSE)</f>
        <v>#N/A</v>
      </c>
      <c r="AK228" s="48"/>
      <c r="AL228" s="481"/>
      <c r="AM228" s="481"/>
      <c r="AN228" s="481"/>
      <c r="AO228" s="481"/>
      <c r="AP228" s="481"/>
      <c r="AQ228" s="481"/>
      <c r="AR228" s="481"/>
      <c r="AS228" s="481"/>
      <c r="AT228" s="481"/>
      <c r="AU228" s="481"/>
      <c r="AV228" s="481"/>
      <c r="AW228" s="481"/>
      <c r="AX228" s="481"/>
      <c r="AY228" s="481"/>
      <c r="AZ228" s="481"/>
      <c r="BA228" s="481"/>
      <c r="BB228" s="481"/>
      <c r="BC228" s="481"/>
      <c r="BD228" s="481"/>
      <c r="BE228" s="481"/>
      <c r="BF228" s="481"/>
      <c r="BG228" s="481"/>
      <c r="BH228" s="481"/>
      <c r="BI228" s="481"/>
      <c r="BJ228" s="481"/>
      <c r="BK228" s="481"/>
      <c r="BL228" s="481"/>
      <c r="BM228" s="481"/>
      <c r="BN228" s="481"/>
      <c r="BO228" s="481"/>
      <c r="BP228" s="481"/>
      <c r="BQ228" s="481"/>
      <c r="BR228" s="481"/>
      <c r="BS228" s="481"/>
      <c r="BT228" s="481"/>
      <c r="BU228" s="481"/>
      <c r="BV228" s="481"/>
      <c r="BW228" s="481"/>
      <c r="BX228" s="481"/>
      <c r="BY228" s="481"/>
      <c r="BZ228" s="481"/>
      <c r="CA228" s="481"/>
      <c r="CB228" s="481"/>
      <c r="CC228" s="481"/>
      <c r="CD228" s="481"/>
      <c r="CE228" s="481"/>
      <c r="CF228" s="481"/>
      <c r="CG228" s="481"/>
      <c r="CH228" s="481"/>
      <c r="CI228" s="481"/>
      <c r="CJ228" s="481"/>
      <c r="CK228" s="481"/>
      <c r="CL228" s="481"/>
    </row>
    <row r="229" spans="1:105" ht="18" hidden="1" customHeight="1" x14ac:dyDescent="0.2">
      <c r="A229" s="186"/>
      <c r="B229" s="185"/>
      <c r="C229" s="185"/>
      <c r="D229" s="185"/>
      <c r="E229" s="185"/>
      <c r="F229" s="185"/>
      <c r="G229" s="185"/>
      <c r="H229" s="185"/>
      <c r="I229" s="185"/>
      <c r="J229" s="185"/>
      <c r="K229" s="185"/>
      <c r="L229" s="185"/>
      <c r="M229" s="185"/>
      <c r="N229" s="185"/>
      <c r="O229" s="185"/>
      <c r="P229" s="185"/>
      <c r="Q229" s="185"/>
      <c r="R229" s="185"/>
      <c r="S229" s="185"/>
      <c r="T229" s="185"/>
      <c r="U229" s="185"/>
      <c r="V229" s="185"/>
      <c r="W229" s="185"/>
      <c r="X229" s="185"/>
      <c r="Y229" s="185"/>
      <c r="Z229" s="185"/>
      <c r="AA229" s="185"/>
      <c r="AB229" s="185"/>
      <c r="AC229" s="186"/>
      <c r="AD229" s="186"/>
      <c r="AE229" s="186"/>
      <c r="AF229" s="186"/>
      <c r="AG229" s="186"/>
      <c r="AH229" s="186"/>
      <c r="AI229" s="186"/>
      <c r="AJ229" s="186"/>
      <c r="AK229" s="186"/>
      <c r="AL229" s="186"/>
      <c r="AM229" s="186"/>
      <c r="AN229" s="48"/>
      <c r="AO229" s="48"/>
      <c r="AP229" s="48"/>
      <c r="AQ229" s="48"/>
      <c r="AR229" s="481"/>
      <c r="AS229" s="481"/>
      <c r="AT229" s="481"/>
      <c r="AU229" s="481"/>
      <c r="AV229" s="481"/>
      <c r="AW229" s="481"/>
      <c r="AX229" s="481"/>
      <c r="AY229" s="481"/>
      <c r="AZ229" s="481"/>
      <c r="BA229" s="481"/>
      <c r="BB229" s="481"/>
      <c r="BC229" s="481"/>
      <c r="BD229" s="481"/>
      <c r="BE229" s="481"/>
      <c r="BF229" s="481"/>
      <c r="BG229" s="481"/>
      <c r="BH229" s="481"/>
      <c r="BI229" s="481"/>
      <c r="BJ229" s="481"/>
      <c r="BK229" s="481"/>
      <c r="BL229" s="481"/>
      <c r="BM229" s="481"/>
      <c r="BN229" s="481"/>
      <c r="BO229" s="481"/>
      <c r="BP229" s="481"/>
      <c r="BQ229" s="481"/>
      <c r="BR229" s="481"/>
      <c r="BS229" s="481"/>
      <c r="BT229" s="481"/>
      <c r="BU229" s="481"/>
      <c r="BV229" s="481"/>
      <c r="BW229" s="481"/>
      <c r="BX229" s="481"/>
      <c r="BY229" s="481"/>
      <c r="BZ229" s="481"/>
      <c r="CA229" s="481"/>
      <c r="CB229" s="481"/>
      <c r="CC229" s="481"/>
      <c r="CD229" s="481"/>
      <c r="CE229" s="481"/>
      <c r="CF229" s="481"/>
      <c r="CG229" s="481"/>
      <c r="CH229" s="481"/>
      <c r="CI229" s="481"/>
      <c r="CJ229" s="481"/>
      <c r="CK229" s="481"/>
      <c r="CL229" s="481"/>
      <c r="CM229" s="481"/>
      <c r="CN229" s="481"/>
      <c r="CO229" s="481"/>
      <c r="CP229" s="481"/>
      <c r="CQ229" s="481"/>
      <c r="CR229" s="481"/>
      <c r="CS229" s="481"/>
      <c r="CT229" s="481"/>
      <c r="CU229" s="481"/>
      <c r="CV229" s="481"/>
      <c r="CW229" s="481"/>
      <c r="CX229" s="481"/>
      <c r="CY229" s="481"/>
      <c r="CZ229" s="481"/>
      <c r="DA229" s="481"/>
    </row>
    <row r="230" spans="1:105" ht="18" hidden="1" customHeight="1" x14ac:dyDescent="0.2">
      <c r="A230" s="186"/>
      <c r="B230" s="185"/>
      <c r="C230" s="185"/>
      <c r="D230" s="185"/>
      <c r="E230" s="185"/>
      <c r="F230" s="185"/>
      <c r="G230" s="185"/>
      <c r="H230" s="185"/>
      <c r="I230" s="185"/>
      <c r="J230" s="185"/>
      <c r="K230" s="185"/>
      <c r="L230" s="185"/>
      <c r="M230" s="185"/>
      <c r="N230" s="185"/>
      <c r="O230" s="185"/>
      <c r="P230" s="185"/>
      <c r="Q230" s="185"/>
      <c r="R230" s="185"/>
      <c r="S230" s="185"/>
      <c r="T230" s="185"/>
      <c r="U230" s="185"/>
      <c r="V230" s="185"/>
      <c r="W230" s="185"/>
      <c r="X230" s="185"/>
      <c r="Y230" s="185"/>
      <c r="Z230" s="185"/>
      <c r="AA230" s="185"/>
      <c r="AB230" s="185"/>
      <c r="AC230" s="186"/>
      <c r="AD230" s="186"/>
      <c r="AE230" s="186"/>
      <c r="AF230" s="186"/>
      <c r="AG230" s="186"/>
      <c r="AH230" s="186"/>
      <c r="AI230" s="186"/>
      <c r="AJ230" s="186"/>
      <c r="AK230" s="186"/>
      <c r="AL230" s="186"/>
      <c r="AM230" s="186"/>
      <c r="AN230" s="48"/>
      <c r="AO230" s="48"/>
      <c r="AP230" s="48"/>
      <c r="AQ230" s="48"/>
      <c r="AR230" s="481"/>
      <c r="AS230" s="481"/>
      <c r="AT230" s="481"/>
      <c r="AU230" s="481"/>
      <c r="AV230" s="481"/>
      <c r="AW230" s="481"/>
      <c r="AX230" s="481"/>
      <c r="AY230" s="481"/>
      <c r="AZ230" s="481"/>
      <c r="BA230" s="481"/>
      <c r="BB230" s="481"/>
      <c r="BC230" s="481"/>
      <c r="BD230" s="481"/>
      <c r="BE230" s="481"/>
      <c r="BF230" s="481"/>
      <c r="BG230" s="481"/>
      <c r="BH230" s="481"/>
      <c r="BI230" s="481"/>
      <c r="BJ230" s="481"/>
      <c r="BK230" s="481"/>
      <c r="BL230" s="481"/>
      <c r="BM230" s="481"/>
      <c r="BN230" s="481"/>
      <c r="BO230" s="481"/>
      <c r="BP230" s="481"/>
      <c r="BQ230" s="481"/>
      <c r="BR230" s="481"/>
      <c r="BS230" s="481"/>
      <c r="BT230" s="481"/>
      <c r="BU230" s="481"/>
      <c r="BV230" s="481"/>
      <c r="BW230" s="481"/>
      <c r="BX230" s="481"/>
      <c r="BY230" s="481"/>
      <c r="BZ230" s="481"/>
      <c r="CA230" s="481"/>
      <c r="CB230" s="481"/>
      <c r="CC230" s="481"/>
      <c r="CD230" s="481"/>
      <c r="CE230" s="481"/>
      <c r="CF230" s="481"/>
      <c r="CG230" s="481"/>
      <c r="CH230" s="481"/>
      <c r="CI230" s="481"/>
      <c r="CJ230" s="481"/>
      <c r="CK230" s="481"/>
      <c r="CL230" s="481"/>
      <c r="CM230" s="481"/>
      <c r="CN230" s="481"/>
      <c r="CO230" s="481"/>
      <c r="CP230" s="481"/>
      <c r="CQ230" s="481"/>
      <c r="CR230" s="481"/>
      <c r="CS230" s="481"/>
      <c r="CT230" s="481"/>
      <c r="CU230" s="481"/>
      <c r="CV230" s="481"/>
      <c r="CW230" s="481"/>
      <c r="CX230" s="481"/>
      <c r="CY230" s="481"/>
      <c r="CZ230" s="481"/>
      <c r="DA230" s="481"/>
    </row>
    <row r="231" spans="1:105" ht="18" hidden="1" customHeight="1" x14ac:dyDescent="0.2">
      <c r="A231" s="186"/>
      <c r="B231" s="185"/>
      <c r="C231" s="185"/>
      <c r="D231" s="1601" t="str">
        <f>C157</f>
        <v>Gennaio</v>
      </c>
      <c r="E231" s="1602"/>
      <c r="F231" s="1602"/>
      <c r="G231" s="1601" t="str">
        <f>C158</f>
        <v>Febbraio</v>
      </c>
      <c r="H231" s="1602"/>
      <c r="I231" s="1603"/>
      <c r="J231" s="1601" t="str">
        <f>C159</f>
        <v>Marzo</v>
      </c>
      <c r="K231" s="1602"/>
      <c r="L231" s="1602"/>
      <c r="M231" s="1601" t="str">
        <f>C160</f>
        <v>Aprile</v>
      </c>
      <c r="N231" s="1602"/>
      <c r="O231" s="1602"/>
      <c r="P231" s="1601" t="str">
        <f>C161</f>
        <v>Maggio</v>
      </c>
      <c r="Q231" s="1602"/>
      <c r="R231" s="1602"/>
      <c r="S231" s="1601" t="str">
        <f>C162</f>
        <v>Giugno</v>
      </c>
      <c r="T231" s="1602"/>
      <c r="U231" s="1602"/>
      <c r="V231" s="1601" t="str">
        <f>C163</f>
        <v>Luglio</v>
      </c>
      <c r="W231" s="1602"/>
      <c r="X231" s="1603"/>
      <c r="Y231" s="1601" t="str">
        <f>C164</f>
        <v>Agosto</v>
      </c>
      <c r="Z231" s="1602"/>
      <c r="AA231" s="1602"/>
      <c r="AB231" s="1601" t="str">
        <f>C165</f>
        <v>Settembre</v>
      </c>
      <c r="AC231" s="1602"/>
      <c r="AD231" s="1602"/>
      <c r="AE231" s="1601" t="str">
        <f>C166</f>
        <v>Ottobre</v>
      </c>
      <c r="AF231" s="1602"/>
      <c r="AG231" s="1602"/>
      <c r="AH231" s="1601" t="str">
        <f>C167</f>
        <v>Novembre</v>
      </c>
      <c r="AI231" s="1602"/>
      <c r="AJ231" s="1602"/>
      <c r="AK231" s="1601" t="str">
        <f>C168</f>
        <v>Dicembre</v>
      </c>
      <c r="AL231" s="1602"/>
      <c r="AM231" s="1603"/>
      <c r="AN231" s="48"/>
      <c r="AO231" s="48"/>
      <c r="AP231" s="48"/>
      <c r="AQ231" s="48"/>
      <c r="AR231" s="481"/>
      <c r="AS231" s="481"/>
      <c r="AT231" s="481"/>
      <c r="AU231" s="481"/>
      <c r="AV231" s="481"/>
      <c r="AW231" s="481"/>
      <c r="AX231" s="481"/>
      <c r="AY231" s="481"/>
      <c r="AZ231" s="481"/>
      <c r="BA231" s="481"/>
      <c r="BB231" s="481"/>
      <c r="BC231" s="481"/>
      <c r="BD231" s="481"/>
      <c r="BE231" s="481"/>
      <c r="BF231" s="481"/>
      <c r="BG231" s="481"/>
      <c r="BH231" s="481"/>
      <c r="BI231" s="481"/>
      <c r="BJ231" s="481"/>
      <c r="BK231" s="481"/>
      <c r="BL231" s="481"/>
      <c r="BM231" s="481"/>
      <c r="BN231" s="481"/>
      <c r="BO231" s="481"/>
      <c r="BP231" s="481"/>
      <c r="BQ231" s="481"/>
      <c r="BR231" s="481"/>
      <c r="BS231" s="481"/>
      <c r="BT231" s="481"/>
      <c r="BU231" s="481"/>
      <c r="BV231" s="481"/>
      <c r="BW231" s="481"/>
      <c r="BX231" s="481"/>
      <c r="BY231" s="481"/>
      <c r="BZ231" s="481"/>
      <c r="CA231" s="481"/>
      <c r="CB231" s="481"/>
      <c r="CC231" s="481"/>
      <c r="CD231" s="481"/>
      <c r="CE231" s="481"/>
      <c r="CF231" s="481"/>
      <c r="CG231" s="481"/>
      <c r="CH231" s="481"/>
      <c r="CI231" s="481"/>
      <c r="CJ231" s="481"/>
      <c r="CK231" s="481"/>
      <c r="CL231" s="481"/>
      <c r="CM231" s="481"/>
      <c r="CN231" s="481"/>
      <c r="CO231" s="481"/>
      <c r="CP231" s="481"/>
      <c r="CQ231" s="481"/>
      <c r="CR231" s="481"/>
      <c r="CS231" s="481"/>
      <c r="CT231" s="481"/>
      <c r="CU231" s="481"/>
      <c r="CV231" s="481"/>
      <c r="CW231" s="481"/>
      <c r="CX231" s="481"/>
      <c r="CY231" s="481"/>
      <c r="CZ231" s="481"/>
      <c r="DA231" s="481"/>
    </row>
    <row r="232" spans="1:105" ht="18" hidden="1" customHeight="1" x14ac:dyDescent="0.2">
      <c r="A232" s="186"/>
      <c r="B232" s="1960"/>
      <c r="C232" s="1960"/>
      <c r="D232" s="48"/>
      <c r="E232" s="48"/>
      <c r="F232" s="48"/>
      <c r="G232" s="1956"/>
      <c r="H232" s="1956"/>
      <c r="I232" s="1956"/>
      <c r="J232" s="48"/>
      <c r="K232" s="48"/>
      <c r="L232" s="48"/>
      <c r="M232" s="48"/>
      <c r="N232" s="48"/>
      <c r="O232" s="48"/>
      <c r="P232" s="48"/>
      <c r="Q232" s="48"/>
      <c r="R232" s="48"/>
      <c r="S232" s="48"/>
      <c r="T232" s="48"/>
      <c r="U232" s="48"/>
      <c r="V232" s="48"/>
      <c r="W232" s="48"/>
      <c r="X232" s="48"/>
      <c r="Y232" s="48"/>
      <c r="Z232" s="48"/>
      <c r="AA232" s="48"/>
      <c r="AB232" s="48"/>
      <c r="AC232" s="48"/>
      <c r="AD232" s="48"/>
      <c r="AE232" s="48"/>
      <c r="AF232" s="48"/>
      <c r="AG232" s="48"/>
      <c r="AH232" s="48"/>
      <c r="AI232" s="48"/>
      <c r="AJ232" s="48"/>
      <c r="AK232" s="48"/>
      <c r="AL232" s="48"/>
      <c r="AM232" s="48"/>
      <c r="AN232" s="48"/>
      <c r="AO232" s="48"/>
      <c r="AP232" s="48"/>
      <c r="AQ232" s="48"/>
      <c r="AR232" s="481"/>
      <c r="AS232" s="481"/>
      <c r="AT232" s="481"/>
      <c r="AU232" s="481"/>
      <c r="AV232" s="481"/>
      <c r="AW232" s="481"/>
      <c r="AX232" s="481"/>
      <c r="AY232" s="481"/>
      <c r="AZ232" s="481"/>
      <c r="BA232" s="481"/>
      <c r="BB232" s="481"/>
      <c r="BC232" s="481"/>
      <c r="BD232" s="481"/>
      <c r="BE232" s="481"/>
      <c r="BF232" s="481"/>
      <c r="BG232" s="481"/>
      <c r="BH232" s="481"/>
      <c r="BI232" s="481"/>
      <c r="BJ232" s="481"/>
      <c r="BK232" s="481"/>
      <c r="BL232" s="481"/>
      <c r="BM232" s="481"/>
      <c r="BN232" s="481"/>
      <c r="BO232" s="481"/>
      <c r="BP232" s="481"/>
      <c r="BQ232" s="481"/>
      <c r="BR232" s="481"/>
      <c r="BS232" s="481"/>
      <c r="BT232" s="481"/>
      <c r="BU232" s="481"/>
      <c r="BV232" s="481"/>
      <c r="BW232" s="481"/>
      <c r="BX232" s="481"/>
      <c r="BY232" s="481"/>
      <c r="BZ232" s="481"/>
      <c r="CA232" s="481"/>
      <c r="CB232" s="481"/>
      <c r="CC232" s="481"/>
      <c r="CD232" s="481"/>
      <c r="CE232" s="481"/>
      <c r="CF232" s="481"/>
      <c r="CG232" s="481"/>
      <c r="CH232" s="481"/>
      <c r="CI232" s="481"/>
      <c r="CJ232" s="481"/>
      <c r="CK232" s="481"/>
      <c r="CL232" s="481"/>
      <c r="CM232" s="481"/>
      <c r="CN232" s="481"/>
      <c r="CO232" s="481"/>
      <c r="CP232" s="481"/>
      <c r="CQ232" s="481"/>
      <c r="CR232" s="481"/>
      <c r="CS232" s="481"/>
      <c r="CT232" s="481"/>
      <c r="CU232" s="481"/>
      <c r="CV232" s="481"/>
      <c r="CW232" s="481"/>
      <c r="CX232" s="481"/>
      <c r="CY232" s="481"/>
      <c r="CZ232" s="481"/>
      <c r="DA232" s="481"/>
    </row>
    <row r="233" spans="1:105" ht="18" hidden="1" customHeight="1" x14ac:dyDescent="0.2">
      <c r="A233" s="186"/>
      <c r="B233" s="1728" t="str">
        <f>C184</f>
        <v>Colonna 1</v>
      </c>
      <c r="C233" s="1586"/>
      <c r="D233" s="1957">
        <v>0</v>
      </c>
      <c r="E233" s="1958"/>
      <c r="F233" s="1959"/>
      <c r="G233" s="1588">
        <f>HLOOKUP($B234,FEB!$G$1:$N$46,46,FALSE)</f>
        <v>0</v>
      </c>
      <c r="H233" s="1589"/>
      <c r="I233" s="1590"/>
      <c r="J233" s="1588">
        <f>HLOOKUP($B234,MAR!$G$1:$N$46,46,FALSE)</f>
        <v>0</v>
      </c>
      <c r="K233" s="1589"/>
      <c r="L233" s="1590"/>
      <c r="M233" s="1588">
        <f>HLOOKUP($B234,APR!$G$1:$N$46,46,FALSE)</f>
        <v>0</v>
      </c>
      <c r="N233" s="1589"/>
      <c r="O233" s="1590"/>
      <c r="P233" s="1588">
        <f>HLOOKUP($B234,MAG!$G$1:$N$46,46,FALSE)</f>
        <v>0</v>
      </c>
      <c r="Q233" s="1589"/>
      <c r="R233" s="1590"/>
      <c r="S233" s="1588">
        <f>HLOOKUP($B234,GIU!$G$1:$N$46,46,FALSE)</f>
        <v>0</v>
      </c>
      <c r="T233" s="1589"/>
      <c r="U233" s="1590"/>
      <c r="V233" s="1588">
        <f>HLOOKUP($B234,LUG!$G$1:$N$46,46,FALSE)</f>
        <v>0</v>
      </c>
      <c r="W233" s="1589"/>
      <c r="X233" s="1590"/>
      <c r="Y233" s="1588">
        <f>HLOOKUP($B234,AGO!$G$1:$N$46,46,FALSE)</f>
        <v>0</v>
      </c>
      <c r="Z233" s="1589"/>
      <c r="AA233" s="1590"/>
      <c r="AB233" s="1588">
        <f>HLOOKUP($B234,SET!$G$1:$N$46,46,FALSE)</f>
        <v>0</v>
      </c>
      <c r="AC233" s="1589"/>
      <c r="AD233" s="1590"/>
      <c r="AE233" s="1588">
        <f>HLOOKUP($B234,OTT!$G$1:$N$46,46,FALSE)</f>
        <v>0</v>
      </c>
      <c r="AF233" s="1589"/>
      <c r="AG233" s="1590"/>
      <c r="AH233" s="1588">
        <f>HLOOKUP($B234,NOV!$G$1:$N$46,46,FALSE)</f>
        <v>0</v>
      </c>
      <c r="AI233" s="1589"/>
      <c r="AJ233" s="1590"/>
      <c r="AK233" s="1588">
        <f>HLOOKUP($B234,DIC!$G$1:$N$46,46,FALSE)</f>
        <v>0</v>
      </c>
      <c r="AL233" s="1589"/>
      <c r="AM233" s="1590"/>
      <c r="AN233" s="1718"/>
      <c r="AO233" s="1708"/>
      <c r="AP233" s="1708"/>
      <c r="AQ233" s="48"/>
      <c r="AR233" s="481"/>
      <c r="AS233" s="481"/>
      <c r="AT233" s="481"/>
      <c r="AU233" s="481"/>
      <c r="AV233" s="481"/>
      <c r="AW233" s="481"/>
      <c r="AX233" s="481"/>
      <c r="AY233" s="481"/>
      <c r="AZ233" s="481"/>
      <c r="BA233" s="481"/>
      <c r="BB233" s="481"/>
      <c r="BC233" s="481"/>
      <c r="BD233" s="481"/>
      <c r="BE233" s="481"/>
      <c r="BF233" s="481"/>
      <c r="BG233" s="481"/>
      <c r="BH233" s="481"/>
      <c r="BI233" s="481"/>
      <c r="BJ233" s="481"/>
      <c r="BK233" s="481"/>
      <c r="BL233" s="481"/>
      <c r="BM233" s="481"/>
      <c r="BN233" s="481"/>
      <c r="BO233" s="481"/>
      <c r="BP233" s="481"/>
      <c r="BQ233" s="481"/>
      <c r="BR233" s="481"/>
      <c r="BS233" s="481"/>
      <c r="BT233" s="481"/>
      <c r="BU233" s="481"/>
      <c r="BV233" s="481"/>
      <c r="BW233" s="481"/>
      <c r="BX233" s="481"/>
      <c r="BY233" s="481"/>
      <c r="BZ233" s="481"/>
      <c r="CA233" s="481"/>
      <c r="CB233" s="481"/>
      <c r="CC233" s="481"/>
      <c r="CD233" s="481"/>
      <c r="CE233" s="481"/>
      <c r="CF233" s="481"/>
      <c r="CG233" s="481"/>
      <c r="CH233" s="481"/>
      <c r="CI233" s="481"/>
      <c r="CJ233" s="481"/>
      <c r="CK233" s="481"/>
      <c r="CL233" s="481"/>
      <c r="CM233" s="481"/>
      <c r="CN233" s="481"/>
      <c r="CO233" s="481"/>
      <c r="CP233" s="481"/>
      <c r="CQ233" s="481"/>
      <c r="CR233" s="481"/>
      <c r="CS233" s="481"/>
      <c r="CT233" s="481"/>
      <c r="CU233" s="481"/>
      <c r="CV233" s="481"/>
      <c r="CW233" s="481"/>
      <c r="CX233" s="481"/>
      <c r="CY233" s="481"/>
      <c r="CZ233" s="481"/>
      <c r="DA233" s="481"/>
    </row>
    <row r="234" spans="1:105" ht="18" hidden="1" customHeight="1" x14ac:dyDescent="0.2">
      <c r="B234" s="1622" t="str">
        <f>CONCATENATE(J20,"-",J21,"-",J22)</f>
        <v>--</v>
      </c>
      <c r="C234" s="1623"/>
      <c r="D234" s="1588">
        <f>HLOOKUP($B234,GEN!$G$1:$N$46,46,FALSE)</f>
        <v>1000</v>
      </c>
      <c r="E234" s="1589"/>
      <c r="F234" s="1590"/>
      <c r="G234" s="1588">
        <f>HLOOKUP($B234,FEB!$G$1:$N$46,46,FALSE)</f>
        <v>0</v>
      </c>
      <c r="H234" s="1589"/>
      <c r="I234" s="1590"/>
      <c r="J234" s="1588">
        <f>HLOOKUP($B234,MAR!$G$1:$N$46,46,FALSE)</f>
        <v>0</v>
      </c>
      <c r="K234" s="1589"/>
      <c r="L234" s="1590"/>
      <c r="M234" s="1588">
        <f>HLOOKUP($B234,APR!$G$1:$N$46,46,FALSE)</f>
        <v>0</v>
      </c>
      <c r="N234" s="1589"/>
      <c r="O234" s="1590"/>
      <c r="P234" s="1588">
        <f>HLOOKUP($B234,MAG!$G$1:$N$46,46,FALSE)</f>
        <v>0</v>
      </c>
      <c r="Q234" s="1589"/>
      <c r="R234" s="1590"/>
      <c r="S234" s="1588">
        <f>HLOOKUP($B234,GIU!$G$1:$N$46,46,FALSE)</f>
        <v>0</v>
      </c>
      <c r="T234" s="1589"/>
      <c r="U234" s="1590"/>
      <c r="V234" s="1588">
        <f>HLOOKUP($B234,LUG!$G$1:$N$46,46,FALSE)</f>
        <v>0</v>
      </c>
      <c r="W234" s="1589"/>
      <c r="X234" s="1590"/>
      <c r="Y234" s="1588">
        <f>HLOOKUP($B234,AGO!$G$1:$N$46,46,FALSE)</f>
        <v>0</v>
      </c>
      <c r="Z234" s="1589"/>
      <c r="AA234" s="1590"/>
      <c r="AB234" s="1588">
        <f>HLOOKUP($B234,SET!$G$1:$N$46,46,FALSE)</f>
        <v>0</v>
      </c>
      <c r="AC234" s="1589"/>
      <c r="AD234" s="1590"/>
      <c r="AE234" s="1588">
        <f>HLOOKUP($B234,OTT!$G$1:$N$46,46,FALSE)</f>
        <v>0</v>
      </c>
      <c r="AF234" s="1589"/>
      <c r="AG234" s="1590"/>
      <c r="AH234" s="1588">
        <f>HLOOKUP($B234,NOV!$G$1:$N$46,46,FALSE)</f>
        <v>0</v>
      </c>
      <c r="AI234" s="1589"/>
      <c r="AJ234" s="1590"/>
      <c r="AK234" s="1588">
        <f>HLOOKUP($B234,DIC!$G$1:$N$46,46,FALSE)</f>
        <v>0</v>
      </c>
      <c r="AL234" s="1589"/>
      <c r="AM234" s="1590"/>
      <c r="AN234" s="1718" t="str">
        <f>GEN!C46</f>
        <v>LORDO</v>
      </c>
      <c r="AO234" s="1708"/>
      <c r="AP234" s="1708"/>
      <c r="AQ234" s="48"/>
      <c r="AR234" s="481"/>
      <c r="AS234" s="481"/>
      <c r="AT234" s="481"/>
      <c r="AU234" s="481"/>
      <c r="AV234" s="481"/>
      <c r="AW234" s="481"/>
      <c r="AX234" s="481"/>
      <c r="AY234" s="481"/>
      <c r="AZ234" s="481"/>
      <c r="BA234" s="481"/>
      <c r="BB234" s="481"/>
      <c r="BC234" s="481"/>
      <c r="BD234" s="481"/>
      <c r="BE234" s="481"/>
      <c r="BF234" s="481"/>
      <c r="BG234" s="481"/>
      <c r="BH234" s="481"/>
      <c r="BI234" s="481"/>
      <c r="BJ234" s="481"/>
      <c r="BK234" s="481"/>
      <c r="BL234" s="481"/>
      <c r="BM234" s="481"/>
      <c r="BN234" s="481"/>
      <c r="BO234" s="481"/>
      <c r="BP234" s="481"/>
      <c r="BQ234" s="481"/>
      <c r="BR234" s="481"/>
      <c r="BS234" s="481"/>
      <c r="BT234" s="481"/>
      <c r="BU234" s="481"/>
      <c r="BV234" s="481"/>
      <c r="BW234" s="481"/>
      <c r="BX234" s="481"/>
      <c r="BY234" s="481"/>
      <c r="BZ234" s="481"/>
      <c r="CA234" s="481"/>
      <c r="CB234" s="481"/>
      <c r="CC234" s="481"/>
      <c r="CD234" s="481"/>
      <c r="CE234" s="481"/>
      <c r="CF234" s="481"/>
      <c r="CG234" s="481"/>
      <c r="CH234" s="481"/>
      <c r="CI234" s="481"/>
      <c r="CJ234" s="481"/>
      <c r="CK234" s="481"/>
      <c r="CL234" s="481"/>
      <c r="CM234" s="481"/>
      <c r="CN234" s="481"/>
      <c r="CO234" s="481"/>
      <c r="CP234" s="481"/>
      <c r="CQ234" s="481"/>
      <c r="CR234" s="481"/>
      <c r="CS234" s="481"/>
      <c r="CT234" s="481"/>
      <c r="CU234" s="481"/>
      <c r="CV234" s="481"/>
      <c r="CW234" s="481"/>
      <c r="CX234" s="481"/>
      <c r="CY234" s="481"/>
      <c r="CZ234" s="481"/>
      <c r="DA234" s="481"/>
    </row>
    <row r="235" spans="1:105" ht="18" hidden="1" customHeight="1" x14ac:dyDescent="0.2">
      <c r="A235" s="186"/>
      <c r="B235" s="1960"/>
      <c r="C235" s="1960"/>
      <c r="D235" s="48"/>
      <c r="E235" s="48"/>
      <c r="F235" s="48"/>
      <c r="G235" s="1956"/>
      <c r="H235" s="1956"/>
      <c r="I235" s="1956"/>
      <c r="J235" s="48"/>
      <c r="K235" s="48"/>
      <c r="L235" s="48"/>
      <c r="M235" s="48"/>
      <c r="N235" s="48"/>
      <c r="O235" s="48"/>
      <c r="P235" s="48"/>
      <c r="Q235" s="48"/>
      <c r="R235" s="48"/>
      <c r="S235" s="48"/>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1"/>
      <c r="AS235" s="481"/>
      <c r="AT235" s="481"/>
      <c r="AU235" s="481"/>
      <c r="AV235" s="481"/>
      <c r="AW235" s="481"/>
      <c r="AX235" s="481"/>
      <c r="AY235" s="481"/>
      <c r="AZ235" s="481"/>
      <c r="BA235" s="481"/>
      <c r="BB235" s="481"/>
      <c r="BC235" s="481"/>
      <c r="BD235" s="481"/>
      <c r="BE235" s="481"/>
      <c r="BF235" s="481"/>
      <c r="BG235" s="481"/>
      <c r="BH235" s="481"/>
      <c r="BI235" s="481"/>
      <c r="BJ235" s="481"/>
      <c r="BK235" s="481"/>
      <c r="BL235" s="481"/>
      <c r="BM235" s="481"/>
      <c r="BN235" s="481"/>
      <c r="BO235" s="481"/>
      <c r="BP235" s="481"/>
      <c r="BQ235" s="481"/>
      <c r="BR235" s="481"/>
      <c r="BS235" s="481"/>
      <c r="BT235" s="481"/>
      <c r="BU235" s="481"/>
      <c r="BV235" s="481"/>
      <c r="BW235" s="481"/>
      <c r="BX235" s="481"/>
      <c r="BY235" s="481"/>
      <c r="BZ235" s="481"/>
      <c r="CA235" s="481"/>
      <c r="CB235" s="481"/>
      <c r="CC235" s="481"/>
      <c r="CD235" s="481"/>
      <c r="CE235" s="481"/>
      <c r="CF235" s="481"/>
      <c r="CG235" s="481"/>
      <c r="CH235" s="481"/>
      <c r="CI235" s="481"/>
      <c r="CJ235" s="481"/>
      <c r="CK235" s="481"/>
      <c r="CL235" s="481"/>
      <c r="CM235" s="481"/>
      <c r="CN235" s="481"/>
      <c r="CO235" s="481"/>
      <c r="CP235" s="481"/>
      <c r="CQ235" s="481"/>
      <c r="CR235" s="481"/>
      <c r="CS235" s="481"/>
      <c r="CT235" s="481"/>
      <c r="CU235" s="481"/>
      <c r="CV235" s="481"/>
      <c r="CW235" s="481"/>
      <c r="CX235" s="481"/>
      <c r="CY235" s="481"/>
      <c r="CZ235" s="481"/>
      <c r="DA235" s="481"/>
    </row>
    <row r="236" spans="1:105" ht="18" hidden="1" customHeight="1" x14ac:dyDescent="0.2">
      <c r="A236" s="186"/>
      <c r="B236" s="1728" t="str">
        <f>C185</f>
        <v>Colonna 2</v>
      </c>
      <c r="C236" s="1586"/>
      <c r="D236" s="1957">
        <v>0</v>
      </c>
      <c r="E236" s="1958"/>
      <c r="F236" s="1959"/>
      <c r="G236" s="1588">
        <f>HLOOKUP($B237,FEB!$G$1:$N$46,46,FALSE)</f>
        <v>0</v>
      </c>
      <c r="H236" s="1589"/>
      <c r="I236" s="1590"/>
      <c r="J236" s="1588">
        <f>HLOOKUP($B237,MAR!$G$1:$N$46,46,FALSE)</f>
        <v>0</v>
      </c>
      <c r="K236" s="1589"/>
      <c r="L236" s="1590"/>
      <c r="M236" s="1588">
        <f>HLOOKUP($B237,APR!$G$1:$N$46,46,FALSE)</f>
        <v>0</v>
      </c>
      <c r="N236" s="1589"/>
      <c r="O236" s="1590"/>
      <c r="P236" s="1588">
        <f>HLOOKUP($B237,MAG!$G$1:$N$46,46,FALSE)</f>
        <v>0</v>
      </c>
      <c r="Q236" s="1589"/>
      <c r="R236" s="1590"/>
      <c r="S236" s="1588">
        <f>HLOOKUP($B237,GIU!$G$1:$N$46,46,FALSE)</f>
        <v>0</v>
      </c>
      <c r="T236" s="1589"/>
      <c r="U236" s="1590"/>
      <c r="V236" s="1588">
        <f>HLOOKUP($B237,LUG!$G$1:$N$46,46,FALSE)</f>
        <v>0</v>
      </c>
      <c r="W236" s="1589"/>
      <c r="X236" s="1590"/>
      <c r="Y236" s="1588">
        <f>HLOOKUP($B237,AGO!$G$1:$N$46,46,FALSE)</f>
        <v>0</v>
      </c>
      <c r="Z236" s="1589"/>
      <c r="AA236" s="1590"/>
      <c r="AB236" s="1588">
        <f>HLOOKUP($B237,SET!$G$1:$N$46,46,FALSE)</f>
        <v>0</v>
      </c>
      <c r="AC236" s="1589"/>
      <c r="AD236" s="1590"/>
      <c r="AE236" s="1588">
        <f>HLOOKUP($B237,OTT!$G$1:$N$46,46,FALSE)</f>
        <v>0</v>
      </c>
      <c r="AF236" s="1589"/>
      <c r="AG236" s="1590"/>
      <c r="AH236" s="1588">
        <f>HLOOKUP($B237,NOV!$G$1:$N$46,46,FALSE)</f>
        <v>0</v>
      </c>
      <c r="AI236" s="1589"/>
      <c r="AJ236" s="1590"/>
      <c r="AK236" s="1588">
        <f>HLOOKUP($B237,DIC!$G$1:$N$46,46,FALSE)</f>
        <v>0</v>
      </c>
      <c r="AL236" s="1589"/>
      <c r="AM236" s="1590"/>
      <c r="AN236" s="1718"/>
      <c r="AO236" s="1708"/>
      <c r="AP236" s="1708"/>
      <c r="AQ236" s="48"/>
      <c r="AR236" s="481"/>
      <c r="AS236" s="481"/>
      <c r="AT236" s="481"/>
      <c r="AU236" s="481"/>
      <c r="AV236" s="481"/>
      <c r="AW236" s="481"/>
      <c r="AX236" s="481"/>
      <c r="AY236" s="481"/>
      <c r="AZ236" s="481"/>
      <c r="BA236" s="481"/>
      <c r="BB236" s="481"/>
      <c r="BC236" s="481"/>
      <c r="BD236" s="481"/>
      <c r="BE236" s="481"/>
      <c r="BF236" s="481"/>
      <c r="BG236" s="481"/>
      <c r="BH236" s="481"/>
      <c r="BI236" s="481"/>
      <c r="BJ236" s="481"/>
      <c r="BK236" s="481"/>
      <c r="BL236" s="481"/>
      <c r="BM236" s="481"/>
      <c r="BN236" s="481"/>
      <c r="BO236" s="481"/>
      <c r="BP236" s="481"/>
      <c r="BQ236" s="481"/>
      <c r="BR236" s="481"/>
      <c r="BS236" s="481"/>
      <c r="BT236" s="481"/>
      <c r="BU236" s="481"/>
      <c r="BV236" s="481"/>
      <c r="BW236" s="481"/>
      <c r="BX236" s="481"/>
      <c r="BY236" s="481"/>
      <c r="BZ236" s="481"/>
      <c r="CA236" s="481"/>
      <c r="CB236" s="481"/>
      <c r="CC236" s="481"/>
      <c r="CD236" s="481"/>
      <c r="CE236" s="481"/>
      <c r="CF236" s="481"/>
      <c r="CG236" s="481"/>
      <c r="CH236" s="481"/>
      <c r="CI236" s="481"/>
      <c r="CJ236" s="481"/>
      <c r="CK236" s="481"/>
      <c r="CL236" s="481"/>
      <c r="CM236" s="481"/>
      <c r="CN236" s="481"/>
      <c r="CO236" s="481"/>
      <c r="CP236" s="481"/>
      <c r="CQ236" s="481"/>
      <c r="CR236" s="481"/>
      <c r="CS236" s="481"/>
      <c r="CT236" s="481"/>
      <c r="CU236" s="481"/>
      <c r="CV236" s="481"/>
      <c r="CW236" s="481"/>
      <c r="CX236" s="481"/>
      <c r="CY236" s="481"/>
      <c r="CZ236" s="481"/>
      <c r="DA236" s="481"/>
    </row>
    <row r="237" spans="1:105" ht="18" hidden="1" customHeight="1" x14ac:dyDescent="0.2">
      <c r="B237" s="1622" t="str">
        <f>CONCATENATE(N20,"-",N21,"-",N22)</f>
        <v>--</v>
      </c>
      <c r="C237" s="1623"/>
      <c r="D237" s="1588">
        <f>HLOOKUP($B237,GEN!$G$1:$N$46,46,FALSE)</f>
        <v>1000</v>
      </c>
      <c r="E237" s="1589"/>
      <c r="F237" s="1590"/>
      <c r="G237" s="1588">
        <f>HLOOKUP($B237,FEB!$G$1:$N$46,46,FALSE)</f>
        <v>0</v>
      </c>
      <c r="H237" s="1589"/>
      <c r="I237" s="1590"/>
      <c r="J237" s="1588">
        <f>HLOOKUP($B237,MAR!$G$1:$N$46,46,FALSE)</f>
        <v>0</v>
      </c>
      <c r="K237" s="1589"/>
      <c r="L237" s="1590"/>
      <c r="M237" s="1588">
        <f>HLOOKUP($B237,APR!$G$1:$N$46,46,FALSE)</f>
        <v>0</v>
      </c>
      <c r="N237" s="1589"/>
      <c r="O237" s="1590"/>
      <c r="P237" s="1588">
        <f>HLOOKUP($B237,MAG!$G$1:$N$46,46,FALSE)</f>
        <v>0</v>
      </c>
      <c r="Q237" s="1589"/>
      <c r="R237" s="1590"/>
      <c r="S237" s="1588">
        <f>HLOOKUP($B237,GIU!$G$1:$N$46,46,FALSE)</f>
        <v>0</v>
      </c>
      <c r="T237" s="1589"/>
      <c r="U237" s="1590"/>
      <c r="V237" s="1588">
        <f>HLOOKUP($B237,LUG!$G$1:$N$46,46,FALSE)</f>
        <v>0</v>
      </c>
      <c r="W237" s="1589"/>
      <c r="X237" s="1590"/>
      <c r="Y237" s="1588">
        <f>HLOOKUP($B237,AGO!$G$1:$N$46,46,FALSE)</f>
        <v>0</v>
      </c>
      <c r="Z237" s="1589"/>
      <c r="AA237" s="1590"/>
      <c r="AB237" s="1588">
        <f>HLOOKUP($B237,SET!$G$1:$N$46,46,FALSE)</f>
        <v>0</v>
      </c>
      <c r="AC237" s="1589"/>
      <c r="AD237" s="1590"/>
      <c r="AE237" s="1588">
        <f>HLOOKUP($B237,OTT!$G$1:$N$46,46,FALSE)</f>
        <v>0</v>
      </c>
      <c r="AF237" s="1589"/>
      <c r="AG237" s="1590"/>
      <c r="AH237" s="1588">
        <f>HLOOKUP($B237,NOV!$G$1:$N$46,46,FALSE)</f>
        <v>0</v>
      </c>
      <c r="AI237" s="1589"/>
      <c r="AJ237" s="1590"/>
      <c r="AK237" s="1588">
        <f>HLOOKUP($B237,DIC!$G$1:$N$46,46,FALSE)</f>
        <v>0</v>
      </c>
      <c r="AL237" s="1589"/>
      <c r="AM237" s="1590"/>
      <c r="AN237" s="1718" t="str">
        <f>AN234</f>
        <v>LORDO</v>
      </c>
      <c r="AO237" s="1708"/>
      <c r="AP237" s="1708"/>
      <c r="AQ237" s="48"/>
      <c r="AR237" s="481"/>
      <c r="AS237" s="481"/>
      <c r="AT237" s="481"/>
      <c r="AU237" s="481"/>
      <c r="AV237" s="481"/>
      <c r="AW237" s="481"/>
      <c r="AX237" s="481"/>
      <c r="AY237" s="481"/>
      <c r="AZ237" s="481"/>
      <c r="BA237" s="481"/>
      <c r="BB237" s="481"/>
      <c r="BC237" s="481"/>
      <c r="BD237" s="481"/>
      <c r="BE237" s="481"/>
      <c r="BF237" s="481"/>
      <c r="BG237" s="481"/>
      <c r="BH237" s="481"/>
      <c r="BI237" s="481"/>
      <c r="BJ237" s="481"/>
      <c r="BK237" s="481"/>
      <c r="BL237" s="481"/>
      <c r="BM237" s="481"/>
      <c r="BN237" s="481"/>
      <c r="BO237" s="481"/>
      <c r="BP237" s="481"/>
      <c r="BQ237" s="481"/>
      <c r="BR237" s="481"/>
      <c r="BS237" s="481"/>
      <c r="BT237" s="481"/>
      <c r="BU237" s="481"/>
      <c r="BV237" s="481"/>
      <c r="BW237" s="481"/>
      <c r="BX237" s="481"/>
      <c r="BY237" s="481"/>
      <c r="BZ237" s="481"/>
      <c r="CA237" s="481"/>
      <c r="CB237" s="481"/>
      <c r="CC237" s="481"/>
      <c r="CD237" s="481"/>
      <c r="CE237" s="481"/>
      <c r="CF237" s="481"/>
      <c r="CG237" s="481"/>
      <c r="CH237" s="481"/>
      <c r="CI237" s="481"/>
      <c r="CJ237" s="481"/>
      <c r="CK237" s="481"/>
      <c r="CL237" s="481"/>
      <c r="CM237" s="481"/>
      <c r="CN237" s="481"/>
      <c r="CO237" s="481"/>
      <c r="CP237" s="481"/>
      <c r="CQ237" s="481"/>
      <c r="CR237" s="481"/>
      <c r="CS237" s="481"/>
      <c r="CT237" s="481"/>
      <c r="CU237" s="481"/>
      <c r="CV237" s="481"/>
      <c r="CW237" s="481"/>
      <c r="CX237" s="481"/>
      <c r="CY237" s="481"/>
      <c r="CZ237" s="481"/>
      <c r="DA237" s="481"/>
    </row>
    <row r="238" spans="1:105" ht="18" hidden="1" customHeight="1" x14ac:dyDescent="0.2">
      <c r="A238" s="186"/>
      <c r="B238" s="1960"/>
      <c r="C238" s="1960"/>
      <c r="D238" s="48"/>
      <c r="E238" s="48"/>
      <c r="F238" s="48"/>
      <c r="G238" s="1956"/>
      <c r="H238" s="1956"/>
      <c r="I238" s="1956"/>
      <c r="J238" s="48"/>
      <c r="K238" s="48"/>
      <c r="L238" s="48"/>
      <c r="M238" s="48"/>
      <c r="N238" s="48"/>
      <c r="O238" s="48"/>
      <c r="P238" s="48"/>
      <c r="Q238" s="48"/>
      <c r="R238" s="48"/>
      <c r="S238" s="48"/>
      <c r="T238" s="48"/>
      <c r="U238" s="48"/>
      <c r="V238" s="48"/>
      <c r="W238" s="48"/>
      <c r="X238" s="48"/>
      <c r="Y238" s="48"/>
      <c r="Z238" s="48"/>
      <c r="AA238" s="48"/>
      <c r="AB238" s="48"/>
      <c r="AC238" s="48"/>
      <c r="AD238" s="48"/>
      <c r="AE238" s="48"/>
      <c r="AF238" s="48"/>
      <c r="AG238" s="48"/>
      <c r="AH238" s="48"/>
      <c r="AI238" s="48"/>
      <c r="AJ238" s="48"/>
      <c r="AK238" s="48"/>
      <c r="AL238" s="48"/>
      <c r="AM238" s="48"/>
      <c r="AN238" s="48"/>
      <c r="AO238" s="48"/>
      <c r="AP238" s="48"/>
      <c r="AQ238" s="48"/>
      <c r="AR238" s="481"/>
      <c r="AS238" s="481"/>
      <c r="AT238" s="481"/>
      <c r="AU238" s="481"/>
      <c r="AV238" s="481"/>
      <c r="AW238" s="481"/>
      <c r="AX238" s="481"/>
      <c r="AY238" s="481"/>
      <c r="AZ238" s="481"/>
      <c r="BA238" s="481"/>
      <c r="BB238" s="481"/>
      <c r="BC238" s="481"/>
      <c r="BD238" s="481"/>
      <c r="BE238" s="481"/>
      <c r="BF238" s="481"/>
      <c r="BG238" s="481"/>
      <c r="BH238" s="481"/>
      <c r="BI238" s="481"/>
      <c r="BJ238" s="481"/>
      <c r="BK238" s="481"/>
      <c r="BL238" s="481"/>
      <c r="BM238" s="481"/>
      <c r="BN238" s="481"/>
      <c r="BO238" s="481"/>
      <c r="BP238" s="481"/>
      <c r="BQ238" s="481"/>
      <c r="BR238" s="481"/>
      <c r="BS238" s="481"/>
      <c r="BT238" s="481"/>
      <c r="BU238" s="481"/>
      <c r="BV238" s="481"/>
      <c r="BW238" s="481"/>
      <c r="BX238" s="481"/>
      <c r="BY238" s="481"/>
      <c r="BZ238" s="481"/>
      <c r="CA238" s="481"/>
      <c r="CB238" s="481"/>
      <c r="CC238" s="481"/>
      <c r="CD238" s="481"/>
      <c r="CE238" s="481"/>
      <c r="CF238" s="481"/>
      <c r="CG238" s="481"/>
      <c r="CH238" s="481"/>
      <c r="CI238" s="481"/>
      <c r="CJ238" s="481"/>
      <c r="CK238" s="481"/>
      <c r="CL238" s="481"/>
      <c r="CM238" s="481"/>
      <c r="CN238" s="481"/>
      <c r="CO238" s="481"/>
      <c r="CP238" s="481"/>
      <c r="CQ238" s="481"/>
      <c r="CR238" s="481"/>
      <c r="CS238" s="481"/>
      <c r="CT238" s="481"/>
      <c r="CU238" s="481"/>
      <c r="CV238" s="481"/>
      <c r="CW238" s="481"/>
      <c r="CX238" s="481"/>
      <c r="CY238" s="481"/>
      <c r="CZ238" s="481"/>
      <c r="DA238" s="481"/>
    </row>
    <row r="239" spans="1:105" ht="18" hidden="1" customHeight="1" x14ac:dyDescent="0.2">
      <c r="A239" s="186"/>
      <c r="B239" s="1728" t="str">
        <f>C186</f>
        <v>Colonna 3</v>
      </c>
      <c r="C239" s="1586"/>
      <c r="D239" s="1957">
        <v>0</v>
      </c>
      <c r="E239" s="1958"/>
      <c r="F239" s="1959"/>
      <c r="G239" s="1588">
        <f>HLOOKUP($B240,FEB!$G$1:$N$46,46,FALSE)</f>
        <v>0</v>
      </c>
      <c r="H239" s="1589"/>
      <c r="I239" s="1590"/>
      <c r="J239" s="1588">
        <f>HLOOKUP($B240,MAR!$G$1:$N$46,46,FALSE)</f>
        <v>0</v>
      </c>
      <c r="K239" s="1589"/>
      <c r="L239" s="1590"/>
      <c r="M239" s="1588">
        <f>HLOOKUP($B240,APR!$G$1:$N$46,46,FALSE)</f>
        <v>0</v>
      </c>
      <c r="N239" s="1589"/>
      <c r="O239" s="1590"/>
      <c r="P239" s="1588">
        <f>HLOOKUP($B240,MAG!$G$1:$N$46,46,FALSE)</f>
        <v>0</v>
      </c>
      <c r="Q239" s="1589"/>
      <c r="R239" s="1590"/>
      <c r="S239" s="1588">
        <f>HLOOKUP($B240,GIU!$G$1:$N$46,46,FALSE)</f>
        <v>0</v>
      </c>
      <c r="T239" s="1589"/>
      <c r="U239" s="1590"/>
      <c r="V239" s="1588">
        <f>HLOOKUP($B240,LUG!$G$1:$N$46,46,FALSE)</f>
        <v>0</v>
      </c>
      <c r="W239" s="1589"/>
      <c r="X239" s="1590"/>
      <c r="Y239" s="1588">
        <f>HLOOKUP($B240,AGO!$G$1:$N$46,46,FALSE)</f>
        <v>0</v>
      </c>
      <c r="Z239" s="1589"/>
      <c r="AA239" s="1590"/>
      <c r="AB239" s="1588">
        <f>HLOOKUP($B240,SET!$G$1:$N$46,46,FALSE)</f>
        <v>0</v>
      </c>
      <c r="AC239" s="1589"/>
      <c r="AD239" s="1590"/>
      <c r="AE239" s="1588">
        <f>HLOOKUP($B240,OTT!$G$1:$N$46,46,FALSE)</f>
        <v>0</v>
      </c>
      <c r="AF239" s="1589"/>
      <c r="AG239" s="1590"/>
      <c r="AH239" s="1588">
        <f>HLOOKUP($B240,NOV!$G$1:$N$46,46,FALSE)</f>
        <v>0</v>
      </c>
      <c r="AI239" s="1589"/>
      <c r="AJ239" s="1590"/>
      <c r="AK239" s="1588">
        <f>HLOOKUP($B240,DIC!$G$1:$N$46,46,FALSE)</f>
        <v>0</v>
      </c>
      <c r="AL239" s="1589"/>
      <c r="AM239" s="1590"/>
      <c r="AN239" s="1718"/>
      <c r="AO239" s="1708"/>
      <c r="AP239" s="1708"/>
      <c r="AQ239" s="48"/>
      <c r="AR239" s="481"/>
      <c r="AS239" s="481"/>
      <c r="AT239" s="481"/>
      <c r="AU239" s="481"/>
      <c r="AV239" s="481"/>
      <c r="AW239" s="481"/>
      <c r="AX239" s="481"/>
      <c r="AY239" s="481"/>
      <c r="AZ239" s="481"/>
      <c r="BA239" s="481"/>
      <c r="BB239" s="481"/>
      <c r="BC239" s="481"/>
      <c r="BD239" s="481"/>
      <c r="BE239" s="481"/>
      <c r="BF239" s="481"/>
      <c r="BG239" s="481"/>
      <c r="BH239" s="481"/>
      <c r="BI239" s="481"/>
      <c r="BJ239" s="481"/>
      <c r="BK239" s="481"/>
      <c r="BL239" s="481"/>
      <c r="BM239" s="481"/>
      <c r="BN239" s="481"/>
      <c r="BO239" s="481"/>
      <c r="BP239" s="481"/>
      <c r="BQ239" s="481"/>
      <c r="BR239" s="481"/>
      <c r="BS239" s="481"/>
      <c r="BT239" s="481"/>
      <c r="BU239" s="481"/>
      <c r="BV239" s="481"/>
      <c r="BW239" s="481"/>
      <c r="BX239" s="481"/>
      <c r="BY239" s="481"/>
      <c r="BZ239" s="481"/>
      <c r="CA239" s="481"/>
      <c r="CB239" s="481"/>
      <c r="CC239" s="481"/>
      <c r="CD239" s="481"/>
      <c r="CE239" s="481"/>
      <c r="CF239" s="481"/>
      <c r="CG239" s="481"/>
      <c r="CH239" s="481"/>
      <c r="CI239" s="481"/>
      <c r="CJ239" s="481"/>
      <c r="CK239" s="481"/>
      <c r="CL239" s="481"/>
      <c r="CM239" s="481"/>
      <c r="CN239" s="481"/>
      <c r="CO239" s="481"/>
      <c r="CP239" s="481"/>
      <c r="CQ239" s="481"/>
      <c r="CR239" s="481"/>
      <c r="CS239" s="481"/>
      <c r="CT239" s="481"/>
      <c r="CU239" s="481"/>
      <c r="CV239" s="481"/>
      <c r="CW239" s="481"/>
      <c r="CX239" s="481"/>
      <c r="CY239" s="481"/>
      <c r="CZ239" s="481"/>
      <c r="DA239" s="481"/>
    </row>
    <row r="240" spans="1:105" ht="18" hidden="1" customHeight="1" x14ac:dyDescent="0.2">
      <c r="B240" s="1622" t="str">
        <f>CONCATENATE(V20,"-",V21,"-",V22)</f>
        <v>--</v>
      </c>
      <c r="C240" s="1623"/>
      <c r="D240" s="1588">
        <f>HLOOKUP($B240,GEN!$G$1:$N$46,46,FALSE)</f>
        <v>1000</v>
      </c>
      <c r="E240" s="1589"/>
      <c r="F240" s="1590"/>
      <c r="G240" s="1588">
        <f>HLOOKUP($B240,FEB!$G$1:$N$46,46,FALSE)</f>
        <v>0</v>
      </c>
      <c r="H240" s="1589"/>
      <c r="I240" s="1590"/>
      <c r="J240" s="1588">
        <f>HLOOKUP($B240,MAR!$G$1:$N$46,46,FALSE)</f>
        <v>0</v>
      </c>
      <c r="K240" s="1589"/>
      <c r="L240" s="1590"/>
      <c r="M240" s="1588">
        <f>HLOOKUP($B240,APR!$G$1:$N$46,46,FALSE)</f>
        <v>0</v>
      </c>
      <c r="N240" s="1589"/>
      <c r="O240" s="1590"/>
      <c r="P240" s="1588">
        <f>HLOOKUP($B240,MAG!$G$1:$N$46,46,FALSE)</f>
        <v>0</v>
      </c>
      <c r="Q240" s="1589"/>
      <c r="R240" s="1590"/>
      <c r="S240" s="1588">
        <f>HLOOKUP($B240,GIU!$G$1:$N$46,46,FALSE)</f>
        <v>0</v>
      </c>
      <c r="T240" s="1589"/>
      <c r="U240" s="1590"/>
      <c r="V240" s="1588">
        <f>HLOOKUP($B240,LUG!$G$1:$N$46,46,FALSE)</f>
        <v>0</v>
      </c>
      <c r="W240" s="1589"/>
      <c r="X240" s="1590"/>
      <c r="Y240" s="1588">
        <f>HLOOKUP($B240,AGO!$G$1:$N$46,46,FALSE)</f>
        <v>0</v>
      </c>
      <c r="Z240" s="1589"/>
      <c r="AA240" s="1590"/>
      <c r="AB240" s="1588">
        <f>HLOOKUP($B240,SET!$G$1:$N$46,46,FALSE)</f>
        <v>0</v>
      </c>
      <c r="AC240" s="1589"/>
      <c r="AD240" s="1590"/>
      <c r="AE240" s="1588">
        <f>HLOOKUP($B240,OTT!$G$1:$N$46,46,FALSE)</f>
        <v>0</v>
      </c>
      <c r="AF240" s="1589"/>
      <c r="AG240" s="1590"/>
      <c r="AH240" s="1588">
        <f>HLOOKUP($B240,NOV!$G$1:$N$46,46,FALSE)</f>
        <v>0</v>
      </c>
      <c r="AI240" s="1589"/>
      <c r="AJ240" s="1590"/>
      <c r="AK240" s="1588">
        <f>HLOOKUP($B240,DIC!$G$1:$N$46,46,FALSE)</f>
        <v>0</v>
      </c>
      <c r="AL240" s="1589"/>
      <c r="AM240" s="1590"/>
      <c r="AN240" s="1718" t="str">
        <f>AN237</f>
        <v>LORDO</v>
      </c>
      <c r="AO240" s="1708"/>
      <c r="AP240" s="1708"/>
      <c r="AQ240" s="48"/>
      <c r="AR240" s="481"/>
      <c r="AS240" s="481"/>
      <c r="AT240" s="481"/>
      <c r="AU240" s="481"/>
      <c r="AV240" s="481"/>
      <c r="AW240" s="481"/>
      <c r="AX240" s="481"/>
      <c r="AY240" s="481"/>
      <c r="AZ240" s="481"/>
      <c r="BA240" s="481"/>
      <c r="BB240" s="481"/>
      <c r="BC240" s="481"/>
      <c r="BD240" s="481"/>
      <c r="BE240" s="481"/>
      <c r="BF240" s="481"/>
      <c r="BG240" s="481"/>
      <c r="BH240" s="481"/>
      <c r="BI240" s="481"/>
      <c r="BJ240" s="481"/>
      <c r="BK240" s="481"/>
      <c r="BL240" s="481"/>
      <c r="BM240" s="481"/>
      <c r="BN240" s="481"/>
      <c r="BO240" s="481"/>
      <c r="BP240" s="481"/>
      <c r="BQ240" s="481"/>
      <c r="BR240" s="481"/>
      <c r="BS240" s="481"/>
      <c r="BT240" s="481"/>
      <c r="BU240" s="481"/>
      <c r="BV240" s="481"/>
      <c r="BW240" s="481"/>
      <c r="BX240" s="481"/>
      <c r="BY240" s="481"/>
      <c r="BZ240" s="481"/>
      <c r="CA240" s="481"/>
      <c r="CB240" s="481"/>
      <c r="CC240" s="481"/>
      <c r="CD240" s="481"/>
      <c r="CE240" s="481"/>
      <c r="CF240" s="481"/>
      <c r="CG240" s="481"/>
      <c r="CH240" s="481"/>
      <c r="CI240" s="481"/>
      <c r="CJ240" s="481"/>
      <c r="CK240" s="481"/>
      <c r="CL240" s="481"/>
      <c r="CM240" s="481"/>
      <c r="CN240" s="481"/>
      <c r="CO240" s="481"/>
      <c r="CP240" s="481"/>
      <c r="CQ240" s="481"/>
      <c r="CR240" s="481"/>
      <c r="CS240" s="481"/>
      <c r="CT240" s="481"/>
      <c r="CU240" s="481"/>
      <c r="CV240" s="481"/>
      <c r="CW240" s="481"/>
      <c r="CX240" s="481"/>
      <c r="CY240" s="481"/>
      <c r="CZ240" s="481"/>
      <c r="DA240" s="481"/>
    </row>
    <row r="241" spans="1:105" ht="18" hidden="1" customHeight="1" x14ac:dyDescent="0.2">
      <c r="A241" s="186"/>
      <c r="B241" s="1960"/>
      <c r="C241" s="1960"/>
      <c r="D241" s="48"/>
      <c r="E241" s="48"/>
      <c r="F241" s="48"/>
      <c r="G241" s="1956"/>
      <c r="H241" s="1956"/>
      <c r="I241" s="1956"/>
      <c r="J241" s="48"/>
      <c r="K241" s="48"/>
      <c r="L241" s="48"/>
      <c r="M241" s="48"/>
      <c r="N241" s="48"/>
      <c r="O241" s="48"/>
      <c r="P241" s="48"/>
      <c r="Q241" s="48"/>
      <c r="R241" s="48"/>
      <c r="S241" s="48"/>
      <c r="T241" s="48"/>
      <c r="U241" s="48"/>
      <c r="V241" s="48"/>
      <c r="W241" s="48"/>
      <c r="X241" s="48"/>
      <c r="Y241" s="48"/>
      <c r="Z241" s="48"/>
      <c r="AA241" s="48"/>
      <c r="AB241" s="48"/>
      <c r="AC241" s="48"/>
      <c r="AD241" s="48"/>
      <c r="AE241" s="48"/>
      <c r="AF241" s="48"/>
      <c r="AG241" s="48"/>
      <c r="AH241" s="48"/>
      <c r="AI241" s="48"/>
      <c r="AJ241" s="48"/>
      <c r="AK241" s="48"/>
      <c r="AL241" s="48"/>
      <c r="AM241" s="48"/>
      <c r="AN241" s="48"/>
      <c r="AO241" s="48"/>
      <c r="AP241" s="48"/>
      <c r="AQ241" s="48"/>
      <c r="AR241" s="481"/>
      <c r="AS241" s="481"/>
      <c r="AT241" s="481"/>
      <c r="AU241" s="481"/>
      <c r="AV241" s="481"/>
      <c r="AW241" s="481"/>
      <c r="AX241" s="481"/>
      <c r="AY241" s="481"/>
      <c r="AZ241" s="481"/>
      <c r="BA241" s="481"/>
      <c r="BB241" s="481"/>
      <c r="BC241" s="481"/>
      <c r="BD241" s="481"/>
      <c r="BE241" s="481"/>
      <c r="BF241" s="481"/>
      <c r="BG241" s="481"/>
      <c r="BH241" s="481"/>
      <c r="BI241" s="481"/>
      <c r="BJ241" s="481"/>
      <c r="BK241" s="481"/>
      <c r="BL241" s="481"/>
      <c r="BM241" s="481"/>
      <c r="BN241" s="481"/>
      <c r="BO241" s="481"/>
      <c r="BP241" s="481"/>
      <c r="BQ241" s="481"/>
      <c r="BR241" s="481"/>
      <c r="BS241" s="481"/>
      <c r="BT241" s="481"/>
      <c r="BU241" s="481"/>
      <c r="BV241" s="481"/>
      <c r="BW241" s="481"/>
      <c r="BX241" s="481"/>
      <c r="BY241" s="481"/>
      <c r="BZ241" s="481"/>
      <c r="CA241" s="481"/>
      <c r="CB241" s="481"/>
      <c r="CC241" s="481"/>
      <c r="CD241" s="481"/>
      <c r="CE241" s="481"/>
      <c r="CF241" s="481"/>
      <c r="CG241" s="481"/>
      <c r="CH241" s="481"/>
      <c r="CI241" s="481"/>
      <c r="CJ241" s="481"/>
      <c r="CK241" s="481"/>
      <c r="CL241" s="481"/>
      <c r="CM241" s="481"/>
      <c r="CN241" s="481"/>
      <c r="CO241" s="481"/>
      <c r="CP241" s="481"/>
      <c r="CQ241" s="481"/>
      <c r="CR241" s="481"/>
      <c r="CS241" s="481"/>
      <c r="CT241" s="481"/>
      <c r="CU241" s="481"/>
      <c r="CV241" s="481"/>
      <c r="CW241" s="481"/>
      <c r="CX241" s="481"/>
      <c r="CY241" s="481"/>
      <c r="CZ241" s="481"/>
      <c r="DA241" s="481"/>
    </row>
    <row r="242" spans="1:105" ht="18" hidden="1" customHeight="1" x14ac:dyDescent="0.2">
      <c r="A242" s="186"/>
      <c r="B242" s="1728" t="str">
        <f>C187</f>
        <v>Colonna 4</v>
      </c>
      <c r="C242" s="1586"/>
      <c r="D242" s="1957">
        <v>0</v>
      </c>
      <c r="E242" s="1958"/>
      <c r="F242" s="1959"/>
      <c r="G242" s="1588">
        <f>HLOOKUP($B243,FEB!$G$1:$N$46,46,FALSE)</f>
        <v>0</v>
      </c>
      <c r="H242" s="1589"/>
      <c r="I242" s="1590"/>
      <c r="J242" s="1588">
        <f>HLOOKUP($B243,MAR!$G$1:$N$46,46,FALSE)</f>
        <v>0</v>
      </c>
      <c r="K242" s="1589"/>
      <c r="L242" s="1590"/>
      <c r="M242" s="1588">
        <f>HLOOKUP($B243,APR!$G$1:$N$46,46,FALSE)</f>
        <v>0</v>
      </c>
      <c r="N242" s="1589"/>
      <c r="O242" s="1590"/>
      <c r="P242" s="1588">
        <f>HLOOKUP($B243,MAG!$G$1:$N$46,46,FALSE)</f>
        <v>0</v>
      </c>
      <c r="Q242" s="1589"/>
      <c r="R242" s="1590"/>
      <c r="S242" s="1588">
        <f>HLOOKUP($B243,GIU!$G$1:$N$46,46,FALSE)</f>
        <v>0</v>
      </c>
      <c r="T242" s="1589"/>
      <c r="U242" s="1590"/>
      <c r="V242" s="1588">
        <f>HLOOKUP($B243,LUG!$G$1:$N$46,46,FALSE)</f>
        <v>0</v>
      </c>
      <c r="W242" s="1589"/>
      <c r="X242" s="1590"/>
      <c r="Y242" s="1588">
        <f>HLOOKUP($B243,AGO!$G$1:$N$46,46,FALSE)</f>
        <v>0</v>
      </c>
      <c r="Z242" s="1589"/>
      <c r="AA242" s="1590"/>
      <c r="AB242" s="1588">
        <f>HLOOKUP($B243,SET!$G$1:$N$46,46,FALSE)</f>
        <v>0</v>
      </c>
      <c r="AC242" s="1589"/>
      <c r="AD242" s="1590"/>
      <c r="AE242" s="1588">
        <f>HLOOKUP($B243,OTT!$G$1:$N$46,46,FALSE)</f>
        <v>0</v>
      </c>
      <c r="AF242" s="1589"/>
      <c r="AG242" s="1590"/>
      <c r="AH242" s="1588">
        <f>HLOOKUP($B243,NOV!$G$1:$N$46,46,FALSE)</f>
        <v>0</v>
      </c>
      <c r="AI242" s="1589"/>
      <c r="AJ242" s="1590"/>
      <c r="AK242" s="1588">
        <f>HLOOKUP($B243,DIC!$G$1:$N$46,46,FALSE)</f>
        <v>0</v>
      </c>
      <c r="AL242" s="1589"/>
      <c r="AM242" s="1590"/>
      <c r="AN242" s="1718"/>
      <c r="AO242" s="1708"/>
      <c r="AP242" s="1708"/>
      <c r="AQ242" s="48"/>
      <c r="AR242" s="481"/>
      <c r="AS242" s="481"/>
      <c r="AT242" s="481"/>
      <c r="AU242" s="481"/>
      <c r="AV242" s="481"/>
      <c r="AW242" s="481"/>
      <c r="AX242" s="481"/>
      <c r="AY242" s="481"/>
      <c r="AZ242" s="481"/>
      <c r="BA242" s="481"/>
      <c r="BB242" s="481"/>
      <c r="BC242" s="481"/>
      <c r="BD242" s="481"/>
      <c r="BE242" s="481"/>
      <c r="BF242" s="481"/>
      <c r="BG242" s="481"/>
      <c r="BH242" s="481"/>
      <c r="BI242" s="481"/>
      <c r="BJ242" s="481"/>
      <c r="BK242" s="481"/>
      <c r="BL242" s="481"/>
      <c r="BM242" s="481"/>
      <c r="BN242" s="481"/>
      <c r="BO242" s="481"/>
      <c r="BP242" s="481"/>
      <c r="BQ242" s="481"/>
      <c r="BR242" s="481"/>
      <c r="BS242" s="481"/>
      <c r="BT242" s="481"/>
      <c r="BU242" s="481"/>
      <c r="BV242" s="481"/>
      <c r="BW242" s="481"/>
      <c r="BX242" s="481"/>
      <c r="BY242" s="481"/>
      <c r="BZ242" s="481"/>
      <c r="CA242" s="481"/>
      <c r="CB242" s="481"/>
      <c r="CC242" s="481"/>
      <c r="CD242" s="481"/>
      <c r="CE242" s="481"/>
      <c r="CF242" s="481"/>
      <c r="CG242" s="481"/>
      <c r="CH242" s="481"/>
      <c r="CI242" s="481"/>
      <c r="CJ242" s="481"/>
      <c r="CK242" s="481"/>
      <c r="CL242" s="481"/>
      <c r="CM242" s="481"/>
      <c r="CN242" s="481"/>
      <c r="CO242" s="481"/>
      <c r="CP242" s="481"/>
      <c r="CQ242" s="481"/>
      <c r="CR242" s="481"/>
      <c r="CS242" s="481"/>
      <c r="CT242" s="481"/>
      <c r="CU242" s="481"/>
      <c r="CV242" s="481"/>
      <c r="CW242" s="481"/>
      <c r="CX242" s="481"/>
      <c r="CY242" s="481"/>
      <c r="CZ242" s="481"/>
      <c r="DA242" s="481"/>
    </row>
    <row r="243" spans="1:105" ht="18" hidden="1" customHeight="1" x14ac:dyDescent="0.2">
      <c r="B243" s="1622" t="str">
        <f>CONCATENATE(AD20,"-",AD21,"-",AD22)</f>
        <v>--</v>
      </c>
      <c r="C243" s="1623"/>
      <c r="D243" s="1588">
        <f>HLOOKUP($B243,GEN!$G$1:$N$46,46,FALSE)</f>
        <v>1000</v>
      </c>
      <c r="E243" s="1589"/>
      <c r="F243" s="1590"/>
      <c r="G243" s="1588">
        <f>HLOOKUP($B243,FEB!$G$1:$N$46,46,FALSE)</f>
        <v>0</v>
      </c>
      <c r="H243" s="1589"/>
      <c r="I243" s="1590"/>
      <c r="J243" s="1588">
        <f>HLOOKUP($B243,MAR!$G$1:$N$46,46,FALSE)</f>
        <v>0</v>
      </c>
      <c r="K243" s="1589"/>
      <c r="L243" s="1590"/>
      <c r="M243" s="1588">
        <f>HLOOKUP($B243,APR!$G$1:$N$46,46,FALSE)</f>
        <v>0</v>
      </c>
      <c r="N243" s="1589"/>
      <c r="O243" s="1590"/>
      <c r="P243" s="1588">
        <f>HLOOKUP($B243,MAG!$G$1:$N$46,46,FALSE)</f>
        <v>0</v>
      </c>
      <c r="Q243" s="1589"/>
      <c r="R243" s="1590"/>
      <c r="S243" s="1588">
        <f>HLOOKUP($B243,GIU!$G$1:$N$46,46,FALSE)</f>
        <v>0</v>
      </c>
      <c r="T243" s="1589"/>
      <c r="U243" s="1590"/>
      <c r="V243" s="1588">
        <f>HLOOKUP($B243,LUG!$G$1:$N$46,46,FALSE)</f>
        <v>0</v>
      </c>
      <c r="W243" s="1589"/>
      <c r="X243" s="1590"/>
      <c r="Y243" s="1588">
        <f>HLOOKUP($B243,AGO!$G$1:$N$46,46,FALSE)</f>
        <v>0</v>
      </c>
      <c r="Z243" s="1589"/>
      <c r="AA243" s="1590"/>
      <c r="AB243" s="1588">
        <f>HLOOKUP($B243,SET!$G$1:$N$46,46,FALSE)</f>
        <v>0</v>
      </c>
      <c r="AC243" s="1589"/>
      <c r="AD243" s="1590"/>
      <c r="AE243" s="1588">
        <f>HLOOKUP($B243,OTT!$G$1:$N$46,46,FALSE)</f>
        <v>0</v>
      </c>
      <c r="AF243" s="1589"/>
      <c r="AG243" s="1590"/>
      <c r="AH243" s="1588">
        <f>HLOOKUP($B243,NOV!$G$1:$N$46,46,FALSE)</f>
        <v>0</v>
      </c>
      <c r="AI243" s="1589"/>
      <c r="AJ243" s="1590"/>
      <c r="AK243" s="1588">
        <f>HLOOKUP($B243,DIC!$G$1:$N$46,46,FALSE)</f>
        <v>0</v>
      </c>
      <c r="AL243" s="1589"/>
      <c r="AM243" s="1590"/>
      <c r="AN243" s="1718" t="str">
        <f>AN240</f>
        <v>LORDO</v>
      </c>
      <c r="AO243" s="1708"/>
      <c r="AP243" s="1708"/>
      <c r="AQ243" s="48"/>
      <c r="AR243" s="481"/>
      <c r="AS243" s="481"/>
      <c r="AT243" s="481"/>
      <c r="AU243" s="481"/>
      <c r="AV243" s="481"/>
      <c r="AW243" s="481"/>
      <c r="AX243" s="481"/>
      <c r="AY243" s="481"/>
      <c r="AZ243" s="481"/>
      <c r="BA243" s="481"/>
      <c r="BB243" s="481"/>
      <c r="BC243" s="481"/>
      <c r="BD243" s="481"/>
      <c r="BE243" s="481"/>
      <c r="BF243" s="481"/>
      <c r="BG243" s="481"/>
      <c r="BH243" s="481"/>
      <c r="BI243" s="481"/>
      <c r="BJ243" s="481"/>
      <c r="BK243" s="481"/>
      <c r="BL243" s="481"/>
      <c r="BM243" s="481"/>
      <c r="BN243" s="481"/>
      <c r="BO243" s="481"/>
      <c r="BP243" s="481"/>
      <c r="BQ243" s="481"/>
      <c r="BR243" s="481"/>
      <c r="BS243" s="481"/>
      <c r="BT243" s="481"/>
      <c r="BU243" s="481"/>
      <c r="BV243" s="481"/>
      <c r="BW243" s="481"/>
      <c r="BX243" s="481"/>
      <c r="BY243" s="481"/>
      <c r="BZ243" s="481"/>
      <c r="CA243" s="481"/>
      <c r="CB243" s="481"/>
      <c r="CC243" s="481"/>
      <c r="CD243" s="481"/>
      <c r="CE243" s="481"/>
      <c r="CF243" s="481"/>
      <c r="CG243" s="481"/>
      <c r="CH243" s="481"/>
      <c r="CI243" s="481"/>
      <c r="CJ243" s="481"/>
      <c r="CK243" s="481"/>
      <c r="CL243" s="481"/>
      <c r="CM243" s="481"/>
      <c r="CN243" s="481"/>
      <c r="CO243" s="481"/>
      <c r="CP243" s="481"/>
      <c r="CQ243" s="481"/>
      <c r="CR243" s="481"/>
      <c r="CS243" s="481"/>
      <c r="CT243" s="481"/>
      <c r="CU243" s="481"/>
      <c r="CV243" s="481"/>
      <c r="CW243" s="481"/>
      <c r="CX243" s="481"/>
      <c r="CY243" s="481"/>
      <c r="CZ243" s="481"/>
      <c r="DA243" s="481"/>
    </row>
    <row r="244" spans="1:105" ht="18" hidden="1" customHeight="1" x14ac:dyDescent="0.2">
      <c r="A244" s="186"/>
      <c r="B244" s="1865"/>
      <c r="C244" s="1865"/>
      <c r="D244" s="1976">
        <v>1</v>
      </c>
      <c r="E244" s="1722"/>
      <c r="F244" s="1722"/>
      <c r="G244" s="1722">
        <v>2</v>
      </c>
      <c r="H244" s="1722"/>
      <c r="I244" s="1722"/>
      <c r="J244" s="1722">
        <v>3</v>
      </c>
      <c r="K244" s="1722"/>
      <c r="L244" s="1722"/>
      <c r="M244" s="1722">
        <v>4</v>
      </c>
      <c r="N244" s="1722"/>
      <c r="O244" s="1722"/>
      <c r="P244" s="1722">
        <v>5</v>
      </c>
      <c r="Q244" s="1722"/>
      <c r="R244" s="1722"/>
      <c r="S244" s="1722">
        <v>6</v>
      </c>
      <c r="T244" s="1722"/>
      <c r="U244" s="1722"/>
      <c r="V244" s="1722">
        <v>7</v>
      </c>
      <c r="W244" s="1722"/>
      <c r="X244" s="1722"/>
      <c r="Y244" s="1722">
        <v>8</v>
      </c>
      <c r="Z244" s="1722"/>
      <c r="AA244" s="1722"/>
      <c r="AB244" s="1722">
        <v>9</v>
      </c>
      <c r="AC244" s="1722"/>
      <c r="AD244" s="1722"/>
      <c r="AE244" s="1722">
        <v>10</v>
      </c>
      <c r="AF244" s="1722"/>
      <c r="AG244" s="1722"/>
      <c r="AH244" s="1722">
        <v>11</v>
      </c>
      <c r="AI244" s="1722"/>
      <c r="AJ244" s="1722"/>
      <c r="AK244" s="1722">
        <v>12</v>
      </c>
      <c r="AL244" s="1722"/>
      <c r="AM244" s="2011"/>
      <c r="AN244" s="48"/>
      <c r="AO244" s="48"/>
      <c r="AP244" s="48"/>
      <c r="AQ244" s="48"/>
      <c r="AR244" s="481"/>
      <c r="AS244" s="481"/>
      <c r="AT244" s="481"/>
      <c r="AU244" s="481"/>
      <c r="AV244" s="481"/>
      <c r="AW244" s="481"/>
      <c r="AX244" s="481"/>
      <c r="AY244" s="481"/>
      <c r="AZ244" s="481"/>
      <c r="BA244" s="481"/>
      <c r="BB244" s="481"/>
      <c r="BC244" s="481"/>
      <c r="BD244" s="481"/>
      <c r="BE244" s="481"/>
      <c r="BF244" s="481"/>
      <c r="BG244" s="481"/>
      <c r="BH244" s="481"/>
      <c r="BI244" s="481"/>
      <c r="BJ244" s="481"/>
      <c r="BK244" s="481"/>
      <c r="BL244" s="481"/>
      <c r="BM244" s="481"/>
      <c r="BN244" s="481"/>
      <c r="BO244" s="481"/>
      <c r="BP244" s="481"/>
      <c r="BQ244" s="481"/>
      <c r="BR244" s="481"/>
      <c r="BS244" s="481"/>
      <c r="BT244" s="481"/>
      <c r="BU244" s="481"/>
      <c r="BV244" s="481"/>
      <c r="BW244" s="481"/>
      <c r="BX244" s="481"/>
      <c r="BY244" s="481"/>
      <c r="BZ244" s="481"/>
      <c r="CA244" s="481"/>
      <c r="CB244" s="481"/>
      <c r="CC244" s="481"/>
      <c r="CD244" s="481"/>
      <c r="CE244" s="481"/>
      <c r="CF244" s="481"/>
      <c r="CG244" s="481"/>
      <c r="CH244" s="481"/>
      <c r="CI244" s="481"/>
      <c r="CJ244" s="481"/>
      <c r="CK244" s="481"/>
      <c r="CL244" s="481"/>
      <c r="CM244" s="481"/>
      <c r="CN244" s="481"/>
      <c r="CO244" s="481"/>
      <c r="CP244" s="481"/>
      <c r="CQ244" s="481"/>
      <c r="CR244" s="481"/>
      <c r="CS244" s="481"/>
      <c r="CT244" s="481"/>
      <c r="CU244" s="481"/>
      <c r="CV244" s="481"/>
      <c r="CW244" s="481"/>
      <c r="CX244" s="481"/>
      <c r="CY244" s="481"/>
      <c r="CZ244" s="481"/>
      <c r="DA244" s="481"/>
    </row>
    <row r="245" spans="1:105" ht="18" hidden="1" customHeight="1" x14ac:dyDescent="0.2">
      <c r="A245" s="186"/>
      <c r="B245" s="1954" t="str">
        <f>H184</f>
        <v>I</v>
      </c>
      <c r="C245" s="1955"/>
      <c r="D245" s="1962">
        <v>0</v>
      </c>
      <c r="E245" s="1963"/>
      <c r="F245" s="1964"/>
      <c r="G245" s="1719" t="e">
        <f>G246</f>
        <v>#N/A</v>
      </c>
      <c r="H245" s="1720"/>
      <c r="I245" s="1721"/>
      <c r="J245" s="1719" t="e">
        <f>J246</f>
        <v>#N/A</v>
      </c>
      <c r="K245" s="1720"/>
      <c r="L245" s="1721"/>
      <c r="M245" s="1719" t="e">
        <f>M246</f>
        <v>#N/A</v>
      </c>
      <c r="N245" s="1720"/>
      <c r="O245" s="1721"/>
      <c r="P245" s="1719" t="e">
        <f>P246</f>
        <v>#N/A</v>
      </c>
      <c r="Q245" s="1720"/>
      <c r="R245" s="1721"/>
      <c r="S245" s="1719" t="e">
        <f>S246</f>
        <v>#N/A</v>
      </c>
      <c r="T245" s="1720"/>
      <c r="U245" s="1721"/>
      <c r="V245" s="1719" t="e">
        <f>V246</f>
        <v>#N/A</v>
      </c>
      <c r="W245" s="1720"/>
      <c r="X245" s="1721"/>
      <c r="Y245" s="1719" t="e">
        <f>Y246</f>
        <v>#N/A</v>
      </c>
      <c r="Z245" s="1720"/>
      <c r="AA245" s="1721"/>
      <c r="AB245" s="1719" t="e">
        <f>AB246</f>
        <v>#N/A</v>
      </c>
      <c r="AC245" s="1720"/>
      <c r="AD245" s="1721"/>
      <c r="AE245" s="1719" t="e">
        <f>AE246</f>
        <v>#N/A</v>
      </c>
      <c r="AF245" s="1720"/>
      <c r="AG245" s="1721"/>
      <c r="AH245" s="1719" t="e">
        <f>AH246</f>
        <v>#N/A</v>
      </c>
      <c r="AI245" s="1720"/>
      <c r="AJ245" s="1721"/>
      <c r="AK245" s="1719" t="e">
        <f>AK246</f>
        <v>#N/A</v>
      </c>
      <c r="AL245" s="1720"/>
      <c r="AM245" s="1968"/>
      <c r="AN245" s="1707"/>
      <c r="AO245" s="1708"/>
      <c r="AP245" s="1708"/>
      <c r="AQ245" s="48"/>
      <c r="AR245" s="481"/>
      <c r="AS245" s="481"/>
      <c r="AT245" s="481"/>
      <c r="AU245" s="481"/>
      <c r="AV245" s="481"/>
      <c r="AW245" s="481"/>
      <c r="AX245" s="481"/>
      <c r="AY245" s="481"/>
      <c r="AZ245" s="481"/>
      <c r="BA245" s="481"/>
      <c r="BB245" s="481"/>
      <c r="BC245" s="481"/>
      <c r="BD245" s="481"/>
      <c r="BE245" s="481"/>
      <c r="BF245" s="481"/>
      <c r="BG245" s="481"/>
      <c r="BH245" s="481"/>
      <c r="BI245" s="481"/>
      <c r="BJ245" s="481"/>
      <c r="BK245" s="481"/>
      <c r="BL245" s="481"/>
      <c r="BM245" s="481"/>
      <c r="BN245" s="481"/>
      <c r="BO245" s="481"/>
      <c r="BP245" s="481"/>
      <c r="BQ245" s="481"/>
      <c r="BR245" s="481"/>
      <c r="BS245" s="481"/>
      <c r="BT245" s="481"/>
      <c r="BU245" s="481"/>
      <c r="BV245" s="481"/>
      <c r="BW245" s="481"/>
      <c r="BX245" s="481"/>
      <c r="BY245" s="481"/>
      <c r="BZ245" s="481"/>
      <c r="CA245" s="481"/>
      <c r="CB245" s="481"/>
      <c r="CC245" s="481"/>
      <c r="CD245" s="481"/>
      <c r="CE245" s="481"/>
      <c r="CF245" s="481"/>
      <c r="CG245" s="481"/>
      <c r="CH245" s="481"/>
      <c r="CI245" s="481"/>
      <c r="CJ245" s="481"/>
      <c r="CK245" s="481"/>
      <c r="CL245" s="481"/>
      <c r="CM245" s="481"/>
      <c r="CN245" s="481"/>
      <c r="CO245" s="481"/>
      <c r="CP245" s="481"/>
      <c r="CQ245" s="481"/>
      <c r="CR245" s="481"/>
      <c r="CS245" s="481"/>
      <c r="CT245" s="481"/>
      <c r="CU245" s="481"/>
      <c r="CV245" s="481"/>
      <c r="CW245" s="481"/>
      <c r="CX245" s="481"/>
      <c r="CY245" s="481"/>
      <c r="CZ245" s="481"/>
      <c r="DA245" s="481"/>
    </row>
    <row r="246" spans="1:105" ht="18" hidden="1" customHeight="1" x14ac:dyDescent="0.2">
      <c r="A246" s="48"/>
      <c r="B246" s="1952" t="str">
        <f>IF(J94="","",CONCATENATE(T96,"-",T97,"-",T98))</f>
        <v/>
      </c>
      <c r="C246" s="1953"/>
      <c r="D246" s="1965" t="e">
        <f>HLOOKUP($B246,GEN!$G$1:$N$46,46,FALSE)*D247</f>
        <v>#N/A</v>
      </c>
      <c r="E246" s="1966"/>
      <c r="F246" s="1967"/>
      <c r="G246" s="1588" t="e">
        <f>HLOOKUP($B246,FEB!$G$1:$N$46,46,FALSE)*G247</f>
        <v>#N/A</v>
      </c>
      <c r="H246" s="1589"/>
      <c r="I246" s="1590"/>
      <c r="J246" s="1588" t="e">
        <f>HLOOKUP($B246,MAR!$G$1:$N$46,46,FALSE)*J247</f>
        <v>#N/A</v>
      </c>
      <c r="K246" s="1589"/>
      <c r="L246" s="1590"/>
      <c r="M246" s="1588" t="e">
        <f>HLOOKUP($B246,APR!$G$1:$N$46,46,FALSE)*M247</f>
        <v>#N/A</v>
      </c>
      <c r="N246" s="1589"/>
      <c r="O246" s="1590"/>
      <c r="P246" s="1588" t="e">
        <f>HLOOKUP($B246,MAG!$G$1:$N$46,46,FALSE)*P247</f>
        <v>#N/A</v>
      </c>
      <c r="Q246" s="1589"/>
      <c r="R246" s="1590"/>
      <c r="S246" s="1588" t="e">
        <f>HLOOKUP($B246,GIU!$G$1:$N$46,46,FALSE)*S247</f>
        <v>#N/A</v>
      </c>
      <c r="T246" s="1589"/>
      <c r="U246" s="1590"/>
      <c r="V246" s="1588" t="e">
        <f>HLOOKUP($B246,LUG!$G$1:$N$46,46,FALSE)*V247</f>
        <v>#N/A</v>
      </c>
      <c r="W246" s="1589"/>
      <c r="X246" s="1590"/>
      <c r="Y246" s="1588" t="e">
        <f>HLOOKUP($B246,AGO!$G$1:$N$46,46,FALSE)*Y247</f>
        <v>#N/A</v>
      </c>
      <c r="Z246" s="1589"/>
      <c r="AA246" s="1590"/>
      <c r="AB246" s="1588" t="e">
        <f>HLOOKUP($B246,SET!$G$1:$N$46,46,FALSE)*AB247</f>
        <v>#N/A</v>
      </c>
      <c r="AC246" s="1589"/>
      <c r="AD246" s="1590"/>
      <c r="AE246" s="1588" t="e">
        <f>HLOOKUP($B246,OTT!$G$1:$N$46,46,FALSE)*AE247</f>
        <v>#N/A</v>
      </c>
      <c r="AF246" s="1589"/>
      <c r="AG246" s="1590"/>
      <c r="AH246" s="1588" t="e">
        <f>HLOOKUP($B246,NOV!$G$1:$N$46,46,FALSE)*AH247</f>
        <v>#N/A</v>
      </c>
      <c r="AI246" s="1589"/>
      <c r="AJ246" s="1590"/>
      <c r="AK246" s="1588" t="e">
        <f>HLOOKUP($B246,DIC!$G$1:$N$46,46,FALSE)*AK247</f>
        <v>#N/A</v>
      </c>
      <c r="AL246" s="1589"/>
      <c r="AM246" s="1709"/>
      <c r="AN246" s="1707" t="str">
        <f>AN243</f>
        <v>LORDO</v>
      </c>
      <c r="AO246" s="1708"/>
      <c r="AP246" s="1708"/>
      <c r="AQ246" s="48"/>
      <c r="AR246" s="481"/>
      <c r="AS246" s="481"/>
      <c r="AT246" s="481"/>
      <c r="AU246" s="481"/>
      <c r="AV246" s="481"/>
      <c r="AW246" s="481"/>
      <c r="AX246" s="481"/>
      <c r="AY246" s="481"/>
      <c r="AZ246" s="481"/>
      <c r="BA246" s="481"/>
      <c r="BB246" s="481"/>
      <c r="BC246" s="481"/>
      <c r="BD246" s="481"/>
      <c r="BE246" s="481"/>
      <c r="BF246" s="481"/>
      <c r="BG246" s="481"/>
      <c r="BH246" s="481"/>
      <c r="BI246" s="481"/>
      <c r="BJ246" s="481"/>
      <c r="BK246" s="481"/>
      <c r="BL246" s="481"/>
      <c r="BM246" s="481"/>
      <c r="BN246" s="481"/>
      <c r="BO246" s="481"/>
      <c r="BP246" s="481"/>
      <c r="BQ246" s="481"/>
      <c r="BR246" s="481"/>
      <c r="BS246" s="481"/>
      <c r="BT246" s="481"/>
      <c r="BU246" s="481"/>
      <c r="BV246" s="481"/>
      <c r="BW246" s="481"/>
      <c r="BX246" s="481"/>
      <c r="BY246" s="481"/>
      <c r="BZ246" s="481"/>
      <c r="CA246" s="481"/>
      <c r="CB246" s="481"/>
      <c r="CC246" s="481"/>
      <c r="CD246" s="481"/>
      <c r="CE246" s="481"/>
      <c r="CF246" s="481"/>
      <c r="CG246" s="481"/>
      <c r="CH246" s="481"/>
      <c r="CI246" s="481"/>
      <c r="CJ246" s="481"/>
      <c r="CK246" s="481"/>
      <c r="CL246" s="481"/>
      <c r="CM246" s="481"/>
      <c r="CN246" s="481"/>
      <c r="CO246" s="481"/>
      <c r="CP246" s="481"/>
      <c r="CQ246" s="481"/>
      <c r="CR246" s="481"/>
      <c r="CS246" s="481"/>
      <c r="CT246" s="481"/>
      <c r="CU246" s="481"/>
      <c r="CV246" s="481"/>
      <c r="CW246" s="481"/>
      <c r="CX246" s="481"/>
      <c r="CY246" s="481"/>
      <c r="CZ246" s="481"/>
      <c r="DA246" s="481"/>
    </row>
    <row r="247" spans="1:105" ht="18" hidden="1" customHeight="1" x14ac:dyDescent="0.2">
      <c r="A247" s="48"/>
      <c r="B247" s="1865"/>
      <c r="C247" s="1865"/>
      <c r="D247" s="1961" t="e">
        <f>IF(AND(D$244&gt;=$Z99,D$244&lt;=$AD99),1,0)</f>
        <v>#N/A</v>
      </c>
      <c r="E247" s="1713"/>
      <c r="F247" s="1713"/>
      <c r="G247" s="1713" t="e">
        <f>IF(AND(G$244&gt;=$Z99,G$244&lt;=$AD99),1,0)</f>
        <v>#N/A</v>
      </c>
      <c r="H247" s="1713"/>
      <c r="I247" s="1713"/>
      <c r="J247" s="1713" t="e">
        <f>IF(AND(J$244&gt;=$Z99,J$244&lt;=$AD99),1,0)</f>
        <v>#N/A</v>
      </c>
      <c r="K247" s="1713"/>
      <c r="L247" s="1713"/>
      <c r="M247" s="1713" t="e">
        <f>IF(AND(M$244&gt;=$Z99,M$244&lt;=$AD99),1,0)</f>
        <v>#N/A</v>
      </c>
      <c r="N247" s="1713"/>
      <c r="O247" s="1713"/>
      <c r="P247" s="1713" t="e">
        <f>IF(AND(P$244&gt;=$Z99,P$244&lt;=$AD99),1,0)</f>
        <v>#N/A</v>
      </c>
      <c r="Q247" s="1713"/>
      <c r="R247" s="1713"/>
      <c r="S247" s="1713" t="e">
        <f>IF(AND(S$244&gt;=$Z99,S$244&lt;=$AD99),1,0)</f>
        <v>#N/A</v>
      </c>
      <c r="T247" s="1713"/>
      <c r="U247" s="1713"/>
      <c r="V247" s="1713" t="e">
        <f>IF(AND(V$244&gt;=$Z99,V$244&lt;=$AD99),1,0)</f>
        <v>#N/A</v>
      </c>
      <c r="W247" s="1713"/>
      <c r="X247" s="1713"/>
      <c r="Y247" s="1713" t="e">
        <f>IF(AND(Y$244&gt;=$Z99,Y$244&lt;=$AD99),1,0)</f>
        <v>#N/A</v>
      </c>
      <c r="Z247" s="1713"/>
      <c r="AA247" s="1713"/>
      <c r="AB247" s="1713" t="e">
        <f>IF(AND(AB$244&gt;=$Z99,AB$244&lt;=$AD99),1,0)</f>
        <v>#N/A</v>
      </c>
      <c r="AC247" s="1713"/>
      <c r="AD247" s="1713"/>
      <c r="AE247" s="1713" t="e">
        <f>IF(AND(AE$244&gt;=$Z99,AE$244&lt;=$AD99),1,0)</f>
        <v>#N/A</v>
      </c>
      <c r="AF247" s="1713"/>
      <c r="AG247" s="1713"/>
      <c r="AH247" s="1713" t="e">
        <f>IF(AND(AH$244&gt;=$Z99,AH$244&lt;=$AD99),1,0)</f>
        <v>#N/A</v>
      </c>
      <c r="AI247" s="1713"/>
      <c r="AJ247" s="1713"/>
      <c r="AK247" s="1713" t="e">
        <f>IF(AND(AK$244&gt;=$Z99,AK$244&lt;=$AD99),1,0)</f>
        <v>#N/A</v>
      </c>
      <c r="AL247" s="1713"/>
      <c r="AM247" s="1969"/>
      <c r="AN247" s="48"/>
      <c r="AO247" s="48"/>
      <c r="AP247" s="48"/>
      <c r="AQ247" s="48"/>
      <c r="AR247" s="481"/>
      <c r="AS247" s="481"/>
      <c r="AT247" s="481"/>
      <c r="AU247" s="481"/>
      <c r="AV247" s="481"/>
      <c r="AW247" s="481"/>
      <c r="AX247" s="481"/>
      <c r="AY247" s="481"/>
      <c r="AZ247" s="481"/>
      <c r="BA247" s="481"/>
      <c r="BB247" s="481"/>
      <c r="BC247" s="481"/>
      <c r="BD247" s="481"/>
      <c r="BE247" s="481"/>
      <c r="BF247" s="481"/>
      <c r="BG247" s="481"/>
      <c r="BH247" s="481"/>
      <c r="BI247" s="481"/>
      <c r="BJ247" s="481"/>
      <c r="BK247" s="481"/>
      <c r="BL247" s="481"/>
      <c r="BM247" s="481"/>
      <c r="BN247" s="481"/>
      <c r="BO247" s="481"/>
      <c r="BP247" s="481"/>
      <c r="BQ247" s="481"/>
      <c r="BR247" s="481"/>
      <c r="BS247" s="481"/>
      <c r="BT247" s="481"/>
      <c r="BU247" s="481"/>
      <c r="BV247" s="481"/>
      <c r="BW247" s="481"/>
      <c r="BX247" s="481"/>
      <c r="BY247" s="481"/>
      <c r="BZ247" s="481"/>
      <c r="CA247" s="481"/>
      <c r="CB247" s="481"/>
      <c r="CC247" s="481"/>
      <c r="CD247" s="481"/>
      <c r="CE247" s="481"/>
      <c r="CF247" s="481"/>
      <c r="CG247" s="481"/>
      <c r="CH247" s="481"/>
      <c r="CI247" s="481"/>
      <c r="CJ247" s="481"/>
      <c r="CK247" s="481"/>
      <c r="CL247" s="481"/>
      <c r="CM247" s="481"/>
      <c r="CN247" s="481"/>
      <c r="CO247" s="481"/>
      <c r="CP247" s="481"/>
      <c r="CQ247" s="481"/>
      <c r="CR247" s="481"/>
      <c r="CS247" s="481"/>
      <c r="CT247" s="481"/>
      <c r="CU247" s="481"/>
      <c r="CV247" s="481"/>
      <c r="CW247" s="481"/>
      <c r="CX247" s="481"/>
      <c r="CY247" s="481"/>
      <c r="CZ247" s="481"/>
      <c r="DA247" s="481"/>
    </row>
    <row r="248" spans="1:105" ht="18" hidden="1" customHeight="1" x14ac:dyDescent="0.2">
      <c r="A248" s="48"/>
      <c r="B248" s="1954" t="str">
        <f>H185</f>
        <v>II</v>
      </c>
      <c r="C248" s="1955"/>
      <c r="D248" s="1962">
        <v>0</v>
      </c>
      <c r="E248" s="1963"/>
      <c r="F248" s="1964"/>
      <c r="G248" s="1719" t="e">
        <f>G249</f>
        <v>#N/A</v>
      </c>
      <c r="H248" s="1720"/>
      <c r="I248" s="1721"/>
      <c r="J248" s="1719" t="e">
        <f>J249</f>
        <v>#N/A</v>
      </c>
      <c r="K248" s="1720"/>
      <c r="L248" s="1721"/>
      <c r="M248" s="1719" t="e">
        <f>M249</f>
        <v>#N/A</v>
      </c>
      <c r="N248" s="1720"/>
      <c r="O248" s="1721"/>
      <c r="P248" s="1719" t="e">
        <f>P249</f>
        <v>#N/A</v>
      </c>
      <c r="Q248" s="1720"/>
      <c r="R248" s="1721"/>
      <c r="S248" s="1719" t="e">
        <f>S249</f>
        <v>#N/A</v>
      </c>
      <c r="T248" s="1720"/>
      <c r="U248" s="1721"/>
      <c r="V248" s="1719" t="e">
        <f>V249</f>
        <v>#N/A</v>
      </c>
      <c r="W248" s="1720"/>
      <c r="X248" s="1721"/>
      <c r="Y248" s="1719" t="e">
        <f>Y249</f>
        <v>#N/A</v>
      </c>
      <c r="Z248" s="1720"/>
      <c r="AA248" s="1721"/>
      <c r="AB248" s="1719" t="e">
        <f>AB249</f>
        <v>#N/A</v>
      </c>
      <c r="AC248" s="1720"/>
      <c r="AD248" s="1721"/>
      <c r="AE248" s="1719" t="e">
        <f>AE249</f>
        <v>#N/A</v>
      </c>
      <c r="AF248" s="1720"/>
      <c r="AG248" s="1721"/>
      <c r="AH248" s="1719" t="e">
        <f>AH249</f>
        <v>#N/A</v>
      </c>
      <c r="AI248" s="1720"/>
      <c r="AJ248" s="1721"/>
      <c r="AK248" s="1719" t="e">
        <f>AK249</f>
        <v>#N/A</v>
      </c>
      <c r="AL248" s="1720"/>
      <c r="AM248" s="1968"/>
      <c r="AN248" s="1707"/>
      <c r="AO248" s="1708"/>
      <c r="AP248" s="1708"/>
      <c r="AQ248" s="48"/>
      <c r="AR248" s="481"/>
      <c r="AS248" s="481"/>
      <c r="AT248" s="481"/>
      <c r="AU248" s="481"/>
      <c r="AV248" s="481"/>
      <c r="AW248" s="481"/>
      <c r="AX248" s="481"/>
      <c r="AY248" s="481"/>
      <c r="AZ248" s="481"/>
      <c r="BA248" s="481"/>
      <c r="BB248" s="481"/>
      <c r="BC248" s="481"/>
      <c r="BD248" s="481"/>
      <c r="BE248" s="481"/>
      <c r="BF248" s="481"/>
      <c r="BG248" s="481"/>
      <c r="BH248" s="481"/>
      <c r="BI248" s="481"/>
      <c r="BJ248" s="481"/>
      <c r="BK248" s="481"/>
      <c r="BL248" s="481"/>
      <c r="BM248" s="481"/>
      <c r="BN248" s="481"/>
      <c r="BO248" s="481"/>
      <c r="BP248" s="481"/>
      <c r="BQ248" s="481"/>
      <c r="BR248" s="481"/>
      <c r="BS248" s="481"/>
      <c r="BT248" s="481"/>
      <c r="BU248" s="481"/>
      <c r="BV248" s="481"/>
      <c r="BW248" s="481"/>
      <c r="BX248" s="481"/>
      <c r="BY248" s="481"/>
      <c r="BZ248" s="481"/>
      <c r="CA248" s="481"/>
      <c r="CB248" s="481"/>
      <c r="CC248" s="481"/>
      <c r="CD248" s="481"/>
      <c r="CE248" s="481"/>
      <c r="CF248" s="481"/>
      <c r="CG248" s="481"/>
      <c r="CH248" s="481"/>
      <c r="CI248" s="481"/>
      <c r="CJ248" s="481"/>
      <c r="CK248" s="481"/>
      <c r="CL248" s="481"/>
      <c r="CM248" s="481"/>
      <c r="CN248" s="481"/>
      <c r="CO248" s="481"/>
      <c r="CP248" s="481"/>
      <c r="CQ248" s="481"/>
      <c r="CR248" s="481"/>
      <c r="CS248" s="481"/>
      <c r="CT248" s="481"/>
      <c r="CU248" s="481"/>
      <c r="CV248" s="481"/>
      <c r="CW248" s="481"/>
      <c r="CX248" s="481"/>
      <c r="CY248" s="481"/>
      <c r="CZ248" s="481"/>
      <c r="DA248" s="481"/>
    </row>
    <row r="249" spans="1:105" ht="18" hidden="1" customHeight="1" x14ac:dyDescent="0.2">
      <c r="A249" s="48"/>
      <c r="B249" s="1952" t="str">
        <f>IF(J102="","",CONCATENATE(T104,"-",T105,"-",T106))</f>
        <v/>
      </c>
      <c r="C249" s="1953"/>
      <c r="D249" s="1965" t="e">
        <f>HLOOKUP($B249,GEN!$G$1:$N$46,46,FALSE)*D250</f>
        <v>#N/A</v>
      </c>
      <c r="E249" s="1966"/>
      <c r="F249" s="1967"/>
      <c r="G249" s="1588" t="e">
        <f>HLOOKUP($B249,FEB!$G$1:$N$46,46,FALSE)*G250</f>
        <v>#N/A</v>
      </c>
      <c r="H249" s="1589"/>
      <c r="I249" s="1590"/>
      <c r="J249" s="1588" t="e">
        <f>HLOOKUP($B249,MAR!$G$1:$N$46,46,FALSE)*J250</f>
        <v>#N/A</v>
      </c>
      <c r="K249" s="1589"/>
      <c r="L249" s="1590"/>
      <c r="M249" s="1588" t="e">
        <f>HLOOKUP($B249,APR!$G$1:$N$46,46,FALSE)*M250</f>
        <v>#N/A</v>
      </c>
      <c r="N249" s="1589"/>
      <c r="O249" s="1590"/>
      <c r="P249" s="1588" t="e">
        <f>HLOOKUP($B249,MAG!$G$1:$N$46,46,FALSE)*P250</f>
        <v>#N/A</v>
      </c>
      <c r="Q249" s="1589"/>
      <c r="R249" s="1590"/>
      <c r="S249" s="1588" t="e">
        <f>HLOOKUP($B249,GIU!$G$1:$N$46,46,FALSE)*S250</f>
        <v>#N/A</v>
      </c>
      <c r="T249" s="1589"/>
      <c r="U249" s="1590"/>
      <c r="V249" s="1588" t="e">
        <f>HLOOKUP($B249,LUG!$G$1:$N$46,46,FALSE)*V250</f>
        <v>#N/A</v>
      </c>
      <c r="W249" s="1589"/>
      <c r="X249" s="1590"/>
      <c r="Y249" s="1588" t="e">
        <f>HLOOKUP($B249,AGO!$G$1:$N$46,46,FALSE)*Y250</f>
        <v>#N/A</v>
      </c>
      <c r="Z249" s="1589"/>
      <c r="AA249" s="1590"/>
      <c r="AB249" s="1588" t="e">
        <f>HLOOKUP($B249,SET!$G$1:$N$46,46,FALSE)*AB250</f>
        <v>#N/A</v>
      </c>
      <c r="AC249" s="1589"/>
      <c r="AD249" s="1590"/>
      <c r="AE249" s="1588" t="e">
        <f>HLOOKUP($B249,OTT!$G$1:$N$46,46,FALSE)*AE250</f>
        <v>#N/A</v>
      </c>
      <c r="AF249" s="1589"/>
      <c r="AG249" s="1590"/>
      <c r="AH249" s="1588" t="e">
        <f>HLOOKUP($B249,NOV!$G$1:$N$46,46,FALSE)*AH250</f>
        <v>#N/A</v>
      </c>
      <c r="AI249" s="1589"/>
      <c r="AJ249" s="1590"/>
      <c r="AK249" s="1588" t="e">
        <f>HLOOKUP($B249,DIC!$G$1:$N$46,46,FALSE)*AK250</f>
        <v>#N/A</v>
      </c>
      <c r="AL249" s="1589"/>
      <c r="AM249" s="1709"/>
      <c r="AN249" s="1707" t="str">
        <f>AN246</f>
        <v>LORDO</v>
      </c>
      <c r="AO249" s="1708"/>
      <c r="AP249" s="1708"/>
      <c r="AQ249" s="48"/>
      <c r="AR249" s="481"/>
      <c r="AS249" s="481"/>
      <c r="AT249" s="481"/>
      <c r="AU249" s="481"/>
      <c r="AV249" s="481"/>
      <c r="AW249" s="481"/>
      <c r="AX249" s="481"/>
      <c r="AY249" s="481"/>
      <c r="AZ249" s="481"/>
      <c r="BA249" s="481"/>
      <c r="BB249" s="481"/>
      <c r="BC249" s="481"/>
      <c r="BD249" s="481"/>
      <c r="BE249" s="481"/>
      <c r="BF249" s="481"/>
      <c r="BG249" s="481"/>
      <c r="BH249" s="481"/>
      <c r="BI249" s="481"/>
      <c r="BJ249" s="481"/>
      <c r="BK249" s="481"/>
      <c r="BL249" s="481"/>
      <c r="BM249" s="481"/>
      <c r="BN249" s="481"/>
      <c r="BO249" s="481"/>
      <c r="BP249" s="481"/>
      <c r="BQ249" s="481"/>
      <c r="BR249" s="481"/>
      <c r="BS249" s="481"/>
      <c r="BT249" s="481"/>
      <c r="BU249" s="481"/>
      <c r="BV249" s="481"/>
      <c r="BW249" s="481"/>
      <c r="BX249" s="481"/>
      <c r="BY249" s="481"/>
      <c r="BZ249" s="481"/>
      <c r="CA249" s="481"/>
      <c r="CB249" s="481"/>
      <c r="CC249" s="481"/>
      <c r="CD249" s="481"/>
      <c r="CE249" s="481"/>
      <c r="CF249" s="481"/>
      <c r="CG249" s="481"/>
      <c r="CH249" s="481"/>
      <c r="CI249" s="481"/>
      <c r="CJ249" s="481"/>
      <c r="CK249" s="481"/>
      <c r="CL249" s="481"/>
      <c r="CM249" s="481"/>
      <c r="CN249" s="481"/>
      <c r="CO249" s="481"/>
      <c r="CP249" s="481"/>
      <c r="CQ249" s="481"/>
      <c r="CR249" s="481"/>
      <c r="CS249" s="481"/>
      <c r="CT249" s="481"/>
      <c r="CU249" s="481"/>
      <c r="CV249" s="481"/>
      <c r="CW249" s="481"/>
      <c r="CX249" s="481"/>
      <c r="CY249" s="481"/>
      <c r="CZ249" s="481"/>
      <c r="DA249" s="481"/>
    </row>
    <row r="250" spans="1:105" ht="18" hidden="1" customHeight="1" x14ac:dyDescent="0.2">
      <c r="A250" s="48"/>
      <c r="B250" s="1865"/>
      <c r="C250" s="1865"/>
      <c r="D250" s="1961" t="e">
        <f>IF(AND(D$244&gt;=$Z107,D$244&lt;=$AD107),1,0)</f>
        <v>#N/A</v>
      </c>
      <c r="E250" s="1713"/>
      <c r="F250" s="1713"/>
      <c r="G250" s="1713" t="e">
        <f>IF(AND(G$244&gt;=$Z107,G$244&lt;=$AD107),1,0)</f>
        <v>#N/A</v>
      </c>
      <c r="H250" s="1713"/>
      <c r="I250" s="1713"/>
      <c r="J250" s="1713" t="e">
        <f>IF(AND(J$244&gt;=$Z107,J$244&lt;=$AD107),1,0)</f>
        <v>#N/A</v>
      </c>
      <c r="K250" s="1713"/>
      <c r="L250" s="1713"/>
      <c r="M250" s="1713" t="e">
        <f>IF(AND(M$244&gt;=$Z107,M$244&lt;=$AD107),1,0)</f>
        <v>#N/A</v>
      </c>
      <c r="N250" s="1713"/>
      <c r="O250" s="1713"/>
      <c r="P250" s="1713" t="e">
        <f>IF(AND(P$244&gt;=$Z107,P$244&lt;=$AD107),1,0)</f>
        <v>#N/A</v>
      </c>
      <c r="Q250" s="1713"/>
      <c r="R250" s="1713"/>
      <c r="S250" s="1713" t="e">
        <f>IF(AND(S$244&gt;=$Z107,S$244&lt;=$AD107),1,0)</f>
        <v>#N/A</v>
      </c>
      <c r="T250" s="1713"/>
      <c r="U250" s="1713"/>
      <c r="V250" s="1713" t="e">
        <f>IF(AND(V$244&gt;=$Z107,V$244&lt;=$AD107),1,0)</f>
        <v>#N/A</v>
      </c>
      <c r="W250" s="1713"/>
      <c r="X250" s="1713"/>
      <c r="Y250" s="1713" t="e">
        <f>IF(AND(Y$244&gt;=$Z107,Y$244&lt;=$AD107),1,0)</f>
        <v>#N/A</v>
      </c>
      <c r="Z250" s="1713"/>
      <c r="AA250" s="1713"/>
      <c r="AB250" s="1713" t="e">
        <f>IF(AND(AB$244&gt;=$Z107,AB$244&lt;=$AD107),1,0)</f>
        <v>#N/A</v>
      </c>
      <c r="AC250" s="1713"/>
      <c r="AD250" s="1713"/>
      <c r="AE250" s="1713" t="e">
        <f>IF(AND(AE$244&gt;=$Z107,AE$244&lt;=$AD107),1,0)</f>
        <v>#N/A</v>
      </c>
      <c r="AF250" s="1713"/>
      <c r="AG250" s="1713"/>
      <c r="AH250" s="1713" t="e">
        <f>IF(AND(AH$244&gt;=$Z107,AH$244&lt;=$AD107),1,0)</f>
        <v>#N/A</v>
      </c>
      <c r="AI250" s="1713"/>
      <c r="AJ250" s="1713"/>
      <c r="AK250" s="1713" t="e">
        <f>IF(AND(AK$244&gt;=$Z107,AK$244&lt;=$AD107),1,0)</f>
        <v>#N/A</v>
      </c>
      <c r="AL250" s="1713"/>
      <c r="AM250" s="1969"/>
      <c r="AN250" s="48"/>
      <c r="AO250" s="48"/>
      <c r="AP250" s="48"/>
      <c r="AQ250" s="48"/>
      <c r="AR250" s="481"/>
      <c r="AS250" s="481"/>
      <c r="AT250" s="481"/>
      <c r="AU250" s="481"/>
      <c r="AV250" s="481"/>
      <c r="AW250" s="481"/>
      <c r="AX250" s="481"/>
      <c r="AY250" s="481"/>
      <c r="AZ250" s="481"/>
      <c r="BA250" s="481"/>
      <c r="BB250" s="481"/>
      <c r="BC250" s="481"/>
      <c r="BD250" s="481"/>
      <c r="BE250" s="481"/>
      <c r="BF250" s="481"/>
      <c r="BG250" s="481"/>
      <c r="BH250" s="481"/>
      <c r="BI250" s="481"/>
      <c r="BJ250" s="481"/>
      <c r="BK250" s="481"/>
      <c r="BL250" s="481"/>
      <c r="BM250" s="481"/>
      <c r="BN250" s="481"/>
      <c r="BO250" s="481"/>
      <c r="BP250" s="481"/>
      <c r="BQ250" s="481"/>
      <c r="BR250" s="481"/>
      <c r="BS250" s="481"/>
      <c r="BT250" s="481"/>
      <c r="BU250" s="481"/>
      <c r="BV250" s="481"/>
      <c r="BW250" s="481"/>
      <c r="BX250" s="481"/>
      <c r="BY250" s="481"/>
      <c r="BZ250" s="481"/>
      <c r="CA250" s="481"/>
      <c r="CB250" s="481"/>
      <c r="CC250" s="481"/>
      <c r="CD250" s="481"/>
      <c r="CE250" s="481"/>
      <c r="CF250" s="481"/>
      <c r="CG250" s="481"/>
      <c r="CH250" s="481"/>
      <c r="CI250" s="481"/>
      <c r="CJ250" s="481"/>
      <c r="CK250" s="481"/>
      <c r="CL250" s="481"/>
      <c r="CM250" s="481"/>
      <c r="CN250" s="481"/>
      <c r="CO250" s="481"/>
      <c r="CP250" s="481"/>
      <c r="CQ250" s="481"/>
      <c r="CR250" s="481"/>
      <c r="CS250" s="481"/>
      <c r="CT250" s="481"/>
      <c r="CU250" s="481"/>
      <c r="CV250" s="481"/>
      <c r="CW250" s="481"/>
      <c r="CX250" s="481"/>
      <c r="CY250" s="481"/>
      <c r="CZ250" s="481"/>
      <c r="DA250" s="481"/>
    </row>
    <row r="251" spans="1:105" ht="18" hidden="1" customHeight="1" x14ac:dyDescent="0.2">
      <c r="A251" s="48"/>
      <c r="B251" s="1954" t="str">
        <f>H186</f>
        <v>III</v>
      </c>
      <c r="C251" s="1955"/>
      <c r="D251" s="1962">
        <v>0</v>
      </c>
      <c r="E251" s="1963"/>
      <c r="F251" s="1964"/>
      <c r="G251" s="1719" t="e">
        <f>G252</f>
        <v>#N/A</v>
      </c>
      <c r="H251" s="1720"/>
      <c r="I251" s="1721"/>
      <c r="J251" s="1719" t="e">
        <f>J252</f>
        <v>#N/A</v>
      </c>
      <c r="K251" s="1720"/>
      <c r="L251" s="1721"/>
      <c r="M251" s="1719" t="e">
        <f>M252</f>
        <v>#N/A</v>
      </c>
      <c r="N251" s="1720"/>
      <c r="O251" s="1721"/>
      <c r="P251" s="1719" t="e">
        <f>P252</f>
        <v>#N/A</v>
      </c>
      <c r="Q251" s="1720"/>
      <c r="R251" s="1721"/>
      <c r="S251" s="1719" t="e">
        <f>S252</f>
        <v>#N/A</v>
      </c>
      <c r="T251" s="1720"/>
      <c r="U251" s="1721"/>
      <c r="V251" s="1719" t="e">
        <f>V252</f>
        <v>#N/A</v>
      </c>
      <c r="W251" s="1720"/>
      <c r="X251" s="1721"/>
      <c r="Y251" s="1719" t="e">
        <f>Y252</f>
        <v>#N/A</v>
      </c>
      <c r="Z251" s="1720"/>
      <c r="AA251" s="1721"/>
      <c r="AB251" s="1719" t="e">
        <f>AB252</f>
        <v>#N/A</v>
      </c>
      <c r="AC251" s="1720"/>
      <c r="AD251" s="1721"/>
      <c r="AE251" s="1719" t="e">
        <f>AE252</f>
        <v>#N/A</v>
      </c>
      <c r="AF251" s="1720"/>
      <c r="AG251" s="1721"/>
      <c r="AH251" s="1719" t="e">
        <f>AH252</f>
        <v>#N/A</v>
      </c>
      <c r="AI251" s="1720"/>
      <c r="AJ251" s="1721"/>
      <c r="AK251" s="1719" t="e">
        <f>AK252</f>
        <v>#N/A</v>
      </c>
      <c r="AL251" s="1720"/>
      <c r="AM251" s="1968"/>
      <c r="AN251" s="1707"/>
      <c r="AO251" s="1708"/>
      <c r="AP251" s="1708"/>
      <c r="AQ251" s="48"/>
      <c r="AR251" s="481"/>
      <c r="AS251" s="481"/>
      <c r="AT251" s="481"/>
      <c r="AU251" s="481"/>
      <c r="AV251" s="481"/>
      <c r="AW251" s="481"/>
      <c r="AX251" s="481"/>
      <c r="AY251" s="481"/>
      <c r="AZ251" s="481"/>
      <c r="BA251" s="481"/>
      <c r="BB251" s="481"/>
      <c r="BC251" s="481"/>
      <c r="BD251" s="481"/>
      <c r="BE251" s="481"/>
      <c r="BF251" s="481"/>
      <c r="BG251" s="481"/>
      <c r="BH251" s="481"/>
      <c r="BI251" s="481"/>
      <c r="BJ251" s="481"/>
      <c r="BK251" s="481"/>
      <c r="BL251" s="481"/>
      <c r="BM251" s="481"/>
      <c r="BN251" s="481"/>
      <c r="BO251" s="481"/>
      <c r="BP251" s="481"/>
      <c r="BQ251" s="481"/>
      <c r="BR251" s="481"/>
      <c r="BS251" s="481"/>
      <c r="BT251" s="481"/>
      <c r="BU251" s="481"/>
      <c r="BV251" s="481"/>
      <c r="BW251" s="481"/>
      <c r="BX251" s="481"/>
      <c r="BY251" s="481"/>
      <c r="BZ251" s="481"/>
      <c r="CA251" s="481"/>
      <c r="CB251" s="481"/>
      <c r="CC251" s="481"/>
      <c r="CD251" s="481"/>
      <c r="CE251" s="481"/>
      <c r="CF251" s="481"/>
      <c r="CG251" s="481"/>
      <c r="CH251" s="481"/>
      <c r="CI251" s="481"/>
      <c r="CJ251" s="481"/>
      <c r="CK251" s="481"/>
      <c r="CL251" s="481"/>
      <c r="CM251" s="481"/>
      <c r="CN251" s="481"/>
      <c r="CO251" s="481"/>
      <c r="CP251" s="481"/>
      <c r="CQ251" s="481"/>
      <c r="CR251" s="481"/>
      <c r="CS251" s="481"/>
      <c r="CT251" s="481"/>
      <c r="CU251" s="481"/>
      <c r="CV251" s="481"/>
      <c r="CW251" s="481"/>
      <c r="CX251" s="481"/>
      <c r="CY251" s="481"/>
      <c r="CZ251" s="481"/>
      <c r="DA251" s="481"/>
    </row>
    <row r="252" spans="1:105" ht="18" hidden="1" customHeight="1" x14ac:dyDescent="0.2">
      <c r="A252" s="48"/>
      <c r="B252" s="1952" t="str">
        <f>IF(J110="","",CONCATENATE(T112,"-",T113,"-",T114))</f>
        <v/>
      </c>
      <c r="C252" s="1953"/>
      <c r="D252" s="1965" t="e">
        <f>HLOOKUP($B252,GEN!$G$1:$N$46,46,FALSE)*D253</f>
        <v>#N/A</v>
      </c>
      <c r="E252" s="1966"/>
      <c r="F252" s="1967"/>
      <c r="G252" s="1588" t="e">
        <f>HLOOKUP($B252,FEB!$G$1:$N$46,46,FALSE)*G253</f>
        <v>#N/A</v>
      </c>
      <c r="H252" s="1589"/>
      <c r="I252" s="1590"/>
      <c r="J252" s="1588" t="e">
        <f>HLOOKUP($B252,MAR!$G$1:$N$46,46,FALSE)*J253</f>
        <v>#N/A</v>
      </c>
      <c r="K252" s="1589"/>
      <c r="L252" s="1590"/>
      <c r="M252" s="1588" t="e">
        <f>HLOOKUP($B252,APR!$G$1:$N$46,46,FALSE)*M253</f>
        <v>#N/A</v>
      </c>
      <c r="N252" s="1589"/>
      <c r="O252" s="1590"/>
      <c r="P252" s="1588" t="e">
        <f>HLOOKUP($B252,MAG!$G$1:$N$46,46,FALSE)*P253</f>
        <v>#N/A</v>
      </c>
      <c r="Q252" s="1589"/>
      <c r="R252" s="1590"/>
      <c r="S252" s="1588" t="e">
        <f>HLOOKUP($B252,GIU!$G$1:$N$46,46,FALSE)*S253</f>
        <v>#N/A</v>
      </c>
      <c r="T252" s="1589"/>
      <c r="U252" s="1590"/>
      <c r="V252" s="1588" t="e">
        <f>HLOOKUP($B252,LUG!$G$1:$N$46,46,FALSE)*V253</f>
        <v>#N/A</v>
      </c>
      <c r="W252" s="1589"/>
      <c r="X252" s="1590"/>
      <c r="Y252" s="1588" t="e">
        <f>HLOOKUP($B252,AGO!$G$1:$N$46,46,FALSE)*Y253</f>
        <v>#N/A</v>
      </c>
      <c r="Z252" s="1589"/>
      <c r="AA252" s="1590"/>
      <c r="AB252" s="1588" t="e">
        <f>HLOOKUP($B252,SET!$G$1:$N$46,46,FALSE)*AB253</f>
        <v>#N/A</v>
      </c>
      <c r="AC252" s="1589"/>
      <c r="AD252" s="1590"/>
      <c r="AE252" s="1588" t="e">
        <f>HLOOKUP($B252,OTT!$G$1:$N$46,46,FALSE)*AE253</f>
        <v>#N/A</v>
      </c>
      <c r="AF252" s="1589"/>
      <c r="AG252" s="1590"/>
      <c r="AH252" s="1588" t="e">
        <f>HLOOKUP($B252,NOV!$G$1:$N$46,46,FALSE)*AH253</f>
        <v>#N/A</v>
      </c>
      <c r="AI252" s="1589"/>
      <c r="AJ252" s="1590"/>
      <c r="AK252" s="1588" t="e">
        <f>HLOOKUP($B252,DIC!$G$1:$N$46,46,FALSE)*AK253</f>
        <v>#N/A</v>
      </c>
      <c r="AL252" s="1589"/>
      <c r="AM252" s="1709"/>
      <c r="AN252" s="1707" t="str">
        <f>AN249</f>
        <v>LORDO</v>
      </c>
      <c r="AO252" s="1708"/>
      <c r="AP252" s="1708"/>
      <c r="AQ252" s="48"/>
      <c r="AR252" s="481"/>
      <c r="AS252" s="481"/>
      <c r="AT252" s="481"/>
      <c r="AU252" s="481"/>
      <c r="AV252" s="481"/>
      <c r="AW252" s="481"/>
      <c r="AX252" s="481"/>
      <c r="AY252" s="481"/>
      <c r="AZ252" s="481"/>
      <c r="BA252" s="481"/>
      <c r="BB252" s="481"/>
      <c r="BC252" s="481"/>
      <c r="BD252" s="481"/>
      <c r="BE252" s="481"/>
      <c r="BF252" s="481"/>
      <c r="BG252" s="481"/>
      <c r="BH252" s="481"/>
      <c r="BI252" s="481"/>
      <c r="BJ252" s="481"/>
      <c r="BK252" s="481"/>
      <c r="BL252" s="481"/>
      <c r="BM252" s="481"/>
      <c r="BN252" s="481"/>
      <c r="BO252" s="481"/>
      <c r="BP252" s="481"/>
      <c r="BQ252" s="481"/>
      <c r="BR252" s="481"/>
      <c r="BS252" s="481"/>
      <c r="BT252" s="481"/>
      <c r="BU252" s="481"/>
      <c r="BV252" s="481"/>
      <c r="BW252" s="481"/>
      <c r="BX252" s="481"/>
      <c r="BY252" s="481"/>
      <c r="BZ252" s="481"/>
      <c r="CA252" s="481"/>
      <c r="CB252" s="481"/>
      <c r="CC252" s="481"/>
      <c r="CD252" s="481"/>
      <c r="CE252" s="481"/>
      <c r="CF252" s="481"/>
      <c r="CG252" s="481"/>
      <c r="CH252" s="481"/>
      <c r="CI252" s="481"/>
      <c r="CJ252" s="481"/>
      <c r="CK252" s="481"/>
      <c r="CL252" s="481"/>
      <c r="CM252" s="481"/>
      <c r="CN252" s="481"/>
      <c r="CO252" s="481"/>
      <c r="CP252" s="481"/>
      <c r="CQ252" s="481"/>
      <c r="CR252" s="481"/>
      <c r="CS252" s="481"/>
      <c r="CT252" s="481"/>
      <c r="CU252" s="481"/>
      <c r="CV252" s="481"/>
      <c r="CW252" s="481"/>
      <c r="CX252" s="481"/>
      <c r="CY252" s="481"/>
      <c r="CZ252" s="481"/>
      <c r="DA252" s="481"/>
    </row>
    <row r="253" spans="1:105" ht="18" hidden="1" customHeight="1" x14ac:dyDescent="0.2">
      <c r="A253" s="186"/>
      <c r="B253" s="185"/>
      <c r="C253" s="185"/>
      <c r="D253" s="1961" t="e">
        <f>IF(AND(D$244&gt;=$Z115,D$244&lt;=$AD115),1,0)</f>
        <v>#N/A</v>
      </c>
      <c r="E253" s="1713"/>
      <c r="F253" s="1713"/>
      <c r="G253" s="1713" t="e">
        <f>IF(AND(G$244&gt;=$Z115,G$244&lt;=$AD115),1,0)</f>
        <v>#N/A</v>
      </c>
      <c r="H253" s="1713"/>
      <c r="I253" s="1713"/>
      <c r="J253" s="1713" t="e">
        <f>IF(AND(J$244&gt;=$Z115,J$244&lt;=$AD115),1,0)</f>
        <v>#N/A</v>
      </c>
      <c r="K253" s="1713"/>
      <c r="L253" s="1713"/>
      <c r="M253" s="1713" t="e">
        <f>IF(AND(M$244&gt;=$Z115,M$244&lt;=$AD115),1,0)</f>
        <v>#N/A</v>
      </c>
      <c r="N253" s="1713"/>
      <c r="O253" s="1713"/>
      <c r="P253" s="1713" t="e">
        <f>IF(AND(P$244&gt;=$Z115,P$244&lt;=$AD115),1,0)</f>
        <v>#N/A</v>
      </c>
      <c r="Q253" s="1713"/>
      <c r="R253" s="1713"/>
      <c r="S253" s="1713" t="e">
        <f>IF(AND(S$244&gt;=$Z115,S$244&lt;=$AD115),1,0)</f>
        <v>#N/A</v>
      </c>
      <c r="T253" s="1713"/>
      <c r="U253" s="1713"/>
      <c r="V253" s="1713" t="e">
        <f>IF(AND(V$244&gt;=$Z115,V$244&lt;=$AD115),1,0)</f>
        <v>#N/A</v>
      </c>
      <c r="W253" s="1713"/>
      <c r="X253" s="1713"/>
      <c r="Y253" s="1713" t="e">
        <f>IF(AND(Y$244&gt;=$Z115,Y$244&lt;=$AD115),1,0)</f>
        <v>#N/A</v>
      </c>
      <c r="Z253" s="1713"/>
      <c r="AA253" s="1713"/>
      <c r="AB253" s="1713" t="e">
        <f>IF(AND(AB$244&gt;=$Z115,AB$244&lt;=$AD115),1,0)</f>
        <v>#N/A</v>
      </c>
      <c r="AC253" s="1713"/>
      <c r="AD253" s="1713"/>
      <c r="AE253" s="1713" t="e">
        <f>IF(AND(AE$244&gt;=$Z115,AE$244&lt;=$AD115),1,0)</f>
        <v>#N/A</v>
      </c>
      <c r="AF253" s="1713"/>
      <c r="AG253" s="1713"/>
      <c r="AH253" s="1713" t="e">
        <f>IF(AND(AH$244&gt;=$Z115,AH$244&lt;=$AD115),1,0)</f>
        <v>#N/A</v>
      </c>
      <c r="AI253" s="1713"/>
      <c r="AJ253" s="1713"/>
      <c r="AK253" s="1713" t="e">
        <f>IF(AND(AK$244&gt;=$Z115,AK$244&lt;=$AD115),1,0)</f>
        <v>#N/A</v>
      </c>
      <c r="AL253" s="1713"/>
      <c r="AM253" s="1969"/>
      <c r="AN253" s="48"/>
      <c r="AO253" s="48"/>
      <c r="AP253" s="48"/>
      <c r="AQ253" s="48"/>
      <c r="AR253" s="481"/>
      <c r="AS253" s="481"/>
      <c r="AT253" s="481"/>
      <c r="AU253" s="481"/>
      <c r="AV253" s="481"/>
      <c r="AW253" s="481"/>
      <c r="AX253" s="481"/>
      <c r="AY253" s="481"/>
      <c r="AZ253" s="481"/>
      <c r="BA253" s="481"/>
      <c r="BB253" s="481"/>
      <c r="BC253" s="481"/>
      <c r="BD253" s="481"/>
      <c r="BE253" s="481"/>
      <c r="BF253" s="481"/>
      <c r="BG253" s="481"/>
      <c r="BH253" s="481"/>
      <c r="BI253" s="481"/>
      <c r="BJ253" s="481"/>
      <c r="BK253" s="481"/>
      <c r="BL253" s="481"/>
      <c r="BM253" s="481"/>
      <c r="BN253" s="481"/>
      <c r="BO253" s="481"/>
      <c r="BP253" s="481"/>
      <c r="BQ253" s="481"/>
      <c r="BR253" s="481"/>
      <c r="BS253" s="481"/>
      <c r="BT253" s="481"/>
      <c r="BU253" s="481"/>
      <c r="BV253" s="481"/>
      <c r="BW253" s="481"/>
      <c r="BX253" s="481"/>
      <c r="BY253" s="481"/>
      <c r="BZ253" s="481"/>
      <c r="CA253" s="481"/>
      <c r="CB253" s="481"/>
      <c r="CC253" s="481"/>
      <c r="CD253" s="481"/>
      <c r="CE253" s="481"/>
      <c r="CF253" s="481"/>
      <c r="CG253" s="481"/>
      <c r="CH253" s="481"/>
      <c r="CI253" s="481"/>
      <c r="CJ253" s="481"/>
      <c r="CK253" s="481"/>
      <c r="CL253" s="481"/>
      <c r="CM253" s="481"/>
      <c r="CN253" s="481"/>
      <c r="CO253" s="481"/>
      <c r="CP253" s="481"/>
      <c r="CQ253" s="481"/>
      <c r="CR253" s="481"/>
      <c r="CS253" s="481"/>
      <c r="CT253" s="481"/>
      <c r="CU253" s="481"/>
      <c r="CV253" s="481"/>
      <c r="CW253" s="481"/>
      <c r="CX253" s="481"/>
      <c r="CY253" s="481"/>
      <c r="CZ253" s="481"/>
      <c r="DA253" s="481"/>
    </row>
    <row r="254" spans="1:105" ht="18" hidden="1" customHeight="1" x14ac:dyDescent="0.2">
      <c r="A254" s="186"/>
      <c r="B254" s="185"/>
      <c r="C254" s="185"/>
      <c r="D254" s="185"/>
      <c r="E254" s="185"/>
      <c r="F254" s="185"/>
      <c r="G254" s="185"/>
      <c r="H254" s="185"/>
      <c r="I254" s="185"/>
      <c r="J254" s="185"/>
      <c r="K254" s="185"/>
      <c r="L254" s="185"/>
      <c r="M254" s="185"/>
      <c r="N254" s="185"/>
      <c r="O254" s="185"/>
      <c r="P254" s="185"/>
      <c r="Q254" s="185"/>
      <c r="R254" s="185"/>
      <c r="S254" s="185"/>
      <c r="T254" s="185"/>
      <c r="U254" s="185"/>
      <c r="V254" s="185"/>
      <c r="W254" s="185"/>
      <c r="X254" s="185"/>
      <c r="Y254" s="185"/>
      <c r="Z254" s="185"/>
      <c r="AA254" s="185"/>
      <c r="AB254" s="185"/>
      <c r="AC254" s="186"/>
      <c r="AD254" s="186"/>
      <c r="AE254" s="186"/>
      <c r="AF254" s="186"/>
      <c r="AG254" s="186"/>
      <c r="AH254" s="186"/>
      <c r="AI254" s="186"/>
      <c r="AJ254" s="186"/>
      <c r="AK254" s="186"/>
      <c r="AL254" s="186"/>
      <c r="AM254" s="186"/>
      <c r="AN254" s="48"/>
      <c r="AO254" s="48"/>
      <c r="AP254" s="48"/>
      <c r="AQ254" s="48"/>
      <c r="AR254" s="48"/>
      <c r="AS254" s="48"/>
      <c r="AT254" s="48"/>
      <c r="AU254" s="481"/>
      <c r="AV254" s="481"/>
      <c r="AW254" s="481"/>
      <c r="AX254" s="481"/>
      <c r="AY254" s="481"/>
      <c r="AZ254" s="481"/>
      <c r="BA254" s="481"/>
      <c r="BB254" s="481"/>
      <c r="BC254" s="481"/>
      <c r="BD254" s="481"/>
      <c r="BE254" s="481"/>
      <c r="BF254" s="481"/>
      <c r="BG254" s="481"/>
      <c r="BH254" s="481"/>
      <c r="BI254" s="481"/>
      <c r="BJ254" s="481"/>
      <c r="BK254" s="481"/>
      <c r="BL254" s="481"/>
      <c r="BM254" s="481"/>
      <c r="BN254" s="481"/>
      <c r="BO254" s="481"/>
      <c r="BP254" s="481"/>
      <c r="BQ254" s="481"/>
      <c r="BR254" s="481"/>
      <c r="BS254" s="481"/>
      <c r="BT254" s="481"/>
      <c r="BU254" s="481"/>
      <c r="BV254" s="481"/>
      <c r="BW254" s="481"/>
      <c r="BX254" s="481"/>
      <c r="BY254" s="481"/>
      <c r="BZ254" s="481"/>
      <c r="CA254" s="481"/>
      <c r="CB254" s="481"/>
      <c r="CC254" s="481"/>
      <c r="CD254" s="481"/>
      <c r="CE254" s="481"/>
      <c r="CF254" s="481"/>
      <c r="CG254" s="481"/>
      <c r="CH254" s="481"/>
      <c r="CI254" s="481"/>
      <c r="CJ254" s="481"/>
      <c r="CK254" s="481"/>
      <c r="CL254" s="481"/>
      <c r="CM254" s="481"/>
      <c r="CN254" s="481"/>
      <c r="CO254" s="481"/>
      <c r="CP254" s="481"/>
      <c r="CQ254" s="481"/>
      <c r="CR254" s="481"/>
      <c r="CS254" s="481"/>
      <c r="CT254" s="481"/>
      <c r="CU254" s="481"/>
      <c r="CV254" s="481"/>
      <c r="CW254" s="481"/>
      <c r="CX254" s="481"/>
      <c r="CY254" s="481"/>
      <c r="CZ254" s="481"/>
      <c r="DA254" s="481"/>
    </row>
    <row r="255" spans="1:105" ht="18" hidden="1" customHeight="1" x14ac:dyDescent="0.2">
      <c r="A255" s="186"/>
      <c r="B255" s="185"/>
      <c r="C255" s="185"/>
      <c r="D255" s="185"/>
      <c r="E255" s="185"/>
      <c r="F255" s="185"/>
      <c r="G255" s="185"/>
      <c r="H255" s="185"/>
      <c r="I255" s="185"/>
      <c r="J255" s="185"/>
      <c r="K255" s="185"/>
      <c r="L255" s="185"/>
      <c r="M255" s="185"/>
      <c r="N255" s="185"/>
      <c r="O255" s="185"/>
      <c r="P255" s="185"/>
      <c r="Q255" s="185"/>
      <c r="R255" s="185"/>
      <c r="S255" s="185"/>
      <c r="T255" s="185"/>
      <c r="U255" s="185"/>
      <c r="V255" s="185"/>
      <c r="W255" s="185"/>
      <c r="X255" s="185"/>
      <c r="Y255" s="185"/>
      <c r="Z255" s="185"/>
      <c r="AA255" s="185"/>
      <c r="AB255" s="185"/>
      <c r="AC255" s="186"/>
      <c r="AD255" s="186"/>
      <c r="AE255" s="186"/>
      <c r="AF255" s="186"/>
      <c r="AG255" s="186"/>
      <c r="AH255" s="186"/>
      <c r="AI255" s="186"/>
      <c r="AJ255" s="186"/>
      <c r="AK255" s="186"/>
      <c r="AL255" s="186"/>
      <c r="AM255" s="186"/>
      <c r="AN255" s="1714" t="s">
        <v>579</v>
      </c>
      <c r="AO255" s="1714"/>
      <c r="AP255" s="1714"/>
      <c r="AQ255" s="48"/>
      <c r="AR255" s="48"/>
      <c r="AS255" s="48"/>
      <c r="AT255" s="48"/>
      <c r="AU255" s="481"/>
      <c r="AV255" s="481"/>
      <c r="AW255" s="481"/>
      <c r="AX255" s="481"/>
      <c r="AY255" s="481"/>
      <c r="AZ255" s="481"/>
      <c r="BA255" s="481"/>
      <c r="BB255" s="481"/>
      <c r="BC255" s="481"/>
      <c r="BD255" s="481"/>
      <c r="BE255" s="481"/>
      <c r="BF255" s="481"/>
      <c r="BG255" s="481"/>
      <c r="BH255" s="481"/>
      <c r="BI255" s="481"/>
      <c r="BJ255" s="481"/>
      <c r="BK255" s="481"/>
      <c r="BL255" s="481"/>
      <c r="BM255" s="481"/>
      <c r="BN255" s="481"/>
      <c r="BO255" s="481"/>
      <c r="BP255" s="481"/>
      <c r="BQ255" s="481"/>
      <c r="BR255" s="481"/>
      <c r="BS255" s="481"/>
      <c r="BT255" s="481"/>
      <c r="BU255" s="481"/>
      <c r="BV255" s="481"/>
      <c r="BW255" s="481"/>
      <c r="BX255" s="481"/>
      <c r="BY255" s="481"/>
      <c r="BZ255" s="481"/>
      <c r="CA255" s="481"/>
      <c r="CB255" s="481"/>
      <c r="CC255" s="481"/>
      <c r="CD255" s="481"/>
      <c r="CE255" s="481"/>
      <c r="CF255" s="481"/>
      <c r="CG255" s="481"/>
      <c r="CH255" s="481"/>
      <c r="CI255" s="481"/>
      <c r="CJ255" s="481"/>
      <c r="CK255" s="481"/>
      <c r="CL255" s="481"/>
      <c r="CM255" s="481"/>
      <c r="CN255" s="481"/>
      <c r="CO255" s="481"/>
      <c r="CP255" s="481"/>
      <c r="CQ255" s="481"/>
      <c r="CR255" s="481"/>
      <c r="CS255" s="481"/>
      <c r="CT255" s="481"/>
      <c r="CU255" s="481"/>
      <c r="CV255" s="481"/>
      <c r="CW255" s="481"/>
      <c r="CX255" s="481"/>
      <c r="CY255" s="481"/>
      <c r="CZ255" s="481"/>
      <c r="DA255" s="481"/>
    </row>
    <row r="256" spans="1:105" ht="18" hidden="1" customHeight="1" x14ac:dyDescent="0.2">
      <c r="A256" s="186"/>
      <c r="B256" s="1706" t="str">
        <f>AN234</f>
        <v>LORDO</v>
      </c>
      <c r="C256" s="1688"/>
      <c r="D256" s="1601" t="str">
        <f>D231</f>
        <v>Gennaio</v>
      </c>
      <c r="E256" s="1602"/>
      <c r="F256" s="1602"/>
      <c r="G256" s="1601" t="str">
        <f>G231</f>
        <v>Febbraio</v>
      </c>
      <c r="H256" s="1602"/>
      <c r="I256" s="1602"/>
      <c r="J256" s="1601" t="str">
        <f>J231</f>
        <v>Marzo</v>
      </c>
      <c r="K256" s="1602"/>
      <c r="L256" s="1602"/>
      <c r="M256" s="1601" t="str">
        <f>M231</f>
        <v>Aprile</v>
      </c>
      <c r="N256" s="1602"/>
      <c r="O256" s="1602"/>
      <c r="P256" s="1601" t="str">
        <f>P231</f>
        <v>Maggio</v>
      </c>
      <c r="Q256" s="1602"/>
      <c r="R256" s="1602"/>
      <c r="S256" s="1601" t="str">
        <f>S231</f>
        <v>Giugno</v>
      </c>
      <c r="T256" s="1602"/>
      <c r="U256" s="1602"/>
      <c r="V256" s="1601" t="str">
        <f>V231</f>
        <v>Luglio</v>
      </c>
      <c r="W256" s="1602"/>
      <c r="X256" s="1603"/>
      <c r="Y256" s="1601" t="str">
        <f>Y231</f>
        <v>Agosto</v>
      </c>
      <c r="Z256" s="1602"/>
      <c r="AA256" s="1602"/>
      <c r="AB256" s="1601" t="str">
        <f>AB231</f>
        <v>Settembre</v>
      </c>
      <c r="AC256" s="1602"/>
      <c r="AD256" s="1602"/>
      <c r="AE256" s="1601" t="str">
        <f>AE231</f>
        <v>Ottobre</v>
      </c>
      <c r="AF256" s="1602"/>
      <c r="AG256" s="1602"/>
      <c r="AH256" s="1601" t="str">
        <f>AH231</f>
        <v>Novembre</v>
      </c>
      <c r="AI256" s="1602"/>
      <c r="AJ256" s="1602"/>
      <c r="AK256" s="1601" t="str">
        <f>AK231</f>
        <v>Dicembre</v>
      </c>
      <c r="AL256" s="1602"/>
      <c r="AM256" s="1602"/>
      <c r="AN256" s="1715" t="s">
        <v>441</v>
      </c>
      <c r="AO256" s="1716"/>
      <c r="AP256" s="1717"/>
      <c r="AQ256" s="48"/>
      <c r="AR256" s="48"/>
      <c r="AS256" s="48"/>
      <c r="AT256" s="48"/>
      <c r="AU256" s="481"/>
      <c r="AV256" s="481"/>
      <c r="AW256" s="481"/>
      <c r="AX256" s="481"/>
      <c r="AY256" s="481"/>
      <c r="AZ256" s="481"/>
      <c r="BA256" s="481"/>
      <c r="BB256" s="481"/>
      <c r="BC256" s="481"/>
      <c r="BD256" s="481"/>
      <c r="BE256" s="481"/>
      <c r="BF256" s="481"/>
      <c r="BG256" s="481"/>
      <c r="BH256" s="481"/>
      <c r="BI256" s="481"/>
      <c r="BJ256" s="481"/>
      <c r="BK256" s="481"/>
      <c r="BL256" s="481"/>
      <c r="BM256" s="481"/>
      <c r="BN256" s="481"/>
      <c r="BO256" s="481"/>
      <c r="BP256" s="481"/>
      <c r="BQ256" s="481"/>
      <c r="BR256" s="481"/>
      <c r="BS256" s="481"/>
      <c r="BT256" s="481"/>
      <c r="BU256" s="481"/>
      <c r="BV256" s="481"/>
      <c r="BW256" s="481"/>
      <c r="BX256" s="481"/>
      <c r="BY256" s="481"/>
      <c r="BZ256" s="481"/>
      <c r="CA256" s="481"/>
      <c r="CB256" s="481"/>
      <c r="CC256" s="481"/>
      <c r="CD256" s="481"/>
      <c r="CE256" s="481"/>
      <c r="CF256" s="481"/>
      <c r="CG256" s="481"/>
      <c r="CH256" s="481"/>
      <c r="CI256" s="481"/>
      <c r="CJ256" s="481"/>
      <c r="CK256" s="481"/>
      <c r="CL256" s="481"/>
      <c r="CM256" s="481"/>
      <c r="CN256" s="481"/>
      <c r="CO256" s="481"/>
      <c r="CP256" s="481"/>
      <c r="CQ256" s="481"/>
      <c r="CR256" s="481"/>
      <c r="CS256" s="481"/>
      <c r="CT256" s="481"/>
      <c r="CU256" s="481"/>
      <c r="CV256" s="481"/>
      <c r="CW256" s="481"/>
      <c r="CX256" s="481"/>
      <c r="CY256" s="481"/>
      <c r="CZ256" s="481"/>
      <c r="DA256" s="481"/>
    </row>
    <row r="257" spans="1:160" ht="18" hidden="1" customHeight="1" x14ac:dyDescent="0.2">
      <c r="A257" s="186"/>
      <c r="B257" s="1622" t="str">
        <f>B234</f>
        <v>--</v>
      </c>
      <c r="C257" s="1701"/>
      <c r="D257" s="1588">
        <f>IF(B257="--",0,IF(ISERROR(D234),0,D234))</f>
        <v>0</v>
      </c>
      <c r="E257" s="1589"/>
      <c r="F257" s="1590"/>
      <c r="G257" s="1588">
        <f>IF(ISERROR(G234),0,G234)</f>
        <v>0</v>
      </c>
      <c r="H257" s="1589"/>
      <c r="I257" s="1590"/>
      <c r="J257" s="1588">
        <f>IF(ISERROR(J234),0,J234)</f>
        <v>0</v>
      </c>
      <c r="K257" s="1589"/>
      <c r="L257" s="1590"/>
      <c r="M257" s="1588">
        <f>IF(ISERROR(M234),0,M234)</f>
        <v>0</v>
      </c>
      <c r="N257" s="1589"/>
      <c r="O257" s="1590"/>
      <c r="P257" s="1588">
        <f>IF(ISERROR(P234),0,P234)</f>
        <v>0</v>
      </c>
      <c r="Q257" s="1589"/>
      <c r="R257" s="1590"/>
      <c r="S257" s="1588">
        <f>IF(ISERROR(S234),0,S234)</f>
        <v>0</v>
      </c>
      <c r="T257" s="1589"/>
      <c r="U257" s="1590"/>
      <c r="V257" s="1588">
        <f>IF(ISERROR(V234),0,V234)</f>
        <v>0</v>
      </c>
      <c r="W257" s="1589"/>
      <c r="X257" s="1590"/>
      <c r="Y257" s="1588">
        <f>IF(ISERROR(Y234),0,Y234)</f>
        <v>0</v>
      </c>
      <c r="Z257" s="1589"/>
      <c r="AA257" s="1590"/>
      <c r="AB257" s="1588">
        <f>IF(ISERROR(AB234),0,AB234)</f>
        <v>0</v>
      </c>
      <c r="AC257" s="1589"/>
      <c r="AD257" s="1590"/>
      <c r="AE257" s="1588">
        <f>IF(ISERROR(AE234),0,AE234)</f>
        <v>0</v>
      </c>
      <c r="AF257" s="1589"/>
      <c r="AG257" s="1590"/>
      <c r="AH257" s="1588">
        <f>IF(ISERROR(AH234),0,AH234)</f>
        <v>0</v>
      </c>
      <c r="AI257" s="1589"/>
      <c r="AJ257" s="1590"/>
      <c r="AK257" s="1588">
        <f>IF(ISERROR(AK234),0,AK234)</f>
        <v>0</v>
      </c>
      <c r="AL257" s="1589"/>
      <c r="AM257" s="1590"/>
      <c r="AN257" s="1991">
        <f>SUM(D257:AM257)</f>
        <v>0</v>
      </c>
      <c r="AO257" s="1992"/>
      <c r="AP257" s="1993"/>
      <c r="AQ257" s="48"/>
      <c r="AR257" s="166">
        <f>I33</f>
        <v>0</v>
      </c>
      <c r="AS257" s="48"/>
      <c r="AT257" s="48"/>
      <c r="AU257" s="481"/>
      <c r="AV257" s="481"/>
      <c r="AW257" s="481"/>
      <c r="AX257" s="481"/>
      <c r="AY257" s="481"/>
      <c r="AZ257" s="481"/>
      <c r="BA257" s="481"/>
      <c r="BB257" s="481"/>
      <c r="BC257" s="481"/>
      <c r="BD257" s="481"/>
      <c r="BE257" s="481"/>
      <c r="BF257" s="481"/>
      <c r="BG257" s="481"/>
      <c r="BH257" s="481"/>
      <c r="BI257" s="481"/>
      <c r="BJ257" s="481"/>
      <c r="BK257" s="481"/>
      <c r="BL257" s="481"/>
      <c r="BM257" s="481"/>
      <c r="BN257" s="481"/>
      <c r="BO257" s="481"/>
      <c r="BP257" s="481"/>
      <c r="BQ257" s="481"/>
      <c r="BR257" s="481"/>
      <c r="BS257" s="481"/>
      <c r="BT257" s="481"/>
      <c r="BU257" s="481"/>
      <c r="BV257" s="481"/>
      <c r="BW257" s="481"/>
      <c r="BX257" s="481"/>
      <c r="BY257" s="481"/>
      <c r="BZ257" s="481"/>
      <c r="CA257" s="481"/>
      <c r="CB257" s="481"/>
      <c r="CC257" s="481"/>
      <c r="CD257" s="481"/>
      <c r="CE257" s="481"/>
      <c r="CF257" s="481"/>
      <c r="CG257" s="481"/>
      <c r="CH257" s="481"/>
      <c r="CI257" s="481"/>
      <c r="CJ257" s="481"/>
      <c r="CK257" s="481"/>
      <c r="CL257" s="481"/>
      <c r="CM257" s="481"/>
      <c r="CN257" s="481"/>
      <c r="CO257" s="481"/>
      <c r="CP257" s="481"/>
      <c r="CQ257" s="481"/>
      <c r="CR257" s="481"/>
      <c r="CS257" s="481"/>
      <c r="CT257" s="481"/>
      <c r="CU257" s="481"/>
      <c r="CV257" s="481"/>
      <c r="CW257" s="481"/>
      <c r="CX257" s="481"/>
      <c r="CY257" s="481"/>
      <c r="CZ257" s="481"/>
      <c r="DA257" s="481"/>
    </row>
    <row r="258" spans="1:160" ht="18" hidden="1" customHeight="1" x14ac:dyDescent="0.2">
      <c r="A258" s="186"/>
      <c r="B258" s="1622" t="str">
        <f>B237</f>
        <v>--</v>
      </c>
      <c r="C258" s="1701"/>
      <c r="D258" s="1588">
        <f>IF(B258="--",0,IF(ISERROR(D237),0,D237))</f>
        <v>0</v>
      </c>
      <c r="E258" s="1589"/>
      <c r="F258" s="1590"/>
      <c r="G258" s="1588">
        <f>IF(ISERROR(G237),0,G237)</f>
        <v>0</v>
      </c>
      <c r="H258" s="1589"/>
      <c r="I258" s="1590"/>
      <c r="J258" s="1588">
        <f>IF(ISERROR(J237),0,J237)</f>
        <v>0</v>
      </c>
      <c r="K258" s="1589"/>
      <c r="L258" s="1590"/>
      <c r="M258" s="1588">
        <f>IF(ISERROR(M237),0,M237)</f>
        <v>0</v>
      </c>
      <c r="N258" s="1589"/>
      <c r="O258" s="1590"/>
      <c r="P258" s="1588">
        <f>IF(ISERROR(P237),0,P237)</f>
        <v>0</v>
      </c>
      <c r="Q258" s="1589"/>
      <c r="R258" s="1590"/>
      <c r="S258" s="1588">
        <f>IF(ISERROR(S237),0,S237)</f>
        <v>0</v>
      </c>
      <c r="T258" s="1589"/>
      <c r="U258" s="1590"/>
      <c r="V258" s="1588">
        <f>IF(ISERROR(V237),0,V237)</f>
        <v>0</v>
      </c>
      <c r="W258" s="1589"/>
      <c r="X258" s="1590"/>
      <c r="Y258" s="1588">
        <f>IF(ISERROR(Y237),0,Y237)</f>
        <v>0</v>
      </c>
      <c r="Z258" s="1589"/>
      <c r="AA258" s="1590"/>
      <c r="AB258" s="1588">
        <f>IF(ISERROR(AB237),0,AB237)</f>
        <v>0</v>
      </c>
      <c r="AC258" s="1589"/>
      <c r="AD258" s="1590"/>
      <c r="AE258" s="1588">
        <f>IF(ISERROR(AE237),0,AE237)</f>
        <v>0</v>
      </c>
      <c r="AF258" s="1589"/>
      <c r="AG258" s="1590"/>
      <c r="AH258" s="1588">
        <f>IF(ISERROR(AH237),0,AH237)</f>
        <v>0</v>
      </c>
      <c r="AI258" s="1589"/>
      <c r="AJ258" s="1590"/>
      <c r="AK258" s="1588">
        <f>IF(ISERROR(AK237),0,AK237)</f>
        <v>0</v>
      </c>
      <c r="AL258" s="1589"/>
      <c r="AM258" s="1590"/>
      <c r="AN258" s="1991">
        <f t="shared" ref="AN258:AN263" si="36">SUM(D258:AM258)</f>
        <v>0</v>
      </c>
      <c r="AO258" s="1992"/>
      <c r="AP258" s="1993"/>
      <c r="AQ258" s="48"/>
      <c r="AR258" s="166">
        <f>M33</f>
        <v>0</v>
      </c>
      <c r="AS258" s="48"/>
      <c r="AT258" s="48"/>
      <c r="AU258" s="481"/>
      <c r="AV258" s="481"/>
      <c r="AW258" s="481"/>
      <c r="AX258" s="481"/>
      <c r="AY258" s="481"/>
      <c r="AZ258" s="481"/>
      <c r="BA258" s="481"/>
      <c r="BB258" s="481"/>
      <c r="BC258" s="481"/>
      <c r="BD258" s="481"/>
      <c r="BE258" s="481"/>
      <c r="BF258" s="481"/>
      <c r="BG258" s="481"/>
      <c r="BH258" s="481"/>
      <c r="BI258" s="481"/>
      <c r="BJ258" s="481"/>
      <c r="BK258" s="481"/>
      <c r="BL258" s="481"/>
      <c r="BM258" s="481"/>
      <c r="BN258" s="481"/>
      <c r="BO258" s="481"/>
      <c r="BP258" s="481"/>
      <c r="BQ258" s="481"/>
      <c r="BR258" s="481"/>
      <c r="BS258" s="481"/>
      <c r="BT258" s="481"/>
      <c r="BU258" s="481"/>
      <c r="BV258" s="481"/>
      <c r="BW258" s="481"/>
      <c r="BX258" s="481"/>
      <c r="BY258" s="481"/>
      <c r="BZ258" s="481"/>
      <c r="CA258" s="481"/>
      <c r="CB258" s="481"/>
      <c r="CC258" s="481"/>
      <c r="CD258" s="481"/>
      <c r="CE258" s="481"/>
      <c r="CF258" s="481"/>
      <c r="CG258" s="481"/>
      <c r="CH258" s="481"/>
      <c r="CI258" s="481"/>
      <c r="CJ258" s="481"/>
      <c r="CK258" s="481"/>
      <c r="CL258" s="481"/>
      <c r="CM258" s="481"/>
      <c r="CN258" s="481"/>
      <c r="CO258" s="481"/>
      <c r="CP258" s="481"/>
      <c r="CQ258" s="481"/>
      <c r="CR258" s="481"/>
      <c r="CS258" s="481"/>
      <c r="CT258" s="481"/>
      <c r="CU258" s="481"/>
      <c r="CV258" s="481"/>
      <c r="CW258" s="481"/>
      <c r="CX258" s="481"/>
      <c r="CY258" s="481"/>
      <c r="CZ258" s="481"/>
      <c r="DA258" s="481"/>
    </row>
    <row r="259" spans="1:160" ht="18" hidden="1" customHeight="1" x14ac:dyDescent="0.2">
      <c r="A259" s="186"/>
      <c r="B259" s="1622" t="str">
        <f>B240</f>
        <v>--</v>
      </c>
      <c r="C259" s="1701"/>
      <c r="D259" s="1588">
        <f>IF(B259="--",0,IF(ISERROR(D240),0,D240))</f>
        <v>0</v>
      </c>
      <c r="E259" s="1589"/>
      <c r="F259" s="1590"/>
      <c r="G259" s="1588">
        <f>IF(ISERROR(G240),0,G240)</f>
        <v>0</v>
      </c>
      <c r="H259" s="1589"/>
      <c r="I259" s="1590"/>
      <c r="J259" s="1588">
        <f>IF(ISERROR(J240),0,J240)</f>
        <v>0</v>
      </c>
      <c r="K259" s="1589"/>
      <c r="L259" s="1590"/>
      <c r="M259" s="1588">
        <f>IF(ISERROR(M240),0,M240)</f>
        <v>0</v>
      </c>
      <c r="N259" s="1589"/>
      <c r="O259" s="1590"/>
      <c r="P259" s="1588">
        <f>IF(ISERROR(P240),0,P240)</f>
        <v>0</v>
      </c>
      <c r="Q259" s="1589"/>
      <c r="R259" s="1590"/>
      <c r="S259" s="1588">
        <f>IF(ISERROR(S240),0,S240)</f>
        <v>0</v>
      </c>
      <c r="T259" s="1589"/>
      <c r="U259" s="1590"/>
      <c r="V259" s="1588">
        <f>IF(ISERROR(V240),0,V240)</f>
        <v>0</v>
      </c>
      <c r="W259" s="1589"/>
      <c r="X259" s="1590"/>
      <c r="Y259" s="1588">
        <f>IF(ISERROR(Y240),0,Y240)</f>
        <v>0</v>
      </c>
      <c r="Z259" s="1589"/>
      <c r="AA259" s="1590"/>
      <c r="AB259" s="1588">
        <f>IF(ISERROR(AB240),0,AB240)</f>
        <v>0</v>
      </c>
      <c r="AC259" s="1589"/>
      <c r="AD259" s="1590"/>
      <c r="AE259" s="1588">
        <f>IF(ISERROR(AE240),0,AE240)</f>
        <v>0</v>
      </c>
      <c r="AF259" s="1589"/>
      <c r="AG259" s="1590"/>
      <c r="AH259" s="1588">
        <f>IF(ISERROR(AH240),0,AH240)</f>
        <v>0</v>
      </c>
      <c r="AI259" s="1589"/>
      <c r="AJ259" s="1590"/>
      <c r="AK259" s="1588">
        <f>IF(ISERROR(AK240),0,AK240)</f>
        <v>0</v>
      </c>
      <c r="AL259" s="1589"/>
      <c r="AM259" s="1590"/>
      <c r="AN259" s="1991">
        <f t="shared" si="36"/>
        <v>0</v>
      </c>
      <c r="AO259" s="1992"/>
      <c r="AP259" s="1993"/>
      <c r="AQ259" s="48"/>
      <c r="AR259" s="166">
        <f>U33</f>
        <v>0</v>
      </c>
      <c r="AS259" s="48"/>
      <c r="AT259" s="48"/>
      <c r="AU259" s="481"/>
      <c r="AV259" s="481"/>
      <c r="AW259" s="481"/>
      <c r="AX259" s="481"/>
      <c r="AY259" s="481"/>
      <c r="AZ259" s="481"/>
      <c r="BA259" s="481"/>
      <c r="BB259" s="481"/>
      <c r="BC259" s="481"/>
      <c r="BD259" s="481"/>
      <c r="BE259" s="481"/>
      <c r="BF259" s="481"/>
      <c r="BG259" s="481"/>
      <c r="BH259" s="481"/>
      <c r="BI259" s="481"/>
      <c r="BJ259" s="481"/>
      <c r="BK259" s="481"/>
      <c r="BL259" s="481"/>
      <c r="BM259" s="481"/>
      <c r="BN259" s="481"/>
      <c r="BO259" s="481"/>
      <c r="BP259" s="481"/>
      <c r="BQ259" s="481"/>
      <c r="BR259" s="481"/>
      <c r="BS259" s="481"/>
      <c r="BT259" s="481"/>
      <c r="BU259" s="481"/>
      <c r="BV259" s="481"/>
      <c r="BW259" s="481"/>
      <c r="BX259" s="481"/>
      <c r="BY259" s="481"/>
      <c r="BZ259" s="481"/>
      <c r="CA259" s="481"/>
      <c r="CB259" s="481"/>
      <c r="CC259" s="481"/>
      <c r="CD259" s="481"/>
      <c r="CE259" s="481"/>
      <c r="CF259" s="481"/>
      <c r="CG259" s="481"/>
      <c r="CH259" s="481"/>
      <c r="CI259" s="481"/>
      <c r="CJ259" s="481"/>
      <c r="CK259" s="481"/>
      <c r="CL259" s="481"/>
      <c r="CM259" s="481"/>
      <c r="CN259" s="481"/>
      <c r="CO259" s="481"/>
      <c r="CP259" s="481"/>
      <c r="CQ259" s="481"/>
      <c r="CR259" s="481"/>
      <c r="CS259" s="481"/>
      <c r="CT259" s="481"/>
      <c r="CU259" s="481"/>
      <c r="CV259" s="481"/>
      <c r="CW259" s="481"/>
      <c r="CX259" s="481"/>
      <c r="CY259" s="481"/>
      <c r="CZ259" s="481"/>
      <c r="DA259" s="481"/>
    </row>
    <row r="260" spans="1:160" ht="18" hidden="1" customHeight="1" thickBot="1" x14ac:dyDescent="0.25">
      <c r="A260" s="186"/>
      <c r="B260" s="1979" t="str">
        <f>B243</f>
        <v>--</v>
      </c>
      <c r="C260" s="1980"/>
      <c r="D260" s="1970">
        <f>IF(B260="--",0,IF(ISERROR(D243),0,D243))</f>
        <v>0</v>
      </c>
      <c r="E260" s="1971"/>
      <c r="F260" s="1972"/>
      <c r="G260" s="1970">
        <f>IF(ISERROR(G243),0,G243)</f>
        <v>0</v>
      </c>
      <c r="H260" s="1971"/>
      <c r="I260" s="1972"/>
      <c r="J260" s="1970">
        <f>IF(ISERROR(J243),0,J243)</f>
        <v>0</v>
      </c>
      <c r="K260" s="1971"/>
      <c r="L260" s="1972"/>
      <c r="M260" s="1970">
        <f>IF(ISERROR(M243),0,M243)</f>
        <v>0</v>
      </c>
      <c r="N260" s="1971"/>
      <c r="O260" s="1972"/>
      <c r="P260" s="1970">
        <f>IF(ISERROR(P243),0,P243)</f>
        <v>0</v>
      </c>
      <c r="Q260" s="1971"/>
      <c r="R260" s="1972"/>
      <c r="S260" s="1970">
        <f>IF(ISERROR(S243),0,S243)</f>
        <v>0</v>
      </c>
      <c r="T260" s="1971"/>
      <c r="U260" s="1972"/>
      <c r="V260" s="1970">
        <f>IF(ISERROR(V243),0,V243)</f>
        <v>0</v>
      </c>
      <c r="W260" s="1971"/>
      <c r="X260" s="1972"/>
      <c r="Y260" s="1970">
        <f>IF(ISERROR(Y243),0,Y243)</f>
        <v>0</v>
      </c>
      <c r="Z260" s="1971"/>
      <c r="AA260" s="1972"/>
      <c r="AB260" s="1970">
        <f>IF(ISERROR(AB243),0,AB243)</f>
        <v>0</v>
      </c>
      <c r="AC260" s="1971"/>
      <c r="AD260" s="1972"/>
      <c r="AE260" s="1970">
        <f>IF(ISERROR(AE243),0,AE243)</f>
        <v>0</v>
      </c>
      <c r="AF260" s="1971"/>
      <c r="AG260" s="1972"/>
      <c r="AH260" s="1970">
        <f>IF(ISERROR(AH243),0,AH243)</f>
        <v>0</v>
      </c>
      <c r="AI260" s="1971"/>
      <c r="AJ260" s="1972"/>
      <c r="AK260" s="1970">
        <f>IF(ISERROR(AK243),0,AK243)</f>
        <v>0</v>
      </c>
      <c r="AL260" s="1971"/>
      <c r="AM260" s="1972"/>
      <c r="AN260" s="1994">
        <f t="shared" si="36"/>
        <v>0</v>
      </c>
      <c r="AO260" s="1995"/>
      <c r="AP260" s="1996"/>
      <c r="AQ260" s="48"/>
      <c r="AR260" s="166">
        <f>AC33</f>
        <v>0</v>
      </c>
      <c r="AS260" s="48"/>
      <c r="AT260" s="48"/>
      <c r="AU260" s="481"/>
      <c r="AV260" s="481"/>
      <c r="AW260" s="481"/>
      <c r="AX260" s="481"/>
      <c r="AY260" s="481"/>
      <c r="AZ260" s="481"/>
      <c r="BA260" s="481"/>
      <c r="BB260" s="481"/>
      <c r="BC260" s="481"/>
      <c r="BD260" s="481"/>
      <c r="BE260" s="481"/>
      <c r="BF260" s="481"/>
      <c r="BG260" s="481"/>
      <c r="BH260" s="481"/>
      <c r="BI260" s="481"/>
      <c r="BJ260" s="481"/>
      <c r="BK260" s="481"/>
      <c r="BL260" s="481"/>
      <c r="BM260" s="481"/>
      <c r="BN260" s="481"/>
      <c r="BO260" s="481"/>
      <c r="BP260" s="481"/>
      <c r="BQ260" s="481"/>
      <c r="BR260" s="481"/>
      <c r="BS260" s="481"/>
      <c r="BT260" s="481"/>
      <c r="BU260" s="481"/>
      <c r="BV260" s="481"/>
      <c r="BW260" s="481"/>
      <c r="BX260" s="481"/>
      <c r="BY260" s="481"/>
      <c r="BZ260" s="481"/>
      <c r="CA260" s="481"/>
      <c r="CB260" s="481"/>
      <c r="CC260" s="481"/>
      <c r="CD260" s="481"/>
      <c r="CE260" s="481"/>
      <c r="CF260" s="481"/>
      <c r="CG260" s="481"/>
      <c r="CH260" s="481"/>
      <c r="CI260" s="481"/>
      <c r="CJ260" s="481"/>
      <c r="CK260" s="481"/>
      <c r="CL260" s="481"/>
      <c r="CM260" s="481"/>
      <c r="CN260" s="481"/>
      <c r="CO260" s="481"/>
      <c r="CP260" s="481"/>
      <c r="CQ260" s="481"/>
      <c r="CR260" s="481"/>
      <c r="CS260" s="481"/>
      <c r="CT260" s="481"/>
      <c r="CU260" s="481"/>
      <c r="CV260" s="481"/>
      <c r="CW260" s="481"/>
      <c r="CX260" s="481"/>
      <c r="CY260" s="481"/>
      <c r="CZ260" s="481"/>
      <c r="DA260" s="481"/>
    </row>
    <row r="261" spans="1:160" ht="18" hidden="1" customHeight="1" thickTop="1" x14ac:dyDescent="0.2">
      <c r="A261" s="186"/>
      <c r="B261" s="1981" t="str">
        <f>B246</f>
        <v/>
      </c>
      <c r="C261" s="1982"/>
      <c r="D261" s="1710">
        <f>IF(B261="--",0,IF(ISERROR(D246),0,D246))</f>
        <v>0</v>
      </c>
      <c r="E261" s="1711"/>
      <c r="F261" s="1712"/>
      <c r="G261" s="1710">
        <f>IF(ISERROR(G246),0,G246)</f>
        <v>0</v>
      </c>
      <c r="H261" s="1711"/>
      <c r="I261" s="1712"/>
      <c r="J261" s="1710">
        <f>IF(ISERROR(J246),0,J246)</f>
        <v>0</v>
      </c>
      <c r="K261" s="1711"/>
      <c r="L261" s="1712"/>
      <c r="M261" s="1710">
        <f>IF(ISERROR(M246),0,M246)</f>
        <v>0</v>
      </c>
      <c r="N261" s="1711"/>
      <c r="O261" s="1712"/>
      <c r="P261" s="1710">
        <f>IF(ISERROR(P246),0,P246)</f>
        <v>0</v>
      </c>
      <c r="Q261" s="1711"/>
      <c r="R261" s="1712"/>
      <c r="S261" s="1710">
        <f>IF(ISERROR(S246),0,S246)</f>
        <v>0</v>
      </c>
      <c r="T261" s="1711"/>
      <c r="U261" s="1712"/>
      <c r="V261" s="1710">
        <f>IF(ISERROR(V246),0,V246)</f>
        <v>0</v>
      </c>
      <c r="W261" s="1711"/>
      <c r="X261" s="1712"/>
      <c r="Y261" s="1710">
        <f>IF(ISERROR(Y246),0,Y246)</f>
        <v>0</v>
      </c>
      <c r="Z261" s="1711"/>
      <c r="AA261" s="1712"/>
      <c r="AB261" s="1710">
        <f>IF(ISERROR(AB246),0,AB246)</f>
        <v>0</v>
      </c>
      <c r="AC261" s="1711"/>
      <c r="AD261" s="1712"/>
      <c r="AE261" s="1710">
        <f>IF(ISERROR(AE246),0,AE246)</f>
        <v>0</v>
      </c>
      <c r="AF261" s="1711"/>
      <c r="AG261" s="1712"/>
      <c r="AH261" s="1710">
        <f>IF(ISERROR(AH246),0,AH246)</f>
        <v>0</v>
      </c>
      <c r="AI261" s="1711"/>
      <c r="AJ261" s="1712"/>
      <c r="AK261" s="1710">
        <f>IF(ISERROR(AK246),0,AK246)</f>
        <v>0</v>
      </c>
      <c r="AL261" s="1711"/>
      <c r="AM261" s="1712"/>
      <c r="AN261" s="1997">
        <f t="shared" si="36"/>
        <v>0</v>
      </c>
      <c r="AO261" s="1998"/>
      <c r="AP261" s="1999"/>
      <c r="AQ261" s="48"/>
      <c r="AR261" s="949" t="e">
        <f>HLOOKUP(B245,$I$19:$AF$33,15,FALSE)</f>
        <v>#N/A</v>
      </c>
      <c r="AS261" s="48"/>
      <c r="AT261" s="48"/>
      <c r="AU261" s="481"/>
      <c r="AV261" s="481"/>
      <c r="AW261" s="481"/>
      <c r="AX261" s="481"/>
      <c r="AY261" s="481"/>
      <c r="AZ261" s="481"/>
      <c r="BA261" s="481"/>
      <c r="BB261" s="481"/>
      <c r="BC261" s="481"/>
      <c r="BD261" s="481"/>
      <c r="BE261" s="481"/>
      <c r="BF261" s="481"/>
      <c r="BG261" s="481"/>
      <c r="BH261" s="481"/>
      <c r="BI261" s="481"/>
      <c r="BJ261" s="481"/>
      <c r="BK261" s="481"/>
      <c r="BL261" s="481"/>
      <c r="BM261" s="481"/>
      <c r="BN261" s="481"/>
      <c r="BO261" s="481"/>
      <c r="BP261" s="481"/>
      <c r="BQ261" s="481"/>
      <c r="BR261" s="481"/>
      <c r="BS261" s="481"/>
      <c r="BT261" s="481"/>
      <c r="BU261" s="481"/>
      <c r="BV261" s="481"/>
      <c r="BW261" s="481"/>
      <c r="BX261" s="481"/>
      <c r="BY261" s="481"/>
      <c r="BZ261" s="481"/>
      <c r="CA261" s="481"/>
      <c r="CB261" s="481"/>
      <c r="CC261" s="481"/>
      <c r="CD261" s="481"/>
      <c r="CE261" s="481"/>
      <c r="CF261" s="481"/>
      <c r="CG261" s="481"/>
      <c r="CH261" s="481"/>
      <c r="CI261" s="481"/>
      <c r="CJ261" s="481"/>
      <c r="CK261" s="481"/>
      <c r="CL261" s="481"/>
      <c r="CM261" s="481"/>
      <c r="CN261" s="481"/>
      <c r="CO261" s="481"/>
      <c r="CP261" s="481"/>
      <c r="CQ261" s="481"/>
      <c r="CR261" s="481"/>
      <c r="CS261" s="481"/>
      <c r="CT261" s="481"/>
      <c r="CU261" s="481"/>
      <c r="CV261" s="481"/>
      <c r="CW261" s="481"/>
      <c r="CX261" s="481"/>
      <c r="CY261" s="481"/>
      <c r="CZ261" s="481"/>
      <c r="DA261" s="481"/>
    </row>
    <row r="262" spans="1:160" ht="18" hidden="1" customHeight="1" x14ac:dyDescent="0.2">
      <c r="A262" s="186"/>
      <c r="B262" s="1622" t="str">
        <f>B249</f>
        <v/>
      </c>
      <c r="C262" s="1701"/>
      <c r="D262" s="1588">
        <f>IF(B262="--",0,IF(ISERROR(D249),0,D249))</f>
        <v>0</v>
      </c>
      <c r="E262" s="1589"/>
      <c r="F262" s="1590"/>
      <c r="G262" s="1588">
        <f>IF(ISERROR(G249),0,G249)</f>
        <v>0</v>
      </c>
      <c r="H262" s="1589"/>
      <c r="I262" s="1590"/>
      <c r="J262" s="1588">
        <f>IF(ISERROR(J249),0,J249)</f>
        <v>0</v>
      </c>
      <c r="K262" s="1589"/>
      <c r="L262" s="1590"/>
      <c r="M262" s="1588">
        <f>IF(ISERROR(M249),0,M249)</f>
        <v>0</v>
      </c>
      <c r="N262" s="1589"/>
      <c r="O262" s="1590"/>
      <c r="P262" s="1588">
        <f>IF(ISERROR(P249),0,P249)</f>
        <v>0</v>
      </c>
      <c r="Q262" s="1589"/>
      <c r="R262" s="1590"/>
      <c r="S262" s="1588">
        <f>IF(ISERROR(S249),0,S249)</f>
        <v>0</v>
      </c>
      <c r="T262" s="1589"/>
      <c r="U262" s="1590"/>
      <c r="V262" s="1588">
        <f>IF(ISERROR(V249),0,V249)</f>
        <v>0</v>
      </c>
      <c r="W262" s="1589"/>
      <c r="X262" s="1590"/>
      <c r="Y262" s="1588">
        <f>IF(ISERROR(Y249),0,Y249)</f>
        <v>0</v>
      </c>
      <c r="Z262" s="1589"/>
      <c r="AA262" s="1590"/>
      <c r="AB262" s="1588">
        <f>IF(ISERROR(AB249),0,AB249)</f>
        <v>0</v>
      </c>
      <c r="AC262" s="1589"/>
      <c r="AD262" s="1590"/>
      <c r="AE262" s="1588">
        <f>IF(ISERROR(AE249),0,AE249)</f>
        <v>0</v>
      </c>
      <c r="AF262" s="1589"/>
      <c r="AG262" s="1590"/>
      <c r="AH262" s="1588">
        <f>IF(ISERROR(AH249),0,AH249)</f>
        <v>0</v>
      </c>
      <c r="AI262" s="1589"/>
      <c r="AJ262" s="1590"/>
      <c r="AK262" s="1588">
        <f>IF(ISERROR(AK249),0,AK249)</f>
        <v>0</v>
      </c>
      <c r="AL262" s="1589"/>
      <c r="AM262" s="1590"/>
      <c r="AN262" s="1991">
        <f t="shared" si="36"/>
        <v>0</v>
      </c>
      <c r="AO262" s="1992"/>
      <c r="AP262" s="1993"/>
      <c r="AQ262" s="48"/>
      <c r="AR262" s="949" t="e">
        <f>HLOOKUP(B248,$I$19:$AF$33,15,FALSE)</f>
        <v>#N/A</v>
      </c>
      <c r="AS262" s="48"/>
      <c r="AT262" s="48"/>
      <c r="AU262" s="481"/>
      <c r="AV262" s="481"/>
      <c r="AW262" s="481"/>
      <c r="AX262" s="481"/>
      <c r="AY262" s="481"/>
      <c r="AZ262" s="481"/>
      <c r="BA262" s="481"/>
      <c r="BB262" s="481"/>
      <c r="BC262" s="481"/>
      <c r="BD262" s="481"/>
      <c r="BE262" s="481"/>
      <c r="BF262" s="481"/>
      <c r="BG262" s="481"/>
      <c r="BH262" s="481"/>
      <c r="BI262" s="481"/>
      <c r="BJ262" s="481"/>
      <c r="BK262" s="481"/>
      <c r="BL262" s="481"/>
      <c r="BM262" s="481"/>
      <c r="BN262" s="481"/>
      <c r="BO262" s="481"/>
      <c r="BP262" s="481"/>
      <c r="BQ262" s="481"/>
      <c r="BR262" s="481"/>
      <c r="BS262" s="481"/>
      <c r="BT262" s="481"/>
      <c r="BU262" s="481"/>
      <c r="BV262" s="481"/>
      <c r="BW262" s="481"/>
      <c r="BX262" s="481"/>
      <c r="BY262" s="481"/>
      <c r="BZ262" s="481"/>
      <c r="CA262" s="481"/>
      <c r="CB262" s="481"/>
      <c r="CC262" s="481"/>
      <c r="CD262" s="481"/>
      <c r="CE262" s="481"/>
      <c r="CF262" s="481"/>
      <c r="CG262" s="481"/>
      <c r="CH262" s="481"/>
      <c r="CI262" s="481"/>
      <c r="CJ262" s="481"/>
      <c r="CK262" s="481"/>
      <c r="CL262" s="481"/>
      <c r="CM262" s="481"/>
      <c r="CN262" s="481"/>
      <c r="CO262" s="481"/>
      <c r="CP262" s="481"/>
      <c r="CQ262" s="481"/>
      <c r="CR262" s="481"/>
      <c r="CS262" s="481"/>
      <c r="CT262" s="481"/>
      <c r="CU262" s="481"/>
      <c r="CV262" s="481"/>
      <c r="CW262" s="481"/>
      <c r="CX262" s="481"/>
      <c r="CY262" s="481"/>
      <c r="CZ262" s="481"/>
      <c r="DA262" s="481"/>
    </row>
    <row r="263" spans="1:160" ht="18" hidden="1" customHeight="1" x14ac:dyDescent="0.2">
      <c r="A263" s="186"/>
      <c r="B263" s="1622" t="str">
        <f>B252</f>
        <v/>
      </c>
      <c r="C263" s="1701"/>
      <c r="D263" s="1588">
        <f>IF(B263="--",0,IF(ISERROR(D252),0,D252))</f>
        <v>0</v>
      </c>
      <c r="E263" s="1589"/>
      <c r="F263" s="1590"/>
      <c r="G263" s="1588">
        <f>IF(ISERROR(G252),0,G252)</f>
        <v>0</v>
      </c>
      <c r="H263" s="1589"/>
      <c r="I263" s="1590"/>
      <c r="J263" s="1588">
        <f>IF(ISERROR(J252),0,J252)</f>
        <v>0</v>
      </c>
      <c r="K263" s="1589"/>
      <c r="L263" s="1590"/>
      <c r="M263" s="1588">
        <f>IF(ISERROR(M252),0,M252)</f>
        <v>0</v>
      </c>
      <c r="N263" s="1589"/>
      <c r="O263" s="1590"/>
      <c r="P263" s="1588">
        <f>IF(ISERROR(P252),0,P252)</f>
        <v>0</v>
      </c>
      <c r="Q263" s="1589"/>
      <c r="R263" s="1590"/>
      <c r="S263" s="1588">
        <f>IF(ISERROR(S252),0,S252)</f>
        <v>0</v>
      </c>
      <c r="T263" s="1589"/>
      <c r="U263" s="1590"/>
      <c r="V263" s="1588">
        <f>IF(ISERROR(V252),0,V252)</f>
        <v>0</v>
      </c>
      <c r="W263" s="1589"/>
      <c r="X263" s="1590"/>
      <c r="Y263" s="1588">
        <f>IF(ISERROR(Y252),0,Y252)</f>
        <v>0</v>
      </c>
      <c r="Z263" s="1589"/>
      <c r="AA263" s="1590"/>
      <c r="AB263" s="1588">
        <f>IF(ISERROR(AB252),0,AB252)</f>
        <v>0</v>
      </c>
      <c r="AC263" s="1589"/>
      <c r="AD263" s="1590"/>
      <c r="AE263" s="1588">
        <f>IF(ISERROR(AE252),0,AE252)</f>
        <v>0</v>
      </c>
      <c r="AF263" s="1589"/>
      <c r="AG263" s="1590"/>
      <c r="AH263" s="1588">
        <f>IF(ISERROR(AH252),0,AH252)</f>
        <v>0</v>
      </c>
      <c r="AI263" s="1589"/>
      <c r="AJ263" s="1590"/>
      <c r="AK263" s="1588">
        <f>IF(ISERROR(AK252),0,AK252)</f>
        <v>0</v>
      </c>
      <c r="AL263" s="1589"/>
      <c r="AM263" s="1590"/>
      <c r="AN263" s="1991">
        <f t="shared" si="36"/>
        <v>0</v>
      </c>
      <c r="AO263" s="1992"/>
      <c r="AP263" s="1993"/>
      <c r="AQ263" s="48"/>
      <c r="AR263" s="949" t="e">
        <f>HLOOKUP(B251,$I$19:$AF$33,15,FALSE)</f>
        <v>#N/A</v>
      </c>
      <c r="AS263" s="48"/>
      <c r="AT263" s="48"/>
      <c r="AU263" s="481"/>
      <c r="AV263" s="481"/>
      <c r="AW263" s="481"/>
      <c r="AX263" s="481"/>
      <c r="AY263" s="481"/>
      <c r="AZ263" s="481"/>
      <c r="BA263" s="481"/>
      <c r="BB263" s="481"/>
      <c r="BC263" s="481"/>
      <c r="BD263" s="481"/>
      <c r="BE263" s="481"/>
      <c r="BF263" s="481"/>
      <c r="BG263" s="481"/>
      <c r="BH263" s="481"/>
      <c r="BI263" s="481"/>
      <c r="BJ263" s="481"/>
      <c r="BK263" s="481"/>
      <c r="BL263" s="481"/>
      <c r="BM263" s="481"/>
      <c r="BN263" s="481"/>
      <c r="BO263" s="481"/>
      <c r="BP263" s="481"/>
      <c r="BQ263" s="481"/>
      <c r="BR263" s="481"/>
      <c r="BS263" s="481"/>
      <c r="BT263" s="481"/>
      <c r="BU263" s="481"/>
      <c r="BV263" s="481"/>
      <c r="BW263" s="481"/>
      <c r="BX263" s="481"/>
      <c r="BY263" s="481"/>
      <c r="BZ263" s="481"/>
      <c r="CA263" s="481"/>
      <c r="CB263" s="481"/>
      <c r="CC263" s="481"/>
      <c r="CD263" s="481"/>
      <c r="CE263" s="481"/>
      <c r="CF263" s="481"/>
      <c r="CG263" s="481"/>
      <c r="CH263" s="481"/>
      <c r="CI263" s="481"/>
      <c r="CJ263" s="481"/>
      <c r="CK263" s="481"/>
      <c r="CL263" s="481"/>
      <c r="CM263" s="481"/>
      <c r="CN263" s="481"/>
      <c r="CO263" s="481"/>
      <c r="CP263" s="481"/>
      <c r="CQ263" s="481"/>
      <c r="CR263" s="481"/>
      <c r="CS263" s="481"/>
      <c r="CT263" s="481"/>
      <c r="CU263" s="481"/>
      <c r="CV263" s="481"/>
      <c r="CW263" s="481"/>
      <c r="CX263" s="481"/>
      <c r="CY263" s="481"/>
      <c r="CZ263" s="481"/>
      <c r="DA263" s="481"/>
    </row>
    <row r="264" spans="1:160" ht="18" hidden="1" customHeight="1" x14ac:dyDescent="0.2">
      <c r="A264" s="186"/>
      <c r="B264" s="48"/>
      <c r="C264" s="48"/>
      <c r="D264" s="1598">
        <f>SUM(D257:F263)</f>
        <v>0</v>
      </c>
      <c r="E264" s="1599"/>
      <c r="F264" s="1600"/>
      <c r="G264" s="1598">
        <f>SUM(G257:I263)</f>
        <v>0</v>
      </c>
      <c r="H264" s="1599"/>
      <c r="I264" s="1600"/>
      <c r="J264" s="1598">
        <f>SUM(J257:L263)</f>
        <v>0</v>
      </c>
      <c r="K264" s="1599"/>
      <c r="L264" s="1600"/>
      <c r="M264" s="1598">
        <f>SUM(M257:O263)</f>
        <v>0</v>
      </c>
      <c r="N264" s="1599"/>
      <c r="O264" s="1600"/>
      <c r="P264" s="1598">
        <f>SUM(P257:R263)</f>
        <v>0</v>
      </c>
      <c r="Q264" s="1599"/>
      <c r="R264" s="1600"/>
      <c r="S264" s="1598">
        <f>SUM(S257:U263)</f>
        <v>0</v>
      </c>
      <c r="T264" s="1599"/>
      <c r="U264" s="1600"/>
      <c r="V264" s="1598">
        <f>SUM(V257:X263)</f>
        <v>0</v>
      </c>
      <c r="W264" s="1599"/>
      <c r="X264" s="1600"/>
      <c r="Y264" s="1598">
        <f>SUM(Y257:AA263)</f>
        <v>0</v>
      </c>
      <c r="Z264" s="1599"/>
      <c r="AA264" s="1600"/>
      <c r="AB264" s="1598">
        <f>SUM(AB257:AD263)</f>
        <v>0</v>
      </c>
      <c r="AC264" s="1599"/>
      <c r="AD264" s="1600"/>
      <c r="AE264" s="1598">
        <f>SUM(AE257:AG263)</f>
        <v>0</v>
      </c>
      <c r="AF264" s="1599"/>
      <c r="AG264" s="1600"/>
      <c r="AH264" s="1598">
        <f>SUM(AH257:AJ263)</f>
        <v>0</v>
      </c>
      <c r="AI264" s="1599"/>
      <c r="AJ264" s="1600"/>
      <c r="AK264" s="1598">
        <f>SUM(AK257:AM263)</f>
        <v>0</v>
      </c>
      <c r="AL264" s="1599"/>
      <c r="AM264" s="1600"/>
      <c r="AN264" s="1598">
        <f>SUM(D264:AM264)</f>
        <v>0</v>
      </c>
      <c r="AO264" s="1599"/>
      <c r="AP264" s="1600"/>
      <c r="AQ264" s="48"/>
      <c r="AR264" s="48"/>
      <c r="AS264" s="48"/>
      <c r="AT264" s="48"/>
      <c r="AU264" s="481"/>
      <c r="AV264" s="481"/>
      <c r="AW264" s="481"/>
      <c r="AX264" s="481"/>
      <c r="AY264" s="481"/>
      <c r="AZ264" s="481"/>
      <c r="BA264" s="481"/>
      <c r="BB264" s="481"/>
      <c r="BC264" s="481"/>
      <c r="BD264" s="481"/>
      <c r="BE264" s="481"/>
      <c r="BF264" s="481"/>
      <c r="BG264" s="481"/>
      <c r="BH264" s="481"/>
      <c r="BI264" s="481"/>
      <c r="BJ264" s="481"/>
      <c r="BK264" s="481"/>
      <c r="BL264" s="481"/>
      <c r="BM264" s="481"/>
      <c r="BN264" s="481"/>
      <c r="BO264" s="481"/>
      <c r="BP264" s="481"/>
      <c r="BQ264" s="481"/>
      <c r="BR264" s="481"/>
      <c r="BS264" s="481"/>
      <c r="BT264" s="481"/>
      <c r="BU264" s="481"/>
      <c r="BV264" s="481"/>
      <c r="BW264" s="481"/>
      <c r="BX264" s="481"/>
      <c r="BY264" s="481"/>
      <c r="BZ264" s="481"/>
      <c r="CA264" s="481"/>
      <c r="CB264" s="481"/>
      <c r="CC264" s="481"/>
      <c r="CD264" s="481"/>
      <c r="CE264" s="481"/>
      <c r="CF264" s="481"/>
      <c r="CG264" s="481"/>
      <c r="CH264" s="481"/>
      <c r="CI264" s="481"/>
      <c r="CJ264" s="481"/>
      <c r="CK264" s="481"/>
      <c r="CL264" s="481"/>
      <c r="CM264" s="481"/>
      <c r="CN264" s="481"/>
      <c r="CO264" s="481"/>
      <c r="CP264" s="481"/>
      <c r="CQ264" s="481"/>
      <c r="CR264" s="481"/>
      <c r="CS264" s="481"/>
      <c r="CT264" s="481"/>
      <c r="CU264" s="481"/>
      <c r="CV264" s="481"/>
      <c r="CW264" s="481"/>
      <c r="CX264" s="481"/>
      <c r="CY264" s="481"/>
      <c r="CZ264" s="481"/>
      <c r="DA264" s="481"/>
      <c r="DB264" s="481"/>
      <c r="DC264" s="481"/>
      <c r="DD264" s="481"/>
      <c r="DE264" s="481"/>
      <c r="DF264" s="481"/>
      <c r="DG264" s="481"/>
      <c r="DH264" s="481"/>
      <c r="DI264" s="481"/>
      <c r="DJ264" s="481"/>
      <c r="DK264" s="481"/>
      <c r="DL264" s="481"/>
      <c r="DM264" s="481"/>
      <c r="DN264" s="481"/>
      <c r="DO264" s="481"/>
      <c r="DP264" s="481"/>
      <c r="DQ264" s="481"/>
      <c r="DR264" s="481"/>
      <c r="DS264" s="481"/>
      <c r="DT264" s="481"/>
      <c r="DU264" s="481"/>
      <c r="DV264" s="481"/>
      <c r="DW264" s="481"/>
      <c r="DX264" s="481"/>
      <c r="DY264" s="481"/>
      <c r="DZ264" s="481"/>
      <c r="EA264" s="481"/>
      <c r="EB264" s="481"/>
      <c r="EC264" s="481"/>
      <c r="ED264" s="481"/>
      <c r="EE264" s="481"/>
      <c r="EF264" s="481"/>
      <c r="EG264" s="481"/>
      <c r="EH264" s="481"/>
      <c r="EI264" s="481"/>
      <c r="EJ264" s="481"/>
      <c r="EK264" s="481"/>
      <c r="EL264" s="481"/>
      <c r="EM264" s="481"/>
      <c r="EN264" s="481"/>
      <c r="EO264" s="481"/>
      <c r="EP264" s="481"/>
      <c r="EQ264" s="481"/>
      <c r="ER264" s="481"/>
      <c r="ES264" s="481"/>
      <c r="ET264" s="481"/>
      <c r="EU264" s="481"/>
      <c r="EV264" s="481"/>
      <c r="EW264" s="481"/>
      <c r="EX264" s="481"/>
      <c r="EY264" s="481"/>
      <c r="EZ264" s="481"/>
      <c r="FA264" s="481"/>
      <c r="FB264" s="481"/>
      <c r="FC264" s="481"/>
      <c r="FD264" s="481"/>
    </row>
    <row r="265" spans="1:160" ht="18" hidden="1" customHeight="1" x14ac:dyDescent="0.2">
      <c r="A265" s="186"/>
      <c r="B265" s="48"/>
      <c r="C265" s="48"/>
      <c r="D265" s="1588">
        <f>D264-(SUMIF($AR257:$AR263,$C$146,D257:F263))</f>
        <v>0</v>
      </c>
      <c r="E265" s="1589"/>
      <c r="F265" s="1590"/>
      <c r="G265" s="1588">
        <f>G264+D265-(SUMIF($AR257:$AR263,$C$146,G257:I263))</f>
        <v>0</v>
      </c>
      <c r="H265" s="1589"/>
      <c r="I265" s="1590"/>
      <c r="J265" s="1588">
        <f>J264+G265-(SUMIF($AR257:$AR263,$C$146,J257:L263))</f>
        <v>0</v>
      </c>
      <c r="K265" s="1589"/>
      <c r="L265" s="1590"/>
      <c r="M265" s="1588">
        <f>M264+J265-(SUMIF($AR257:$AR263,$C$146,M257:O263))</f>
        <v>0</v>
      </c>
      <c r="N265" s="1589"/>
      <c r="O265" s="1590"/>
      <c r="P265" s="1588">
        <f>P264+M265-(SUMIF($AR257:$AR263,$C$146,P257:R263))</f>
        <v>0</v>
      </c>
      <c r="Q265" s="1589"/>
      <c r="R265" s="1590"/>
      <c r="S265" s="1588">
        <f>S264+P265-(SUMIF($AR257:$AR263,$C$146,S257:U263))</f>
        <v>0</v>
      </c>
      <c r="T265" s="1589"/>
      <c r="U265" s="1590"/>
      <c r="V265" s="1588">
        <f>V264+S265-(SUMIF($AR257:$AR263,$C$146,V257:X263))</f>
        <v>0</v>
      </c>
      <c r="W265" s="1589"/>
      <c r="X265" s="1590"/>
      <c r="Y265" s="1588">
        <f>Y264+V265-(SUMIF($AR257:$AR263,$C$146,Y257:AA263))</f>
        <v>0</v>
      </c>
      <c r="Z265" s="1589"/>
      <c r="AA265" s="1590"/>
      <c r="AB265" s="1588">
        <f>AB264+Y265-(SUMIF($AR257:$AR263,$C$146,AB257:AD263))</f>
        <v>0</v>
      </c>
      <c r="AC265" s="1589"/>
      <c r="AD265" s="1590"/>
      <c r="AE265" s="1588">
        <f>AE264+AB265-(SUMIF($AR257:$AR263,$C$146,AE257:AG263))</f>
        <v>0</v>
      </c>
      <c r="AF265" s="1589"/>
      <c r="AG265" s="1590"/>
      <c r="AH265" s="1588">
        <f>AH264+AE265-(SUMIF($AR257:$AR263,$C$146,AH257:AJ263))</f>
        <v>0</v>
      </c>
      <c r="AI265" s="1589"/>
      <c r="AJ265" s="1590"/>
      <c r="AK265" s="1588">
        <f>AK264+AH265-(SUMIF($AR257:$AR263,$C$146,AK257:AM263))</f>
        <v>0</v>
      </c>
      <c r="AL265" s="1589"/>
      <c r="AM265" s="1590"/>
      <c r="AN265" s="48"/>
      <c r="AO265" s="48"/>
      <c r="AP265" s="48"/>
      <c r="AQ265" s="48"/>
      <c r="AR265" s="48"/>
      <c r="AS265" s="48"/>
      <c r="AT265" s="48"/>
      <c r="AU265" s="48"/>
      <c r="AV265" s="48"/>
      <c r="AW265" s="48"/>
      <c r="AX265" s="48"/>
      <c r="AY265" s="48"/>
      <c r="AZ265" s="48"/>
      <c r="BA265" s="48"/>
      <c r="BB265" s="48"/>
      <c r="BC265" s="48"/>
      <c r="BD265" s="481"/>
      <c r="BE265" s="481"/>
      <c r="BF265" s="481"/>
      <c r="BG265" s="481"/>
      <c r="BH265" s="481"/>
      <c r="BI265" s="481"/>
      <c r="BJ265" s="481"/>
      <c r="BK265" s="481"/>
      <c r="BL265" s="481"/>
      <c r="BM265" s="481"/>
      <c r="BN265" s="481"/>
      <c r="BO265" s="481"/>
      <c r="BP265" s="481"/>
      <c r="BQ265" s="481"/>
      <c r="BR265" s="481"/>
      <c r="BS265" s="481"/>
      <c r="BT265" s="481"/>
      <c r="BU265" s="481"/>
      <c r="BV265" s="481"/>
      <c r="BW265" s="481"/>
      <c r="BX265" s="481"/>
      <c r="BY265" s="481"/>
      <c r="BZ265" s="481"/>
      <c r="CA265" s="481"/>
      <c r="CB265" s="481"/>
      <c r="CC265" s="481"/>
      <c r="CD265" s="481"/>
      <c r="CE265" s="481"/>
      <c r="CF265" s="481"/>
      <c r="CG265" s="481"/>
      <c r="CH265" s="481"/>
      <c r="CI265" s="481"/>
      <c r="CJ265" s="481"/>
      <c r="CK265" s="481"/>
      <c r="CL265" s="481"/>
      <c r="CM265" s="481"/>
      <c r="CN265" s="481"/>
      <c r="CO265" s="481"/>
      <c r="CP265" s="481"/>
      <c r="CQ265" s="481"/>
      <c r="CR265" s="481"/>
      <c r="CS265" s="481"/>
      <c r="CT265" s="481"/>
      <c r="CU265" s="481"/>
      <c r="CV265" s="481"/>
      <c r="CW265" s="481"/>
      <c r="CX265" s="481"/>
      <c r="CY265" s="481"/>
      <c r="CZ265" s="481"/>
      <c r="DA265" s="481"/>
      <c r="DB265" s="481"/>
      <c r="DC265" s="481"/>
      <c r="DD265" s="481"/>
      <c r="DE265" s="481"/>
      <c r="DF265" s="481"/>
      <c r="DG265" s="481"/>
      <c r="DH265" s="481"/>
      <c r="DI265" s="481"/>
      <c r="DJ265" s="481"/>
      <c r="DK265" s="481"/>
      <c r="DL265" s="481"/>
      <c r="DM265" s="481"/>
      <c r="DN265" s="481"/>
      <c r="DO265" s="481"/>
      <c r="DP265" s="481"/>
      <c r="DQ265" s="481"/>
      <c r="DR265" s="481"/>
      <c r="DS265" s="481"/>
      <c r="DT265" s="481"/>
      <c r="DU265" s="481"/>
      <c r="DV265" s="481"/>
      <c r="DW265" s="481"/>
      <c r="DX265" s="481"/>
      <c r="DY265" s="481"/>
      <c r="DZ265" s="481"/>
      <c r="EA265" s="481"/>
      <c r="EB265" s="481"/>
      <c r="EC265" s="481"/>
      <c r="ED265" s="481"/>
      <c r="EE265" s="481"/>
      <c r="EF265" s="481"/>
      <c r="EG265" s="481"/>
      <c r="EH265" s="481"/>
      <c r="EI265" s="481"/>
      <c r="EJ265" s="481"/>
      <c r="EK265" s="481"/>
      <c r="EL265" s="481"/>
      <c r="EM265" s="481"/>
      <c r="EN265" s="481"/>
      <c r="EO265" s="481"/>
      <c r="EP265" s="481"/>
      <c r="EQ265" s="481"/>
      <c r="ER265" s="481"/>
      <c r="ES265" s="481"/>
      <c r="ET265" s="481"/>
      <c r="EU265" s="481"/>
      <c r="EV265" s="481"/>
      <c r="EW265" s="481"/>
      <c r="EX265" s="481"/>
      <c r="EY265" s="481"/>
      <c r="EZ265" s="481"/>
      <c r="FA265" s="481"/>
      <c r="FB265" s="481"/>
      <c r="FC265" s="481"/>
      <c r="FD265" s="481"/>
    </row>
    <row r="266" spans="1:160" ht="18" hidden="1" customHeight="1" x14ac:dyDescent="0.2">
      <c r="A266" s="186"/>
      <c r="B266" s="48"/>
      <c r="C266" s="48"/>
      <c r="D266" s="185"/>
      <c r="E266" s="185"/>
      <c r="F266" s="185"/>
      <c r="G266" s="185"/>
      <c r="H266" s="185"/>
      <c r="I266" s="185"/>
      <c r="J266" s="185"/>
      <c r="K266" s="185"/>
      <c r="L266" s="185"/>
      <c r="M266" s="185"/>
      <c r="N266" s="185"/>
      <c r="O266" s="185"/>
      <c r="P266" s="185"/>
      <c r="Q266" s="185"/>
      <c r="R266" s="185"/>
      <c r="S266" s="185"/>
      <c r="T266" s="185"/>
      <c r="U266" s="185"/>
      <c r="V266" s="185"/>
      <c r="W266" s="185"/>
      <c r="X266" s="185"/>
      <c r="Y266" s="185"/>
      <c r="Z266" s="185"/>
      <c r="AA266" s="185"/>
      <c r="AB266" s="185"/>
      <c r="AC266" s="186"/>
      <c r="AD266" s="186"/>
      <c r="AE266" s="186"/>
      <c r="AF266" s="186"/>
      <c r="AG266" s="186"/>
      <c r="AH266" s="186"/>
      <c r="AI266" s="186"/>
      <c r="AJ266" s="186"/>
      <c r="AK266" s="186"/>
      <c r="AL266" s="186"/>
      <c r="AM266" s="186"/>
      <c r="AN266" s="48"/>
      <c r="AO266" s="48"/>
      <c r="AP266" s="48"/>
      <c r="AQ266" s="48"/>
      <c r="AR266" s="48"/>
      <c r="AS266" s="48"/>
      <c r="AT266" s="48"/>
      <c r="AU266" s="48"/>
      <c r="AV266" s="48"/>
      <c r="AW266" s="48"/>
      <c r="AX266" s="48"/>
      <c r="AY266" s="48"/>
      <c r="AZ266" s="48"/>
      <c r="BA266" s="48"/>
      <c r="BB266" s="48"/>
      <c r="BC266" s="48"/>
      <c r="BD266" s="481"/>
      <c r="BE266" s="481"/>
      <c r="BF266" s="481"/>
      <c r="BG266" s="481"/>
      <c r="BH266" s="481"/>
      <c r="BI266" s="481"/>
      <c r="BJ266" s="481"/>
      <c r="BK266" s="481"/>
      <c r="BL266" s="481"/>
      <c r="BM266" s="481"/>
      <c r="BN266" s="481"/>
      <c r="BO266" s="481"/>
      <c r="BP266" s="481"/>
      <c r="BQ266" s="481"/>
      <c r="BR266" s="481"/>
      <c r="BS266" s="481"/>
      <c r="BT266" s="481"/>
      <c r="BU266" s="481"/>
      <c r="BV266" s="481"/>
      <c r="BW266" s="481"/>
      <c r="BX266" s="481"/>
      <c r="BY266" s="481"/>
      <c r="BZ266" s="481"/>
      <c r="CA266" s="481"/>
      <c r="CB266" s="481"/>
      <c r="CC266" s="481"/>
      <c r="CD266" s="481"/>
      <c r="CE266" s="481"/>
      <c r="CF266" s="481"/>
      <c r="CG266" s="481"/>
      <c r="CH266" s="481"/>
      <c r="CI266" s="481"/>
      <c r="CJ266" s="481"/>
      <c r="CK266" s="481"/>
      <c r="CL266" s="481"/>
      <c r="CM266" s="481"/>
      <c r="CN266" s="481"/>
      <c r="CO266" s="481"/>
      <c r="CP266" s="481"/>
      <c r="CQ266" s="481"/>
      <c r="CR266" s="481"/>
      <c r="CS266" s="481"/>
      <c r="CT266" s="481"/>
      <c r="CU266" s="481"/>
      <c r="CV266" s="481"/>
      <c r="CW266" s="481"/>
      <c r="CX266" s="481"/>
      <c r="CY266" s="481"/>
      <c r="CZ266" s="481"/>
      <c r="DA266" s="481"/>
      <c r="DB266" s="481"/>
      <c r="DC266" s="481"/>
      <c r="DD266" s="481"/>
      <c r="DE266" s="481"/>
      <c r="DF266" s="481"/>
      <c r="DG266" s="481"/>
      <c r="DH266" s="481"/>
      <c r="DI266" s="481"/>
      <c r="DJ266" s="481"/>
      <c r="DK266" s="481"/>
      <c r="DL266" s="481"/>
      <c r="DM266" s="481"/>
      <c r="DN266" s="481"/>
      <c r="DO266" s="481"/>
      <c r="DP266" s="481"/>
      <c r="DQ266" s="481"/>
      <c r="DR266" s="481"/>
      <c r="DS266" s="481"/>
      <c r="DT266" s="481"/>
      <c r="DU266" s="481"/>
      <c r="DV266" s="481"/>
      <c r="DW266" s="481"/>
      <c r="DX266" s="481"/>
      <c r="DY266" s="481"/>
      <c r="DZ266" s="481"/>
      <c r="EA266" s="481"/>
      <c r="EB266" s="481"/>
      <c r="EC266" s="481"/>
      <c r="ED266" s="481"/>
      <c r="EE266" s="481"/>
      <c r="EF266" s="481"/>
      <c r="EG266" s="481"/>
      <c r="EH266" s="481"/>
      <c r="EI266" s="481"/>
      <c r="EJ266" s="481"/>
      <c r="EK266" s="481"/>
      <c r="EL266" s="481"/>
      <c r="EM266" s="481"/>
      <c r="EN266" s="481"/>
      <c r="EO266" s="481"/>
      <c r="EP266" s="481"/>
      <c r="EQ266" s="481"/>
      <c r="ER266" s="481"/>
      <c r="ES266" s="481"/>
      <c r="ET266" s="481"/>
      <c r="EU266" s="481"/>
      <c r="EV266" s="481"/>
      <c r="EW266" s="481"/>
      <c r="EX266" s="481"/>
      <c r="EY266" s="481"/>
      <c r="EZ266" s="481"/>
      <c r="FA266" s="481"/>
      <c r="FB266" s="481"/>
      <c r="FC266" s="481"/>
      <c r="FD266" s="481"/>
    </row>
    <row r="267" spans="1:160" ht="18" hidden="1" customHeight="1" x14ac:dyDescent="0.2">
      <c r="A267" s="186"/>
      <c r="B267" s="48"/>
      <c r="C267" s="48"/>
      <c r="D267" s="185"/>
      <c r="E267" s="185"/>
      <c r="F267" s="185"/>
      <c r="G267" s="185"/>
      <c r="H267" s="185"/>
      <c r="I267" s="185"/>
      <c r="J267" s="185"/>
      <c r="K267" s="185"/>
      <c r="L267" s="185"/>
      <c r="M267" s="185"/>
      <c r="N267" s="185"/>
      <c r="O267" s="185"/>
      <c r="P267" s="185"/>
      <c r="Q267" s="185"/>
      <c r="R267" s="185"/>
      <c r="S267" s="185"/>
      <c r="T267" s="185"/>
      <c r="U267" s="185"/>
      <c r="V267" s="185"/>
      <c r="W267" s="185"/>
      <c r="X267" s="185"/>
      <c r="Y267" s="185"/>
      <c r="Z267" s="185"/>
      <c r="AA267" s="185"/>
      <c r="AB267" s="185"/>
      <c r="AC267" s="186"/>
      <c r="AD267" s="186"/>
      <c r="AE267" s="186"/>
      <c r="AF267" s="186"/>
      <c r="AG267" s="186"/>
      <c r="AH267" s="186"/>
      <c r="AI267" s="186"/>
      <c r="AJ267" s="186"/>
      <c r="AK267" s="186"/>
      <c r="AL267" s="186"/>
      <c r="AM267" s="186"/>
      <c r="AN267" s="48"/>
      <c r="AO267" s="48"/>
      <c r="AP267" s="48"/>
      <c r="AQ267" s="48"/>
      <c r="AR267" s="48"/>
      <c r="AS267" s="48"/>
      <c r="AT267" s="48"/>
      <c r="AU267" s="48"/>
      <c r="AV267" s="48"/>
      <c r="AW267" s="48"/>
      <c r="AX267" s="48"/>
      <c r="AY267" s="48"/>
      <c r="AZ267" s="48"/>
      <c r="BA267" s="48"/>
      <c r="BB267" s="48"/>
      <c r="BC267" s="48"/>
      <c r="BD267" s="481"/>
      <c r="BE267" s="481"/>
      <c r="BF267" s="481"/>
      <c r="BG267" s="481"/>
      <c r="BH267" s="481"/>
      <c r="BI267" s="481"/>
      <c r="BJ267" s="481"/>
      <c r="BK267" s="481"/>
      <c r="BL267" s="481"/>
      <c r="BM267" s="481"/>
      <c r="BN267" s="481"/>
      <c r="BO267" s="481"/>
      <c r="BP267" s="481"/>
      <c r="BQ267" s="481"/>
      <c r="BR267" s="481"/>
      <c r="BS267" s="481"/>
      <c r="BT267" s="481"/>
      <c r="BU267" s="481"/>
      <c r="BV267" s="481"/>
      <c r="BW267" s="481"/>
      <c r="BX267" s="481"/>
      <c r="BY267" s="481"/>
      <c r="BZ267" s="481"/>
      <c r="CA267" s="481"/>
      <c r="CB267" s="481"/>
      <c r="CC267" s="481"/>
      <c r="CD267" s="481"/>
      <c r="CE267" s="481"/>
      <c r="CF267" s="481"/>
      <c r="CG267" s="481"/>
      <c r="CH267" s="481"/>
      <c r="CI267" s="481"/>
      <c r="CJ267" s="481"/>
      <c r="CK267" s="481"/>
      <c r="CL267" s="481"/>
      <c r="CM267" s="481"/>
      <c r="CN267" s="481"/>
      <c r="CO267" s="481"/>
      <c r="CP267" s="481"/>
      <c r="CQ267" s="481"/>
      <c r="CR267" s="481"/>
      <c r="CS267" s="481"/>
      <c r="CT267" s="481"/>
      <c r="CU267" s="481"/>
      <c r="CV267" s="481"/>
      <c r="CW267" s="481"/>
      <c r="CX267" s="481"/>
      <c r="CY267" s="481"/>
      <c r="CZ267" s="481"/>
      <c r="DA267" s="481"/>
      <c r="DB267" s="481"/>
      <c r="DC267" s="481"/>
      <c r="DD267" s="481"/>
      <c r="DE267" s="481"/>
      <c r="DF267" s="481"/>
      <c r="DG267" s="481"/>
      <c r="DH267" s="481"/>
      <c r="DI267" s="481"/>
      <c r="DJ267" s="481"/>
      <c r="DK267" s="481"/>
      <c r="DL267" s="481"/>
      <c r="DM267" s="481"/>
      <c r="DN267" s="481"/>
      <c r="DO267" s="481"/>
      <c r="DP267" s="481"/>
      <c r="DQ267" s="481"/>
      <c r="DR267" s="481"/>
      <c r="DS267" s="481"/>
      <c r="DT267" s="481"/>
      <c r="DU267" s="481"/>
      <c r="DV267" s="481"/>
      <c r="DW267" s="481"/>
      <c r="DX267" s="481"/>
      <c r="DY267" s="481"/>
      <c r="DZ267" s="481"/>
      <c r="EA267" s="481"/>
      <c r="EB267" s="481"/>
      <c r="EC267" s="481"/>
      <c r="ED267" s="481"/>
      <c r="EE267" s="481"/>
      <c r="EF267" s="481"/>
      <c r="EG267" s="481"/>
      <c r="EH267" s="481"/>
      <c r="EI267" s="481"/>
      <c r="EJ267" s="481"/>
      <c r="EK267" s="481"/>
      <c r="EL267" s="481"/>
      <c r="EM267" s="481"/>
      <c r="EN267" s="481"/>
      <c r="EO267" s="481"/>
      <c r="EP267" s="481"/>
      <c r="EQ267" s="481"/>
      <c r="ER267" s="481"/>
      <c r="ES267" s="481"/>
      <c r="ET267" s="481"/>
      <c r="EU267" s="481"/>
      <c r="EV267" s="481"/>
      <c r="EW267" s="481"/>
      <c r="EX267" s="481"/>
      <c r="EY267" s="481"/>
      <c r="EZ267" s="481"/>
      <c r="FA267" s="481"/>
      <c r="FB267" s="481"/>
      <c r="FC267" s="481"/>
      <c r="FD267" s="481"/>
    </row>
    <row r="268" spans="1:160" ht="18" hidden="1" customHeight="1" x14ac:dyDescent="0.2">
      <c r="A268" s="48"/>
      <c r="B268" s="1591" t="str">
        <f>G268</f>
        <v>Gennaio</v>
      </c>
      <c r="C268" s="1592"/>
      <c r="D268" s="1705"/>
      <c r="E268" s="1706" t="str">
        <f>B256</f>
        <v>LORDO</v>
      </c>
      <c r="F268" s="1688"/>
      <c r="G268" s="1601" t="str">
        <f>D256</f>
        <v>Gennaio</v>
      </c>
      <c r="H268" s="1602"/>
      <c r="I268" s="1603"/>
      <c r="J268" s="48"/>
      <c r="K268" s="1601" t="str">
        <f>P268</f>
        <v>Febbraio</v>
      </c>
      <c r="L268" s="1602"/>
      <c r="M268" s="1603"/>
      <c r="N268" s="185"/>
      <c r="O268" s="185"/>
      <c r="P268" s="1601" t="str">
        <f>G256</f>
        <v>Febbraio</v>
      </c>
      <c r="Q268" s="1602"/>
      <c r="R268" s="1603"/>
      <c r="S268" s="48"/>
      <c r="T268" s="1601" t="str">
        <f>Y268</f>
        <v>Marzo</v>
      </c>
      <c r="U268" s="1602"/>
      <c r="V268" s="1603"/>
      <c r="W268" s="185"/>
      <c r="X268" s="185"/>
      <c r="Y268" s="1601" t="str">
        <f>J256</f>
        <v>Marzo</v>
      </c>
      <c r="Z268" s="1602"/>
      <c r="AA268" s="1603"/>
      <c r="AB268" s="48"/>
      <c r="AC268" s="1601" t="str">
        <f>AH268</f>
        <v>Aprile</v>
      </c>
      <c r="AD268" s="1602"/>
      <c r="AE268" s="1603"/>
      <c r="AF268" s="185"/>
      <c r="AG268" s="185"/>
      <c r="AH268" s="1601" t="str">
        <f>M256</f>
        <v>Aprile</v>
      </c>
      <c r="AI268" s="1602"/>
      <c r="AJ268" s="1603"/>
      <c r="AK268" s="48"/>
      <c r="AL268" s="1601" t="str">
        <f>AQ268</f>
        <v>Maggio</v>
      </c>
      <c r="AM268" s="1602"/>
      <c r="AN268" s="1603"/>
      <c r="AO268" s="185"/>
      <c r="AP268" s="185"/>
      <c r="AQ268" s="1601" t="str">
        <f>P256</f>
        <v>Maggio</v>
      </c>
      <c r="AR268" s="1602"/>
      <c r="AS268" s="1603"/>
      <c r="AT268" s="48"/>
      <c r="AU268" s="1601" t="str">
        <f>AZ268</f>
        <v>Giugno</v>
      </c>
      <c r="AV268" s="1602"/>
      <c r="AW268" s="1603"/>
      <c r="AX268" s="185"/>
      <c r="AY268" s="185"/>
      <c r="AZ268" s="1601" t="str">
        <f>S256</f>
        <v>Giugno</v>
      </c>
      <c r="BA268" s="1602"/>
      <c r="BB268" s="1603"/>
      <c r="BC268" s="48"/>
      <c r="BD268" s="481"/>
      <c r="BE268" s="481"/>
      <c r="BF268" s="481"/>
      <c r="BG268" s="481"/>
      <c r="BH268" s="481"/>
      <c r="BI268" s="481"/>
      <c r="BJ268" s="481"/>
      <c r="BK268" s="481"/>
      <c r="BL268" s="481"/>
      <c r="BM268" s="481"/>
      <c r="BN268" s="481"/>
      <c r="BO268" s="481"/>
      <c r="BP268" s="481"/>
      <c r="BQ268" s="481"/>
      <c r="BR268" s="481"/>
      <c r="BS268" s="481"/>
      <c r="BT268" s="481"/>
      <c r="BU268" s="481"/>
      <c r="BV268" s="481"/>
      <c r="BW268" s="481"/>
      <c r="BX268" s="481"/>
      <c r="BY268" s="481"/>
      <c r="BZ268" s="481"/>
      <c r="CA268" s="481"/>
      <c r="CB268" s="481"/>
      <c r="CC268" s="481"/>
      <c r="CD268" s="481"/>
      <c r="CE268" s="481"/>
      <c r="CF268" s="481"/>
      <c r="CG268" s="481"/>
      <c r="CH268" s="481"/>
      <c r="CI268" s="481"/>
      <c r="CJ268" s="481"/>
      <c r="CK268" s="481"/>
      <c r="CL268" s="481"/>
      <c r="CM268" s="481"/>
      <c r="CN268" s="481"/>
      <c r="CO268" s="481"/>
      <c r="CP268" s="481"/>
      <c r="CQ268" s="481"/>
      <c r="CR268" s="481"/>
      <c r="CS268" s="481"/>
      <c r="CT268" s="481"/>
      <c r="CU268" s="481"/>
      <c r="CV268" s="481"/>
      <c r="CW268" s="481"/>
      <c r="CX268" s="481"/>
      <c r="CY268" s="481"/>
      <c r="CZ268" s="481"/>
      <c r="DA268" s="481"/>
      <c r="DB268" s="481"/>
      <c r="DC268" s="481"/>
      <c r="DD268" s="481"/>
      <c r="DE268" s="481"/>
      <c r="DF268" s="481"/>
      <c r="DG268" s="481"/>
      <c r="DH268" s="481"/>
      <c r="DI268" s="481"/>
      <c r="DJ268" s="481"/>
      <c r="DK268" s="481"/>
      <c r="DL268" s="481"/>
      <c r="DM268" s="481"/>
      <c r="DN268" s="481"/>
      <c r="DO268" s="481"/>
      <c r="DP268" s="481"/>
      <c r="DQ268" s="481"/>
      <c r="DR268" s="481"/>
      <c r="DS268" s="481"/>
      <c r="DT268" s="481"/>
      <c r="DU268" s="481"/>
      <c r="DV268" s="481"/>
      <c r="DW268" s="481"/>
      <c r="DX268" s="481"/>
      <c r="DY268" s="481"/>
      <c r="DZ268" s="481"/>
      <c r="EA268" s="481"/>
      <c r="EB268" s="481"/>
      <c r="EC268" s="481"/>
      <c r="ED268" s="481"/>
      <c r="EE268" s="481"/>
      <c r="EF268" s="481"/>
      <c r="EG268" s="481"/>
      <c r="EH268" s="481"/>
      <c r="EI268" s="481"/>
      <c r="EJ268" s="481"/>
      <c r="EK268" s="481"/>
      <c r="EL268" s="481"/>
      <c r="EM268" s="481"/>
      <c r="EN268" s="481"/>
      <c r="EO268" s="481"/>
      <c r="EP268" s="481"/>
      <c r="EQ268" s="481"/>
      <c r="ER268" s="481"/>
      <c r="ES268" s="481"/>
      <c r="ET268" s="481"/>
      <c r="EU268" s="481"/>
      <c r="EV268" s="481"/>
      <c r="EW268" s="481"/>
      <c r="EX268" s="481"/>
      <c r="EY268" s="481"/>
      <c r="EZ268" s="481"/>
      <c r="FA268" s="481"/>
      <c r="FB268" s="481"/>
      <c r="FC268" s="481"/>
      <c r="FD268" s="481"/>
    </row>
    <row r="269" spans="1:160" ht="18" hidden="1" customHeight="1" x14ac:dyDescent="0.2">
      <c r="A269" s="48"/>
      <c r="B269" s="1588">
        <v>0</v>
      </c>
      <c r="C269" s="1589"/>
      <c r="D269" s="1590"/>
      <c r="E269" s="1622" t="str">
        <f>GEN!G$1</f>
        <v>--</v>
      </c>
      <c r="F269" s="1623"/>
      <c r="G269" s="1588">
        <f>SUMIF($B$257:$B$263,E269,D$257:D$263)</f>
        <v>0</v>
      </c>
      <c r="H269" s="1589"/>
      <c r="I269" s="1590"/>
      <c r="J269" s="48"/>
      <c r="K269" s="1588">
        <f>SUMIF($B$257:$B$263,N269,D$257:D$263)</f>
        <v>0</v>
      </c>
      <c r="L269" s="1589"/>
      <c r="M269" s="1590"/>
      <c r="N269" s="1622" t="str">
        <f>FEB!G$1</f>
        <v>--</v>
      </c>
      <c r="O269" s="1623"/>
      <c r="P269" s="1588">
        <f>SUMIF($B$257:$B$263,N269,G$257:G$263)+SUMIF($B$257:$B$263,N269,D$257:D$263)</f>
        <v>0</v>
      </c>
      <c r="Q269" s="1589"/>
      <c r="R269" s="1590"/>
      <c r="S269" s="48"/>
      <c r="T269" s="1588">
        <f>SUMIF($B$257:$B$263,W269,G$257:G$263)+SUMIF($B$257:$B$263,W269,D$257:D$263)</f>
        <v>0</v>
      </c>
      <c r="U269" s="1589"/>
      <c r="V269" s="1590"/>
      <c r="W269" s="1622" t="str">
        <f>MAR!G$1</f>
        <v>--</v>
      </c>
      <c r="X269" s="1623"/>
      <c r="Y269" s="1588">
        <f>SUMIF($B$257:$B$263,W269,J$257:J$263)+SUMIF($B$257:$B$263,W269,G$257:G$263)+SUMIF($B$257:$B$263,W269,D$257:D$263)</f>
        <v>0</v>
      </c>
      <c r="Z269" s="1589"/>
      <c r="AA269" s="1590"/>
      <c r="AB269" s="48"/>
      <c r="AC269" s="1588">
        <f>SUMIF($B$257:$B$263,AF269,J$257:J$263)+SUMIF($B$257:$B$263,AF269,G$257:G$263)+SUMIF($B$257:$B$263,AF269,D$257:D$263)</f>
        <v>0</v>
      </c>
      <c r="AD269" s="1589"/>
      <c r="AE269" s="1590"/>
      <c r="AF269" s="1622" t="str">
        <f>APR!G$1</f>
        <v>--</v>
      </c>
      <c r="AG269" s="1623"/>
      <c r="AH269" s="1588">
        <f>SUMIF($B$257:$B$263,AF269,M$257:M$263)+SUMIF($B$257:$B$263,AF269,J$257:J$263)+SUMIF($B$257:$B$263,AF269,G$257:G$263)+SUMIF($B$257:$B$263,AF269,D$257:D$263)</f>
        <v>0</v>
      </c>
      <c r="AI269" s="1589"/>
      <c r="AJ269" s="1590"/>
      <c r="AK269" s="48"/>
      <c r="AL269" s="1588">
        <f>SUMIF($B$257:$B$263,AO269,M$257:M$263)+SUMIF($B$257:$B$263,AO269,J$257:J$263)+SUMIF($B$257:$B$263,AO269,G$257:G$263)+SUMIF($B$257:$B$263,AO269,D$257:D$263)</f>
        <v>0</v>
      </c>
      <c r="AM269" s="1589"/>
      <c r="AN269" s="1590"/>
      <c r="AO269" s="1622" t="str">
        <f>MAG!G$1</f>
        <v>--</v>
      </c>
      <c r="AP269" s="1623"/>
      <c r="AQ269" s="1588">
        <f>SUMIF($B$257:$B$263,AO269,P$257:P$263)+SUMIF($B$257:$B$263,AO269,M$257:M$263)+SUMIF($B$257:$B$263,AO269,J$257:J$263)+SUMIF($B$257:$B$263,AO269,G$257:G$263)+SUMIF($B$257:$B$263,AO269,D$257:D$263)</f>
        <v>0</v>
      </c>
      <c r="AR269" s="1589"/>
      <c r="AS269" s="1590"/>
      <c r="AT269" s="48"/>
      <c r="AU269" s="1588">
        <f>SUMIF($B$257:$B$263,AX269,P$257:P$263)+SUMIF($B$257:$B$263,AX269,M$257:M$263)+SUMIF($B$257:$B$263,AX269,J$257:J$263)+SUMIF($B$257:$B$263,AX269,G$257:G$263)+SUMIF($B$257:$B$263,AX269,D$257:D$263)</f>
        <v>0</v>
      </c>
      <c r="AV269" s="1589"/>
      <c r="AW269" s="1590"/>
      <c r="AX269" s="1622" t="str">
        <f>GIU!G$1</f>
        <v>--</v>
      </c>
      <c r="AY269" s="1623"/>
      <c r="AZ269" s="1588">
        <f>SUMIF($B$257:$B$263,AX269,S$257:S$263)+SUMIF($B$257:$B$263,AX269,P$257:P$263)+SUMIF($B$257:$B$263,AX269,M$257:M$263)+SUMIF($B$257:$B$263,AX269,J$257:J$263)+SUMIF($B$257:$B$263,AX269,G$257:G$263)+SUMIF($B$257:$B$263,AX269,D$257:D$263)</f>
        <v>0</v>
      </c>
      <c r="BA269" s="1589"/>
      <c r="BB269" s="1590"/>
      <c r="BC269" s="48"/>
      <c r="BD269" s="481"/>
      <c r="BE269" s="481"/>
      <c r="BF269" s="481"/>
      <c r="BG269" s="481"/>
      <c r="BH269" s="481"/>
      <c r="BI269" s="481"/>
      <c r="BJ269" s="481"/>
      <c r="BK269" s="481"/>
      <c r="BL269" s="481"/>
      <c r="BM269" s="481"/>
      <c r="BN269" s="481"/>
      <c r="BO269" s="481"/>
      <c r="BP269" s="481"/>
      <c r="BQ269" s="481"/>
      <c r="BR269" s="481"/>
      <c r="BS269" s="481"/>
      <c r="BT269" s="481"/>
      <c r="BU269" s="481"/>
      <c r="BV269" s="481"/>
      <c r="BW269" s="481"/>
      <c r="BX269" s="481"/>
      <c r="BY269" s="481"/>
      <c r="BZ269" s="481"/>
      <c r="CA269" s="481"/>
      <c r="CB269" s="481"/>
      <c r="CC269" s="481"/>
      <c r="CD269" s="481"/>
      <c r="CE269" s="481"/>
      <c r="CF269" s="481"/>
      <c r="CG269" s="481"/>
      <c r="CH269" s="481"/>
      <c r="CI269" s="481"/>
      <c r="CJ269" s="481"/>
      <c r="CK269" s="481"/>
      <c r="CL269" s="481"/>
      <c r="CM269" s="481"/>
      <c r="CN269" s="481"/>
      <c r="CO269" s="481"/>
      <c r="CP269" s="481"/>
      <c r="CQ269" s="481"/>
      <c r="CR269" s="481"/>
      <c r="CS269" s="481"/>
      <c r="CT269" s="481"/>
      <c r="CU269" s="481"/>
      <c r="CV269" s="481"/>
      <c r="CW269" s="481"/>
      <c r="CX269" s="481"/>
      <c r="CY269" s="481"/>
      <c r="CZ269" s="481"/>
      <c r="DA269" s="481"/>
      <c r="DB269" s="481"/>
      <c r="DC269" s="481"/>
      <c r="DD269" s="481"/>
      <c r="DE269" s="481"/>
      <c r="DF269" s="481"/>
      <c r="DG269" s="481"/>
      <c r="DH269" s="481"/>
      <c r="DI269" s="481"/>
      <c r="DJ269" s="481"/>
      <c r="DK269" s="481"/>
      <c r="DL269" s="481"/>
      <c r="DM269" s="481"/>
      <c r="DN269" s="481"/>
      <c r="DO269" s="481"/>
      <c r="DP269" s="481"/>
      <c r="DQ269" s="481"/>
      <c r="DR269" s="481"/>
      <c r="DS269" s="481"/>
      <c r="DT269" s="481"/>
      <c r="DU269" s="481"/>
      <c r="DV269" s="481"/>
      <c r="DW269" s="481"/>
      <c r="DX269" s="481"/>
      <c r="DY269" s="481"/>
      <c r="DZ269" s="481"/>
      <c r="EA269" s="481"/>
      <c r="EB269" s="481"/>
      <c r="EC269" s="481"/>
      <c r="ED269" s="481"/>
      <c r="EE269" s="481"/>
      <c r="EF269" s="481"/>
      <c r="EG269" s="481"/>
      <c r="EH269" s="481"/>
      <c r="EI269" s="481"/>
      <c r="EJ269" s="481"/>
      <c r="EK269" s="481"/>
      <c r="EL269" s="481"/>
      <c r="EM269" s="481"/>
      <c r="EN269" s="481"/>
      <c r="EO269" s="481"/>
      <c r="EP269" s="481"/>
      <c r="EQ269" s="481"/>
      <c r="ER269" s="481"/>
      <c r="ES269" s="481"/>
      <c r="ET269" s="481"/>
      <c r="EU269" s="481"/>
      <c r="EV269" s="481"/>
      <c r="EW269" s="481"/>
      <c r="EX269" s="481"/>
      <c r="EY269" s="481"/>
      <c r="EZ269" s="481"/>
      <c r="FA269" s="481"/>
      <c r="FB269" s="481"/>
      <c r="FC269" s="481"/>
      <c r="FD269" s="481"/>
    </row>
    <row r="270" spans="1:160" ht="18" hidden="1" customHeight="1" x14ac:dyDescent="0.2">
      <c r="A270" s="48"/>
      <c r="B270" s="1588">
        <v>0</v>
      </c>
      <c r="C270" s="1589"/>
      <c r="D270" s="1590"/>
      <c r="E270" s="1622" t="str">
        <f>GEN!H$1</f>
        <v>--</v>
      </c>
      <c r="F270" s="1623"/>
      <c r="G270" s="1588">
        <f>SUMIF($B$257:$B$263,E270,D$257:D$263)</f>
        <v>0</v>
      </c>
      <c r="H270" s="1589"/>
      <c r="I270" s="1590"/>
      <c r="J270" s="48"/>
      <c r="K270" s="1588">
        <f>SUMIF($B$257:$B$263,N270,D$257:D$263)</f>
        <v>0</v>
      </c>
      <c r="L270" s="1589"/>
      <c r="M270" s="1590"/>
      <c r="N270" s="1622" t="str">
        <f>FEB!H$1</f>
        <v>--</v>
      </c>
      <c r="O270" s="1623"/>
      <c r="P270" s="1588">
        <f>SUMIF($B$257:$B$263,N270,G$257:G$263)+SUMIF($B$257:$B$263,N270,D$257:D$263)</f>
        <v>0</v>
      </c>
      <c r="Q270" s="1589"/>
      <c r="R270" s="1590"/>
      <c r="S270" s="48"/>
      <c r="T270" s="1588">
        <f>SUMIF($B$257:$B$263,W270,G$257:G$263)+SUMIF($B$257:$B$263,W270,D$257:D$263)</f>
        <v>0</v>
      </c>
      <c r="U270" s="1589"/>
      <c r="V270" s="1590"/>
      <c r="W270" s="1622" t="str">
        <f>MAR!H$1</f>
        <v>--</v>
      </c>
      <c r="X270" s="1623"/>
      <c r="Y270" s="1588">
        <f>SUMIF($B$257:$B$263,W270,J$257:J$263)+SUMIF($B$257:$B$263,W270,G$257:G$263)+SUMIF($B$257:$B$263,W270,D$257:D$263)</f>
        <v>0</v>
      </c>
      <c r="Z270" s="1589"/>
      <c r="AA270" s="1590"/>
      <c r="AB270" s="48"/>
      <c r="AC270" s="1588">
        <f>SUMIF($B$257:$B$263,AF270,J$257:J$263)+SUMIF($B$257:$B$263,AF270,G$257:G$263)+SUMIF($B$257:$B$263,AF270,D$257:D$263)</f>
        <v>0</v>
      </c>
      <c r="AD270" s="1589"/>
      <c r="AE270" s="1590"/>
      <c r="AF270" s="1622" t="str">
        <f>APR!H$1</f>
        <v>--</v>
      </c>
      <c r="AG270" s="1623"/>
      <c r="AH270" s="1588">
        <f>SUMIF($B$257:$B$263,AF270,M$257:M$263)+SUMIF($B$257:$B$263,AF270,J$257:J$263)+SUMIF($B$257:$B$263,AF270,G$257:G$263)+SUMIF($B$257:$B$263,AF270,D$257:D$263)</f>
        <v>0</v>
      </c>
      <c r="AI270" s="1589"/>
      <c r="AJ270" s="1590"/>
      <c r="AK270" s="48"/>
      <c r="AL270" s="1588">
        <f>SUMIF($B$257:$B$263,AO270,M$257:M$263)+SUMIF($B$257:$B$263,AO270,J$257:J$263)+SUMIF($B$257:$B$263,AO270,G$257:G$263)+SUMIF($B$257:$B$263,AO270,D$257:D$263)</f>
        <v>0</v>
      </c>
      <c r="AM270" s="1589"/>
      <c r="AN270" s="1590"/>
      <c r="AO270" s="1622" t="str">
        <f>MAG!H$1</f>
        <v>--</v>
      </c>
      <c r="AP270" s="1623"/>
      <c r="AQ270" s="1588">
        <f>SUMIF($B$257:$B$263,AO270,P$257:P$263)+SUMIF($B$257:$B$263,AO270,M$257:M$263)+SUMIF($B$257:$B$263,AO270,J$257:J$263)+SUMIF($B$257:$B$263,AO270,G$257:G$263)+SUMIF($B$257:$B$263,AO270,D$257:D$263)</f>
        <v>0</v>
      </c>
      <c r="AR270" s="1589"/>
      <c r="AS270" s="1590"/>
      <c r="AT270" s="48"/>
      <c r="AU270" s="1588">
        <f>SUMIF($B$257:$B$263,AX270,P$257:P$263)+SUMIF($B$257:$B$263,AX270,M$257:M$263)+SUMIF($B$257:$B$263,AX270,J$257:J$263)+SUMIF($B$257:$B$263,AX270,G$257:G$263)+SUMIF($B$257:$B$263,AX270,D$257:D$263)</f>
        <v>0</v>
      </c>
      <c r="AV270" s="1589"/>
      <c r="AW270" s="1590"/>
      <c r="AX270" s="1622" t="str">
        <f>GIU!H$1</f>
        <v>--</v>
      </c>
      <c r="AY270" s="1623"/>
      <c r="AZ270" s="1588">
        <f>SUMIF($B$257:$B$263,AX270,S$257:S$263)+SUMIF($B$257:$B$263,AX270,P$257:P$263)+SUMIF($B$257:$B$263,AX270,M$257:M$263)+SUMIF($B$257:$B$263,AX270,J$257:J$263)+SUMIF($B$257:$B$263,AX270,G$257:G$263)+SUMIF($B$257:$B$263,AX270,D$257:D$263)</f>
        <v>0</v>
      </c>
      <c r="BA270" s="1589"/>
      <c r="BB270" s="1590"/>
      <c r="BC270" s="48"/>
      <c r="BD270" s="481"/>
      <c r="BE270" s="481"/>
      <c r="BF270" s="481"/>
      <c r="BG270" s="481"/>
      <c r="BH270" s="481"/>
      <c r="BI270" s="481"/>
      <c r="BJ270" s="481"/>
      <c r="BK270" s="481"/>
      <c r="BL270" s="481"/>
      <c r="BM270" s="481"/>
      <c r="BN270" s="481"/>
      <c r="BO270" s="481"/>
      <c r="BP270" s="481"/>
      <c r="BQ270" s="481"/>
      <c r="BR270" s="481"/>
      <c r="BS270" s="481"/>
      <c r="BT270" s="481"/>
      <c r="BU270" s="481"/>
      <c r="BV270" s="481"/>
      <c r="BW270" s="481"/>
      <c r="BX270" s="481"/>
      <c r="BY270" s="481"/>
      <c r="BZ270" s="481"/>
      <c r="CA270" s="481"/>
      <c r="CB270" s="481"/>
      <c r="CC270" s="481"/>
      <c r="CD270" s="481"/>
      <c r="CE270" s="481"/>
      <c r="CF270" s="481"/>
      <c r="CG270" s="481"/>
      <c r="CH270" s="481"/>
      <c r="CI270" s="481"/>
      <c r="CJ270" s="481"/>
      <c r="CK270" s="481"/>
      <c r="CL270" s="481"/>
      <c r="CM270" s="481"/>
      <c r="CN270" s="481"/>
      <c r="CO270" s="481"/>
      <c r="CP270" s="481"/>
      <c r="CQ270" s="481"/>
      <c r="CR270" s="481"/>
      <c r="CS270" s="481"/>
      <c r="CT270" s="481"/>
      <c r="CU270" s="481"/>
      <c r="CV270" s="481"/>
      <c r="CW270" s="481"/>
      <c r="CX270" s="481"/>
      <c r="CY270" s="481"/>
      <c r="CZ270" s="481"/>
      <c r="DA270" s="481"/>
      <c r="DB270" s="481"/>
      <c r="DC270" s="481"/>
      <c r="DD270" s="481"/>
      <c r="DE270" s="481"/>
      <c r="DF270" s="481"/>
      <c r="DG270" s="481"/>
      <c r="DH270" s="481"/>
      <c r="DI270" s="481"/>
      <c r="DJ270" s="481"/>
      <c r="DK270" s="481"/>
      <c r="DL270" s="481"/>
      <c r="DM270" s="481"/>
      <c r="DN270" s="481"/>
      <c r="DO270" s="481"/>
      <c r="DP270" s="481"/>
      <c r="DQ270" s="481"/>
      <c r="DR270" s="481"/>
      <c r="DS270" s="481"/>
      <c r="DT270" s="481"/>
      <c r="DU270" s="481"/>
      <c r="DV270" s="481"/>
      <c r="DW270" s="481"/>
      <c r="DX270" s="481"/>
      <c r="DY270" s="481"/>
      <c r="DZ270" s="481"/>
      <c r="EA270" s="481"/>
      <c r="EB270" s="481"/>
      <c r="EC270" s="481"/>
      <c r="ED270" s="481"/>
      <c r="EE270" s="481"/>
      <c r="EF270" s="481"/>
      <c r="EG270" s="481"/>
      <c r="EH270" s="481"/>
      <c r="EI270" s="481"/>
      <c r="EJ270" s="481"/>
      <c r="EK270" s="481"/>
      <c r="EL270" s="481"/>
      <c r="EM270" s="481"/>
      <c r="EN270" s="481"/>
      <c r="EO270" s="481"/>
      <c r="EP270" s="481"/>
      <c r="EQ270" s="481"/>
      <c r="ER270" s="481"/>
      <c r="ES270" s="481"/>
      <c r="ET270" s="481"/>
      <c r="EU270" s="481"/>
      <c r="EV270" s="481"/>
      <c r="EW270" s="481"/>
      <c r="EX270" s="481"/>
      <c r="EY270" s="481"/>
      <c r="EZ270" s="481"/>
      <c r="FA270" s="481"/>
      <c r="FB270" s="481"/>
      <c r="FC270" s="481"/>
      <c r="FD270" s="481"/>
    </row>
    <row r="271" spans="1:160" ht="18" hidden="1" customHeight="1" x14ac:dyDescent="0.2">
      <c r="A271" s="48"/>
      <c r="B271" s="1588">
        <v>0</v>
      </c>
      <c r="C271" s="1589"/>
      <c r="D271" s="1590"/>
      <c r="E271" s="1622" t="str">
        <f>GEN!K$1</f>
        <v>--</v>
      </c>
      <c r="F271" s="1623"/>
      <c r="G271" s="1588">
        <f>SUMIF($B$257:$B$263,E271,D$257:D$263)</f>
        <v>0</v>
      </c>
      <c r="H271" s="1589"/>
      <c r="I271" s="1590"/>
      <c r="J271" s="48"/>
      <c r="K271" s="1588">
        <f>SUMIF($B$257:$B$263,N271,D$257:D$263)</f>
        <v>0</v>
      </c>
      <c r="L271" s="1589"/>
      <c r="M271" s="1590"/>
      <c r="N271" s="1622" t="str">
        <f>FEB!K$1</f>
        <v>--</v>
      </c>
      <c r="O271" s="1623"/>
      <c r="P271" s="1588">
        <f>SUMIF($B$257:$B$263,N271,G$257:G$263)+SUMIF($B$257:$B$263,N271,D$257:D$263)</f>
        <v>0</v>
      </c>
      <c r="Q271" s="1589"/>
      <c r="R271" s="1590"/>
      <c r="S271" s="48"/>
      <c r="T271" s="1588">
        <f>SUMIF($B$257:$B$263,W271,G$257:G$263)+SUMIF($B$257:$B$263,W271,D$257:D$263)</f>
        <v>0</v>
      </c>
      <c r="U271" s="1589"/>
      <c r="V271" s="1590"/>
      <c r="W271" s="1622" t="str">
        <f>MAR!K$1</f>
        <v>--</v>
      </c>
      <c r="X271" s="1623"/>
      <c r="Y271" s="1588">
        <f>SUMIF($B$257:$B$263,W271,J$257:J$263)+SUMIF($B$257:$B$263,W271,G$257:G$263)+SUMIF($B$257:$B$263,W271,D$257:D$263)</f>
        <v>0</v>
      </c>
      <c r="Z271" s="1589"/>
      <c r="AA271" s="1590"/>
      <c r="AB271" s="48"/>
      <c r="AC271" s="1588">
        <f>SUMIF($B$257:$B$263,AF271,J$257:J$263)+SUMIF($B$257:$B$263,AF271,G$257:G$263)+SUMIF($B$257:$B$263,AF271,D$257:D$263)</f>
        <v>0</v>
      </c>
      <c r="AD271" s="1589"/>
      <c r="AE271" s="1590"/>
      <c r="AF271" s="1622" t="str">
        <f>APR!K$1</f>
        <v>--</v>
      </c>
      <c r="AG271" s="1623"/>
      <c r="AH271" s="1588">
        <f>SUMIF($B$257:$B$263,AF271,M$257:M$263)+SUMIF($B$257:$B$263,AF271,J$257:J$263)+SUMIF($B$257:$B$263,AF271,G$257:G$263)+SUMIF($B$257:$B$263,AF271,D$257:D$263)</f>
        <v>0</v>
      </c>
      <c r="AI271" s="1589"/>
      <c r="AJ271" s="1590"/>
      <c r="AK271" s="48"/>
      <c r="AL271" s="1588">
        <f>SUMIF($B$257:$B$263,AO271,M$257:M$263)+SUMIF($B$257:$B$263,AO271,J$257:J$263)+SUMIF($B$257:$B$263,AO271,G$257:G$263)+SUMIF($B$257:$B$263,AO271,D$257:D$263)</f>
        <v>0</v>
      </c>
      <c r="AM271" s="1589"/>
      <c r="AN271" s="1590"/>
      <c r="AO271" s="1622" t="str">
        <f>MAG!K$1</f>
        <v>--</v>
      </c>
      <c r="AP271" s="1623"/>
      <c r="AQ271" s="1588">
        <f>SUMIF($B$257:$B$263,AO271,P$257:P$263)+SUMIF($B$257:$B$263,AO271,M$257:M$263)+SUMIF($B$257:$B$263,AO271,J$257:J$263)+SUMIF($B$257:$B$263,AO271,G$257:G$263)+SUMIF($B$257:$B$263,AO271,D$257:D$263)</f>
        <v>0</v>
      </c>
      <c r="AR271" s="1589"/>
      <c r="AS271" s="1590"/>
      <c r="AT271" s="48"/>
      <c r="AU271" s="1588">
        <f>SUMIF($B$257:$B$263,AX271,P$257:P$263)+SUMIF($B$257:$B$263,AX271,M$257:M$263)+SUMIF($B$257:$B$263,AX271,J$257:J$263)+SUMIF($B$257:$B$263,AX271,G$257:G$263)+SUMIF($B$257:$B$263,AX271,D$257:D$263)</f>
        <v>0</v>
      </c>
      <c r="AV271" s="1589"/>
      <c r="AW271" s="1590"/>
      <c r="AX271" s="1622" t="str">
        <f>GIU!K$1</f>
        <v>--</v>
      </c>
      <c r="AY271" s="1623"/>
      <c r="AZ271" s="1588">
        <f>SUMIF($B$257:$B$263,AX271,S$257:S$263)+SUMIF($B$257:$B$263,AX271,P$257:P$263)+SUMIF($B$257:$B$263,AX271,M$257:M$263)+SUMIF($B$257:$B$263,AX271,J$257:J$263)+SUMIF($B$257:$B$263,AX271,G$257:G$263)+SUMIF($B$257:$B$263,AX271,D$257:D$263)</f>
        <v>0</v>
      </c>
      <c r="BA271" s="1589"/>
      <c r="BB271" s="1590"/>
      <c r="BC271" s="48"/>
      <c r="BD271" s="481"/>
      <c r="BE271" s="481"/>
      <c r="BF271" s="481"/>
      <c r="BG271" s="481"/>
      <c r="BH271" s="481"/>
      <c r="BI271" s="481"/>
      <c r="BJ271" s="481"/>
      <c r="BK271" s="481"/>
      <c r="BL271" s="481"/>
      <c r="BM271" s="481"/>
      <c r="BN271" s="481"/>
      <c r="BO271" s="481"/>
      <c r="BP271" s="481"/>
      <c r="BQ271" s="481"/>
      <c r="BR271" s="481"/>
      <c r="BS271" s="481"/>
      <c r="BT271" s="481"/>
      <c r="BU271" s="481"/>
      <c r="BV271" s="481"/>
      <c r="BW271" s="481"/>
      <c r="BX271" s="481"/>
      <c r="BY271" s="481"/>
      <c r="BZ271" s="481"/>
      <c r="CA271" s="481"/>
      <c r="CB271" s="481"/>
      <c r="CC271" s="481"/>
      <c r="CD271" s="481"/>
      <c r="CE271" s="481"/>
      <c r="CF271" s="481"/>
      <c r="CG271" s="481"/>
      <c r="CH271" s="481"/>
      <c r="CI271" s="481"/>
      <c r="CJ271" s="481"/>
      <c r="CK271" s="481"/>
      <c r="CL271" s="481"/>
      <c r="CM271" s="481"/>
      <c r="CN271" s="481"/>
      <c r="CO271" s="481"/>
      <c r="CP271" s="481"/>
      <c r="CQ271" s="481"/>
      <c r="CR271" s="481"/>
      <c r="CS271" s="481"/>
      <c r="CT271" s="481"/>
      <c r="CU271" s="481"/>
      <c r="CV271" s="481"/>
      <c r="CW271" s="481"/>
      <c r="CX271" s="481"/>
      <c r="CY271" s="481"/>
      <c r="CZ271" s="481"/>
      <c r="DA271" s="481"/>
      <c r="DB271" s="481"/>
      <c r="DC271" s="481"/>
      <c r="DD271" s="481"/>
      <c r="DE271" s="481"/>
      <c r="DF271" s="481"/>
      <c r="DG271" s="481"/>
      <c r="DH271" s="481"/>
      <c r="DI271" s="481"/>
      <c r="DJ271" s="481"/>
      <c r="DK271" s="481"/>
      <c r="DL271" s="481"/>
      <c r="DM271" s="481"/>
      <c r="DN271" s="481"/>
      <c r="DO271" s="481"/>
      <c r="DP271" s="481"/>
      <c r="DQ271" s="481"/>
      <c r="DR271" s="481"/>
      <c r="DS271" s="481"/>
      <c r="DT271" s="481"/>
      <c r="DU271" s="481"/>
      <c r="DV271" s="481"/>
      <c r="DW271" s="481"/>
      <c r="DX271" s="481"/>
      <c r="DY271" s="481"/>
      <c r="DZ271" s="481"/>
      <c r="EA271" s="481"/>
      <c r="EB271" s="481"/>
      <c r="EC271" s="481"/>
      <c r="ED271" s="481"/>
      <c r="EE271" s="481"/>
      <c r="EF271" s="481"/>
      <c r="EG271" s="481"/>
      <c r="EH271" s="481"/>
      <c r="EI271" s="481"/>
      <c r="EJ271" s="481"/>
      <c r="EK271" s="481"/>
      <c r="EL271" s="481"/>
      <c r="EM271" s="481"/>
      <c r="EN271" s="481"/>
      <c r="EO271" s="481"/>
      <c r="EP271" s="481"/>
      <c r="EQ271" s="481"/>
      <c r="ER271" s="481"/>
      <c r="ES271" s="481"/>
      <c r="ET271" s="481"/>
      <c r="EU271" s="481"/>
      <c r="EV271" s="481"/>
      <c r="EW271" s="481"/>
      <c r="EX271" s="481"/>
      <c r="EY271" s="481"/>
      <c r="EZ271" s="481"/>
      <c r="FA271" s="481"/>
      <c r="FB271" s="481"/>
      <c r="FC271" s="481"/>
      <c r="FD271" s="481"/>
    </row>
    <row r="272" spans="1:160" ht="18" hidden="1" customHeight="1" x14ac:dyDescent="0.2">
      <c r="A272" s="48"/>
      <c r="B272" s="1588">
        <v>0</v>
      </c>
      <c r="C272" s="1589"/>
      <c r="D272" s="1590"/>
      <c r="E272" s="1622" t="str">
        <f>GEN!N$1</f>
        <v>--</v>
      </c>
      <c r="F272" s="1623"/>
      <c r="G272" s="1588">
        <f>SUMIF($B$257:$B$263,E272,D$257:D$263)</f>
        <v>0</v>
      </c>
      <c r="H272" s="1589"/>
      <c r="I272" s="1590"/>
      <c r="J272" s="48"/>
      <c r="K272" s="1588">
        <f>SUMIF($B$257:$B$263,N272,D$257:D$263)</f>
        <v>0</v>
      </c>
      <c r="L272" s="1589"/>
      <c r="M272" s="1590"/>
      <c r="N272" s="1622" t="str">
        <f>FEB!N$1</f>
        <v>--</v>
      </c>
      <c r="O272" s="1623"/>
      <c r="P272" s="1588">
        <f>SUMIF($B$257:$B$263,N272,G$257:G$263)+SUMIF($B$257:$B$263,N272,D$257:D$263)</f>
        <v>0</v>
      </c>
      <c r="Q272" s="1589"/>
      <c r="R272" s="1590"/>
      <c r="S272" s="48"/>
      <c r="T272" s="1588">
        <f>SUMIF($B$257:$B$263,W272,G$257:G$263)+SUMIF($B$257:$B$263,W272,D$257:D$263)</f>
        <v>0</v>
      </c>
      <c r="U272" s="1589"/>
      <c r="V272" s="1590"/>
      <c r="W272" s="1622" t="str">
        <f>MAR!N$1</f>
        <v>--</v>
      </c>
      <c r="X272" s="1623"/>
      <c r="Y272" s="1588">
        <f>SUMIF($B$257:$B$263,W272,J$257:J$263)+SUMIF($B$257:$B$263,W272,G$257:G$263)+SUMIF($B$257:$B$263,W272,D$257:D$263)</f>
        <v>0</v>
      </c>
      <c r="Z272" s="1589"/>
      <c r="AA272" s="1590"/>
      <c r="AB272" s="48"/>
      <c r="AC272" s="1588">
        <f>SUMIF($B$257:$B$263,AF272,J$257:J$263)+SUMIF($B$257:$B$263,AF272,G$257:G$263)+SUMIF($B$257:$B$263,AF272,D$257:D$263)</f>
        <v>0</v>
      </c>
      <c r="AD272" s="1589"/>
      <c r="AE272" s="1590"/>
      <c r="AF272" s="1622" t="str">
        <f>APR!N$1</f>
        <v>--</v>
      </c>
      <c r="AG272" s="1623"/>
      <c r="AH272" s="1588">
        <f>SUMIF($B$257:$B$263,AF272,M$257:M$263)+SUMIF($B$257:$B$263,AF272,J$257:J$263)+SUMIF($B$257:$B$263,AF272,G$257:G$263)+SUMIF($B$257:$B$263,AF272,D$257:D$263)</f>
        <v>0</v>
      </c>
      <c r="AI272" s="1589"/>
      <c r="AJ272" s="1590"/>
      <c r="AK272" s="48"/>
      <c r="AL272" s="1588">
        <f>SUMIF($B$257:$B$263,AO272,M$257:M$263)+SUMIF($B$257:$B$263,AO272,J$257:J$263)+SUMIF($B$257:$B$263,AO272,G$257:G$263)+SUMIF($B$257:$B$263,AO272,D$257:D$263)</f>
        <v>0</v>
      </c>
      <c r="AM272" s="1589"/>
      <c r="AN272" s="1590"/>
      <c r="AO272" s="1622" t="str">
        <f>MAG!N$1</f>
        <v>--</v>
      </c>
      <c r="AP272" s="1623"/>
      <c r="AQ272" s="1588">
        <f>SUMIF($B$257:$B$263,AO272,P$257:P$263)+SUMIF($B$257:$B$263,AO272,M$257:M$263)+SUMIF($B$257:$B$263,AO272,J$257:J$263)+SUMIF($B$257:$B$263,AO272,G$257:G$263)+SUMIF($B$257:$B$263,AO272,D$257:D$263)</f>
        <v>0</v>
      </c>
      <c r="AR272" s="1589"/>
      <c r="AS272" s="1590"/>
      <c r="AT272" s="48"/>
      <c r="AU272" s="1588">
        <f>SUMIF($B$257:$B$263,AX272,P$257:P$263)+SUMIF($B$257:$B$263,AX272,M$257:M$263)+SUMIF($B$257:$B$263,AX272,J$257:J$263)+SUMIF($B$257:$B$263,AX272,G$257:G$263)+SUMIF($B$257:$B$263,AX272,D$257:D$263)</f>
        <v>0</v>
      </c>
      <c r="AV272" s="1589"/>
      <c r="AW272" s="1590"/>
      <c r="AX272" s="1622" t="str">
        <f>GIU!N$1</f>
        <v>--</v>
      </c>
      <c r="AY272" s="1623"/>
      <c r="AZ272" s="1588">
        <f>SUMIF($B$257:$B$263,AX272,S$257:S$263)+SUMIF($B$257:$B$263,AX272,P$257:P$263)+SUMIF($B$257:$B$263,AX272,M$257:M$263)+SUMIF($B$257:$B$263,AX272,J$257:J$263)+SUMIF($B$257:$B$263,AX272,G$257:G$263)+SUMIF($B$257:$B$263,AX272,D$257:D$263)</f>
        <v>0</v>
      </c>
      <c r="BA272" s="1589"/>
      <c r="BB272" s="1590"/>
      <c r="BC272" s="48"/>
      <c r="BD272" s="481"/>
      <c r="BE272" s="481"/>
      <c r="BF272" s="481"/>
      <c r="BG272" s="481"/>
      <c r="BH272" s="481"/>
      <c r="BI272" s="481"/>
      <c r="BJ272" s="481"/>
      <c r="BK272" s="481"/>
      <c r="BL272" s="481"/>
      <c r="BM272" s="481"/>
      <c r="BN272" s="481"/>
      <c r="BO272" s="481"/>
      <c r="BP272" s="481"/>
      <c r="BQ272" s="481"/>
      <c r="BR272" s="481"/>
      <c r="BS272" s="481"/>
      <c r="BT272" s="481"/>
      <c r="BU272" s="481"/>
      <c r="BV272" s="481"/>
      <c r="BW272" s="481"/>
      <c r="BX272" s="481"/>
      <c r="BY272" s="481"/>
      <c r="BZ272" s="481"/>
      <c r="CA272" s="481"/>
      <c r="CB272" s="481"/>
      <c r="CC272" s="481"/>
      <c r="CD272" s="481"/>
      <c r="CE272" s="481"/>
      <c r="CF272" s="481"/>
      <c r="CG272" s="481"/>
      <c r="CH272" s="481"/>
      <c r="CI272" s="481"/>
      <c r="CJ272" s="481"/>
      <c r="CK272" s="481"/>
      <c r="CL272" s="481"/>
      <c r="CM272" s="481"/>
      <c r="CN272" s="481"/>
      <c r="CO272" s="481"/>
      <c r="CP272" s="481"/>
      <c r="CQ272" s="481"/>
      <c r="CR272" s="481"/>
      <c r="CS272" s="481"/>
      <c r="CT272" s="481"/>
      <c r="CU272" s="481"/>
      <c r="CV272" s="481"/>
      <c r="CW272" s="481"/>
      <c r="CX272" s="481"/>
      <c r="CY272" s="481"/>
      <c r="CZ272" s="481"/>
      <c r="DA272" s="481"/>
      <c r="DB272" s="481"/>
      <c r="DC272" s="481"/>
      <c r="DD272" s="481"/>
      <c r="DE272" s="481"/>
      <c r="DF272" s="481"/>
      <c r="DG272" s="481"/>
      <c r="DH272" s="481"/>
      <c r="DI272" s="481"/>
      <c r="DJ272" s="481"/>
      <c r="DK272" s="481"/>
      <c r="DL272" s="481"/>
      <c r="DM272" s="481"/>
      <c r="DN272" s="481"/>
      <c r="DO272" s="481"/>
      <c r="DP272" s="481"/>
      <c r="DQ272" s="481"/>
      <c r="DR272" s="481"/>
      <c r="DS272" s="481"/>
      <c r="DT272" s="481"/>
      <c r="DU272" s="481"/>
      <c r="DV272" s="481"/>
      <c r="DW272" s="481"/>
      <c r="DX272" s="481"/>
      <c r="DY272" s="481"/>
      <c r="DZ272" s="481"/>
      <c r="EA272" s="481"/>
      <c r="EB272" s="481"/>
      <c r="EC272" s="481"/>
      <c r="ED272" s="481"/>
      <c r="EE272" s="481"/>
      <c r="EF272" s="481"/>
      <c r="EG272" s="481"/>
      <c r="EH272" s="481"/>
      <c r="EI272" s="481"/>
      <c r="EJ272" s="481"/>
      <c r="EK272" s="481"/>
      <c r="EL272" s="481"/>
      <c r="EM272" s="481"/>
      <c r="EN272" s="481"/>
      <c r="EO272" s="481"/>
      <c r="EP272" s="481"/>
      <c r="EQ272" s="481"/>
      <c r="ER272" s="481"/>
      <c r="ES272" s="481"/>
      <c r="ET272" s="481"/>
      <c r="EU272" s="481"/>
      <c r="EV272" s="481"/>
      <c r="EW272" s="481"/>
      <c r="EX272" s="481"/>
      <c r="EY272" s="481"/>
      <c r="EZ272" s="481"/>
      <c r="FA272" s="481"/>
      <c r="FB272" s="481"/>
      <c r="FC272" s="481"/>
      <c r="FD272" s="481"/>
    </row>
    <row r="273" spans="1:160" ht="18" hidden="1" customHeight="1" x14ac:dyDescent="0.2">
      <c r="A273" s="48"/>
      <c r="B273" s="1598">
        <f>SUM(B269:D272)</f>
        <v>0</v>
      </c>
      <c r="C273" s="1599"/>
      <c r="D273" s="1600"/>
      <c r="E273" s="1977"/>
      <c r="F273" s="1978"/>
      <c r="G273" s="1598">
        <f>SUM(G269:I272)</f>
        <v>0</v>
      </c>
      <c r="H273" s="1599"/>
      <c r="I273" s="1600"/>
      <c r="J273" s="48"/>
      <c r="K273" s="1598">
        <f>SUM(K269:M272)</f>
        <v>0</v>
      </c>
      <c r="L273" s="1599"/>
      <c r="M273" s="1600"/>
      <c r="N273" s="254"/>
      <c r="O273" s="254"/>
      <c r="P273" s="1598">
        <f>SUM(P269:R272)</f>
        <v>0</v>
      </c>
      <c r="Q273" s="1599"/>
      <c r="R273" s="1600"/>
      <c r="S273" s="48"/>
      <c r="T273" s="1598">
        <f>SUM(T269:V272)</f>
        <v>0</v>
      </c>
      <c r="U273" s="1599"/>
      <c r="V273" s="1600"/>
      <c r="W273" s="254"/>
      <c r="X273" s="254"/>
      <c r="Y273" s="1598">
        <f>SUM(Y269:AA272)</f>
        <v>0</v>
      </c>
      <c r="Z273" s="1599"/>
      <c r="AA273" s="1600"/>
      <c r="AB273" s="48"/>
      <c r="AC273" s="1598">
        <f>SUM(AC269:AE272)</f>
        <v>0</v>
      </c>
      <c r="AD273" s="1599"/>
      <c r="AE273" s="1600"/>
      <c r="AF273" s="254"/>
      <c r="AG273" s="254"/>
      <c r="AH273" s="1598">
        <f>SUM(AH269:AJ272)</f>
        <v>0</v>
      </c>
      <c r="AI273" s="1599"/>
      <c r="AJ273" s="1600"/>
      <c r="AK273" s="48"/>
      <c r="AL273" s="1598">
        <f>SUM(AL269:AN272)</f>
        <v>0</v>
      </c>
      <c r="AM273" s="1599"/>
      <c r="AN273" s="1600"/>
      <c r="AO273" s="254"/>
      <c r="AP273" s="254"/>
      <c r="AQ273" s="1598">
        <f>SUM(AQ269:AS272)</f>
        <v>0</v>
      </c>
      <c r="AR273" s="1599"/>
      <c r="AS273" s="1600"/>
      <c r="AT273" s="48"/>
      <c r="AU273" s="1598">
        <f>SUM(AU269:AW272)</f>
        <v>0</v>
      </c>
      <c r="AV273" s="1599"/>
      <c r="AW273" s="1600"/>
      <c r="AX273" s="254"/>
      <c r="AY273" s="254"/>
      <c r="AZ273" s="1598">
        <f>SUM(AZ269:BB272)</f>
        <v>0</v>
      </c>
      <c r="BA273" s="1599"/>
      <c r="BB273" s="1600"/>
      <c r="BC273" s="48"/>
      <c r="BD273" s="481"/>
      <c r="BE273" s="481"/>
      <c r="BF273" s="481"/>
      <c r="BG273" s="481"/>
      <c r="BH273" s="481"/>
      <c r="BI273" s="481"/>
      <c r="BJ273" s="481"/>
      <c r="BK273" s="481"/>
      <c r="BL273" s="481"/>
      <c r="BM273" s="481"/>
      <c r="BN273" s="481"/>
      <c r="BO273" s="481"/>
      <c r="BP273" s="481"/>
      <c r="BQ273" s="481"/>
      <c r="BR273" s="481"/>
      <c r="BS273" s="481"/>
      <c r="BT273" s="481"/>
      <c r="BU273" s="481"/>
      <c r="BV273" s="481"/>
      <c r="BW273" s="481"/>
      <c r="BX273" s="481"/>
      <c r="BY273" s="481"/>
      <c r="BZ273" s="481"/>
      <c r="CA273" s="481"/>
      <c r="CB273" s="481"/>
      <c r="CC273" s="481"/>
      <c r="CD273" s="481"/>
      <c r="CE273" s="481"/>
      <c r="CF273" s="481"/>
      <c r="CG273" s="481"/>
      <c r="CH273" s="481"/>
      <c r="CI273" s="481"/>
      <c r="CJ273" s="481"/>
      <c r="CK273" s="481"/>
      <c r="CL273" s="481"/>
      <c r="CM273" s="481"/>
      <c r="CN273" s="481"/>
      <c r="CO273" s="481"/>
      <c r="CP273" s="481"/>
      <c r="CQ273" s="481"/>
      <c r="CR273" s="481"/>
      <c r="CS273" s="481"/>
      <c r="CT273" s="481"/>
      <c r="CU273" s="481"/>
      <c r="CV273" s="481"/>
      <c r="CW273" s="481"/>
      <c r="CX273" s="481"/>
      <c r="CY273" s="481"/>
      <c r="CZ273" s="481"/>
      <c r="DA273" s="481"/>
      <c r="DB273" s="481"/>
      <c r="DC273" s="481"/>
      <c r="DD273" s="481"/>
      <c r="DE273" s="481"/>
      <c r="DF273" s="481"/>
      <c r="DG273" s="481"/>
      <c r="DH273" s="481"/>
      <c r="DI273" s="481"/>
      <c r="DJ273" s="481"/>
      <c r="DK273" s="481"/>
      <c r="DL273" s="481"/>
      <c r="DM273" s="481"/>
      <c r="DN273" s="481"/>
      <c r="DO273" s="481"/>
      <c r="DP273" s="481"/>
      <c r="DQ273" s="481"/>
      <c r="DR273" s="481"/>
      <c r="DS273" s="481"/>
      <c r="DT273" s="481"/>
      <c r="DU273" s="481"/>
      <c r="DV273" s="481"/>
      <c r="DW273" s="481"/>
      <c r="DX273" s="481"/>
      <c r="DY273" s="481"/>
      <c r="DZ273" s="481"/>
      <c r="EA273" s="481"/>
      <c r="EB273" s="481"/>
      <c r="EC273" s="481"/>
      <c r="ED273" s="481"/>
      <c r="EE273" s="481"/>
      <c r="EF273" s="481"/>
      <c r="EG273" s="481"/>
      <c r="EH273" s="481"/>
      <c r="EI273" s="481"/>
      <c r="EJ273" s="481"/>
      <c r="EK273" s="481"/>
      <c r="EL273" s="481"/>
      <c r="EM273" s="481"/>
      <c r="EN273" s="481"/>
      <c r="EO273" s="481"/>
      <c r="EP273" s="481"/>
      <c r="EQ273" s="481"/>
      <c r="ER273" s="481"/>
      <c r="ES273" s="481"/>
      <c r="ET273" s="481"/>
      <c r="EU273" s="481"/>
      <c r="EV273" s="481"/>
      <c r="EW273" s="481"/>
      <c r="EX273" s="481"/>
      <c r="EY273" s="481"/>
      <c r="EZ273" s="481"/>
      <c r="FA273" s="481"/>
      <c r="FB273" s="481"/>
      <c r="FC273" s="481"/>
      <c r="FD273" s="481"/>
    </row>
    <row r="274" spans="1:160" ht="18" hidden="1" customHeight="1" x14ac:dyDescent="0.2">
      <c r="A274" s="48"/>
      <c r="B274" s="48"/>
      <c r="C274" s="48"/>
      <c r="D274" s="48"/>
      <c r="E274" s="186"/>
      <c r="F274" s="48"/>
      <c r="G274" s="48"/>
      <c r="H274" s="48"/>
      <c r="I274" s="48"/>
      <c r="J274" s="48"/>
      <c r="K274" s="48"/>
      <c r="L274" s="48"/>
      <c r="M274" s="48"/>
      <c r="N274" s="48"/>
      <c r="O274" s="48"/>
      <c r="P274" s="48"/>
      <c r="Q274" s="48"/>
      <c r="R274" s="48"/>
      <c r="S274" s="48"/>
      <c r="T274" s="48"/>
      <c r="U274" s="48"/>
      <c r="V274" s="185"/>
      <c r="W274" s="185"/>
      <c r="X274" s="185"/>
      <c r="Y274" s="185"/>
      <c r="Z274" s="185"/>
      <c r="AA274" s="185"/>
      <c r="AB274" s="185"/>
      <c r="AC274" s="185"/>
      <c r="AD274" s="185"/>
      <c r="AE274" s="185"/>
      <c r="AF274" s="185"/>
      <c r="AG274" s="186"/>
      <c r="AH274" s="186"/>
      <c r="AI274" s="48"/>
      <c r="AJ274" s="48"/>
      <c r="AK274" s="48"/>
      <c r="AL274" s="48"/>
      <c r="AM274" s="48"/>
      <c r="AN274" s="48"/>
      <c r="AO274" s="48"/>
      <c r="AP274" s="186"/>
      <c r="AQ274" s="186"/>
      <c r="AR274" s="48"/>
      <c r="AS274" s="48"/>
      <c r="AT274" s="48"/>
      <c r="AU274" s="48"/>
      <c r="AV274" s="48"/>
      <c r="AW274" s="48"/>
      <c r="AX274" s="48"/>
      <c r="AY274" s="48"/>
      <c r="AZ274" s="48"/>
      <c r="BA274" s="48"/>
      <c r="BB274" s="48"/>
      <c r="BC274" s="48"/>
      <c r="BD274" s="481"/>
      <c r="BE274" s="481"/>
      <c r="BF274" s="481"/>
      <c r="BG274" s="481"/>
      <c r="BH274" s="481"/>
      <c r="BI274" s="481"/>
      <c r="BJ274" s="481"/>
      <c r="BK274" s="481"/>
      <c r="BL274" s="481"/>
      <c r="BM274" s="481"/>
      <c r="BN274" s="481"/>
      <c r="BO274" s="481"/>
      <c r="BP274" s="481"/>
      <c r="BQ274" s="481"/>
      <c r="BR274" s="481"/>
      <c r="BS274" s="481"/>
      <c r="BT274" s="481"/>
      <c r="BU274" s="481"/>
      <c r="BV274" s="481"/>
      <c r="BW274" s="481"/>
      <c r="BX274" s="481"/>
      <c r="BY274" s="481"/>
      <c r="BZ274" s="481"/>
      <c r="CA274" s="481"/>
      <c r="CB274" s="481"/>
      <c r="CC274" s="481"/>
      <c r="CD274" s="481"/>
      <c r="CE274" s="481"/>
      <c r="CF274" s="481"/>
      <c r="CG274" s="481"/>
      <c r="CH274" s="481"/>
      <c r="CI274" s="481"/>
      <c r="CJ274" s="481"/>
      <c r="CK274" s="481"/>
      <c r="CL274" s="481"/>
      <c r="CM274" s="481"/>
      <c r="CN274" s="481"/>
      <c r="CO274" s="481"/>
      <c r="CP274" s="481"/>
      <c r="CQ274" s="481"/>
      <c r="CR274" s="481"/>
      <c r="CS274" s="481"/>
      <c r="CT274" s="481"/>
      <c r="CU274" s="481"/>
      <c r="CV274" s="481"/>
      <c r="CW274" s="481"/>
      <c r="CX274" s="481"/>
      <c r="CY274" s="481"/>
      <c r="CZ274" s="481"/>
      <c r="DA274" s="481"/>
      <c r="DB274" s="481"/>
      <c r="DC274" s="481"/>
      <c r="DD274" s="481"/>
      <c r="DE274" s="481"/>
      <c r="DF274" s="481"/>
      <c r="DG274" s="481"/>
      <c r="DH274" s="481"/>
      <c r="DI274" s="481"/>
      <c r="DJ274" s="481"/>
      <c r="DK274" s="481"/>
      <c r="DL274" s="481"/>
      <c r="DM274" s="481"/>
      <c r="DN274" s="481"/>
      <c r="DO274" s="481"/>
      <c r="DP274" s="481"/>
      <c r="DQ274" s="481"/>
      <c r="DR274" s="481"/>
      <c r="DS274" s="481"/>
      <c r="DT274" s="481"/>
      <c r="DU274" s="481"/>
      <c r="DV274" s="481"/>
      <c r="DW274" s="481"/>
      <c r="DX274" s="481"/>
      <c r="DY274" s="481"/>
      <c r="DZ274" s="481"/>
      <c r="EA274" s="481"/>
      <c r="EB274" s="481"/>
      <c r="EC274" s="481"/>
      <c r="ED274" s="481"/>
      <c r="EE274" s="481"/>
      <c r="EF274" s="481"/>
      <c r="EG274" s="481"/>
      <c r="EH274" s="481"/>
      <c r="EI274" s="481"/>
      <c r="EJ274" s="481"/>
      <c r="EK274" s="481"/>
      <c r="EL274" s="481"/>
      <c r="EM274" s="481"/>
      <c r="EN274" s="481"/>
      <c r="EO274" s="481"/>
      <c r="EP274" s="481"/>
      <c r="EQ274" s="481"/>
      <c r="ER274" s="481"/>
      <c r="ES274" s="481"/>
      <c r="ET274" s="481"/>
      <c r="EU274" s="481"/>
      <c r="EV274" s="481"/>
      <c r="EW274" s="481"/>
      <c r="EX274" s="481"/>
      <c r="EY274" s="481"/>
      <c r="EZ274" s="481"/>
      <c r="FA274" s="481"/>
      <c r="FB274" s="481"/>
      <c r="FC274" s="481"/>
      <c r="FD274" s="481"/>
    </row>
    <row r="275" spans="1:160" ht="18" hidden="1" customHeight="1" x14ac:dyDescent="0.2">
      <c r="A275" s="48"/>
      <c r="B275" s="1601" t="str">
        <f>G275</f>
        <v>Luglio</v>
      </c>
      <c r="C275" s="1602"/>
      <c r="D275" s="1603"/>
      <c r="E275" s="1706" t="str">
        <f>E268</f>
        <v>LORDO</v>
      </c>
      <c r="F275" s="1688"/>
      <c r="G275" s="1601" t="str">
        <f>V256</f>
        <v>Luglio</v>
      </c>
      <c r="H275" s="1602"/>
      <c r="I275" s="1603"/>
      <c r="J275" s="48"/>
      <c r="K275" s="1601" t="str">
        <f>P275</f>
        <v>Agosto</v>
      </c>
      <c r="L275" s="1602"/>
      <c r="M275" s="1603"/>
      <c r="N275" s="185"/>
      <c r="O275" s="185"/>
      <c r="P275" s="1601" t="str">
        <f>Y256</f>
        <v>Agosto</v>
      </c>
      <c r="Q275" s="1602"/>
      <c r="R275" s="1603"/>
      <c r="S275" s="48"/>
      <c r="T275" s="1601" t="str">
        <f>Y275</f>
        <v>Settembre</v>
      </c>
      <c r="U275" s="1602"/>
      <c r="V275" s="1603"/>
      <c r="W275" s="185"/>
      <c r="X275" s="185"/>
      <c r="Y275" s="1601" t="str">
        <f>AB256</f>
        <v>Settembre</v>
      </c>
      <c r="Z275" s="1602"/>
      <c r="AA275" s="1603"/>
      <c r="AB275" s="48"/>
      <c r="AC275" s="1601" t="str">
        <f>AH275</f>
        <v>Ottobre</v>
      </c>
      <c r="AD275" s="1602"/>
      <c r="AE275" s="1603"/>
      <c r="AF275" s="185"/>
      <c r="AG275" s="185"/>
      <c r="AH275" s="1601" t="str">
        <f>AE256</f>
        <v>Ottobre</v>
      </c>
      <c r="AI275" s="1602"/>
      <c r="AJ275" s="1603"/>
      <c r="AK275" s="48"/>
      <c r="AL275" s="1601" t="str">
        <f>AQ275</f>
        <v>Novembre</v>
      </c>
      <c r="AM275" s="1602"/>
      <c r="AN275" s="1603"/>
      <c r="AO275" s="185"/>
      <c r="AP275" s="185"/>
      <c r="AQ275" s="1601" t="str">
        <f>AH256</f>
        <v>Novembre</v>
      </c>
      <c r="AR275" s="1602"/>
      <c r="AS275" s="1603"/>
      <c r="AT275" s="48"/>
      <c r="AU275" s="1601" t="str">
        <f>AZ275</f>
        <v>Dicembre</v>
      </c>
      <c r="AV275" s="1602"/>
      <c r="AW275" s="1603"/>
      <c r="AX275" s="185"/>
      <c r="AY275" s="185"/>
      <c r="AZ275" s="1601" t="str">
        <f>AK256</f>
        <v>Dicembre</v>
      </c>
      <c r="BA275" s="1602"/>
      <c r="BB275" s="1603"/>
      <c r="BC275" s="48"/>
      <c r="BD275" s="482"/>
      <c r="BE275" s="482"/>
      <c r="BF275" s="481"/>
      <c r="BG275" s="481"/>
      <c r="BH275" s="481"/>
      <c r="BI275" s="481"/>
      <c r="BJ275" s="481"/>
      <c r="BK275" s="481"/>
      <c r="BL275" s="481"/>
      <c r="BM275" s="481"/>
      <c r="BN275" s="481"/>
      <c r="BO275" s="481"/>
      <c r="BP275" s="481"/>
      <c r="BQ275" s="481"/>
      <c r="BR275" s="481"/>
      <c r="BS275" s="481"/>
      <c r="BT275" s="481"/>
      <c r="BU275" s="481"/>
      <c r="BV275" s="481"/>
      <c r="BW275" s="481"/>
      <c r="BX275" s="481"/>
      <c r="BY275" s="481"/>
      <c r="BZ275" s="481"/>
      <c r="CA275" s="481"/>
      <c r="CB275" s="481"/>
      <c r="CC275" s="481"/>
      <c r="CD275" s="481"/>
      <c r="CE275" s="481"/>
      <c r="CF275" s="481"/>
      <c r="CG275" s="481"/>
      <c r="CH275" s="481"/>
      <c r="CI275" s="481"/>
      <c r="CJ275" s="481"/>
      <c r="CK275" s="481"/>
      <c r="CL275" s="481"/>
      <c r="CM275" s="481"/>
      <c r="CN275" s="481"/>
      <c r="CO275" s="481"/>
      <c r="CP275" s="481"/>
      <c r="CQ275" s="481"/>
      <c r="CR275" s="481"/>
      <c r="CS275" s="481"/>
      <c r="CT275" s="481"/>
      <c r="CU275" s="481"/>
      <c r="CV275" s="481"/>
      <c r="CW275" s="481"/>
      <c r="CX275" s="481"/>
      <c r="CY275" s="481"/>
      <c r="CZ275" s="481"/>
      <c r="DA275" s="481"/>
      <c r="DB275" s="481"/>
      <c r="DC275" s="481"/>
      <c r="DD275" s="481"/>
      <c r="DE275" s="481"/>
      <c r="DF275" s="481"/>
      <c r="DG275" s="481"/>
      <c r="DH275" s="481"/>
      <c r="DI275" s="481"/>
      <c r="DJ275" s="481"/>
      <c r="DK275" s="481"/>
      <c r="DL275" s="481"/>
      <c r="DM275" s="481"/>
      <c r="DN275" s="481"/>
      <c r="DO275" s="481"/>
      <c r="DP275" s="481"/>
      <c r="DQ275" s="481"/>
      <c r="DR275" s="481"/>
      <c r="DS275" s="481"/>
      <c r="DT275" s="481"/>
      <c r="DU275" s="481"/>
      <c r="DV275" s="481"/>
      <c r="DW275" s="481"/>
      <c r="DX275" s="481"/>
      <c r="DY275" s="481"/>
      <c r="DZ275" s="481"/>
      <c r="EA275" s="481"/>
      <c r="EB275" s="481"/>
      <c r="EC275" s="481"/>
      <c r="ED275" s="481"/>
      <c r="EE275" s="481"/>
      <c r="EF275" s="481"/>
      <c r="EG275" s="481"/>
      <c r="EH275" s="481"/>
      <c r="EI275" s="481"/>
      <c r="EJ275" s="481"/>
      <c r="EK275" s="481"/>
      <c r="EL275" s="481"/>
      <c r="EM275" s="481"/>
      <c r="EN275" s="481"/>
      <c r="EO275" s="481"/>
      <c r="EP275" s="481"/>
      <c r="EQ275" s="481"/>
      <c r="ER275" s="481"/>
      <c r="ES275" s="481"/>
      <c r="ET275" s="481"/>
      <c r="EU275" s="481"/>
      <c r="EV275" s="481"/>
      <c r="EW275" s="481"/>
      <c r="EX275" s="481"/>
      <c r="EY275" s="481"/>
      <c r="EZ275" s="481"/>
      <c r="FA275" s="481"/>
      <c r="FB275" s="481"/>
      <c r="FC275" s="481"/>
      <c r="FD275" s="481"/>
    </row>
    <row r="276" spans="1:160" ht="18" hidden="1" customHeight="1" x14ac:dyDescent="0.2">
      <c r="A276" s="48"/>
      <c r="B276" s="1588">
        <f>SUMIF($B$257:$B$263,E276,S$257:S$263)+SUMIF($B$257:$B$263,E276,P$257:P$263)+SUMIF($B$257:$B$263,E276,M$257:M$263)+SUMIF($B$257:$B$263,E276,J$257:J$263)+SUMIF($B$257:$B$263,E276,G$257:G$263)+SUMIF($B$257:$B$263,E276,D$257:D$263)</f>
        <v>0</v>
      </c>
      <c r="C276" s="1589"/>
      <c r="D276" s="1590"/>
      <c r="E276" s="1622" t="str">
        <f>LUG!G$1</f>
        <v>--</v>
      </c>
      <c r="F276" s="1623"/>
      <c r="G276" s="1588">
        <f>SUMIF($B$257:$B$263,E276,V$257:V$263)+SUMIF($B$257:$B$263,E276,S$257:S$263)+SUMIF($B$257:$B$263,E276,P$257:P$263)+SUMIF($B$257:$B$263,E276,M$257:M$263)+SUMIF($B$257:$B$263,E276,J$257:J$263)+SUMIF($B$257:$B$263,E276,G$257:G$263)+SUMIF($B$257:$B$263,E276,D$257:D$263)</f>
        <v>0</v>
      </c>
      <c r="H276" s="1589"/>
      <c r="I276" s="1590"/>
      <c r="J276" s="48"/>
      <c r="K276" s="1588">
        <f>SUMIF($B$257:$B$263,N276,V$257:V$263)+SUMIF($B$257:$B$263,N276,S$257:S$263)+SUMIF($B$257:$B$263,N276,P$257:P$263)+SUMIF($B$257:$B$263,N276,M$257:M$263)+SUMIF($B$257:$B$263,N276,J$257:J$263)+SUMIF($B$257:$B$263,N276,G$257:G$263)+SUMIF($B$257:$B$263,N276,D$257:D$263)</f>
        <v>0</v>
      </c>
      <c r="L276" s="1589"/>
      <c r="M276" s="1590"/>
      <c r="N276" s="1622" t="str">
        <f>AGO!G$1</f>
        <v>--</v>
      </c>
      <c r="O276" s="1623"/>
      <c r="P276" s="1588">
        <f>SUMIF($B$257:$B$263,N276,Y$257:Y$263)+SUMIF($B$257:$B$263,N276,V$257:V$263)+SUMIF($B$257:$B$263,N276,S$257:S$263)+SUMIF($B$257:$B$263,N276,P$257:P$263)+SUMIF($B$257:$B$263,N276,M$257:M$263)+SUMIF($B$257:$B$263,N276,J$257:J$263)+SUMIF($B$257:$B$263,N276,G$257:G$263)+SUMIF($B$257:$B$263,N276,D$257:D$263)</f>
        <v>0</v>
      </c>
      <c r="Q276" s="1589"/>
      <c r="R276" s="1590"/>
      <c r="S276" s="48"/>
      <c r="T276" s="1588">
        <f>SUMIF($B$257:$B$263,W276,Y$257:Y$263)+SUMIF($B$257:$B$263,W276,V$257:V$263)+SUMIF($B$257:$B$263,W276,S$257:S$263)+SUMIF($B$257:$B$263,W276,P$257:P$263)+SUMIF($B$257:$B$263,W276,M$257:M$263)+SUMIF($B$257:$B$263,W276,J$257:J$263)+SUMIF($B$257:$B$263,W276,G$257:G$263)+SUMIF($B$257:$B$263,W276,D$257:D$263)</f>
        <v>0</v>
      </c>
      <c r="U276" s="1589"/>
      <c r="V276" s="1590"/>
      <c r="W276" s="1622" t="str">
        <f>SET!G$1</f>
        <v>--</v>
      </c>
      <c r="X276" s="1623"/>
      <c r="Y276" s="1588">
        <f>SUMIF($B$257:$B$263,W276,AB$257:AB$263)+SUMIF($B$257:$B$263,W276,Y$257:Y$263)+SUMIF($B$257:$B$263,W276,V$257:V$263)+SUMIF($B$257:$B$263,W276,S$257:S$263)+SUMIF($B$257:$B$263,W276,P$257:P$263)+SUMIF($B$257:$B$263,W276,M$257:M$263)+SUMIF($B$257:$B$263,W276,J$257:J$263)+SUMIF($B$257:$B$263,W276,G$257:G$263)+SUMIF($B$257:$B$263,W276,D$257:D$263)</f>
        <v>0</v>
      </c>
      <c r="Z276" s="1589"/>
      <c r="AA276" s="1590"/>
      <c r="AB276" s="48"/>
      <c r="AC276" s="1588">
        <f>SUMIF($B$257:$B$263,AF276,AB$257:AB$263)+SUMIF($B$257:$B$263,AF276,Y$257:Y$263)+SUMIF($B$257:$B$263,AF276,V$257:V$263)+SUMIF($B$257:$B$263,AF276,S$257:S$263)+SUMIF($B$257:$B$263,AF276,P$257:P$263)+SUMIF($B$257:$B$263,AF276,M$257:M$263)+SUMIF($B$257:$B$263,AF276,J$257:J$263)+SUMIF($B$257:$B$263,AF276,G$257:G$263)+SUMIF($B$257:$B$263,AF276,D$257:D$263)</f>
        <v>0</v>
      </c>
      <c r="AD276" s="1589"/>
      <c r="AE276" s="1590"/>
      <c r="AF276" s="1622" t="str">
        <f>OTT!G$1</f>
        <v>--</v>
      </c>
      <c r="AG276" s="1623"/>
      <c r="AH276" s="1588">
        <f>SUMIF($B$257:$B$263,AF276,AE$257:AE$263)+SUMIF($B$257:$B$263,AF276,AB$257:AB$263)+SUMIF($B$257:$B$263,AF276,Y$257:Y$263)+SUMIF($B$257:$B$263,AF276,V$257:V$263)+SUMIF($B$257:$B$263,AF276,S$257:S$263)+SUMIF($B$257:$B$263,AF276,P$257:P$263)+SUMIF($B$257:$B$263,AF276,M$257:M$263)+SUMIF($B$257:$B$263,AF276,J$257:J$263)+SUMIF($B$257:$B$263,AF276,G$257:G$263)+SUMIF($B$257:$B$263,AF276,D$257:D$263)</f>
        <v>0</v>
      </c>
      <c r="AI276" s="1589"/>
      <c r="AJ276" s="1590"/>
      <c r="AK276" s="48"/>
      <c r="AL276" s="1588">
        <f>SUMIF($B$257:$B$263,AO276,AE$257:AE$263)+SUMIF($B$257:$B$263,AO276,AB$257:AB$263)+SUMIF($B$257:$B$263,AO276,Y$257:Y$263)+SUMIF($B$257:$B$263,AO276,V$257:V$263)+SUMIF($B$257:$B$263,AO276,S$257:S$263)+SUMIF($B$257:$B$263,AO276,P$257:P$263)+SUMIF($B$257:$B$263,AO276,M$257:M$263)+SUMIF($B$257:$B$263,AO276,J$257:J$263)+SUMIF($B$257:$B$263,AO276,G$257:G$263)+SUMIF($B$257:$B$263,AO276,D$257:D$263)</f>
        <v>0</v>
      </c>
      <c r="AM276" s="1589"/>
      <c r="AN276" s="1590"/>
      <c r="AO276" s="1622" t="str">
        <f>NOV!G$1</f>
        <v>--</v>
      </c>
      <c r="AP276" s="1623"/>
      <c r="AQ276" s="1588">
        <f>SUMIF($B$257:$B$263,AO276,AH$257:AH$263)+SUMIF($B$257:$B$263,AO276,AE$257:AE$263)+SUMIF($B$257:$B$263,AO276,AB$257:AB$263)+SUMIF($B$257:$B$263,AO276,Y$257:Y$263)+SUMIF($B$257:$B$263,AO276,V$257:V$263)+SUMIF($B$257:$B$263,AO276,S$257:S$263)+SUMIF($B$257:$B$263,AO276,P$257:P$263)+SUMIF($B$257:$B$263,AO276,M$257:M$263)+SUMIF($B$257:$B$263,AO276,J$257:J$263)+SUMIF($B$257:$B$263,AO276,G$257:G$263)+SUMIF($B$257:$B$263,AO276,D$257:D$263)</f>
        <v>0</v>
      </c>
      <c r="AR276" s="1589"/>
      <c r="AS276" s="1590"/>
      <c r="AT276" s="48"/>
      <c r="AU276" s="1588">
        <f>SUMIF($B$257:$B$263,AX276,AH$257:AH$263)+SUMIF($B$257:$B$263,AX276,AE$257:AE$263)+SUMIF($B$257:$B$263,AX276,AB$257:AB$263)+SUMIF($B$257:$B$263,AX276,Y$257:Y$263)+SUMIF($B$257:$B$263,AX276,V$257:V$263)+SUMIF($B$257:$B$263,AX276,S$257:S$263)+SUMIF($B$257:$B$263,AX276,P$257:P$263)+SUMIF($B$257:$B$263,AX276,M$257:M$263)+SUMIF($B$257:$B$263,AX276,J$257:J$263)+SUMIF($B$257:$B$263,AX276,G$257:G$263)+SUMIF($B$257:$B$263,AX276,D$257:D$263)</f>
        <v>0</v>
      </c>
      <c r="AV276" s="1589"/>
      <c r="AW276" s="1590"/>
      <c r="AX276" s="1622" t="str">
        <f>DIC!G$1</f>
        <v>--</v>
      </c>
      <c r="AY276" s="1623"/>
      <c r="AZ276" s="1588">
        <f>SUMIF($B$257:$B$263,AX276,AK$257:AK$263)+SUMIF($B$257:$B$263,AX276,AH$257:AH$263)+SUMIF($B$257:$B$263,AX276,AE$257:AE$263)+SUMIF($B$257:$B$263,AX276,AB$257:AB$263)+SUMIF($B$257:$B$263,AX276,Y$257:Y$263)+SUMIF($B$257:$B$263,AX276,V$257:V$263)+SUMIF($B$257:$B$263,AX276,S$257:S$263)+SUMIF($B$257:$B$263,AX276,P$257:P$263)+SUMIF($B$257:$B$263,AX276,M$257:M$263)+SUMIF($B$257:$B$263,AX276,J$257:J$263)+SUMIF($B$257:$B$263,AX276,G$257:G$263)+SUMIF($B$257:$B$263,AX276,D$257:D$263)</f>
        <v>0</v>
      </c>
      <c r="BA276" s="1589"/>
      <c r="BB276" s="1590"/>
      <c r="BC276" s="48"/>
      <c r="BD276" s="482"/>
      <c r="BE276" s="482"/>
      <c r="BF276" s="481"/>
      <c r="BG276" s="481"/>
      <c r="BH276" s="481"/>
      <c r="BI276" s="481"/>
      <c r="BJ276" s="481"/>
      <c r="BK276" s="481"/>
      <c r="BL276" s="481"/>
      <c r="BM276" s="481"/>
      <c r="BN276" s="481"/>
      <c r="BO276" s="481"/>
      <c r="BP276" s="481"/>
      <c r="BQ276" s="481"/>
      <c r="BR276" s="481"/>
      <c r="BS276" s="481"/>
      <c r="BT276" s="481"/>
      <c r="BU276" s="481"/>
      <c r="BV276" s="481"/>
      <c r="BW276" s="481"/>
      <c r="BX276" s="481"/>
      <c r="BY276" s="481"/>
      <c r="BZ276" s="481"/>
      <c r="CA276" s="481"/>
      <c r="CB276" s="481"/>
      <c r="CC276" s="481"/>
      <c r="CD276" s="481"/>
      <c r="CE276" s="481"/>
      <c r="CF276" s="481"/>
      <c r="CG276" s="481"/>
      <c r="CH276" s="481"/>
      <c r="CI276" s="481"/>
      <c r="CJ276" s="481"/>
      <c r="CK276" s="481"/>
      <c r="CL276" s="481"/>
      <c r="CM276" s="481"/>
      <c r="CN276" s="481"/>
      <c r="CO276" s="481"/>
      <c r="CP276" s="481"/>
      <c r="CQ276" s="481"/>
      <c r="CR276" s="481"/>
      <c r="CS276" s="481"/>
      <c r="CT276" s="481"/>
      <c r="CU276" s="481"/>
      <c r="CV276" s="481"/>
      <c r="CW276" s="481"/>
      <c r="CX276" s="481"/>
      <c r="CY276" s="481"/>
      <c r="CZ276" s="481"/>
      <c r="DA276" s="481"/>
      <c r="DB276" s="481"/>
      <c r="DC276" s="481"/>
      <c r="DD276" s="481"/>
      <c r="DE276" s="481"/>
      <c r="DF276" s="481"/>
      <c r="DG276" s="481"/>
      <c r="DH276" s="481"/>
      <c r="DI276" s="481"/>
      <c r="DJ276" s="481"/>
      <c r="DK276" s="481"/>
      <c r="DL276" s="481"/>
      <c r="DM276" s="481"/>
      <c r="DN276" s="481"/>
      <c r="DO276" s="481"/>
      <c r="DP276" s="481"/>
      <c r="DQ276" s="481"/>
      <c r="DR276" s="481"/>
      <c r="DS276" s="481"/>
      <c r="DT276" s="481"/>
      <c r="DU276" s="481"/>
      <c r="DV276" s="481"/>
      <c r="DW276" s="481"/>
      <c r="DX276" s="481"/>
      <c r="DY276" s="481"/>
      <c r="DZ276" s="481"/>
      <c r="EA276" s="481"/>
      <c r="EB276" s="481"/>
      <c r="EC276" s="481"/>
      <c r="ED276" s="481"/>
      <c r="EE276" s="481"/>
      <c r="EF276" s="481"/>
      <c r="EG276" s="481"/>
      <c r="EH276" s="481"/>
      <c r="EI276" s="481"/>
      <c r="EJ276" s="481"/>
      <c r="EK276" s="481"/>
      <c r="EL276" s="481"/>
      <c r="EM276" s="481"/>
      <c r="EN276" s="481"/>
      <c r="EO276" s="481"/>
      <c r="EP276" s="481"/>
      <c r="EQ276" s="481"/>
      <c r="ER276" s="481"/>
      <c r="ES276" s="481"/>
      <c r="ET276" s="481"/>
      <c r="EU276" s="481"/>
      <c r="EV276" s="481"/>
      <c r="EW276" s="481"/>
      <c r="EX276" s="481"/>
      <c r="EY276" s="481"/>
      <c r="EZ276" s="481"/>
      <c r="FA276" s="481"/>
      <c r="FB276" s="481"/>
      <c r="FC276" s="481"/>
      <c r="FD276" s="481"/>
    </row>
    <row r="277" spans="1:160" ht="18" hidden="1" customHeight="1" x14ac:dyDescent="0.2">
      <c r="A277" s="48"/>
      <c r="B277" s="1588">
        <f>SUMIF($B$257:$B$263,E277,S$257:S$263)+SUMIF($B$257:$B$263,E277,P$257:P$263)+SUMIF($B$257:$B$263,E277,M$257:M$263)+SUMIF($B$257:$B$263,E277,J$257:J$263)+SUMIF($B$257:$B$263,E277,G$257:G$263)+SUMIF($B$257:$B$263,E277,D$257:D$263)</f>
        <v>0</v>
      </c>
      <c r="C277" s="1589"/>
      <c r="D277" s="1590"/>
      <c r="E277" s="1622" t="str">
        <f>LUG!H$1</f>
        <v>--</v>
      </c>
      <c r="F277" s="1623"/>
      <c r="G277" s="1588">
        <f>SUMIF($B$257:$B$263,E277,V$257:V$263)+SUMIF($B$257:$B$263,E277,S$257:S$263)+SUMIF($B$257:$B$263,E277,P$257:P$263)+SUMIF($B$257:$B$263,E277,M$257:M$263)+SUMIF($B$257:$B$263,E277,J$257:J$263)+SUMIF($B$257:$B$263,E277,G$257:G$263)+SUMIF($B$257:$B$263,E277,D$257:D$263)</f>
        <v>0</v>
      </c>
      <c r="H277" s="1589"/>
      <c r="I277" s="1590"/>
      <c r="J277" s="48"/>
      <c r="K277" s="1588">
        <f>SUMIF($B$257:$B$263,N277,V$257:V$263)+SUMIF($B$257:$B$263,N277,S$257:S$263)+SUMIF($B$257:$B$263,N277,P$257:P$263)+SUMIF($B$257:$B$263,N277,M$257:M$263)+SUMIF($B$257:$B$263,N277,J$257:J$263)+SUMIF($B$257:$B$263,N277,G$257:G$263)+SUMIF($B$257:$B$263,N277,D$257:D$263)</f>
        <v>0</v>
      </c>
      <c r="L277" s="1589"/>
      <c r="M277" s="1590"/>
      <c r="N277" s="1622" t="str">
        <f>AGO!H$1</f>
        <v>--</v>
      </c>
      <c r="O277" s="1623"/>
      <c r="P277" s="1588">
        <f>SUMIF($B$257:$B$263,N277,Y$257:Y$263)+SUMIF($B$257:$B$263,N277,V$257:V$263)+SUMIF($B$257:$B$263,N277,S$257:S$263)+SUMIF($B$257:$B$263,N277,P$257:P$263)+SUMIF($B$257:$B$263,N277,M$257:M$263)+SUMIF($B$257:$B$263,N277,J$257:J$263)+SUMIF($B$257:$B$263,N277,G$257:G$263)+SUMIF($B$257:$B$263,N277,D$257:D$263)</f>
        <v>0</v>
      </c>
      <c r="Q277" s="1589"/>
      <c r="R277" s="1590"/>
      <c r="S277" s="48"/>
      <c r="T277" s="1588">
        <f>SUMIF($B$257:$B$263,W277,Y$257:Y$263)+SUMIF($B$257:$B$263,W277,V$257:V$263)+SUMIF($B$257:$B$263,W277,S$257:S$263)+SUMIF($B$257:$B$263,W277,P$257:P$263)+SUMIF($B$257:$B$263,W277,M$257:M$263)+SUMIF($B$257:$B$263,W277,J$257:J$263)+SUMIF($B$257:$B$263,W277,G$257:G$263)+SUMIF($B$257:$B$263,W277,D$257:D$263)</f>
        <v>0</v>
      </c>
      <c r="U277" s="1589"/>
      <c r="V277" s="1590"/>
      <c r="W277" s="1622" t="str">
        <f>SET!H$1</f>
        <v>--</v>
      </c>
      <c r="X277" s="1623"/>
      <c r="Y277" s="1588">
        <f>SUMIF($B$257:$B$263,W277,AB$257:AB$263)+SUMIF($B$257:$B$263,W277,Y$257:Y$263)+SUMIF($B$257:$B$263,W277,V$257:V$263)+SUMIF($B$257:$B$263,W277,S$257:S$263)+SUMIF($B$257:$B$263,W277,P$257:P$263)+SUMIF($B$257:$B$263,W277,M$257:M$263)+SUMIF($B$257:$B$263,W277,J$257:J$263)+SUMIF($B$257:$B$263,W277,G$257:G$263)+SUMIF($B$257:$B$263,W277,D$257:D$263)</f>
        <v>0</v>
      </c>
      <c r="Z277" s="1589"/>
      <c r="AA277" s="1590"/>
      <c r="AB277" s="48"/>
      <c r="AC277" s="1588">
        <f>SUMIF($B$257:$B$263,AF277,AB$257:AB$263)+SUMIF($B$257:$B$263,AF277,Y$257:Y$263)+SUMIF($B$257:$B$263,AF277,V$257:V$263)+SUMIF($B$257:$B$263,AF277,S$257:S$263)+SUMIF($B$257:$B$263,AF277,P$257:P$263)+SUMIF($B$257:$B$263,AF277,M$257:M$263)+SUMIF($B$257:$B$263,AF277,J$257:J$263)+SUMIF($B$257:$B$263,AF277,G$257:G$263)+SUMIF($B$257:$B$263,AF277,D$257:D$263)</f>
        <v>0</v>
      </c>
      <c r="AD277" s="1589"/>
      <c r="AE277" s="1590"/>
      <c r="AF277" s="1622" t="str">
        <f>OTT!H$1</f>
        <v>--</v>
      </c>
      <c r="AG277" s="1623"/>
      <c r="AH277" s="1588">
        <f>SUMIF($B$257:$B$263,AF277,AE$257:AE$263)+SUMIF($B$257:$B$263,AF277,AB$257:AB$263)+SUMIF($B$257:$B$263,AF277,Y$257:Y$263)+SUMIF($B$257:$B$263,AF277,V$257:V$263)+SUMIF($B$257:$B$263,AF277,S$257:S$263)+SUMIF($B$257:$B$263,AF277,P$257:P$263)+SUMIF($B$257:$B$263,AF277,M$257:M$263)+SUMIF($B$257:$B$263,AF277,J$257:J$263)+SUMIF($B$257:$B$263,AF277,G$257:G$263)+SUMIF($B$257:$B$263,AF277,D$257:D$263)</f>
        <v>0</v>
      </c>
      <c r="AI277" s="1589"/>
      <c r="AJ277" s="1590"/>
      <c r="AK277" s="48"/>
      <c r="AL277" s="1588">
        <f>SUMIF($B$257:$B$263,AO277,AE$257:AE$263)+SUMIF($B$257:$B$263,AO277,AB$257:AB$263)+SUMIF($B$257:$B$263,AO277,Y$257:Y$263)+SUMIF($B$257:$B$263,AO277,V$257:V$263)+SUMIF($B$257:$B$263,AO277,S$257:S$263)+SUMIF($B$257:$B$263,AO277,P$257:P$263)+SUMIF($B$257:$B$263,AO277,M$257:M$263)+SUMIF($B$257:$B$263,AO277,J$257:J$263)+SUMIF($B$257:$B$263,AO277,G$257:G$263)+SUMIF($B$257:$B$263,AO277,D$257:D$263)</f>
        <v>0</v>
      </c>
      <c r="AM277" s="1589"/>
      <c r="AN277" s="1590"/>
      <c r="AO277" s="1622" t="str">
        <f>NOV!H$1</f>
        <v>--</v>
      </c>
      <c r="AP277" s="1623"/>
      <c r="AQ277" s="1588">
        <f>SUMIF($B$257:$B$263,AO277,AH$257:AH$263)+SUMIF($B$257:$B$263,AO277,AE$257:AE$263)+SUMIF($B$257:$B$263,AO277,AB$257:AB$263)+SUMIF($B$257:$B$263,AO277,Y$257:Y$263)+SUMIF($B$257:$B$263,AO277,V$257:V$263)+SUMIF($B$257:$B$263,AO277,S$257:S$263)+SUMIF($B$257:$B$263,AO277,P$257:P$263)+SUMIF($B$257:$B$263,AO277,M$257:M$263)+SUMIF($B$257:$B$263,AO277,J$257:J$263)+SUMIF($B$257:$B$263,AO277,G$257:G$263)+SUMIF($B$257:$B$263,AO277,D$257:D$263)</f>
        <v>0</v>
      </c>
      <c r="AR277" s="1589"/>
      <c r="AS277" s="1590"/>
      <c r="AT277" s="48"/>
      <c r="AU277" s="1588">
        <f>SUMIF($B$257:$B$263,AX277,AH$257:AH$263)+SUMIF($B$257:$B$263,AX277,AE$257:AE$263)+SUMIF($B$257:$B$263,AX277,AB$257:AB$263)+SUMIF($B$257:$B$263,AX277,Y$257:Y$263)+SUMIF($B$257:$B$263,AX277,V$257:V$263)+SUMIF($B$257:$B$263,AX277,S$257:S$263)+SUMIF($B$257:$B$263,AX277,P$257:P$263)+SUMIF($B$257:$B$263,AX277,M$257:M$263)+SUMIF($B$257:$B$263,AX277,J$257:J$263)+SUMIF($B$257:$B$263,AX277,G$257:G$263)+SUMIF($B$257:$B$263,AX277,D$257:D$263)</f>
        <v>0</v>
      </c>
      <c r="AV277" s="1589"/>
      <c r="AW277" s="1590"/>
      <c r="AX277" s="1622" t="str">
        <f>DIC!H$1</f>
        <v>--</v>
      </c>
      <c r="AY277" s="1623"/>
      <c r="AZ277" s="1588">
        <f>SUMIF($B$257:$B$263,AX277,AK$257:AK$263)+SUMIF($B$257:$B$263,AX277,AH$257:AH$263)+SUMIF($B$257:$B$263,AX277,AE$257:AE$263)+SUMIF($B$257:$B$263,AX277,AB$257:AB$263)+SUMIF($B$257:$B$263,AX277,Y$257:Y$263)+SUMIF($B$257:$B$263,AX277,V$257:V$263)+SUMIF($B$257:$B$263,AX277,S$257:S$263)+SUMIF($B$257:$B$263,AX277,P$257:P$263)+SUMIF($B$257:$B$263,AX277,M$257:M$263)+SUMIF($B$257:$B$263,AX277,J$257:J$263)+SUMIF($B$257:$B$263,AX277,G$257:G$263)+SUMIF($B$257:$B$263,AX277,D$257:D$263)</f>
        <v>0</v>
      </c>
      <c r="BA277" s="1589"/>
      <c r="BB277" s="1590"/>
      <c r="BC277" s="48"/>
      <c r="BD277" s="482"/>
      <c r="BE277" s="482"/>
      <c r="BF277" s="481"/>
      <c r="BG277" s="481"/>
      <c r="BH277" s="481"/>
      <c r="BI277" s="481"/>
      <c r="BJ277" s="481"/>
      <c r="BK277" s="481"/>
      <c r="BL277" s="481"/>
      <c r="BM277" s="481"/>
      <c r="BN277" s="481"/>
      <c r="BO277" s="481"/>
      <c r="BP277" s="481"/>
      <c r="BQ277" s="481"/>
      <c r="BR277" s="481"/>
      <c r="BS277" s="481"/>
      <c r="BT277" s="481"/>
      <c r="BU277" s="481"/>
      <c r="BV277" s="481"/>
      <c r="BW277" s="481"/>
      <c r="BX277" s="481"/>
      <c r="BY277" s="481"/>
      <c r="BZ277" s="481"/>
      <c r="CA277" s="481"/>
      <c r="CB277" s="481"/>
      <c r="CC277" s="481"/>
      <c r="CD277" s="481"/>
      <c r="CE277" s="481"/>
      <c r="CF277" s="481"/>
      <c r="CG277" s="481"/>
      <c r="CH277" s="481"/>
      <c r="CI277" s="481"/>
      <c r="CJ277" s="481"/>
      <c r="CK277" s="481"/>
      <c r="CL277" s="481"/>
      <c r="CM277" s="481"/>
      <c r="CN277" s="481"/>
      <c r="CO277" s="481"/>
      <c r="CP277" s="481"/>
      <c r="CQ277" s="481"/>
      <c r="CR277" s="481"/>
      <c r="CS277" s="481"/>
      <c r="CT277" s="481"/>
      <c r="CU277" s="481"/>
      <c r="CV277" s="481"/>
      <c r="CW277" s="481"/>
      <c r="CX277" s="481"/>
      <c r="CY277" s="481"/>
      <c r="CZ277" s="481"/>
      <c r="DA277" s="481"/>
      <c r="DB277" s="481"/>
      <c r="DC277" s="481"/>
      <c r="DD277" s="481"/>
      <c r="DE277" s="481"/>
      <c r="DF277" s="481"/>
      <c r="DG277" s="481"/>
      <c r="DH277" s="481"/>
      <c r="DI277" s="481"/>
      <c r="DJ277" s="481"/>
      <c r="DK277" s="481"/>
      <c r="DL277" s="481"/>
      <c r="DM277" s="481"/>
      <c r="DN277" s="481"/>
      <c r="DO277" s="481"/>
      <c r="DP277" s="481"/>
      <c r="DQ277" s="481"/>
      <c r="DR277" s="481"/>
      <c r="DS277" s="481"/>
      <c r="DT277" s="481"/>
      <c r="DU277" s="481"/>
      <c r="DV277" s="481"/>
      <c r="DW277" s="481"/>
      <c r="DX277" s="481"/>
      <c r="DY277" s="481"/>
      <c r="DZ277" s="481"/>
      <c r="EA277" s="481"/>
      <c r="EB277" s="481"/>
      <c r="EC277" s="481"/>
      <c r="ED277" s="481"/>
      <c r="EE277" s="481"/>
      <c r="EF277" s="481"/>
      <c r="EG277" s="481"/>
      <c r="EH277" s="481"/>
      <c r="EI277" s="481"/>
      <c r="EJ277" s="481"/>
      <c r="EK277" s="481"/>
      <c r="EL277" s="481"/>
      <c r="EM277" s="481"/>
      <c r="EN277" s="481"/>
      <c r="EO277" s="481"/>
      <c r="EP277" s="481"/>
      <c r="EQ277" s="481"/>
      <c r="ER277" s="481"/>
      <c r="ES277" s="481"/>
      <c r="ET277" s="481"/>
      <c r="EU277" s="481"/>
      <c r="EV277" s="481"/>
      <c r="EW277" s="481"/>
      <c r="EX277" s="481"/>
      <c r="EY277" s="481"/>
      <c r="EZ277" s="481"/>
      <c r="FA277" s="481"/>
      <c r="FB277" s="481"/>
      <c r="FC277" s="481"/>
      <c r="FD277" s="481"/>
    </row>
    <row r="278" spans="1:160" ht="18" hidden="1" customHeight="1" x14ac:dyDescent="0.2">
      <c r="A278" s="48"/>
      <c r="B278" s="1588">
        <f>SUMIF($B$257:$B$263,E278,S$257:S$263)+SUMIF($B$257:$B$263,E278,P$257:P$263)+SUMIF($B$257:$B$263,E278,M$257:M$263)+SUMIF($B$257:$B$263,E278,J$257:J$263)+SUMIF($B$257:$B$263,E278,G$257:G$263)+SUMIF($B$257:$B$263,E278,D$257:D$263)</f>
        <v>0</v>
      </c>
      <c r="C278" s="1589"/>
      <c r="D278" s="1590"/>
      <c r="E278" s="1622" t="str">
        <f>LUG!K$1</f>
        <v>--</v>
      </c>
      <c r="F278" s="1623"/>
      <c r="G278" s="1588">
        <f>SUMIF($B$257:$B$263,E278,V$257:V$263)+SUMIF($B$257:$B$263,E278,S$257:S$263)+SUMIF($B$257:$B$263,E278,P$257:P$263)+SUMIF($B$257:$B$263,E278,M$257:M$263)+SUMIF($B$257:$B$263,E278,J$257:J$263)+SUMIF($B$257:$B$263,E278,G$257:G$263)+SUMIF($B$257:$B$263,E278,D$257:D$263)</f>
        <v>0</v>
      </c>
      <c r="H278" s="1589"/>
      <c r="I278" s="1590"/>
      <c r="J278" s="48"/>
      <c r="K278" s="1588">
        <f>SUMIF($B$257:$B$263,N278,V$257:V$263)+SUMIF($B$257:$B$263,N278,S$257:S$263)+SUMIF($B$257:$B$263,N278,P$257:P$263)+SUMIF($B$257:$B$263,N278,M$257:M$263)+SUMIF($B$257:$B$263,N278,J$257:J$263)+SUMIF($B$257:$B$263,N278,G$257:G$263)+SUMIF($B$257:$B$263,N278,D$257:D$263)</f>
        <v>0</v>
      </c>
      <c r="L278" s="1589"/>
      <c r="M278" s="1590"/>
      <c r="N278" s="1622" t="str">
        <f>AGO!K$1</f>
        <v>--</v>
      </c>
      <c r="O278" s="1623"/>
      <c r="P278" s="1588">
        <f>SUMIF($B$257:$B$263,N278,Y$257:Y$263)+SUMIF($B$257:$B$263,N278,V$257:V$263)+SUMIF($B$257:$B$263,N278,S$257:S$263)+SUMIF($B$257:$B$263,N278,P$257:P$263)+SUMIF($B$257:$B$263,N278,M$257:M$263)+SUMIF($B$257:$B$263,N278,J$257:J$263)+SUMIF($B$257:$B$263,N278,G$257:G$263)+SUMIF($B$257:$B$263,N278,D$257:D$263)</f>
        <v>0</v>
      </c>
      <c r="Q278" s="1589"/>
      <c r="R278" s="1590"/>
      <c r="S278" s="48"/>
      <c r="T278" s="1588">
        <f>SUMIF($B$257:$B$263,W278,Y$257:Y$263)+SUMIF($B$257:$B$263,W278,V$257:V$263)+SUMIF($B$257:$B$263,W278,S$257:S$263)+SUMIF($B$257:$B$263,W278,P$257:P$263)+SUMIF($B$257:$B$263,W278,M$257:M$263)+SUMIF($B$257:$B$263,W278,J$257:J$263)+SUMIF($B$257:$B$263,W278,G$257:G$263)+SUMIF($B$257:$B$263,W278,D$257:D$263)</f>
        <v>0</v>
      </c>
      <c r="U278" s="1589"/>
      <c r="V278" s="1590"/>
      <c r="W278" s="1622" t="str">
        <f>SET!K$1</f>
        <v>--</v>
      </c>
      <c r="X278" s="1623"/>
      <c r="Y278" s="1588">
        <f>SUMIF($B$257:$B$263,W278,AB$257:AB$263)+SUMIF($B$257:$B$263,W278,Y$257:Y$263)+SUMIF($B$257:$B$263,W278,V$257:V$263)+SUMIF($B$257:$B$263,W278,S$257:S$263)+SUMIF($B$257:$B$263,W278,P$257:P$263)+SUMIF($B$257:$B$263,W278,M$257:M$263)+SUMIF($B$257:$B$263,W278,J$257:J$263)+SUMIF($B$257:$B$263,W278,G$257:G$263)+SUMIF($B$257:$B$263,W278,D$257:D$263)</f>
        <v>0</v>
      </c>
      <c r="Z278" s="1589"/>
      <c r="AA278" s="1590"/>
      <c r="AB278" s="48"/>
      <c r="AC278" s="1588">
        <f>SUMIF($B$257:$B$263,AF278,AB$257:AB$263)+SUMIF($B$257:$B$263,AF278,Y$257:Y$263)+SUMIF($B$257:$B$263,AF278,V$257:V$263)+SUMIF($B$257:$B$263,AF278,S$257:S$263)+SUMIF($B$257:$B$263,AF278,P$257:P$263)+SUMIF($B$257:$B$263,AF278,M$257:M$263)+SUMIF($B$257:$B$263,AF278,J$257:J$263)+SUMIF($B$257:$B$263,AF278,G$257:G$263)+SUMIF($B$257:$B$263,AF278,D$257:D$263)</f>
        <v>0</v>
      </c>
      <c r="AD278" s="1589"/>
      <c r="AE278" s="1590"/>
      <c r="AF278" s="1622" t="str">
        <f>OTT!K$1</f>
        <v>--</v>
      </c>
      <c r="AG278" s="1623"/>
      <c r="AH278" s="1588">
        <f>SUMIF($B$257:$B$263,AF278,AE$257:AE$263)+SUMIF($B$257:$B$263,AF278,AB$257:AB$263)+SUMIF($B$257:$B$263,AF278,Y$257:Y$263)+SUMIF($B$257:$B$263,AF278,V$257:V$263)+SUMIF($B$257:$B$263,AF278,S$257:S$263)+SUMIF($B$257:$B$263,AF278,P$257:P$263)+SUMIF($B$257:$B$263,AF278,M$257:M$263)+SUMIF($B$257:$B$263,AF278,J$257:J$263)+SUMIF($B$257:$B$263,AF278,G$257:G$263)+SUMIF($B$257:$B$263,AF278,D$257:D$263)</f>
        <v>0</v>
      </c>
      <c r="AI278" s="1589"/>
      <c r="AJ278" s="1590"/>
      <c r="AK278" s="48"/>
      <c r="AL278" s="1588">
        <f>SUMIF($B$257:$B$263,AO278,AE$257:AE$263)+SUMIF($B$257:$B$263,AO278,AB$257:AB$263)+SUMIF($B$257:$B$263,AO278,Y$257:Y$263)+SUMIF($B$257:$B$263,AO278,V$257:V$263)+SUMIF($B$257:$B$263,AO278,S$257:S$263)+SUMIF($B$257:$B$263,AO278,P$257:P$263)+SUMIF($B$257:$B$263,AO278,M$257:M$263)+SUMIF($B$257:$B$263,AO278,J$257:J$263)+SUMIF($B$257:$B$263,AO278,G$257:G$263)+SUMIF($B$257:$B$263,AO278,D$257:D$263)</f>
        <v>0</v>
      </c>
      <c r="AM278" s="1589"/>
      <c r="AN278" s="1590"/>
      <c r="AO278" s="1622" t="str">
        <f>NOV!K$1</f>
        <v>--</v>
      </c>
      <c r="AP278" s="1623"/>
      <c r="AQ278" s="1588">
        <f>SUMIF($B$257:$B$263,AO278,AH$257:AH$263)+SUMIF($B$257:$B$263,AO278,AE$257:AE$263)+SUMIF($B$257:$B$263,AO278,AB$257:AB$263)+SUMIF($B$257:$B$263,AO278,Y$257:Y$263)+SUMIF($B$257:$B$263,AO278,V$257:V$263)+SUMIF($B$257:$B$263,AO278,S$257:S$263)+SUMIF($B$257:$B$263,AO278,P$257:P$263)+SUMIF($B$257:$B$263,AO278,M$257:M$263)+SUMIF($B$257:$B$263,AO278,J$257:J$263)+SUMIF($B$257:$B$263,AO278,G$257:G$263)+SUMIF($B$257:$B$263,AO278,D$257:D$263)</f>
        <v>0</v>
      </c>
      <c r="AR278" s="1589"/>
      <c r="AS278" s="1590"/>
      <c r="AT278" s="48"/>
      <c r="AU278" s="1588">
        <f>SUMIF($B$257:$B$263,AX278,AH$257:AH$263)+SUMIF($B$257:$B$263,AX278,AE$257:AE$263)+SUMIF($B$257:$B$263,AX278,AB$257:AB$263)+SUMIF($B$257:$B$263,AX278,Y$257:Y$263)+SUMIF($B$257:$B$263,AX278,V$257:V$263)+SUMIF($B$257:$B$263,AX278,S$257:S$263)+SUMIF($B$257:$B$263,AX278,P$257:P$263)+SUMIF($B$257:$B$263,AX278,M$257:M$263)+SUMIF($B$257:$B$263,AX278,J$257:J$263)+SUMIF($B$257:$B$263,AX278,G$257:G$263)+SUMIF($B$257:$B$263,AX278,D$257:D$263)</f>
        <v>0</v>
      </c>
      <c r="AV278" s="1589"/>
      <c r="AW278" s="1590"/>
      <c r="AX278" s="1622" t="str">
        <f>DIC!K$1</f>
        <v>--</v>
      </c>
      <c r="AY278" s="1623"/>
      <c r="AZ278" s="1588">
        <f>SUMIF($B$257:$B$263,AX278,AK$257:AK$263)+SUMIF($B$257:$B$263,AX278,AH$257:AH$263)+SUMIF($B$257:$B$263,AX278,AE$257:AE$263)+SUMIF($B$257:$B$263,AX278,AB$257:AB$263)+SUMIF($B$257:$B$263,AX278,Y$257:Y$263)+SUMIF($B$257:$B$263,AX278,V$257:V$263)+SUMIF($B$257:$B$263,AX278,S$257:S$263)+SUMIF($B$257:$B$263,AX278,P$257:P$263)+SUMIF($B$257:$B$263,AX278,M$257:M$263)+SUMIF($B$257:$B$263,AX278,J$257:J$263)+SUMIF($B$257:$B$263,AX278,G$257:G$263)+SUMIF($B$257:$B$263,AX278,D$257:D$263)</f>
        <v>0</v>
      </c>
      <c r="BA278" s="1589"/>
      <c r="BB278" s="1590"/>
      <c r="BC278" s="48"/>
      <c r="BD278" s="482"/>
      <c r="BE278" s="482"/>
      <c r="BF278" s="481"/>
      <c r="BG278" s="481"/>
      <c r="BH278" s="481"/>
      <c r="BI278" s="481"/>
      <c r="BJ278" s="481"/>
      <c r="BK278" s="481"/>
      <c r="BL278" s="481"/>
      <c r="BM278" s="481"/>
      <c r="BN278" s="481"/>
      <c r="BO278" s="481"/>
      <c r="BP278" s="481"/>
      <c r="BQ278" s="481"/>
      <c r="BR278" s="481"/>
      <c r="BS278" s="481"/>
      <c r="BT278" s="481"/>
      <c r="BU278" s="481"/>
      <c r="BV278" s="481"/>
      <c r="BW278" s="481"/>
      <c r="BX278" s="481"/>
      <c r="BY278" s="481"/>
      <c r="BZ278" s="481"/>
      <c r="CA278" s="481"/>
      <c r="CB278" s="481"/>
      <c r="CC278" s="481"/>
      <c r="CD278" s="481"/>
      <c r="CE278" s="481"/>
      <c r="CF278" s="481"/>
      <c r="CG278" s="481"/>
      <c r="CH278" s="481"/>
      <c r="CI278" s="481"/>
      <c r="CJ278" s="481"/>
      <c r="CK278" s="481"/>
      <c r="CL278" s="481"/>
      <c r="CM278" s="481"/>
      <c r="CN278" s="481"/>
      <c r="CO278" s="481"/>
      <c r="CP278" s="481"/>
      <c r="CQ278" s="481"/>
      <c r="CR278" s="481"/>
      <c r="CS278" s="481"/>
      <c r="CT278" s="481"/>
      <c r="CU278" s="481"/>
      <c r="CV278" s="481"/>
      <c r="CW278" s="481"/>
      <c r="CX278" s="481"/>
      <c r="CY278" s="481"/>
      <c r="CZ278" s="481"/>
      <c r="DA278" s="481"/>
      <c r="DB278" s="481"/>
      <c r="DC278" s="481"/>
      <c r="DD278" s="481"/>
      <c r="DE278" s="481"/>
      <c r="DF278" s="481"/>
      <c r="DG278" s="481"/>
      <c r="DH278" s="481"/>
      <c r="DI278" s="481"/>
      <c r="DJ278" s="481"/>
      <c r="DK278" s="481"/>
      <c r="DL278" s="481"/>
      <c r="DM278" s="481"/>
      <c r="DN278" s="481"/>
      <c r="DO278" s="481"/>
      <c r="DP278" s="481"/>
      <c r="DQ278" s="481"/>
      <c r="DR278" s="481"/>
      <c r="DS278" s="481"/>
      <c r="DT278" s="481"/>
      <c r="DU278" s="481"/>
      <c r="DV278" s="481"/>
      <c r="DW278" s="481"/>
      <c r="DX278" s="481"/>
      <c r="DY278" s="481"/>
      <c r="DZ278" s="481"/>
      <c r="EA278" s="481"/>
      <c r="EB278" s="481"/>
      <c r="EC278" s="481"/>
      <c r="ED278" s="481"/>
      <c r="EE278" s="481"/>
      <c r="EF278" s="481"/>
      <c r="EG278" s="481"/>
      <c r="EH278" s="481"/>
      <c r="EI278" s="481"/>
      <c r="EJ278" s="481"/>
      <c r="EK278" s="481"/>
      <c r="EL278" s="481"/>
      <c r="EM278" s="481"/>
      <c r="EN278" s="481"/>
      <c r="EO278" s="481"/>
      <c r="EP278" s="481"/>
      <c r="EQ278" s="481"/>
      <c r="ER278" s="481"/>
      <c r="ES278" s="481"/>
      <c r="ET278" s="481"/>
      <c r="EU278" s="481"/>
      <c r="EV278" s="481"/>
      <c r="EW278" s="481"/>
      <c r="EX278" s="481"/>
      <c r="EY278" s="481"/>
      <c r="EZ278" s="481"/>
      <c r="FA278" s="481"/>
      <c r="FB278" s="481"/>
      <c r="FC278" s="481"/>
      <c r="FD278" s="481"/>
    </row>
    <row r="279" spans="1:160" ht="18" hidden="1" customHeight="1" x14ac:dyDescent="0.2">
      <c r="A279" s="48"/>
      <c r="B279" s="1588">
        <f>SUMIF($B$257:$B$263,E279,S$257:S$263)+SUMIF($B$257:$B$263,E279,P$257:P$263)+SUMIF($B$257:$B$263,E279,M$257:M$263)+SUMIF($B$257:$B$263,E279,J$257:J$263)+SUMIF($B$257:$B$263,E279,G$257:G$263)+SUMIF($B$257:$B$263,E279,D$257:D$263)</f>
        <v>0</v>
      </c>
      <c r="C279" s="1589"/>
      <c r="D279" s="1590"/>
      <c r="E279" s="1622" t="str">
        <f>LUG!N$1</f>
        <v>--</v>
      </c>
      <c r="F279" s="1623"/>
      <c r="G279" s="1588">
        <f>SUMIF($B$257:$B$263,E279,V$257:V$263)+SUMIF($B$257:$B$263,E279,S$257:S$263)+SUMIF($B$257:$B$263,E279,P$257:P$263)+SUMIF($B$257:$B$263,E279,M$257:M$263)+SUMIF($B$257:$B$263,E279,J$257:J$263)+SUMIF($B$257:$B$263,E279,G$257:G$263)+SUMIF($B$257:$B$263,E279,D$257:D$263)</f>
        <v>0</v>
      </c>
      <c r="H279" s="1589"/>
      <c r="I279" s="1590"/>
      <c r="J279" s="48"/>
      <c r="K279" s="1588">
        <f>SUMIF($B$257:$B$263,N279,V$257:V$263)+SUMIF($B$257:$B$263,N279,S$257:S$263)+SUMIF($B$257:$B$263,N279,P$257:P$263)+SUMIF($B$257:$B$263,N279,M$257:M$263)+SUMIF($B$257:$B$263,N279,J$257:J$263)+SUMIF($B$257:$B$263,N279,G$257:G$263)+SUMIF($B$257:$B$263,N279,D$257:D$263)</f>
        <v>0</v>
      </c>
      <c r="L279" s="1589"/>
      <c r="M279" s="1590"/>
      <c r="N279" s="1622" t="str">
        <f>AGO!N$1</f>
        <v>--</v>
      </c>
      <c r="O279" s="1623"/>
      <c r="P279" s="1588">
        <f>SUMIF($B$257:$B$263,N279,Y$257:Y$263)+SUMIF($B$257:$B$263,N279,V$257:V$263)+SUMIF($B$257:$B$263,N279,S$257:S$263)+SUMIF($B$257:$B$263,N279,P$257:P$263)+SUMIF($B$257:$B$263,N279,M$257:M$263)+SUMIF($B$257:$B$263,N279,J$257:J$263)+SUMIF($B$257:$B$263,N279,G$257:G$263)+SUMIF($B$257:$B$263,N279,D$257:D$263)</f>
        <v>0</v>
      </c>
      <c r="Q279" s="1589"/>
      <c r="R279" s="1590"/>
      <c r="S279" s="48"/>
      <c r="T279" s="1588">
        <f>SUMIF($B$257:$B$263,W279,Y$257:Y$263)+SUMIF($B$257:$B$263,W279,V$257:V$263)+SUMIF($B$257:$B$263,W279,S$257:S$263)+SUMIF($B$257:$B$263,W279,P$257:P$263)+SUMIF($B$257:$B$263,W279,M$257:M$263)+SUMIF($B$257:$B$263,W279,J$257:J$263)+SUMIF($B$257:$B$263,W279,G$257:G$263)+SUMIF($B$257:$B$263,W279,D$257:D$263)</f>
        <v>0</v>
      </c>
      <c r="U279" s="1589"/>
      <c r="V279" s="1590"/>
      <c r="W279" s="1622" t="str">
        <f>SET!N$1</f>
        <v>--</v>
      </c>
      <c r="X279" s="1623"/>
      <c r="Y279" s="1588">
        <f>SUMIF($B$257:$B$263,W279,AB$257:AB$263)+SUMIF($B$257:$B$263,W279,Y$257:Y$263)+SUMIF($B$257:$B$263,W279,V$257:V$263)+SUMIF($B$257:$B$263,W279,S$257:S$263)+SUMIF($B$257:$B$263,W279,P$257:P$263)+SUMIF($B$257:$B$263,W279,M$257:M$263)+SUMIF($B$257:$B$263,W279,J$257:J$263)+SUMIF($B$257:$B$263,W279,G$257:G$263)+SUMIF($B$257:$B$263,W279,D$257:D$263)</f>
        <v>0</v>
      </c>
      <c r="Z279" s="1589"/>
      <c r="AA279" s="1590"/>
      <c r="AB279" s="48"/>
      <c r="AC279" s="1588">
        <f>SUMIF($B$257:$B$263,AF279,AB$257:AB$263)+SUMIF($B$257:$B$263,AF279,Y$257:Y$263)+SUMIF($B$257:$B$263,AF279,V$257:V$263)+SUMIF($B$257:$B$263,AF279,S$257:S$263)+SUMIF($B$257:$B$263,AF279,P$257:P$263)+SUMIF($B$257:$B$263,AF279,M$257:M$263)+SUMIF($B$257:$B$263,AF279,J$257:J$263)+SUMIF($B$257:$B$263,AF279,G$257:G$263)+SUMIF($B$257:$B$263,AF279,D$257:D$263)</f>
        <v>0</v>
      </c>
      <c r="AD279" s="1589"/>
      <c r="AE279" s="1590"/>
      <c r="AF279" s="1622" t="str">
        <f>OTT!N$1</f>
        <v>--</v>
      </c>
      <c r="AG279" s="1623"/>
      <c r="AH279" s="1588">
        <f>SUMIF($B$257:$B$263,AF279,AE$257:AE$263)+SUMIF($B$257:$B$263,AF279,AB$257:AB$263)+SUMIF($B$257:$B$263,AF279,Y$257:Y$263)+SUMIF($B$257:$B$263,AF279,V$257:V$263)+SUMIF($B$257:$B$263,AF279,S$257:S$263)+SUMIF($B$257:$B$263,AF279,P$257:P$263)+SUMIF($B$257:$B$263,AF279,M$257:M$263)+SUMIF($B$257:$B$263,AF279,J$257:J$263)+SUMIF($B$257:$B$263,AF279,G$257:G$263)+SUMIF($B$257:$B$263,AF279,D$257:D$263)</f>
        <v>0</v>
      </c>
      <c r="AI279" s="1589"/>
      <c r="AJ279" s="1590"/>
      <c r="AK279" s="48"/>
      <c r="AL279" s="1588">
        <f>SUMIF($B$257:$B$263,AO279,AE$257:AE$263)+SUMIF($B$257:$B$263,AO279,AB$257:AB$263)+SUMIF($B$257:$B$263,AO279,Y$257:Y$263)+SUMIF($B$257:$B$263,AO279,V$257:V$263)+SUMIF($B$257:$B$263,AO279,S$257:S$263)+SUMIF($B$257:$B$263,AO279,P$257:P$263)+SUMIF($B$257:$B$263,AO279,M$257:M$263)+SUMIF($B$257:$B$263,AO279,J$257:J$263)+SUMIF($B$257:$B$263,AO279,G$257:G$263)+SUMIF($B$257:$B$263,AO279,D$257:D$263)</f>
        <v>0</v>
      </c>
      <c r="AM279" s="1589"/>
      <c r="AN279" s="1590"/>
      <c r="AO279" s="1622" t="str">
        <f>NOV!N$1</f>
        <v>--</v>
      </c>
      <c r="AP279" s="1623"/>
      <c r="AQ279" s="1588">
        <f>SUMIF($B$257:$B$263,AO279,AH$257:AH$263)+SUMIF($B$257:$B$263,AO279,AE$257:AE$263)+SUMIF($B$257:$B$263,AO279,AB$257:AB$263)+SUMIF($B$257:$B$263,AO279,Y$257:Y$263)+SUMIF($B$257:$B$263,AO279,V$257:V$263)+SUMIF($B$257:$B$263,AO279,S$257:S$263)+SUMIF($B$257:$B$263,AO279,P$257:P$263)+SUMIF($B$257:$B$263,AO279,M$257:M$263)+SUMIF($B$257:$B$263,AO279,J$257:J$263)+SUMIF($B$257:$B$263,AO279,G$257:G$263)+SUMIF($B$257:$B$263,AO279,D$257:D$263)</f>
        <v>0</v>
      </c>
      <c r="AR279" s="1589"/>
      <c r="AS279" s="1590"/>
      <c r="AT279" s="48"/>
      <c r="AU279" s="1588">
        <f>SUMIF($B$257:$B$263,AX279,AH$257:AH$263)+SUMIF($B$257:$B$263,AX279,AE$257:AE$263)+SUMIF($B$257:$B$263,AX279,AB$257:AB$263)+SUMIF($B$257:$B$263,AX279,Y$257:Y$263)+SUMIF($B$257:$B$263,AX279,V$257:V$263)+SUMIF($B$257:$B$263,AX279,S$257:S$263)+SUMIF($B$257:$B$263,AX279,P$257:P$263)+SUMIF($B$257:$B$263,AX279,M$257:M$263)+SUMIF($B$257:$B$263,AX279,J$257:J$263)+SUMIF($B$257:$B$263,AX279,G$257:G$263)+SUMIF($B$257:$B$263,AX279,D$257:D$263)</f>
        <v>0</v>
      </c>
      <c r="AV279" s="1589"/>
      <c r="AW279" s="1590"/>
      <c r="AX279" s="1622" t="str">
        <f>DIC!N$1</f>
        <v>--</v>
      </c>
      <c r="AY279" s="1623"/>
      <c r="AZ279" s="1588">
        <f>SUMIF($B$257:$B$263,AX279,AK$257:AK$263)+SUMIF($B$257:$B$263,AX279,AH$257:AH$263)+SUMIF($B$257:$B$263,AX279,AE$257:AE$263)+SUMIF($B$257:$B$263,AX279,AB$257:AB$263)+SUMIF($B$257:$B$263,AX279,Y$257:Y$263)+SUMIF($B$257:$B$263,AX279,V$257:V$263)+SUMIF($B$257:$B$263,AX279,S$257:S$263)+SUMIF($B$257:$B$263,AX279,P$257:P$263)+SUMIF($B$257:$B$263,AX279,M$257:M$263)+SUMIF($B$257:$B$263,AX279,J$257:J$263)+SUMIF($B$257:$B$263,AX279,G$257:G$263)+SUMIF($B$257:$B$263,AX279,D$257:D$263)</f>
        <v>0</v>
      </c>
      <c r="BA279" s="1589"/>
      <c r="BB279" s="1590"/>
      <c r="BC279" s="186"/>
      <c r="BD279" s="482"/>
      <c r="BE279" s="482"/>
      <c r="BF279" s="481"/>
      <c r="BG279" s="481"/>
      <c r="BH279" s="481"/>
      <c r="BI279" s="481"/>
      <c r="BJ279" s="481"/>
      <c r="BK279" s="481"/>
      <c r="BL279" s="481"/>
      <c r="BM279" s="481"/>
      <c r="BN279" s="481"/>
      <c r="BO279" s="481"/>
      <c r="BP279" s="481"/>
      <c r="BQ279" s="481"/>
      <c r="BR279" s="481"/>
      <c r="BS279" s="481"/>
      <c r="BT279" s="481"/>
      <c r="BU279" s="481"/>
      <c r="BV279" s="481"/>
      <c r="BW279" s="481"/>
      <c r="BX279" s="481"/>
      <c r="BY279" s="481"/>
      <c r="BZ279" s="481"/>
      <c r="CA279" s="481"/>
      <c r="CB279" s="481"/>
      <c r="CC279" s="481"/>
      <c r="CD279" s="481"/>
      <c r="CE279" s="481"/>
      <c r="CF279" s="481"/>
      <c r="CG279" s="481"/>
      <c r="CH279" s="481"/>
      <c r="CI279" s="481"/>
      <c r="CJ279" s="481"/>
      <c r="CK279" s="481"/>
      <c r="CL279" s="481"/>
      <c r="CM279" s="481"/>
      <c r="CN279" s="481"/>
      <c r="CO279" s="481"/>
      <c r="CP279" s="481"/>
      <c r="CQ279" s="481"/>
      <c r="CR279" s="481"/>
      <c r="CS279" s="481"/>
      <c r="CT279" s="481"/>
      <c r="CU279" s="481"/>
      <c r="CV279" s="481"/>
      <c r="CW279" s="481"/>
      <c r="CX279" s="481"/>
      <c r="CY279" s="481"/>
      <c r="CZ279" s="481"/>
      <c r="DA279" s="481"/>
      <c r="DB279" s="481"/>
      <c r="DC279" s="481"/>
      <c r="DD279" s="481"/>
      <c r="DE279" s="481"/>
      <c r="DF279" s="481"/>
      <c r="DG279" s="481"/>
      <c r="DH279" s="481"/>
      <c r="DI279" s="481"/>
      <c r="DJ279" s="481"/>
      <c r="DK279" s="481"/>
      <c r="DL279" s="481"/>
      <c r="DM279" s="481"/>
      <c r="DN279" s="481"/>
      <c r="DO279" s="481"/>
      <c r="DP279" s="481"/>
      <c r="DQ279" s="481"/>
      <c r="DR279" s="481"/>
      <c r="DS279" s="481"/>
      <c r="DT279" s="481"/>
      <c r="DU279" s="481"/>
      <c r="DV279" s="481"/>
      <c r="DW279" s="481"/>
      <c r="DX279" s="481"/>
      <c r="DY279" s="481"/>
      <c r="DZ279" s="481"/>
      <c r="EA279" s="481"/>
      <c r="EB279" s="481"/>
      <c r="EC279" s="481"/>
      <c r="ED279" s="481"/>
      <c r="EE279" s="481"/>
      <c r="EF279" s="481"/>
      <c r="EG279" s="481"/>
      <c r="EH279" s="481"/>
      <c r="EI279" s="481"/>
      <c r="EJ279" s="481"/>
      <c r="EK279" s="481"/>
      <c r="EL279" s="481"/>
      <c r="EM279" s="481"/>
      <c r="EN279" s="481"/>
      <c r="EO279" s="481"/>
      <c r="EP279" s="481"/>
      <c r="EQ279" s="481"/>
      <c r="ER279" s="481"/>
      <c r="ES279" s="481"/>
      <c r="ET279" s="481"/>
      <c r="EU279" s="481"/>
      <c r="EV279" s="481"/>
      <c r="EW279" s="481"/>
      <c r="EX279" s="481"/>
      <c r="EY279" s="481"/>
      <c r="EZ279" s="481"/>
      <c r="FA279" s="481"/>
      <c r="FB279" s="481"/>
      <c r="FC279" s="481"/>
      <c r="FD279" s="481"/>
    </row>
    <row r="280" spans="1:160" ht="18" hidden="1" customHeight="1" x14ac:dyDescent="0.2">
      <c r="A280" s="48"/>
      <c r="B280" s="1598">
        <f>SUM(B276:D279)</f>
        <v>0</v>
      </c>
      <c r="C280" s="1599"/>
      <c r="D280" s="1600"/>
      <c r="E280" s="1986"/>
      <c r="F280" s="1987"/>
      <c r="G280" s="1598">
        <f>SUM(G276:I279)</f>
        <v>0</v>
      </c>
      <c r="H280" s="1599"/>
      <c r="I280" s="1600"/>
      <c r="J280" s="48"/>
      <c r="K280" s="1598">
        <f>SUM(K276:M279)</f>
        <v>0</v>
      </c>
      <c r="L280" s="1599"/>
      <c r="M280" s="1600"/>
      <c r="N280" s="185"/>
      <c r="O280" s="185"/>
      <c r="P280" s="1598">
        <f>SUM(P276:R279)</f>
        <v>0</v>
      </c>
      <c r="Q280" s="1599"/>
      <c r="R280" s="1600"/>
      <c r="S280" s="48"/>
      <c r="T280" s="1598">
        <f>SUM(T276:V279)</f>
        <v>0</v>
      </c>
      <c r="U280" s="1599"/>
      <c r="V280" s="1600"/>
      <c r="W280" s="185"/>
      <c r="X280" s="185"/>
      <c r="Y280" s="1598">
        <f>SUM(Y276:AA279)</f>
        <v>0</v>
      </c>
      <c r="Z280" s="1599"/>
      <c r="AA280" s="1600"/>
      <c r="AB280" s="48"/>
      <c r="AC280" s="1598">
        <f>SUM(AC276:AE279)</f>
        <v>0</v>
      </c>
      <c r="AD280" s="1599"/>
      <c r="AE280" s="1600"/>
      <c r="AF280" s="185"/>
      <c r="AG280" s="185"/>
      <c r="AH280" s="1598">
        <f>SUM(AH276:AJ279)</f>
        <v>0</v>
      </c>
      <c r="AI280" s="1599"/>
      <c r="AJ280" s="1600"/>
      <c r="AK280" s="48"/>
      <c r="AL280" s="1598">
        <f>SUM(AL276:AN279)</f>
        <v>0</v>
      </c>
      <c r="AM280" s="1599"/>
      <c r="AN280" s="1600"/>
      <c r="AO280" s="185"/>
      <c r="AP280" s="185"/>
      <c r="AQ280" s="1598">
        <f>SUM(AQ276:AS279)</f>
        <v>0</v>
      </c>
      <c r="AR280" s="1599"/>
      <c r="AS280" s="1600"/>
      <c r="AT280" s="48"/>
      <c r="AU280" s="1598">
        <f>SUM(AU276:AW279)</f>
        <v>0</v>
      </c>
      <c r="AV280" s="1599"/>
      <c r="AW280" s="1600"/>
      <c r="AX280" s="186"/>
      <c r="AY280" s="186"/>
      <c r="AZ280" s="1598">
        <f>SUM(AZ276:BB279)</f>
        <v>0</v>
      </c>
      <c r="BA280" s="1599"/>
      <c r="BB280" s="1600"/>
      <c r="BC280" s="186"/>
      <c r="BD280" s="482"/>
      <c r="BE280" s="482"/>
      <c r="BF280" s="481"/>
      <c r="BG280" s="481"/>
      <c r="BH280" s="481"/>
      <c r="BI280" s="481"/>
      <c r="BJ280" s="481"/>
      <c r="BK280" s="481"/>
      <c r="BL280" s="481"/>
      <c r="BM280" s="481"/>
      <c r="BN280" s="481"/>
      <c r="BO280" s="481"/>
      <c r="BP280" s="481"/>
      <c r="BQ280" s="481"/>
      <c r="BR280" s="481"/>
      <c r="BS280" s="481"/>
      <c r="BT280" s="481"/>
      <c r="BU280" s="481"/>
      <c r="BV280" s="481"/>
      <c r="BW280" s="481"/>
      <c r="BX280" s="481"/>
      <c r="BY280" s="481"/>
      <c r="BZ280" s="481"/>
      <c r="CA280" s="481"/>
      <c r="CB280" s="481"/>
      <c r="CC280" s="481"/>
      <c r="CD280" s="481"/>
      <c r="CE280" s="481"/>
      <c r="CF280" s="481"/>
      <c r="CG280" s="481"/>
      <c r="CH280" s="481"/>
      <c r="CI280" s="481"/>
      <c r="CJ280" s="481"/>
      <c r="CK280" s="481"/>
      <c r="CL280" s="481"/>
      <c r="CM280" s="481"/>
      <c r="CN280" s="481"/>
      <c r="CO280" s="481"/>
      <c r="CP280" s="481"/>
      <c r="CQ280" s="481"/>
      <c r="CR280" s="481"/>
      <c r="CS280" s="481"/>
      <c r="CT280" s="481"/>
      <c r="CU280" s="481"/>
      <c r="CV280" s="481"/>
      <c r="CW280" s="481"/>
      <c r="CX280" s="481"/>
      <c r="CY280" s="481"/>
      <c r="CZ280" s="481"/>
      <c r="DA280" s="481"/>
      <c r="DB280" s="481"/>
      <c r="DC280" s="481"/>
      <c r="DD280" s="481"/>
      <c r="DE280" s="481"/>
      <c r="DF280" s="481"/>
      <c r="DG280" s="481"/>
      <c r="DH280" s="481"/>
      <c r="DI280" s="481"/>
      <c r="DJ280" s="481"/>
      <c r="DK280" s="481"/>
      <c r="DL280" s="481"/>
      <c r="DM280" s="481"/>
      <c r="DN280" s="481"/>
      <c r="DO280" s="481"/>
      <c r="DP280" s="481"/>
      <c r="DQ280" s="481"/>
      <c r="DR280" s="481"/>
      <c r="DS280" s="481"/>
      <c r="DT280" s="481"/>
      <c r="DU280" s="481"/>
      <c r="DV280" s="481"/>
      <c r="DW280" s="481"/>
      <c r="DX280" s="481"/>
      <c r="DY280" s="481"/>
      <c r="DZ280" s="481"/>
      <c r="EA280" s="481"/>
      <c r="EB280" s="481"/>
      <c r="EC280" s="481"/>
      <c r="ED280" s="481"/>
      <c r="EE280" s="481"/>
      <c r="EF280" s="481"/>
      <c r="EG280" s="481"/>
      <c r="EH280" s="481"/>
      <c r="EI280" s="481"/>
      <c r="EJ280" s="481"/>
      <c r="EK280" s="481"/>
      <c r="EL280" s="481"/>
      <c r="EM280" s="481"/>
      <c r="EN280" s="481"/>
      <c r="EO280" s="481"/>
      <c r="EP280" s="481"/>
      <c r="EQ280" s="481"/>
      <c r="ER280" s="481"/>
      <c r="ES280" s="481"/>
      <c r="ET280" s="481"/>
      <c r="EU280" s="481"/>
      <c r="EV280" s="481"/>
      <c r="EW280" s="481"/>
      <c r="EX280" s="481"/>
      <c r="EY280" s="481"/>
      <c r="EZ280" s="481"/>
      <c r="FA280" s="481"/>
      <c r="FB280" s="481"/>
      <c r="FC280" s="481"/>
      <c r="FD280" s="481"/>
    </row>
    <row r="281" spans="1:160" ht="18" hidden="1" customHeight="1" x14ac:dyDescent="0.2">
      <c r="A281" s="186"/>
      <c r="B281" s="48"/>
      <c r="C281" s="48"/>
      <c r="D281" s="48"/>
      <c r="E281" s="48"/>
      <c r="F281" s="48"/>
      <c r="G281" s="185"/>
      <c r="H281" s="185"/>
      <c r="I281" s="185"/>
      <c r="J281" s="185"/>
      <c r="K281" s="185"/>
      <c r="L281" s="185"/>
      <c r="M281" s="185"/>
      <c r="N281" s="185"/>
      <c r="O281" s="185"/>
      <c r="P281" s="185"/>
      <c r="Q281" s="185"/>
      <c r="R281" s="185"/>
      <c r="S281" s="185"/>
      <c r="T281" s="185"/>
      <c r="U281" s="185"/>
      <c r="V281" s="185"/>
      <c r="W281" s="185"/>
      <c r="X281" s="185"/>
      <c r="Y281" s="185"/>
      <c r="Z281" s="185"/>
      <c r="AA281" s="185"/>
      <c r="AB281" s="185"/>
      <c r="AC281" s="186"/>
      <c r="AD281" s="186"/>
      <c r="AE281" s="186"/>
      <c r="AF281" s="186"/>
      <c r="AG281" s="186"/>
      <c r="AH281" s="186"/>
      <c r="AI281" s="186"/>
      <c r="AJ281" s="186"/>
      <c r="AK281" s="186"/>
      <c r="AL281" s="186"/>
      <c r="AM281" s="186"/>
      <c r="AN281" s="48"/>
      <c r="AO281" s="48"/>
      <c r="AP281" s="48"/>
      <c r="AQ281" s="48"/>
      <c r="AR281" s="48"/>
      <c r="AS281" s="48"/>
      <c r="AT281" s="48"/>
      <c r="AU281" s="48"/>
      <c r="AV281" s="48"/>
      <c r="AW281" s="48"/>
      <c r="AX281" s="48"/>
      <c r="AY281" s="48"/>
      <c r="AZ281" s="48"/>
      <c r="BA281" s="48"/>
      <c r="BB281" s="48"/>
      <c r="BC281" s="48"/>
      <c r="BD281" s="481"/>
      <c r="BE281" s="481"/>
      <c r="BF281" s="481"/>
      <c r="BG281" s="481"/>
      <c r="BH281" s="481"/>
      <c r="BI281" s="481"/>
      <c r="BJ281" s="481"/>
      <c r="BK281" s="481"/>
      <c r="BL281" s="481"/>
      <c r="BM281" s="481"/>
      <c r="BN281" s="481"/>
      <c r="BO281" s="481"/>
      <c r="BP281" s="481"/>
      <c r="BQ281" s="481"/>
      <c r="BR281" s="481"/>
      <c r="BS281" s="481"/>
      <c r="BT281" s="481"/>
      <c r="BU281" s="481"/>
      <c r="BV281" s="481"/>
      <c r="BW281" s="481"/>
      <c r="BX281" s="481"/>
      <c r="BY281" s="481"/>
      <c r="BZ281" s="481"/>
      <c r="CA281" s="481"/>
      <c r="CB281" s="481"/>
      <c r="CC281" s="481"/>
      <c r="CD281" s="481"/>
      <c r="CE281" s="481"/>
      <c r="CF281" s="481"/>
      <c r="CG281" s="481"/>
      <c r="CH281" s="481"/>
      <c r="CI281" s="481"/>
      <c r="CJ281" s="481"/>
      <c r="CK281" s="481"/>
      <c r="CL281" s="481"/>
      <c r="CM281" s="481"/>
      <c r="CN281" s="481"/>
      <c r="CO281" s="481"/>
      <c r="CP281" s="481"/>
      <c r="CQ281" s="481"/>
      <c r="CR281" s="481"/>
      <c r="CS281" s="481"/>
      <c r="CT281" s="481"/>
      <c r="CU281" s="481"/>
      <c r="CV281" s="481"/>
      <c r="CW281" s="481"/>
      <c r="CX281" s="481"/>
      <c r="CY281" s="481"/>
      <c r="CZ281" s="481"/>
      <c r="DA281" s="481"/>
      <c r="DB281" s="481"/>
      <c r="DC281" s="481"/>
      <c r="DD281" s="481"/>
      <c r="DE281" s="481"/>
      <c r="DF281" s="481"/>
      <c r="DG281" s="481"/>
      <c r="DH281" s="481"/>
      <c r="DI281" s="481"/>
      <c r="DJ281" s="481"/>
      <c r="DK281" s="481"/>
      <c r="DL281" s="481"/>
      <c r="DM281" s="481"/>
      <c r="DN281" s="481"/>
      <c r="DO281" s="481"/>
      <c r="DP281" s="481"/>
      <c r="DQ281" s="481"/>
      <c r="DR281" s="481"/>
      <c r="DS281" s="481"/>
      <c r="DT281" s="481"/>
      <c r="DU281" s="481"/>
      <c r="DV281" s="481"/>
      <c r="DW281" s="481"/>
      <c r="DX281" s="481"/>
      <c r="DY281" s="481"/>
      <c r="DZ281" s="481"/>
      <c r="EA281" s="481"/>
      <c r="EB281" s="481"/>
      <c r="EC281" s="481"/>
      <c r="ED281" s="481"/>
      <c r="EE281" s="481"/>
      <c r="EF281" s="481"/>
      <c r="EG281" s="481"/>
      <c r="EH281" s="481"/>
      <c r="EI281" s="481"/>
      <c r="EJ281" s="481"/>
      <c r="EK281" s="481"/>
      <c r="EL281" s="481"/>
      <c r="EM281" s="481"/>
      <c r="EN281" s="481"/>
      <c r="EO281" s="481"/>
      <c r="EP281" s="481"/>
      <c r="EQ281" s="481"/>
      <c r="ER281" s="481"/>
      <c r="ES281" s="481"/>
      <c r="ET281" s="481"/>
      <c r="EU281" s="481"/>
      <c r="EV281" s="481"/>
      <c r="EW281" s="481"/>
      <c r="EX281" s="481"/>
      <c r="EY281" s="481"/>
      <c r="EZ281" s="481"/>
      <c r="FA281" s="481"/>
      <c r="FB281" s="481"/>
      <c r="FC281" s="481"/>
      <c r="FD281" s="481"/>
    </row>
    <row r="282" spans="1:160" ht="18" hidden="1" customHeight="1" x14ac:dyDescent="0.2">
      <c r="A282" s="186"/>
      <c r="B282" s="48"/>
      <c r="C282" s="48"/>
      <c r="D282" s="48"/>
      <c r="E282" s="48"/>
      <c r="F282" s="48"/>
      <c r="G282" s="185"/>
      <c r="H282" s="185"/>
      <c r="I282" s="185"/>
      <c r="J282" s="185"/>
      <c r="K282" s="185"/>
      <c r="L282" s="185"/>
      <c r="M282" s="185"/>
      <c r="N282" s="185"/>
      <c r="O282" s="185"/>
      <c r="P282" s="185"/>
      <c r="Q282" s="185"/>
      <c r="R282" s="185"/>
      <c r="S282" s="185"/>
      <c r="T282" s="185"/>
      <c r="U282" s="185"/>
      <c r="V282" s="185"/>
      <c r="W282" s="185"/>
      <c r="X282" s="185"/>
      <c r="Y282" s="185"/>
      <c r="Z282" s="185"/>
      <c r="AA282" s="185"/>
      <c r="AB282" s="185"/>
      <c r="AC282" s="186"/>
      <c r="AD282" s="186"/>
      <c r="AE282" s="186"/>
      <c r="AF282" s="186"/>
      <c r="AG282" s="186"/>
      <c r="AH282" s="186"/>
      <c r="AI282" s="186"/>
      <c r="AJ282" s="186"/>
      <c r="AK282" s="186"/>
      <c r="AL282" s="186"/>
      <c r="AM282" s="186"/>
      <c r="AN282" s="48"/>
      <c r="AO282" s="48"/>
      <c r="AP282" s="48"/>
      <c r="AQ282" s="48"/>
      <c r="AR282" s="48"/>
      <c r="AS282" s="48"/>
      <c r="AT282" s="48"/>
      <c r="AU282" s="48"/>
      <c r="AV282" s="48"/>
      <c r="AW282" s="48"/>
      <c r="AX282" s="48"/>
      <c r="AY282" s="48"/>
      <c r="AZ282" s="48"/>
      <c r="BA282" s="48"/>
      <c r="BB282" s="48"/>
      <c r="BC282" s="48"/>
      <c r="BD282" s="481"/>
      <c r="BE282" s="481"/>
      <c r="BF282" s="481"/>
      <c r="BG282" s="481"/>
      <c r="BH282" s="481"/>
      <c r="BI282" s="481"/>
      <c r="BJ282" s="481"/>
      <c r="BK282" s="481"/>
      <c r="BL282" s="481"/>
      <c r="BM282" s="481"/>
      <c r="BN282" s="481"/>
      <c r="BO282" s="481"/>
      <c r="BP282" s="481"/>
      <c r="BQ282" s="481"/>
      <c r="BR282" s="481"/>
      <c r="BS282" s="481"/>
      <c r="BT282" s="481"/>
      <c r="BU282" s="481"/>
      <c r="BV282" s="481"/>
      <c r="BW282" s="481"/>
      <c r="BX282" s="481"/>
      <c r="BY282" s="481"/>
      <c r="BZ282" s="481"/>
      <c r="CA282" s="481"/>
      <c r="CB282" s="481"/>
      <c r="CC282" s="481"/>
      <c r="CD282" s="481"/>
      <c r="CE282" s="481"/>
      <c r="CF282" s="481"/>
      <c r="CG282" s="481"/>
      <c r="CH282" s="481"/>
      <c r="CI282" s="481"/>
      <c r="CJ282" s="481"/>
      <c r="CK282" s="481"/>
      <c r="CL282" s="481"/>
      <c r="CM282" s="481"/>
      <c r="CN282" s="481"/>
      <c r="CO282" s="481"/>
      <c r="CP282" s="481"/>
      <c r="CQ282" s="481"/>
      <c r="CR282" s="481"/>
      <c r="CS282" s="481"/>
      <c r="CT282" s="481"/>
      <c r="CU282" s="481"/>
      <c r="CV282" s="481"/>
      <c r="CW282" s="481"/>
      <c r="CX282" s="481"/>
      <c r="CY282" s="481"/>
      <c r="CZ282" s="481"/>
      <c r="DA282" s="481"/>
      <c r="DB282" s="481"/>
      <c r="DC282" s="481"/>
      <c r="DD282" s="481"/>
      <c r="DE282" s="481"/>
      <c r="DF282" s="481"/>
      <c r="DG282" s="481"/>
      <c r="DH282" s="481"/>
      <c r="DI282" s="481"/>
      <c r="DJ282" s="481"/>
      <c r="DK282" s="481"/>
      <c r="DL282" s="481"/>
      <c r="DM282" s="481"/>
      <c r="DN282" s="481"/>
      <c r="DO282" s="481"/>
      <c r="DP282" s="481"/>
      <c r="DQ282" s="481"/>
      <c r="DR282" s="481"/>
      <c r="DS282" s="481"/>
      <c r="DT282" s="481"/>
      <c r="DU282" s="481"/>
      <c r="DV282" s="481"/>
      <c r="DW282" s="481"/>
      <c r="DX282" s="481"/>
      <c r="DY282" s="481"/>
      <c r="DZ282" s="481"/>
      <c r="EA282" s="481"/>
      <c r="EB282" s="481"/>
      <c r="EC282" s="481"/>
      <c r="ED282" s="481"/>
      <c r="EE282" s="481"/>
      <c r="EF282" s="481"/>
      <c r="EG282" s="481"/>
      <c r="EH282" s="481"/>
      <c r="EI282" s="481"/>
      <c r="EJ282" s="481"/>
      <c r="EK282" s="481"/>
      <c r="EL282" s="481"/>
      <c r="EM282" s="481"/>
      <c r="EN282" s="481"/>
      <c r="EO282" s="481"/>
      <c r="EP282" s="481"/>
      <c r="EQ282" s="481"/>
      <c r="ER282" s="481"/>
      <c r="ES282" s="481"/>
      <c r="ET282" s="481"/>
      <c r="EU282" s="481"/>
      <c r="EV282" s="481"/>
      <c r="EW282" s="481"/>
      <c r="EX282" s="481"/>
      <c r="EY282" s="481"/>
      <c r="EZ282" s="481"/>
      <c r="FA282" s="481"/>
      <c r="FB282" s="481"/>
      <c r="FC282" s="481"/>
      <c r="FD282" s="481"/>
    </row>
    <row r="283" spans="1:160" ht="18" hidden="1" customHeight="1" x14ac:dyDescent="0.2">
      <c r="A283" s="186"/>
      <c r="B283" s="48"/>
      <c r="C283" s="48"/>
      <c r="D283" s="185"/>
      <c r="E283" s="185"/>
      <c r="F283" s="185"/>
      <c r="G283" s="185"/>
      <c r="H283" s="185"/>
      <c r="I283" s="185"/>
      <c r="J283" s="185"/>
      <c r="K283" s="185"/>
      <c r="L283" s="185"/>
      <c r="M283" s="185"/>
      <c r="N283" s="185"/>
      <c r="O283" s="185"/>
      <c r="P283" s="185"/>
      <c r="Q283" s="185"/>
      <c r="R283" s="185"/>
      <c r="S283" s="185"/>
      <c r="T283" s="185"/>
      <c r="U283" s="185"/>
      <c r="V283" s="185"/>
      <c r="W283" s="185"/>
      <c r="X283" s="185"/>
      <c r="Y283" s="185"/>
      <c r="Z283" s="185"/>
      <c r="AA283" s="185"/>
      <c r="AB283" s="185"/>
      <c r="AC283" s="186"/>
      <c r="AD283" s="186"/>
      <c r="AE283" s="186"/>
      <c r="AF283" s="186"/>
      <c r="AG283" s="186"/>
      <c r="AH283" s="186"/>
      <c r="AI283" s="186"/>
      <c r="AJ283" s="186"/>
      <c r="AK283" s="186"/>
      <c r="AL283" s="186"/>
      <c r="AM283" s="186"/>
      <c r="AN283" s="48"/>
      <c r="AO283" s="48"/>
      <c r="AP283" s="48"/>
      <c r="AQ283" s="48"/>
      <c r="AR283" s="48"/>
      <c r="AS283" s="48"/>
      <c r="AT283" s="48"/>
      <c r="AU283" s="48"/>
      <c r="AV283" s="48"/>
      <c r="AW283" s="48"/>
      <c r="AX283" s="48"/>
      <c r="AY283" s="48"/>
      <c r="AZ283" s="48"/>
      <c r="BA283" s="48"/>
      <c r="BB283" s="48"/>
      <c r="BC283" s="48"/>
      <c r="BD283" s="481"/>
      <c r="BE283" s="481"/>
      <c r="BF283" s="481"/>
      <c r="BG283" s="481"/>
      <c r="BH283" s="481"/>
      <c r="BI283" s="481"/>
      <c r="BJ283" s="481"/>
      <c r="BK283" s="481"/>
      <c r="BL283" s="481"/>
      <c r="BM283" s="481"/>
      <c r="BN283" s="481"/>
      <c r="BO283" s="481"/>
      <c r="BP283" s="481"/>
      <c r="BQ283" s="481"/>
      <c r="BR283" s="481"/>
      <c r="BS283" s="481"/>
      <c r="BT283" s="481"/>
      <c r="BU283" s="481"/>
      <c r="BV283" s="481"/>
      <c r="BW283" s="481"/>
      <c r="BX283" s="481"/>
      <c r="BY283" s="481"/>
      <c r="BZ283" s="481"/>
      <c r="CA283" s="481"/>
      <c r="CB283" s="481"/>
      <c r="CC283" s="481"/>
      <c r="CD283" s="481"/>
      <c r="CE283" s="481"/>
      <c r="CF283" s="481"/>
      <c r="CG283" s="481"/>
      <c r="CH283" s="481"/>
      <c r="CI283" s="481"/>
      <c r="CJ283" s="481"/>
      <c r="CK283" s="481"/>
      <c r="CL283" s="481"/>
      <c r="CM283" s="481"/>
      <c r="CN283" s="481"/>
      <c r="CO283" s="481"/>
      <c r="CP283" s="481"/>
      <c r="CQ283" s="481"/>
      <c r="CR283" s="481"/>
      <c r="CS283" s="481"/>
      <c r="CT283" s="481"/>
      <c r="CU283" s="481"/>
      <c r="CV283" s="481"/>
      <c r="CW283" s="481"/>
      <c r="CX283" s="481"/>
      <c r="CY283" s="481"/>
      <c r="CZ283" s="481"/>
      <c r="DA283" s="481"/>
      <c r="DB283" s="481"/>
      <c r="DC283" s="481"/>
      <c r="DD283" s="481"/>
      <c r="DE283" s="481"/>
      <c r="DF283" s="481"/>
      <c r="DG283" s="481"/>
      <c r="DH283" s="481"/>
      <c r="DI283" s="481"/>
      <c r="DJ283" s="481"/>
      <c r="DK283" s="481"/>
      <c r="DL283" s="481"/>
      <c r="DM283" s="481"/>
      <c r="DN283" s="481"/>
      <c r="DO283" s="481"/>
      <c r="DP283" s="481"/>
      <c r="DQ283" s="481"/>
      <c r="DR283" s="481"/>
      <c r="DS283" s="481"/>
      <c r="DT283" s="481"/>
      <c r="DU283" s="481"/>
      <c r="DV283" s="481"/>
      <c r="DW283" s="481"/>
      <c r="DX283" s="481"/>
      <c r="DY283" s="481"/>
      <c r="DZ283" s="481"/>
      <c r="EA283" s="481"/>
      <c r="EB283" s="481"/>
      <c r="EC283" s="481"/>
      <c r="ED283" s="481"/>
      <c r="EE283" s="481"/>
      <c r="EF283" s="481"/>
      <c r="EG283" s="481"/>
      <c r="EH283" s="481"/>
      <c r="EI283" s="481"/>
      <c r="EJ283" s="481"/>
      <c r="EK283" s="481"/>
      <c r="EL283" s="481"/>
      <c r="EM283" s="481"/>
      <c r="EN283" s="481"/>
      <c r="EO283" s="481"/>
      <c r="EP283" s="481"/>
      <c r="EQ283" s="481"/>
      <c r="ER283" s="481"/>
      <c r="ES283" s="481"/>
      <c r="ET283" s="481"/>
      <c r="EU283" s="481"/>
      <c r="EV283" s="481"/>
      <c r="EW283" s="481"/>
      <c r="EX283" s="481"/>
      <c r="EY283" s="481"/>
      <c r="EZ283" s="481"/>
      <c r="FA283" s="481"/>
      <c r="FB283" s="481"/>
      <c r="FC283" s="481"/>
      <c r="FD283" s="481"/>
    </row>
    <row r="284" spans="1:160" ht="18" hidden="1" customHeight="1" x14ac:dyDescent="0.2">
      <c r="A284" s="48"/>
      <c r="B284" s="1591" t="str">
        <f>B268</f>
        <v>Gennaio</v>
      </c>
      <c r="C284" s="1592"/>
      <c r="D284" s="1705"/>
      <c r="E284" s="1706" t="str">
        <f>E268</f>
        <v>LORDO</v>
      </c>
      <c r="F284" s="1688"/>
      <c r="G284" s="1601" t="str">
        <f>G268</f>
        <v>Gennaio</v>
      </c>
      <c r="H284" s="1602"/>
      <c r="I284" s="1603"/>
      <c r="J284" s="48"/>
      <c r="K284" s="1601" t="str">
        <f>K268</f>
        <v>Febbraio</v>
      </c>
      <c r="L284" s="1602"/>
      <c r="M284" s="1603"/>
      <c r="N284" s="185"/>
      <c r="O284" s="185"/>
      <c r="P284" s="1601" t="str">
        <f>P268</f>
        <v>Febbraio</v>
      </c>
      <c r="Q284" s="1602"/>
      <c r="R284" s="1603"/>
      <c r="S284" s="48"/>
      <c r="T284" s="1601" t="str">
        <f>T268</f>
        <v>Marzo</v>
      </c>
      <c r="U284" s="1602"/>
      <c r="V284" s="1603"/>
      <c r="W284" s="185"/>
      <c r="X284" s="185"/>
      <c r="Y284" s="1601" t="str">
        <f>Y268</f>
        <v>Marzo</v>
      </c>
      <c r="Z284" s="1602"/>
      <c r="AA284" s="1603"/>
      <c r="AB284" s="48"/>
      <c r="AC284" s="1601" t="str">
        <f>AC268</f>
        <v>Aprile</v>
      </c>
      <c r="AD284" s="1602"/>
      <c r="AE284" s="1603"/>
      <c r="AF284" s="185"/>
      <c r="AG284" s="185"/>
      <c r="AH284" s="1601" t="str">
        <f>AH268</f>
        <v>Aprile</v>
      </c>
      <c r="AI284" s="1602"/>
      <c r="AJ284" s="1603"/>
      <c r="AK284" s="48"/>
      <c r="AL284" s="1601" t="str">
        <f>AL268</f>
        <v>Maggio</v>
      </c>
      <c r="AM284" s="1602"/>
      <c r="AN284" s="1603"/>
      <c r="AO284" s="185"/>
      <c r="AP284" s="185"/>
      <c r="AQ284" s="1601" t="str">
        <f>AQ268</f>
        <v>Maggio</v>
      </c>
      <c r="AR284" s="1602"/>
      <c r="AS284" s="1603"/>
      <c r="AT284" s="48"/>
      <c r="AU284" s="1601" t="str">
        <f>AU268</f>
        <v>Giugno</v>
      </c>
      <c r="AV284" s="1602"/>
      <c r="AW284" s="1603"/>
      <c r="AX284" s="185"/>
      <c r="AY284" s="185"/>
      <c r="AZ284" s="1601" t="str">
        <f>AZ268</f>
        <v>Giugno</v>
      </c>
      <c r="BA284" s="1602"/>
      <c r="BB284" s="1603"/>
      <c r="BC284" s="48"/>
      <c r="BD284" s="481"/>
      <c r="BE284" s="481"/>
      <c r="BF284" s="481"/>
      <c r="BG284" s="481"/>
      <c r="BH284" s="481"/>
      <c r="BI284" s="481"/>
      <c r="BJ284" s="481"/>
      <c r="BK284" s="481"/>
      <c r="BL284" s="481"/>
      <c r="BM284" s="481"/>
      <c r="BN284" s="481"/>
      <c r="BO284" s="481"/>
      <c r="BP284" s="481"/>
      <c r="BQ284" s="481"/>
      <c r="BR284" s="481"/>
      <c r="BS284" s="481"/>
      <c r="BT284" s="481"/>
      <c r="BU284" s="481"/>
      <c r="BV284" s="481"/>
      <c r="BW284" s="481"/>
      <c r="BX284" s="481"/>
      <c r="BY284" s="481"/>
      <c r="BZ284" s="481"/>
      <c r="CA284" s="481"/>
      <c r="CB284" s="481"/>
      <c r="CC284" s="481"/>
      <c r="CD284" s="481"/>
      <c r="CE284" s="481"/>
      <c r="CF284" s="481"/>
      <c r="CG284" s="481"/>
      <c r="CH284" s="481"/>
      <c r="CI284" s="481"/>
      <c r="CJ284" s="481"/>
      <c r="CK284" s="481"/>
      <c r="CL284" s="481"/>
      <c r="CM284" s="481"/>
      <c r="CN284" s="481"/>
      <c r="CO284" s="481"/>
      <c r="CP284" s="481"/>
      <c r="CQ284" s="481"/>
      <c r="CR284" s="481"/>
      <c r="CS284" s="481"/>
      <c r="CT284" s="481"/>
      <c r="CU284" s="481"/>
      <c r="CV284" s="481"/>
      <c r="CW284" s="481"/>
      <c r="CX284" s="481"/>
      <c r="CY284" s="481"/>
      <c r="CZ284" s="481"/>
      <c r="DA284" s="481"/>
      <c r="DB284" s="481"/>
      <c r="DC284" s="481"/>
      <c r="DD284" s="481"/>
      <c r="DE284" s="481"/>
      <c r="DF284" s="481"/>
      <c r="DG284" s="481"/>
      <c r="DH284" s="481"/>
      <c r="DI284" s="481"/>
      <c r="DJ284" s="481"/>
      <c r="DK284" s="481"/>
      <c r="DL284" s="481"/>
      <c r="DM284" s="481"/>
      <c r="DN284" s="481"/>
      <c r="DO284" s="481"/>
      <c r="DP284" s="481"/>
      <c r="DQ284" s="481"/>
      <c r="DR284" s="481"/>
      <c r="DS284" s="481"/>
      <c r="DT284" s="481"/>
      <c r="DU284" s="481"/>
      <c r="DV284" s="481"/>
      <c r="DW284" s="481"/>
      <c r="DX284" s="481"/>
      <c r="DY284" s="481"/>
      <c r="DZ284" s="481"/>
      <c r="EA284" s="481"/>
      <c r="EB284" s="481"/>
      <c r="EC284" s="481"/>
      <c r="ED284" s="481"/>
      <c r="EE284" s="481"/>
      <c r="EF284" s="481"/>
      <c r="EG284" s="481"/>
      <c r="EH284" s="481"/>
      <c r="EI284" s="481"/>
      <c r="EJ284" s="481"/>
      <c r="EK284" s="481"/>
      <c r="EL284" s="481"/>
      <c r="EM284" s="481"/>
      <c r="EN284" s="481"/>
      <c r="EO284" s="481"/>
      <c r="EP284" s="481"/>
      <c r="EQ284" s="481"/>
      <c r="ER284" s="481"/>
      <c r="ES284" s="481"/>
      <c r="ET284" s="481"/>
      <c r="EU284" s="481"/>
      <c r="EV284" s="481"/>
      <c r="EW284" s="481"/>
      <c r="EX284" s="481"/>
      <c r="EY284" s="481"/>
      <c r="EZ284" s="481"/>
      <c r="FA284" s="481"/>
      <c r="FB284" s="481"/>
      <c r="FC284" s="481"/>
      <c r="FD284" s="481"/>
    </row>
    <row r="285" spans="1:160" ht="18" hidden="1" customHeight="1" x14ac:dyDescent="0.2">
      <c r="A285" s="48"/>
      <c r="B285" s="1983">
        <v>0</v>
      </c>
      <c r="C285" s="1984"/>
      <c r="D285" s="1985"/>
      <c r="E285" s="1622">
        <f>GEN!$G$119</f>
        <v>0</v>
      </c>
      <c r="F285" s="1623"/>
      <c r="G285" s="1588">
        <f>SUMIF($B$257:$B$263,E285,D$257:D$263)</f>
        <v>0</v>
      </c>
      <c r="H285" s="1589"/>
      <c r="I285" s="1590"/>
      <c r="J285" s="48"/>
      <c r="K285" s="1588">
        <f>SUMIF($B$257:$B$263,N285,D$257:D$263)</f>
        <v>0</v>
      </c>
      <c r="L285" s="1589"/>
      <c r="M285" s="1590"/>
      <c r="N285" s="1622" t="e">
        <f>FEB!$G$119</f>
        <v>#N/A</v>
      </c>
      <c r="O285" s="1623"/>
      <c r="P285" s="1588">
        <f>SUMIF($B$257:$B$263,N285,G$257:G$263)+SUMIF($B$257:$B$263,N285,D$257:D$263)</f>
        <v>0</v>
      </c>
      <c r="Q285" s="1589"/>
      <c r="R285" s="1590"/>
      <c r="S285" s="48"/>
      <c r="T285" s="1588">
        <f>SUMIF($B$257:$B$263,W285,G$257:G$263)+SUMIF($B$257:$B$263,W285,D$257:D$263)</f>
        <v>0</v>
      </c>
      <c r="U285" s="1589"/>
      <c r="V285" s="1590"/>
      <c r="W285" s="1622" t="e">
        <f>MAR!$G$119</f>
        <v>#N/A</v>
      </c>
      <c r="X285" s="1623"/>
      <c r="Y285" s="1588">
        <f>SUMIF($B$257:$B$263,W285,J$257:J$263)+SUMIF($B$257:$B$263,W285,G$257:G$263)+SUMIF($B$257:$B$263,W285,D$257:D$263)</f>
        <v>0</v>
      </c>
      <c r="Z285" s="1589"/>
      <c r="AA285" s="1590"/>
      <c r="AB285" s="48"/>
      <c r="AC285" s="1588">
        <f>SUMIF($B$257:$B$263,AF285,J$257:J$263)+SUMIF($B$257:$B$263,AF285,G$257:G$263)+SUMIF($B$257:$B$263,AF285,D$257:D$263)</f>
        <v>0</v>
      </c>
      <c r="AD285" s="1589"/>
      <c r="AE285" s="1590"/>
      <c r="AF285" s="1622" t="e">
        <f>APR!$G$119</f>
        <v>#N/A</v>
      </c>
      <c r="AG285" s="1623"/>
      <c r="AH285" s="1588">
        <f>SUMIF($B$257:$B$263,AF285,M$257:M$263)+SUMIF($B$257:$B$263,AF285,J$257:J$263)+SUMIF($B$257:$B$263,AF285,G$257:G$263)+SUMIF($B$257:$B$263,AF285,D$257:D$263)</f>
        <v>0</v>
      </c>
      <c r="AI285" s="1589"/>
      <c r="AJ285" s="1590"/>
      <c r="AK285" s="48"/>
      <c r="AL285" s="1588">
        <f>SUMIF($B$257:$B$263,AO285,M$257:M$263)+SUMIF($B$257:$B$263,AO285,J$257:J$263)+SUMIF($B$257:$B$263,AO285,G$257:G$263)+SUMIF($B$257:$B$263,AO285,D$257:D$263)</f>
        <v>0</v>
      </c>
      <c r="AM285" s="1589"/>
      <c r="AN285" s="1590"/>
      <c r="AO285" s="1622" t="e">
        <f>MAG!$G$119</f>
        <v>#N/A</v>
      </c>
      <c r="AP285" s="1623"/>
      <c r="AQ285" s="1588">
        <f>SUMIF($B$257:$B$263,AO285,P$257:P$263)+SUMIF($B$257:$B$263,AO285,M$257:M$263)+SUMIF($B$257:$B$263,AO285,J$257:J$263)+SUMIF($B$257:$B$263,AO285,G$257:G$263)+SUMIF($B$257:$B$263,AO285,D$257:D$263)</f>
        <v>0</v>
      </c>
      <c r="AR285" s="1589"/>
      <c r="AS285" s="1590"/>
      <c r="AT285" s="48"/>
      <c r="AU285" s="1588">
        <f>SUMIF($B$257:$B$263,AX285,P$257:P$263)+SUMIF($B$257:$B$263,AX285,M$257:M$263)+SUMIF($B$257:$B$263,AX285,J$257:J$263)+SUMIF($B$257:$B$263,AX285,G$257:G$263)+SUMIF($B$257:$B$263,AX285,D$257:D$263)</f>
        <v>0</v>
      </c>
      <c r="AV285" s="1589"/>
      <c r="AW285" s="1590"/>
      <c r="AX285" s="1622" t="e">
        <f>GIU!$G$119</f>
        <v>#N/A</v>
      </c>
      <c r="AY285" s="1623"/>
      <c r="AZ285" s="1588">
        <f>SUMIF($B$257:$B$263,AX285,S$257:S$263)+SUMIF($B$257:$B$263,AX285,P$257:P$263)+SUMIF($B$257:$B$263,AX285,M$257:M$263)+SUMIF($B$257:$B$263,AX285,J$257:J$263)+SUMIF($B$257:$B$263,AX285,G$257:G$263)+SUMIF($B$257:$B$263,AX285,D$257:D$263)</f>
        <v>0</v>
      </c>
      <c r="BA285" s="1589"/>
      <c r="BB285" s="1590"/>
      <c r="BC285" s="48"/>
      <c r="BD285" s="481"/>
      <c r="BE285" s="481"/>
      <c r="BF285" s="481"/>
      <c r="BG285" s="481"/>
      <c r="BH285" s="481"/>
      <c r="BI285" s="481"/>
      <c r="BJ285" s="481"/>
      <c r="BK285" s="481"/>
      <c r="BL285" s="481"/>
      <c r="BM285" s="481"/>
      <c r="BN285" s="481"/>
      <c r="BO285" s="481"/>
      <c r="BP285" s="481"/>
      <c r="BQ285" s="481"/>
      <c r="BR285" s="481"/>
      <c r="BS285" s="481"/>
      <c r="BT285" s="481"/>
      <c r="BU285" s="481"/>
      <c r="BV285" s="481"/>
      <c r="BW285" s="481"/>
      <c r="BX285" s="481"/>
      <c r="BY285" s="481"/>
      <c r="BZ285" s="481"/>
      <c r="CA285" s="481"/>
      <c r="CB285" s="481"/>
      <c r="CC285" s="481"/>
      <c r="CD285" s="481"/>
      <c r="CE285" s="481"/>
      <c r="CF285" s="481"/>
      <c r="CG285" s="481"/>
      <c r="CH285" s="481"/>
      <c r="CI285" s="481"/>
      <c r="CJ285" s="481"/>
      <c r="CK285" s="481"/>
      <c r="CL285" s="481"/>
      <c r="CM285" s="481"/>
      <c r="CN285" s="481"/>
      <c r="CO285" s="481"/>
      <c r="CP285" s="481"/>
      <c r="CQ285" s="481"/>
      <c r="CR285" s="481"/>
      <c r="CS285" s="481"/>
      <c r="CT285" s="481"/>
      <c r="CU285" s="481"/>
      <c r="CV285" s="481"/>
      <c r="CW285" s="481"/>
      <c r="CX285" s="481"/>
      <c r="CY285" s="481"/>
      <c r="CZ285" s="481"/>
      <c r="DA285" s="481"/>
      <c r="DB285" s="481"/>
      <c r="DC285" s="481"/>
      <c r="DD285" s="481"/>
      <c r="DE285" s="481"/>
      <c r="DF285" s="481"/>
      <c r="DG285" s="481"/>
      <c r="DH285" s="481"/>
      <c r="DI285" s="481"/>
      <c r="DJ285" s="481"/>
      <c r="DK285" s="481"/>
      <c r="DL285" s="481"/>
      <c r="DM285" s="481"/>
      <c r="DN285" s="481"/>
      <c r="DO285" s="481"/>
      <c r="DP285" s="481"/>
      <c r="DQ285" s="481"/>
      <c r="DR285" s="481"/>
      <c r="DS285" s="481"/>
      <c r="DT285" s="481"/>
      <c r="DU285" s="481"/>
      <c r="DV285" s="481"/>
      <c r="DW285" s="481"/>
      <c r="DX285" s="481"/>
      <c r="DY285" s="481"/>
      <c r="DZ285" s="481"/>
      <c r="EA285" s="481"/>
      <c r="EB285" s="481"/>
      <c r="EC285" s="481"/>
      <c r="ED285" s="481"/>
      <c r="EE285" s="481"/>
      <c r="EF285" s="481"/>
      <c r="EG285" s="481"/>
      <c r="EH285" s="481"/>
      <c r="EI285" s="481"/>
      <c r="EJ285" s="481"/>
      <c r="EK285" s="481"/>
      <c r="EL285" s="481"/>
      <c r="EM285" s="481"/>
      <c r="EN285" s="481"/>
      <c r="EO285" s="481"/>
      <c r="EP285" s="481"/>
      <c r="EQ285" s="481"/>
      <c r="ER285" s="481"/>
      <c r="ES285" s="481"/>
      <c r="ET285" s="481"/>
      <c r="EU285" s="481"/>
      <c r="EV285" s="481"/>
      <c r="EW285" s="481"/>
      <c r="EX285" s="481"/>
      <c r="EY285" s="481"/>
      <c r="EZ285" s="481"/>
      <c r="FA285" s="481"/>
      <c r="FB285" s="481"/>
      <c r="FC285" s="481"/>
      <c r="FD285" s="481"/>
    </row>
    <row r="286" spans="1:160" ht="18" hidden="1" customHeight="1" x14ac:dyDescent="0.2">
      <c r="A286" s="48"/>
      <c r="B286" s="1983">
        <v>0</v>
      </c>
      <c r="C286" s="1984"/>
      <c r="D286" s="1985"/>
      <c r="E286" s="1622">
        <f>GEN!$H$119</f>
        <v>0</v>
      </c>
      <c r="F286" s="1623"/>
      <c r="G286" s="1588">
        <f>SUMIF($B$257:$B$263,E286,D$257:D$263)</f>
        <v>0</v>
      </c>
      <c r="H286" s="1589"/>
      <c r="I286" s="1590"/>
      <c r="J286" s="48"/>
      <c r="K286" s="1588">
        <f>SUMIF($B$257:$B$263,N286,D$257:D$263)</f>
        <v>0</v>
      </c>
      <c r="L286" s="1589"/>
      <c r="M286" s="1590"/>
      <c r="N286" s="1622" t="e">
        <f>FEB!$H$119</f>
        <v>#N/A</v>
      </c>
      <c r="O286" s="1623"/>
      <c r="P286" s="1588">
        <f>SUMIF($B$257:$B$263,N286,G$257:G$263)+SUMIF($B$257:$B$263,N286,D$257:D$263)</f>
        <v>0</v>
      </c>
      <c r="Q286" s="1589"/>
      <c r="R286" s="1590"/>
      <c r="S286" s="48"/>
      <c r="T286" s="1588">
        <f>SUMIF($B$257:$B$263,W286,G$257:G$263)+SUMIF($B$257:$B$263,W286,D$257:D$263)</f>
        <v>0</v>
      </c>
      <c r="U286" s="1589"/>
      <c r="V286" s="1590"/>
      <c r="W286" s="1622" t="e">
        <f>MAR!$H$119</f>
        <v>#N/A</v>
      </c>
      <c r="X286" s="1623"/>
      <c r="Y286" s="1588">
        <f>SUMIF($B$257:$B$263,W286,J$257:J$263)+SUMIF($B$257:$B$263,W286,G$257:G$263)+SUMIF($B$257:$B$263,W286,D$257:D$263)</f>
        <v>0</v>
      </c>
      <c r="Z286" s="1589"/>
      <c r="AA286" s="1590"/>
      <c r="AB286" s="48"/>
      <c r="AC286" s="1588">
        <f>SUMIF($B$257:$B$263,AF286,J$257:J$263)+SUMIF($B$257:$B$263,AF286,G$257:G$263)+SUMIF($B$257:$B$263,AF286,D$257:D$263)</f>
        <v>0</v>
      </c>
      <c r="AD286" s="1589"/>
      <c r="AE286" s="1590"/>
      <c r="AF286" s="1622" t="e">
        <f>APR!$H$119</f>
        <v>#N/A</v>
      </c>
      <c r="AG286" s="1623"/>
      <c r="AH286" s="1588">
        <f>SUMIF($B$257:$B$263,AF286,M$257:M$263)+SUMIF($B$257:$B$263,AF286,J$257:J$263)+SUMIF($B$257:$B$263,AF286,G$257:G$263)+SUMIF($B$257:$B$263,AF286,D$257:D$263)</f>
        <v>0</v>
      </c>
      <c r="AI286" s="1589"/>
      <c r="AJ286" s="1590"/>
      <c r="AK286" s="48"/>
      <c r="AL286" s="1588">
        <f>SUMIF($B$257:$B$263,AO286,M$257:M$263)+SUMIF($B$257:$B$263,AO286,J$257:J$263)+SUMIF($B$257:$B$263,AO286,G$257:G$263)+SUMIF($B$257:$B$263,AO286,D$257:D$263)</f>
        <v>0</v>
      </c>
      <c r="AM286" s="1589"/>
      <c r="AN286" s="1590"/>
      <c r="AO286" s="1622" t="e">
        <f>MAG!$H$119</f>
        <v>#N/A</v>
      </c>
      <c r="AP286" s="1623"/>
      <c r="AQ286" s="1588">
        <f>SUMIF($B$257:$B$263,AO286,P$257:P$263)+SUMIF($B$257:$B$263,AO286,M$257:M$263)+SUMIF($B$257:$B$263,AO286,J$257:J$263)+SUMIF($B$257:$B$263,AO286,G$257:G$263)+SUMIF($B$257:$B$263,AO286,D$257:D$263)</f>
        <v>0</v>
      </c>
      <c r="AR286" s="1589"/>
      <c r="AS286" s="1590"/>
      <c r="AT286" s="48"/>
      <c r="AU286" s="1588">
        <f>SUMIF($B$257:$B$263,AX286,P$257:P$263)+SUMIF($B$257:$B$263,AX286,M$257:M$263)+SUMIF($B$257:$B$263,AX286,J$257:J$263)+SUMIF($B$257:$B$263,AX286,G$257:G$263)+SUMIF($B$257:$B$263,AX286,D$257:D$263)</f>
        <v>0</v>
      </c>
      <c r="AV286" s="1589"/>
      <c r="AW286" s="1590"/>
      <c r="AX286" s="1622" t="e">
        <f>GIU!$H$119</f>
        <v>#N/A</v>
      </c>
      <c r="AY286" s="1623"/>
      <c r="AZ286" s="1588">
        <f>SUMIF($B$257:$B$263,AX286,S$257:S$263)+SUMIF($B$257:$B$263,AX286,P$257:P$263)+SUMIF($B$257:$B$263,AX286,M$257:M$263)+SUMIF($B$257:$B$263,AX286,J$257:J$263)+SUMIF($B$257:$B$263,AX286,G$257:G$263)+SUMIF($B$257:$B$263,AX286,D$257:D$263)</f>
        <v>0</v>
      </c>
      <c r="BA286" s="1589"/>
      <c r="BB286" s="1590"/>
      <c r="BC286" s="48"/>
      <c r="BD286" s="481"/>
      <c r="BE286" s="481"/>
      <c r="BF286" s="481"/>
      <c r="BG286" s="481"/>
      <c r="BH286" s="481"/>
      <c r="BI286" s="481"/>
      <c r="BJ286" s="481"/>
      <c r="BK286" s="481"/>
      <c r="BL286" s="481"/>
      <c r="BM286" s="481"/>
      <c r="BN286" s="481"/>
      <c r="BO286" s="481"/>
      <c r="BP286" s="481"/>
      <c r="BQ286" s="481"/>
      <c r="BR286" s="481"/>
      <c r="BS286" s="481"/>
      <c r="BT286" s="481"/>
      <c r="BU286" s="481"/>
      <c r="BV286" s="481"/>
      <c r="BW286" s="481"/>
      <c r="BX286" s="481"/>
      <c r="BY286" s="481"/>
      <c r="BZ286" s="481"/>
      <c r="CA286" s="481"/>
      <c r="CB286" s="481"/>
      <c r="CC286" s="481"/>
      <c r="CD286" s="481"/>
      <c r="CE286" s="481"/>
      <c r="CF286" s="481"/>
      <c r="CG286" s="481"/>
      <c r="CH286" s="481"/>
      <c r="CI286" s="481"/>
      <c r="CJ286" s="481"/>
      <c r="CK286" s="481"/>
      <c r="CL286" s="481"/>
      <c r="CM286" s="481"/>
      <c r="CN286" s="481"/>
      <c r="CO286" s="481"/>
      <c r="CP286" s="481"/>
      <c r="CQ286" s="481"/>
      <c r="CR286" s="481"/>
      <c r="CS286" s="481"/>
      <c r="CT286" s="481"/>
      <c r="CU286" s="481"/>
      <c r="CV286" s="481"/>
      <c r="CW286" s="481"/>
      <c r="CX286" s="481"/>
      <c r="CY286" s="481"/>
      <c r="CZ286" s="481"/>
      <c r="DA286" s="481"/>
      <c r="DB286" s="481"/>
      <c r="DC286" s="481"/>
      <c r="DD286" s="481"/>
      <c r="DE286" s="481"/>
      <c r="DF286" s="481"/>
      <c r="DG286" s="481"/>
      <c r="DH286" s="481"/>
      <c r="DI286" s="481"/>
      <c r="DJ286" s="481"/>
      <c r="DK286" s="481"/>
      <c r="DL286" s="481"/>
      <c r="DM286" s="481"/>
      <c r="DN286" s="481"/>
      <c r="DO286" s="481"/>
      <c r="DP286" s="481"/>
      <c r="DQ286" s="481"/>
      <c r="DR286" s="481"/>
      <c r="DS286" s="481"/>
      <c r="DT286" s="481"/>
      <c r="DU286" s="481"/>
      <c r="DV286" s="481"/>
      <c r="DW286" s="481"/>
      <c r="DX286" s="481"/>
      <c r="DY286" s="481"/>
      <c r="DZ286" s="481"/>
      <c r="EA286" s="481"/>
      <c r="EB286" s="481"/>
      <c r="EC286" s="481"/>
      <c r="ED286" s="481"/>
      <c r="EE286" s="481"/>
      <c r="EF286" s="481"/>
      <c r="EG286" s="481"/>
      <c r="EH286" s="481"/>
      <c r="EI286" s="481"/>
      <c r="EJ286" s="481"/>
      <c r="EK286" s="481"/>
      <c r="EL286" s="481"/>
      <c r="EM286" s="481"/>
      <c r="EN286" s="481"/>
      <c r="EO286" s="481"/>
      <c r="EP286" s="481"/>
      <c r="EQ286" s="481"/>
      <c r="ER286" s="481"/>
      <c r="ES286" s="481"/>
      <c r="ET286" s="481"/>
      <c r="EU286" s="481"/>
      <c r="EV286" s="481"/>
      <c r="EW286" s="481"/>
      <c r="EX286" s="481"/>
      <c r="EY286" s="481"/>
      <c r="EZ286" s="481"/>
      <c r="FA286" s="481"/>
      <c r="FB286" s="481"/>
      <c r="FC286" s="481"/>
      <c r="FD286" s="481"/>
    </row>
    <row r="287" spans="1:160" ht="18" hidden="1" customHeight="1" x14ac:dyDescent="0.2">
      <c r="A287" s="48"/>
      <c r="B287" s="1983">
        <v>0</v>
      </c>
      <c r="C287" s="1984"/>
      <c r="D287" s="1985"/>
      <c r="E287" s="1622">
        <f>GEN!$I$119</f>
        <v>0</v>
      </c>
      <c r="F287" s="1623"/>
      <c r="G287" s="1588">
        <f>SUMIF($B$257:$B$263,E287,D$257:D$263)</f>
        <v>0</v>
      </c>
      <c r="H287" s="1589"/>
      <c r="I287" s="1590"/>
      <c r="J287" s="48"/>
      <c r="K287" s="1588">
        <f>SUMIF($B$257:$B$263,N287,D$257:D$263)</f>
        <v>0</v>
      </c>
      <c r="L287" s="1589"/>
      <c r="M287" s="1590"/>
      <c r="N287" s="1622" t="e">
        <f>FEB!$I$119</f>
        <v>#N/A</v>
      </c>
      <c r="O287" s="1623"/>
      <c r="P287" s="1588">
        <f>SUMIF($B$257:$B$263,N287,G$257:G$263)+SUMIF($B$257:$B$263,N287,D$257:D$263)</f>
        <v>0</v>
      </c>
      <c r="Q287" s="1589"/>
      <c r="R287" s="1590"/>
      <c r="S287" s="48"/>
      <c r="T287" s="1588">
        <f>SUMIF($B$257:$B$263,W287,G$257:G$263)+SUMIF($B$257:$B$263,W287,D$257:D$263)</f>
        <v>0</v>
      </c>
      <c r="U287" s="1589"/>
      <c r="V287" s="1590"/>
      <c r="W287" s="1622" t="e">
        <f>MAR!$I$119</f>
        <v>#N/A</v>
      </c>
      <c r="X287" s="1623"/>
      <c r="Y287" s="1588">
        <f>SUMIF($B$257:$B$263,W287,J$257:J$263)+SUMIF($B$257:$B$263,W287,G$257:G$263)+SUMIF($B$257:$B$263,W287,D$257:D$263)</f>
        <v>0</v>
      </c>
      <c r="Z287" s="1589"/>
      <c r="AA287" s="1590"/>
      <c r="AB287" s="48"/>
      <c r="AC287" s="1588">
        <f>SUMIF($B$257:$B$263,AF287,J$257:J$263)+SUMIF($B$257:$B$263,AF287,G$257:G$263)+SUMIF($B$257:$B$263,AF287,D$257:D$263)</f>
        <v>0</v>
      </c>
      <c r="AD287" s="1589"/>
      <c r="AE287" s="1590"/>
      <c r="AF287" s="1622" t="e">
        <f>APR!$I$119</f>
        <v>#N/A</v>
      </c>
      <c r="AG287" s="1623"/>
      <c r="AH287" s="1588">
        <f>SUMIF($B$257:$B$263,AF287,M$257:M$263)+SUMIF($B$257:$B$263,AF287,J$257:J$263)+SUMIF($B$257:$B$263,AF287,G$257:G$263)+SUMIF($B$257:$B$263,AF287,D$257:D$263)</f>
        <v>0</v>
      </c>
      <c r="AI287" s="1589"/>
      <c r="AJ287" s="1590"/>
      <c r="AK287" s="48"/>
      <c r="AL287" s="1588">
        <f>SUMIF($B$257:$B$263,AO287,M$257:M$263)+SUMIF($B$257:$B$263,AO287,J$257:J$263)+SUMIF($B$257:$B$263,AO287,G$257:G$263)+SUMIF($B$257:$B$263,AO287,D$257:D$263)</f>
        <v>0</v>
      </c>
      <c r="AM287" s="1589"/>
      <c r="AN287" s="1590"/>
      <c r="AO287" s="1622" t="e">
        <f>MAG!$I$119</f>
        <v>#N/A</v>
      </c>
      <c r="AP287" s="1623"/>
      <c r="AQ287" s="1588">
        <f>SUMIF($B$257:$B$263,AO287,P$257:P$263)+SUMIF($B$257:$B$263,AO287,M$257:M$263)+SUMIF($B$257:$B$263,AO287,J$257:J$263)+SUMIF($B$257:$B$263,AO287,G$257:G$263)+SUMIF($B$257:$B$263,AO287,D$257:D$263)</f>
        <v>0</v>
      </c>
      <c r="AR287" s="1589"/>
      <c r="AS287" s="1590"/>
      <c r="AT287" s="48"/>
      <c r="AU287" s="1588">
        <f>SUMIF($B$257:$B$263,AX287,P$257:P$263)+SUMIF($B$257:$B$263,AX287,M$257:M$263)+SUMIF($B$257:$B$263,AX287,J$257:J$263)+SUMIF($B$257:$B$263,AX287,G$257:G$263)+SUMIF($B$257:$B$263,AX287,D$257:D$263)</f>
        <v>0</v>
      </c>
      <c r="AV287" s="1589"/>
      <c r="AW287" s="1590"/>
      <c r="AX287" s="1622" t="e">
        <f>GIU!$I$119</f>
        <v>#N/A</v>
      </c>
      <c r="AY287" s="1623"/>
      <c r="AZ287" s="1588">
        <f>SUMIF($B$257:$B$263,AX287,S$257:S$263)+SUMIF($B$257:$B$263,AX287,P$257:P$263)+SUMIF($B$257:$B$263,AX287,M$257:M$263)+SUMIF($B$257:$B$263,AX287,J$257:J$263)+SUMIF($B$257:$B$263,AX287,G$257:G$263)+SUMIF($B$257:$B$263,AX287,D$257:D$263)</f>
        <v>0</v>
      </c>
      <c r="BA287" s="1589"/>
      <c r="BB287" s="1590"/>
      <c r="BC287" s="48"/>
      <c r="BD287" s="481"/>
      <c r="BE287" s="481"/>
      <c r="BF287" s="481"/>
      <c r="BG287" s="481"/>
      <c r="BH287" s="481"/>
      <c r="BI287" s="481"/>
      <c r="BJ287" s="481"/>
      <c r="BK287" s="481"/>
      <c r="BL287" s="481"/>
      <c r="BM287" s="481"/>
      <c r="BN287" s="481"/>
      <c r="BO287" s="481"/>
      <c r="BP287" s="481"/>
      <c r="BQ287" s="481"/>
      <c r="BR287" s="481"/>
      <c r="BS287" s="481"/>
      <c r="BT287" s="481"/>
      <c r="BU287" s="481"/>
      <c r="BV287" s="481"/>
      <c r="BW287" s="481"/>
      <c r="BX287" s="481"/>
      <c r="BY287" s="481"/>
      <c r="BZ287" s="481"/>
      <c r="CA287" s="481"/>
      <c r="CB287" s="481"/>
      <c r="CC287" s="481"/>
      <c r="CD287" s="481"/>
      <c r="CE287" s="481"/>
      <c r="CF287" s="481"/>
      <c r="CG287" s="481"/>
      <c r="CH287" s="481"/>
      <c r="CI287" s="481"/>
      <c r="CJ287" s="481"/>
      <c r="CK287" s="481"/>
      <c r="CL287" s="481"/>
      <c r="CM287" s="481"/>
      <c r="CN287" s="481"/>
      <c r="CO287" s="481"/>
      <c r="CP287" s="481"/>
      <c r="CQ287" s="481"/>
      <c r="CR287" s="481"/>
      <c r="CS287" s="481"/>
      <c r="CT287" s="481"/>
      <c r="CU287" s="481"/>
      <c r="CV287" s="481"/>
      <c r="CW287" s="481"/>
      <c r="CX287" s="481"/>
      <c r="CY287" s="481"/>
      <c r="CZ287" s="481"/>
      <c r="DA287" s="481"/>
      <c r="DB287" s="481"/>
      <c r="DC287" s="481"/>
      <c r="DD287" s="481"/>
      <c r="DE287" s="481"/>
      <c r="DF287" s="481"/>
      <c r="DG287" s="481"/>
      <c r="DH287" s="481"/>
      <c r="DI287" s="481"/>
      <c r="DJ287" s="481"/>
      <c r="DK287" s="481"/>
      <c r="DL287" s="481"/>
      <c r="DM287" s="481"/>
      <c r="DN287" s="481"/>
      <c r="DO287" s="481"/>
      <c r="DP287" s="481"/>
      <c r="DQ287" s="481"/>
      <c r="DR287" s="481"/>
      <c r="DS287" s="481"/>
      <c r="DT287" s="481"/>
      <c r="DU287" s="481"/>
      <c r="DV287" s="481"/>
      <c r="DW287" s="481"/>
      <c r="DX287" s="481"/>
      <c r="DY287" s="481"/>
      <c r="DZ287" s="481"/>
      <c r="EA287" s="481"/>
      <c r="EB287" s="481"/>
      <c r="EC287" s="481"/>
      <c r="ED287" s="481"/>
      <c r="EE287" s="481"/>
      <c r="EF287" s="481"/>
      <c r="EG287" s="481"/>
      <c r="EH287" s="481"/>
      <c r="EI287" s="481"/>
      <c r="EJ287" s="481"/>
      <c r="EK287" s="481"/>
      <c r="EL287" s="481"/>
      <c r="EM287" s="481"/>
      <c r="EN287" s="481"/>
      <c r="EO287" s="481"/>
      <c r="EP287" s="481"/>
      <c r="EQ287" s="481"/>
      <c r="ER287" s="481"/>
      <c r="ES287" s="481"/>
      <c r="ET287" s="481"/>
      <c r="EU287" s="481"/>
      <c r="EV287" s="481"/>
      <c r="EW287" s="481"/>
      <c r="EX287" s="481"/>
      <c r="EY287" s="481"/>
      <c r="EZ287" s="481"/>
      <c r="FA287" s="481"/>
      <c r="FB287" s="481"/>
      <c r="FC287" s="481"/>
      <c r="FD287" s="481"/>
    </row>
    <row r="288" spans="1:160" ht="18" hidden="1" customHeight="1" x14ac:dyDescent="0.2">
      <c r="A288" s="48"/>
      <c r="B288" s="1702">
        <f>SUM(B285:D287)</f>
        <v>0</v>
      </c>
      <c r="C288" s="1703"/>
      <c r="D288" s="1704"/>
      <c r="E288" s="254"/>
      <c r="F288" s="254"/>
      <c r="G288" s="1598">
        <f>SUM(G285:I287)</f>
        <v>0</v>
      </c>
      <c r="H288" s="1599"/>
      <c r="I288" s="1600"/>
      <c r="J288" s="48"/>
      <c r="K288" s="1598">
        <f>SUM(K285:M287)</f>
        <v>0</v>
      </c>
      <c r="L288" s="1599"/>
      <c r="M288" s="1600"/>
      <c r="N288" s="254"/>
      <c r="O288" s="254"/>
      <c r="P288" s="1598">
        <f>SUM(P285:R287)</f>
        <v>0</v>
      </c>
      <c r="Q288" s="1599"/>
      <c r="R288" s="1600"/>
      <c r="S288" s="48"/>
      <c r="T288" s="1598">
        <f>SUM(T285:V287)</f>
        <v>0</v>
      </c>
      <c r="U288" s="1599"/>
      <c r="V288" s="1600"/>
      <c r="W288" s="254"/>
      <c r="X288" s="254"/>
      <c r="Y288" s="1598">
        <f>SUM(Y285:AA287)</f>
        <v>0</v>
      </c>
      <c r="Z288" s="1599"/>
      <c r="AA288" s="1600"/>
      <c r="AB288" s="48"/>
      <c r="AC288" s="1598">
        <f>SUM(AC285:AE287)</f>
        <v>0</v>
      </c>
      <c r="AD288" s="1599"/>
      <c r="AE288" s="1600"/>
      <c r="AF288" s="254"/>
      <c r="AG288" s="254"/>
      <c r="AH288" s="1598">
        <f>SUM(AH285:AJ287)</f>
        <v>0</v>
      </c>
      <c r="AI288" s="1599"/>
      <c r="AJ288" s="1600"/>
      <c r="AK288" s="48"/>
      <c r="AL288" s="1598">
        <f>SUM(AL285:AN287)</f>
        <v>0</v>
      </c>
      <c r="AM288" s="1599"/>
      <c r="AN288" s="1600"/>
      <c r="AO288" s="254"/>
      <c r="AP288" s="254"/>
      <c r="AQ288" s="1598">
        <f>SUM(AQ285:AS287)</f>
        <v>0</v>
      </c>
      <c r="AR288" s="1599"/>
      <c r="AS288" s="1600"/>
      <c r="AT288" s="48"/>
      <c r="AU288" s="1598">
        <f>SUM(AU285:AW287)</f>
        <v>0</v>
      </c>
      <c r="AV288" s="1599"/>
      <c r="AW288" s="1600"/>
      <c r="AX288" s="254"/>
      <c r="AY288" s="254"/>
      <c r="AZ288" s="1598">
        <f>SUM(AZ285:BB287)</f>
        <v>0</v>
      </c>
      <c r="BA288" s="1599"/>
      <c r="BB288" s="1600"/>
      <c r="BC288" s="48"/>
      <c r="BD288" s="481"/>
      <c r="BE288" s="481"/>
      <c r="BF288" s="481"/>
      <c r="BG288" s="481"/>
      <c r="BH288" s="481"/>
      <c r="BI288" s="481"/>
      <c r="BJ288" s="481"/>
      <c r="BK288" s="481"/>
      <c r="BL288" s="481"/>
      <c r="BM288" s="481"/>
      <c r="BN288" s="481"/>
      <c r="BO288" s="481"/>
      <c r="BP288" s="481"/>
      <c r="BQ288" s="481"/>
      <c r="BR288" s="481"/>
      <c r="BS288" s="481"/>
      <c r="BT288" s="481"/>
      <c r="BU288" s="481"/>
      <c r="BV288" s="481"/>
      <c r="BW288" s="481"/>
      <c r="BX288" s="481"/>
      <c r="BY288" s="481"/>
      <c r="BZ288" s="481"/>
      <c r="CA288" s="481"/>
      <c r="CB288" s="481"/>
      <c r="CC288" s="481"/>
      <c r="CD288" s="481"/>
      <c r="CE288" s="481"/>
      <c r="CF288" s="481"/>
      <c r="CG288" s="481"/>
      <c r="CH288" s="481"/>
      <c r="CI288" s="481"/>
      <c r="CJ288" s="481"/>
      <c r="CK288" s="481"/>
      <c r="CL288" s="481"/>
      <c r="CM288" s="481"/>
      <c r="CN288" s="481"/>
      <c r="CO288" s="481"/>
      <c r="CP288" s="481"/>
      <c r="CQ288" s="481"/>
      <c r="CR288" s="481"/>
      <c r="CS288" s="481"/>
      <c r="CT288" s="481"/>
      <c r="CU288" s="481"/>
      <c r="CV288" s="481"/>
      <c r="CW288" s="481"/>
      <c r="CX288" s="481"/>
      <c r="CY288" s="481"/>
      <c r="CZ288" s="481"/>
      <c r="DA288" s="481"/>
      <c r="DB288" s="481"/>
      <c r="DC288" s="481"/>
      <c r="DD288" s="481"/>
      <c r="DE288" s="481"/>
      <c r="DF288" s="481"/>
      <c r="DG288" s="481"/>
      <c r="DH288" s="481"/>
      <c r="DI288" s="481"/>
      <c r="DJ288" s="481"/>
      <c r="DK288" s="481"/>
      <c r="DL288" s="481"/>
      <c r="DM288" s="481"/>
      <c r="DN288" s="481"/>
      <c r="DO288" s="481"/>
      <c r="DP288" s="481"/>
      <c r="DQ288" s="481"/>
      <c r="DR288" s="481"/>
      <c r="DS288" s="481"/>
      <c r="DT288" s="481"/>
      <c r="DU288" s="481"/>
      <c r="DV288" s="481"/>
      <c r="DW288" s="481"/>
      <c r="DX288" s="481"/>
      <c r="DY288" s="481"/>
      <c r="DZ288" s="481"/>
      <c r="EA288" s="481"/>
      <c r="EB288" s="481"/>
      <c r="EC288" s="481"/>
      <c r="ED288" s="481"/>
      <c r="EE288" s="481"/>
      <c r="EF288" s="481"/>
      <c r="EG288" s="481"/>
      <c r="EH288" s="481"/>
      <c r="EI288" s="481"/>
      <c r="EJ288" s="481"/>
      <c r="EK288" s="481"/>
      <c r="EL288" s="481"/>
      <c r="EM288" s="481"/>
      <c r="EN288" s="481"/>
      <c r="EO288" s="481"/>
      <c r="EP288" s="481"/>
      <c r="EQ288" s="481"/>
      <c r="ER288" s="481"/>
      <c r="ES288" s="481"/>
      <c r="ET288" s="481"/>
      <c r="EU288" s="481"/>
      <c r="EV288" s="481"/>
      <c r="EW288" s="481"/>
      <c r="EX288" s="481"/>
      <c r="EY288" s="481"/>
      <c r="EZ288" s="481"/>
      <c r="FA288" s="481"/>
      <c r="FB288" s="481"/>
      <c r="FC288" s="481"/>
      <c r="FD288" s="481"/>
    </row>
    <row r="289" spans="1:160" ht="18" hidden="1" customHeight="1" x14ac:dyDescent="0.2">
      <c r="A289" s="186"/>
      <c r="B289" s="48"/>
      <c r="C289" s="48"/>
      <c r="D289" s="185"/>
      <c r="E289" s="185"/>
      <c r="F289" s="185"/>
      <c r="G289" s="185"/>
      <c r="H289" s="185"/>
      <c r="I289" s="185"/>
      <c r="J289" s="185"/>
      <c r="K289" s="185"/>
      <c r="L289" s="185"/>
      <c r="M289" s="185"/>
      <c r="N289" s="185"/>
      <c r="O289" s="185"/>
      <c r="P289" s="185"/>
      <c r="Q289" s="185"/>
      <c r="R289" s="185"/>
      <c r="S289" s="185"/>
      <c r="T289" s="185"/>
      <c r="U289" s="185"/>
      <c r="V289" s="185"/>
      <c r="W289" s="185"/>
      <c r="X289" s="185"/>
      <c r="Y289" s="185"/>
      <c r="Z289" s="185"/>
      <c r="AA289" s="185"/>
      <c r="AB289" s="185"/>
      <c r="AC289" s="186"/>
      <c r="AD289" s="186"/>
      <c r="AE289" s="186"/>
      <c r="AF289" s="186"/>
      <c r="AG289" s="186"/>
      <c r="AH289" s="186"/>
      <c r="AI289" s="186"/>
      <c r="AJ289" s="186"/>
      <c r="AK289" s="186"/>
      <c r="AL289" s="186"/>
      <c r="AM289" s="186"/>
      <c r="AN289" s="48"/>
      <c r="AO289" s="48"/>
      <c r="AP289" s="48"/>
      <c r="AQ289" s="48"/>
      <c r="AR289" s="48"/>
      <c r="AS289" s="48"/>
      <c r="AT289" s="48"/>
      <c r="AU289" s="48"/>
      <c r="AV289" s="48"/>
      <c r="AW289" s="48"/>
      <c r="AX289" s="48"/>
      <c r="AY289" s="48"/>
      <c r="AZ289" s="48"/>
      <c r="BA289" s="48"/>
      <c r="BB289" s="48"/>
      <c r="BC289" s="48"/>
      <c r="BD289" s="481"/>
      <c r="BE289" s="481"/>
      <c r="BF289" s="481"/>
      <c r="BG289" s="481"/>
      <c r="BH289" s="481"/>
      <c r="BI289" s="481"/>
      <c r="BJ289" s="481"/>
      <c r="BK289" s="481"/>
      <c r="BL289" s="481"/>
      <c r="BM289" s="481"/>
      <c r="BN289" s="481"/>
      <c r="BO289" s="481"/>
      <c r="BP289" s="481"/>
      <c r="BQ289" s="481"/>
      <c r="BR289" s="481"/>
      <c r="BS289" s="481"/>
      <c r="BT289" s="481"/>
      <c r="BU289" s="481"/>
      <c r="BV289" s="481"/>
      <c r="BW289" s="481"/>
      <c r="BX289" s="481"/>
      <c r="BY289" s="481"/>
      <c r="BZ289" s="481"/>
      <c r="CA289" s="481"/>
      <c r="CB289" s="481"/>
      <c r="CC289" s="481"/>
      <c r="CD289" s="481"/>
      <c r="CE289" s="481"/>
      <c r="CF289" s="481"/>
      <c r="CG289" s="481"/>
      <c r="CH289" s="481"/>
      <c r="CI289" s="481"/>
      <c r="CJ289" s="481"/>
      <c r="CK289" s="481"/>
      <c r="CL289" s="481"/>
      <c r="CM289" s="481"/>
      <c r="CN289" s="481"/>
      <c r="CO289" s="481"/>
      <c r="CP289" s="481"/>
      <c r="CQ289" s="481"/>
      <c r="CR289" s="481"/>
      <c r="CS289" s="481"/>
      <c r="CT289" s="481"/>
      <c r="CU289" s="481"/>
      <c r="CV289" s="481"/>
      <c r="CW289" s="481"/>
      <c r="CX289" s="481"/>
      <c r="CY289" s="481"/>
      <c r="CZ289" s="481"/>
      <c r="DA289" s="481"/>
      <c r="DB289" s="481"/>
      <c r="DC289" s="481"/>
      <c r="DD289" s="481"/>
      <c r="DE289" s="481"/>
      <c r="DF289" s="481"/>
      <c r="DG289" s="481"/>
      <c r="DH289" s="481"/>
      <c r="DI289" s="481"/>
      <c r="DJ289" s="481"/>
      <c r="DK289" s="481"/>
      <c r="DL289" s="481"/>
      <c r="DM289" s="481"/>
      <c r="DN289" s="481"/>
      <c r="DO289" s="481"/>
      <c r="DP289" s="481"/>
      <c r="DQ289" s="481"/>
      <c r="DR289" s="481"/>
      <c r="DS289" s="481"/>
      <c r="DT289" s="481"/>
      <c r="DU289" s="481"/>
      <c r="DV289" s="481"/>
      <c r="DW289" s="481"/>
      <c r="DX289" s="481"/>
      <c r="DY289" s="481"/>
      <c r="DZ289" s="481"/>
      <c r="EA289" s="481"/>
      <c r="EB289" s="481"/>
      <c r="EC289" s="481"/>
      <c r="ED289" s="481"/>
      <c r="EE289" s="481"/>
      <c r="EF289" s="481"/>
      <c r="EG289" s="481"/>
      <c r="EH289" s="481"/>
      <c r="EI289" s="481"/>
      <c r="EJ289" s="481"/>
      <c r="EK289" s="481"/>
      <c r="EL289" s="481"/>
      <c r="EM289" s="481"/>
      <c r="EN289" s="481"/>
      <c r="EO289" s="481"/>
      <c r="EP289" s="481"/>
      <c r="EQ289" s="481"/>
      <c r="ER289" s="481"/>
      <c r="ES289" s="481"/>
      <c r="ET289" s="481"/>
      <c r="EU289" s="481"/>
      <c r="EV289" s="481"/>
      <c r="EW289" s="481"/>
      <c r="EX289" s="481"/>
      <c r="EY289" s="481"/>
      <c r="EZ289" s="481"/>
      <c r="FA289" s="481"/>
      <c r="FB289" s="481"/>
      <c r="FC289" s="481"/>
      <c r="FD289" s="481"/>
    </row>
    <row r="290" spans="1:160" ht="18" hidden="1" customHeight="1" x14ac:dyDescent="0.2">
      <c r="A290" s="48"/>
      <c r="B290" s="1591" t="str">
        <f>B275</f>
        <v>Luglio</v>
      </c>
      <c r="C290" s="1592"/>
      <c r="D290" s="1705"/>
      <c r="E290" s="1706" t="str">
        <f>E275</f>
        <v>LORDO</v>
      </c>
      <c r="F290" s="1688"/>
      <c r="G290" s="1601" t="str">
        <f>G275</f>
        <v>Luglio</v>
      </c>
      <c r="H290" s="1602"/>
      <c r="I290" s="1603"/>
      <c r="J290" s="48"/>
      <c r="K290" s="1601" t="str">
        <f>K275</f>
        <v>Agosto</v>
      </c>
      <c r="L290" s="1602"/>
      <c r="M290" s="1603"/>
      <c r="N290" s="185"/>
      <c r="O290" s="185"/>
      <c r="P290" s="1601" t="str">
        <f>P275</f>
        <v>Agosto</v>
      </c>
      <c r="Q290" s="1602"/>
      <c r="R290" s="1603"/>
      <c r="S290" s="48"/>
      <c r="T290" s="1601" t="str">
        <f>T275</f>
        <v>Settembre</v>
      </c>
      <c r="U290" s="1602"/>
      <c r="V290" s="1603"/>
      <c r="W290" s="185"/>
      <c r="X290" s="185"/>
      <c r="Y290" s="1601" t="str">
        <f>Y275</f>
        <v>Settembre</v>
      </c>
      <c r="Z290" s="1602"/>
      <c r="AA290" s="1603"/>
      <c r="AB290" s="48"/>
      <c r="AC290" s="1601" t="str">
        <f>AC275</f>
        <v>Ottobre</v>
      </c>
      <c r="AD290" s="1602"/>
      <c r="AE290" s="1603"/>
      <c r="AF290" s="185"/>
      <c r="AG290" s="185"/>
      <c r="AH290" s="1601" t="str">
        <f>AH275</f>
        <v>Ottobre</v>
      </c>
      <c r="AI290" s="1602"/>
      <c r="AJ290" s="1603"/>
      <c r="AK290" s="48"/>
      <c r="AL290" s="1601" t="str">
        <f>AL275</f>
        <v>Novembre</v>
      </c>
      <c r="AM290" s="1602"/>
      <c r="AN290" s="1603"/>
      <c r="AO290" s="185"/>
      <c r="AP290" s="185"/>
      <c r="AQ290" s="1601" t="str">
        <f>AQ275</f>
        <v>Novembre</v>
      </c>
      <c r="AR290" s="1602"/>
      <c r="AS290" s="1603"/>
      <c r="AT290" s="48"/>
      <c r="AU290" s="1601" t="str">
        <f>AU275</f>
        <v>Dicembre</v>
      </c>
      <c r="AV290" s="1602"/>
      <c r="AW290" s="1603"/>
      <c r="AX290" s="185"/>
      <c r="AY290" s="185"/>
      <c r="AZ290" s="1601" t="str">
        <f>AZ275</f>
        <v>Dicembre</v>
      </c>
      <c r="BA290" s="1602"/>
      <c r="BB290" s="1603"/>
      <c r="BC290" s="48"/>
      <c r="BD290" s="481"/>
      <c r="BE290" s="481"/>
      <c r="BF290" s="481"/>
      <c r="BG290" s="481"/>
      <c r="BH290" s="481"/>
      <c r="BI290" s="481"/>
      <c r="BJ290" s="481"/>
      <c r="BK290" s="481"/>
      <c r="BL290" s="481"/>
      <c r="BM290" s="481"/>
      <c r="BN290" s="481"/>
      <c r="BO290" s="481"/>
      <c r="BP290" s="481"/>
      <c r="BQ290" s="481"/>
      <c r="BR290" s="481"/>
      <c r="BS290" s="481"/>
      <c r="BT290" s="481"/>
      <c r="BU290" s="481"/>
      <c r="BV290" s="481"/>
      <c r="BW290" s="481"/>
      <c r="BX290" s="481"/>
      <c r="BY290" s="481"/>
      <c r="BZ290" s="481"/>
      <c r="CA290" s="481"/>
      <c r="CB290" s="481"/>
      <c r="CC290" s="481"/>
      <c r="CD290" s="481"/>
      <c r="CE290" s="481"/>
      <c r="CF290" s="481"/>
      <c r="CG290" s="481"/>
      <c r="CH290" s="481"/>
      <c r="CI290" s="481"/>
      <c r="CJ290" s="481"/>
      <c r="CK290" s="481"/>
      <c r="CL290" s="481"/>
      <c r="CM290" s="481"/>
      <c r="CN290" s="481"/>
      <c r="CO290" s="481"/>
      <c r="CP290" s="481"/>
      <c r="CQ290" s="481"/>
      <c r="CR290" s="481"/>
      <c r="CS290" s="481"/>
      <c r="CT290" s="481"/>
      <c r="CU290" s="481"/>
      <c r="CV290" s="481"/>
      <c r="CW290" s="481"/>
      <c r="CX290" s="481"/>
      <c r="CY290" s="481"/>
      <c r="CZ290" s="481"/>
      <c r="DA290" s="481"/>
      <c r="DB290" s="481"/>
      <c r="DC290" s="481"/>
      <c r="DD290" s="481"/>
      <c r="DE290" s="481"/>
      <c r="DF290" s="481"/>
      <c r="DG290" s="481"/>
      <c r="DH290" s="481"/>
      <c r="DI290" s="481"/>
      <c r="DJ290" s="481"/>
      <c r="DK290" s="481"/>
      <c r="DL290" s="481"/>
      <c r="DM290" s="481"/>
      <c r="DN290" s="481"/>
      <c r="DO290" s="481"/>
      <c r="DP290" s="481"/>
      <c r="DQ290" s="481"/>
      <c r="DR290" s="481"/>
      <c r="DS290" s="481"/>
      <c r="DT290" s="481"/>
      <c r="DU290" s="481"/>
      <c r="DV290" s="481"/>
      <c r="DW290" s="481"/>
      <c r="DX290" s="481"/>
      <c r="DY290" s="481"/>
      <c r="DZ290" s="481"/>
      <c r="EA290" s="481"/>
      <c r="EB290" s="481"/>
      <c r="EC290" s="481"/>
      <c r="ED290" s="481"/>
      <c r="EE290" s="481"/>
      <c r="EF290" s="481"/>
      <c r="EG290" s="481"/>
      <c r="EH290" s="481"/>
      <c r="EI290" s="481"/>
      <c r="EJ290" s="481"/>
      <c r="EK290" s="481"/>
      <c r="EL290" s="481"/>
      <c r="EM290" s="481"/>
      <c r="EN290" s="481"/>
      <c r="EO290" s="481"/>
      <c r="EP290" s="481"/>
      <c r="EQ290" s="481"/>
      <c r="ER290" s="481"/>
      <c r="ES290" s="481"/>
      <c r="ET290" s="481"/>
      <c r="EU290" s="481"/>
      <c r="EV290" s="481"/>
      <c r="EW290" s="481"/>
      <c r="EX290" s="481"/>
      <c r="EY290" s="481"/>
      <c r="EZ290" s="481"/>
      <c r="FA290" s="481"/>
      <c r="FB290" s="481"/>
      <c r="FC290" s="481"/>
      <c r="FD290" s="481"/>
    </row>
    <row r="291" spans="1:160" ht="18" hidden="1" customHeight="1" x14ac:dyDescent="0.2">
      <c r="A291" s="48"/>
      <c r="B291" s="1588">
        <f>SUMIF($B$257:$B$263,E291,S$257:S$263)+SUMIF($B$257:$B$263,E291,P$257:P$263)+SUMIF($B$257:$B$263,E291,M$257:M$263)+SUMIF($B$257:$B$263,E291,J$257:J$263)+SUMIF($B$257:$B$263,E291,G$257:G$263)+SUMIF($B$257:$B$263,E291,D$257:D$263)</f>
        <v>0</v>
      </c>
      <c r="C291" s="1589"/>
      <c r="D291" s="1590"/>
      <c r="E291" s="1622" t="e">
        <f>LUG!$G$119</f>
        <v>#N/A</v>
      </c>
      <c r="F291" s="1623"/>
      <c r="G291" s="1588">
        <f>SUMIF($B$257:$B$263,E291,V$257:V$263)+SUMIF($B$257:$B$263,E291,S$257:S$263)+SUMIF($B$257:$B$263,E291,P$257:P$263)+SUMIF($B$257:$B$263,E291,M$257:M$263)+SUMIF($B$257:$B$263,E291,J$257:J$263)+SUMIF($B$257:$B$263,E291,G$257:G$263)+SUMIF($B$257:$B$263,E291,D$257:D$263)</f>
        <v>0</v>
      </c>
      <c r="H291" s="1589"/>
      <c r="I291" s="1590"/>
      <c r="J291" s="48"/>
      <c r="K291" s="1588">
        <f>SUMIF($B$257:$B$263,N291,V$257:V$263)+SUMIF($B$257:$B$263,N291,S$257:S$263)+SUMIF($B$257:$B$263,N291,P$257:P$263)+SUMIF($B$257:$B$263,N291,M$257:M$263)+SUMIF($B$257:$B$263,N291,J$257:J$263)+SUMIF($B$257:$B$263,N291,G$257:G$263)+SUMIF($B$257:$B$263,N291,D$257:D$263)</f>
        <v>0</v>
      </c>
      <c r="L291" s="1589"/>
      <c r="M291" s="1590"/>
      <c r="N291" s="1622" t="e">
        <f>AGO!$G$119</f>
        <v>#N/A</v>
      </c>
      <c r="O291" s="1623"/>
      <c r="P291" s="1588">
        <f>SUMIF($B$257:$B$263,N291,Y$257:Y$263)+SUMIF($B$257:$B$263,N291,V$257:V$263)+SUMIF($B$257:$B$263,N291,S$257:S$263)+SUMIF($B$257:$B$263,N291,P$257:P$263)+SUMIF($B$257:$B$263,N291,M$257:M$263)+SUMIF($B$257:$B$263,N291,J$257:J$263)+SUMIF($B$257:$B$263,N291,G$257:G$263)+SUMIF($B$257:$B$263,N291,D$257:D$263)</f>
        <v>0</v>
      </c>
      <c r="Q291" s="1589"/>
      <c r="R291" s="1590"/>
      <c r="S291" s="48"/>
      <c r="T291" s="1588">
        <f>SUMIF($B$257:$B$263,W291,Y$257:Y$263)+SUMIF($B$257:$B$263,W291,V$257:V$263)+SUMIF($B$257:$B$263,W291,S$257:S$263)+SUMIF($B$257:$B$263,W291,P$257:P$263)+SUMIF($B$257:$B$263,W291,M$257:M$263)+SUMIF($B$257:$B$263,W291,J$257:J$263)+SUMIF($B$257:$B$263,W291,G$257:G$263)+SUMIF($B$257:$B$263,W291,D$257:D$263)</f>
        <v>0</v>
      </c>
      <c r="U291" s="1589"/>
      <c r="V291" s="1590"/>
      <c r="W291" s="1622" t="e">
        <f>SET!$G$119</f>
        <v>#N/A</v>
      </c>
      <c r="X291" s="1623"/>
      <c r="Y291" s="1588">
        <f>SUMIF($B$257:$B$263,W291,AB$257:AB$263)+SUMIF($B$257:$B$263,W291,Y$257:Y$263)+SUMIF($B$257:$B$263,W291,V$257:V$263)+SUMIF($B$257:$B$263,W291,S$257:S$263)+SUMIF($B$257:$B$263,W291,P$257:P$263)+SUMIF($B$257:$B$263,W291,M$257:M$263)+SUMIF($B$257:$B$263,W291,J$257:J$263)+SUMIF($B$257:$B$263,W291,G$257:G$263)+SUMIF($B$257:$B$263,W291,D$257:D$263)</f>
        <v>0</v>
      </c>
      <c r="Z291" s="1589"/>
      <c r="AA291" s="1590"/>
      <c r="AB291" s="48"/>
      <c r="AC291" s="1588">
        <f>SUMIF($B$257:$B$263,AF291,AB$257:AB$263)+SUMIF($B$257:$B$263,AF291,Y$257:Y$263)+SUMIF($B$257:$B$263,AF291,V$257:V$263)+SUMIF($B$257:$B$263,AF291,S$257:S$263)+SUMIF($B$257:$B$263,AF291,P$257:P$263)+SUMIF($B$257:$B$263,AF291,M$257:M$263)+SUMIF($B$257:$B$263,AF291,J$257:J$263)+SUMIF($B$257:$B$263,AF291,G$257:G$263)+SUMIF($B$257:$B$263,AF291,D$257:D$263)</f>
        <v>0</v>
      </c>
      <c r="AD291" s="1589"/>
      <c r="AE291" s="1590"/>
      <c r="AF291" s="1622" t="e">
        <f>OTT!$G$119</f>
        <v>#N/A</v>
      </c>
      <c r="AG291" s="1623"/>
      <c r="AH291" s="1588">
        <f>SUMIF($B$257:$B$263,AF291,AE$257:AE$263)+SUMIF($B$257:$B$263,AF291,AB$257:AB$263)+SUMIF($B$257:$B$263,AF291,Y$257:Y$263)+SUMIF($B$257:$B$263,AF291,V$257:V$263)+SUMIF($B$257:$B$263,AF291,S$257:S$263)+SUMIF($B$257:$B$263,AF291,P$257:P$263)+SUMIF($B$257:$B$263,AF291,M$257:M$263)+SUMIF($B$257:$B$263,AF291,J$257:J$263)+SUMIF($B$257:$B$263,AF291,G$257:G$263)+SUMIF($B$257:$B$263,AF291,D$257:D$263)</f>
        <v>0</v>
      </c>
      <c r="AI291" s="1589"/>
      <c r="AJ291" s="1590"/>
      <c r="AK291" s="48"/>
      <c r="AL291" s="1588">
        <f>SUMIF($B$257:$B$263,AO291,AE$257:AE$263)+SUMIF($B$257:$B$263,AO291,AB$257:AB$263)+SUMIF($B$257:$B$263,AO291,Y$257:Y$263)+SUMIF($B$257:$B$263,AO291,V$257:V$263)+SUMIF($B$257:$B$263,AO291,S$257:S$263)+SUMIF($B$257:$B$263,AO291,P$257:P$263)+SUMIF($B$257:$B$263,AO291,M$257:M$263)+SUMIF($B$257:$B$263,AO291,J$257:J$263)+SUMIF($B$257:$B$263,AO291,G$257:G$263)+SUMIF($B$257:$B$263,AO291,D$257:D$263)</f>
        <v>0</v>
      </c>
      <c r="AM291" s="1589"/>
      <c r="AN291" s="1590"/>
      <c r="AO291" s="1622" t="e">
        <f>NOV!$G$119</f>
        <v>#N/A</v>
      </c>
      <c r="AP291" s="1623"/>
      <c r="AQ291" s="1588">
        <f>SUMIF($B$257:$B$263,AO291,AH$257:AH$263)+SUMIF($B$257:$B$263,AO291,AE$257:AE$263)+SUMIF($B$257:$B$263,AO291,AB$257:AB$263)+SUMIF($B$257:$B$263,AO291,Y$257:Y$263)+SUMIF($B$257:$B$263,AO291,V$257:V$263)+SUMIF($B$257:$B$263,AO291,S$257:S$263)+SUMIF($B$257:$B$263,AO291,P$257:P$263)+SUMIF($B$257:$B$263,AO291,M$257:M$263)+SUMIF($B$257:$B$263,AO291,J$257:J$263)+SUMIF($B$257:$B$263,AO291,G$257:G$263)+SUMIF($B$257:$B$263,AO291,D$257:D$263)</f>
        <v>0</v>
      </c>
      <c r="AR291" s="1589"/>
      <c r="AS291" s="1590"/>
      <c r="AT291" s="48"/>
      <c r="AU291" s="1588">
        <f>SUMIF($B$257:$B$263,AX291,AH$257:AH$263)+SUMIF($B$257:$B$263,AX291,AE$257:AE$263)+SUMIF($B$257:$B$263,AX291,AB$257:AB$263)+SUMIF($B$257:$B$263,AX291,Y$257:Y$263)+SUMIF($B$257:$B$263,AX291,V$257:V$263)+SUMIF($B$257:$B$263,AX291,S$257:S$263)+SUMIF($B$257:$B$263,AX291,P$257:P$263)+SUMIF($B$257:$B$263,AX291,M$257:M$263)+SUMIF($B$257:$B$263,AX291,J$257:J$263)+SUMIF($B$257:$B$263,AX291,G$257:G$263)+SUMIF($B$257:$B$263,AX291,D$257:D$263)</f>
        <v>0</v>
      </c>
      <c r="AV291" s="1589"/>
      <c r="AW291" s="1590"/>
      <c r="AX291" s="1622" t="e">
        <f>DIC!$G$119</f>
        <v>#N/A</v>
      </c>
      <c r="AY291" s="1623"/>
      <c r="AZ291" s="1588">
        <f>SUMIF($B$257:$B$263,AX291,AK$257:AK$263)+SUMIF($B$257:$B$263,AX291,AH$257:AH$263)+SUMIF($B$257:$B$263,AX291,AE$257:AE$263)+SUMIF($B$257:$B$263,AX291,AB$257:AB$263)+SUMIF($B$257:$B$263,AX291,Y$257:Y$263)+SUMIF($B$257:$B$263,AX291,V$257:V$263)+SUMIF($B$257:$B$263,AX291,S$257:S$263)+SUMIF($B$257:$B$263,AX291,P$257:P$263)+SUMIF($B$257:$B$263,AX291,M$257:M$263)+SUMIF($B$257:$B$263,AX291,J$257:J$263)+SUMIF($B$257:$B$263,AX291,G$257:G$263)+SUMIF($B$257:$B$263,AX291,D$257:D$263)</f>
        <v>0</v>
      </c>
      <c r="BA291" s="1589"/>
      <c r="BB291" s="1590"/>
      <c r="BC291" s="48"/>
      <c r="BD291" s="482"/>
      <c r="BE291" s="482"/>
      <c r="BF291" s="481"/>
      <c r="BG291" s="481"/>
      <c r="BH291" s="481"/>
      <c r="BI291" s="481"/>
      <c r="BJ291" s="481"/>
      <c r="BK291" s="481"/>
      <c r="BL291" s="481"/>
      <c r="BM291" s="481"/>
      <c r="BN291" s="481"/>
      <c r="BO291" s="481"/>
      <c r="BP291" s="481"/>
      <c r="BQ291" s="481"/>
      <c r="BR291" s="481"/>
      <c r="BS291" s="481"/>
      <c r="BT291" s="481"/>
      <c r="BU291" s="481"/>
      <c r="BV291" s="481"/>
      <c r="BW291" s="481"/>
      <c r="BX291" s="481"/>
      <c r="BY291" s="481"/>
      <c r="BZ291" s="481"/>
      <c r="CA291" s="481"/>
      <c r="CB291" s="481"/>
      <c r="CC291" s="481"/>
      <c r="CD291" s="481"/>
      <c r="CE291" s="481"/>
      <c r="CF291" s="481"/>
      <c r="CG291" s="481"/>
      <c r="CH291" s="481"/>
      <c r="CI291" s="481"/>
      <c r="CJ291" s="481"/>
      <c r="CK291" s="481"/>
      <c r="CL291" s="481"/>
      <c r="CM291" s="481"/>
      <c r="CN291" s="481"/>
      <c r="CO291" s="481"/>
      <c r="CP291" s="481"/>
      <c r="CQ291" s="481"/>
      <c r="CR291" s="481"/>
      <c r="CS291" s="481"/>
      <c r="CT291" s="481"/>
      <c r="CU291" s="481"/>
      <c r="CV291" s="481"/>
      <c r="CW291" s="481"/>
      <c r="CX291" s="481"/>
      <c r="CY291" s="481"/>
      <c r="CZ291" s="481"/>
      <c r="DA291" s="481"/>
      <c r="DB291" s="481"/>
      <c r="DC291" s="481"/>
      <c r="DD291" s="481"/>
      <c r="DE291" s="481"/>
      <c r="DF291" s="481"/>
      <c r="DG291" s="481"/>
      <c r="DH291" s="481"/>
      <c r="DI291" s="481"/>
      <c r="DJ291" s="481"/>
      <c r="DK291" s="481"/>
      <c r="DL291" s="481"/>
      <c r="DM291" s="481"/>
      <c r="DN291" s="481"/>
      <c r="DO291" s="481"/>
      <c r="DP291" s="481"/>
      <c r="DQ291" s="481"/>
      <c r="DR291" s="481"/>
      <c r="DS291" s="481"/>
      <c r="DT291" s="481"/>
      <c r="DU291" s="481"/>
      <c r="DV291" s="481"/>
      <c r="DW291" s="481"/>
      <c r="DX291" s="481"/>
      <c r="DY291" s="481"/>
      <c r="DZ291" s="481"/>
      <c r="EA291" s="481"/>
      <c r="EB291" s="481"/>
      <c r="EC291" s="481"/>
      <c r="ED291" s="481"/>
      <c r="EE291" s="481"/>
      <c r="EF291" s="481"/>
      <c r="EG291" s="481"/>
      <c r="EH291" s="481"/>
      <c r="EI291" s="481"/>
      <c r="EJ291" s="481"/>
      <c r="EK291" s="481"/>
      <c r="EL291" s="481"/>
      <c r="EM291" s="481"/>
      <c r="EN291" s="481"/>
      <c r="EO291" s="481"/>
      <c r="EP291" s="481"/>
      <c r="EQ291" s="481"/>
      <c r="ER291" s="481"/>
      <c r="ES291" s="481"/>
      <c r="ET291" s="481"/>
      <c r="EU291" s="481"/>
      <c r="EV291" s="481"/>
      <c r="EW291" s="481"/>
      <c r="EX291" s="481"/>
      <c r="EY291" s="481"/>
      <c r="EZ291" s="481"/>
      <c r="FA291" s="481"/>
      <c r="FB291" s="481"/>
      <c r="FC291" s="481"/>
      <c r="FD291" s="481"/>
    </row>
    <row r="292" spans="1:160" ht="18" hidden="1" customHeight="1" x14ac:dyDescent="0.2">
      <c r="A292" s="48"/>
      <c r="B292" s="1588">
        <f>SUMIF($B$257:$B$263,E292,S$257:S$263)+SUMIF($B$257:$B$263,E292,P$257:P$263)+SUMIF($B$257:$B$263,E292,M$257:M$263)+SUMIF($B$257:$B$263,E292,J$257:J$263)+SUMIF($B$257:$B$263,E292,G$257:G$263)+SUMIF($B$257:$B$263,E292,D$257:D$263)</f>
        <v>0</v>
      </c>
      <c r="C292" s="1589"/>
      <c r="D292" s="1590"/>
      <c r="E292" s="1622" t="e">
        <f>LUG!$H$119</f>
        <v>#N/A</v>
      </c>
      <c r="F292" s="1623"/>
      <c r="G292" s="1588">
        <f>SUMIF($B$257:$B$263,E292,V$257:V$263)+SUMIF($B$257:$B$263,E292,S$257:S$263)+SUMIF($B$257:$B$263,E292,P$257:P$263)+SUMIF($B$257:$B$263,E292,M$257:M$263)+SUMIF($B$257:$B$263,E292,J$257:J$263)+SUMIF($B$257:$B$263,E292,G$257:G$263)+SUMIF($B$257:$B$263,E292,D$257:D$263)</f>
        <v>0</v>
      </c>
      <c r="H292" s="1589"/>
      <c r="I292" s="1590"/>
      <c r="J292" s="48"/>
      <c r="K292" s="1588">
        <f>SUMIF($B$257:$B$263,N292,V$257:V$263)+SUMIF($B$257:$B$263,N292,S$257:S$263)+SUMIF($B$257:$B$263,N292,P$257:P$263)+SUMIF($B$257:$B$263,N292,M$257:M$263)+SUMIF($B$257:$B$263,N292,J$257:J$263)+SUMIF($B$257:$B$263,N292,G$257:G$263)+SUMIF($B$257:$B$263,N292,D$257:D$263)</f>
        <v>0</v>
      </c>
      <c r="L292" s="1589"/>
      <c r="M292" s="1590"/>
      <c r="N292" s="1622" t="e">
        <f>AGO!$H$119</f>
        <v>#N/A</v>
      </c>
      <c r="O292" s="1623"/>
      <c r="P292" s="1588">
        <f>SUMIF($B$257:$B$263,N292,Y$257:Y$263)+SUMIF($B$257:$B$263,N292,V$257:V$263)+SUMIF($B$257:$B$263,N292,S$257:S$263)+SUMIF($B$257:$B$263,N292,P$257:P$263)+SUMIF($B$257:$B$263,N292,M$257:M$263)+SUMIF($B$257:$B$263,N292,J$257:J$263)+SUMIF($B$257:$B$263,N292,G$257:G$263)+SUMIF($B$257:$B$263,N292,D$257:D$263)</f>
        <v>0</v>
      </c>
      <c r="Q292" s="1589"/>
      <c r="R292" s="1590"/>
      <c r="S292" s="48"/>
      <c r="T292" s="1588">
        <f>SUMIF($B$257:$B$263,W292,Y$257:Y$263)+SUMIF($B$257:$B$263,W292,V$257:V$263)+SUMIF($B$257:$B$263,W292,S$257:S$263)+SUMIF($B$257:$B$263,W292,P$257:P$263)+SUMIF($B$257:$B$263,W292,M$257:M$263)+SUMIF($B$257:$B$263,W292,J$257:J$263)+SUMIF($B$257:$B$263,W292,G$257:G$263)+SUMIF($B$257:$B$263,W292,D$257:D$263)</f>
        <v>0</v>
      </c>
      <c r="U292" s="1589"/>
      <c r="V292" s="1590"/>
      <c r="W292" s="1622" t="e">
        <f>SET!$H$119</f>
        <v>#N/A</v>
      </c>
      <c r="X292" s="1623"/>
      <c r="Y292" s="1588">
        <f>SUMIF($B$257:$B$263,W292,AB$257:AB$263)+SUMIF($B$257:$B$263,W292,Y$257:Y$263)+SUMIF($B$257:$B$263,W292,V$257:V$263)+SUMIF($B$257:$B$263,W292,S$257:S$263)+SUMIF($B$257:$B$263,W292,P$257:P$263)+SUMIF($B$257:$B$263,W292,M$257:M$263)+SUMIF($B$257:$B$263,W292,J$257:J$263)+SUMIF($B$257:$B$263,W292,G$257:G$263)+SUMIF($B$257:$B$263,W292,D$257:D$263)</f>
        <v>0</v>
      </c>
      <c r="Z292" s="1589"/>
      <c r="AA292" s="1590"/>
      <c r="AB292" s="48"/>
      <c r="AC292" s="1588">
        <f>SUMIF($B$257:$B$263,AF292,AB$257:AB$263)+SUMIF($B$257:$B$263,AF292,Y$257:Y$263)+SUMIF($B$257:$B$263,AF292,V$257:V$263)+SUMIF($B$257:$B$263,AF292,S$257:S$263)+SUMIF($B$257:$B$263,AF292,P$257:P$263)+SUMIF($B$257:$B$263,AF292,M$257:M$263)+SUMIF($B$257:$B$263,AF292,J$257:J$263)+SUMIF($B$257:$B$263,AF292,G$257:G$263)+SUMIF($B$257:$B$263,AF292,D$257:D$263)</f>
        <v>0</v>
      </c>
      <c r="AD292" s="1589"/>
      <c r="AE292" s="1590"/>
      <c r="AF292" s="1622" t="e">
        <f>OTT!$H$119</f>
        <v>#N/A</v>
      </c>
      <c r="AG292" s="1623"/>
      <c r="AH292" s="1588">
        <f>SUMIF($B$257:$B$263,AF292,AE$257:AE$263)+SUMIF($B$257:$B$263,AF292,AB$257:AB$263)+SUMIF($B$257:$B$263,AF292,Y$257:Y$263)+SUMIF($B$257:$B$263,AF292,V$257:V$263)+SUMIF($B$257:$B$263,AF292,S$257:S$263)+SUMIF($B$257:$B$263,AF292,P$257:P$263)+SUMIF($B$257:$B$263,AF292,M$257:M$263)+SUMIF($B$257:$B$263,AF292,J$257:J$263)+SUMIF($B$257:$B$263,AF292,G$257:G$263)+SUMIF($B$257:$B$263,AF292,D$257:D$263)</f>
        <v>0</v>
      </c>
      <c r="AI292" s="1589"/>
      <c r="AJ292" s="1590"/>
      <c r="AK292" s="48"/>
      <c r="AL292" s="1588">
        <f>SUMIF($B$257:$B$263,AO292,AE$257:AE$263)+SUMIF($B$257:$B$263,AO292,AB$257:AB$263)+SUMIF($B$257:$B$263,AO292,Y$257:Y$263)+SUMIF($B$257:$B$263,AO292,V$257:V$263)+SUMIF($B$257:$B$263,AO292,S$257:S$263)+SUMIF($B$257:$B$263,AO292,P$257:P$263)+SUMIF($B$257:$B$263,AO292,M$257:M$263)+SUMIF($B$257:$B$263,AO292,J$257:J$263)+SUMIF($B$257:$B$263,AO292,G$257:G$263)+SUMIF($B$257:$B$263,AO292,D$257:D$263)</f>
        <v>0</v>
      </c>
      <c r="AM292" s="1589"/>
      <c r="AN292" s="1590"/>
      <c r="AO292" s="1622" t="e">
        <f>NOV!$H$119</f>
        <v>#N/A</v>
      </c>
      <c r="AP292" s="1623"/>
      <c r="AQ292" s="1588">
        <f>SUMIF($B$257:$B$263,AO292,AH$257:AH$263)+SUMIF($B$257:$B$263,AO292,AE$257:AE$263)+SUMIF($B$257:$B$263,AO292,AB$257:AB$263)+SUMIF($B$257:$B$263,AO292,Y$257:Y$263)+SUMIF($B$257:$B$263,AO292,V$257:V$263)+SUMIF($B$257:$B$263,AO292,S$257:S$263)+SUMIF($B$257:$B$263,AO292,P$257:P$263)+SUMIF($B$257:$B$263,AO292,M$257:M$263)+SUMIF($B$257:$B$263,AO292,J$257:J$263)+SUMIF($B$257:$B$263,AO292,G$257:G$263)+SUMIF($B$257:$B$263,AO292,D$257:D$263)</f>
        <v>0</v>
      </c>
      <c r="AR292" s="1589"/>
      <c r="AS292" s="1590"/>
      <c r="AT292" s="48"/>
      <c r="AU292" s="1588">
        <f>SUMIF($B$257:$B$263,AX292,AH$257:AH$263)+SUMIF($B$257:$B$263,AX292,AE$257:AE$263)+SUMIF($B$257:$B$263,AX292,AB$257:AB$263)+SUMIF($B$257:$B$263,AX292,Y$257:Y$263)+SUMIF($B$257:$B$263,AX292,V$257:V$263)+SUMIF($B$257:$B$263,AX292,S$257:S$263)+SUMIF($B$257:$B$263,AX292,P$257:P$263)+SUMIF($B$257:$B$263,AX292,M$257:M$263)+SUMIF($B$257:$B$263,AX292,J$257:J$263)+SUMIF($B$257:$B$263,AX292,G$257:G$263)+SUMIF($B$257:$B$263,AX292,D$257:D$263)</f>
        <v>0</v>
      </c>
      <c r="AV292" s="1589"/>
      <c r="AW292" s="1590"/>
      <c r="AX292" s="1622" t="e">
        <f>DIC!$H$119</f>
        <v>#N/A</v>
      </c>
      <c r="AY292" s="1623"/>
      <c r="AZ292" s="1588">
        <f>SUMIF($B$257:$B$263,AX292,AK$257:AK$263)+SUMIF($B$257:$B$263,AX292,AH$257:AH$263)+SUMIF($B$257:$B$263,AX292,AE$257:AE$263)+SUMIF($B$257:$B$263,AX292,AB$257:AB$263)+SUMIF($B$257:$B$263,AX292,Y$257:Y$263)+SUMIF($B$257:$B$263,AX292,V$257:V$263)+SUMIF($B$257:$B$263,AX292,S$257:S$263)+SUMIF($B$257:$B$263,AX292,P$257:P$263)+SUMIF($B$257:$B$263,AX292,M$257:M$263)+SUMIF($B$257:$B$263,AX292,J$257:J$263)+SUMIF($B$257:$B$263,AX292,G$257:G$263)+SUMIF($B$257:$B$263,AX292,D$257:D$263)</f>
        <v>0</v>
      </c>
      <c r="BA292" s="1589"/>
      <c r="BB292" s="1590"/>
      <c r="BC292" s="48"/>
      <c r="BD292" s="482"/>
      <c r="BE292" s="482"/>
      <c r="BF292" s="481"/>
      <c r="BG292" s="481"/>
      <c r="BH292" s="481"/>
      <c r="BI292" s="481"/>
      <c r="BJ292" s="481"/>
      <c r="BK292" s="481"/>
      <c r="BL292" s="481"/>
      <c r="BM292" s="481"/>
      <c r="BN292" s="481"/>
      <c r="BO292" s="481"/>
      <c r="BP292" s="481"/>
      <c r="BQ292" s="481"/>
      <c r="BR292" s="481"/>
      <c r="BS292" s="481"/>
      <c r="BT292" s="481"/>
      <c r="BU292" s="481"/>
      <c r="BV292" s="481"/>
      <c r="BW292" s="481"/>
      <c r="BX292" s="481"/>
      <c r="BY292" s="481"/>
      <c r="BZ292" s="481"/>
      <c r="CA292" s="481"/>
      <c r="CB292" s="481"/>
      <c r="CC292" s="481"/>
      <c r="CD292" s="481"/>
      <c r="CE292" s="481"/>
      <c r="CF292" s="481"/>
      <c r="CG292" s="481"/>
      <c r="CH292" s="481"/>
      <c r="CI292" s="481"/>
      <c r="CJ292" s="481"/>
      <c r="CK292" s="481"/>
      <c r="CL292" s="481"/>
      <c r="CM292" s="481"/>
      <c r="CN292" s="481"/>
      <c r="CO292" s="481"/>
      <c r="CP292" s="481"/>
      <c r="CQ292" s="481"/>
      <c r="CR292" s="481"/>
      <c r="CS292" s="481"/>
      <c r="CT292" s="481"/>
      <c r="CU292" s="481"/>
      <c r="CV292" s="481"/>
      <c r="CW292" s="481"/>
      <c r="CX292" s="481"/>
      <c r="CY292" s="481"/>
      <c r="CZ292" s="481"/>
      <c r="DA292" s="481"/>
      <c r="DB292" s="481"/>
      <c r="DC292" s="481"/>
      <c r="DD292" s="481"/>
      <c r="DE292" s="481"/>
      <c r="DF292" s="481"/>
      <c r="DG292" s="481"/>
      <c r="DH292" s="481"/>
      <c r="DI292" s="481"/>
      <c r="DJ292" s="481"/>
      <c r="DK292" s="481"/>
      <c r="DL292" s="481"/>
      <c r="DM292" s="481"/>
      <c r="DN292" s="481"/>
      <c r="DO292" s="481"/>
      <c r="DP292" s="481"/>
      <c r="DQ292" s="481"/>
      <c r="DR292" s="481"/>
      <c r="DS292" s="481"/>
      <c r="DT292" s="481"/>
      <c r="DU292" s="481"/>
      <c r="DV292" s="481"/>
      <c r="DW292" s="481"/>
      <c r="DX292" s="481"/>
      <c r="DY292" s="481"/>
      <c r="DZ292" s="481"/>
      <c r="EA292" s="481"/>
      <c r="EB292" s="481"/>
      <c r="EC292" s="481"/>
      <c r="ED292" s="481"/>
      <c r="EE292" s="481"/>
      <c r="EF292" s="481"/>
      <c r="EG292" s="481"/>
      <c r="EH292" s="481"/>
      <c r="EI292" s="481"/>
      <c r="EJ292" s="481"/>
      <c r="EK292" s="481"/>
      <c r="EL292" s="481"/>
      <c r="EM292" s="481"/>
      <c r="EN292" s="481"/>
      <c r="EO292" s="481"/>
      <c r="EP292" s="481"/>
      <c r="EQ292" s="481"/>
      <c r="ER292" s="481"/>
      <c r="ES292" s="481"/>
      <c r="ET292" s="481"/>
      <c r="EU292" s="481"/>
      <c r="EV292" s="481"/>
      <c r="EW292" s="481"/>
      <c r="EX292" s="481"/>
      <c r="EY292" s="481"/>
      <c r="EZ292" s="481"/>
      <c r="FA292" s="481"/>
      <c r="FB292" s="481"/>
      <c r="FC292" s="481"/>
      <c r="FD292" s="481"/>
    </row>
    <row r="293" spans="1:160" ht="18" hidden="1" customHeight="1" x14ac:dyDescent="0.2">
      <c r="A293" s="48"/>
      <c r="B293" s="1588">
        <f>SUMIF($B$257:$B$263,E293,S$257:S$263)+SUMIF($B$257:$B$263,E293,P$257:P$263)+SUMIF($B$257:$B$263,E293,M$257:M$263)+SUMIF($B$257:$B$263,E293,J$257:J$263)+SUMIF($B$257:$B$263,E293,G$257:G$263)+SUMIF($B$257:$B$263,E293,D$257:D$263)</f>
        <v>0</v>
      </c>
      <c r="C293" s="1589"/>
      <c r="D293" s="1590"/>
      <c r="E293" s="1622" t="e">
        <f>LUG!$I$119</f>
        <v>#N/A</v>
      </c>
      <c r="F293" s="1623"/>
      <c r="G293" s="1588">
        <f>SUMIF($B$257:$B$263,E293,V$257:V$263)+SUMIF($B$257:$B$263,E293,S$257:S$263)+SUMIF($B$257:$B$263,E293,P$257:P$263)+SUMIF($B$257:$B$263,E293,M$257:M$263)+SUMIF($B$257:$B$263,E293,J$257:J$263)+SUMIF($B$257:$B$263,E293,G$257:G$263)+SUMIF($B$257:$B$263,E293,D$257:D$263)</f>
        <v>0</v>
      </c>
      <c r="H293" s="1589"/>
      <c r="I293" s="1590"/>
      <c r="J293" s="48"/>
      <c r="K293" s="1588">
        <f>SUMIF($B$257:$B$263,N293,V$257:V$263)+SUMIF($B$257:$B$263,N293,S$257:S$263)+SUMIF($B$257:$B$263,N293,P$257:P$263)+SUMIF($B$257:$B$263,N293,M$257:M$263)+SUMIF($B$257:$B$263,N293,J$257:J$263)+SUMIF($B$257:$B$263,N293,G$257:G$263)+SUMIF($B$257:$B$263,N293,D$257:D$263)</f>
        <v>0</v>
      </c>
      <c r="L293" s="1589"/>
      <c r="M293" s="1590"/>
      <c r="N293" s="1622" t="e">
        <f>AGO!$I$119</f>
        <v>#N/A</v>
      </c>
      <c r="O293" s="1623"/>
      <c r="P293" s="1588">
        <f>SUMIF($B$257:$B$263,N293,Y$257:Y$263)+SUMIF($B$257:$B$263,N293,V$257:V$263)+SUMIF($B$257:$B$263,N293,S$257:S$263)+SUMIF($B$257:$B$263,N293,P$257:P$263)+SUMIF($B$257:$B$263,N293,M$257:M$263)+SUMIF($B$257:$B$263,N293,J$257:J$263)+SUMIF($B$257:$B$263,N293,G$257:G$263)+SUMIF($B$257:$B$263,N293,D$257:D$263)</f>
        <v>0</v>
      </c>
      <c r="Q293" s="1589"/>
      <c r="R293" s="1590"/>
      <c r="S293" s="48"/>
      <c r="T293" s="1588">
        <f>SUMIF($B$257:$B$263,W293,Y$257:Y$263)+SUMIF($B$257:$B$263,W293,V$257:V$263)+SUMIF($B$257:$B$263,W293,S$257:S$263)+SUMIF($B$257:$B$263,W293,P$257:P$263)+SUMIF($B$257:$B$263,W293,M$257:M$263)+SUMIF($B$257:$B$263,W293,J$257:J$263)+SUMIF($B$257:$B$263,W293,G$257:G$263)+SUMIF($B$257:$B$263,W293,D$257:D$263)</f>
        <v>0</v>
      </c>
      <c r="U293" s="1589"/>
      <c r="V293" s="1590"/>
      <c r="W293" s="1622" t="e">
        <f>SET!$I$119</f>
        <v>#N/A</v>
      </c>
      <c r="X293" s="1623"/>
      <c r="Y293" s="1588">
        <f>SUMIF($B$257:$B$263,W293,AB$257:AB$263)+SUMIF($B$257:$B$263,W293,Y$257:Y$263)+SUMIF($B$257:$B$263,W293,V$257:V$263)+SUMIF($B$257:$B$263,W293,S$257:S$263)+SUMIF($B$257:$B$263,W293,P$257:P$263)+SUMIF($B$257:$B$263,W293,M$257:M$263)+SUMIF($B$257:$B$263,W293,J$257:J$263)+SUMIF($B$257:$B$263,W293,G$257:G$263)+SUMIF($B$257:$B$263,W293,D$257:D$263)</f>
        <v>0</v>
      </c>
      <c r="Z293" s="1589"/>
      <c r="AA293" s="1590"/>
      <c r="AB293" s="48"/>
      <c r="AC293" s="1588">
        <f>SUMIF($B$257:$B$263,AF293,AB$257:AB$263)+SUMIF($B$257:$B$263,AF293,Y$257:Y$263)+SUMIF($B$257:$B$263,AF293,V$257:V$263)+SUMIF($B$257:$B$263,AF293,S$257:S$263)+SUMIF($B$257:$B$263,AF293,P$257:P$263)+SUMIF($B$257:$B$263,AF293,M$257:M$263)+SUMIF($B$257:$B$263,AF293,J$257:J$263)+SUMIF($B$257:$B$263,AF293,G$257:G$263)+SUMIF($B$257:$B$263,AF293,D$257:D$263)</f>
        <v>0</v>
      </c>
      <c r="AD293" s="1589"/>
      <c r="AE293" s="1590"/>
      <c r="AF293" s="1622" t="e">
        <f>OTT!$I$119</f>
        <v>#N/A</v>
      </c>
      <c r="AG293" s="1623"/>
      <c r="AH293" s="1588">
        <f>SUMIF($B$257:$B$263,AF293,AE$257:AE$263)+SUMIF($B$257:$B$263,AF293,AB$257:AB$263)+SUMIF($B$257:$B$263,AF293,Y$257:Y$263)+SUMIF($B$257:$B$263,AF293,V$257:V$263)+SUMIF($B$257:$B$263,AF293,S$257:S$263)+SUMIF($B$257:$B$263,AF293,P$257:P$263)+SUMIF($B$257:$B$263,AF293,M$257:M$263)+SUMIF($B$257:$B$263,AF293,J$257:J$263)+SUMIF($B$257:$B$263,AF293,G$257:G$263)+SUMIF($B$257:$B$263,AF293,D$257:D$263)</f>
        <v>0</v>
      </c>
      <c r="AI293" s="1589"/>
      <c r="AJ293" s="1590"/>
      <c r="AK293" s="48"/>
      <c r="AL293" s="1588">
        <f>SUMIF($B$257:$B$263,AO293,AE$257:AE$263)+SUMIF($B$257:$B$263,AO293,AB$257:AB$263)+SUMIF($B$257:$B$263,AO293,Y$257:Y$263)+SUMIF($B$257:$B$263,AO293,V$257:V$263)+SUMIF($B$257:$B$263,AO293,S$257:S$263)+SUMIF($B$257:$B$263,AO293,P$257:P$263)+SUMIF($B$257:$B$263,AO293,M$257:M$263)+SUMIF($B$257:$B$263,AO293,J$257:J$263)+SUMIF($B$257:$B$263,AO293,G$257:G$263)+SUMIF($B$257:$B$263,AO293,D$257:D$263)</f>
        <v>0</v>
      </c>
      <c r="AM293" s="1589"/>
      <c r="AN293" s="1590"/>
      <c r="AO293" s="1622" t="e">
        <f>NOV!$I$119</f>
        <v>#N/A</v>
      </c>
      <c r="AP293" s="1623"/>
      <c r="AQ293" s="1588">
        <f>SUMIF($B$257:$B$263,AO293,AH$257:AH$263)+SUMIF($B$257:$B$263,AO293,AE$257:AE$263)+SUMIF($B$257:$B$263,AO293,AB$257:AB$263)+SUMIF($B$257:$B$263,AO293,Y$257:Y$263)+SUMIF($B$257:$B$263,AO293,V$257:V$263)+SUMIF($B$257:$B$263,AO293,S$257:S$263)+SUMIF($B$257:$B$263,AO293,P$257:P$263)+SUMIF($B$257:$B$263,AO293,M$257:M$263)+SUMIF($B$257:$B$263,AO293,J$257:J$263)+SUMIF($B$257:$B$263,AO293,G$257:G$263)+SUMIF($B$257:$B$263,AO293,D$257:D$263)</f>
        <v>0</v>
      </c>
      <c r="AR293" s="1589"/>
      <c r="AS293" s="1590"/>
      <c r="AT293" s="48"/>
      <c r="AU293" s="1588">
        <f>SUMIF($B$257:$B$263,AX293,AH$257:AH$263)+SUMIF($B$257:$B$263,AX293,AE$257:AE$263)+SUMIF($B$257:$B$263,AX293,AB$257:AB$263)+SUMIF($B$257:$B$263,AX293,Y$257:Y$263)+SUMIF($B$257:$B$263,AX293,V$257:V$263)+SUMIF($B$257:$B$263,AX293,S$257:S$263)+SUMIF($B$257:$B$263,AX293,P$257:P$263)+SUMIF($B$257:$B$263,AX293,M$257:M$263)+SUMIF($B$257:$B$263,AX293,J$257:J$263)+SUMIF($B$257:$B$263,AX293,G$257:G$263)+SUMIF($B$257:$B$263,AX293,D$257:D$263)</f>
        <v>0</v>
      </c>
      <c r="AV293" s="1589"/>
      <c r="AW293" s="1590"/>
      <c r="AX293" s="1622" t="e">
        <f>DIC!$I$119</f>
        <v>#N/A</v>
      </c>
      <c r="AY293" s="1623"/>
      <c r="AZ293" s="1588">
        <f>SUMIF($B$257:$B$263,AX293,AK$257:AK$263)+SUMIF($B$257:$B$263,AX293,AH$257:AH$263)+SUMIF($B$257:$B$263,AX293,AE$257:AE$263)+SUMIF($B$257:$B$263,AX293,AB$257:AB$263)+SUMIF($B$257:$B$263,AX293,Y$257:Y$263)+SUMIF($B$257:$B$263,AX293,V$257:V$263)+SUMIF($B$257:$B$263,AX293,S$257:S$263)+SUMIF($B$257:$B$263,AX293,P$257:P$263)+SUMIF($B$257:$B$263,AX293,M$257:M$263)+SUMIF($B$257:$B$263,AX293,J$257:J$263)+SUMIF($B$257:$B$263,AX293,G$257:G$263)+SUMIF($B$257:$B$263,AX293,D$257:D$263)</f>
        <v>0</v>
      </c>
      <c r="BA293" s="1589"/>
      <c r="BB293" s="1590"/>
      <c r="BC293" s="48"/>
      <c r="BD293" s="482"/>
      <c r="BE293" s="482"/>
      <c r="BF293" s="481"/>
      <c r="BG293" s="481"/>
      <c r="BH293" s="481"/>
      <c r="BI293" s="481"/>
      <c r="BJ293" s="481"/>
      <c r="BK293" s="481"/>
      <c r="BL293" s="481"/>
      <c r="BM293" s="481"/>
      <c r="BN293" s="481"/>
      <c r="BO293" s="481"/>
      <c r="BP293" s="481"/>
      <c r="BQ293" s="481"/>
      <c r="BR293" s="481"/>
      <c r="BS293" s="481"/>
      <c r="BT293" s="481"/>
      <c r="BU293" s="481"/>
      <c r="BV293" s="481"/>
      <c r="BW293" s="481"/>
      <c r="BX293" s="481"/>
      <c r="BY293" s="481"/>
      <c r="BZ293" s="481"/>
      <c r="CA293" s="481"/>
      <c r="CB293" s="481"/>
      <c r="CC293" s="481"/>
      <c r="CD293" s="481"/>
      <c r="CE293" s="481"/>
      <c r="CF293" s="481"/>
      <c r="CG293" s="481"/>
      <c r="CH293" s="481"/>
      <c r="CI293" s="481"/>
      <c r="CJ293" s="481"/>
      <c r="CK293" s="481"/>
      <c r="CL293" s="481"/>
      <c r="CM293" s="481"/>
      <c r="CN293" s="481"/>
      <c r="CO293" s="481"/>
      <c r="CP293" s="481"/>
      <c r="CQ293" s="481"/>
      <c r="CR293" s="481"/>
      <c r="CS293" s="481"/>
      <c r="CT293" s="481"/>
      <c r="CU293" s="481"/>
      <c r="CV293" s="481"/>
      <c r="CW293" s="481"/>
      <c r="CX293" s="481"/>
      <c r="CY293" s="481"/>
      <c r="CZ293" s="481"/>
      <c r="DA293" s="481"/>
      <c r="DB293" s="481"/>
      <c r="DC293" s="481"/>
      <c r="DD293" s="481"/>
      <c r="DE293" s="481"/>
      <c r="DF293" s="481"/>
      <c r="DG293" s="481"/>
      <c r="DH293" s="481"/>
      <c r="DI293" s="481"/>
      <c r="DJ293" s="481"/>
      <c r="DK293" s="481"/>
      <c r="DL293" s="481"/>
      <c r="DM293" s="481"/>
      <c r="DN293" s="481"/>
      <c r="DO293" s="481"/>
      <c r="DP293" s="481"/>
      <c r="DQ293" s="481"/>
      <c r="DR293" s="481"/>
      <c r="DS293" s="481"/>
      <c r="DT293" s="481"/>
      <c r="DU293" s="481"/>
      <c r="DV293" s="481"/>
      <c r="DW293" s="481"/>
      <c r="DX293" s="481"/>
      <c r="DY293" s="481"/>
      <c r="DZ293" s="481"/>
      <c r="EA293" s="481"/>
      <c r="EB293" s="481"/>
      <c r="EC293" s="481"/>
      <c r="ED293" s="481"/>
      <c r="EE293" s="481"/>
      <c r="EF293" s="481"/>
      <c r="EG293" s="481"/>
      <c r="EH293" s="481"/>
      <c r="EI293" s="481"/>
      <c r="EJ293" s="481"/>
      <c r="EK293" s="481"/>
      <c r="EL293" s="481"/>
      <c r="EM293" s="481"/>
      <c r="EN293" s="481"/>
      <c r="EO293" s="481"/>
      <c r="EP293" s="481"/>
      <c r="EQ293" s="481"/>
      <c r="ER293" s="481"/>
      <c r="ES293" s="481"/>
      <c r="ET293" s="481"/>
      <c r="EU293" s="481"/>
      <c r="EV293" s="481"/>
      <c r="EW293" s="481"/>
      <c r="EX293" s="481"/>
      <c r="EY293" s="481"/>
      <c r="EZ293" s="481"/>
      <c r="FA293" s="481"/>
      <c r="FB293" s="481"/>
      <c r="FC293" s="481"/>
      <c r="FD293" s="481"/>
    </row>
    <row r="294" spans="1:160" ht="18" hidden="1" customHeight="1" x14ac:dyDescent="0.2">
      <c r="A294" s="48"/>
      <c r="B294" s="1702">
        <f>SUM(B291:D293)</f>
        <v>0</v>
      </c>
      <c r="C294" s="1703"/>
      <c r="D294" s="1704"/>
      <c r="E294" s="254"/>
      <c r="F294" s="254"/>
      <c r="G294" s="1598">
        <f>SUM(G291:I293)</f>
        <v>0</v>
      </c>
      <c r="H294" s="1599"/>
      <c r="I294" s="1600"/>
      <c r="J294" s="48"/>
      <c r="K294" s="1598">
        <f>SUM(K291:M293)</f>
        <v>0</v>
      </c>
      <c r="L294" s="1599"/>
      <c r="M294" s="1600"/>
      <c r="N294" s="254"/>
      <c r="O294" s="254"/>
      <c r="P294" s="1598">
        <f>SUM(P291:R293)</f>
        <v>0</v>
      </c>
      <c r="Q294" s="1599"/>
      <c r="R294" s="1600"/>
      <c r="S294" s="48"/>
      <c r="T294" s="1598">
        <f>SUM(T291:V293)</f>
        <v>0</v>
      </c>
      <c r="U294" s="1599"/>
      <c r="V294" s="1600"/>
      <c r="W294" s="254"/>
      <c r="X294" s="254"/>
      <c r="Y294" s="1598">
        <f>SUM(Y291:AA293)</f>
        <v>0</v>
      </c>
      <c r="Z294" s="1599"/>
      <c r="AA294" s="1600"/>
      <c r="AB294" s="48"/>
      <c r="AC294" s="1598">
        <f>SUM(AC291:AE293)</f>
        <v>0</v>
      </c>
      <c r="AD294" s="1599"/>
      <c r="AE294" s="1600"/>
      <c r="AF294" s="254"/>
      <c r="AG294" s="254"/>
      <c r="AH294" s="1598">
        <f>SUM(AH291:AJ293)</f>
        <v>0</v>
      </c>
      <c r="AI294" s="1599"/>
      <c r="AJ294" s="1600"/>
      <c r="AK294" s="48"/>
      <c r="AL294" s="1598">
        <f>SUM(AL291:AN293)</f>
        <v>0</v>
      </c>
      <c r="AM294" s="1599"/>
      <c r="AN294" s="1600"/>
      <c r="AO294" s="254"/>
      <c r="AP294" s="254"/>
      <c r="AQ294" s="1598">
        <f>SUM(AQ291:AS293)</f>
        <v>0</v>
      </c>
      <c r="AR294" s="1599"/>
      <c r="AS294" s="1600"/>
      <c r="AT294" s="48"/>
      <c r="AU294" s="1598">
        <f>SUM(AU291:AW293)</f>
        <v>0</v>
      </c>
      <c r="AV294" s="1599"/>
      <c r="AW294" s="1600"/>
      <c r="AX294" s="254"/>
      <c r="AY294" s="254"/>
      <c r="AZ294" s="1598">
        <f>SUM(AZ291:BB293)</f>
        <v>0</v>
      </c>
      <c r="BA294" s="1599"/>
      <c r="BB294" s="1600"/>
      <c r="BC294" s="48"/>
      <c r="BD294" s="481"/>
      <c r="BE294" s="481"/>
      <c r="BF294" s="481"/>
      <c r="BG294" s="481"/>
      <c r="BH294" s="481"/>
      <c r="BI294" s="481"/>
      <c r="BJ294" s="481"/>
      <c r="BK294" s="481"/>
      <c r="BL294" s="481"/>
      <c r="BM294" s="481"/>
      <c r="BN294" s="481"/>
      <c r="BO294" s="481"/>
      <c r="BP294" s="481"/>
      <c r="BQ294" s="481"/>
      <c r="BR294" s="481"/>
      <c r="BS294" s="481"/>
      <c r="BT294" s="481"/>
      <c r="BU294" s="481"/>
      <c r="BV294" s="481"/>
      <c r="BW294" s="481"/>
      <c r="BX294" s="481"/>
      <c r="BY294" s="481"/>
      <c r="BZ294" s="481"/>
      <c r="CA294" s="481"/>
      <c r="CB294" s="481"/>
      <c r="CC294" s="481"/>
      <c r="CD294" s="481"/>
      <c r="CE294" s="481"/>
      <c r="CF294" s="481"/>
      <c r="CG294" s="481"/>
      <c r="CH294" s="481"/>
      <c r="CI294" s="481"/>
      <c r="CJ294" s="481"/>
      <c r="CK294" s="481"/>
      <c r="CL294" s="481"/>
      <c r="CM294" s="481"/>
      <c r="CN294" s="481"/>
      <c r="CO294" s="481"/>
      <c r="CP294" s="481"/>
      <c r="CQ294" s="481"/>
      <c r="CR294" s="481"/>
      <c r="CS294" s="481"/>
      <c r="CT294" s="481"/>
      <c r="CU294" s="481"/>
      <c r="CV294" s="481"/>
      <c r="CW294" s="481"/>
      <c r="CX294" s="481"/>
      <c r="CY294" s="481"/>
      <c r="CZ294" s="481"/>
      <c r="DA294" s="481"/>
      <c r="DB294" s="481"/>
      <c r="DC294" s="481"/>
      <c r="DD294" s="481"/>
      <c r="DE294" s="481"/>
      <c r="DF294" s="481"/>
      <c r="DG294" s="481"/>
      <c r="DH294" s="481"/>
      <c r="DI294" s="481"/>
      <c r="DJ294" s="481"/>
      <c r="DK294" s="481"/>
      <c r="DL294" s="481"/>
      <c r="DM294" s="481"/>
      <c r="DN294" s="481"/>
      <c r="DO294" s="481"/>
      <c r="DP294" s="481"/>
      <c r="DQ294" s="481"/>
      <c r="DR294" s="481"/>
      <c r="DS294" s="481"/>
      <c r="DT294" s="481"/>
      <c r="DU294" s="481"/>
      <c r="DV294" s="481"/>
      <c r="DW294" s="481"/>
      <c r="DX294" s="481"/>
      <c r="DY294" s="481"/>
      <c r="DZ294" s="481"/>
      <c r="EA294" s="481"/>
      <c r="EB294" s="481"/>
      <c r="EC294" s="481"/>
      <c r="ED294" s="481"/>
      <c r="EE294" s="481"/>
      <c r="EF294" s="481"/>
      <c r="EG294" s="481"/>
      <c r="EH294" s="481"/>
      <c r="EI294" s="481"/>
      <c r="EJ294" s="481"/>
      <c r="EK294" s="481"/>
      <c r="EL294" s="481"/>
      <c r="EM294" s="481"/>
      <c r="EN294" s="481"/>
      <c r="EO294" s="481"/>
      <c r="EP294" s="481"/>
      <c r="EQ294" s="481"/>
      <c r="ER294" s="481"/>
      <c r="ES294" s="481"/>
      <c r="ET294" s="481"/>
      <c r="EU294" s="481"/>
      <c r="EV294" s="481"/>
      <c r="EW294" s="481"/>
      <c r="EX294" s="481"/>
      <c r="EY294" s="481"/>
      <c r="EZ294" s="481"/>
      <c r="FA294" s="481"/>
      <c r="FB294" s="481"/>
      <c r="FC294" s="481"/>
      <c r="FD294" s="481"/>
    </row>
    <row r="295" spans="1:160" ht="18" hidden="1" customHeight="1" x14ac:dyDescent="0.2">
      <c r="A295" s="186"/>
      <c r="B295" s="48"/>
      <c r="C295" s="48"/>
      <c r="D295" s="48"/>
      <c r="E295" s="48"/>
      <c r="F295" s="48"/>
      <c r="G295" s="185"/>
      <c r="H295" s="185"/>
      <c r="I295" s="185"/>
      <c r="J295" s="185"/>
      <c r="K295" s="185"/>
      <c r="L295" s="185"/>
      <c r="M295" s="185"/>
      <c r="N295" s="185"/>
      <c r="O295" s="185"/>
      <c r="P295" s="185"/>
      <c r="Q295" s="185"/>
      <c r="R295" s="185"/>
      <c r="S295" s="185"/>
      <c r="T295" s="185"/>
      <c r="U295" s="185"/>
      <c r="V295" s="185"/>
      <c r="W295" s="185"/>
      <c r="X295" s="185"/>
      <c r="Y295" s="185"/>
      <c r="Z295" s="185"/>
      <c r="AA295" s="185"/>
      <c r="AB295" s="185"/>
      <c r="AC295" s="186"/>
      <c r="AD295" s="186"/>
      <c r="AE295" s="186"/>
      <c r="AF295" s="186"/>
      <c r="AG295" s="186"/>
      <c r="AH295" s="186"/>
      <c r="AI295" s="186"/>
      <c r="AJ295" s="186"/>
      <c r="AK295" s="186"/>
      <c r="AL295" s="186"/>
      <c r="AM295" s="186"/>
      <c r="AN295" s="48"/>
      <c r="AO295" s="48"/>
      <c r="AP295" s="48"/>
      <c r="AQ295" s="48"/>
      <c r="AR295" s="48"/>
      <c r="AS295" s="48"/>
      <c r="AT295" s="48"/>
      <c r="AU295" s="48"/>
      <c r="AV295" s="48"/>
      <c r="AW295" s="48"/>
      <c r="AX295" s="48"/>
      <c r="AY295" s="48"/>
      <c r="AZ295" s="48"/>
      <c r="BA295" s="48"/>
      <c r="BB295" s="48"/>
      <c r="BC295" s="48"/>
      <c r="BD295" s="481"/>
      <c r="BE295" s="481"/>
      <c r="BF295" s="481"/>
      <c r="BG295" s="481"/>
      <c r="BH295" s="481"/>
      <c r="BI295" s="481"/>
      <c r="BJ295" s="481"/>
      <c r="BK295" s="481"/>
      <c r="BL295" s="481"/>
      <c r="BM295" s="481"/>
      <c r="BN295" s="481"/>
      <c r="BO295" s="481"/>
      <c r="BP295" s="481"/>
      <c r="BQ295" s="481"/>
      <c r="BR295" s="481"/>
      <c r="BS295" s="481"/>
      <c r="BT295" s="481"/>
      <c r="BU295" s="481"/>
      <c r="BV295" s="481"/>
      <c r="BW295" s="481"/>
      <c r="BX295" s="481"/>
      <c r="BY295" s="481"/>
      <c r="BZ295" s="481"/>
      <c r="CA295" s="481"/>
      <c r="CB295" s="481"/>
      <c r="CC295" s="481"/>
      <c r="CD295" s="481"/>
      <c r="CE295" s="481"/>
      <c r="CF295" s="481"/>
      <c r="CG295" s="481"/>
      <c r="CH295" s="481"/>
      <c r="CI295" s="481"/>
      <c r="CJ295" s="481"/>
      <c r="CK295" s="481"/>
      <c r="CL295" s="481"/>
      <c r="CM295" s="481"/>
      <c r="CN295" s="481"/>
      <c r="CO295" s="481"/>
      <c r="CP295" s="481"/>
      <c r="CQ295" s="481"/>
      <c r="CR295" s="481"/>
      <c r="CS295" s="481"/>
      <c r="CT295" s="481"/>
      <c r="CU295" s="481"/>
      <c r="CV295" s="481"/>
      <c r="CW295" s="481"/>
      <c r="CX295" s="481"/>
      <c r="CY295" s="481"/>
      <c r="CZ295" s="481"/>
      <c r="DA295" s="481"/>
      <c r="DB295" s="481"/>
      <c r="DC295" s="481"/>
      <c r="DD295" s="481"/>
      <c r="DE295" s="481"/>
      <c r="DF295" s="481"/>
      <c r="DG295" s="481"/>
      <c r="DH295" s="481"/>
      <c r="DI295" s="481"/>
      <c r="DJ295" s="481"/>
      <c r="DK295" s="481"/>
      <c r="DL295" s="481"/>
      <c r="DM295" s="481"/>
      <c r="DN295" s="481"/>
      <c r="DO295" s="481"/>
      <c r="DP295" s="481"/>
      <c r="DQ295" s="481"/>
      <c r="DR295" s="481"/>
      <c r="DS295" s="481"/>
      <c r="DT295" s="481"/>
      <c r="DU295" s="481"/>
      <c r="DV295" s="481"/>
      <c r="DW295" s="481"/>
      <c r="DX295" s="481"/>
      <c r="DY295" s="481"/>
      <c r="DZ295" s="481"/>
      <c r="EA295" s="481"/>
      <c r="EB295" s="481"/>
      <c r="EC295" s="481"/>
      <c r="ED295" s="481"/>
      <c r="EE295" s="481"/>
      <c r="EF295" s="481"/>
      <c r="EG295" s="481"/>
      <c r="EH295" s="481"/>
      <c r="EI295" s="481"/>
      <c r="EJ295" s="481"/>
      <c r="EK295" s="481"/>
      <c r="EL295" s="481"/>
      <c r="EM295" s="481"/>
      <c r="EN295" s="481"/>
      <c r="EO295" s="481"/>
      <c r="EP295" s="481"/>
      <c r="EQ295" s="481"/>
      <c r="ER295" s="481"/>
      <c r="ES295" s="481"/>
      <c r="ET295" s="481"/>
      <c r="EU295" s="481"/>
      <c r="EV295" s="481"/>
      <c r="EW295" s="481"/>
      <c r="EX295" s="481"/>
      <c r="EY295" s="481"/>
      <c r="EZ295" s="481"/>
      <c r="FA295" s="481"/>
      <c r="FB295" s="481"/>
      <c r="FC295" s="481"/>
      <c r="FD295" s="481"/>
    </row>
    <row r="296" spans="1:160" ht="18" hidden="1" customHeight="1" x14ac:dyDescent="0.2">
      <c r="A296" s="186"/>
      <c r="B296" s="185"/>
      <c r="C296" s="185"/>
      <c r="D296" s="185"/>
      <c r="E296" s="185"/>
      <c r="F296" s="185"/>
      <c r="G296" s="185"/>
      <c r="H296" s="185"/>
      <c r="I296" s="185"/>
      <c r="J296" s="185"/>
      <c r="K296" s="185"/>
      <c r="L296" s="185"/>
      <c r="M296" s="185"/>
      <c r="N296" s="185"/>
      <c r="O296" s="185"/>
      <c r="P296" s="185"/>
      <c r="Q296" s="185"/>
      <c r="R296" s="185"/>
      <c r="S296" s="185"/>
      <c r="T296" s="185"/>
      <c r="U296" s="185"/>
      <c r="V296" s="185"/>
      <c r="W296" s="185"/>
      <c r="X296" s="185"/>
      <c r="Y296" s="185"/>
      <c r="Z296" s="185"/>
      <c r="AA296" s="185"/>
      <c r="AB296" s="185"/>
      <c r="AC296" s="186"/>
      <c r="AD296" s="186"/>
      <c r="AE296" s="186"/>
      <c r="AF296" s="186"/>
      <c r="AG296" s="186"/>
      <c r="AH296" s="186"/>
      <c r="AI296" s="186"/>
      <c r="AJ296" s="186"/>
      <c r="AK296" s="186"/>
      <c r="AL296" s="186"/>
      <c r="AM296" s="186"/>
      <c r="AN296" s="48"/>
      <c r="AO296" s="48"/>
      <c r="AP296" s="48"/>
      <c r="AQ296" s="48"/>
      <c r="AR296" s="48"/>
      <c r="AS296" s="48"/>
      <c r="AT296" s="48"/>
      <c r="AU296" s="48"/>
      <c r="AV296" s="48"/>
      <c r="AW296" s="48"/>
      <c r="AX296" s="48"/>
      <c r="AY296" s="48"/>
      <c r="AZ296" s="48"/>
      <c r="BA296" s="48"/>
      <c r="BB296" s="48"/>
      <c r="BC296" s="48"/>
      <c r="BD296" s="481"/>
      <c r="BE296" s="481"/>
      <c r="BF296" s="481"/>
      <c r="BG296" s="481"/>
      <c r="BH296" s="481"/>
      <c r="BI296" s="481"/>
      <c r="BJ296" s="481"/>
      <c r="BK296" s="481"/>
      <c r="BL296" s="481"/>
      <c r="BM296" s="481"/>
      <c r="BN296" s="481"/>
      <c r="BO296" s="481"/>
      <c r="BP296" s="481"/>
      <c r="BQ296" s="481"/>
      <c r="BR296" s="481"/>
      <c r="BS296" s="481"/>
      <c r="BT296" s="481"/>
      <c r="BU296" s="481"/>
      <c r="BV296" s="481"/>
      <c r="BW296" s="481"/>
      <c r="BX296" s="481"/>
      <c r="BY296" s="481"/>
      <c r="BZ296" s="481"/>
      <c r="CA296" s="481"/>
      <c r="CB296" s="481"/>
      <c r="CC296" s="481"/>
      <c r="CD296" s="481"/>
      <c r="CE296" s="481"/>
      <c r="CF296" s="481"/>
      <c r="CG296" s="481"/>
      <c r="CH296" s="481"/>
      <c r="CI296" s="481"/>
      <c r="CJ296" s="481"/>
      <c r="CK296" s="481"/>
      <c r="CL296" s="481"/>
      <c r="CM296" s="481"/>
      <c r="CN296" s="481"/>
      <c r="CO296" s="481"/>
      <c r="CP296" s="481"/>
      <c r="CQ296" s="481"/>
      <c r="CR296" s="481"/>
      <c r="CS296" s="481"/>
      <c r="CT296" s="481"/>
      <c r="CU296" s="481"/>
      <c r="CV296" s="481"/>
      <c r="CW296" s="481"/>
      <c r="CX296" s="481"/>
      <c r="CY296" s="481"/>
      <c r="CZ296" s="481"/>
      <c r="DA296" s="481"/>
      <c r="DB296" s="481"/>
      <c r="DC296" s="481"/>
      <c r="DD296" s="481"/>
      <c r="DE296" s="481"/>
      <c r="DF296" s="481"/>
      <c r="DG296" s="481"/>
      <c r="DH296" s="481"/>
      <c r="DI296" s="481"/>
      <c r="DJ296" s="481"/>
      <c r="DK296" s="481"/>
      <c r="DL296" s="481"/>
      <c r="DM296" s="481"/>
      <c r="DN296" s="481"/>
      <c r="DO296" s="481"/>
      <c r="DP296" s="481"/>
      <c r="DQ296" s="481"/>
      <c r="DR296" s="481"/>
      <c r="DS296" s="481"/>
      <c r="DT296" s="481"/>
      <c r="DU296" s="481"/>
      <c r="DV296" s="481"/>
      <c r="DW296" s="481"/>
      <c r="DX296" s="481"/>
      <c r="DY296" s="481"/>
      <c r="DZ296" s="481"/>
      <c r="EA296" s="481"/>
      <c r="EB296" s="481"/>
      <c r="EC296" s="481"/>
      <c r="ED296" s="481"/>
      <c r="EE296" s="481"/>
      <c r="EF296" s="481"/>
      <c r="EG296" s="481"/>
      <c r="EH296" s="481"/>
      <c r="EI296" s="481"/>
      <c r="EJ296" s="481"/>
      <c r="EK296" s="481"/>
      <c r="EL296" s="481"/>
      <c r="EM296" s="481"/>
      <c r="EN296" s="481"/>
      <c r="EO296" s="481"/>
      <c r="EP296" s="481"/>
      <c r="EQ296" s="481"/>
      <c r="ER296" s="481"/>
      <c r="ES296" s="481"/>
      <c r="ET296" s="481"/>
      <c r="EU296" s="481"/>
      <c r="EV296" s="481"/>
      <c r="EW296" s="481"/>
      <c r="EX296" s="481"/>
      <c r="EY296" s="481"/>
      <c r="EZ296" s="481"/>
      <c r="FA296" s="481"/>
      <c r="FB296" s="481"/>
      <c r="FC296" s="481"/>
      <c r="FD296" s="481"/>
    </row>
    <row r="297" spans="1:160" ht="18" hidden="1" customHeight="1" x14ac:dyDescent="0.2">
      <c r="A297" s="186"/>
      <c r="B297" s="1706" t="str">
        <f t="shared" ref="B297:B304" si="37">B256</f>
        <v>LORDO</v>
      </c>
      <c r="C297" s="1688"/>
      <c r="D297" s="1601" t="str">
        <f t="shared" ref="D297:D304" si="38">D256</f>
        <v>Gennaio</v>
      </c>
      <c r="E297" s="1602"/>
      <c r="F297" s="1602"/>
      <c r="G297" s="1601" t="str">
        <f>G256</f>
        <v>Febbraio</v>
      </c>
      <c r="H297" s="1602"/>
      <c r="I297" s="1602"/>
      <c r="J297" s="1601" t="str">
        <f>J256</f>
        <v>Marzo</v>
      </c>
      <c r="K297" s="1602"/>
      <c r="L297" s="1602"/>
      <c r="M297" s="1601" t="str">
        <f>M256</f>
        <v>Aprile</v>
      </c>
      <c r="N297" s="1602"/>
      <c r="O297" s="1602"/>
      <c r="P297" s="1601" t="str">
        <f>P256</f>
        <v>Maggio</v>
      </c>
      <c r="Q297" s="1602"/>
      <c r="R297" s="1602"/>
      <c r="S297" s="1601" t="str">
        <f>S256</f>
        <v>Giugno</v>
      </c>
      <c r="T297" s="1602"/>
      <c r="U297" s="1602"/>
      <c r="V297" s="1601" t="str">
        <f>V256</f>
        <v>Luglio</v>
      </c>
      <c r="W297" s="1602"/>
      <c r="X297" s="1603"/>
      <c r="Y297" s="1601" t="str">
        <f>Y256</f>
        <v>Agosto</v>
      </c>
      <c r="Z297" s="1602"/>
      <c r="AA297" s="1602"/>
      <c r="AB297" s="1601" t="str">
        <f>AB256</f>
        <v>Settembre</v>
      </c>
      <c r="AC297" s="1602"/>
      <c r="AD297" s="1602"/>
      <c r="AE297" s="1601" t="str">
        <f>AE256</f>
        <v>Ottobre</v>
      </c>
      <c r="AF297" s="1602"/>
      <c r="AG297" s="1602"/>
      <c r="AH297" s="1601" t="str">
        <f>AH256</f>
        <v>Novembre</v>
      </c>
      <c r="AI297" s="1602"/>
      <c r="AJ297" s="1602"/>
      <c r="AK297" s="1601" t="str">
        <f>AK256</f>
        <v>Dicembre</v>
      </c>
      <c r="AL297" s="1602"/>
      <c r="AM297" s="1602"/>
      <c r="AN297" s="48"/>
      <c r="AO297" s="48"/>
      <c r="AP297" s="48"/>
      <c r="AQ297" s="481"/>
      <c r="AR297" s="481"/>
      <c r="AS297" s="481"/>
      <c r="AT297" s="481"/>
      <c r="AU297" s="481"/>
      <c r="AV297" s="481"/>
      <c r="AW297" s="481"/>
      <c r="AX297" s="481"/>
      <c r="AY297" s="481"/>
      <c r="AZ297" s="481"/>
      <c r="BA297" s="481"/>
      <c r="BB297" s="481"/>
      <c r="BC297" s="481"/>
      <c r="BD297" s="481"/>
      <c r="BE297" s="481"/>
      <c r="BF297" s="481"/>
      <c r="BG297" s="481"/>
      <c r="BH297" s="481"/>
      <c r="BI297" s="481"/>
      <c r="BJ297" s="481"/>
      <c r="BK297" s="481"/>
      <c r="BL297" s="481"/>
      <c r="BM297" s="481"/>
      <c r="BN297" s="481"/>
      <c r="BO297" s="481"/>
      <c r="BP297" s="481"/>
      <c r="BQ297" s="481"/>
      <c r="BR297" s="481"/>
      <c r="BS297" s="481"/>
      <c r="BT297" s="481"/>
      <c r="BU297" s="481"/>
      <c r="BV297" s="481"/>
      <c r="BW297" s="481"/>
      <c r="BX297" s="481"/>
      <c r="BY297" s="481"/>
      <c r="BZ297" s="481"/>
      <c r="CA297" s="481"/>
      <c r="CB297" s="481"/>
      <c r="CC297" s="481"/>
      <c r="CD297" s="481"/>
      <c r="CE297" s="481"/>
      <c r="CF297" s="481"/>
      <c r="CG297" s="481"/>
      <c r="CH297" s="481"/>
      <c r="CI297" s="481"/>
      <c r="CJ297" s="481"/>
      <c r="CK297" s="481"/>
      <c r="CL297" s="481"/>
      <c r="CM297" s="481"/>
      <c r="CN297" s="481"/>
      <c r="CO297" s="481"/>
      <c r="CP297" s="481"/>
      <c r="CQ297" s="481"/>
      <c r="CR297" s="481"/>
      <c r="CS297" s="481"/>
      <c r="CT297" s="481"/>
      <c r="CU297" s="481"/>
      <c r="CV297" s="481"/>
      <c r="CW297" s="481"/>
      <c r="CX297" s="481"/>
      <c r="CY297" s="481"/>
      <c r="CZ297" s="481"/>
      <c r="DA297" s="481"/>
      <c r="DB297" s="481"/>
      <c r="DC297" s="481"/>
      <c r="DD297" s="481"/>
      <c r="DE297" s="481"/>
      <c r="DF297" s="481"/>
      <c r="DG297" s="481"/>
      <c r="DH297" s="481"/>
      <c r="DI297" s="481"/>
      <c r="DJ297" s="481"/>
      <c r="DK297" s="481"/>
      <c r="DL297" s="481"/>
      <c r="DM297" s="481"/>
      <c r="DN297" s="481"/>
      <c r="DO297" s="481"/>
      <c r="DP297" s="481"/>
      <c r="DQ297" s="481"/>
      <c r="DR297" s="481"/>
      <c r="DS297" s="481"/>
      <c r="DT297" s="481"/>
      <c r="DU297" s="481"/>
      <c r="DV297" s="481"/>
      <c r="DW297" s="481"/>
      <c r="DX297" s="481"/>
      <c r="DY297" s="481"/>
      <c r="DZ297" s="481"/>
      <c r="EA297" s="481"/>
      <c r="EB297" s="481"/>
      <c r="EC297" s="481"/>
      <c r="ED297" s="481"/>
      <c r="EE297" s="481"/>
      <c r="EF297" s="481"/>
      <c r="EG297" s="481"/>
      <c r="EH297" s="481"/>
      <c r="EI297" s="481"/>
      <c r="EJ297" s="481"/>
      <c r="EK297" s="481"/>
      <c r="EL297" s="481"/>
      <c r="EM297" s="481"/>
      <c r="EN297" s="481"/>
      <c r="EO297" s="481"/>
      <c r="EP297" s="481"/>
      <c r="EQ297" s="481"/>
      <c r="ER297" s="481"/>
      <c r="ES297" s="481"/>
      <c r="ET297" s="481"/>
      <c r="EU297" s="481"/>
      <c r="EV297" s="481"/>
      <c r="EW297" s="481"/>
      <c r="EX297" s="481"/>
      <c r="EY297" s="481"/>
      <c r="EZ297" s="481"/>
      <c r="FA297" s="481"/>
      <c r="FB297" s="481"/>
      <c r="FC297" s="481"/>
      <c r="FD297" s="481"/>
    </row>
    <row r="298" spans="1:160" ht="18" hidden="1" customHeight="1" x14ac:dyDescent="0.2">
      <c r="A298" s="186"/>
      <c r="B298" s="1622" t="str">
        <f t="shared" si="37"/>
        <v>--</v>
      </c>
      <c r="C298" s="1701"/>
      <c r="D298" s="1588">
        <f t="shared" si="38"/>
        <v>0</v>
      </c>
      <c r="E298" s="1589"/>
      <c r="F298" s="1590"/>
      <c r="G298" s="1588">
        <f t="shared" ref="G298:G304" si="39">G257+D298</f>
        <v>0</v>
      </c>
      <c r="H298" s="1589"/>
      <c r="I298" s="1590"/>
      <c r="J298" s="1588">
        <f t="shared" ref="J298:J304" si="40">J257+G298</f>
        <v>0</v>
      </c>
      <c r="K298" s="1589"/>
      <c r="L298" s="1590"/>
      <c r="M298" s="1588">
        <f t="shared" ref="M298:M304" si="41">M257+J298</f>
        <v>0</v>
      </c>
      <c r="N298" s="1589"/>
      <c r="O298" s="1590"/>
      <c r="P298" s="1588">
        <f t="shared" ref="P298:P304" si="42">P257+M298</f>
        <v>0</v>
      </c>
      <c r="Q298" s="1589"/>
      <c r="R298" s="1590"/>
      <c r="S298" s="1588">
        <f t="shared" ref="S298:S304" si="43">S257+P298</f>
        <v>0</v>
      </c>
      <c r="T298" s="1589"/>
      <c r="U298" s="1590"/>
      <c r="V298" s="1588">
        <f t="shared" ref="V298:V304" si="44">V257+S298</f>
        <v>0</v>
      </c>
      <c r="W298" s="1589"/>
      <c r="X298" s="1590"/>
      <c r="Y298" s="1588">
        <f t="shared" ref="Y298:Y304" si="45">Y257+V298</f>
        <v>0</v>
      </c>
      <c r="Z298" s="1589"/>
      <c r="AA298" s="1590"/>
      <c r="AB298" s="1588">
        <f t="shared" ref="AB298:AB304" si="46">AB257+Y298</f>
        <v>0</v>
      </c>
      <c r="AC298" s="1589"/>
      <c r="AD298" s="1590"/>
      <c r="AE298" s="1588">
        <f t="shared" ref="AE298:AE304" si="47">AE257+AB298</f>
        <v>0</v>
      </c>
      <c r="AF298" s="1589"/>
      <c r="AG298" s="1590"/>
      <c r="AH298" s="1588">
        <f t="shared" ref="AH298:AH304" si="48">AH257+AE298</f>
        <v>0</v>
      </c>
      <c r="AI298" s="1589"/>
      <c r="AJ298" s="1590"/>
      <c r="AK298" s="1588">
        <f t="shared" ref="AK298:AK304" si="49">AK257+AH298</f>
        <v>0</v>
      </c>
      <c r="AL298" s="1589"/>
      <c r="AM298" s="1590"/>
      <c r="AN298" s="48"/>
      <c r="AO298" s="48"/>
      <c r="AP298" s="48"/>
      <c r="AQ298" s="481"/>
      <c r="AR298" s="481"/>
      <c r="AS298" s="481"/>
      <c r="AT298" s="481"/>
      <c r="AU298" s="481"/>
      <c r="AV298" s="481"/>
      <c r="AW298" s="481"/>
      <c r="AX298" s="481"/>
      <c r="AY298" s="481"/>
      <c r="AZ298" s="481"/>
      <c r="BA298" s="481"/>
      <c r="BB298" s="481"/>
      <c r="BC298" s="481"/>
      <c r="BD298" s="481"/>
      <c r="BE298" s="481"/>
      <c r="BF298" s="481"/>
      <c r="BG298" s="481"/>
      <c r="BH298" s="481"/>
      <c r="BI298" s="481"/>
      <c r="BJ298" s="481"/>
      <c r="BK298" s="481"/>
      <c r="BL298" s="481"/>
      <c r="BM298" s="481"/>
      <c r="BN298" s="481"/>
      <c r="BO298" s="481"/>
      <c r="BP298" s="481"/>
      <c r="BQ298" s="481"/>
      <c r="BR298" s="481"/>
      <c r="BS298" s="481"/>
      <c r="BT298" s="481"/>
      <c r="BU298" s="481"/>
      <c r="BV298" s="481"/>
      <c r="BW298" s="481"/>
      <c r="BX298" s="481"/>
      <c r="BY298" s="481"/>
      <c r="BZ298" s="481"/>
      <c r="CA298" s="481"/>
      <c r="CB298" s="481"/>
      <c r="CC298" s="481"/>
      <c r="CD298" s="481"/>
      <c r="CE298" s="481"/>
      <c r="CF298" s="481"/>
      <c r="CG298" s="481"/>
      <c r="CH298" s="481"/>
      <c r="CI298" s="481"/>
      <c r="CJ298" s="481"/>
      <c r="CK298" s="481"/>
      <c r="CL298" s="481"/>
      <c r="CM298" s="481"/>
      <c r="CN298" s="481"/>
      <c r="CO298" s="481"/>
      <c r="CP298" s="481"/>
      <c r="CQ298" s="481"/>
      <c r="CR298" s="481"/>
      <c r="CS298" s="481"/>
      <c r="CT298" s="481"/>
      <c r="CU298" s="481"/>
      <c r="CV298" s="481"/>
      <c r="CW298" s="481"/>
      <c r="CX298" s="481"/>
      <c r="CY298" s="481"/>
      <c r="CZ298" s="481"/>
      <c r="DA298" s="481"/>
      <c r="DB298" s="481"/>
      <c r="DC298" s="481"/>
      <c r="DD298" s="481"/>
      <c r="DE298" s="481"/>
      <c r="DF298" s="481"/>
      <c r="DG298" s="481"/>
      <c r="DH298" s="481"/>
      <c r="DI298" s="481"/>
      <c r="DJ298" s="481"/>
      <c r="DK298" s="481"/>
      <c r="DL298" s="481"/>
      <c r="DM298" s="481"/>
      <c r="DN298" s="481"/>
      <c r="DO298" s="481"/>
      <c r="DP298" s="481"/>
      <c r="DQ298" s="481"/>
      <c r="DR298" s="481"/>
      <c r="DS298" s="481"/>
      <c r="DT298" s="481"/>
      <c r="DU298" s="481"/>
      <c r="DV298" s="481"/>
      <c r="DW298" s="481"/>
      <c r="DX298" s="481"/>
      <c r="DY298" s="481"/>
      <c r="DZ298" s="481"/>
      <c r="EA298" s="481"/>
      <c r="EB298" s="481"/>
      <c r="EC298" s="481"/>
      <c r="ED298" s="481"/>
      <c r="EE298" s="481"/>
      <c r="EF298" s="481"/>
      <c r="EG298" s="481"/>
      <c r="EH298" s="481"/>
      <c r="EI298" s="481"/>
      <c r="EJ298" s="481"/>
      <c r="EK298" s="481"/>
      <c r="EL298" s="481"/>
      <c r="EM298" s="481"/>
      <c r="EN298" s="481"/>
      <c r="EO298" s="481"/>
      <c r="EP298" s="481"/>
      <c r="EQ298" s="481"/>
      <c r="ER298" s="481"/>
      <c r="ES298" s="481"/>
      <c r="ET298" s="481"/>
      <c r="EU298" s="481"/>
      <c r="EV298" s="481"/>
      <c r="EW298" s="481"/>
      <c r="EX298" s="481"/>
      <c r="EY298" s="481"/>
      <c r="EZ298" s="481"/>
      <c r="FA298" s="481"/>
      <c r="FB298" s="481"/>
      <c r="FC298" s="481"/>
      <c r="FD298" s="481"/>
    </row>
    <row r="299" spans="1:160" ht="18" hidden="1" customHeight="1" x14ac:dyDescent="0.2">
      <c r="A299" s="186"/>
      <c r="B299" s="1622" t="str">
        <f t="shared" si="37"/>
        <v>--</v>
      </c>
      <c r="C299" s="1701"/>
      <c r="D299" s="1588">
        <f t="shared" si="38"/>
        <v>0</v>
      </c>
      <c r="E299" s="1589"/>
      <c r="F299" s="1590"/>
      <c r="G299" s="1588">
        <f t="shared" si="39"/>
        <v>0</v>
      </c>
      <c r="H299" s="1589"/>
      <c r="I299" s="1590"/>
      <c r="J299" s="1588">
        <f t="shared" si="40"/>
        <v>0</v>
      </c>
      <c r="K299" s="1589"/>
      <c r="L299" s="1590"/>
      <c r="M299" s="1588">
        <f t="shared" si="41"/>
        <v>0</v>
      </c>
      <c r="N299" s="1589"/>
      <c r="O299" s="1590"/>
      <c r="P299" s="1588">
        <f t="shared" si="42"/>
        <v>0</v>
      </c>
      <c r="Q299" s="1589"/>
      <c r="R299" s="1590"/>
      <c r="S299" s="1588">
        <f t="shared" si="43"/>
        <v>0</v>
      </c>
      <c r="T299" s="1589"/>
      <c r="U299" s="1590"/>
      <c r="V299" s="1588">
        <f t="shared" si="44"/>
        <v>0</v>
      </c>
      <c r="W299" s="1589"/>
      <c r="X299" s="1590"/>
      <c r="Y299" s="1588">
        <f t="shared" si="45"/>
        <v>0</v>
      </c>
      <c r="Z299" s="1589"/>
      <c r="AA299" s="1590"/>
      <c r="AB299" s="1588">
        <f t="shared" si="46"/>
        <v>0</v>
      </c>
      <c r="AC299" s="1589"/>
      <c r="AD299" s="1590"/>
      <c r="AE299" s="1588">
        <f t="shared" si="47"/>
        <v>0</v>
      </c>
      <c r="AF299" s="1589"/>
      <c r="AG299" s="1590"/>
      <c r="AH299" s="1588">
        <f t="shared" si="48"/>
        <v>0</v>
      </c>
      <c r="AI299" s="1589"/>
      <c r="AJ299" s="1590"/>
      <c r="AK299" s="1588">
        <f t="shared" si="49"/>
        <v>0</v>
      </c>
      <c r="AL299" s="1589"/>
      <c r="AM299" s="1590"/>
      <c r="AN299" s="48"/>
      <c r="AO299" s="48"/>
      <c r="AP299" s="48"/>
      <c r="AQ299" s="481"/>
      <c r="AR299" s="481"/>
      <c r="AS299" s="481"/>
      <c r="AT299" s="481"/>
      <c r="AU299" s="481"/>
      <c r="AV299" s="481"/>
      <c r="AW299" s="481"/>
      <c r="AX299" s="481"/>
      <c r="AY299" s="481"/>
      <c r="AZ299" s="481"/>
      <c r="BA299" s="481"/>
      <c r="BB299" s="481"/>
      <c r="BC299" s="481"/>
      <c r="BD299" s="481"/>
      <c r="BE299" s="481"/>
      <c r="BF299" s="481"/>
      <c r="BG299" s="481"/>
      <c r="BH299" s="481"/>
      <c r="BI299" s="481"/>
      <c r="BJ299" s="481"/>
      <c r="BK299" s="481"/>
      <c r="BL299" s="481"/>
      <c r="BM299" s="481"/>
      <c r="BN299" s="481"/>
      <c r="BO299" s="481"/>
      <c r="BP299" s="481"/>
      <c r="BQ299" s="481"/>
      <c r="BR299" s="481"/>
      <c r="BS299" s="481"/>
      <c r="BT299" s="481"/>
      <c r="BU299" s="481"/>
      <c r="BV299" s="481"/>
      <c r="BW299" s="481"/>
      <c r="BX299" s="481"/>
      <c r="BY299" s="481"/>
      <c r="BZ299" s="481"/>
      <c r="CA299" s="481"/>
      <c r="CB299" s="481"/>
      <c r="CC299" s="481"/>
      <c r="CD299" s="481"/>
      <c r="CE299" s="481"/>
      <c r="CF299" s="481"/>
      <c r="CG299" s="481"/>
      <c r="CH299" s="481"/>
      <c r="CI299" s="481"/>
      <c r="CJ299" s="481"/>
      <c r="CK299" s="481"/>
      <c r="CL299" s="481"/>
      <c r="CM299" s="481"/>
      <c r="CN299" s="481"/>
      <c r="CO299" s="481"/>
      <c r="CP299" s="481"/>
      <c r="CQ299" s="481"/>
      <c r="CR299" s="481"/>
      <c r="CS299" s="481"/>
      <c r="CT299" s="481"/>
      <c r="CU299" s="481"/>
      <c r="CV299" s="481"/>
      <c r="CW299" s="481"/>
      <c r="CX299" s="481"/>
      <c r="CY299" s="481"/>
      <c r="CZ299" s="481"/>
      <c r="DA299" s="481"/>
      <c r="DB299" s="481"/>
      <c r="DC299" s="481"/>
      <c r="DD299" s="481"/>
      <c r="DE299" s="481"/>
      <c r="DF299" s="481"/>
      <c r="DG299" s="481"/>
      <c r="DH299" s="481"/>
      <c r="DI299" s="481"/>
      <c r="DJ299" s="481"/>
      <c r="DK299" s="481"/>
      <c r="DL299" s="481"/>
      <c r="DM299" s="481"/>
      <c r="DN299" s="481"/>
      <c r="DO299" s="481"/>
      <c r="DP299" s="481"/>
      <c r="DQ299" s="481"/>
      <c r="DR299" s="481"/>
      <c r="DS299" s="481"/>
      <c r="DT299" s="481"/>
      <c r="DU299" s="481"/>
      <c r="DV299" s="481"/>
      <c r="DW299" s="481"/>
      <c r="DX299" s="481"/>
      <c r="DY299" s="481"/>
      <c r="DZ299" s="481"/>
      <c r="EA299" s="481"/>
      <c r="EB299" s="481"/>
      <c r="EC299" s="481"/>
      <c r="ED299" s="481"/>
      <c r="EE299" s="481"/>
      <c r="EF299" s="481"/>
      <c r="EG299" s="481"/>
      <c r="EH299" s="481"/>
      <c r="EI299" s="481"/>
      <c r="EJ299" s="481"/>
      <c r="EK299" s="481"/>
      <c r="EL299" s="481"/>
      <c r="EM299" s="481"/>
      <c r="EN299" s="481"/>
      <c r="EO299" s="481"/>
      <c r="EP299" s="481"/>
      <c r="EQ299" s="481"/>
      <c r="ER299" s="481"/>
      <c r="ES299" s="481"/>
      <c r="ET299" s="481"/>
      <c r="EU299" s="481"/>
      <c r="EV299" s="481"/>
      <c r="EW299" s="481"/>
      <c r="EX299" s="481"/>
      <c r="EY299" s="481"/>
      <c r="EZ299" s="481"/>
      <c r="FA299" s="481"/>
      <c r="FB299" s="481"/>
      <c r="FC299" s="481"/>
      <c r="FD299" s="481"/>
    </row>
    <row r="300" spans="1:160" ht="18" hidden="1" customHeight="1" x14ac:dyDescent="0.2">
      <c r="A300" s="186"/>
      <c r="B300" s="1622" t="str">
        <f t="shared" si="37"/>
        <v>--</v>
      </c>
      <c r="C300" s="1701"/>
      <c r="D300" s="1588">
        <f t="shared" si="38"/>
        <v>0</v>
      </c>
      <c r="E300" s="1589"/>
      <c r="F300" s="1590"/>
      <c r="G300" s="1588">
        <f t="shared" si="39"/>
        <v>0</v>
      </c>
      <c r="H300" s="1589"/>
      <c r="I300" s="1590"/>
      <c r="J300" s="1588">
        <f t="shared" si="40"/>
        <v>0</v>
      </c>
      <c r="K300" s="1589"/>
      <c r="L300" s="1590"/>
      <c r="M300" s="1588">
        <f t="shared" si="41"/>
        <v>0</v>
      </c>
      <c r="N300" s="1589"/>
      <c r="O300" s="1590"/>
      <c r="P300" s="1588">
        <f t="shared" si="42"/>
        <v>0</v>
      </c>
      <c r="Q300" s="1589"/>
      <c r="R300" s="1590"/>
      <c r="S300" s="1588">
        <f t="shared" si="43"/>
        <v>0</v>
      </c>
      <c r="T300" s="1589"/>
      <c r="U300" s="1590"/>
      <c r="V300" s="1588">
        <f t="shared" si="44"/>
        <v>0</v>
      </c>
      <c r="W300" s="1589"/>
      <c r="X300" s="1590"/>
      <c r="Y300" s="1588">
        <f t="shared" si="45"/>
        <v>0</v>
      </c>
      <c r="Z300" s="1589"/>
      <c r="AA300" s="1590"/>
      <c r="AB300" s="1588">
        <f t="shared" si="46"/>
        <v>0</v>
      </c>
      <c r="AC300" s="1589"/>
      <c r="AD300" s="1590"/>
      <c r="AE300" s="1588">
        <f t="shared" si="47"/>
        <v>0</v>
      </c>
      <c r="AF300" s="1589"/>
      <c r="AG300" s="1590"/>
      <c r="AH300" s="1588">
        <f t="shared" si="48"/>
        <v>0</v>
      </c>
      <c r="AI300" s="1589"/>
      <c r="AJ300" s="1590"/>
      <c r="AK300" s="1588">
        <f t="shared" si="49"/>
        <v>0</v>
      </c>
      <c r="AL300" s="1589"/>
      <c r="AM300" s="1590"/>
      <c r="AN300" s="48"/>
      <c r="AO300" s="48"/>
      <c r="AP300" s="48"/>
      <c r="AQ300" s="481"/>
      <c r="AR300" s="481"/>
      <c r="AS300" s="481"/>
      <c r="AT300" s="481"/>
      <c r="AU300" s="481"/>
      <c r="AV300" s="481"/>
      <c r="AW300" s="481"/>
      <c r="AX300" s="481"/>
      <c r="AY300" s="481"/>
      <c r="AZ300" s="481"/>
      <c r="BA300" s="481"/>
      <c r="BB300" s="481"/>
      <c r="BC300" s="481"/>
      <c r="BD300" s="481"/>
      <c r="BE300" s="481"/>
      <c r="BF300" s="481"/>
      <c r="BG300" s="481"/>
      <c r="BH300" s="481"/>
      <c r="BI300" s="481"/>
      <c r="BJ300" s="481"/>
      <c r="BK300" s="481"/>
      <c r="BL300" s="481"/>
      <c r="BM300" s="481"/>
      <c r="BN300" s="481"/>
      <c r="BO300" s="481"/>
      <c r="BP300" s="481"/>
      <c r="BQ300" s="481"/>
      <c r="BR300" s="481"/>
      <c r="BS300" s="481"/>
      <c r="BT300" s="481"/>
      <c r="BU300" s="481"/>
      <c r="BV300" s="481"/>
      <c r="BW300" s="481"/>
      <c r="BX300" s="481"/>
      <c r="BY300" s="481"/>
      <c r="BZ300" s="481"/>
      <c r="CA300" s="481"/>
      <c r="CB300" s="481"/>
      <c r="CC300" s="481"/>
      <c r="CD300" s="481"/>
      <c r="CE300" s="481"/>
      <c r="CF300" s="481"/>
      <c r="CG300" s="481"/>
      <c r="CH300" s="481"/>
      <c r="CI300" s="481"/>
      <c r="CJ300" s="481"/>
      <c r="CK300" s="481"/>
      <c r="CL300" s="481"/>
      <c r="CM300" s="481"/>
      <c r="CN300" s="481"/>
      <c r="CO300" s="481"/>
      <c r="CP300" s="481"/>
      <c r="CQ300" s="481"/>
      <c r="CR300" s="481"/>
      <c r="CS300" s="481"/>
      <c r="CT300" s="481"/>
      <c r="CU300" s="481"/>
      <c r="CV300" s="481"/>
      <c r="CW300" s="481"/>
      <c r="CX300" s="481"/>
      <c r="CY300" s="481"/>
      <c r="CZ300" s="481"/>
      <c r="DA300" s="481"/>
      <c r="DB300" s="481"/>
      <c r="DC300" s="481"/>
      <c r="DD300" s="481"/>
      <c r="DE300" s="481"/>
      <c r="DF300" s="481"/>
      <c r="DG300" s="481"/>
      <c r="DH300" s="481"/>
      <c r="DI300" s="481"/>
      <c r="DJ300" s="481"/>
      <c r="DK300" s="481"/>
      <c r="DL300" s="481"/>
      <c r="DM300" s="481"/>
      <c r="DN300" s="481"/>
      <c r="DO300" s="481"/>
      <c r="DP300" s="481"/>
      <c r="DQ300" s="481"/>
      <c r="DR300" s="481"/>
      <c r="DS300" s="481"/>
      <c r="DT300" s="481"/>
      <c r="DU300" s="481"/>
      <c r="DV300" s="481"/>
      <c r="DW300" s="481"/>
      <c r="DX300" s="481"/>
      <c r="DY300" s="481"/>
      <c r="DZ300" s="481"/>
      <c r="EA300" s="481"/>
      <c r="EB300" s="481"/>
      <c r="EC300" s="481"/>
      <c r="ED300" s="481"/>
      <c r="EE300" s="481"/>
      <c r="EF300" s="481"/>
      <c r="EG300" s="481"/>
      <c r="EH300" s="481"/>
      <c r="EI300" s="481"/>
      <c r="EJ300" s="481"/>
      <c r="EK300" s="481"/>
      <c r="EL300" s="481"/>
      <c r="EM300" s="481"/>
      <c r="EN300" s="481"/>
      <c r="EO300" s="481"/>
      <c r="EP300" s="481"/>
      <c r="EQ300" s="481"/>
      <c r="ER300" s="481"/>
      <c r="ES300" s="481"/>
      <c r="ET300" s="481"/>
      <c r="EU300" s="481"/>
      <c r="EV300" s="481"/>
      <c r="EW300" s="481"/>
      <c r="EX300" s="481"/>
      <c r="EY300" s="481"/>
      <c r="EZ300" s="481"/>
      <c r="FA300" s="481"/>
      <c r="FB300" s="481"/>
      <c r="FC300" s="481"/>
      <c r="FD300" s="481"/>
    </row>
    <row r="301" spans="1:160" ht="18" hidden="1" customHeight="1" x14ac:dyDescent="0.2">
      <c r="A301" s="186"/>
      <c r="B301" s="1622" t="str">
        <f t="shared" si="37"/>
        <v>--</v>
      </c>
      <c r="C301" s="1701"/>
      <c r="D301" s="1588">
        <f t="shared" si="38"/>
        <v>0</v>
      </c>
      <c r="E301" s="1589"/>
      <c r="F301" s="1590"/>
      <c r="G301" s="1588">
        <f t="shared" si="39"/>
        <v>0</v>
      </c>
      <c r="H301" s="1589"/>
      <c r="I301" s="1590"/>
      <c r="J301" s="1588">
        <f t="shared" si="40"/>
        <v>0</v>
      </c>
      <c r="K301" s="1589"/>
      <c r="L301" s="1590"/>
      <c r="M301" s="1588">
        <f t="shared" si="41"/>
        <v>0</v>
      </c>
      <c r="N301" s="1589"/>
      <c r="O301" s="1590"/>
      <c r="P301" s="1588">
        <f t="shared" si="42"/>
        <v>0</v>
      </c>
      <c r="Q301" s="1589"/>
      <c r="R301" s="1590"/>
      <c r="S301" s="1588">
        <f t="shared" si="43"/>
        <v>0</v>
      </c>
      <c r="T301" s="1589"/>
      <c r="U301" s="1590"/>
      <c r="V301" s="1588">
        <f t="shared" si="44"/>
        <v>0</v>
      </c>
      <c r="W301" s="1589"/>
      <c r="X301" s="1590"/>
      <c r="Y301" s="1588">
        <f t="shared" si="45"/>
        <v>0</v>
      </c>
      <c r="Z301" s="1589"/>
      <c r="AA301" s="1590"/>
      <c r="AB301" s="1588">
        <f t="shared" si="46"/>
        <v>0</v>
      </c>
      <c r="AC301" s="1589"/>
      <c r="AD301" s="1590"/>
      <c r="AE301" s="1588">
        <f t="shared" si="47"/>
        <v>0</v>
      </c>
      <c r="AF301" s="1589"/>
      <c r="AG301" s="1590"/>
      <c r="AH301" s="1588">
        <f t="shared" si="48"/>
        <v>0</v>
      </c>
      <c r="AI301" s="1589"/>
      <c r="AJ301" s="1590"/>
      <c r="AK301" s="1588">
        <f t="shared" si="49"/>
        <v>0</v>
      </c>
      <c r="AL301" s="1589"/>
      <c r="AM301" s="1590"/>
      <c r="AN301" s="48"/>
      <c r="AO301" s="48"/>
      <c r="AP301" s="48"/>
      <c r="AQ301" s="481"/>
      <c r="AR301" s="481"/>
      <c r="AS301" s="481"/>
      <c r="AT301" s="481"/>
      <c r="AU301" s="481"/>
      <c r="AV301" s="481"/>
      <c r="AW301" s="481"/>
      <c r="AX301" s="481"/>
      <c r="AY301" s="481"/>
      <c r="AZ301" s="481"/>
      <c r="BA301" s="481"/>
      <c r="BB301" s="481"/>
      <c r="BC301" s="481"/>
      <c r="BD301" s="481"/>
      <c r="BE301" s="481"/>
      <c r="BF301" s="481"/>
      <c r="BG301" s="481"/>
      <c r="BH301" s="481"/>
      <c r="BI301" s="481"/>
      <c r="BJ301" s="481"/>
      <c r="BK301" s="481"/>
      <c r="BL301" s="481"/>
      <c r="BM301" s="481"/>
      <c r="BN301" s="481"/>
      <c r="BO301" s="481"/>
      <c r="BP301" s="481"/>
      <c r="BQ301" s="481"/>
      <c r="BR301" s="481"/>
      <c r="BS301" s="481"/>
      <c r="BT301" s="481"/>
      <c r="BU301" s="481"/>
      <c r="BV301" s="481"/>
      <c r="BW301" s="481"/>
      <c r="BX301" s="481"/>
      <c r="BY301" s="481"/>
      <c r="BZ301" s="481"/>
      <c r="CA301" s="481"/>
      <c r="CB301" s="481"/>
      <c r="CC301" s="481"/>
      <c r="CD301" s="481"/>
      <c r="CE301" s="481"/>
      <c r="CF301" s="481"/>
      <c r="CG301" s="481"/>
      <c r="CH301" s="481"/>
      <c r="CI301" s="481"/>
      <c r="CJ301" s="481"/>
      <c r="CK301" s="481"/>
      <c r="CL301" s="481"/>
      <c r="CM301" s="481"/>
      <c r="CN301" s="481"/>
      <c r="CO301" s="481"/>
      <c r="CP301" s="481"/>
      <c r="CQ301" s="481"/>
      <c r="CR301" s="481"/>
      <c r="CS301" s="481"/>
      <c r="CT301" s="481"/>
      <c r="CU301" s="481"/>
      <c r="CV301" s="481"/>
      <c r="CW301" s="481"/>
      <c r="CX301" s="481"/>
      <c r="CY301" s="481"/>
      <c r="CZ301" s="481"/>
      <c r="DA301" s="481"/>
      <c r="DB301" s="481"/>
      <c r="DC301" s="481"/>
      <c r="DD301" s="481"/>
      <c r="DE301" s="481"/>
      <c r="DF301" s="481"/>
      <c r="DG301" s="481"/>
      <c r="DH301" s="481"/>
      <c r="DI301" s="481"/>
      <c r="DJ301" s="481"/>
      <c r="DK301" s="481"/>
      <c r="DL301" s="481"/>
      <c r="DM301" s="481"/>
      <c r="DN301" s="481"/>
      <c r="DO301" s="481"/>
      <c r="DP301" s="481"/>
      <c r="DQ301" s="481"/>
      <c r="DR301" s="481"/>
      <c r="DS301" s="481"/>
      <c r="DT301" s="481"/>
      <c r="DU301" s="481"/>
      <c r="DV301" s="481"/>
      <c r="DW301" s="481"/>
      <c r="DX301" s="481"/>
      <c r="DY301" s="481"/>
      <c r="DZ301" s="481"/>
      <c r="EA301" s="481"/>
      <c r="EB301" s="481"/>
      <c r="EC301" s="481"/>
      <c r="ED301" s="481"/>
      <c r="EE301" s="481"/>
      <c r="EF301" s="481"/>
      <c r="EG301" s="481"/>
      <c r="EH301" s="481"/>
      <c r="EI301" s="481"/>
      <c r="EJ301" s="481"/>
      <c r="EK301" s="481"/>
      <c r="EL301" s="481"/>
      <c r="EM301" s="481"/>
      <c r="EN301" s="481"/>
      <c r="EO301" s="481"/>
      <c r="EP301" s="481"/>
      <c r="EQ301" s="481"/>
      <c r="ER301" s="481"/>
      <c r="ES301" s="481"/>
      <c r="ET301" s="481"/>
      <c r="EU301" s="481"/>
      <c r="EV301" s="481"/>
      <c r="EW301" s="481"/>
      <c r="EX301" s="481"/>
      <c r="EY301" s="481"/>
      <c r="EZ301" s="481"/>
      <c r="FA301" s="481"/>
      <c r="FB301" s="481"/>
      <c r="FC301" s="481"/>
      <c r="FD301" s="481"/>
    </row>
    <row r="302" spans="1:160" ht="18" hidden="1" customHeight="1" x14ac:dyDescent="0.2">
      <c r="A302" s="186"/>
      <c r="B302" s="1622" t="str">
        <f t="shared" si="37"/>
        <v/>
      </c>
      <c r="C302" s="1701"/>
      <c r="D302" s="1588">
        <f t="shared" si="38"/>
        <v>0</v>
      </c>
      <c r="E302" s="1589"/>
      <c r="F302" s="1590"/>
      <c r="G302" s="1588">
        <f t="shared" si="39"/>
        <v>0</v>
      </c>
      <c r="H302" s="1589"/>
      <c r="I302" s="1590"/>
      <c r="J302" s="1588">
        <f t="shared" si="40"/>
        <v>0</v>
      </c>
      <c r="K302" s="1589"/>
      <c r="L302" s="1590"/>
      <c r="M302" s="1588">
        <f t="shared" si="41"/>
        <v>0</v>
      </c>
      <c r="N302" s="1589"/>
      <c r="O302" s="1590"/>
      <c r="P302" s="1588">
        <f t="shared" si="42"/>
        <v>0</v>
      </c>
      <c r="Q302" s="1589"/>
      <c r="R302" s="1590"/>
      <c r="S302" s="1588">
        <f t="shared" si="43"/>
        <v>0</v>
      </c>
      <c r="T302" s="1589"/>
      <c r="U302" s="1590"/>
      <c r="V302" s="1588">
        <f t="shared" si="44"/>
        <v>0</v>
      </c>
      <c r="W302" s="1589"/>
      <c r="X302" s="1590"/>
      <c r="Y302" s="1588">
        <f t="shared" si="45"/>
        <v>0</v>
      </c>
      <c r="Z302" s="1589"/>
      <c r="AA302" s="1590"/>
      <c r="AB302" s="1588">
        <f t="shared" si="46"/>
        <v>0</v>
      </c>
      <c r="AC302" s="1589"/>
      <c r="AD302" s="1590"/>
      <c r="AE302" s="1588">
        <f t="shared" si="47"/>
        <v>0</v>
      </c>
      <c r="AF302" s="1589"/>
      <c r="AG302" s="1590"/>
      <c r="AH302" s="1588">
        <f t="shared" si="48"/>
        <v>0</v>
      </c>
      <c r="AI302" s="1589"/>
      <c r="AJ302" s="1590"/>
      <c r="AK302" s="1588">
        <f t="shared" si="49"/>
        <v>0</v>
      </c>
      <c r="AL302" s="1589"/>
      <c r="AM302" s="1590"/>
      <c r="AN302" s="48"/>
      <c r="AO302" s="48"/>
      <c r="AP302" s="48"/>
      <c r="AQ302" s="481"/>
      <c r="AR302" s="481"/>
      <c r="AS302" s="481"/>
      <c r="AT302" s="481"/>
      <c r="AU302" s="481"/>
      <c r="AV302" s="481"/>
      <c r="AW302" s="481"/>
      <c r="AX302" s="481"/>
      <c r="AY302" s="481"/>
      <c r="AZ302" s="481"/>
      <c r="BA302" s="481"/>
      <c r="BB302" s="481"/>
      <c r="BC302" s="481"/>
      <c r="BD302" s="481"/>
      <c r="BE302" s="481"/>
      <c r="BF302" s="481"/>
      <c r="BG302" s="481"/>
      <c r="BH302" s="481"/>
      <c r="BI302" s="481"/>
      <c r="BJ302" s="481"/>
      <c r="BK302" s="481"/>
      <c r="BL302" s="481"/>
      <c r="BM302" s="481"/>
      <c r="BN302" s="481"/>
      <c r="BO302" s="481"/>
      <c r="BP302" s="481"/>
      <c r="BQ302" s="481"/>
      <c r="BR302" s="481"/>
      <c r="BS302" s="481"/>
      <c r="BT302" s="481"/>
      <c r="BU302" s="481"/>
      <c r="BV302" s="481"/>
      <c r="BW302" s="481"/>
      <c r="BX302" s="481"/>
      <c r="BY302" s="481"/>
      <c r="BZ302" s="481"/>
      <c r="CA302" s="481"/>
      <c r="CB302" s="481"/>
      <c r="CC302" s="481"/>
      <c r="CD302" s="481"/>
      <c r="CE302" s="481"/>
      <c r="CF302" s="481"/>
      <c r="CG302" s="481"/>
      <c r="CH302" s="481"/>
      <c r="CI302" s="481"/>
      <c r="CJ302" s="481"/>
      <c r="CK302" s="481"/>
      <c r="CL302" s="481"/>
      <c r="CM302" s="481"/>
      <c r="CN302" s="481"/>
      <c r="CO302" s="481"/>
      <c r="CP302" s="481"/>
      <c r="CQ302" s="481"/>
      <c r="CR302" s="481"/>
      <c r="CS302" s="481"/>
      <c r="CT302" s="481"/>
      <c r="CU302" s="481"/>
      <c r="CV302" s="481"/>
      <c r="CW302" s="481"/>
      <c r="CX302" s="481"/>
      <c r="CY302" s="481"/>
      <c r="CZ302" s="481"/>
      <c r="DA302" s="481"/>
      <c r="DB302" s="481"/>
      <c r="DC302" s="481"/>
      <c r="DD302" s="481"/>
      <c r="DE302" s="481"/>
      <c r="DF302" s="481"/>
      <c r="DG302" s="481"/>
      <c r="DH302" s="481"/>
      <c r="DI302" s="481"/>
      <c r="DJ302" s="481"/>
      <c r="DK302" s="481"/>
      <c r="DL302" s="481"/>
      <c r="DM302" s="481"/>
      <c r="DN302" s="481"/>
      <c r="DO302" s="481"/>
      <c r="DP302" s="481"/>
      <c r="DQ302" s="481"/>
      <c r="DR302" s="481"/>
      <c r="DS302" s="481"/>
      <c r="DT302" s="481"/>
      <c r="DU302" s="481"/>
      <c r="DV302" s="481"/>
      <c r="DW302" s="481"/>
      <c r="DX302" s="481"/>
      <c r="DY302" s="481"/>
      <c r="DZ302" s="481"/>
      <c r="EA302" s="481"/>
      <c r="EB302" s="481"/>
      <c r="EC302" s="481"/>
      <c r="ED302" s="481"/>
      <c r="EE302" s="481"/>
      <c r="EF302" s="481"/>
      <c r="EG302" s="481"/>
      <c r="EH302" s="481"/>
      <c r="EI302" s="481"/>
      <c r="EJ302" s="481"/>
      <c r="EK302" s="481"/>
      <c r="EL302" s="481"/>
      <c r="EM302" s="481"/>
      <c r="EN302" s="481"/>
      <c r="EO302" s="481"/>
      <c r="EP302" s="481"/>
      <c r="EQ302" s="481"/>
      <c r="ER302" s="481"/>
      <c r="ES302" s="481"/>
      <c r="ET302" s="481"/>
      <c r="EU302" s="481"/>
      <c r="EV302" s="481"/>
      <c r="EW302" s="481"/>
      <c r="EX302" s="481"/>
      <c r="EY302" s="481"/>
      <c r="EZ302" s="481"/>
      <c r="FA302" s="481"/>
      <c r="FB302" s="481"/>
      <c r="FC302" s="481"/>
      <c r="FD302" s="481"/>
    </row>
    <row r="303" spans="1:160" ht="18" hidden="1" customHeight="1" x14ac:dyDescent="0.2">
      <c r="A303" s="186"/>
      <c r="B303" s="1622" t="str">
        <f t="shared" si="37"/>
        <v/>
      </c>
      <c r="C303" s="1701"/>
      <c r="D303" s="1588">
        <f t="shared" si="38"/>
        <v>0</v>
      </c>
      <c r="E303" s="1589"/>
      <c r="F303" s="1590"/>
      <c r="G303" s="1588">
        <f t="shared" si="39"/>
        <v>0</v>
      </c>
      <c r="H303" s="1589"/>
      <c r="I303" s="1590"/>
      <c r="J303" s="1588">
        <f t="shared" si="40"/>
        <v>0</v>
      </c>
      <c r="K303" s="1589"/>
      <c r="L303" s="1590"/>
      <c r="M303" s="1588">
        <f t="shared" si="41"/>
        <v>0</v>
      </c>
      <c r="N303" s="1589"/>
      <c r="O303" s="1590"/>
      <c r="P303" s="1588">
        <f t="shared" si="42"/>
        <v>0</v>
      </c>
      <c r="Q303" s="1589"/>
      <c r="R303" s="1590"/>
      <c r="S303" s="1588">
        <f t="shared" si="43"/>
        <v>0</v>
      </c>
      <c r="T303" s="1589"/>
      <c r="U303" s="1590"/>
      <c r="V303" s="1588">
        <f t="shared" si="44"/>
        <v>0</v>
      </c>
      <c r="W303" s="1589"/>
      <c r="X303" s="1590"/>
      <c r="Y303" s="1588">
        <f t="shared" si="45"/>
        <v>0</v>
      </c>
      <c r="Z303" s="1589"/>
      <c r="AA303" s="1590"/>
      <c r="AB303" s="1588">
        <f t="shared" si="46"/>
        <v>0</v>
      </c>
      <c r="AC303" s="1589"/>
      <c r="AD303" s="1590"/>
      <c r="AE303" s="1588">
        <f t="shared" si="47"/>
        <v>0</v>
      </c>
      <c r="AF303" s="1589"/>
      <c r="AG303" s="1590"/>
      <c r="AH303" s="1588">
        <f t="shared" si="48"/>
        <v>0</v>
      </c>
      <c r="AI303" s="1589"/>
      <c r="AJ303" s="1590"/>
      <c r="AK303" s="1588">
        <f t="shared" si="49"/>
        <v>0</v>
      </c>
      <c r="AL303" s="1589"/>
      <c r="AM303" s="1590"/>
      <c r="AN303" s="48"/>
      <c r="AO303" s="48"/>
      <c r="AP303" s="48"/>
      <c r="AQ303" s="481"/>
      <c r="AR303" s="481"/>
      <c r="AS303" s="481"/>
      <c r="AT303" s="481"/>
      <c r="AU303" s="481"/>
      <c r="AV303" s="481"/>
      <c r="AW303" s="481"/>
      <c r="AX303" s="481"/>
      <c r="AY303" s="481"/>
      <c r="AZ303" s="481"/>
      <c r="BA303" s="481"/>
      <c r="BB303" s="481"/>
      <c r="BC303" s="481"/>
      <c r="BD303" s="481"/>
      <c r="BE303" s="481"/>
      <c r="BF303" s="481"/>
      <c r="BG303" s="481"/>
      <c r="BH303" s="481"/>
      <c r="BI303" s="481"/>
      <c r="BJ303" s="481"/>
      <c r="BK303" s="481"/>
      <c r="BL303" s="481"/>
      <c r="BM303" s="481"/>
      <c r="BN303" s="481"/>
      <c r="BO303" s="481"/>
      <c r="BP303" s="481"/>
      <c r="BQ303" s="481"/>
      <c r="BR303" s="481"/>
      <c r="BS303" s="481"/>
      <c r="BT303" s="481"/>
      <c r="BU303" s="481"/>
      <c r="BV303" s="481"/>
      <c r="BW303" s="481"/>
      <c r="BX303" s="481"/>
      <c r="BY303" s="481"/>
      <c r="BZ303" s="481"/>
      <c r="CA303" s="481"/>
      <c r="CB303" s="481"/>
      <c r="CC303" s="481"/>
      <c r="CD303" s="481"/>
      <c r="CE303" s="481"/>
      <c r="CF303" s="481"/>
      <c r="CG303" s="481"/>
      <c r="CH303" s="481"/>
      <c r="CI303" s="481"/>
      <c r="CJ303" s="481"/>
      <c r="CK303" s="481"/>
      <c r="CL303" s="481"/>
      <c r="CM303" s="481"/>
      <c r="CN303" s="481"/>
      <c r="CO303" s="481"/>
      <c r="CP303" s="481"/>
      <c r="CQ303" s="481"/>
      <c r="CR303" s="481"/>
      <c r="CS303" s="481"/>
      <c r="CT303" s="481"/>
      <c r="CU303" s="481"/>
      <c r="CV303" s="481"/>
      <c r="CW303" s="481"/>
      <c r="CX303" s="481"/>
      <c r="CY303" s="481"/>
      <c r="CZ303" s="481"/>
      <c r="DA303" s="481"/>
      <c r="DB303" s="481"/>
      <c r="DC303" s="481"/>
      <c r="DD303" s="481"/>
      <c r="DE303" s="481"/>
      <c r="DF303" s="481"/>
      <c r="DG303" s="481"/>
      <c r="DH303" s="481"/>
      <c r="DI303" s="481"/>
      <c r="DJ303" s="481"/>
      <c r="DK303" s="481"/>
      <c r="DL303" s="481"/>
      <c r="DM303" s="481"/>
      <c r="DN303" s="481"/>
      <c r="DO303" s="481"/>
      <c r="DP303" s="481"/>
      <c r="DQ303" s="481"/>
      <c r="DR303" s="481"/>
      <c r="DS303" s="481"/>
      <c r="DT303" s="481"/>
      <c r="DU303" s="481"/>
      <c r="DV303" s="481"/>
      <c r="DW303" s="481"/>
      <c r="DX303" s="481"/>
      <c r="DY303" s="481"/>
      <c r="DZ303" s="481"/>
      <c r="EA303" s="481"/>
      <c r="EB303" s="481"/>
      <c r="EC303" s="481"/>
      <c r="ED303" s="481"/>
      <c r="EE303" s="481"/>
      <c r="EF303" s="481"/>
      <c r="EG303" s="481"/>
      <c r="EH303" s="481"/>
      <c r="EI303" s="481"/>
      <c r="EJ303" s="481"/>
      <c r="EK303" s="481"/>
      <c r="EL303" s="481"/>
      <c r="EM303" s="481"/>
      <c r="EN303" s="481"/>
      <c r="EO303" s="481"/>
      <c r="EP303" s="481"/>
      <c r="EQ303" s="481"/>
      <c r="ER303" s="481"/>
      <c r="ES303" s="481"/>
      <c r="ET303" s="481"/>
      <c r="EU303" s="481"/>
      <c r="EV303" s="481"/>
      <c r="EW303" s="481"/>
      <c r="EX303" s="481"/>
      <c r="EY303" s="481"/>
      <c r="EZ303" s="481"/>
      <c r="FA303" s="481"/>
      <c r="FB303" s="481"/>
      <c r="FC303" s="481"/>
      <c r="FD303" s="481"/>
    </row>
    <row r="304" spans="1:160" ht="18" hidden="1" customHeight="1" x14ac:dyDescent="0.2">
      <c r="A304" s="186"/>
      <c r="B304" s="1622" t="str">
        <f t="shared" si="37"/>
        <v/>
      </c>
      <c r="C304" s="1701"/>
      <c r="D304" s="1588">
        <f t="shared" si="38"/>
        <v>0</v>
      </c>
      <c r="E304" s="1589"/>
      <c r="F304" s="1590"/>
      <c r="G304" s="1588">
        <f t="shared" si="39"/>
        <v>0</v>
      </c>
      <c r="H304" s="1589"/>
      <c r="I304" s="1590"/>
      <c r="J304" s="1588">
        <f t="shared" si="40"/>
        <v>0</v>
      </c>
      <c r="K304" s="1589"/>
      <c r="L304" s="1590"/>
      <c r="M304" s="1588">
        <f t="shared" si="41"/>
        <v>0</v>
      </c>
      <c r="N304" s="1589"/>
      <c r="O304" s="1590"/>
      <c r="P304" s="1588">
        <f t="shared" si="42"/>
        <v>0</v>
      </c>
      <c r="Q304" s="1589"/>
      <c r="R304" s="1590"/>
      <c r="S304" s="1588">
        <f t="shared" si="43"/>
        <v>0</v>
      </c>
      <c r="T304" s="1589"/>
      <c r="U304" s="1590"/>
      <c r="V304" s="1588">
        <f t="shared" si="44"/>
        <v>0</v>
      </c>
      <c r="W304" s="1589"/>
      <c r="X304" s="1590"/>
      <c r="Y304" s="1588">
        <f t="shared" si="45"/>
        <v>0</v>
      </c>
      <c r="Z304" s="1589"/>
      <c r="AA304" s="1590"/>
      <c r="AB304" s="1588">
        <f t="shared" si="46"/>
        <v>0</v>
      </c>
      <c r="AC304" s="1589"/>
      <c r="AD304" s="1590"/>
      <c r="AE304" s="1588">
        <f t="shared" si="47"/>
        <v>0</v>
      </c>
      <c r="AF304" s="1589"/>
      <c r="AG304" s="1590"/>
      <c r="AH304" s="1588">
        <f t="shared" si="48"/>
        <v>0</v>
      </c>
      <c r="AI304" s="1589"/>
      <c r="AJ304" s="1590"/>
      <c r="AK304" s="1588">
        <f t="shared" si="49"/>
        <v>0</v>
      </c>
      <c r="AL304" s="1589"/>
      <c r="AM304" s="1590"/>
      <c r="AN304" s="48"/>
      <c r="AO304" s="48"/>
      <c r="AP304" s="48"/>
      <c r="AQ304" s="481"/>
      <c r="AR304" s="481"/>
      <c r="AS304" s="481"/>
      <c r="AT304" s="481"/>
      <c r="AU304" s="481"/>
      <c r="AV304" s="481"/>
      <c r="AW304" s="481"/>
      <c r="AX304" s="481"/>
      <c r="AY304" s="481"/>
      <c r="AZ304" s="481"/>
      <c r="BA304" s="481"/>
      <c r="BB304" s="481"/>
      <c r="BC304" s="481"/>
      <c r="BD304" s="481"/>
      <c r="BE304" s="481"/>
      <c r="BF304" s="481"/>
      <c r="BG304" s="481"/>
      <c r="BH304" s="481"/>
      <c r="BI304" s="481"/>
      <c r="BJ304" s="481"/>
      <c r="BK304" s="481"/>
      <c r="BL304" s="481"/>
      <c r="BM304" s="481"/>
      <c r="BN304" s="481"/>
      <c r="BO304" s="481"/>
      <c r="BP304" s="481"/>
      <c r="BQ304" s="481"/>
      <c r="BR304" s="481"/>
      <c r="BS304" s="481"/>
      <c r="BT304" s="481"/>
      <c r="BU304" s="481"/>
      <c r="BV304" s="481"/>
      <c r="BW304" s="481"/>
      <c r="BX304" s="481"/>
      <c r="BY304" s="481"/>
      <c r="BZ304" s="481"/>
      <c r="CA304" s="481"/>
      <c r="CB304" s="481"/>
      <c r="CC304" s="481"/>
      <c r="CD304" s="481"/>
      <c r="CE304" s="481"/>
      <c r="CF304" s="481"/>
      <c r="CG304" s="481"/>
      <c r="CH304" s="481"/>
      <c r="CI304" s="481"/>
      <c r="CJ304" s="481"/>
      <c r="CK304" s="481"/>
      <c r="CL304" s="481"/>
      <c r="CM304" s="481"/>
      <c r="CN304" s="481"/>
      <c r="CO304" s="481"/>
      <c r="CP304" s="481"/>
      <c r="CQ304" s="481"/>
      <c r="CR304" s="481"/>
      <c r="CS304" s="481"/>
      <c r="CT304" s="481"/>
      <c r="CU304" s="481"/>
      <c r="CV304" s="481"/>
      <c r="CW304" s="481"/>
      <c r="CX304" s="481"/>
      <c r="CY304" s="481"/>
      <c r="CZ304" s="481"/>
      <c r="DA304" s="481"/>
      <c r="DB304" s="481"/>
      <c r="DC304" s="481"/>
      <c r="DD304" s="481"/>
      <c r="DE304" s="481"/>
      <c r="DF304" s="481"/>
      <c r="DG304" s="481"/>
      <c r="DH304" s="481"/>
      <c r="DI304" s="481"/>
      <c r="DJ304" s="481"/>
      <c r="DK304" s="481"/>
      <c r="DL304" s="481"/>
      <c r="DM304" s="481"/>
      <c r="DN304" s="481"/>
      <c r="DO304" s="481"/>
      <c r="DP304" s="481"/>
      <c r="DQ304" s="481"/>
      <c r="DR304" s="481"/>
      <c r="DS304" s="481"/>
      <c r="DT304" s="481"/>
      <c r="DU304" s="481"/>
      <c r="DV304" s="481"/>
      <c r="DW304" s="481"/>
      <c r="DX304" s="481"/>
      <c r="DY304" s="481"/>
      <c r="DZ304" s="481"/>
      <c r="EA304" s="481"/>
      <c r="EB304" s="481"/>
      <c r="EC304" s="481"/>
      <c r="ED304" s="481"/>
      <c r="EE304" s="481"/>
      <c r="EF304" s="481"/>
      <c r="EG304" s="481"/>
      <c r="EH304" s="481"/>
      <c r="EI304" s="481"/>
      <c r="EJ304" s="481"/>
      <c r="EK304" s="481"/>
      <c r="EL304" s="481"/>
      <c r="EM304" s="481"/>
      <c r="EN304" s="481"/>
      <c r="EO304" s="481"/>
      <c r="EP304" s="481"/>
      <c r="EQ304" s="481"/>
      <c r="ER304" s="481"/>
      <c r="ES304" s="481"/>
      <c r="ET304" s="481"/>
      <c r="EU304" s="481"/>
      <c r="EV304" s="481"/>
      <c r="EW304" s="481"/>
      <c r="EX304" s="481"/>
      <c r="EY304" s="481"/>
      <c r="EZ304" s="481"/>
      <c r="FA304" s="481"/>
      <c r="FB304" s="481"/>
      <c r="FC304" s="481"/>
      <c r="FD304" s="481"/>
    </row>
    <row r="305" spans="1:160" ht="18" hidden="1" customHeight="1" x14ac:dyDescent="0.2">
      <c r="A305" s="186"/>
      <c r="B305" s="48"/>
      <c r="C305" s="48"/>
      <c r="D305" s="1598">
        <f>SUM(D298:F304)</f>
        <v>0</v>
      </c>
      <c r="E305" s="1599"/>
      <c r="F305" s="1600"/>
      <c r="G305" s="1598">
        <f>SUM(G298:I304)</f>
        <v>0</v>
      </c>
      <c r="H305" s="1599"/>
      <c r="I305" s="1600"/>
      <c r="J305" s="1598">
        <f>SUM(J298:L304)</f>
        <v>0</v>
      </c>
      <c r="K305" s="1599"/>
      <c r="L305" s="1600"/>
      <c r="M305" s="1598">
        <f>SUM(M298:O304)</f>
        <v>0</v>
      </c>
      <c r="N305" s="1599"/>
      <c r="O305" s="1600"/>
      <c r="P305" s="1598">
        <f>SUM(P298:R304)</f>
        <v>0</v>
      </c>
      <c r="Q305" s="1599"/>
      <c r="R305" s="1600"/>
      <c r="S305" s="1598">
        <f>SUM(S298:U304)</f>
        <v>0</v>
      </c>
      <c r="T305" s="1599"/>
      <c r="U305" s="1600"/>
      <c r="V305" s="1598">
        <f>SUM(V298:X304)</f>
        <v>0</v>
      </c>
      <c r="W305" s="1599"/>
      <c r="X305" s="1600"/>
      <c r="Y305" s="1598">
        <f>SUM(Y298:AA304)</f>
        <v>0</v>
      </c>
      <c r="Z305" s="1599"/>
      <c r="AA305" s="1600"/>
      <c r="AB305" s="1598">
        <f>SUM(AB298:AD304)</f>
        <v>0</v>
      </c>
      <c r="AC305" s="1599"/>
      <c r="AD305" s="1600"/>
      <c r="AE305" s="1598">
        <f>SUM(AE298:AG304)</f>
        <v>0</v>
      </c>
      <c r="AF305" s="1599"/>
      <c r="AG305" s="1600"/>
      <c r="AH305" s="1598">
        <f>SUM(AH298:AJ304)</f>
        <v>0</v>
      </c>
      <c r="AI305" s="1599"/>
      <c r="AJ305" s="1600"/>
      <c r="AK305" s="1598">
        <f>SUM(AK298:AM304)</f>
        <v>0</v>
      </c>
      <c r="AL305" s="1599"/>
      <c r="AM305" s="1600"/>
      <c r="AN305" s="48"/>
      <c r="AO305" s="48"/>
      <c r="AP305" s="48"/>
      <c r="AQ305" s="481"/>
      <c r="AR305" s="481"/>
      <c r="AS305" s="481"/>
      <c r="AT305" s="481"/>
      <c r="AU305" s="481"/>
      <c r="AV305" s="481"/>
      <c r="AW305" s="481"/>
      <c r="AX305" s="481"/>
      <c r="AY305" s="481"/>
      <c r="AZ305" s="481"/>
      <c r="BA305" s="481"/>
      <c r="BB305" s="481"/>
      <c r="BC305" s="481"/>
      <c r="BD305" s="481"/>
      <c r="BE305" s="481"/>
      <c r="BF305" s="481"/>
      <c r="BG305" s="481"/>
      <c r="BH305" s="481"/>
      <c r="BI305" s="481"/>
      <c r="BJ305" s="481"/>
      <c r="BK305" s="481"/>
      <c r="BL305" s="481"/>
      <c r="BM305" s="481"/>
      <c r="BN305" s="481"/>
      <c r="BO305" s="481"/>
      <c r="BP305" s="481"/>
      <c r="BQ305" s="481"/>
      <c r="BR305" s="481"/>
      <c r="BS305" s="481"/>
      <c r="BT305" s="481"/>
      <c r="BU305" s="481"/>
      <c r="BV305" s="481"/>
      <c r="BW305" s="481"/>
      <c r="BX305" s="481"/>
      <c r="BY305" s="481"/>
      <c r="BZ305" s="481"/>
      <c r="CA305" s="481"/>
      <c r="CB305" s="481"/>
      <c r="CC305" s="481"/>
      <c r="CD305" s="481"/>
      <c r="CE305" s="481"/>
      <c r="CF305" s="481"/>
      <c r="CG305" s="481"/>
      <c r="CH305" s="481"/>
      <c r="CI305" s="481"/>
      <c r="CJ305" s="481"/>
      <c r="CK305" s="481"/>
      <c r="CL305" s="481"/>
      <c r="CM305" s="481"/>
      <c r="CN305" s="481"/>
      <c r="CO305" s="481"/>
      <c r="CP305" s="481"/>
      <c r="CQ305" s="481"/>
      <c r="CR305" s="481"/>
      <c r="CS305" s="481"/>
      <c r="CT305" s="481"/>
      <c r="CU305" s="481"/>
      <c r="CV305" s="481"/>
      <c r="CW305" s="481"/>
      <c r="CX305" s="481"/>
      <c r="CY305" s="481"/>
      <c r="CZ305" s="481"/>
      <c r="DA305" s="481"/>
      <c r="DB305" s="481"/>
      <c r="DC305" s="481"/>
      <c r="DD305" s="481"/>
      <c r="DE305" s="481"/>
      <c r="DF305" s="481"/>
      <c r="DG305" s="481"/>
      <c r="DH305" s="481"/>
      <c r="DI305" s="481"/>
      <c r="DJ305" s="481"/>
      <c r="DK305" s="481"/>
      <c r="DL305" s="481"/>
      <c r="DM305" s="481"/>
      <c r="DN305" s="481"/>
      <c r="DO305" s="481"/>
      <c r="DP305" s="481"/>
      <c r="DQ305" s="481"/>
      <c r="DR305" s="481"/>
      <c r="DS305" s="481"/>
      <c r="DT305" s="481"/>
      <c r="DU305" s="481"/>
      <c r="DV305" s="481"/>
      <c r="DW305" s="481"/>
      <c r="DX305" s="481"/>
      <c r="DY305" s="481"/>
      <c r="DZ305" s="481"/>
      <c r="EA305" s="481"/>
      <c r="EB305" s="481"/>
      <c r="EC305" s="481"/>
      <c r="ED305" s="481"/>
      <c r="EE305" s="481"/>
      <c r="EF305" s="481"/>
      <c r="EG305" s="481"/>
      <c r="EH305" s="481"/>
      <c r="EI305" s="481"/>
      <c r="EJ305" s="481"/>
      <c r="EK305" s="481"/>
      <c r="EL305" s="481"/>
      <c r="EM305" s="481"/>
      <c r="EN305" s="481"/>
      <c r="EO305" s="481"/>
      <c r="EP305" s="481"/>
      <c r="EQ305" s="481"/>
      <c r="ER305" s="481"/>
      <c r="ES305" s="481"/>
      <c r="ET305" s="481"/>
      <c r="EU305" s="481"/>
      <c r="EV305" s="481"/>
      <c r="EW305" s="481"/>
      <c r="EX305" s="481"/>
      <c r="EY305" s="481"/>
      <c r="EZ305" s="481"/>
      <c r="FA305" s="481"/>
      <c r="FB305" s="481"/>
      <c r="FC305" s="481"/>
      <c r="FD305" s="481"/>
    </row>
    <row r="306" spans="1:160" ht="18" hidden="1" customHeight="1" x14ac:dyDescent="0.2">
      <c r="A306" s="186"/>
      <c r="B306" s="48"/>
      <c r="C306" s="48"/>
      <c r="D306" s="185"/>
      <c r="E306" s="185"/>
      <c r="F306" s="185"/>
      <c r="G306" s="185"/>
      <c r="H306" s="185"/>
      <c r="I306" s="185"/>
      <c r="J306" s="185"/>
      <c r="K306" s="185"/>
      <c r="L306" s="185"/>
      <c r="M306" s="185"/>
      <c r="N306" s="185"/>
      <c r="O306" s="185"/>
      <c r="P306" s="185"/>
      <c r="Q306" s="185"/>
      <c r="R306" s="185"/>
      <c r="S306" s="185"/>
      <c r="T306" s="185"/>
      <c r="U306" s="185"/>
      <c r="V306" s="185"/>
      <c r="W306" s="185"/>
      <c r="X306" s="185"/>
      <c r="Y306" s="185"/>
      <c r="Z306" s="185"/>
      <c r="AA306" s="185"/>
      <c r="AB306" s="185"/>
      <c r="AC306" s="186"/>
      <c r="AD306" s="186"/>
      <c r="AE306" s="186"/>
      <c r="AF306" s="186"/>
      <c r="AG306" s="186"/>
      <c r="AH306" s="186"/>
      <c r="AI306" s="186"/>
      <c r="AJ306" s="186"/>
      <c r="AK306" s="186"/>
      <c r="AL306" s="186"/>
      <c r="AM306" s="186"/>
      <c r="AN306" s="48"/>
      <c r="AO306" s="48"/>
      <c r="AP306" s="48"/>
      <c r="AQ306" s="48"/>
      <c r="AR306" s="48"/>
      <c r="AS306" s="48"/>
      <c r="AT306" s="48"/>
      <c r="AU306" s="48"/>
      <c r="AV306" s="48"/>
      <c r="AW306" s="481"/>
      <c r="AX306" s="481"/>
      <c r="AY306" s="481"/>
      <c r="AZ306" s="481"/>
      <c r="BA306" s="481"/>
      <c r="BB306" s="481"/>
      <c r="BC306" s="481"/>
      <c r="BD306" s="481"/>
      <c r="BE306" s="481"/>
      <c r="BF306" s="481"/>
      <c r="BG306" s="481"/>
      <c r="BH306" s="481"/>
      <c r="BI306" s="481"/>
      <c r="BJ306" s="481"/>
      <c r="BK306" s="481"/>
      <c r="BL306" s="481"/>
      <c r="BM306" s="481"/>
      <c r="BN306" s="481"/>
      <c r="BO306" s="481"/>
      <c r="BP306" s="481"/>
      <c r="BQ306" s="481"/>
      <c r="BR306" s="481"/>
      <c r="BS306" s="481"/>
      <c r="BT306" s="481"/>
      <c r="BU306" s="481"/>
      <c r="BV306" s="481"/>
      <c r="BW306" s="481"/>
      <c r="BX306" s="481"/>
      <c r="BY306" s="481"/>
      <c r="BZ306" s="481"/>
      <c r="CA306" s="481"/>
      <c r="CB306" s="481"/>
      <c r="CC306" s="481"/>
      <c r="CD306" s="481"/>
      <c r="CE306" s="481"/>
      <c r="CF306" s="481"/>
      <c r="CG306" s="481"/>
      <c r="CH306" s="481"/>
      <c r="CI306" s="481"/>
      <c r="CJ306" s="481"/>
      <c r="CK306" s="481"/>
      <c r="CL306" s="481"/>
      <c r="CM306" s="481"/>
      <c r="CN306" s="481"/>
      <c r="CO306" s="481"/>
      <c r="CP306" s="481"/>
      <c r="CQ306" s="481"/>
      <c r="CR306" s="481"/>
      <c r="CS306" s="481"/>
      <c r="CT306" s="481"/>
      <c r="CU306" s="481"/>
      <c r="CV306" s="481"/>
      <c r="CW306" s="481"/>
      <c r="CX306" s="481"/>
      <c r="CY306" s="481"/>
      <c r="CZ306" s="481"/>
      <c r="DA306" s="481"/>
      <c r="DB306" s="481"/>
      <c r="DC306" s="481"/>
      <c r="DD306" s="481"/>
      <c r="DE306" s="481"/>
      <c r="DF306" s="481"/>
      <c r="DG306" s="481"/>
      <c r="DH306" s="481"/>
      <c r="DI306" s="481"/>
      <c r="DJ306" s="481"/>
      <c r="DK306" s="481"/>
      <c r="DL306" s="481"/>
      <c r="DM306" s="481"/>
      <c r="DN306" s="481"/>
      <c r="DO306" s="481"/>
      <c r="DP306" s="481"/>
      <c r="DQ306" s="481"/>
      <c r="DR306" s="481"/>
      <c r="DS306" s="481"/>
      <c r="DT306" s="481"/>
      <c r="DU306" s="481"/>
      <c r="DV306" s="481"/>
      <c r="DW306" s="481"/>
      <c r="DX306" s="481"/>
      <c r="DY306" s="481"/>
      <c r="DZ306" s="481"/>
      <c r="EA306" s="481"/>
      <c r="EB306" s="481"/>
      <c r="EC306" s="481"/>
      <c r="ED306" s="481"/>
      <c r="EE306" s="481"/>
      <c r="EF306" s="481"/>
      <c r="EG306" s="481"/>
      <c r="EH306" s="481"/>
      <c r="EI306" s="481"/>
      <c r="EJ306" s="481"/>
      <c r="EK306" s="481"/>
      <c r="EL306" s="481"/>
      <c r="EM306" s="481"/>
      <c r="EN306" s="481"/>
      <c r="EO306" s="481"/>
      <c r="EP306" s="481"/>
      <c r="EQ306" s="481"/>
      <c r="ER306" s="481"/>
      <c r="ES306" s="481"/>
      <c r="ET306" s="481"/>
      <c r="EU306" s="481"/>
      <c r="EV306" s="481"/>
      <c r="EW306" s="481"/>
      <c r="EX306" s="481"/>
      <c r="EY306" s="481"/>
      <c r="EZ306" s="481"/>
      <c r="FA306" s="481"/>
      <c r="FB306" s="481"/>
      <c r="FC306" s="481"/>
      <c r="FD306" s="481"/>
    </row>
    <row r="307" spans="1:160" ht="18" hidden="1" customHeight="1" x14ac:dyDescent="0.2">
      <c r="A307" s="186"/>
      <c r="B307" s="1687" t="str">
        <f>AH7</f>
        <v>Categoria</v>
      </c>
      <c r="C307" s="1688"/>
      <c r="D307" s="1601" t="str">
        <f>D297</f>
        <v>Gennaio</v>
      </c>
      <c r="E307" s="1602"/>
      <c r="F307" s="1602"/>
      <c r="G307" s="1601" t="str">
        <f>G297</f>
        <v>Febbraio</v>
      </c>
      <c r="H307" s="1602"/>
      <c r="I307" s="1602"/>
      <c r="J307" s="1601" t="str">
        <f>J297</f>
        <v>Marzo</v>
      </c>
      <c r="K307" s="1602"/>
      <c r="L307" s="1602"/>
      <c r="M307" s="1601" t="str">
        <f>M297</f>
        <v>Aprile</v>
      </c>
      <c r="N307" s="1602"/>
      <c r="O307" s="1602"/>
      <c r="P307" s="1601" t="str">
        <f>P297</f>
        <v>Maggio</v>
      </c>
      <c r="Q307" s="1602"/>
      <c r="R307" s="1602"/>
      <c r="S307" s="1601" t="str">
        <f>S297</f>
        <v>Giugno</v>
      </c>
      <c r="T307" s="1602"/>
      <c r="U307" s="1602"/>
      <c r="V307" s="1601" t="str">
        <f>V297</f>
        <v>Luglio</v>
      </c>
      <c r="W307" s="1602"/>
      <c r="X307" s="1603"/>
      <c r="Y307" s="1601" t="str">
        <f>Y297</f>
        <v>Agosto</v>
      </c>
      <c r="Z307" s="1602"/>
      <c r="AA307" s="1602"/>
      <c r="AB307" s="1601" t="str">
        <f>AB297</f>
        <v>Settembre</v>
      </c>
      <c r="AC307" s="1602"/>
      <c r="AD307" s="1602"/>
      <c r="AE307" s="1601" t="str">
        <f>AE297</f>
        <v>Ottobre</v>
      </c>
      <c r="AF307" s="1602"/>
      <c r="AG307" s="1602"/>
      <c r="AH307" s="1601" t="str">
        <f>AH297</f>
        <v>Novembre</v>
      </c>
      <c r="AI307" s="1602"/>
      <c r="AJ307" s="1602"/>
      <c r="AK307" s="1601" t="str">
        <f>AK297</f>
        <v>Dicembre</v>
      </c>
      <c r="AL307" s="1602"/>
      <c r="AM307" s="1602"/>
      <c r="AN307" s="48"/>
      <c r="AO307" s="48"/>
      <c r="AP307" s="48"/>
      <c r="AQ307" s="48"/>
      <c r="AR307" s="48"/>
      <c r="AS307" s="48"/>
      <c r="AT307" s="48"/>
      <c r="AU307" s="48"/>
      <c r="AV307" s="48"/>
      <c r="AW307" s="481"/>
      <c r="AX307" s="481"/>
      <c r="AY307" s="481"/>
      <c r="AZ307" s="481"/>
      <c r="BA307" s="481"/>
      <c r="BB307" s="481"/>
      <c r="BC307" s="481"/>
      <c r="BD307" s="481"/>
      <c r="BE307" s="481"/>
      <c r="BF307" s="481"/>
      <c r="BG307" s="481"/>
      <c r="BH307" s="481"/>
      <c r="BI307" s="481"/>
      <c r="BJ307" s="481"/>
      <c r="BK307" s="481"/>
      <c r="BL307" s="481"/>
      <c r="BM307" s="481"/>
      <c r="BN307" s="481"/>
      <c r="BO307" s="481"/>
      <c r="BP307" s="481"/>
      <c r="BQ307" s="481"/>
      <c r="BR307" s="481"/>
      <c r="BS307" s="481"/>
      <c r="BT307" s="481"/>
      <c r="BU307" s="481"/>
      <c r="BV307" s="481"/>
      <c r="BW307" s="481"/>
      <c r="BX307" s="481"/>
      <c r="BY307" s="481"/>
      <c r="BZ307" s="481"/>
      <c r="CA307" s="481"/>
      <c r="CB307" s="481"/>
      <c r="CC307" s="481"/>
      <c r="CD307" s="481"/>
      <c r="CE307" s="481"/>
      <c r="CF307" s="481"/>
      <c r="CG307" s="481"/>
      <c r="CH307" s="481"/>
      <c r="CI307" s="481"/>
      <c r="CJ307" s="481"/>
      <c r="CK307" s="481"/>
      <c r="CL307" s="481"/>
      <c r="CM307" s="481"/>
      <c r="CN307" s="481"/>
      <c r="CO307" s="481"/>
      <c r="CP307" s="481"/>
      <c r="CQ307" s="481"/>
      <c r="CR307" s="481"/>
      <c r="CS307" s="481"/>
      <c r="CT307" s="481"/>
      <c r="CU307" s="481"/>
      <c r="CV307" s="481"/>
      <c r="CW307" s="481"/>
      <c r="CX307" s="481"/>
      <c r="CY307" s="481"/>
      <c r="CZ307" s="481"/>
      <c r="DA307" s="481"/>
      <c r="DB307" s="481"/>
      <c r="DC307" s="481"/>
      <c r="DD307" s="481"/>
      <c r="DE307" s="481"/>
      <c r="DF307" s="481"/>
      <c r="DG307" s="481"/>
      <c r="DH307" s="481"/>
      <c r="DI307" s="481"/>
      <c r="DJ307" s="481"/>
      <c r="DK307" s="481"/>
      <c r="DL307" s="481"/>
      <c r="DM307" s="481"/>
      <c r="DN307" s="481"/>
      <c r="DO307" s="481"/>
      <c r="DP307" s="481"/>
      <c r="DQ307" s="481"/>
      <c r="DR307" s="481"/>
      <c r="DS307" s="481"/>
      <c r="DT307" s="481"/>
      <c r="DU307" s="481"/>
      <c r="DV307" s="481"/>
      <c r="DW307" s="481"/>
      <c r="DX307" s="481"/>
      <c r="DY307" s="481"/>
      <c r="DZ307" s="481"/>
      <c r="EA307" s="481"/>
      <c r="EB307" s="481"/>
      <c r="EC307" s="481"/>
      <c r="ED307" s="481"/>
      <c r="EE307" s="481"/>
      <c r="EF307" s="481"/>
      <c r="EG307" s="481"/>
      <c r="EH307" s="481"/>
      <c r="EI307" s="481"/>
      <c r="EJ307" s="481"/>
      <c r="EK307" s="481"/>
      <c r="EL307" s="481"/>
      <c r="EM307" s="481"/>
      <c r="EN307" s="481"/>
      <c r="EO307" s="481"/>
      <c r="EP307" s="481"/>
      <c r="EQ307" s="481"/>
      <c r="ER307" s="481"/>
      <c r="ES307" s="481"/>
      <c r="ET307" s="481"/>
      <c r="EU307" s="481"/>
      <c r="EV307" s="481"/>
      <c r="EW307" s="481"/>
      <c r="EX307" s="481"/>
      <c r="EY307" s="481"/>
      <c r="EZ307" s="481"/>
      <c r="FA307" s="481"/>
      <c r="FB307" s="481"/>
      <c r="FC307" s="481"/>
      <c r="FD307" s="481"/>
    </row>
    <row r="308" spans="1:160" ht="18" hidden="1" customHeight="1" x14ac:dyDescent="0.2">
      <c r="A308" s="560" t="str">
        <f>IF(B234="--","--",MID(B234,7,2))</f>
        <v>--</v>
      </c>
      <c r="B308" s="309">
        <f>IF(ISERROR(VLOOKUP(C308,A$308:A$316,1,FALSE)),0,1)</f>
        <v>0</v>
      </c>
      <c r="C308" s="309" t="str">
        <f t="shared" ref="C308:C313" si="50">AG8</f>
        <v>21</v>
      </c>
      <c r="D308" s="1588">
        <f>SUMIF(GEN!$G$157:$J$157,$C308,GEN!$G$153:$J$153)</f>
        <v>0</v>
      </c>
      <c r="E308" s="1589"/>
      <c r="F308" s="1590"/>
      <c r="G308" s="1588">
        <f>SUMIF(FEB!$G$157:$J$157,$C308,FEB!$G$153:$J$153)</f>
        <v>0</v>
      </c>
      <c r="H308" s="1589"/>
      <c r="I308" s="1590"/>
      <c r="J308" s="1588">
        <f>SUMIF(MAR!$G$157:$J$157,$C308,MAR!$G$153:$J$153)</f>
        <v>0</v>
      </c>
      <c r="K308" s="1589"/>
      <c r="L308" s="1590"/>
      <c r="M308" s="1588">
        <f>SUMIF(APR!$G$157:$J$157,$C308,APR!$G$153:$J$153)</f>
        <v>0</v>
      </c>
      <c r="N308" s="1589"/>
      <c r="O308" s="1590"/>
      <c r="P308" s="1588">
        <f>SUMIF(MAG!$G$157:$J$157,$C308,MAG!$G$153:$J$153)</f>
        <v>0</v>
      </c>
      <c r="Q308" s="1589"/>
      <c r="R308" s="1590"/>
      <c r="S308" s="1588">
        <f>SUMIF(GIU!$G$157:$J$157,$C308,GIU!$G$153:$J$153)</f>
        <v>0</v>
      </c>
      <c r="T308" s="1589"/>
      <c r="U308" s="1590"/>
      <c r="V308" s="1588">
        <f>SUMIF(LUG!$G$157:$J$157,$C308,LUG!$G$153:$J$153)</f>
        <v>0</v>
      </c>
      <c r="W308" s="1589"/>
      <c r="X308" s="1590"/>
      <c r="Y308" s="1588">
        <f>SUMIF(AGO!$G$157:$J$157,$C308,AGO!$G$153:$J$153)</f>
        <v>0</v>
      </c>
      <c r="Z308" s="1589"/>
      <c r="AA308" s="1590"/>
      <c r="AB308" s="1588">
        <f>SUMIF(SET!$G$157:$J$157,$C308,SET!$G$153:$J$153)</f>
        <v>0</v>
      </c>
      <c r="AC308" s="1589"/>
      <c r="AD308" s="1590"/>
      <c r="AE308" s="1588">
        <f>SUMIF(OTT!$G$157:$J$157,$C308,OTT!$G$153:$J$153)</f>
        <v>0</v>
      </c>
      <c r="AF308" s="1589"/>
      <c r="AG308" s="1590"/>
      <c r="AH308" s="1588">
        <f>SUMIF(NOV!$G$157:$J$157,$C308,NOV!$G$153:$J$153)</f>
        <v>0</v>
      </c>
      <c r="AI308" s="1589"/>
      <c r="AJ308" s="1590"/>
      <c r="AK308" s="1588">
        <f>SUMIF(DIC!$G$157:$J$157,$C308,DIC!$G$153:$J$153)</f>
        <v>0</v>
      </c>
      <c r="AL308" s="1589"/>
      <c r="AM308" s="1590"/>
      <c r="AN308" s="1588">
        <f>SUM(D308:AM308)</f>
        <v>0</v>
      </c>
      <c r="AO308" s="1589"/>
      <c r="AP308" s="1589"/>
      <c r="AQ308" s="1692" t="str">
        <f t="shared" ref="AQ308:AQ313" si="51">AH8</f>
        <v>AGGIO Tabacchi</v>
      </c>
      <c r="AR308" s="1690"/>
      <c r="AS308" s="1690"/>
      <c r="AT308" s="1691"/>
      <c r="AU308" s="48"/>
      <c r="AV308" s="48"/>
      <c r="AW308" s="481"/>
      <c r="AX308" s="481"/>
      <c r="AY308" s="481"/>
      <c r="AZ308" s="481"/>
      <c r="BA308" s="481"/>
      <c r="BB308" s="481"/>
      <c r="BC308" s="481"/>
      <c r="BD308" s="481"/>
      <c r="BE308" s="481"/>
      <c r="BF308" s="481"/>
      <c r="BG308" s="481"/>
      <c r="BH308" s="481"/>
      <c r="BI308" s="481"/>
      <c r="BJ308" s="481"/>
      <c r="BK308" s="481"/>
      <c r="BL308" s="481"/>
      <c r="BM308" s="481"/>
      <c r="BN308" s="481"/>
      <c r="BO308" s="481"/>
      <c r="BP308" s="481"/>
      <c r="BQ308" s="481"/>
      <c r="BR308" s="481"/>
      <c r="BS308" s="481"/>
      <c r="BT308" s="481"/>
      <c r="BU308" s="481"/>
      <c r="BV308" s="481"/>
      <c r="BW308" s="481"/>
      <c r="BX308" s="481"/>
      <c r="BY308" s="481"/>
      <c r="BZ308" s="481"/>
      <c r="CA308" s="481"/>
      <c r="CB308" s="481"/>
      <c r="CC308" s="481"/>
      <c r="CD308" s="481"/>
      <c r="CE308" s="481"/>
      <c r="CF308" s="481"/>
      <c r="CG308" s="481"/>
      <c r="CH308" s="481"/>
      <c r="CI308" s="481"/>
      <c r="CJ308" s="481"/>
      <c r="CK308" s="481"/>
      <c r="CL308" s="481"/>
      <c r="CM308" s="481"/>
      <c r="CN308" s="481"/>
      <c r="CO308" s="481"/>
      <c r="CP308" s="481"/>
      <c r="CQ308" s="481"/>
      <c r="CR308" s="481"/>
      <c r="CS308" s="481"/>
      <c r="CT308" s="481"/>
      <c r="CU308" s="481"/>
      <c r="CV308" s="481"/>
      <c r="CW308" s="481"/>
      <c r="CX308" s="481"/>
      <c r="CY308" s="481"/>
      <c r="CZ308" s="481"/>
      <c r="DA308" s="481"/>
      <c r="DB308" s="481"/>
      <c r="DC308" s="481"/>
      <c r="DD308" s="481"/>
      <c r="DE308" s="481"/>
      <c r="DF308" s="481"/>
      <c r="DG308" s="481"/>
      <c r="DH308" s="481"/>
      <c r="DI308" s="481"/>
      <c r="DJ308" s="481"/>
      <c r="DK308" s="481"/>
      <c r="DL308" s="481"/>
      <c r="DM308" s="481"/>
      <c r="DN308" s="481"/>
      <c r="DO308" s="481"/>
      <c r="DP308" s="481"/>
      <c r="DQ308" s="481"/>
      <c r="DR308" s="481"/>
      <c r="DS308" s="481"/>
      <c r="DT308" s="481"/>
      <c r="DU308" s="481"/>
      <c r="DV308" s="481"/>
      <c r="DW308" s="481"/>
      <c r="DX308" s="481"/>
      <c r="DY308" s="481"/>
      <c r="DZ308" s="481"/>
      <c r="EA308" s="481"/>
      <c r="EB308" s="481"/>
      <c r="EC308" s="481"/>
      <c r="ED308" s="481"/>
      <c r="EE308" s="481"/>
      <c r="EF308" s="481"/>
      <c r="EG308" s="481"/>
      <c r="EH308" s="481"/>
      <c r="EI308" s="481"/>
      <c r="EJ308" s="481"/>
      <c r="EK308" s="481"/>
      <c r="EL308" s="481"/>
      <c r="EM308" s="481"/>
      <c r="EN308" s="481"/>
      <c r="EO308" s="481"/>
      <c r="EP308" s="481"/>
      <c r="EQ308" s="481"/>
      <c r="ER308" s="481"/>
      <c r="ES308" s="481"/>
      <c r="ET308" s="481"/>
      <c r="EU308" s="481"/>
      <c r="EV308" s="481"/>
      <c r="EW308" s="481"/>
      <c r="EX308" s="481"/>
      <c r="EY308" s="481"/>
      <c r="EZ308" s="481"/>
      <c r="FA308" s="481"/>
      <c r="FB308" s="481"/>
      <c r="FC308" s="481"/>
      <c r="FD308" s="481"/>
    </row>
    <row r="309" spans="1:160" ht="18" hidden="1" customHeight="1" x14ac:dyDescent="0.2">
      <c r="A309" s="560" t="str">
        <f>IF(B237="--","--",MID(B237,7,2))</f>
        <v>--</v>
      </c>
      <c r="B309" s="370">
        <f>IF(ISERROR(VLOOKUP(C309,A$308:A$316,1,FALSE)),0,COUNTIF(B$308:B308,"&gt;0")+1)</f>
        <v>0</v>
      </c>
      <c r="C309" s="309" t="str">
        <f t="shared" si="50"/>
        <v>22</v>
      </c>
      <c r="D309" s="1588">
        <f>SUMIF(GEN!$G$157:$J$157,$C309,GEN!$G$153:$J$153)</f>
        <v>0</v>
      </c>
      <c r="E309" s="1589"/>
      <c r="F309" s="1590"/>
      <c r="G309" s="1588">
        <f>SUMIF(FEB!$G$157:$J$157,$C309,FEB!$G$153:$J$153)</f>
        <v>0</v>
      </c>
      <c r="H309" s="1589"/>
      <c r="I309" s="1590"/>
      <c r="J309" s="1588">
        <f>SUMIF(MAR!$G$157:$J$157,$C309,MAR!$G$153:$J$153)</f>
        <v>0</v>
      </c>
      <c r="K309" s="1589"/>
      <c r="L309" s="1590"/>
      <c r="M309" s="1588">
        <f>SUMIF(APR!$G$157:$J$157,$C309,APR!$G$153:$J$153)</f>
        <v>0</v>
      </c>
      <c r="N309" s="1589"/>
      <c r="O309" s="1590"/>
      <c r="P309" s="1588">
        <f>SUMIF(MAG!$G$157:$J$157,$C309,MAG!$G$153:$J$153)</f>
        <v>0</v>
      </c>
      <c r="Q309" s="1589"/>
      <c r="R309" s="1590"/>
      <c r="S309" s="1588">
        <f>SUMIF(GIU!$G$157:$J$157,$C309,GIU!$G$153:$J$153)</f>
        <v>0</v>
      </c>
      <c r="T309" s="1589"/>
      <c r="U309" s="1590"/>
      <c r="V309" s="1588">
        <f>SUMIF(LUG!$G$157:$J$157,$C309,LUG!$G$153:$J$153)</f>
        <v>0</v>
      </c>
      <c r="W309" s="1589"/>
      <c r="X309" s="1590"/>
      <c r="Y309" s="1588">
        <f>SUMIF(AGO!$G$157:$J$157,$C309,AGO!$G$153:$J$153)</f>
        <v>0</v>
      </c>
      <c r="Z309" s="1589"/>
      <c r="AA309" s="1590"/>
      <c r="AB309" s="1588">
        <f>SUMIF(SET!$G$157:$J$157,$C309,SET!$G$153:$J$153)</f>
        <v>0</v>
      </c>
      <c r="AC309" s="1589"/>
      <c r="AD309" s="1590"/>
      <c r="AE309" s="1588">
        <f>SUMIF(OTT!$G$157:$J$157,$C309,OTT!$G$153:$J$153)</f>
        <v>0</v>
      </c>
      <c r="AF309" s="1589"/>
      <c r="AG309" s="1590"/>
      <c r="AH309" s="1588">
        <f>SUMIF(NOV!$G$157:$J$157,$C309,NOV!$G$153:$J$153)</f>
        <v>0</v>
      </c>
      <c r="AI309" s="1589"/>
      <c r="AJ309" s="1590"/>
      <c r="AK309" s="1588">
        <f>SUMIF(DIC!$G$157:$J$157,$C309,DIC!$G$153:$J$153)</f>
        <v>0</v>
      </c>
      <c r="AL309" s="1589"/>
      <c r="AM309" s="1590"/>
      <c r="AN309" s="1588">
        <f t="shared" ref="AN309:AN317" si="52">SUM(D309:AM309)</f>
        <v>0</v>
      </c>
      <c r="AO309" s="1589"/>
      <c r="AP309" s="1589"/>
      <c r="AQ309" s="1692" t="str">
        <f t="shared" si="51"/>
        <v>AGGIO Lotterie</v>
      </c>
      <c r="AR309" s="1690"/>
      <c r="AS309" s="1690"/>
      <c r="AT309" s="1691"/>
      <c r="AU309" s="48"/>
      <c r="AV309" s="48"/>
      <c r="AW309" s="481"/>
      <c r="AX309" s="481"/>
      <c r="AY309" s="481"/>
      <c r="AZ309" s="481"/>
      <c r="BA309" s="481"/>
      <c r="BB309" s="481"/>
      <c r="BC309" s="481"/>
      <c r="BD309" s="481"/>
      <c r="BE309" s="481"/>
      <c r="BF309" s="481"/>
      <c r="BG309" s="481"/>
      <c r="BH309" s="481"/>
      <c r="BI309" s="481"/>
      <c r="BJ309" s="481"/>
      <c r="BK309" s="481"/>
      <c r="BL309" s="481"/>
      <c r="BM309" s="481"/>
      <c r="BN309" s="481"/>
      <c r="BO309" s="481"/>
      <c r="BP309" s="481"/>
      <c r="BQ309" s="481"/>
      <c r="BR309" s="481"/>
      <c r="BS309" s="481"/>
      <c r="BT309" s="481"/>
      <c r="BU309" s="481"/>
      <c r="BV309" s="481"/>
      <c r="BW309" s="481"/>
      <c r="BX309" s="481"/>
      <c r="BY309" s="481"/>
      <c r="BZ309" s="481"/>
      <c r="CA309" s="481"/>
      <c r="CB309" s="481"/>
      <c r="CC309" s="481"/>
      <c r="CD309" s="481"/>
      <c r="CE309" s="481"/>
      <c r="CF309" s="481"/>
      <c r="CG309" s="481"/>
      <c r="CH309" s="481"/>
      <c r="CI309" s="481"/>
      <c r="CJ309" s="481"/>
      <c r="CK309" s="481"/>
      <c r="CL309" s="481"/>
      <c r="CM309" s="481"/>
      <c r="CN309" s="481"/>
      <c r="CO309" s="481"/>
      <c r="CP309" s="481"/>
      <c r="CQ309" s="481"/>
      <c r="CR309" s="481"/>
      <c r="CS309" s="481"/>
      <c r="CT309" s="481"/>
      <c r="CU309" s="481"/>
      <c r="CV309" s="481"/>
      <c r="CW309" s="481"/>
      <c r="CX309" s="481"/>
      <c r="CY309" s="481"/>
      <c r="CZ309" s="481"/>
      <c r="DA309" s="481"/>
      <c r="DB309" s="481"/>
      <c r="DC309" s="481"/>
      <c r="DD309" s="481"/>
      <c r="DE309" s="481"/>
      <c r="DF309" s="481"/>
      <c r="DG309" s="481"/>
      <c r="DH309" s="481"/>
      <c r="DI309" s="481"/>
      <c r="DJ309" s="481"/>
      <c r="DK309" s="481"/>
      <c r="DL309" s="481"/>
      <c r="DM309" s="481"/>
      <c r="DN309" s="481"/>
      <c r="DO309" s="481"/>
      <c r="DP309" s="481"/>
      <c r="DQ309" s="481"/>
      <c r="DR309" s="481"/>
      <c r="DS309" s="481"/>
      <c r="DT309" s="481"/>
      <c r="DU309" s="481"/>
      <c r="DV309" s="481"/>
      <c r="DW309" s="481"/>
      <c r="DX309" s="481"/>
      <c r="DY309" s="481"/>
      <c r="DZ309" s="481"/>
      <c r="EA309" s="481"/>
      <c r="EB309" s="481"/>
      <c r="EC309" s="481"/>
      <c r="ED309" s="481"/>
      <c r="EE309" s="481"/>
      <c r="EF309" s="481"/>
      <c r="EG309" s="481"/>
      <c r="EH309" s="481"/>
      <c r="EI309" s="481"/>
      <c r="EJ309" s="481"/>
      <c r="EK309" s="481"/>
      <c r="EL309" s="481"/>
      <c r="EM309" s="481"/>
      <c r="EN309" s="481"/>
      <c r="EO309" s="481"/>
      <c r="EP309" s="481"/>
      <c r="EQ309" s="481"/>
      <c r="ER309" s="481"/>
      <c r="ES309" s="481"/>
      <c r="ET309" s="481"/>
      <c r="EU309" s="481"/>
      <c r="EV309" s="481"/>
      <c r="EW309" s="481"/>
      <c r="EX309" s="481"/>
      <c r="EY309" s="481"/>
      <c r="EZ309" s="481"/>
      <c r="FA309" s="481"/>
      <c r="FB309" s="481"/>
      <c r="FC309" s="481"/>
      <c r="FD309" s="481"/>
    </row>
    <row r="310" spans="1:160" ht="18" hidden="1" customHeight="1" x14ac:dyDescent="0.2">
      <c r="A310" s="560" t="str">
        <f>IF(B240="--","--",MID(B240,7,2))</f>
        <v>--</v>
      </c>
      <c r="B310" s="370">
        <f>IF(ISERROR(VLOOKUP(C310,A$308:A$316,1,FALSE)),0,COUNTIF(B$308:B309,"&gt;0")+1)</f>
        <v>0</v>
      </c>
      <c r="C310" s="309" t="str">
        <f t="shared" si="50"/>
        <v>23</v>
      </c>
      <c r="D310" s="1588">
        <f>SUMIF(GEN!$G$157:$J$157,$C310,GEN!$G$153:$J$153)</f>
        <v>0</v>
      </c>
      <c r="E310" s="1589"/>
      <c r="F310" s="1590"/>
      <c r="G310" s="1588">
        <f>SUMIF(FEB!$G$157:$J$157,$C310,FEB!$G$153:$J$153)</f>
        <v>0</v>
      </c>
      <c r="H310" s="1589"/>
      <c r="I310" s="1590"/>
      <c r="J310" s="1588">
        <f>SUMIF(MAR!$G$157:$J$157,$C310,MAR!$G$153:$J$153)</f>
        <v>0</v>
      </c>
      <c r="K310" s="1589"/>
      <c r="L310" s="1590"/>
      <c r="M310" s="1588">
        <f>SUMIF(APR!$G$157:$J$157,$C310,APR!$G$153:$J$153)</f>
        <v>0</v>
      </c>
      <c r="N310" s="1589"/>
      <c r="O310" s="1590"/>
      <c r="P310" s="1588">
        <f>SUMIF(MAG!$G$157:$J$157,$C310,MAG!$G$153:$J$153)</f>
        <v>0</v>
      </c>
      <c r="Q310" s="1589"/>
      <c r="R310" s="1590"/>
      <c r="S310" s="1588">
        <f>SUMIF(GIU!$G$157:$J$157,$C310,GIU!$G$153:$J$153)</f>
        <v>0</v>
      </c>
      <c r="T310" s="1589"/>
      <c r="U310" s="1590"/>
      <c r="V310" s="1588">
        <f>SUMIF(LUG!$G$157:$J$157,$C310,LUG!$G$153:$J$153)</f>
        <v>0</v>
      </c>
      <c r="W310" s="1589"/>
      <c r="X310" s="1590"/>
      <c r="Y310" s="1588">
        <f>SUMIF(AGO!$G$157:$J$157,$C310,AGO!$G$153:$J$153)</f>
        <v>0</v>
      </c>
      <c r="Z310" s="1589"/>
      <c r="AA310" s="1590"/>
      <c r="AB310" s="1588">
        <f>SUMIF(SET!$G$157:$J$157,$C310,SET!$G$153:$J$153)</f>
        <v>0</v>
      </c>
      <c r="AC310" s="1589"/>
      <c r="AD310" s="1590"/>
      <c r="AE310" s="1588">
        <f>SUMIF(OTT!$G$157:$J$157,$C310,OTT!$G$153:$J$153)</f>
        <v>0</v>
      </c>
      <c r="AF310" s="1589"/>
      <c r="AG310" s="1590"/>
      <c r="AH310" s="1588">
        <f>SUMIF(NOV!$G$157:$J$157,$C310,NOV!$G$153:$J$153)</f>
        <v>0</v>
      </c>
      <c r="AI310" s="1589"/>
      <c r="AJ310" s="1590"/>
      <c r="AK310" s="1588">
        <f>SUMIF(DIC!$G$157:$J$157,$C310,DIC!$G$153:$J$153)</f>
        <v>0</v>
      </c>
      <c r="AL310" s="1589"/>
      <c r="AM310" s="1590"/>
      <c r="AN310" s="1588">
        <f t="shared" si="52"/>
        <v>0</v>
      </c>
      <c r="AO310" s="1589"/>
      <c r="AP310" s="1589"/>
      <c r="AQ310" s="1692" t="str">
        <f t="shared" si="51"/>
        <v>AGGIO Carte C.</v>
      </c>
      <c r="AR310" s="1690"/>
      <c r="AS310" s="1690"/>
      <c r="AT310" s="1691"/>
      <c r="AU310" s="48"/>
      <c r="AV310" s="48"/>
      <c r="AW310" s="481"/>
      <c r="AX310" s="481"/>
      <c r="AY310" s="481"/>
      <c r="AZ310" s="481"/>
      <c r="BA310" s="481"/>
      <c r="BB310" s="481"/>
      <c r="BC310" s="481"/>
      <c r="BD310" s="481"/>
      <c r="BE310" s="481"/>
      <c r="BF310" s="481"/>
      <c r="BG310" s="481"/>
      <c r="BH310" s="481"/>
      <c r="BI310" s="481"/>
      <c r="BJ310" s="481"/>
      <c r="BK310" s="481"/>
      <c r="BL310" s="481"/>
      <c r="BM310" s="481"/>
      <c r="BN310" s="481"/>
      <c r="BO310" s="481"/>
      <c r="BP310" s="481"/>
      <c r="BQ310" s="481"/>
      <c r="BR310" s="481"/>
      <c r="BS310" s="481"/>
      <c r="BT310" s="481"/>
      <c r="BU310" s="481"/>
      <c r="BV310" s="481"/>
      <c r="BW310" s="481"/>
      <c r="BX310" s="481"/>
      <c r="BY310" s="481"/>
      <c r="BZ310" s="481"/>
      <c r="CA310" s="481"/>
      <c r="CB310" s="481"/>
      <c r="CC310" s="481"/>
      <c r="CD310" s="481"/>
      <c r="CE310" s="481"/>
      <c r="CF310" s="481"/>
      <c r="CG310" s="481"/>
      <c r="CH310" s="481"/>
      <c r="CI310" s="481"/>
      <c r="CJ310" s="481"/>
      <c r="CK310" s="481"/>
      <c r="CL310" s="481"/>
      <c r="CM310" s="481"/>
      <c r="CN310" s="481"/>
      <c r="CO310" s="481"/>
      <c r="CP310" s="481"/>
      <c r="CQ310" s="481"/>
      <c r="CR310" s="481"/>
      <c r="CS310" s="481"/>
      <c r="CT310" s="481"/>
      <c r="CU310" s="481"/>
      <c r="CV310" s="481"/>
      <c r="CW310" s="481"/>
      <c r="CX310" s="481"/>
      <c r="CY310" s="481"/>
      <c r="CZ310" s="481"/>
      <c r="DA310" s="481"/>
      <c r="DB310" s="481"/>
      <c r="DC310" s="481"/>
      <c r="DD310" s="481"/>
      <c r="DE310" s="481"/>
      <c r="DF310" s="481"/>
      <c r="DG310" s="481"/>
      <c r="DH310" s="481"/>
      <c r="DI310" s="481"/>
      <c r="DJ310" s="481"/>
      <c r="DK310" s="481"/>
      <c r="DL310" s="481"/>
      <c r="DM310" s="481"/>
      <c r="DN310" s="481"/>
      <c r="DO310" s="481"/>
      <c r="DP310" s="481"/>
      <c r="DQ310" s="481"/>
      <c r="DR310" s="481"/>
      <c r="DS310" s="481"/>
      <c r="DT310" s="481"/>
      <c r="DU310" s="481"/>
      <c r="DV310" s="481"/>
      <c r="DW310" s="481"/>
      <c r="DX310" s="481"/>
      <c r="DY310" s="481"/>
      <c r="DZ310" s="481"/>
      <c r="EA310" s="481"/>
      <c r="EB310" s="481"/>
      <c r="EC310" s="481"/>
      <c r="ED310" s="481"/>
      <c r="EE310" s="481"/>
      <c r="EF310" s="481"/>
      <c r="EG310" s="481"/>
      <c r="EH310" s="481"/>
      <c r="EI310" s="481"/>
      <c r="EJ310" s="481"/>
      <c r="EK310" s="481"/>
      <c r="EL310" s="481"/>
      <c r="EM310" s="481"/>
      <c r="EN310" s="481"/>
      <c r="EO310" s="481"/>
      <c r="EP310" s="481"/>
      <c r="EQ310" s="481"/>
      <c r="ER310" s="481"/>
      <c r="ES310" s="481"/>
      <c r="ET310" s="481"/>
      <c r="EU310" s="481"/>
      <c r="EV310" s="481"/>
      <c r="EW310" s="481"/>
      <c r="EX310" s="481"/>
      <c r="EY310" s="481"/>
      <c r="EZ310" s="481"/>
      <c r="FA310" s="481"/>
      <c r="FB310" s="481"/>
      <c r="FC310" s="481"/>
      <c r="FD310" s="481"/>
    </row>
    <row r="311" spans="1:160" ht="18" hidden="1" customHeight="1" x14ac:dyDescent="0.2">
      <c r="A311" s="560" t="str">
        <f>IF(B243="--","--",MID(B243,7,2))</f>
        <v>--</v>
      </c>
      <c r="B311" s="370">
        <f>IF(ISERROR(VLOOKUP(C311,A$308:A$316,1,FALSE)),0,COUNTIF(B$308:B310,"&gt;0")+1)</f>
        <v>0</v>
      </c>
      <c r="C311" s="309" t="str">
        <f t="shared" si="50"/>
        <v>24</v>
      </c>
      <c r="D311" s="1588">
        <f>SUMIF(GEN!$G$157:$J$157,$C311,GEN!$G$153:$J$153)</f>
        <v>0</v>
      </c>
      <c r="E311" s="1589"/>
      <c r="F311" s="1590"/>
      <c r="G311" s="1588">
        <f>SUMIF(FEB!$G$157:$J$157,$C311,FEB!$G$153:$J$153)</f>
        <v>0</v>
      </c>
      <c r="H311" s="1589"/>
      <c r="I311" s="1590"/>
      <c r="J311" s="1588">
        <f>SUMIF(MAR!$G$157:$J$157,$C311,MAR!$G$153:$J$153)</f>
        <v>0</v>
      </c>
      <c r="K311" s="1589"/>
      <c r="L311" s="1590"/>
      <c r="M311" s="1588">
        <f>SUMIF(APR!$G$157:$J$157,$C311,APR!$G$153:$J$153)</f>
        <v>0</v>
      </c>
      <c r="N311" s="1589"/>
      <c r="O311" s="1590"/>
      <c r="P311" s="1588">
        <f>SUMIF(MAG!$G$157:$J$157,$C311,MAG!$G$153:$J$153)</f>
        <v>0</v>
      </c>
      <c r="Q311" s="1589"/>
      <c r="R311" s="1590"/>
      <c r="S311" s="1588">
        <f>SUMIF(GIU!$G$157:$J$157,$C311,GIU!$G$153:$J$153)</f>
        <v>0</v>
      </c>
      <c r="T311" s="1589"/>
      <c r="U311" s="1590"/>
      <c r="V311" s="1588">
        <f>SUMIF(LUG!$G$157:$J$157,$C311,LUG!$G$153:$J$153)</f>
        <v>0</v>
      </c>
      <c r="W311" s="1589"/>
      <c r="X311" s="1590"/>
      <c r="Y311" s="1588">
        <f>SUMIF(AGO!$G$157:$J$157,$C311,AGO!$G$153:$J$153)</f>
        <v>0</v>
      </c>
      <c r="Z311" s="1589"/>
      <c r="AA311" s="1590"/>
      <c r="AB311" s="1588">
        <f>SUMIF(SET!$G$157:$J$157,$C311,SET!$G$153:$J$153)</f>
        <v>0</v>
      </c>
      <c r="AC311" s="1589"/>
      <c r="AD311" s="1590"/>
      <c r="AE311" s="1588">
        <f>SUMIF(OTT!$G$157:$J$157,$C311,OTT!$G$153:$J$153)</f>
        <v>0</v>
      </c>
      <c r="AF311" s="1589"/>
      <c r="AG311" s="1590"/>
      <c r="AH311" s="1588">
        <f>SUMIF(NOV!$G$157:$J$157,$C311,NOV!$G$153:$J$153)</f>
        <v>0</v>
      </c>
      <c r="AI311" s="1589"/>
      <c r="AJ311" s="1590"/>
      <c r="AK311" s="1588">
        <f>SUMIF(DIC!$G$157:$J$157,$C311,DIC!$G$153:$J$153)</f>
        <v>0</v>
      </c>
      <c r="AL311" s="1589"/>
      <c r="AM311" s="1590"/>
      <c r="AN311" s="1588">
        <f t="shared" si="52"/>
        <v>0</v>
      </c>
      <c r="AO311" s="1589"/>
      <c r="AP311" s="1589"/>
      <c r="AQ311" s="1692">
        <f t="shared" si="51"/>
        <v>0</v>
      </c>
      <c r="AR311" s="1690"/>
      <c r="AS311" s="1690"/>
      <c r="AT311" s="1691"/>
      <c r="AU311" s="48"/>
      <c r="AV311" s="48"/>
      <c r="AW311" s="481"/>
      <c r="AX311" s="481"/>
      <c r="AY311" s="481"/>
      <c r="AZ311" s="481"/>
      <c r="BA311" s="481"/>
      <c r="BB311" s="481"/>
      <c r="BC311" s="481"/>
      <c r="BD311" s="481"/>
      <c r="BE311" s="481"/>
      <c r="BF311" s="481"/>
      <c r="BG311" s="481"/>
      <c r="BH311" s="481"/>
      <c r="BI311" s="481"/>
      <c r="BJ311" s="481"/>
      <c r="BK311" s="481"/>
      <c r="BL311" s="481"/>
      <c r="BM311" s="481"/>
      <c r="BN311" s="481"/>
      <c r="BO311" s="481"/>
      <c r="BP311" s="481"/>
      <c r="BQ311" s="481"/>
      <c r="BR311" s="481"/>
      <c r="BS311" s="481"/>
      <c r="BT311" s="481"/>
      <c r="BU311" s="481"/>
      <c r="BV311" s="481"/>
      <c r="BW311" s="481"/>
      <c r="BX311" s="481"/>
      <c r="BY311" s="481"/>
      <c r="BZ311" s="481"/>
      <c r="CA311" s="481"/>
      <c r="CB311" s="481"/>
      <c r="CC311" s="481"/>
      <c r="CD311" s="481"/>
      <c r="CE311" s="481"/>
      <c r="CF311" s="481"/>
      <c r="CG311" s="481"/>
      <c r="CH311" s="481"/>
      <c r="CI311" s="481"/>
      <c r="CJ311" s="481"/>
      <c r="CK311" s="481"/>
      <c r="CL311" s="481"/>
      <c r="CM311" s="481"/>
      <c r="CN311" s="481"/>
      <c r="CO311" s="481"/>
      <c r="CP311" s="481"/>
      <c r="CQ311" s="481"/>
      <c r="CR311" s="481"/>
      <c r="CS311" s="481"/>
      <c r="CT311" s="481"/>
      <c r="CU311" s="481"/>
      <c r="CV311" s="481"/>
      <c r="CW311" s="481"/>
      <c r="CX311" s="481"/>
      <c r="CY311" s="481"/>
      <c r="CZ311" s="481"/>
      <c r="DA311" s="481"/>
      <c r="DB311" s="481"/>
      <c r="DC311" s="481"/>
      <c r="DD311" s="481"/>
      <c r="DE311" s="481"/>
      <c r="DF311" s="481"/>
      <c r="DG311" s="481"/>
      <c r="DH311" s="481"/>
      <c r="DI311" s="481"/>
      <c r="DJ311" s="481"/>
      <c r="DK311" s="481"/>
      <c r="DL311" s="481"/>
      <c r="DM311" s="481"/>
      <c r="DN311" s="481"/>
      <c r="DO311" s="481"/>
      <c r="DP311" s="481"/>
      <c r="DQ311" s="481"/>
      <c r="DR311" s="481"/>
      <c r="DS311" s="481"/>
      <c r="DT311" s="481"/>
      <c r="DU311" s="481"/>
      <c r="DV311" s="481"/>
      <c r="DW311" s="481"/>
      <c r="DX311" s="481"/>
      <c r="DY311" s="481"/>
      <c r="DZ311" s="481"/>
      <c r="EA311" s="481"/>
      <c r="EB311" s="481"/>
      <c r="EC311" s="481"/>
      <c r="ED311" s="481"/>
      <c r="EE311" s="481"/>
      <c r="EF311" s="481"/>
      <c r="EG311" s="481"/>
      <c r="EH311" s="481"/>
      <c r="EI311" s="481"/>
      <c r="EJ311" s="481"/>
      <c r="EK311" s="481"/>
      <c r="EL311" s="481"/>
      <c r="EM311" s="481"/>
      <c r="EN311" s="481"/>
      <c r="EO311" s="481"/>
      <c r="EP311" s="481"/>
      <c r="EQ311" s="481"/>
      <c r="ER311" s="481"/>
      <c r="ES311" s="481"/>
      <c r="ET311" s="481"/>
      <c r="EU311" s="481"/>
      <c r="EV311" s="481"/>
      <c r="EW311" s="481"/>
      <c r="EX311" s="481"/>
      <c r="EY311" s="481"/>
      <c r="EZ311" s="481"/>
      <c r="FA311" s="481"/>
      <c r="FB311" s="481"/>
      <c r="FC311" s="481"/>
      <c r="FD311" s="481"/>
    </row>
    <row r="312" spans="1:160" ht="18" hidden="1" customHeight="1" x14ac:dyDescent="0.2">
      <c r="A312" s="560" t="str">
        <f>IF(B246="--","--",MID(B246,7,2))</f>
        <v/>
      </c>
      <c r="B312" s="370">
        <f>IF(ISERROR(VLOOKUP(C312,A$308:A$316,1,FALSE)),0,COUNTIF(B$308:B311,"&gt;0")+1)</f>
        <v>0</v>
      </c>
      <c r="C312" s="309" t="str">
        <f t="shared" si="50"/>
        <v>25</v>
      </c>
      <c r="D312" s="1588">
        <f>SUMIF(GEN!$G$157:$J$157,$C312,GEN!$G$153:$J$153)</f>
        <v>0</v>
      </c>
      <c r="E312" s="1589"/>
      <c r="F312" s="1590"/>
      <c r="G312" s="1588">
        <f>SUMIF(FEB!$G$157:$J$157,$C312,FEB!$G$153:$J$153)</f>
        <v>0</v>
      </c>
      <c r="H312" s="1589"/>
      <c r="I312" s="1590"/>
      <c r="J312" s="1588">
        <f>SUMIF(MAR!$G$157:$J$157,$C312,MAR!$G$153:$J$153)</f>
        <v>0</v>
      </c>
      <c r="K312" s="1589"/>
      <c r="L312" s="1590"/>
      <c r="M312" s="1588">
        <f>SUMIF(APR!$G$157:$J$157,$C312,APR!$G$153:$J$153)</f>
        <v>0</v>
      </c>
      <c r="N312" s="1589"/>
      <c r="O312" s="1590"/>
      <c r="P312" s="1588">
        <f>SUMIF(MAG!$G$157:$J$157,$C312,MAG!$G$153:$J$153)</f>
        <v>0</v>
      </c>
      <c r="Q312" s="1589"/>
      <c r="R312" s="1590"/>
      <c r="S312" s="1588">
        <f>SUMIF(GIU!$G$157:$J$157,$C312,GIU!$G$153:$J$153)</f>
        <v>0</v>
      </c>
      <c r="T312" s="1589"/>
      <c r="U312" s="1590"/>
      <c r="V312" s="1588">
        <f>SUMIF(LUG!$G$157:$J$157,$C312,LUG!$G$153:$J$153)</f>
        <v>0</v>
      </c>
      <c r="W312" s="1589"/>
      <c r="X312" s="1590"/>
      <c r="Y312" s="1588">
        <f>SUMIF(AGO!$G$157:$J$157,$C312,AGO!$G$153:$J$153)</f>
        <v>0</v>
      </c>
      <c r="Z312" s="1589"/>
      <c r="AA312" s="1590"/>
      <c r="AB312" s="1588">
        <f>SUMIF(SET!$G$157:$J$157,$C312,SET!$G$153:$J$153)</f>
        <v>0</v>
      </c>
      <c r="AC312" s="1589"/>
      <c r="AD312" s="1590"/>
      <c r="AE312" s="1588">
        <f>SUMIF(OTT!$G$157:$J$157,$C312,OTT!$G$153:$J$153)</f>
        <v>0</v>
      </c>
      <c r="AF312" s="1589"/>
      <c r="AG312" s="1590"/>
      <c r="AH312" s="1588">
        <f>SUMIF(NOV!$G$157:$J$157,$C312,NOV!$G$153:$J$153)</f>
        <v>0</v>
      </c>
      <c r="AI312" s="1589"/>
      <c r="AJ312" s="1590"/>
      <c r="AK312" s="1588">
        <f>SUMIF(DIC!$G$157:$J$157,$C312,DIC!$G$153:$J$153)</f>
        <v>0</v>
      </c>
      <c r="AL312" s="1589"/>
      <c r="AM312" s="1590"/>
      <c r="AN312" s="1588">
        <f t="shared" si="52"/>
        <v>0</v>
      </c>
      <c r="AO312" s="1589"/>
      <c r="AP312" s="1589"/>
      <c r="AQ312" s="1692" t="str">
        <f t="shared" si="51"/>
        <v>BANCO</v>
      </c>
      <c r="AR312" s="1690"/>
      <c r="AS312" s="1690"/>
      <c r="AT312" s="1691"/>
      <c r="AU312" s="48"/>
      <c r="AV312" s="48"/>
      <c r="AW312" s="481"/>
      <c r="AX312" s="481"/>
      <c r="AY312" s="481"/>
      <c r="AZ312" s="481"/>
      <c r="BA312" s="481"/>
      <c r="BB312" s="481"/>
      <c r="BC312" s="481"/>
      <c r="BD312" s="481"/>
      <c r="BE312" s="481"/>
      <c r="BF312" s="481"/>
      <c r="BG312" s="481"/>
      <c r="BH312" s="481"/>
      <c r="BI312" s="481"/>
      <c r="BJ312" s="481"/>
      <c r="BK312" s="481"/>
      <c r="BL312" s="481"/>
      <c r="BM312" s="481"/>
      <c r="BN312" s="481"/>
      <c r="BO312" s="481"/>
      <c r="BP312" s="481"/>
      <c r="BQ312" s="481"/>
      <c r="BR312" s="481"/>
      <c r="BS312" s="481"/>
      <c r="BT312" s="481"/>
      <c r="BU312" s="481"/>
      <c r="BV312" s="481"/>
      <c r="BW312" s="481"/>
      <c r="BX312" s="481"/>
      <c r="BY312" s="481"/>
      <c r="BZ312" s="481"/>
      <c r="CA312" s="481"/>
      <c r="CB312" s="481"/>
      <c r="CC312" s="481"/>
      <c r="CD312" s="481"/>
      <c r="CE312" s="481"/>
      <c r="CF312" s="481"/>
      <c r="CG312" s="481"/>
      <c r="CH312" s="481"/>
      <c r="CI312" s="481"/>
      <c r="CJ312" s="481"/>
      <c r="CK312" s="481"/>
      <c r="CL312" s="481"/>
      <c r="CM312" s="481"/>
      <c r="CN312" s="481"/>
      <c r="CO312" s="481"/>
      <c r="CP312" s="481"/>
      <c r="CQ312" s="481"/>
      <c r="CR312" s="481"/>
      <c r="CS312" s="481"/>
      <c r="CT312" s="481"/>
      <c r="CU312" s="481"/>
      <c r="CV312" s="481"/>
      <c r="CW312" s="481"/>
      <c r="CX312" s="481"/>
      <c r="CY312" s="481"/>
      <c r="CZ312" s="481"/>
      <c r="DA312" s="481"/>
      <c r="DB312" s="481"/>
      <c r="DC312" s="481"/>
      <c r="DD312" s="481"/>
      <c r="DE312" s="481"/>
      <c r="DF312" s="481"/>
      <c r="DG312" s="481"/>
      <c r="DH312" s="481"/>
      <c r="DI312" s="481"/>
      <c r="DJ312" s="481"/>
      <c r="DK312" s="481"/>
      <c r="DL312" s="481"/>
      <c r="DM312" s="481"/>
      <c r="DN312" s="481"/>
      <c r="DO312" s="481"/>
      <c r="DP312" s="481"/>
      <c r="DQ312" s="481"/>
      <c r="DR312" s="481"/>
      <c r="DS312" s="481"/>
      <c r="DT312" s="481"/>
      <c r="DU312" s="481"/>
      <c r="DV312" s="481"/>
      <c r="DW312" s="481"/>
      <c r="DX312" s="481"/>
      <c r="DY312" s="481"/>
      <c r="DZ312" s="481"/>
      <c r="EA312" s="481"/>
      <c r="EB312" s="481"/>
      <c r="EC312" s="481"/>
      <c r="ED312" s="481"/>
      <c r="EE312" s="481"/>
      <c r="EF312" s="481"/>
      <c r="EG312" s="481"/>
      <c r="EH312" s="481"/>
      <c r="EI312" s="481"/>
      <c r="EJ312" s="481"/>
      <c r="EK312" s="481"/>
      <c r="EL312" s="481"/>
      <c r="EM312" s="481"/>
      <c r="EN312" s="481"/>
      <c r="EO312" s="481"/>
      <c r="EP312" s="481"/>
      <c r="EQ312" s="481"/>
      <c r="ER312" s="481"/>
      <c r="ES312" s="481"/>
      <c r="ET312" s="481"/>
      <c r="EU312" s="481"/>
      <c r="EV312" s="481"/>
      <c r="EW312" s="481"/>
      <c r="EX312" s="481"/>
      <c r="EY312" s="481"/>
      <c r="EZ312" s="481"/>
      <c r="FA312" s="481"/>
      <c r="FB312" s="481"/>
      <c r="FC312" s="481"/>
      <c r="FD312" s="481"/>
    </row>
    <row r="313" spans="1:160" ht="18" hidden="1" customHeight="1" x14ac:dyDescent="0.2">
      <c r="A313" s="560" t="str">
        <f>IF(B249="--","--",MID(B249,7,2))</f>
        <v/>
      </c>
      <c r="B313" s="370">
        <f>IF(ISERROR(VLOOKUP(C313,A$308:A$316,1,FALSE)),0,COUNTIF(B$308:B312,"&gt;0")+1)</f>
        <v>0</v>
      </c>
      <c r="C313" s="309" t="str">
        <f t="shared" si="50"/>
        <v>26</v>
      </c>
      <c r="D313" s="1588">
        <f>SUMIF(GEN!$G$157:$J$157,$C313,GEN!$G$153:$J$153)</f>
        <v>0</v>
      </c>
      <c r="E313" s="1589"/>
      <c r="F313" s="1590"/>
      <c r="G313" s="1588">
        <f>SUMIF(FEB!$G$157:$J$157,$C313,FEB!$G$153:$J$153)</f>
        <v>0</v>
      </c>
      <c r="H313" s="1589"/>
      <c r="I313" s="1590"/>
      <c r="J313" s="1588">
        <f>SUMIF(MAR!$G$157:$J$157,$C313,MAR!$G$153:$J$153)</f>
        <v>0</v>
      </c>
      <c r="K313" s="1589"/>
      <c r="L313" s="1590"/>
      <c r="M313" s="1588">
        <f>SUMIF(APR!$G$157:$J$157,$C313,APR!$G$153:$J$153)</f>
        <v>0</v>
      </c>
      <c r="N313" s="1589"/>
      <c r="O313" s="1590"/>
      <c r="P313" s="1588">
        <f>SUMIF(MAG!$G$157:$J$157,$C313,MAG!$G$153:$J$153)</f>
        <v>0</v>
      </c>
      <c r="Q313" s="1589"/>
      <c r="R313" s="1590"/>
      <c r="S313" s="1588">
        <f>SUMIF(GIU!$G$157:$J$157,$C313,GIU!$G$153:$J$153)</f>
        <v>0</v>
      </c>
      <c r="T313" s="1589"/>
      <c r="U313" s="1590"/>
      <c r="V313" s="1588">
        <f>SUMIF(LUG!$G$157:$J$157,$C313,LUG!$G$153:$J$153)</f>
        <v>0</v>
      </c>
      <c r="W313" s="1589"/>
      <c r="X313" s="1590"/>
      <c r="Y313" s="1588">
        <f>SUMIF(AGO!$G$157:$J$157,$C313,AGO!$G$153:$J$153)</f>
        <v>0</v>
      </c>
      <c r="Z313" s="1589"/>
      <c r="AA313" s="1590"/>
      <c r="AB313" s="1588">
        <f>SUMIF(SET!$G$157:$J$157,$C313,SET!$G$153:$J$153)</f>
        <v>0</v>
      </c>
      <c r="AC313" s="1589"/>
      <c r="AD313" s="1590"/>
      <c r="AE313" s="1588">
        <f>SUMIF(OTT!$G$157:$J$157,$C313,OTT!$G$153:$J$153)</f>
        <v>0</v>
      </c>
      <c r="AF313" s="1589"/>
      <c r="AG313" s="1590"/>
      <c r="AH313" s="1588">
        <f>SUMIF(NOV!$G$157:$J$157,$C313,NOV!$G$153:$J$153)</f>
        <v>0</v>
      </c>
      <c r="AI313" s="1589"/>
      <c r="AJ313" s="1590"/>
      <c r="AK313" s="1588">
        <f>SUMIF(DIC!$G$157:$J$157,$C313,DIC!$G$153:$J$153)</f>
        <v>0</v>
      </c>
      <c r="AL313" s="1589"/>
      <c r="AM313" s="1590"/>
      <c r="AN313" s="1588">
        <f t="shared" si="52"/>
        <v>0</v>
      </c>
      <c r="AO313" s="1589"/>
      <c r="AP313" s="1589"/>
      <c r="AQ313" s="1692" t="str">
        <f t="shared" si="51"/>
        <v>NON BANCO</v>
      </c>
      <c r="AR313" s="1690"/>
      <c r="AS313" s="1690"/>
      <c r="AT313" s="1691"/>
      <c r="AU313" s="48"/>
      <c r="AV313" s="48"/>
      <c r="AW313" s="481"/>
      <c r="AX313" s="481"/>
      <c r="AY313" s="481"/>
      <c r="AZ313" s="481"/>
      <c r="BA313" s="481"/>
      <c r="BB313" s="481"/>
      <c r="BC313" s="481"/>
      <c r="BD313" s="481"/>
      <c r="BE313" s="481"/>
      <c r="BF313" s="481"/>
      <c r="BG313" s="481"/>
      <c r="BH313" s="481"/>
      <c r="BI313" s="481"/>
      <c r="BJ313" s="481"/>
      <c r="BK313" s="481"/>
      <c r="BL313" s="481"/>
      <c r="BM313" s="481"/>
      <c r="BN313" s="481"/>
      <c r="BO313" s="481"/>
      <c r="BP313" s="481"/>
      <c r="BQ313" s="481"/>
      <c r="BR313" s="481"/>
      <c r="BS313" s="481"/>
      <c r="BT313" s="481"/>
      <c r="BU313" s="481"/>
      <c r="BV313" s="481"/>
      <c r="BW313" s="481"/>
      <c r="BX313" s="481"/>
      <c r="BY313" s="481"/>
      <c r="BZ313" s="481"/>
      <c r="CA313" s="481"/>
      <c r="CB313" s="481"/>
      <c r="CC313" s="481"/>
      <c r="CD313" s="481"/>
      <c r="CE313" s="481"/>
      <c r="CF313" s="481"/>
      <c r="CG313" s="481"/>
      <c r="CH313" s="481"/>
      <c r="CI313" s="481"/>
      <c r="CJ313" s="481"/>
      <c r="CK313" s="481"/>
      <c r="CL313" s="481"/>
      <c r="CM313" s="481"/>
      <c r="CN313" s="481"/>
      <c r="CO313" s="481"/>
      <c r="CP313" s="481"/>
      <c r="CQ313" s="481"/>
      <c r="CR313" s="481"/>
      <c r="CS313" s="481"/>
      <c r="CT313" s="481"/>
      <c r="CU313" s="481"/>
      <c r="CV313" s="481"/>
      <c r="CW313" s="481"/>
      <c r="CX313" s="481"/>
      <c r="CY313" s="481"/>
      <c r="CZ313" s="481"/>
      <c r="DA313" s="481"/>
      <c r="DB313" s="481"/>
      <c r="DC313" s="481"/>
      <c r="DD313" s="481"/>
      <c r="DE313" s="481"/>
      <c r="DF313" s="481"/>
      <c r="DG313" s="481"/>
      <c r="DH313" s="481"/>
      <c r="DI313" s="481"/>
      <c r="DJ313" s="481"/>
      <c r="DK313" s="481"/>
      <c r="DL313" s="481"/>
      <c r="DM313" s="481"/>
      <c r="DN313" s="481"/>
      <c r="DO313" s="481"/>
      <c r="DP313" s="481"/>
      <c r="DQ313" s="481"/>
      <c r="DR313" s="481"/>
      <c r="DS313" s="481"/>
      <c r="DT313" s="481"/>
      <c r="DU313" s="481"/>
      <c r="DV313" s="481"/>
      <c r="DW313" s="481"/>
      <c r="DX313" s="481"/>
      <c r="DY313" s="481"/>
      <c r="DZ313" s="481"/>
      <c r="EA313" s="481"/>
      <c r="EB313" s="481"/>
      <c r="EC313" s="481"/>
      <c r="ED313" s="481"/>
      <c r="EE313" s="481"/>
      <c r="EF313" s="481"/>
      <c r="EG313" s="481"/>
      <c r="EH313" s="481"/>
      <c r="EI313" s="481"/>
      <c r="EJ313" s="481"/>
      <c r="EK313" s="481"/>
      <c r="EL313" s="481"/>
      <c r="EM313" s="481"/>
      <c r="EN313" s="481"/>
      <c r="EO313" s="481"/>
      <c r="EP313" s="481"/>
      <c r="EQ313" s="481"/>
      <c r="ER313" s="481"/>
      <c r="ES313" s="481"/>
      <c r="ET313" s="481"/>
      <c r="EU313" s="481"/>
      <c r="EV313" s="481"/>
      <c r="EW313" s="481"/>
      <c r="EX313" s="481"/>
      <c r="EY313" s="481"/>
      <c r="EZ313" s="481"/>
      <c r="FA313" s="481"/>
      <c r="FB313" s="481"/>
      <c r="FC313" s="481"/>
      <c r="FD313" s="481"/>
    </row>
    <row r="314" spans="1:160" ht="18" hidden="1" customHeight="1" x14ac:dyDescent="0.2">
      <c r="B314" s="370">
        <f>IF(ISERROR(VLOOKUP(C314,A$308:A$316,1,FALSE)),0,COUNTIF(B$308:B313,"&gt;0")+1)</f>
        <v>0</v>
      </c>
      <c r="AU314" s="48"/>
      <c r="AV314" s="48"/>
      <c r="AW314" s="481"/>
      <c r="AX314" s="481"/>
      <c r="AY314" s="481"/>
      <c r="AZ314" s="481"/>
      <c r="BA314" s="481"/>
      <c r="BB314" s="481"/>
      <c r="BC314" s="481"/>
      <c r="BD314" s="481"/>
      <c r="BE314" s="481"/>
      <c r="BF314" s="481"/>
      <c r="BG314" s="481"/>
      <c r="BH314" s="481"/>
      <c r="BI314" s="481"/>
      <c r="BJ314" s="481"/>
      <c r="BK314" s="481"/>
      <c r="BL314" s="481"/>
      <c r="BM314" s="481"/>
      <c r="BN314" s="481"/>
      <c r="BO314" s="481"/>
      <c r="BP314" s="481"/>
      <c r="BQ314" s="481"/>
      <c r="BR314" s="481"/>
      <c r="BS314" s="481"/>
      <c r="BT314" s="481"/>
      <c r="BU314" s="481"/>
      <c r="BV314" s="481"/>
      <c r="BW314" s="481"/>
      <c r="BX314" s="481"/>
      <c r="BY314" s="481"/>
      <c r="BZ314" s="481"/>
      <c r="CA314" s="481"/>
      <c r="CB314" s="481"/>
      <c r="CC314" s="481"/>
      <c r="CD314" s="481"/>
      <c r="CE314" s="481"/>
      <c r="CF314" s="481"/>
      <c r="CG314" s="481"/>
      <c r="CH314" s="481"/>
      <c r="CI314" s="481"/>
      <c r="CJ314" s="481"/>
      <c r="CK314" s="481"/>
      <c r="CL314" s="481"/>
      <c r="CM314" s="481"/>
      <c r="CN314" s="481"/>
      <c r="CO314" s="481"/>
      <c r="CP314" s="481"/>
      <c r="CQ314" s="481"/>
      <c r="CR314" s="481"/>
      <c r="CS314" s="481"/>
      <c r="CT314" s="481"/>
      <c r="CU314" s="481"/>
      <c r="CV314" s="481"/>
      <c r="CW314" s="481"/>
      <c r="CX314" s="481"/>
      <c r="CY314" s="481"/>
      <c r="CZ314" s="481"/>
      <c r="DA314" s="481"/>
      <c r="DB314" s="481"/>
      <c r="DC314" s="481"/>
      <c r="DD314" s="481"/>
      <c r="DE314" s="481"/>
      <c r="DF314" s="481"/>
      <c r="DG314" s="481"/>
      <c r="DH314" s="481"/>
      <c r="DI314" s="481"/>
      <c r="DJ314" s="481"/>
      <c r="DK314" s="481"/>
      <c r="DL314" s="481"/>
      <c r="DM314" s="481"/>
      <c r="DN314" s="481"/>
      <c r="DO314" s="481"/>
      <c r="DP314" s="481"/>
      <c r="DQ314" s="481"/>
      <c r="DR314" s="481"/>
      <c r="DS314" s="481"/>
      <c r="DT314" s="481"/>
      <c r="DU314" s="481"/>
      <c r="DV314" s="481"/>
      <c r="DW314" s="481"/>
      <c r="DX314" s="481"/>
      <c r="DY314" s="481"/>
      <c r="DZ314" s="481"/>
      <c r="EA314" s="481"/>
      <c r="EB314" s="481"/>
      <c r="EC314" s="481"/>
      <c r="ED314" s="481"/>
      <c r="EE314" s="481"/>
      <c r="EF314" s="481"/>
      <c r="EG314" s="481"/>
      <c r="EH314" s="481"/>
      <c r="EI314" s="481"/>
      <c r="EJ314" s="481"/>
      <c r="EK314" s="481"/>
      <c r="EL314" s="481"/>
      <c r="EM314" s="481"/>
      <c r="EN314" s="481"/>
      <c r="EO314" s="481"/>
      <c r="EP314" s="481"/>
      <c r="EQ314" s="481"/>
      <c r="ER314" s="481"/>
      <c r="ES314" s="481"/>
      <c r="ET314" s="481"/>
      <c r="EU314" s="481"/>
      <c r="EV314" s="481"/>
      <c r="EW314" s="481"/>
      <c r="EX314" s="481"/>
      <c r="EY314" s="481"/>
      <c r="EZ314" s="481"/>
      <c r="FA314" s="481"/>
      <c r="FB314" s="481"/>
      <c r="FC314" s="481"/>
      <c r="FD314" s="481"/>
    </row>
    <row r="315" spans="1:160" ht="18" hidden="1" customHeight="1" x14ac:dyDescent="0.2">
      <c r="B315" s="370">
        <f>IF(ISERROR(VLOOKUP(C315,A$308:A$316,1,FALSE)),0,COUNTIF(B$308:B314,"&gt;0")+1)</f>
        <v>0</v>
      </c>
      <c r="AU315" s="48"/>
      <c r="AV315" s="48"/>
      <c r="AW315" s="481"/>
      <c r="AX315" s="481"/>
      <c r="AY315" s="481"/>
      <c r="AZ315" s="481"/>
      <c r="BA315" s="481"/>
      <c r="BB315" s="481"/>
      <c r="BC315" s="481"/>
      <c r="BD315" s="481"/>
      <c r="BE315" s="481"/>
      <c r="BF315" s="481"/>
      <c r="BG315" s="481"/>
      <c r="BH315" s="481"/>
      <c r="BI315" s="481"/>
      <c r="BJ315" s="481"/>
      <c r="BK315" s="481"/>
      <c r="BL315" s="481"/>
      <c r="BM315" s="481"/>
      <c r="BN315" s="481"/>
      <c r="BO315" s="481"/>
      <c r="BP315" s="481"/>
      <c r="BQ315" s="481"/>
      <c r="BR315" s="481"/>
      <c r="BS315" s="481"/>
      <c r="BT315" s="481"/>
      <c r="BU315" s="481"/>
      <c r="BV315" s="481"/>
      <c r="BW315" s="481"/>
      <c r="BX315" s="481"/>
      <c r="BY315" s="481"/>
      <c r="BZ315" s="481"/>
      <c r="CA315" s="481"/>
      <c r="CB315" s="481"/>
      <c r="CC315" s="481"/>
      <c r="CD315" s="481"/>
      <c r="CE315" s="481"/>
      <c r="CF315" s="481"/>
      <c r="CG315" s="481"/>
      <c r="CH315" s="481"/>
      <c r="CI315" s="481"/>
      <c r="CJ315" s="481"/>
      <c r="CK315" s="481"/>
      <c r="CL315" s="481"/>
      <c r="CM315" s="481"/>
      <c r="CN315" s="481"/>
      <c r="CO315" s="481"/>
      <c r="CP315" s="481"/>
      <c r="CQ315" s="481"/>
      <c r="CR315" s="481"/>
      <c r="CS315" s="481"/>
      <c r="CT315" s="481"/>
      <c r="CU315" s="481"/>
      <c r="CV315" s="481"/>
      <c r="CW315" s="481"/>
      <c r="CX315" s="481"/>
      <c r="CY315" s="481"/>
      <c r="CZ315" s="481"/>
      <c r="DA315" s="481"/>
      <c r="DB315" s="481"/>
      <c r="DC315" s="481"/>
      <c r="DD315" s="481"/>
      <c r="DE315" s="481"/>
      <c r="DF315" s="481"/>
      <c r="DG315" s="481"/>
      <c r="DH315" s="481"/>
      <c r="DI315" s="481"/>
      <c r="DJ315" s="481"/>
      <c r="DK315" s="481"/>
      <c r="DL315" s="481"/>
      <c r="DM315" s="481"/>
      <c r="DN315" s="481"/>
      <c r="DO315" s="481"/>
      <c r="DP315" s="481"/>
      <c r="DQ315" s="481"/>
      <c r="DR315" s="481"/>
      <c r="DS315" s="481"/>
      <c r="DT315" s="481"/>
      <c r="DU315" s="481"/>
      <c r="DV315" s="481"/>
      <c r="DW315" s="481"/>
      <c r="DX315" s="481"/>
      <c r="DY315" s="481"/>
      <c r="DZ315" s="481"/>
      <c r="EA315" s="481"/>
      <c r="EB315" s="481"/>
      <c r="EC315" s="481"/>
      <c r="ED315" s="481"/>
      <c r="EE315" s="481"/>
      <c r="EF315" s="481"/>
      <c r="EG315" s="481"/>
      <c r="EH315" s="481"/>
      <c r="EI315" s="481"/>
      <c r="EJ315" s="481"/>
      <c r="EK315" s="481"/>
      <c r="EL315" s="481"/>
      <c r="EM315" s="481"/>
      <c r="EN315" s="481"/>
      <c r="EO315" s="481"/>
      <c r="EP315" s="481"/>
      <c r="EQ315" s="481"/>
      <c r="ER315" s="481"/>
      <c r="ES315" s="481"/>
      <c r="ET315" s="481"/>
      <c r="EU315" s="481"/>
      <c r="EV315" s="481"/>
      <c r="EW315" s="481"/>
      <c r="EX315" s="481"/>
      <c r="EY315" s="481"/>
      <c r="EZ315" s="481"/>
      <c r="FA315" s="481"/>
      <c r="FB315" s="481"/>
      <c r="FC315" s="481"/>
      <c r="FD315" s="481"/>
    </row>
    <row r="316" spans="1:160" ht="18" hidden="1" customHeight="1" x14ac:dyDescent="0.2">
      <c r="A316" s="560" t="str">
        <f>IF(B252="--","--",MID(B252,7,2))</f>
        <v/>
      </c>
      <c r="B316" s="370">
        <f>IF(ISERROR(VLOOKUP(C316,A$308:A$316,1,FALSE)),0,COUNTIF(B$308:B315,"&gt;0")+1)</f>
        <v>0</v>
      </c>
      <c r="C316" s="309" t="str">
        <f>AG14</f>
        <v>27</v>
      </c>
      <c r="D316" s="1588">
        <f>SUMIF(GEN!$G$157:$J$157,$C316,GEN!$G$153:$J$153)</f>
        <v>0</v>
      </c>
      <c r="E316" s="1589"/>
      <c r="F316" s="1590"/>
      <c r="G316" s="1588">
        <f>SUMIF(FEB!$G$157:$J$157,$C316,FEB!$G$153:$J$153)</f>
        <v>0</v>
      </c>
      <c r="H316" s="1589"/>
      <c r="I316" s="1590"/>
      <c r="J316" s="1588">
        <f>SUMIF(MAR!$G$157:$J$157,$C316,MAR!$G$153:$J$153)</f>
        <v>0</v>
      </c>
      <c r="K316" s="1589"/>
      <c r="L316" s="1590"/>
      <c r="M316" s="1588">
        <f>SUMIF(APR!$G$157:$J$157,$C316,APR!$G$153:$J$153)</f>
        <v>0</v>
      </c>
      <c r="N316" s="1589"/>
      <c r="O316" s="1590"/>
      <c r="P316" s="1588">
        <f>SUMIF(MAG!$G$157:$J$157,$C316,MAG!$G$153:$J$153)</f>
        <v>0</v>
      </c>
      <c r="Q316" s="1589"/>
      <c r="R316" s="1590"/>
      <c r="S316" s="1588">
        <f>SUMIF(GIU!$G$157:$J$157,$C316,GIU!$G$153:$J$153)</f>
        <v>0</v>
      </c>
      <c r="T316" s="1589"/>
      <c r="U316" s="1590"/>
      <c r="V316" s="1588">
        <f>SUMIF(LUG!$G$157:$J$157,$C316,LUG!$G$153:$J$153)</f>
        <v>0</v>
      </c>
      <c r="W316" s="1589"/>
      <c r="X316" s="1590"/>
      <c r="Y316" s="1588">
        <f>SUMIF(AGO!$G$157:$J$157,$C316,AGO!$G$153:$J$153)</f>
        <v>0</v>
      </c>
      <c r="Z316" s="1589"/>
      <c r="AA316" s="1590"/>
      <c r="AB316" s="1588">
        <f>SUMIF(SET!$G$157:$J$157,$C316,SET!$G$153:$J$153)</f>
        <v>0</v>
      </c>
      <c r="AC316" s="1589"/>
      <c r="AD316" s="1590"/>
      <c r="AE316" s="1588">
        <f>SUMIF(OTT!$G$157:$J$157,$C316,OTT!$G$153:$J$153)</f>
        <v>0</v>
      </c>
      <c r="AF316" s="1589"/>
      <c r="AG316" s="1590"/>
      <c r="AH316" s="1588">
        <f>SUMIF(NOV!$G$157:$J$157,$C316,NOV!$G$153:$J$153)</f>
        <v>0</v>
      </c>
      <c r="AI316" s="1589"/>
      <c r="AJ316" s="1590"/>
      <c r="AK316" s="1588">
        <f>SUMIF(DIC!$G$157:$J$157,$C316,DIC!$G$153:$J$153)</f>
        <v>0</v>
      </c>
      <c r="AL316" s="1589"/>
      <c r="AM316" s="1590"/>
      <c r="AN316" s="1588">
        <f t="shared" si="52"/>
        <v>0</v>
      </c>
      <c r="AO316" s="1589"/>
      <c r="AP316" s="1589"/>
      <c r="AQ316" s="1692" t="str">
        <f>AH14</f>
        <v>BENI Strumentali</v>
      </c>
      <c r="AR316" s="1690"/>
      <c r="AS316" s="1690"/>
      <c r="AT316" s="1691"/>
      <c r="AU316" s="48"/>
      <c r="AV316" s="48"/>
      <c r="AW316" s="481"/>
      <c r="AX316" s="481"/>
      <c r="AY316" s="481"/>
      <c r="AZ316" s="481"/>
      <c r="BA316" s="481"/>
      <c r="BB316" s="481"/>
      <c r="BC316" s="481"/>
      <c r="BD316" s="481"/>
      <c r="BE316" s="481"/>
      <c r="BF316" s="481"/>
      <c r="BG316" s="481"/>
      <c r="BH316" s="481"/>
      <c r="BI316" s="481"/>
      <c r="BJ316" s="481"/>
      <c r="BK316" s="481"/>
      <c r="BL316" s="481"/>
      <c r="BM316" s="481"/>
      <c r="BN316" s="481"/>
      <c r="BO316" s="481"/>
      <c r="BP316" s="481"/>
      <c r="BQ316" s="481"/>
      <c r="BR316" s="481"/>
      <c r="BS316" s="481"/>
      <c r="BT316" s="481"/>
      <c r="BU316" s="481"/>
      <c r="BV316" s="481"/>
      <c r="BW316" s="481"/>
      <c r="BX316" s="481"/>
      <c r="BY316" s="481"/>
      <c r="BZ316" s="481"/>
      <c r="CA316" s="481"/>
      <c r="CB316" s="481"/>
      <c r="CC316" s="481"/>
      <c r="CD316" s="481"/>
      <c r="CE316" s="481"/>
      <c r="CF316" s="481"/>
      <c r="CG316" s="481"/>
      <c r="CH316" s="481"/>
      <c r="CI316" s="481"/>
      <c r="CJ316" s="481"/>
      <c r="CK316" s="481"/>
      <c r="CL316" s="481"/>
      <c r="CM316" s="481"/>
      <c r="CN316" s="481"/>
      <c r="CO316" s="481"/>
      <c r="CP316" s="481"/>
      <c r="CQ316" s="481"/>
      <c r="CR316" s="481"/>
      <c r="CS316" s="481"/>
      <c r="CT316" s="481"/>
      <c r="CU316" s="481"/>
      <c r="CV316" s="481"/>
      <c r="CW316" s="481"/>
      <c r="CX316" s="481"/>
      <c r="CY316" s="481"/>
      <c r="CZ316" s="481"/>
      <c r="DA316" s="481"/>
      <c r="DB316" s="481"/>
      <c r="DC316" s="481"/>
      <c r="DD316" s="481"/>
      <c r="DE316" s="481"/>
      <c r="DF316" s="481"/>
      <c r="DG316" s="481"/>
      <c r="DH316" s="481"/>
      <c r="DI316" s="481"/>
      <c r="DJ316" s="481"/>
      <c r="DK316" s="481"/>
      <c r="DL316" s="481"/>
      <c r="DM316" s="481"/>
      <c r="DN316" s="481"/>
      <c r="DO316" s="481"/>
      <c r="DP316" s="481"/>
      <c r="DQ316" s="481"/>
      <c r="DR316" s="481"/>
      <c r="DS316" s="481"/>
      <c r="DT316" s="481"/>
      <c r="DU316" s="481"/>
      <c r="DV316" s="481"/>
      <c r="DW316" s="481"/>
      <c r="DX316" s="481"/>
      <c r="DY316" s="481"/>
      <c r="DZ316" s="481"/>
      <c r="EA316" s="481"/>
      <c r="EB316" s="481"/>
      <c r="EC316" s="481"/>
      <c r="ED316" s="481"/>
      <c r="EE316" s="481"/>
      <c r="EF316" s="481"/>
      <c r="EG316" s="481"/>
      <c r="EH316" s="481"/>
      <c r="EI316" s="481"/>
      <c r="EJ316" s="481"/>
      <c r="EK316" s="481"/>
      <c r="EL316" s="481"/>
      <c r="EM316" s="481"/>
      <c r="EN316" s="481"/>
      <c r="EO316" s="481"/>
      <c r="EP316" s="481"/>
      <c r="EQ316" s="481"/>
      <c r="ER316" s="481"/>
      <c r="ES316" s="481"/>
      <c r="ET316" s="481"/>
      <c r="EU316" s="481"/>
      <c r="EV316" s="481"/>
      <c r="EW316" s="481"/>
      <c r="EX316" s="481"/>
      <c r="EY316" s="481"/>
      <c r="EZ316" s="481"/>
      <c r="FA316" s="481"/>
      <c r="FB316" s="481"/>
      <c r="FC316" s="481"/>
      <c r="FD316" s="481"/>
    </row>
    <row r="317" spans="1:160" ht="18" hidden="1" customHeight="1" x14ac:dyDescent="0.2">
      <c r="A317" s="186"/>
      <c r="B317" s="370">
        <f>IF(OR(AN317&gt;0,AN317&lt;0),COUNTIF(B$308:B316,"&gt;0")+1,0)</f>
        <v>1</v>
      </c>
      <c r="C317" s="309" t="str">
        <f>B321</f>
        <v>SC</v>
      </c>
      <c r="D317" s="1588">
        <f>SUMIF(GEN!$G$157:$J$157,$C317,GEN!$G$153:$J$153)</f>
        <v>1000</v>
      </c>
      <c r="E317" s="1589"/>
      <c r="F317" s="1590"/>
      <c r="G317" s="1588">
        <f>SUMIF(FEB!$G$157:$J$157,$C317,FEB!$G$153:$J$153)</f>
        <v>0</v>
      </c>
      <c r="H317" s="1589"/>
      <c r="I317" s="1590"/>
      <c r="J317" s="1588">
        <f>SUMIF(MAR!$G$157:$J$157,$C317,MAR!$G$153:$J$153)</f>
        <v>0</v>
      </c>
      <c r="K317" s="1589"/>
      <c r="L317" s="1590"/>
      <c r="M317" s="1588">
        <f>SUMIF(APR!$G$157:$J$157,$C317,APR!$G$153:$J$153)</f>
        <v>0</v>
      </c>
      <c r="N317" s="1589"/>
      <c r="O317" s="1590"/>
      <c r="P317" s="1588">
        <f>SUMIF(MAG!$G$157:$J$157,$C317,MAG!$G$153:$J$153)</f>
        <v>0</v>
      </c>
      <c r="Q317" s="1589"/>
      <c r="R317" s="1590"/>
      <c r="S317" s="1588">
        <f>SUMIF(GIU!$G$157:$J$157,$C317,GIU!$G$153:$J$153)</f>
        <v>0</v>
      </c>
      <c r="T317" s="1589"/>
      <c r="U317" s="1590"/>
      <c r="V317" s="1588">
        <f>SUMIF(LUG!$G$157:$J$157,$C317,LUG!$G$153:$J$153)</f>
        <v>0</v>
      </c>
      <c r="W317" s="1589"/>
      <c r="X317" s="1590"/>
      <c r="Y317" s="1588">
        <f>SUMIF(AGO!$G$157:$J$157,$C317,AGO!$G$153:$J$153)</f>
        <v>0</v>
      </c>
      <c r="Z317" s="1589"/>
      <c r="AA317" s="1590"/>
      <c r="AB317" s="1588">
        <f>SUMIF(SET!$G$157:$J$157,$C317,SET!$G$153:$J$153)</f>
        <v>0</v>
      </c>
      <c r="AC317" s="1589"/>
      <c r="AD317" s="1590"/>
      <c r="AE317" s="1588">
        <f>SUMIF(OTT!$G$157:$J$157,$C317,OTT!$G$153:$J$153)</f>
        <v>0</v>
      </c>
      <c r="AF317" s="1589"/>
      <c r="AG317" s="1590"/>
      <c r="AH317" s="1588">
        <f>SUMIF(NOV!$G$157:$J$157,$C317,NOV!$G$153:$J$153)</f>
        <v>0</v>
      </c>
      <c r="AI317" s="1589"/>
      <c r="AJ317" s="1590"/>
      <c r="AK317" s="1588">
        <f>SUMIF(DIC!$G$157:$J$157,$C317,DIC!$G$153:$J$153)</f>
        <v>0</v>
      </c>
      <c r="AL317" s="1589"/>
      <c r="AM317" s="1590"/>
      <c r="AN317" s="1588">
        <f t="shared" si="52"/>
        <v>1000</v>
      </c>
      <c r="AO317" s="1589"/>
      <c r="AP317" s="1590"/>
      <c r="AQ317" s="1698" t="str">
        <f>D321</f>
        <v>SENZA Categoria</v>
      </c>
      <c r="AR317" s="1699"/>
      <c r="AS317" s="1699"/>
      <c r="AT317" s="1700"/>
      <c r="AU317" s="48"/>
      <c r="AV317" s="48"/>
      <c r="AW317" s="481"/>
      <c r="AX317" s="481"/>
      <c r="AY317" s="481"/>
      <c r="AZ317" s="481"/>
      <c r="BA317" s="481"/>
      <c r="BB317" s="481"/>
      <c r="BC317" s="481"/>
      <c r="BD317" s="481"/>
      <c r="BE317" s="481"/>
      <c r="BF317" s="481"/>
      <c r="BG317" s="481"/>
      <c r="BH317" s="481"/>
      <c r="BI317" s="481"/>
      <c r="BJ317" s="481"/>
      <c r="BK317" s="481"/>
      <c r="BL317" s="481"/>
      <c r="BM317" s="481"/>
      <c r="BN317" s="481"/>
      <c r="BO317" s="481"/>
      <c r="BP317" s="481"/>
      <c r="BQ317" s="481"/>
      <c r="BR317" s="481"/>
      <c r="BS317" s="481"/>
      <c r="BT317" s="481"/>
      <c r="BU317" s="481"/>
      <c r="BV317" s="481"/>
      <c r="BW317" s="481"/>
      <c r="BX317" s="481"/>
      <c r="BY317" s="481"/>
      <c r="BZ317" s="481"/>
      <c r="CA317" s="481"/>
      <c r="CB317" s="481"/>
      <c r="CC317" s="481"/>
      <c r="CD317" s="481"/>
      <c r="CE317" s="481"/>
      <c r="CF317" s="481"/>
      <c r="CG317" s="481"/>
      <c r="CH317" s="481"/>
      <c r="CI317" s="481"/>
      <c r="CJ317" s="481"/>
      <c r="CK317" s="481"/>
      <c r="CL317" s="481"/>
      <c r="CM317" s="481"/>
      <c r="CN317" s="481"/>
      <c r="CO317" s="481"/>
      <c r="CP317" s="481"/>
      <c r="CQ317" s="481"/>
      <c r="CR317" s="481"/>
      <c r="CS317" s="481"/>
      <c r="CT317" s="481"/>
      <c r="CU317" s="481"/>
      <c r="CV317" s="481"/>
      <c r="CW317" s="481"/>
      <c r="CX317" s="481"/>
      <c r="CY317" s="481"/>
      <c r="CZ317" s="481"/>
      <c r="DA317" s="481"/>
      <c r="DB317" s="481"/>
      <c r="DC317" s="481"/>
      <c r="DD317" s="481"/>
      <c r="DE317" s="481"/>
      <c r="DF317" s="481"/>
      <c r="DG317" s="481"/>
      <c r="DH317" s="481"/>
      <c r="DI317" s="481"/>
      <c r="DJ317" s="481"/>
      <c r="DK317" s="481"/>
      <c r="DL317" s="481"/>
      <c r="DM317" s="481"/>
      <c r="DN317" s="481"/>
      <c r="DO317" s="481"/>
      <c r="DP317" s="481"/>
      <c r="DQ317" s="481"/>
      <c r="DR317" s="481"/>
      <c r="DS317" s="481"/>
      <c r="DT317" s="481"/>
      <c r="DU317" s="481"/>
      <c r="DV317" s="481"/>
      <c r="DW317" s="481"/>
      <c r="DX317" s="481"/>
      <c r="DY317" s="481"/>
      <c r="DZ317" s="481"/>
      <c r="EA317" s="481"/>
      <c r="EB317" s="481"/>
      <c r="EC317" s="481"/>
      <c r="ED317" s="481"/>
      <c r="EE317" s="481"/>
      <c r="EF317" s="481"/>
      <c r="EG317" s="481"/>
      <c r="EH317" s="481"/>
      <c r="EI317" s="481"/>
      <c r="EJ317" s="481"/>
      <c r="EK317" s="481"/>
      <c r="EL317" s="481"/>
      <c r="EM317" s="481"/>
      <c r="EN317" s="481"/>
      <c r="EO317" s="481"/>
      <c r="EP317" s="481"/>
      <c r="EQ317" s="481"/>
      <c r="ER317" s="481"/>
      <c r="ES317" s="481"/>
      <c r="ET317" s="481"/>
      <c r="EU317" s="481"/>
      <c r="EV317" s="481"/>
      <c r="EW317" s="481"/>
      <c r="EX317" s="481"/>
      <c r="EY317" s="481"/>
      <c r="EZ317" s="481"/>
      <c r="FA317" s="481"/>
      <c r="FB317" s="481"/>
      <c r="FC317" s="481"/>
      <c r="FD317" s="481"/>
    </row>
    <row r="318" spans="1:160" ht="18" hidden="1" customHeight="1" x14ac:dyDescent="0.2">
      <c r="A318" s="186"/>
      <c r="B318" s="48"/>
      <c r="C318" s="48"/>
      <c r="D318" s="1598">
        <f>SUM(D308:F317)</f>
        <v>1000</v>
      </c>
      <c r="E318" s="1599"/>
      <c r="F318" s="1600"/>
      <c r="G318" s="1598">
        <f>SUM(G308:I317)</f>
        <v>0</v>
      </c>
      <c r="H318" s="1599"/>
      <c r="I318" s="1600"/>
      <c r="J318" s="1598">
        <f>SUM(J308:L317)</f>
        <v>0</v>
      </c>
      <c r="K318" s="1599"/>
      <c r="L318" s="1600"/>
      <c r="M318" s="1598">
        <f>SUM(M308:O317)</f>
        <v>0</v>
      </c>
      <c r="N318" s="1599"/>
      <c r="O318" s="1600"/>
      <c r="P318" s="1598">
        <f>SUM(P308:R317)</f>
        <v>0</v>
      </c>
      <c r="Q318" s="1599"/>
      <c r="R318" s="1600"/>
      <c r="S318" s="1598">
        <f>SUM(S308:U317)</f>
        <v>0</v>
      </c>
      <c r="T318" s="1599"/>
      <c r="U318" s="1600"/>
      <c r="V318" s="1598">
        <f>SUM(V308:X317)</f>
        <v>0</v>
      </c>
      <c r="W318" s="1599"/>
      <c r="X318" s="1600"/>
      <c r="Y318" s="1598">
        <f>SUM(Y308:AA317)</f>
        <v>0</v>
      </c>
      <c r="Z318" s="1599"/>
      <c r="AA318" s="1600"/>
      <c r="AB318" s="1598">
        <f>SUM(AB308:AD317)</f>
        <v>0</v>
      </c>
      <c r="AC318" s="1599"/>
      <c r="AD318" s="1600"/>
      <c r="AE318" s="1598">
        <f>SUM(AE308:AG317)</f>
        <v>0</v>
      </c>
      <c r="AF318" s="1599"/>
      <c r="AG318" s="1600"/>
      <c r="AH318" s="1598">
        <f>SUM(AH308:AJ317)</f>
        <v>0</v>
      </c>
      <c r="AI318" s="1599"/>
      <c r="AJ318" s="1600"/>
      <c r="AK318" s="1598">
        <f>SUM(AK308:AM317)</f>
        <v>0</v>
      </c>
      <c r="AL318" s="1599"/>
      <c r="AM318" s="1600"/>
      <c r="AN318" s="1598">
        <f>SUM(D318:AM318)</f>
        <v>1000</v>
      </c>
      <c r="AO318" s="1599"/>
      <c r="AP318" s="1600"/>
      <c r="AQ318" s="48"/>
      <c r="AR318" s="48"/>
      <c r="AS318" s="48"/>
      <c r="AT318" s="48"/>
      <c r="AU318" s="48"/>
      <c r="AV318" s="48"/>
      <c r="AW318" s="481"/>
      <c r="AX318" s="481"/>
      <c r="AY318" s="481"/>
      <c r="AZ318" s="481"/>
      <c r="BA318" s="481"/>
      <c r="BB318" s="481"/>
      <c r="BC318" s="481"/>
      <c r="BD318" s="481"/>
      <c r="BE318" s="481"/>
      <c r="BF318" s="481"/>
      <c r="BG318" s="481"/>
      <c r="BH318" s="481"/>
      <c r="BI318" s="481"/>
      <c r="BJ318" s="481"/>
      <c r="BK318" s="481"/>
      <c r="BL318" s="481"/>
      <c r="BM318" s="481"/>
      <c r="BN318" s="481"/>
      <c r="BO318" s="481"/>
      <c r="BP318" s="481"/>
      <c r="BQ318" s="481"/>
      <c r="BR318" s="481"/>
      <c r="BS318" s="481"/>
      <c r="BT318" s="481"/>
      <c r="BU318" s="481"/>
      <c r="BV318" s="481"/>
      <c r="BW318" s="481"/>
      <c r="BX318" s="481"/>
      <c r="BY318" s="481"/>
      <c r="BZ318" s="481"/>
      <c r="CA318" s="481"/>
      <c r="CB318" s="481"/>
      <c r="CC318" s="481"/>
      <c r="CD318" s="481"/>
      <c r="CE318" s="481"/>
      <c r="CF318" s="481"/>
      <c r="CG318" s="481"/>
      <c r="CH318" s="481"/>
      <c r="CI318" s="481"/>
      <c r="CJ318" s="481"/>
      <c r="CK318" s="481"/>
      <c r="CL318" s="481"/>
      <c r="CM318" s="481"/>
      <c r="CN318" s="481"/>
      <c r="CO318" s="481"/>
      <c r="CP318" s="481"/>
      <c r="CQ318" s="481"/>
      <c r="CR318" s="481"/>
      <c r="CS318" s="481"/>
      <c r="CT318" s="481"/>
      <c r="CU318" s="481"/>
      <c r="CV318" s="481"/>
      <c r="CW318" s="481"/>
      <c r="CX318" s="481"/>
      <c r="CY318" s="481"/>
      <c r="CZ318" s="481"/>
      <c r="DA318" s="481"/>
      <c r="DB318" s="481"/>
      <c r="DC318" s="481"/>
      <c r="DD318" s="481"/>
      <c r="DE318" s="481"/>
      <c r="DF318" s="481"/>
      <c r="DG318" s="481"/>
      <c r="DH318" s="481"/>
      <c r="DI318" s="481"/>
      <c r="DJ318" s="481"/>
      <c r="DK318" s="481"/>
      <c r="DL318" s="481"/>
      <c r="DM318" s="481"/>
      <c r="DN318" s="481"/>
      <c r="DO318" s="481"/>
      <c r="DP318" s="481"/>
      <c r="DQ318" s="481"/>
      <c r="DR318" s="481"/>
      <c r="DS318" s="481"/>
      <c r="DT318" s="481"/>
      <c r="DU318" s="481"/>
      <c r="DV318" s="481"/>
      <c r="DW318" s="481"/>
      <c r="DX318" s="481"/>
      <c r="DY318" s="481"/>
      <c r="DZ318" s="481"/>
      <c r="EA318" s="481"/>
      <c r="EB318" s="481"/>
      <c r="EC318" s="481"/>
      <c r="ED318" s="481"/>
      <c r="EE318" s="481"/>
      <c r="EF318" s="481"/>
      <c r="EG318" s="481"/>
      <c r="EH318" s="481"/>
      <c r="EI318" s="481"/>
      <c r="EJ318" s="481"/>
      <c r="EK318" s="481"/>
      <c r="EL318" s="481"/>
      <c r="EM318" s="481"/>
      <c r="EN318" s="481"/>
      <c r="EO318" s="481"/>
      <c r="EP318" s="481"/>
      <c r="EQ318" s="481"/>
      <c r="ER318" s="481"/>
      <c r="ES318" s="481"/>
      <c r="ET318" s="481"/>
      <c r="EU318" s="481"/>
      <c r="EV318" s="481"/>
      <c r="EW318" s="481"/>
      <c r="EX318" s="481"/>
      <c r="EY318" s="481"/>
      <c r="EZ318" s="481"/>
      <c r="FA318" s="481"/>
      <c r="FB318" s="481"/>
      <c r="FC318" s="481"/>
      <c r="FD318" s="481"/>
    </row>
    <row r="319" spans="1:160" ht="18" hidden="1" customHeight="1" x14ac:dyDescent="0.2">
      <c r="A319" s="186"/>
      <c r="B319" s="48"/>
      <c r="C319" s="48"/>
      <c r="D319" s="1588">
        <f>D318</f>
        <v>1000</v>
      </c>
      <c r="E319" s="1589"/>
      <c r="F319" s="1590"/>
      <c r="G319" s="1588">
        <f>G318+D319</f>
        <v>1000</v>
      </c>
      <c r="H319" s="1589"/>
      <c r="I319" s="1590"/>
      <c r="J319" s="1588">
        <f>J318+G319</f>
        <v>1000</v>
      </c>
      <c r="K319" s="1589"/>
      <c r="L319" s="1590"/>
      <c r="M319" s="1588">
        <f>M318+J319</f>
        <v>1000</v>
      </c>
      <c r="N319" s="1589"/>
      <c r="O319" s="1590"/>
      <c r="P319" s="1588">
        <f>P318+M319</f>
        <v>1000</v>
      </c>
      <c r="Q319" s="1589"/>
      <c r="R319" s="1590"/>
      <c r="S319" s="1588">
        <f>S318+P319</f>
        <v>1000</v>
      </c>
      <c r="T319" s="1589"/>
      <c r="U319" s="1590"/>
      <c r="V319" s="1588">
        <f>V318+S319</f>
        <v>1000</v>
      </c>
      <c r="W319" s="1589"/>
      <c r="X319" s="1590"/>
      <c r="Y319" s="1588">
        <f>Y318+V319</f>
        <v>1000</v>
      </c>
      <c r="Z319" s="1589"/>
      <c r="AA319" s="1590"/>
      <c r="AB319" s="1588">
        <f>AB318+Y319</f>
        <v>1000</v>
      </c>
      <c r="AC319" s="1589"/>
      <c r="AD319" s="1590"/>
      <c r="AE319" s="1588">
        <f>AE318+AB319</f>
        <v>1000</v>
      </c>
      <c r="AF319" s="1589"/>
      <c r="AG319" s="1590"/>
      <c r="AH319" s="1588">
        <f>AH318+AE319</f>
        <v>1000</v>
      </c>
      <c r="AI319" s="1589"/>
      <c r="AJ319" s="1590"/>
      <c r="AK319" s="1588">
        <f>AK318+AH319</f>
        <v>1000</v>
      </c>
      <c r="AL319" s="1589"/>
      <c r="AM319" s="1590"/>
      <c r="AN319" s="48"/>
      <c r="AO319" s="48"/>
      <c r="AP319" s="48"/>
      <c r="AQ319" s="48"/>
      <c r="AR319" s="48"/>
      <c r="AS319" s="48"/>
      <c r="AT319" s="48"/>
      <c r="AU319" s="48"/>
      <c r="AV319" s="48"/>
      <c r="AW319" s="481"/>
      <c r="AX319" s="481"/>
      <c r="AY319" s="481"/>
      <c r="AZ319" s="481"/>
      <c r="BA319" s="481"/>
      <c r="BB319" s="481"/>
      <c r="BC319" s="481"/>
      <c r="BD319" s="481"/>
      <c r="BE319" s="481"/>
      <c r="BF319" s="481"/>
      <c r="BG319" s="481"/>
      <c r="BH319" s="481"/>
      <c r="BI319" s="481"/>
      <c r="BJ319" s="481"/>
      <c r="BK319" s="481"/>
      <c r="BL319" s="481"/>
      <c r="BM319" s="481"/>
      <c r="BN319" s="481"/>
      <c r="BO319" s="481"/>
      <c r="BP319" s="481"/>
      <c r="BQ319" s="481"/>
      <c r="BR319" s="481"/>
      <c r="BS319" s="481"/>
      <c r="BT319" s="481"/>
      <c r="BU319" s="481"/>
      <c r="BV319" s="481"/>
      <c r="BW319" s="481"/>
      <c r="BX319" s="481"/>
      <c r="BY319" s="481"/>
      <c r="BZ319" s="481"/>
      <c r="CA319" s="481"/>
      <c r="CB319" s="481"/>
      <c r="CC319" s="481"/>
      <c r="CD319" s="481"/>
      <c r="CE319" s="481"/>
      <c r="CF319" s="481"/>
      <c r="CG319" s="481"/>
      <c r="CH319" s="481"/>
      <c r="CI319" s="481"/>
      <c r="CJ319" s="481"/>
      <c r="CK319" s="481"/>
      <c r="CL319" s="481"/>
      <c r="CM319" s="481"/>
      <c r="CN319" s="481"/>
      <c r="CO319" s="481"/>
      <c r="CP319" s="481"/>
      <c r="CQ319" s="481"/>
      <c r="CR319" s="481"/>
      <c r="CS319" s="481"/>
      <c r="CT319" s="481"/>
      <c r="CU319" s="481"/>
      <c r="CV319" s="481"/>
      <c r="CW319" s="481"/>
      <c r="CX319" s="481"/>
      <c r="CY319" s="481"/>
      <c r="CZ319" s="481"/>
      <c r="DA319" s="481"/>
      <c r="DB319" s="481"/>
      <c r="DC319" s="481"/>
      <c r="DD319" s="481"/>
      <c r="DE319" s="481"/>
      <c r="DF319" s="481"/>
      <c r="DG319" s="481"/>
      <c r="DH319" s="481"/>
      <c r="DI319" s="481"/>
      <c r="DJ319" s="481"/>
      <c r="DK319" s="481"/>
      <c r="DL319" s="481"/>
      <c r="DM319" s="481"/>
      <c r="DN319" s="481"/>
      <c r="DO319" s="481"/>
      <c r="DP319" s="481"/>
      <c r="DQ319" s="481"/>
      <c r="DR319" s="481"/>
      <c r="DS319" s="481"/>
      <c r="DT319" s="481"/>
      <c r="DU319" s="481"/>
      <c r="DV319" s="481"/>
      <c r="DW319" s="481"/>
      <c r="DX319" s="481"/>
      <c r="DY319" s="481"/>
      <c r="DZ319" s="481"/>
      <c r="EA319" s="481"/>
      <c r="EB319" s="481"/>
      <c r="EC319" s="481"/>
      <c r="ED319" s="481"/>
      <c r="EE319" s="481"/>
      <c r="EF319" s="481"/>
      <c r="EG319" s="481"/>
      <c r="EH319" s="481"/>
      <c r="EI319" s="481"/>
      <c r="EJ319" s="481"/>
      <c r="EK319" s="481"/>
      <c r="EL319" s="481"/>
      <c r="EM319" s="481"/>
      <c r="EN319" s="481"/>
      <c r="EO319" s="481"/>
      <c r="EP319" s="481"/>
      <c r="EQ319" s="481"/>
      <c r="ER319" s="481"/>
      <c r="ES319" s="481"/>
      <c r="ET319" s="481"/>
      <c r="EU319" s="481"/>
      <c r="EV319" s="481"/>
      <c r="EW319" s="481"/>
      <c r="EX319" s="481"/>
      <c r="EY319" s="481"/>
      <c r="EZ319" s="481"/>
      <c r="FA319" s="481"/>
      <c r="FB319" s="481"/>
      <c r="FC319" s="481"/>
      <c r="FD319" s="481"/>
    </row>
    <row r="320" spans="1:160" ht="18" hidden="1" customHeight="1" x14ac:dyDescent="0.2">
      <c r="A320" s="186"/>
      <c r="B320" s="48"/>
      <c r="C320" s="48"/>
      <c r="D320" s="48"/>
      <c r="E320" s="48"/>
      <c r="F320" s="48"/>
      <c r="G320" s="185"/>
      <c r="H320" s="185"/>
      <c r="I320" s="185"/>
      <c r="J320" s="185"/>
      <c r="K320" s="185"/>
      <c r="L320" s="185"/>
      <c r="M320" s="185"/>
      <c r="N320" s="185"/>
      <c r="O320" s="185"/>
      <c r="P320" s="185"/>
      <c r="Q320" s="185"/>
      <c r="R320" s="185"/>
      <c r="S320" s="185"/>
      <c r="T320" s="185"/>
      <c r="U320" s="185"/>
      <c r="V320" s="185"/>
      <c r="W320" s="185"/>
      <c r="X320" s="185"/>
      <c r="Y320" s="185"/>
      <c r="Z320" s="185"/>
      <c r="AA320" s="185"/>
      <c r="AB320" s="185"/>
      <c r="AC320" s="186"/>
      <c r="AD320" s="186"/>
      <c r="AE320" s="186"/>
      <c r="AF320" s="186"/>
      <c r="AG320" s="186"/>
      <c r="AH320" s="186"/>
      <c r="AI320" s="186"/>
      <c r="AJ320" s="186"/>
      <c r="AK320" s="186"/>
      <c r="AL320" s="186"/>
      <c r="AM320" s="186"/>
      <c r="AN320" s="48"/>
      <c r="AO320" s="48"/>
      <c r="AP320" s="48"/>
      <c r="AQ320" s="48"/>
      <c r="AR320" s="48"/>
      <c r="AS320" s="48"/>
      <c r="AT320" s="481"/>
      <c r="AU320" s="481"/>
      <c r="AV320" s="481"/>
      <c r="AW320" s="481"/>
      <c r="AX320" s="481"/>
      <c r="AY320" s="481"/>
      <c r="AZ320" s="481"/>
      <c r="BA320" s="481"/>
      <c r="BB320" s="481"/>
      <c r="BC320" s="481"/>
      <c r="BD320" s="481"/>
      <c r="BE320" s="481"/>
      <c r="BF320" s="481"/>
      <c r="BG320" s="481"/>
      <c r="BH320" s="481"/>
      <c r="BI320" s="481"/>
      <c r="BJ320" s="481"/>
      <c r="BK320" s="481"/>
      <c r="BL320" s="481"/>
      <c r="BM320" s="481"/>
      <c r="BN320" s="481"/>
      <c r="BO320" s="481"/>
      <c r="BP320" s="481"/>
      <c r="BQ320" s="481"/>
      <c r="BR320" s="481"/>
      <c r="BS320" s="481"/>
      <c r="BT320" s="481"/>
      <c r="BU320" s="481"/>
      <c r="BV320" s="481"/>
      <c r="BW320" s="481"/>
      <c r="BX320" s="481"/>
      <c r="BY320" s="481"/>
      <c r="BZ320" s="481"/>
      <c r="CA320" s="481"/>
      <c r="CB320" s="481"/>
      <c r="CC320" s="481"/>
      <c r="CD320" s="481"/>
      <c r="CE320" s="481"/>
      <c r="CF320" s="481"/>
      <c r="CG320" s="481"/>
      <c r="CH320" s="481"/>
      <c r="CI320" s="481"/>
      <c r="CJ320" s="481"/>
      <c r="CK320" s="481"/>
      <c r="CL320" s="481"/>
      <c r="CM320" s="481"/>
      <c r="CN320" s="481"/>
      <c r="CO320" s="481"/>
      <c r="CP320" s="481"/>
      <c r="CQ320" s="481"/>
      <c r="CR320" s="481"/>
      <c r="CS320" s="481"/>
      <c r="CT320" s="481"/>
      <c r="CU320" s="481"/>
      <c r="CV320" s="481"/>
      <c r="CW320" s="481"/>
      <c r="CX320" s="481"/>
      <c r="CY320" s="481"/>
      <c r="CZ320" s="481"/>
      <c r="DA320" s="481"/>
      <c r="DB320" s="481"/>
      <c r="DC320" s="481"/>
      <c r="DD320" s="481"/>
      <c r="DE320" s="481"/>
      <c r="DF320" s="481"/>
      <c r="DG320" s="481"/>
      <c r="DH320" s="481"/>
      <c r="DI320" s="481"/>
      <c r="DJ320" s="481"/>
      <c r="DK320" s="481"/>
      <c r="DL320" s="481"/>
      <c r="DM320" s="481"/>
      <c r="DN320" s="481"/>
      <c r="DO320" s="481"/>
      <c r="DP320" s="481"/>
      <c r="DQ320" s="481"/>
      <c r="DR320" s="481"/>
      <c r="DS320" s="481"/>
      <c r="DT320" s="481"/>
      <c r="DU320" s="481"/>
      <c r="DV320" s="481"/>
      <c r="DW320" s="481"/>
      <c r="DX320" s="481"/>
      <c r="DY320" s="481"/>
      <c r="DZ320" s="481"/>
      <c r="EA320" s="481"/>
      <c r="EB320" s="481"/>
      <c r="EC320" s="481"/>
      <c r="ED320" s="481"/>
      <c r="EE320" s="481"/>
      <c r="EF320" s="481"/>
      <c r="EG320" s="481"/>
      <c r="EH320" s="481"/>
      <c r="EI320" s="481"/>
      <c r="EJ320" s="481"/>
      <c r="EK320" s="481"/>
      <c r="EL320" s="481"/>
      <c r="EM320" s="481"/>
      <c r="EN320" s="481"/>
      <c r="EO320" s="481"/>
      <c r="EP320" s="481"/>
      <c r="EQ320" s="481"/>
      <c r="ER320" s="481"/>
      <c r="ES320" s="481"/>
      <c r="ET320" s="481"/>
      <c r="EU320" s="481"/>
      <c r="EV320" s="481"/>
      <c r="EW320" s="481"/>
      <c r="EX320" s="481"/>
      <c r="EY320" s="481"/>
      <c r="EZ320" s="481"/>
      <c r="FA320" s="481"/>
      <c r="FB320" s="481"/>
      <c r="FC320" s="481"/>
      <c r="FD320" s="481"/>
    </row>
    <row r="321" spans="1:160" ht="18" hidden="1" customHeight="1" x14ac:dyDescent="0.2">
      <c r="A321" s="186"/>
      <c r="B321" s="1694" t="s">
        <v>522</v>
      </c>
      <c r="C321" s="1695"/>
      <c r="D321" s="1696" t="s">
        <v>523</v>
      </c>
      <c r="E321" s="1697"/>
      <c r="F321" s="1697"/>
      <c r="G321" s="1697"/>
      <c r="H321" s="185"/>
      <c r="I321" s="185"/>
      <c r="J321" s="185"/>
      <c r="K321" s="185"/>
      <c r="L321" s="185"/>
      <c r="M321" s="185"/>
      <c r="N321" s="185"/>
      <c r="O321" s="185"/>
      <c r="P321" s="185"/>
      <c r="Q321" s="185"/>
      <c r="R321" s="185"/>
      <c r="S321" s="185"/>
      <c r="T321" s="185"/>
      <c r="U321" s="185"/>
      <c r="V321" s="185"/>
      <c r="W321" s="185"/>
      <c r="X321" s="185"/>
      <c r="Y321" s="185"/>
      <c r="Z321" s="185"/>
      <c r="AA321" s="185"/>
      <c r="AB321" s="185"/>
      <c r="AC321" s="186"/>
      <c r="AD321" s="186"/>
      <c r="AE321" s="186"/>
      <c r="AF321" s="186"/>
      <c r="AG321" s="186"/>
      <c r="AH321" s="186"/>
      <c r="AI321" s="186"/>
      <c r="AJ321" s="186"/>
      <c r="AK321" s="186"/>
      <c r="AL321" s="186"/>
      <c r="AM321" s="186"/>
      <c r="AN321" s="48"/>
      <c r="AO321" s="48"/>
      <c r="AP321" s="48"/>
      <c r="AQ321" s="48"/>
      <c r="AR321" s="48"/>
      <c r="AS321" s="48"/>
      <c r="AT321" s="481"/>
      <c r="AU321" s="481"/>
      <c r="AV321" s="481"/>
      <c r="AW321" s="481"/>
      <c r="AX321" s="481"/>
      <c r="AY321" s="481"/>
      <c r="AZ321" s="481"/>
      <c r="BA321" s="481"/>
      <c r="BB321" s="481"/>
      <c r="BC321" s="481"/>
      <c r="BD321" s="481"/>
      <c r="BE321" s="481"/>
      <c r="BF321" s="481"/>
      <c r="BG321" s="481"/>
      <c r="BH321" s="481"/>
      <c r="BI321" s="481"/>
      <c r="BJ321" s="481"/>
      <c r="BK321" s="481"/>
      <c r="BL321" s="481"/>
      <c r="BM321" s="481"/>
      <c r="BN321" s="481"/>
      <c r="BO321" s="481"/>
      <c r="BP321" s="481"/>
      <c r="BQ321" s="481"/>
      <c r="BR321" s="481"/>
      <c r="BS321" s="481"/>
      <c r="BT321" s="481"/>
      <c r="BU321" s="481"/>
      <c r="BV321" s="481"/>
      <c r="BW321" s="481"/>
      <c r="BX321" s="481"/>
      <c r="BY321" s="481"/>
      <c r="BZ321" s="481"/>
      <c r="CA321" s="481"/>
      <c r="CB321" s="481"/>
      <c r="CC321" s="481"/>
      <c r="CD321" s="481"/>
      <c r="CE321" s="481"/>
      <c r="CF321" s="481"/>
      <c r="CG321" s="481"/>
      <c r="CH321" s="481"/>
      <c r="CI321" s="481"/>
      <c r="CJ321" s="481"/>
      <c r="CK321" s="481"/>
      <c r="CL321" s="481"/>
      <c r="CM321" s="481"/>
      <c r="CN321" s="481"/>
      <c r="CO321" s="481"/>
      <c r="CP321" s="481"/>
      <c r="CQ321" s="481"/>
      <c r="CR321" s="481"/>
      <c r="CS321" s="481"/>
      <c r="CT321" s="481"/>
      <c r="CU321" s="481"/>
      <c r="CV321" s="481"/>
      <c r="CW321" s="481"/>
      <c r="CX321" s="481"/>
      <c r="CY321" s="481"/>
      <c r="CZ321" s="481"/>
      <c r="DA321" s="481"/>
      <c r="DB321" s="481"/>
      <c r="DC321" s="481"/>
      <c r="DD321" s="481"/>
      <c r="DE321" s="481"/>
      <c r="DF321" s="481"/>
      <c r="DG321" s="481"/>
      <c r="DH321" s="481"/>
      <c r="DI321" s="481"/>
      <c r="DJ321" s="481"/>
      <c r="DK321" s="481"/>
      <c r="DL321" s="481"/>
      <c r="DM321" s="481"/>
      <c r="DN321" s="481"/>
      <c r="DO321" s="481"/>
      <c r="DP321" s="481"/>
      <c r="DQ321" s="481"/>
      <c r="DR321" s="481"/>
      <c r="DS321" s="481"/>
      <c r="DT321" s="481"/>
      <c r="DU321" s="481"/>
      <c r="DV321" s="481"/>
      <c r="DW321" s="481"/>
      <c r="DX321" s="481"/>
      <c r="DY321" s="481"/>
      <c r="DZ321" s="481"/>
      <c r="EA321" s="481"/>
      <c r="EB321" s="481"/>
      <c r="EC321" s="481"/>
      <c r="ED321" s="481"/>
      <c r="EE321" s="481"/>
      <c r="EF321" s="481"/>
      <c r="EG321" s="481"/>
      <c r="EH321" s="481"/>
      <c r="EI321" s="481"/>
      <c r="EJ321" s="481"/>
      <c r="EK321" s="481"/>
      <c r="EL321" s="481"/>
      <c r="EM321" s="481"/>
      <c r="EN321" s="481"/>
      <c r="EO321" s="481"/>
      <c r="EP321" s="481"/>
      <c r="EQ321" s="481"/>
      <c r="ER321" s="481"/>
      <c r="ES321" s="481"/>
      <c r="ET321" s="481"/>
      <c r="EU321" s="481"/>
      <c r="EV321" s="481"/>
      <c r="EW321" s="481"/>
      <c r="EX321" s="481"/>
      <c r="EY321" s="481"/>
      <c r="EZ321" s="481"/>
      <c r="FA321" s="481"/>
      <c r="FB321" s="481"/>
      <c r="FC321" s="481"/>
      <c r="FD321" s="481"/>
    </row>
    <row r="322" spans="1:160" ht="18" hidden="1" customHeight="1" x14ac:dyDescent="0.2">
      <c r="A322" s="186"/>
      <c r="B322" s="369"/>
      <c r="C322" s="183"/>
      <c r="D322" s="48"/>
      <c r="E322" s="48"/>
      <c r="F322" s="48"/>
      <c r="G322" s="185"/>
      <c r="H322" s="185"/>
      <c r="I322" s="185"/>
      <c r="J322" s="185"/>
      <c r="K322" s="185"/>
      <c r="L322" s="185"/>
      <c r="M322" s="185"/>
      <c r="N322" s="185"/>
      <c r="O322" s="185"/>
      <c r="P322" s="185"/>
      <c r="Q322" s="185"/>
      <c r="R322" s="185"/>
      <c r="S322" s="185"/>
      <c r="T322" s="185"/>
      <c r="U322" s="185"/>
      <c r="V322" s="185"/>
      <c r="W322" s="185"/>
      <c r="X322" s="185"/>
      <c r="Y322" s="185"/>
      <c r="Z322" s="185"/>
      <c r="AA322" s="185"/>
      <c r="AB322" s="185"/>
      <c r="AC322" s="186"/>
      <c r="AD322" s="186"/>
      <c r="AE322" s="186"/>
      <c r="AF322" s="186"/>
      <c r="AG322" s="186"/>
      <c r="AH322" s="186"/>
      <c r="AI322" s="186"/>
      <c r="AJ322" s="186"/>
      <c r="AK322" s="186"/>
      <c r="AL322" s="186"/>
      <c r="AM322" s="186"/>
      <c r="AN322" s="48"/>
      <c r="AO322" s="48"/>
      <c r="AP322" s="48"/>
      <c r="AQ322" s="48"/>
      <c r="AR322" s="48"/>
      <c r="AS322" s="48"/>
      <c r="AT322" s="481"/>
      <c r="AU322" s="481"/>
      <c r="AV322" s="481"/>
      <c r="AW322" s="481"/>
      <c r="AX322" s="481"/>
      <c r="AY322" s="481"/>
      <c r="AZ322" s="481"/>
      <c r="BA322" s="481"/>
      <c r="BB322" s="481"/>
      <c r="BC322" s="481"/>
      <c r="BD322" s="481"/>
      <c r="BE322" s="481"/>
      <c r="BF322" s="481"/>
      <c r="BG322" s="481"/>
      <c r="BH322" s="481"/>
      <c r="BI322" s="481"/>
      <c r="BJ322" s="481"/>
      <c r="BK322" s="481"/>
      <c r="BL322" s="481"/>
      <c r="BM322" s="481"/>
      <c r="BN322" s="481"/>
      <c r="BO322" s="481"/>
      <c r="BP322" s="481"/>
      <c r="BQ322" s="481"/>
      <c r="BR322" s="481"/>
      <c r="BS322" s="481"/>
      <c r="BT322" s="481"/>
      <c r="BU322" s="481"/>
      <c r="BV322" s="481"/>
      <c r="BW322" s="481"/>
      <c r="BX322" s="481"/>
      <c r="BY322" s="481"/>
      <c r="BZ322" s="481"/>
      <c r="CA322" s="481"/>
      <c r="CB322" s="481"/>
      <c r="CC322" s="481"/>
      <c r="CD322" s="481"/>
      <c r="CE322" s="481"/>
      <c r="CF322" s="481"/>
      <c r="CG322" s="481"/>
      <c r="CH322" s="481"/>
      <c r="CI322" s="481"/>
      <c r="CJ322" s="481"/>
      <c r="CK322" s="481"/>
      <c r="CL322" s="481"/>
      <c r="CM322" s="481"/>
      <c r="CN322" s="481"/>
      <c r="CO322" s="481"/>
      <c r="CP322" s="481"/>
      <c r="CQ322" s="481"/>
      <c r="CR322" s="481"/>
      <c r="CS322" s="481"/>
      <c r="CT322" s="481"/>
      <c r="CU322" s="481"/>
      <c r="CV322" s="481"/>
      <c r="CW322" s="481"/>
      <c r="CX322" s="481"/>
      <c r="CY322" s="481"/>
      <c r="CZ322" s="481"/>
      <c r="DA322" s="481"/>
      <c r="DB322" s="481"/>
      <c r="DC322" s="481"/>
      <c r="DD322" s="481"/>
      <c r="DE322" s="481"/>
      <c r="DF322" s="481"/>
      <c r="DG322" s="481"/>
      <c r="DH322" s="481"/>
      <c r="DI322" s="481"/>
      <c r="DJ322" s="481"/>
      <c r="DK322" s="481"/>
      <c r="DL322" s="481"/>
      <c r="DM322" s="481"/>
      <c r="DN322" s="481"/>
      <c r="DO322" s="481"/>
      <c r="DP322" s="481"/>
      <c r="DQ322" s="481"/>
      <c r="DR322" s="481"/>
      <c r="DS322" s="481"/>
      <c r="DT322" s="481"/>
      <c r="DU322" s="481"/>
      <c r="DV322" s="481"/>
      <c r="DW322" s="481"/>
      <c r="DX322" s="481"/>
      <c r="DY322" s="481"/>
      <c r="DZ322" s="481"/>
      <c r="EA322" s="481"/>
      <c r="EB322" s="481"/>
      <c r="EC322" s="481"/>
      <c r="ED322" s="481"/>
      <c r="EE322" s="481"/>
      <c r="EF322" s="481"/>
      <c r="EG322" s="481"/>
      <c r="EH322" s="481"/>
      <c r="EI322" s="481"/>
      <c r="EJ322" s="481"/>
      <c r="EK322" s="481"/>
      <c r="EL322" s="481"/>
      <c r="EM322" s="481"/>
      <c r="EN322" s="481"/>
      <c r="EO322" s="481"/>
      <c r="EP322" s="481"/>
      <c r="EQ322" s="481"/>
      <c r="ER322" s="481"/>
      <c r="ES322" s="481"/>
      <c r="ET322" s="481"/>
      <c r="EU322" s="481"/>
      <c r="EV322" s="481"/>
      <c r="EW322" s="481"/>
      <c r="EX322" s="481"/>
      <c r="EY322" s="481"/>
      <c r="EZ322" s="481"/>
      <c r="FA322" s="481"/>
      <c r="FB322" s="481"/>
      <c r="FC322" s="481"/>
      <c r="FD322" s="481"/>
    </row>
    <row r="323" spans="1:160" ht="18" hidden="1" customHeight="1" x14ac:dyDescent="0.2">
      <c r="A323" s="186"/>
      <c r="B323" s="1687" t="s">
        <v>524</v>
      </c>
      <c r="C323" s="1693"/>
      <c r="D323" s="1601" t="str">
        <f>D307</f>
        <v>Gennaio</v>
      </c>
      <c r="E323" s="1602"/>
      <c r="F323" s="1602"/>
      <c r="G323" s="1601" t="str">
        <f>G307</f>
        <v>Febbraio</v>
      </c>
      <c r="H323" s="1602"/>
      <c r="I323" s="1602"/>
      <c r="J323" s="1601" t="str">
        <f>J307</f>
        <v>Marzo</v>
      </c>
      <c r="K323" s="1602"/>
      <c r="L323" s="1602"/>
      <c r="M323" s="1601" t="str">
        <f>M307</f>
        <v>Aprile</v>
      </c>
      <c r="N323" s="1602"/>
      <c r="O323" s="1602"/>
      <c r="P323" s="1601" t="str">
        <f>P307</f>
        <v>Maggio</v>
      </c>
      <c r="Q323" s="1602"/>
      <c r="R323" s="1602"/>
      <c r="S323" s="1601" t="str">
        <f>S307</f>
        <v>Giugno</v>
      </c>
      <c r="T323" s="1602"/>
      <c r="U323" s="1602"/>
      <c r="V323" s="1601" t="str">
        <f>V307</f>
        <v>Luglio</v>
      </c>
      <c r="W323" s="1602"/>
      <c r="X323" s="1603"/>
      <c r="Y323" s="1601" t="str">
        <f>Y307</f>
        <v>Agosto</v>
      </c>
      <c r="Z323" s="1602"/>
      <c r="AA323" s="1602"/>
      <c r="AB323" s="1601" t="str">
        <f>AB307</f>
        <v>Settembre</v>
      </c>
      <c r="AC323" s="1602"/>
      <c r="AD323" s="1602"/>
      <c r="AE323" s="1601" t="str">
        <f>AE307</f>
        <v>Ottobre</v>
      </c>
      <c r="AF323" s="1602"/>
      <c r="AG323" s="1602"/>
      <c r="AH323" s="1601" t="str">
        <f>AH307</f>
        <v>Novembre</v>
      </c>
      <c r="AI323" s="1602"/>
      <c r="AJ323" s="1602"/>
      <c r="AK323" s="1601" t="str">
        <f>AK307</f>
        <v>Dicembre</v>
      </c>
      <c r="AL323" s="1602"/>
      <c r="AM323" s="1603"/>
      <c r="AN323" s="48"/>
      <c r="AO323" s="48"/>
      <c r="AP323" s="48"/>
      <c r="AQ323" s="48"/>
      <c r="AR323" s="48"/>
      <c r="AS323" s="48"/>
      <c r="AT323" s="481"/>
      <c r="AU323" s="481"/>
      <c r="AV323" s="481"/>
      <c r="AW323" s="481"/>
      <c r="AX323" s="481"/>
      <c r="AY323" s="481"/>
      <c r="AZ323" s="481"/>
      <c r="BA323" s="481"/>
      <c r="BB323" s="481"/>
      <c r="BC323" s="481"/>
      <c r="BD323" s="481"/>
      <c r="BE323" s="481"/>
      <c r="BF323" s="481"/>
      <c r="BG323" s="481"/>
      <c r="BH323" s="481"/>
      <c r="BI323" s="481"/>
      <c r="BJ323" s="481"/>
      <c r="BK323" s="481"/>
      <c r="BL323" s="481"/>
      <c r="BM323" s="481"/>
      <c r="BN323" s="481"/>
      <c r="BO323" s="481"/>
      <c r="BP323" s="481"/>
      <c r="BQ323" s="481"/>
      <c r="BR323" s="481"/>
      <c r="BS323" s="481"/>
      <c r="BT323" s="481"/>
      <c r="BU323" s="481"/>
      <c r="BV323" s="481"/>
      <c r="BW323" s="481"/>
      <c r="BX323" s="481"/>
      <c r="BY323" s="481"/>
      <c r="BZ323" s="481"/>
      <c r="CA323" s="481"/>
      <c r="CB323" s="481"/>
      <c r="CC323" s="481"/>
      <c r="CD323" s="481"/>
      <c r="CE323" s="481"/>
      <c r="CF323" s="481"/>
      <c r="CG323" s="481"/>
      <c r="CH323" s="481"/>
      <c r="CI323" s="481"/>
      <c r="CJ323" s="481"/>
      <c r="CK323" s="481"/>
      <c r="CL323" s="481"/>
      <c r="CM323" s="481"/>
      <c r="CN323" s="481"/>
      <c r="CO323" s="481"/>
      <c r="CP323" s="481"/>
      <c r="CQ323" s="481"/>
      <c r="CR323" s="481"/>
      <c r="CS323" s="481"/>
      <c r="CT323" s="481"/>
      <c r="CU323" s="481"/>
      <c r="CV323" s="481"/>
      <c r="CW323" s="481"/>
      <c r="CX323" s="481"/>
      <c r="CY323" s="481"/>
      <c r="CZ323" s="481"/>
      <c r="DA323" s="481"/>
      <c r="DB323" s="481"/>
      <c r="DC323" s="481"/>
      <c r="DD323" s="481"/>
      <c r="DE323" s="481"/>
      <c r="DF323" s="481"/>
      <c r="DG323" s="481"/>
      <c r="DH323" s="481"/>
      <c r="DI323" s="481"/>
      <c r="DJ323" s="481"/>
      <c r="DK323" s="481"/>
      <c r="DL323" s="481"/>
      <c r="DM323" s="481"/>
      <c r="DN323" s="481"/>
      <c r="DO323" s="481"/>
      <c r="DP323" s="481"/>
      <c r="DQ323" s="481"/>
      <c r="DR323" s="481"/>
      <c r="DS323" s="481"/>
      <c r="DT323" s="481"/>
      <c r="DU323" s="481"/>
      <c r="DV323" s="481"/>
      <c r="DW323" s="481"/>
      <c r="DX323" s="481"/>
      <c r="DY323" s="481"/>
      <c r="DZ323" s="481"/>
      <c r="EA323" s="481"/>
      <c r="EB323" s="481"/>
      <c r="EC323" s="481"/>
      <c r="ED323" s="481"/>
      <c r="EE323" s="481"/>
      <c r="EF323" s="481"/>
      <c r="EG323" s="481"/>
      <c r="EH323" s="481"/>
      <c r="EI323" s="481"/>
      <c r="EJ323" s="481"/>
      <c r="EK323" s="481"/>
      <c r="EL323" s="481"/>
      <c r="EM323" s="481"/>
      <c r="EN323" s="481"/>
      <c r="EO323" s="481"/>
      <c r="EP323" s="481"/>
      <c r="EQ323" s="481"/>
      <c r="ER323" s="481"/>
      <c r="ES323" s="481"/>
      <c r="ET323" s="481"/>
      <c r="EU323" s="481"/>
      <c r="EV323" s="481"/>
      <c r="EW323" s="481"/>
      <c r="EX323" s="481"/>
      <c r="EY323" s="481"/>
      <c r="EZ323" s="481"/>
      <c r="FA323" s="481"/>
      <c r="FB323" s="481"/>
      <c r="FC323" s="481"/>
      <c r="FD323" s="481"/>
    </row>
    <row r="324" spans="1:160" ht="18" hidden="1" customHeight="1" x14ac:dyDescent="0.2">
      <c r="A324" s="186"/>
      <c r="B324" s="370">
        <f>B308</f>
        <v>0</v>
      </c>
      <c r="C324" s="309" t="str">
        <f>C308</f>
        <v>21</v>
      </c>
      <c r="D324" s="1588">
        <f>SUMIF(GEN!$G$157:$J$157,$C324,GEN!$G$154:$J$154)</f>
        <v>0</v>
      </c>
      <c r="E324" s="1589"/>
      <c r="F324" s="1590"/>
      <c r="G324" s="1588">
        <f>SUMIF(FEB!$G$157:$J$157,$C324,FEB!$G$154:$J$154)</f>
        <v>0</v>
      </c>
      <c r="H324" s="1589"/>
      <c r="I324" s="1590"/>
      <c r="J324" s="1588">
        <f>SUMIF(MAR!$G$157:$J$157,$C324,MAR!$G$154:$J$154)</f>
        <v>0</v>
      </c>
      <c r="K324" s="1589"/>
      <c r="L324" s="1590"/>
      <c r="M324" s="1588">
        <f>SUMIF(APR!$G$157:$J$157,$C324,APR!$G$154:$J$154)</f>
        <v>0</v>
      </c>
      <c r="N324" s="1589"/>
      <c r="O324" s="1590"/>
      <c r="P324" s="1588">
        <f>SUMIF(MAG!$G$157:$J$157,$C324,MAG!$G$154:$J$154)</f>
        <v>0</v>
      </c>
      <c r="Q324" s="1589"/>
      <c r="R324" s="1590"/>
      <c r="S324" s="1588">
        <f>SUMIF(GIU!$G$157:$J$157,$C324,GIU!$G$154:$J$154)</f>
        <v>0</v>
      </c>
      <c r="T324" s="1589"/>
      <c r="U324" s="1590"/>
      <c r="V324" s="1588">
        <f>SUMIF(LUG!$G$157:$J$157,$C324,LUG!$G$154:$J$154)</f>
        <v>0</v>
      </c>
      <c r="W324" s="1589"/>
      <c r="X324" s="1590"/>
      <c r="Y324" s="1588">
        <f>SUMIF(AGO!$G$157:$J$157,$C324,AGO!$G$154:$J$154)</f>
        <v>0</v>
      </c>
      <c r="Z324" s="1589"/>
      <c r="AA324" s="1590"/>
      <c r="AB324" s="1588">
        <f>SUMIF(SET!$G$157:$J$157,$C324,SET!$G$154:$J$154)</f>
        <v>0</v>
      </c>
      <c r="AC324" s="1589"/>
      <c r="AD324" s="1590"/>
      <c r="AE324" s="1588">
        <f>SUMIF(OTT!$G$157:$J$157,$C324,OTT!$G$154:$J$154)</f>
        <v>0</v>
      </c>
      <c r="AF324" s="1589"/>
      <c r="AG324" s="1590"/>
      <c r="AH324" s="1588">
        <f>SUMIF(NOV!$G$157:$J$157,$C324,NOV!$G$154:$J$154)</f>
        <v>0</v>
      </c>
      <c r="AI324" s="1589"/>
      <c r="AJ324" s="1590"/>
      <c r="AK324" s="1588">
        <f>SUMIF(DIC!$G$157:$J$157,$C324,DIC!$G$154:$J$154)</f>
        <v>0</v>
      </c>
      <c r="AL324" s="1589"/>
      <c r="AM324" s="1590"/>
      <c r="AN324" s="1588">
        <f>SUM(D324:AM324)</f>
        <v>0</v>
      </c>
      <c r="AO324" s="1589"/>
      <c r="AP324" s="1590"/>
      <c r="AQ324" s="48"/>
      <c r="AR324" s="48"/>
      <c r="AS324" s="48"/>
      <c r="AT324" s="481"/>
      <c r="AU324" s="481"/>
      <c r="AV324" s="481"/>
      <c r="AW324" s="481"/>
      <c r="AX324" s="481"/>
      <c r="AY324" s="481"/>
      <c r="AZ324" s="481"/>
      <c r="BA324" s="481"/>
      <c r="BB324" s="481"/>
      <c r="BC324" s="481"/>
      <c r="BD324" s="481"/>
      <c r="BE324" s="481"/>
      <c r="BF324" s="481"/>
      <c r="BG324" s="481"/>
      <c r="BH324" s="481"/>
      <c r="BI324" s="481"/>
      <c r="BJ324" s="481"/>
      <c r="BK324" s="481"/>
      <c r="BL324" s="481"/>
      <c r="BM324" s="481"/>
      <c r="BN324" s="481"/>
      <c r="BO324" s="481"/>
      <c r="BP324" s="481"/>
      <c r="BQ324" s="481"/>
      <c r="BR324" s="481"/>
      <c r="BS324" s="481"/>
      <c r="BT324" s="481"/>
      <c r="BU324" s="481"/>
      <c r="BV324" s="481"/>
      <c r="BW324" s="481"/>
      <c r="BX324" s="481"/>
      <c r="BY324" s="481"/>
      <c r="BZ324" s="481"/>
      <c r="CA324" s="481"/>
      <c r="CB324" s="481"/>
      <c r="CC324" s="481"/>
      <c r="CD324" s="481"/>
      <c r="CE324" s="481"/>
      <c r="CF324" s="481"/>
      <c r="CG324" s="481"/>
      <c r="CH324" s="481"/>
      <c r="CI324" s="481"/>
      <c r="CJ324" s="481"/>
      <c r="CK324" s="481"/>
      <c r="CL324" s="481"/>
      <c r="CM324" s="481"/>
      <c r="CN324" s="481"/>
      <c r="CO324" s="481"/>
      <c r="CP324" s="481"/>
      <c r="CQ324" s="481"/>
      <c r="CR324" s="481"/>
      <c r="CS324" s="481"/>
      <c r="CT324" s="481"/>
      <c r="CU324" s="481"/>
      <c r="CV324" s="481"/>
      <c r="CW324" s="481"/>
      <c r="CX324" s="481"/>
      <c r="CY324" s="481"/>
      <c r="CZ324" s="481"/>
      <c r="DA324" s="481"/>
      <c r="DB324" s="481"/>
      <c r="DC324" s="481"/>
      <c r="DD324" s="481"/>
      <c r="DE324" s="481"/>
      <c r="DF324" s="481"/>
      <c r="DG324" s="481"/>
      <c r="DH324" s="481"/>
      <c r="DI324" s="481"/>
      <c r="DJ324" s="481"/>
      <c r="DK324" s="481"/>
      <c r="DL324" s="481"/>
      <c r="DM324" s="481"/>
      <c r="DN324" s="481"/>
      <c r="DO324" s="481"/>
      <c r="DP324" s="481"/>
      <c r="DQ324" s="481"/>
      <c r="DR324" s="481"/>
      <c r="DS324" s="481"/>
      <c r="DT324" s="481"/>
      <c r="DU324" s="481"/>
      <c r="DV324" s="481"/>
      <c r="DW324" s="481"/>
      <c r="DX324" s="481"/>
      <c r="DY324" s="481"/>
      <c r="DZ324" s="481"/>
      <c r="EA324" s="481"/>
      <c r="EB324" s="481"/>
      <c r="EC324" s="481"/>
      <c r="ED324" s="481"/>
      <c r="EE324" s="481"/>
      <c r="EF324" s="481"/>
      <c r="EG324" s="481"/>
      <c r="EH324" s="481"/>
      <c r="EI324" s="481"/>
      <c r="EJ324" s="481"/>
      <c r="EK324" s="481"/>
      <c r="EL324" s="481"/>
      <c r="EM324" s="481"/>
      <c r="EN324" s="481"/>
      <c r="EO324" s="481"/>
      <c r="EP324" s="481"/>
      <c r="EQ324" s="481"/>
      <c r="ER324" s="481"/>
      <c r="ES324" s="481"/>
      <c r="ET324" s="481"/>
      <c r="EU324" s="481"/>
      <c r="EV324" s="481"/>
      <c r="EW324" s="481"/>
      <c r="EX324" s="481"/>
      <c r="EY324" s="481"/>
      <c r="EZ324" s="481"/>
      <c r="FA324" s="481"/>
      <c r="FB324" s="481"/>
      <c r="FC324" s="481"/>
      <c r="FD324" s="481"/>
    </row>
    <row r="325" spans="1:160" ht="18" hidden="1" customHeight="1" x14ac:dyDescent="0.2">
      <c r="A325" s="186"/>
      <c r="B325" s="370">
        <f>B309</f>
        <v>0</v>
      </c>
      <c r="C325" s="309" t="str">
        <f t="shared" ref="C325:C333" si="53">C309</f>
        <v>22</v>
      </c>
      <c r="D325" s="1588">
        <f>SUMIF(GEN!$G$157:$J$157,$C325,GEN!$G$154:$J$154)</f>
        <v>0</v>
      </c>
      <c r="E325" s="1589"/>
      <c r="F325" s="1590"/>
      <c r="G325" s="1588">
        <f>SUMIF(FEB!$G$157:$J$157,$C325,FEB!$G$154:$J$154)</f>
        <v>0</v>
      </c>
      <c r="H325" s="1589"/>
      <c r="I325" s="1590"/>
      <c r="J325" s="1588">
        <f>SUMIF(MAR!$G$157:$J$157,$C325,MAR!$G$154:$J$154)</f>
        <v>0</v>
      </c>
      <c r="K325" s="1589"/>
      <c r="L325" s="1590"/>
      <c r="M325" s="1588">
        <f>SUMIF(APR!$G$157:$J$157,$C325,APR!$G$154:$J$154)</f>
        <v>0</v>
      </c>
      <c r="N325" s="1589"/>
      <c r="O325" s="1590"/>
      <c r="P325" s="1588">
        <f>SUMIF(MAG!$G$157:$J$157,$C325,MAG!$G$154:$J$154)</f>
        <v>0</v>
      </c>
      <c r="Q325" s="1589"/>
      <c r="R325" s="1590"/>
      <c r="S325" s="1588">
        <f>SUMIF(GIU!$G$157:$J$157,$C325,GIU!$G$154:$J$154)</f>
        <v>0</v>
      </c>
      <c r="T325" s="1589"/>
      <c r="U325" s="1590"/>
      <c r="V325" s="1588">
        <f>SUMIF(LUG!$G$157:$J$157,$C325,LUG!$G$154:$J$154)</f>
        <v>0</v>
      </c>
      <c r="W325" s="1589"/>
      <c r="X325" s="1590"/>
      <c r="Y325" s="1588">
        <f>SUMIF(AGO!$G$157:$J$157,$C325,AGO!$G$154:$J$154)</f>
        <v>0</v>
      </c>
      <c r="Z325" s="1589"/>
      <c r="AA325" s="1590"/>
      <c r="AB325" s="1588">
        <f>SUMIF(SET!$G$157:$J$157,$C325,SET!$G$154:$J$154)</f>
        <v>0</v>
      </c>
      <c r="AC325" s="1589"/>
      <c r="AD325" s="1590"/>
      <c r="AE325" s="1588">
        <f>SUMIF(OTT!$G$157:$J$157,$C325,OTT!$G$154:$J$154)</f>
        <v>0</v>
      </c>
      <c r="AF325" s="1589"/>
      <c r="AG325" s="1590"/>
      <c r="AH325" s="1588">
        <f>SUMIF(NOV!$G$157:$J$157,$C325,NOV!$G$154:$J$154)</f>
        <v>0</v>
      </c>
      <c r="AI325" s="1589"/>
      <c r="AJ325" s="1590"/>
      <c r="AK325" s="1588">
        <f>SUMIF(DIC!$G$157:$J$157,$C325,DIC!$G$154:$J$154)</f>
        <v>0</v>
      </c>
      <c r="AL325" s="1589"/>
      <c r="AM325" s="1590"/>
      <c r="AN325" s="1588">
        <f t="shared" ref="AN325:AN333" si="54">SUM(D325:AM325)</f>
        <v>0</v>
      </c>
      <c r="AO325" s="1589"/>
      <c r="AP325" s="1590"/>
      <c r="AQ325" s="48"/>
      <c r="AR325" s="48"/>
      <c r="AS325" s="48"/>
      <c r="AT325" s="481"/>
      <c r="AU325" s="481"/>
      <c r="AV325" s="481"/>
      <c r="AW325" s="481"/>
      <c r="AX325" s="481"/>
      <c r="AY325" s="481"/>
      <c r="AZ325" s="481"/>
      <c r="BA325" s="481"/>
      <c r="BB325" s="481"/>
      <c r="BC325" s="481"/>
      <c r="BD325" s="481"/>
      <c r="BE325" s="481"/>
      <c r="BF325" s="481"/>
      <c r="BG325" s="481"/>
      <c r="BH325" s="481"/>
      <c r="BI325" s="481"/>
      <c r="BJ325" s="481"/>
      <c r="BK325" s="481"/>
      <c r="BL325" s="481"/>
      <c r="BM325" s="481"/>
      <c r="BN325" s="481"/>
      <c r="BO325" s="481"/>
      <c r="BP325" s="481"/>
      <c r="BQ325" s="481"/>
      <c r="BR325" s="481"/>
      <c r="BS325" s="481"/>
      <c r="BT325" s="481"/>
      <c r="BU325" s="481"/>
      <c r="BV325" s="481"/>
      <c r="BW325" s="481"/>
      <c r="BX325" s="481"/>
      <c r="BY325" s="481"/>
      <c r="BZ325" s="481"/>
      <c r="CA325" s="481"/>
      <c r="CB325" s="481"/>
      <c r="CC325" s="481"/>
      <c r="CD325" s="481"/>
      <c r="CE325" s="481"/>
      <c r="CF325" s="481"/>
      <c r="CG325" s="481"/>
      <c r="CH325" s="481"/>
      <c r="CI325" s="481"/>
      <c r="CJ325" s="481"/>
      <c r="CK325" s="481"/>
      <c r="CL325" s="481"/>
      <c r="CM325" s="481"/>
      <c r="CN325" s="481"/>
      <c r="CO325" s="481"/>
      <c r="CP325" s="481"/>
      <c r="CQ325" s="481"/>
      <c r="CR325" s="481"/>
      <c r="CS325" s="481"/>
      <c r="CT325" s="481"/>
      <c r="CU325" s="481"/>
      <c r="CV325" s="481"/>
      <c r="CW325" s="481"/>
      <c r="CX325" s="481"/>
      <c r="CY325" s="481"/>
      <c r="CZ325" s="481"/>
      <c r="DA325" s="481"/>
      <c r="DB325" s="481"/>
      <c r="DC325" s="481"/>
      <c r="DD325" s="481"/>
      <c r="DE325" s="481"/>
      <c r="DF325" s="481"/>
      <c r="DG325" s="481"/>
      <c r="DH325" s="481"/>
      <c r="DI325" s="481"/>
      <c r="DJ325" s="481"/>
      <c r="DK325" s="481"/>
      <c r="DL325" s="481"/>
      <c r="DM325" s="481"/>
      <c r="DN325" s="481"/>
      <c r="DO325" s="481"/>
      <c r="DP325" s="481"/>
      <c r="DQ325" s="481"/>
      <c r="DR325" s="481"/>
      <c r="DS325" s="481"/>
      <c r="DT325" s="481"/>
      <c r="DU325" s="481"/>
      <c r="DV325" s="481"/>
      <c r="DW325" s="481"/>
      <c r="DX325" s="481"/>
      <c r="DY325" s="481"/>
      <c r="DZ325" s="481"/>
      <c r="EA325" s="481"/>
      <c r="EB325" s="481"/>
      <c r="EC325" s="481"/>
      <c r="ED325" s="481"/>
      <c r="EE325" s="481"/>
      <c r="EF325" s="481"/>
      <c r="EG325" s="481"/>
      <c r="EH325" s="481"/>
      <c r="EI325" s="481"/>
      <c r="EJ325" s="481"/>
      <c r="EK325" s="481"/>
      <c r="EL325" s="481"/>
      <c r="EM325" s="481"/>
      <c r="EN325" s="481"/>
      <c r="EO325" s="481"/>
      <c r="EP325" s="481"/>
      <c r="EQ325" s="481"/>
      <c r="ER325" s="481"/>
      <c r="ES325" s="481"/>
      <c r="ET325" s="481"/>
      <c r="EU325" s="481"/>
      <c r="EV325" s="481"/>
      <c r="EW325" s="481"/>
      <c r="EX325" s="481"/>
      <c r="EY325" s="481"/>
      <c r="EZ325" s="481"/>
      <c r="FA325" s="481"/>
      <c r="FB325" s="481"/>
      <c r="FC325" s="481"/>
      <c r="FD325" s="481"/>
    </row>
    <row r="326" spans="1:160" ht="18" hidden="1" customHeight="1" x14ac:dyDescent="0.2">
      <c r="A326" s="186"/>
      <c r="B326" s="370">
        <f t="shared" ref="B326:B333" si="55">B310</f>
        <v>0</v>
      </c>
      <c r="C326" s="309" t="str">
        <f t="shared" si="53"/>
        <v>23</v>
      </c>
      <c r="D326" s="1588">
        <f>SUMIF(GEN!$G$157:$J$157,$C326,GEN!$G$154:$J$154)</f>
        <v>0</v>
      </c>
      <c r="E326" s="1589"/>
      <c r="F326" s="1590"/>
      <c r="G326" s="1588">
        <f>SUMIF(FEB!$G$157:$J$157,$C326,FEB!$G$154:$J$154)</f>
        <v>0</v>
      </c>
      <c r="H326" s="1589"/>
      <c r="I326" s="1590"/>
      <c r="J326" s="1588">
        <f>SUMIF(MAR!$G$157:$J$157,$C326,MAR!$G$154:$J$154)</f>
        <v>0</v>
      </c>
      <c r="K326" s="1589"/>
      <c r="L326" s="1590"/>
      <c r="M326" s="1588">
        <f>SUMIF(APR!$G$157:$J$157,$C326,APR!$G$154:$J$154)</f>
        <v>0</v>
      </c>
      <c r="N326" s="1589"/>
      <c r="O326" s="1590"/>
      <c r="P326" s="1588">
        <f>SUMIF(MAG!$G$157:$J$157,$C326,MAG!$G$154:$J$154)</f>
        <v>0</v>
      </c>
      <c r="Q326" s="1589"/>
      <c r="R326" s="1590"/>
      <c r="S326" s="1588">
        <f>SUMIF(GIU!$G$157:$J$157,$C326,GIU!$G$154:$J$154)</f>
        <v>0</v>
      </c>
      <c r="T326" s="1589"/>
      <c r="U326" s="1590"/>
      <c r="V326" s="1588">
        <f>SUMIF(LUG!$G$157:$J$157,$C326,LUG!$G$154:$J$154)</f>
        <v>0</v>
      </c>
      <c r="W326" s="1589"/>
      <c r="X326" s="1590"/>
      <c r="Y326" s="1588">
        <f>SUMIF(AGO!$G$157:$J$157,$C326,AGO!$G$154:$J$154)</f>
        <v>0</v>
      </c>
      <c r="Z326" s="1589"/>
      <c r="AA326" s="1590"/>
      <c r="AB326" s="1588">
        <f>SUMIF(SET!$G$157:$J$157,$C326,SET!$G$154:$J$154)</f>
        <v>0</v>
      </c>
      <c r="AC326" s="1589"/>
      <c r="AD326" s="1590"/>
      <c r="AE326" s="1588">
        <f>SUMIF(OTT!$G$157:$J$157,$C326,OTT!$G$154:$J$154)</f>
        <v>0</v>
      </c>
      <c r="AF326" s="1589"/>
      <c r="AG326" s="1590"/>
      <c r="AH326" s="1588">
        <f>SUMIF(NOV!$G$157:$J$157,$C326,NOV!$G$154:$J$154)</f>
        <v>0</v>
      </c>
      <c r="AI326" s="1589"/>
      <c r="AJ326" s="1590"/>
      <c r="AK326" s="1588">
        <f>SUMIF(DIC!$G$157:$J$157,$C326,DIC!$G$154:$J$154)</f>
        <v>0</v>
      </c>
      <c r="AL326" s="1589"/>
      <c r="AM326" s="1590"/>
      <c r="AN326" s="1588">
        <f t="shared" si="54"/>
        <v>0</v>
      </c>
      <c r="AO326" s="1589"/>
      <c r="AP326" s="1590"/>
      <c r="AQ326" s="48"/>
      <c r="AR326" s="48"/>
      <c r="AS326" s="48"/>
      <c r="AT326" s="481"/>
      <c r="AU326" s="481"/>
      <c r="AV326" s="481"/>
      <c r="AW326" s="481"/>
      <c r="AX326" s="481"/>
      <c r="AY326" s="481"/>
      <c r="AZ326" s="481"/>
      <c r="BA326" s="481"/>
      <c r="BB326" s="481"/>
      <c r="BC326" s="481"/>
      <c r="BD326" s="481"/>
      <c r="BE326" s="481"/>
      <c r="BF326" s="481"/>
      <c r="BG326" s="481"/>
      <c r="BH326" s="481"/>
      <c r="BI326" s="481"/>
      <c r="BJ326" s="481"/>
      <c r="BK326" s="481"/>
      <c r="BL326" s="481"/>
      <c r="BM326" s="481"/>
      <c r="BN326" s="481"/>
      <c r="BO326" s="481"/>
      <c r="BP326" s="481"/>
      <c r="BQ326" s="481"/>
      <c r="BR326" s="481"/>
      <c r="BS326" s="481"/>
      <c r="BT326" s="481"/>
      <c r="BU326" s="481"/>
      <c r="BV326" s="481"/>
      <c r="BW326" s="481"/>
      <c r="BX326" s="481"/>
      <c r="BY326" s="481"/>
      <c r="BZ326" s="481"/>
      <c r="CA326" s="481"/>
      <c r="CB326" s="481"/>
      <c r="CC326" s="481"/>
      <c r="CD326" s="481"/>
      <c r="CE326" s="481"/>
      <c r="CF326" s="481"/>
      <c r="CG326" s="481"/>
      <c r="CH326" s="481"/>
      <c r="CI326" s="481"/>
      <c r="CJ326" s="481"/>
      <c r="CK326" s="481"/>
      <c r="CL326" s="481"/>
      <c r="CM326" s="481"/>
      <c r="CN326" s="481"/>
      <c r="CO326" s="481"/>
      <c r="CP326" s="481"/>
      <c r="CQ326" s="481"/>
      <c r="CR326" s="481"/>
      <c r="CS326" s="481"/>
      <c r="CT326" s="481"/>
      <c r="CU326" s="481"/>
      <c r="CV326" s="481"/>
      <c r="CW326" s="481"/>
      <c r="CX326" s="481"/>
      <c r="CY326" s="481"/>
      <c r="CZ326" s="481"/>
      <c r="DA326" s="481"/>
      <c r="DB326" s="481"/>
      <c r="DC326" s="481"/>
      <c r="DD326" s="481"/>
      <c r="DE326" s="481"/>
      <c r="DF326" s="481"/>
      <c r="DG326" s="481"/>
      <c r="DH326" s="481"/>
      <c r="DI326" s="481"/>
      <c r="DJ326" s="481"/>
      <c r="DK326" s="481"/>
      <c r="DL326" s="481"/>
      <c r="DM326" s="481"/>
      <c r="DN326" s="481"/>
      <c r="DO326" s="481"/>
      <c r="DP326" s="481"/>
      <c r="DQ326" s="481"/>
      <c r="DR326" s="481"/>
      <c r="DS326" s="481"/>
      <c r="DT326" s="481"/>
      <c r="DU326" s="481"/>
      <c r="DV326" s="481"/>
      <c r="DW326" s="481"/>
      <c r="DX326" s="481"/>
      <c r="DY326" s="481"/>
      <c r="DZ326" s="481"/>
      <c r="EA326" s="481"/>
      <c r="EB326" s="481"/>
      <c r="EC326" s="481"/>
      <c r="ED326" s="481"/>
      <c r="EE326" s="481"/>
      <c r="EF326" s="481"/>
      <c r="EG326" s="481"/>
      <c r="EH326" s="481"/>
      <c r="EI326" s="481"/>
      <c r="EJ326" s="481"/>
      <c r="EK326" s="481"/>
      <c r="EL326" s="481"/>
      <c r="EM326" s="481"/>
      <c r="EN326" s="481"/>
      <c r="EO326" s="481"/>
      <c r="EP326" s="481"/>
      <c r="EQ326" s="481"/>
      <c r="ER326" s="481"/>
      <c r="ES326" s="481"/>
      <c r="ET326" s="481"/>
      <c r="EU326" s="481"/>
      <c r="EV326" s="481"/>
      <c r="EW326" s="481"/>
      <c r="EX326" s="481"/>
      <c r="EY326" s="481"/>
      <c r="EZ326" s="481"/>
      <c r="FA326" s="481"/>
      <c r="FB326" s="481"/>
      <c r="FC326" s="481"/>
      <c r="FD326" s="481"/>
    </row>
    <row r="327" spans="1:160" ht="18" hidden="1" customHeight="1" x14ac:dyDescent="0.2">
      <c r="A327" s="186"/>
      <c r="B327" s="370">
        <f t="shared" si="55"/>
        <v>0</v>
      </c>
      <c r="C327" s="309" t="str">
        <f t="shared" si="53"/>
        <v>24</v>
      </c>
      <c r="D327" s="1588">
        <f>SUMIF(GEN!$G$157:$J$157,$C327,GEN!$G$154:$J$154)</f>
        <v>0</v>
      </c>
      <c r="E327" s="1589"/>
      <c r="F327" s="1590"/>
      <c r="G327" s="1588">
        <f>SUMIF(FEB!$G$157:$J$157,$C327,FEB!$G$154:$J$154)</f>
        <v>0</v>
      </c>
      <c r="H327" s="1589"/>
      <c r="I327" s="1590"/>
      <c r="J327" s="1588">
        <f>SUMIF(MAR!$G$157:$J$157,$C327,MAR!$G$154:$J$154)</f>
        <v>0</v>
      </c>
      <c r="K327" s="1589"/>
      <c r="L327" s="1590"/>
      <c r="M327" s="1588">
        <f>SUMIF(APR!$G$157:$J$157,$C327,APR!$G$154:$J$154)</f>
        <v>0</v>
      </c>
      <c r="N327" s="1589"/>
      <c r="O327" s="1590"/>
      <c r="P327" s="1588">
        <f>SUMIF(MAG!$G$157:$J$157,$C327,MAG!$G$154:$J$154)</f>
        <v>0</v>
      </c>
      <c r="Q327" s="1589"/>
      <c r="R327" s="1590"/>
      <c r="S327" s="1588">
        <f>SUMIF(GIU!$G$157:$J$157,$C327,GIU!$G$154:$J$154)</f>
        <v>0</v>
      </c>
      <c r="T327" s="1589"/>
      <c r="U327" s="1590"/>
      <c r="V327" s="1588">
        <f>SUMIF(LUG!$G$157:$J$157,$C327,LUG!$G$154:$J$154)</f>
        <v>0</v>
      </c>
      <c r="W327" s="1589"/>
      <c r="X327" s="1590"/>
      <c r="Y327" s="1588">
        <f>SUMIF(AGO!$G$157:$J$157,$C327,AGO!$G$154:$J$154)</f>
        <v>0</v>
      </c>
      <c r="Z327" s="1589"/>
      <c r="AA327" s="1590"/>
      <c r="AB327" s="1588">
        <f>SUMIF(SET!$G$157:$J$157,$C327,SET!$G$154:$J$154)</f>
        <v>0</v>
      </c>
      <c r="AC327" s="1589"/>
      <c r="AD327" s="1590"/>
      <c r="AE327" s="1588">
        <f>SUMIF(OTT!$G$157:$J$157,$C327,OTT!$G$154:$J$154)</f>
        <v>0</v>
      </c>
      <c r="AF327" s="1589"/>
      <c r="AG327" s="1590"/>
      <c r="AH327" s="1588">
        <f>SUMIF(NOV!$G$157:$J$157,$C327,NOV!$G$154:$J$154)</f>
        <v>0</v>
      </c>
      <c r="AI327" s="1589"/>
      <c r="AJ327" s="1590"/>
      <c r="AK327" s="1588">
        <f>SUMIF(DIC!$G$157:$J$157,$C327,DIC!$G$154:$J$154)</f>
        <v>0</v>
      </c>
      <c r="AL327" s="1589"/>
      <c r="AM327" s="1590"/>
      <c r="AN327" s="1588">
        <f t="shared" si="54"/>
        <v>0</v>
      </c>
      <c r="AO327" s="1589"/>
      <c r="AP327" s="1590"/>
      <c r="AQ327" s="48"/>
      <c r="AR327" s="48"/>
      <c r="AS327" s="48"/>
      <c r="AT327" s="481"/>
      <c r="AU327" s="481"/>
      <c r="AV327" s="481"/>
      <c r="AW327" s="481"/>
      <c r="AX327" s="481"/>
      <c r="AY327" s="481"/>
      <c r="AZ327" s="481"/>
      <c r="BA327" s="481"/>
      <c r="BB327" s="481"/>
      <c r="BC327" s="481"/>
      <c r="BD327" s="481"/>
      <c r="BE327" s="481"/>
      <c r="BF327" s="481"/>
      <c r="BG327" s="481"/>
      <c r="BH327" s="481"/>
      <c r="BI327" s="481"/>
      <c r="BJ327" s="481"/>
      <c r="BK327" s="481"/>
      <c r="BL327" s="481"/>
      <c r="BM327" s="481"/>
      <c r="BN327" s="481"/>
      <c r="BO327" s="481"/>
      <c r="BP327" s="481"/>
      <c r="BQ327" s="481"/>
      <c r="BR327" s="481"/>
      <c r="BS327" s="481"/>
      <c r="BT327" s="481"/>
      <c r="BU327" s="481"/>
      <c r="BV327" s="481"/>
      <c r="BW327" s="481"/>
      <c r="BX327" s="481"/>
      <c r="BY327" s="481"/>
      <c r="BZ327" s="481"/>
      <c r="CA327" s="481"/>
      <c r="CB327" s="481"/>
      <c r="CC327" s="481"/>
      <c r="CD327" s="481"/>
      <c r="CE327" s="481"/>
      <c r="CF327" s="481"/>
      <c r="CG327" s="481"/>
      <c r="CH327" s="481"/>
      <c r="CI327" s="481"/>
      <c r="CJ327" s="481"/>
      <c r="CK327" s="481"/>
      <c r="CL327" s="481"/>
      <c r="CM327" s="481"/>
      <c r="CN327" s="481"/>
      <c r="CO327" s="481"/>
      <c r="CP327" s="481"/>
      <c r="CQ327" s="481"/>
      <c r="CR327" s="481"/>
      <c r="CS327" s="481"/>
      <c r="CT327" s="481"/>
      <c r="CU327" s="481"/>
      <c r="CV327" s="481"/>
      <c r="CW327" s="481"/>
      <c r="CX327" s="481"/>
      <c r="CY327" s="481"/>
      <c r="CZ327" s="481"/>
      <c r="DA327" s="481"/>
      <c r="DB327" s="481"/>
      <c r="DC327" s="481"/>
      <c r="DD327" s="481"/>
      <c r="DE327" s="481"/>
      <c r="DF327" s="481"/>
      <c r="DG327" s="481"/>
      <c r="DH327" s="481"/>
      <c r="DI327" s="481"/>
      <c r="DJ327" s="481"/>
      <c r="DK327" s="481"/>
      <c r="DL327" s="481"/>
      <c r="DM327" s="481"/>
      <c r="DN327" s="481"/>
      <c r="DO327" s="481"/>
      <c r="DP327" s="481"/>
      <c r="DQ327" s="481"/>
      <c r="DR327" s="481"/>
      <c r="DS327" s="481"/>
      <c r="DT327" s="481"/>
      <c r="DU327" s="481"/>
      <c r="DV327" s="481"/>
      <c r="DW327" s="481"/>
      <c r="DX327" s="481"/>
      <c r="DY327" s="481"/>
      <c r="DZ327" s="481"/>
      <c r="EA327" s="481"/>
      <c r="EB327" s="481"/>
      <c r="EC327" s="481"/>
      <c r="ED327" s="481"/>
      <c r="EE327" s="481"/>
      <c r="EF327" s="481"/>
      <c r="EG327" s="481"/>
      <c r="EH327" s="481"/>
      <c r="EI327" s="481"/>
      <c r="EJ327" s="481"/>
      <c r="EK327" s="481"/>
      <c r="EL327" s="481"/>
      <c r="EM327" s="481"/>
      <c r="EN327" s="481"/>
      <c r="EO327" s="481"/>
      <c r="EP327" s="481"/>
      <c r="EQ327" s="481"/>
      <c r="ER327" s="481"/>
      <c r="ES327" s="481"/>
      <c r="ET327" s="481"/>
      <c r="EU327" s="481"/>
      <c r="EV327" s="481"/>
      <c r="EW327" s="481"/>
      <c r="EX327" s="481"/>
      <c r="EY327" s="481"/>
      <c r="EZ327" s="481"/>
      <c r="FA327" s="481"/>
      <c r="FB327" s="481"/>
      <c r="FC327" s="481"/>
      <c r="FD327" s="481"/>
    </row>
    <row r="328" spans="1:160" ht="18" hidden="1" customHeight="1" x14ac:dyDescent="0.2">
      <c r="A328" s="186"/>
      <c r="B328" s="370">
        <f t="shared" si="55"/>
        <v>0</v>
      </c>
      <c r="C328" s="309" t="str">
        <f t="shared" si="53"/>
        <v>25</v>
      </c>
      <c r="D328" s="1588">
        <f>SUMIF(GEN!$G$157:$J$157,$C328,GEN!$G$154:$J$154)</f>
        <v>0</v>
      </c>
      <c r="E328" s="1589"/>
      <c r="F328" s="1590"/>
      <c r="G328" s="1588">
        <f>SUMIF(FEB!$G$157:$J$157,$C328,FEB!$G$154:$J$154)</f>
        <v>0</v>
      </c>
      <c r="H328" s="1589"/>
      <c r="I328" s="1590"/>
      <c r="J328" s="1588">
        <f>SUMIF(MAR!$G$157:$J$157,$C328,MAR!$G$154:$J$154)</f>
        <v>0</v>
      </c>
      <c r="K328" s="1589"/>
      <c r="L328" s="1590"/>
      <c r="M328" s="1588">
        <f>SUMIF(APR!$G$157:$J$157,$C328,APR!$G$154:$J$154)</f>
        <v>0</v>
      </c>
      <c r="N328" s="1589"/>
      <c r="O328" s="1590"/>
      <c r="P328" s="1588">
        <f>SUMIF(MAG!$G$157:$J$157,$C328,MAG!$G$154:$J$154)</f>
        <v>0</v>
      </c>
      <c r="Q328" s="1589"/>
      <c r="R328" s="1590"/>
      <c r="S328" s="1588">
        <f>SUMIF(GIU!$G$157:$J$157,$C328,GIU!$G$154:$J$154)</f>
        <v>0</v>
      </c>
      <c r="T328" s="1589"/>
      <c r="U328" s="1590"/>
      <c r="V328" s="1588">
        <f>SUMIF(LUG!$G$157:$J$157,$C328,LUG!$G$154:$J$154)</f>
        <v>0</v>
      </c>
      <c r="W328" s="1589"/>
      <c r="X328" s="1590"/>
      <c r="Y328" s="1588">
        <f>SUMIF(AGO!$G$157:$J$157,$C328,AGO!$G$154:$J$154)</f>
        <v>0</v>
      </c>
      <c r="Z328" s="1589"/>
      <c r="AA328" s="1590"/>
      <c r="AB328" s="1588">
        <f>SUMIF(SET!$G$157:$J$157,$C328,SET!$G$154:$J$154)</f>
        <v>0</v>
      </c>
      <c r="AC328" s="1589"/>
      <c r="AD328" s="1590"/>
      <c r="AE328" s="1588">
        <f>SUMIF(OTT!$G$157:$J$157,$C328,OTT!$G$154:$J$154)</f>
        <v>0</v>
      </c>
      <c r="AF328" s="1589"/>
      <c r="AG328" s="1590"/>
      <c r="AH328" s="1588">
        <f>SUMIF(NOV!$G$157:$J$157,$C328,NOV!$G$154:$J$154)</f>
        <v>0</v>
      </c>
      <c r="AI328" s="1589"/>
      <c r="AJ328" s="1590"/>
      <c r="AK328" s="1588">
        <f>SUMIF(DIC!$G$157:$J$157,$C328,DIC!$G$154:$J$154)</f>
        <v>0</v>
      </c>
      <c r="AL328" s="1589"/>
      <c r="AM328" s="1590"/>
      <c r="AN328" s="1588">
        <f t="shared" si="54"/>
        <v>0</v>
      </c>
      <c r="AO328" s="1589"/>
      <c r="AP328" s="1590"/>
      <c r="AQ328" s="48"/>
      <c r="AR328" s="48"/>
      <c r="AS328" s="48"/>
      <c r="AT328" s="481"/>
      <c r="AU328" s="481"/>
      <c r="AV328" s="481"/>
      <c r="AW328" s="481"/>
      <c r="AX328" s="481"/>
      <c r="AY328" s="481"/>
      <c r="AZ328" s="481"/>
      <c r="BA328" s="481"/>
      <c r="BB328" s="481"/>
      <c r="BC328" s="481"/>
      <c r="BD328" s="481"/>
      <c r="BE328" s="481"/>
      <c r="BF328" s="481"/>
      <c r="BG328" s="481"/>
      <c r="BH328" s="481"/>
      <c r="BI328" s="481"/>
      <c r="BJ328" s="481"/>
      <c r="BK328" s="481"/>
      <c r="BL328" s="481"/>
      <c r="BM328" s="481"/>
      <c r="BN328" s="481"/>
      <c r="BO328" s="481"/>
      <c r="BP328" s="481"/>
      <c r="BQ328" s="481"/>
      <c r="BR328" s="481"/>
      <c r="BS328" s="481"/>
      <c r="BT328" s="481"/>
      <c r="BU328" s="481"/>
      <c r="BV328" s="481"/>
      <c r="BW328" s="481"/>
      <c r="BX328" s="481"/>
      <c r="BY328" s="481"/>
      <c r="BZ328" s="481"/>
      <c r="CA328" s="481"/>
      <c r="CB328" s="481"/>
      <c r="CC328" s="481"/>
      <c r="CD328" s="481"/>
      <c r="CE328" s="481"/>
      <c r="CF328" s="481"/>
      <c r="CG328" s="481"/>
      <c r="CH328" s="481"/>
      <c r="CI328" s="481"/>
      <c r="CJ328" s="481"/>
      <c r="CK328" s="481"/>
      <c r="CL328" s="481"/>
      <c r="CM328" s="481"/>
      <c r="CN328" s="481"/>
      <c r="CO328" s="481"/>
      <c r="CP328" s="481"/>
      <c r="CQ328" s="481"/>
      <c r="CR328" s="481"/>
      <c r="CS328" s="481"/>
      <c r="CT328" s="481"/>
      <c r="CU328" s="481"/>
      <c r="CV328" s="481"/>
      <c r="CW328" s="481"/>
      <c r="CX328" s="481"/>
      <c r="CY328" s="481"/>
      <c r="CZ328" s="481"/>
      <c r="DA328" s="481"/>
      <c r="DB328" s="481"/>
      <c r="DC328" s="481"/>
      <c r="DD328" s="481"/>
      <c r="DE328" s="481"/>
      <c r="DF328" s="481"/>
      <c r="DG328" s="481"/>
      <c r="DH328" s="481"/>
      <c r="DI328" s="481"/>
      <c r="DJ328" s="481"/>
      <c r="DK328" s="481"/>
      <c r="DL328" s="481"/>
      <c r="DM328" s="481"/>
      <c r="DN328" s="481"/>
      <c r="DO328" s="481"/>
      <c r="DP328" s="481"/>
      <c r="DQ328" s="481"/>
      <c r="DR328" s="481"/>
      <c r="DS328" s="481"/>
      <c r="DT328" s="481"/>
      <c r="DU328" s="481"/>
      <c r="DV328" s="481"/>
      <c r="DW328" s="481"/>
      <c r="DX328" s="481"/>
      <c r="DY328" s="481"/>
      <c r="DZ328" s="481"/>
      <c r="EA328" s="481"/>
      <c r="EB328" s="481"/>
      <c r="EC328" s="481"/>
      <c r="ED328" s="481"/>
      <c r="EE328" s="481"/>
      <c r="EF328" s="481"/>
      <c r="EG328" s="481"/>
      <c r="EH328" s="481"/>
      <c r="EI328" s="481"/>
      <c r="EJ328" s="481"/>
      <c r="EK328" s="481"/>
      <c r="EL328" s="481"/>
      <c r="EM328" s="481"/>
      <c r="EN328" s="481"/>
      <c r="EO328" s="481"/>
      <c r="EP328" s="481"/>
      <c r="EQ328" s="481"/>
      <c r="ER328" s="481"/>
      <c r="ES328" s="481"/>
      <c r="ET328" s="481"/>
      <c r="EU328" s="481"/>
      <c r="EV328" s="481"/>
      <c r="EW328" s="481"/>
      <c r="EX328" s="481"/>
      <c r="EY328" s="481"/>
      <c r="EZ328" s="481"/>
      <c r="FA328" s="481"/>
      <c r="FB328" s="481"/>
      <c r="FC328" s="481"/>
      <c r="FD328" s="481"/>
    </row>
    <row r="329" spans="1:160" ht="18" hidden="1" customHeight="1" x14ac:dyDescent="0.2">
      <c r="A329" s="186"/>
      <c r="B329" s="370">
        <f t="shared" si="55"/>
        <v>0</v>
      </c>
      <c r="C329" s="309" t="str">
        <f t="shared" si="53"/>
        <v>26</v>
      </c>
      <c r="D329" s="1588">
        <f>SUMIF(GEN!$G$157:$J$157,$C329,GEN!$G$154:$J$154)</f>
        <v>0</v>
      </c>
      <c r="E329" s="1589"/>
      <c r="F329" s="1590"/>
      <c r="G329" s="1588">
        <f>SUMIF(FEB!$G$157:$J$157,$C329,FEB!$G$154:$J$154)</f>
        <v>0</v>
      </c>
      <c r="H329" s="1589"/>
      <c r="I329" s="1590"/>
      <c r="J329" s="1588">
        <f>SUMIF(MAR!$G$157:$J$157,$C329,MAR!$G$154:$J$154)</f>
        <v>0</v>
      </c>
      <c r="K329" s="1589"/>
      <c r="L329" s="1590"/>
      <c r="M329" s="1588">
        <f>SUMIF(APR!$G$157:$J$157,$C329,APR!$G$154:$J$154)</f>
        <v>0</v>
      </c>
      <c r="N329" s="1589"/>
      <c r="O329" s="1590"/>
      <c r="P329" s="1588">
        <f>SUMIF(MAG!$G$157:$J$157,$C329,MAG!$G$154:$J$154)</f>
        <v>0</v>
      </c>
      <c r="Q329" s="1589"/>
      <c r="R329" s="1590"/>
      <c r="S329" s="1588">
        <f>SUMIF(GIU!$G$157:$J$157,$C329,GIU!$G$154:$J$154)</f>
        <v>0</v>
      </c>
      <c r="T329" s="1589"/>
      <c r="U329" s="1590"/>
      <c r="V329" s="1588">
        <f>SUMIF(LUG!$G$157:$J$157,$C329,LUG!$G$154:$J$154)</f>
        <v>0</v>
      </c>
      <c r="W329" s="1589"/>
      <c r="X329" s="1590"/>
      <c r="Y329" s="1588">
        <f>SUMIF(AGO!$G$157:$J$157,$C329,AGO!$G$154:$J$154)</f>
        <v>0</v>
      </c>
      <c r="Z329" s="1589"/>
      <c r="AA329" s="1590"/>
      <c r="AB329" s="1588">
        <f>SUMIF(SET!$G$157:$J$157,$C329,SET!$G$154:$J$154)</f>
        <v>0</v>
      </c>
      <c r="AC329" s="1589"/>
      <c r="AD329" s="1590"/>
      <c r="AE329" s="1588">
        <f>SUMIF(OTT!$G$157:$J$157,$C329,OTT!$G$154:$J$154)</f>
        <v>0</v>
      </c>
      <c r="AF329" s="1589"/>
      <c r="AG329" s="1590"/>
      <c r="AH329" s="1588">
        <f>SUMIF(NOV!$G$157:$J$157,$C329,NOV!$G$154:$J$154)</f>
        <v>0</v>
      </c>
      <c r="AI329" s="1589"/>
      <c r="AJ329" s="1590"/>
      <c r="AK329" s="1588">
        <f>SUMIF(DIC!$G$157:$J$157,$C329,DIC!$G$154:$J$154)</f>
        <v>0</v>
      </c>
      <c r="AL329" s="1589"/>
      <c r="AM329" s="1590"/>
      <c r="AN329" s="1588">
        <f t="shared" si="54"/>
        <v>0</v>
      </c>
      <c r="AO329" s="1589"/>
      <c r="AP329" s="1590"/>
      <c r="AQ329" s="48"/>
      <c r="AR329" s="48"/>
      <c r="AS329" s="48"/>
      <c r="AT329" s="481"/>
      <c r="AU329" s="481"/>
      <c r="AV329" s="481"/>
      <c r="AW329" s="481"/>
      <c r="AX329" s="481"/>
      <c r="AY329" s="481"/>
      <c r="AZ329" s="481"/>
      <c r="BA329" s="481"/>
      <c r="BB329" s="481"/>
      <c r="BC329" s="481"/>
      <c r="BD329" s="481"/>
      <c r="BE329" s="481"/>
      <c r="BF329" s="481"/>
      <c r="BG329" s="481"/>
      <c r="BH329" s="481"/>
      <c r="BI329" s="481"/>
      <c r="BJ329" s="481"/>
      <c r="BK329" s="481"/>
      <c r="BL329" s="481"/>
      <c r="BM329" s="481"/>
      <c r="BN329" s="481"/>
      <c r="BO329" s="481"/>
      <c r="BP329" s="481"/>
      <c r="BQ329" s="481"/>
      <c r="BR329" s="481"/>
      <c r="BS329" s="481"/>
      <c r="BT329" s="481"/>
      <c r="BU329" s="481"/>
      <c r="BV329" s="481"/>
      <c r="BW329" s="481"/>
      <c r="BX329" s="481"/>
      <c r="BY329" s="481"/>
      <c r="BZ329" s="481"/>
      <c r="CA329" s="481"/>
      <c r="CB329" s="481"/>
      <c r="CC329" s="481"/>
      <c r="CD329" s="481"/>
      <c r="CE329" s="481"/>
      <c r="CF329" s="481"/>
      <c r="CG329" s="481"/>
      <c r="CH329" s="481"/>
      <c r="CI329" s="481"/>
      <c r="CJ329" s="481"/>
      <c r="CK329" s="481"/>
      <c r="CL329" s="481"/>
      <c r="CM329" s="481"/>
      <c r="CN329" s="481"/>
      <c r="CO329" s="481"/>
      <c r="CP329" s="481"/>
      <c r="CQ329" s="481"/>
      <c r="CR329" s="481"/>
      <c r="CS329" s="481"/>
      <c r="CT329" s="481"/>
      <c r="CU329" s="481"/>
      <c r="CV329" s="481"/>
      <c r="CW329" s="481"/>
      <c r="CX329" s="481"/>
      <c r="CY329" s="481"/>
      <c r="CZ329" s="481"/>
      <c r="DA329" s="481"/>
      <c r="DB329" s="481"/>
      <c r="DC329" s="481"/>
      <c r="DD329" s="481"/>
      <c r="DE329" s="481"/>
      <c r="DF329" s="481"/>
      <c r="DG329" s="481"/>
      <c r="DH329" s="481"/>
      <c r="DI329" s="481"/>
      <c r="DJ329" s="481"/>
      <c r="DK329" s="481"/>
      <c r="DL329" s="481"/>
      <c r="DM329" s="481"/>
      <c r="DN329" s="481"/>
      <c r="DO329" s="481"/>
      <c r="DP329" s="481"/>
      <c r="DQ329" s="481"/>
      <c r="DR329" s="481"/>
      <c r="DS329" s="481"/>
      <c r="DT329" s="481"/>
      <c r="DU329" s="481"/>
      <c r="DV329" s="481"/>
      <c r="DW329" s="481"/>
      <c r="DX329" s="481"/>
      <c r="DY329" s="481"/>
      <c r="DZ329" s="481"/>
      <c r="EA329" s="481"/>
      <c r="EB329" s="481"/>
      <c r="EC329" s="481"/>
      <c r="ED329" s="481"/>
      <c r="EE329" s="481"/>
      <c r="EF329" s="481"/>
      <c r="EG329" s="481"/>
      <c r="EH329" s="481"/>
      <c r="EI329" s="481"/>
      <c r="EJ329" s="481"/>
      <c r="EK329" s="481"/>
      <c r="EL329" s="481"/>
      <c r="EM329" s="481"/>
      <c r="EN329" s="481"/>
      <c r="EO329" s="481"/>
      <c r="EP329" s="481"/>
      <c r="EQ329" s="481"/>
      <c r="ER329" s="481"/>
      <c r="ES329" s="481"/>
      <c r="ET329" s="481"/>
      <c r="EU329" s="481"/>
      <c r="EV329" s="481"/>
      <c r="EW329" s="481"/>
      <c r="EX329" s="481"/>
      <c r="EY329" s="481"/>
      <c r="EZ329" s="481"/>
      <c r="FA329" s="481"/>
      <c r="FB329" s="481"/>
      <c r="FC329" s="481"/>
      <c r="FD329" s="481"/>
    </row>
    <row r="330" spans="1:160" ht="18" hidden="1" customHeight="1" x14ac:dyDescent="0.2">
      <c r="A330" s="186"/>
      <c r="B330" s="370">
        <f t="shared" si="55"/>
        <v>0</v>
      </c>
      <c r="C330" s="309">
        <f t="shared" si="53"/>
        <v>0</v>
      </c>
      <c r="D330" s="1588">
        <f>SUMIF(GEN!$G$157:$J$157,$C330,GEN!$G$154:$J$154)</f>
        <v>0</v>
      </c>
      <c r="E330" s="1589"/>
      <c r="F330" s="1590"/>
      <c r="G330" s="1588">
        <f>SUMIF(FEB!$G$157:$J$157,$C330,FEB!$G$154:$J$154)</f>
        <v>0</v>
      </c>
      <c r="H330" s="1589"/>
      <c r="I330" s="1590"/>
      <c r="J330" s="1588">
        <f>SUMIF(MAR!$G$157:$J$157,$C330,MAR!$G$154:$J$154)</f>
        <v>0</v>
      </c>
      <c r="K330" s="1589"/>
      <c r="L330" s="1590"/>
      <c r="M330" s="1588">
        <f>SUMIF(APR!$G$157:$J$157,$C330,APR!$G$154:$J$154)</f>
        <v>0</v>
      </c>
      <c r="N330" s="1589"/>
      <c r="O330" s="1590"/>
      <c r="P330" s="1588">
        <f>SUMIF(MAG!$G$157:$J$157,$C330,MAG!$G$154:$J$154)</f>
        <v>0</v>
      </c>
      <c r="Q330" s="1589"/>
      <c r="R330" s="1590"/>
      <c r="S330" s="1588">
        <f>SUMIF(GIU!$G$157:$J$157,$C330,GIU!$G$154:$J$154)</f>
        <v>0</v>
      </c>
      <c r="T330" s="1589"/>
      <c r="U330" s="1590"/>
      <c r="V330" s="1588">
        <f>SUMIF(LUG!$G$157:$J$157,$C330,LUG!$G$154:$J$154)</f>
        <v>0</v>
      </c>
      <c r="W330" s="1589"/>
      <c r="X330" s="1590"/>
      <c r="Y330" s="1588">
        <f>SUMIF(AGO!$G$157:$J$157,$C330,AGO!$G$154:$J$154)</f>
        <v>0</v>
      </c>
      <c r="Z330" s="1589"/>
      <c r="AA330" s="1590"/>
      <c r="AB330" s="1588">
        <f>SUMIF(SET!$G$157:$J$157,$C330,SET!$G$154:$J$154)</f>
        <v>0</v>
      </c>
      <c r="AC330" s="1589"/>
      <c r="AD330" s="1590"/>
      <c r="AE330" s="1588">
        <f>SUMIF(OTT!$G$157:$J$157,$C330,OTT!$G$154:$J$154)</f>
        <v>0</v>
      </c>
      <c r="AF330" s="1589"/>
      <c r="AG330" s="1590"/>
      <c r="AH330" s="1588">
        <f>SUMIF(NOV!$G$157:$J$157,$C330,NOV!$G$154:$J$154)</f>
        <v>0</v>
      </c>
      <c r="AI330" s="1589"/>
      <c r="AJ330" s="1590"/>
      <c r="AK330" s="1588">
        <f>SUMIF(DIC!$G$157:$J$157,$C330,DIC!$G$154:$J$154)</f>
        <v>0</v>
      </c>
      <c r="AL330" s="1589"/>
      <c r="AM330" s="1590"/>
      <c r="AN330" s="1588">
        <f t="shared" si="54"/>
        <v>0</v>
      </c>
      <c r="AO330" s="1589"/>
      <c r="AP330" s="1590"/>
      <c r="AQ330" s="48"/>
      <c r="AR330" s="48"/>
      <c r="AS330" s="48"/>
      <c r="AT330" s="481"/>
      <c r="AU330" s="481"/>
      <c r="AV330" s="481"/>
      <c r="AW330" s="481"/>
      <c r="AX330" s="481"/>
      <c r="AY330" s="481"/>
      <c r="AZ330" s="481"/>
      <c r="BA330" s="481"/>
      <c r="BB330" s="481"/>
      <c r="BC330" s="481"/>
      <c r="BD330" s="481"/>
      <c r="BE330" s="481"/>
      <c r="BF330" s="481"/>
      <c r="BG330" s="481"/>
      <c r="BH330" s="481"/>
      <c r="BI330" s="481"/>
      <c r="BJ330" s="481"/>
      <c r="BK330" s="481"/>
      <c r="BL330" s="481"/>
      <c r="BM330" s="481"/>
      <c r="BN330" s="481"/>
      <c r="BO330" s="481"/>
      <c r="BP330" s="481"/>
      <c r="BQ330" s="481"/>
      <c r="BR330" s="481"/>
      <c r="BS330" s="481"/>
      <c r="BT330" s="481"/>
      <c r="BU330" s="481"/>
      <c r="BV330" s="481"/>
      <c r="BW330" s="481"/>
      <c r="BX330" s="481"/>
      <c r="BY330" s="481"/>
      <c r="BZ330" s="481"/>
      <c r="CA330" s="481"/>
      <c r="CB330" s="481"/>
      <c r="CC330" s="481"/>
      <c r="CD330" s="481"/>
      <c r="CE330" s="481"/>
      <c r="CF330" s="481"/>
      <c r="CG330" s="481"/>
      <c r="CH330" s="481"/>
      <c r="CI330" s="481"/>
      <c r="CJ330" s="481"/>
      <c r="CK330" s="481"/>
      <c r="CL330" s="481"/>
      <c r="CM330" s="481"/>
      <c r="CN330" s="481"/>
      <c r="CO330" s="481"/>
      <c r="CP330" s="481"/>
      <c r="CQ330" s="481"/>
      <c r="CR330" s="481"/>
      <c r="CS330" s="481"/>
      <c r="CT330" s="481"/>
      <c r="CU330" s="481"/>
      <c r="CV330" s="481"/>
      <c r="CW330" s="481"/>
      <c r="CX330" s="481"/>
      <c r="CY330" s="481"/>
      <c r="CZ330" s="481"/>
      <c r="DA330" s="481"/>
      <c r="DB330" s="481"/>
      <c r="DC330" s="481"/>
      <c r="DD330" s="481"/>
      <c r="DE330" s="481"/>
      <c r="DF330" s="481"/>
      <c r="DG330" s="481"/>
      <c r="DH330" s="481"/>
      <c r="DI330" s="481"/>
      <c r="DJ330" s="481"/>
      <c r="DK330" s="481"/>
      <c r="DL330" s="481"/>
      <c r="DM330" s="481"/>
      <c r="DN330" s="481"/>
      <c r="DO330" s="481"/>
      <c r="DP330" s="481"/>
      <c r="DQ330" s="481"/>
      <c r="DR330" s="481"/>
      <c r="DS330" s="481"/>
      <c r="DT330" s="481"/>
      <c r="DU330" s="481"/>
      <c r="DV330" s="481"/>
      <c r="DW330" s="481"/>
      <c r="DX330" s="481"/>
      <c r="DY330" s="481"/>
      <c r="DZ330" s="481"/>
      <c r="EA330" s="481"/>
      <c r="EB330" s="481"/>
      <c r="EC330" s="481"/>
      <c r="ED330" s="481"/>
      <c r="EE330" s="481"/>
      <c r="EF330" s="481"/>
      <c r="EG330" s="481"/>
      <c r="EH330" s="481"/>
      <c r="EI330" s="481"/>
      <c r="EJ330" s="481"/>
      <c r="EK330" s="481"/>
      <c r="EL330" s="481"/>
      <c r="EM330" s="481"/>
      <c r="EN330" s="481"/>
      <c r="EO330" s="481"/>
      <c r="EP330" s="481"/>
      <c r="EQ330" s="481"/>
      <c r="ER330" s="481"/>
      <c r="ES330" s="481"/>
      <c r="ET330" s="481"/>
      <c r="EU330" s="481"/>
      <c r="EV330" s="481"/>
      <c r="EW330" s="481"/>
      <c r="EX330" s="481"/>
      <c r="EY330" s="481"/>
      <c r="EZ330" s="481"/>
      <c r="FA330" s="481"/>
      <c r="FB330" s="481"/>
      <c r="FC330" s="481"/>
      <c r="FD330" s="481"/>
    </row>
    <row r="331" spans="1:160" ht="18" hidden="1" customHeight="1" x14ac:dyDescent="0.2">
      <c r="A331" s="186"/>
      <c r="B331" s="370">
        <f t="shared" si="55"/>
        <v>0</v>
      </c>
      <c r="C331" s="309">
        <f t="shared" si="53"/>
        <v>0</v>
      </c>
      <c r="D331" s="1588">
        <f>SUMIF(GEN!$G$157:$J$157,$C331,GEN!$G$154:$J$154)</f>
        <v>0</v>
      </c>
      <c r="E331" s="1589"/>
      <c r="F331" s="1590"/>
      <c r="G331" s="1588">
        <f>SUMIF(FEB!$G$157:$J$157,$C331,FEB!$G$154:$J$154)</f>
        <v>0</v>
      </c>
      <c r="H331" s="1589"/>
      <c r="I331" s="1590"/>
      <c r="J331" s="1588">
        <f>SUMIF(MAR!$G$157:$J$157,$C331,MAR!$G$154:$J$154)</f>
        <v>0</v>
      </c>
      <c r="K331" s="1589"/>
      <c r="L331" s="1590"/>
      <c r="M331" s="1588">
        <f>SUMIF(APR!$G$157:$J$157,$C331,APR!$G$154:$J$154)</f>
        <v>0</v>
      </c>
      <c r="N331" s="1589"/>
      <c r="O331" s="1590"/>
      <c r="P331" s="1588">
        <f>SUMIF(MAG!$G$157:$J$157,$C331,MAG!$G$154:$J$154)</f>
        <v>0</v>
      </c>
      <c r="Q331" s="1589"/>
      <c r="R331" s="1590"/>
      <c r="S331" s="1588">
        <f>SUMIF(GIU!$G$157:$J$157,$C331,GIU!$G$154:$J$154)</f>
        <v>0</v>
      </c>
      <c r="T331" s="1589"/>
      <c r="U331" s="1590"/>
      <c r="V331" s="1588">
        <f>SUMIF(LUG!$G$157:$J$157,$C331,LUG!$G$154:$J$154)</f>
        <v>0</v>
      </c>
      <c r="W331" s="1589"/>
      <c r="X331" s="1590"/>
      <c r="Y331" s="1588">
        <f>SUMIF(AGO!$G$157:$J$157,$C331,AGO!$G$154:$J$154)</f>
        <v>0</v>
      </c>
      <c r="Z331" s="1589"/>
      <c r="AA331" s="1590"/>
      <c r="AB331" s="1588">
        <f>SUMIF(SET!$G$157:$J$157,$C331,SET!$G$154:$J$154)</f>
        <v>0</v>
      </c>
      <c r="AC331" s="1589"/>
      <c r="AD331" s="1590"/>
      <c r="AE331" s="1588">
        <f>SUMIF(OTT!$G$157:$J$157,$C331,OTT!$G$154:$J$154)</f>
        <v>0</v>
      </c>
      <c r="AF331" s="1589"/>
      <c r="AG331" s="1590"/>
      <c r="AH331" s="1588">
        <f>SUMIF(NOV!$G$157:$J$157,$C331,NOV!$G$154:$J$154)</f>
        <v>0</v>
      </c>
      <c r="AI331" s="1589"/>
      <c r="AJ331" s="1590"/>
      <c r="AK331" s="1588">
        <f>SUMIF(DIC!$G$157:$J$157,$C331,DIC!$G$154:$J$154)</f>
        <v>0</v>
      </c>
      <c r="AL331" s="1589"/>
      <c r="AM331" s="1590"/>
      <c r="AN331" s="1588">
        <f t="shared" si="54"/>
        <v>0</v>
      </c>
      <c r="AO331" s="1589"/>
      <c r="AP331" s="1590"/>
      <c r="AQ331" s="48"/>
      <c r="AR331" s="48"/>
      <c r="AS331" s="48"/>
      <c r="AT331" s="481"/>
      <c r="AU331" s="481"/>
      <c r="AV331" s="481"/>
      <c r="AW331" s="481"/>
      <c r="AX331" s="481"/>
      <c r="AY331" s="481"/>
      <c r="AZ331" s="481"/>
      <c r="BA331" s="481"/>
      <c r="BB331" s="481"/>
      <c r="BC331" s="481"/>
      <c r="BD331" s="481"/>
      <c r="BE331" s="481"/>
      <c r="BF331" s="481"/>
      <c r="BG331" s="481"/>
      <c r="BH331" s="481"/>
      <c r="BI331" s="481"/>
      <c r="BJ331" s="481"/>
      <c r="BK331" s="481"/>
      <c r="BL331" s="481"/>
      <c r="BM331" s="481"/>
      <c r="BN331" s="481"/>
      <c r="BO331" s="481"/>
      <c r="BP331" s="481"/>
      <c r="BQ331" s="481"/>
      <c r="BR331" s="481"/>
      <c r="BS331" s="481"/>
      <c r="BT331" s="481"/>
      <c r="BU331" s="481"/>
      <c r="BV331" s="481"/>
      <c r="BW331" s="481"/>
      <c r="BX331" s="481"/>
      <c r="BY331" s="481"/>
      <c r="BZ331" s="481"/>
      <c r="CA331" s="481"/>
      <c r="CB331" s="481"/>
      <c r="CC331" s="481"/>
      <c r="CD331" s="481"/>
      <c r="CE331" s="481"/>
      <c r="CF331" s="481"/>
      <c r="CG331" s="481"/>
      <c r="CH331" s="481"/>
      <c r="CI331" s="481"/>
      <c r="CJ331" s="481"/>
      <c r="CK331" s="481"/>
      <c r="CL331" s="481"/>
      <c r="CM331" s="481"/>
      <c r="CN331" s="481"/>
      <c r="CO331" s="481"/>
      <c r="CP331" s="481"/>
      <c r="CQ331" s="481"/>
      <c r="CR331" s="481"/>
      <c r="CS331" s="481"/>
      <c r="CT331" s="481"/>
      <c r="CU331" s="481"/>
      <c r="CV331" s="481"/>
      <c r="CW331" s="481"/>
      <c r="CX331" s="481"/>
      <c r="CY331" s="481"/>
      <c r="CZ331" s="481"/>
      <c r="DA331" s="481"/>
      <c r="DB331" s="481"/>
      <c r="DC331" s="481"/>
      <c r="DD331" s="481"/>
      <c r="DE331" s="481"/>
      <c r="DF331" s="481"/>
      <c r="DG331" s="481"/>
      <c r="DH331" s="481"/>
      <c r="DI331" s="481"/>
      <c r="DJ331" s="481"/>
      <c r="DK331" s="481"/>
      <c r="DL331" s="481"/>
      <c r="DM331" s="481"/>
      <c r="DN331" s="481"/>
      <c r="DO331" s="481"/>
      <c r="DP331" s="481"/>
      <c r="DQ331" s="481"/>
      <c r="DR331" s="481"/>
      <c r="DS331" s="481"/>
      <c r="DT331" s="481"/>
      <c r="DU331" s="481"/>
      <c r="DV331" s="481"/>
      <c r="DW331" s="481"/>
      <c r="DX331" s="481"/>
      <c r="DY331" s="481"/>
      <c r="DZ331" s="481"/>
      <c r="EA331" s="481"/>
      <c r="EB331" s="481"/>
      <c r="EC331" s="481"/>
      <c r="ED331" s="481"/>
      <c r="EE331" s="481"/>
      <c r="EF331" s="481"/>
      <c r="EG331" s="481"/>
      <c r="EH331" s="481"/>
      <c r="EI331" s="481"/>
      <c r="EJ331" s="481"/>
      <c r="EK331" s="481"/>
      <c r="EL331" s="481"/>
      <c r="EM331" s="481"/>
      <c r="EN331" s="481"/>
      <c r="EO331" s="481"/>
      <c r="EP331" s="481"/>
      <c r="EQ331" s="481"/>
      <c r="ER331" s="481"/>
      <c r="ES331" s="481"/>
      <c r="ET331" s="481"/>
      <c r="EU331" s="481"/>
      <c r="EV331" s="481"/>
      <c r="EW331" s="481"/>
      <c r="EX331" s="481"/>
      <c r="EY331" s="481"/>
      <c r="EZ331" s="481"/>
      <c r="FA331" s="481"/>
      <c r="FB331" s="481"/>
      <c r="FC331" s="481"/>
      <c r="FD331" s="481"/>
    </row>
    <row r="332" spans="1:160" ht="18" hidden="1" customHeight="1" x14ac:dyDescent="0.2">
      <c r="A332" s="186"/>
      <c r="B332" s="370">
        <f t="shared" si="55"/>
        <v>0</v>
      </c>
      <c r="C332" s="309" t="str">
        <f t="shared" si="53"/>
        <v>27</v>
      </c>
      <c r="D332" s="1588">
        <f>SUMIF(GEN!$G$157:$J$157,$C332,GEN!$G$154:$J$154)</f>
        <v>0</v>
      </c>
      <c r="E332" s="1589"/>
      <c r="F332" s="1590"/>
      <c r="G332" s="1588">
        <f>SUMIF(FEB!$G$157:$J$157,$C332,FEB!$G$154:$J$154)</f>
        <v>0</v>
      </c>
      <c r="H332" s="1589"/>
      <c r="I332" s="1590"/>
      <c r="J332" s="1588">
        <f>SUMIF(MAR!$G$157:$J$157,$C332,MAR!$G$154:$J$154)</f>
        <v>0</v>
      </c>
      <c r="K332" s="1589"/>
      <c r="L332" s="1590"/>
      <c r="M332" s="1588">
        <f>SUMIF(APR!$G$157:$J$157,$C332,APR!$G$154:$J$154)</f>
        <v>0</v>
      </c>
      <c r="N332" s="1589"/>
      <c r="O332" s="1590"/>
      <c r="P332" s="1588">
        <f>SUMIF(MAG!$G$157:$J$157,$C332,MAG!$G$154:$J$154)</f>
        <v>0</v>
      </c>
      <c r="Q332" s="1589"/>
      <c r="R332" s="1590"/>
      <c r="S332" s="1588">
        <f>SUMIF(GIU!$G$157:$J$157,$C332,GIU!$G$154:$J$154)</f>
        <v>0</v>
      </c>
      <c r="T332" s="1589"/>
      <c r="U332" s="1590"/>
      <c r="V332" s="1588">
        <f>SUMIF(LUG!$G$157:$J$157,$C332,LUG!$G$154:$J$154)</f>
        <v>0</v>
      </c>
      <c r="W332" s="1589"/>
      <c r="X332" s="1590"/>
      <c r="Y332" s="1588">
        <f>SUMIF(AGO!$G$157:$J$157,$C332,AGO!$G$154:$J$154)</f>
        <v>0</v>
      </c>
      <c r="Z332" s="1589"/>
      <c r="AA332" s="1590"/>
      <c r="AB332" s="1588">
        <f>SUMIF(SET!$G$157:$J$157,$C332,SET!$G$154:$J$154)</f>
        <v>0</v>
      </c>
      <c r="AC332" s="1589"/>
      <c r="AD332" s="1590"/>
      <c r="AE332" s="1588">
        <f>SUMIF(OTT!$G$157:$J$157,$C332,OTT!$G$154:$J$154)</f>
        <v>0</v>
      </c>
      <c r="AF332" s="1589"/>
      <c r="AG332" s="1590"/>
      <c r="AH332" s="1588">
        <f>SUMIF(NOV!$G$157:$J$157,$C332,NOV!$G$154:$J$154)</f>
        <v>0</v>
      </c>
      <c r="AI332" s="1589"/>
      <c r="AJ332" s="1590"/>
      <c r="AK332" s="1588">
        <f>SUMIF(DIC!$G$157:$J$157,$C332,DIC!$G$154:$J$154)</f>
        <v>0</v>
      </c>
      <c r="AL332" s="1589"/>
      <c r="AM332" s="1590"/>
      <c r="AN332" s="1588">
        <f t="shared" si="54"/>
        <v>0</v>
      </c>
      <c r="AO332" s="1589"/>
      <c r="AP332" s="1590"/>
      <c r="AQ332" s="48"/>
      <c r="AR332" s="48"/>
      <c r="AS332" s="48"/>
      <c r="AT332" s="481"/>
      <c r="AU332" s="481"/>
      <c r="AV332" s="481"/>
      <c r="AW332" s="481"/>
      <c r="AX332" s="481"/>
      <c r="AY332" s="481"/>
      <c r="AZ332" s="481"/>
      <c r="BA332" s="481"/>
      <c r="BB332" s="481"/>
      <c r="BC332" s="481"/>
      <c r="BD332" s="481"/>
      <c r="BE332" s="481"/>
      <c r="BF332" s="481"/>
      <c r="BG332" s="481"/>
      <c r="BH332" s="481"/>
      <c r="BI332" s="481"/>
      <c r="BJ332" s="481"/>
      <c r="BK332" s="481"/>
      <c r="BL332" s="481"/>
      <c r="BM332" s="481"/>
      <c r="BN332" s="481"/>
      <c r="BO332" s="481"/>
      <c r="BP332" s="481"/>
      <c r="BQ332" s="481"/>
      <c r="BR332" s="481"/>
      <c r="BS332" s="481"/>
      <c r="BT332" s="481"/>
      <c r="BU332" s="481"/>
      <c r="BV332" s="481"/>
      <c r="BW332" s="481"/>
      <c r="BX332" s="481"/>
      <c r="BY332" s="481"/>
      <c r="BZ332" s="481"/>
      <c r="CA332" s="481"/>
      <c r="CB332" s="481"/>
      <c r="CC332" s="481"/>
      <c r="CD332" s="481"/>
      <c r="CE332" s="481"/>
      <c r="CF332" s="481"/>
      <c r="CG332" s="481"/>
      <c r="CH332" s="481"/>
      <c r="CI332" s="481"/>
      <c r="CJ332" s="481"/>
      <c r="CK332" s="481"/>
      <c r="CL332" s="481"/>
      <c r="CM332" s="481"/>
      <c r="CN332" s="481"/>
      <c r="CO332" s="481"/>
      <c r="CP332" s="481"/>
      <c r="CQ332" s="481"/>
      <c r="CR332" s="481"/>
      <c r="CS332" s="481"/>
      <c r="CT332" s="481"/>
      <c r="CU332" s="481"/>
      <c r="CV332" s="481"/>
      <c r="CW332" s="481"/>
      <c r="CX332" s="481"/>
      <c r="CY332" s="481"/>
      <c r="CZ332" s="481"/>
      <c r="DA332" s="481"/>
      <c r="DB332" s="481"/>
      <c r="DC332" s="481"/>
      <c r="DD332" s="481"/>
      <c r="DE332" s="481"/>
      <c r="DF332" s="481"/>
      <c r="DG332" s="481"/>
      <c r="DH332" s="481"/>
      <c r="DI332" s="481"/>
      <c r="DJ332" s="481"/>
      <c r="DK332" s="481"/>
      <c r="DL332" s="481"/>
      <c r="DM332" s="481"/>
      <c r="DN332" s="481"/>
      <c r="DO332" s="481"/>
      <c r="DP332" s="481"/>
      <c r="DQ332" s="481"/>
      <c r="DR332" s="481"/>
      <c r="DS332" s="481"/>
      <c r="DT332" s="481"/>
      <c r="DU332" s="481"/>
      <c r="DV332" s="481"/>
      <c r="DW332" s="481"/>
      <c r="DX332" s="481"/>
      <c r="DY332" s="481"/>
      <c r="DZ332" s="481"/>
      <c r="EA332" s="481"/>
      <c r="EB332" s="481"/>
      <c r="EC332" s="481"/>
      <c r="ED332" s="481"/>
      <c r="EE332" s="481"/>
      <c r="EF332" s="481"/>
      <c r="EG332" s="481"/>
      <c r="EH332" s="481"/>
      <c r="EI332" s="481"/>
      <c r="EJ332" s="481"/>
      <c r="EK332" s="481"/>
      <c r="EL332" s="481"/>
      <c r="EM332" s="481"/>
      <c r="EN332" s="481"/>
      <c r="EO332" s="481"/>
      <c r="EP332" s="481"/>
      <c r="EQ332" s="481"/>
      <c r="ER332" s="481"/>
      <c r="ES332" s="481"/>
      <c r="ET332" s="481"/>
      <c r="EU332" s="481"/>
      <c r="EV332" s="481"/>
      <c r="EW332" s="481"/>
      <c r="EX332" s="481"/>
      <c r="EY332" s="481"/>
      <c r="EZ332" s="481"/>
      <c r="FA332" s="481"/>
      <c r="FB332" s="481"/>
      <c r="FC332" s="481"/>
      <c r="FD332" s="481"/>
    </row>
    <row r="333" spans="1:160" ht="18" hidden="1" customHeight="1" x14ac:dyDescent="0.2">
      <c r="A333" s="186"/>
      <c r="B333" s="370">
        <f t="shared" si="55"/>
        <v>1</v>
      </c>
      <c r="C333" s="309" t="str">
        <f t="shared" si="53"/>
        <v>SC</v>
      </c>
      <c r="D333" s="1588">
        <f>SUMIF(GEN!$G$157:$J$157,$C333,GEN!$G$154:$J$154)</f>
        <v>0</v>
      </c>
      <c r="E333" s="1589"/>
      <c r="F333" s="1590"/>
      <c r="G333" s="1588">
        <f>SUMIF(FEB!$G$157:$J$157,$C333,FEB!$G$154:$J$154)</f>
        <v>0</v>
      </c>
      <c r="H333" s="1589"/>
      <c r="I333" s="1590"/>
      <c r="J333" s="1588">
        <f>SUMIF(MAR!$G$157:$J$157,$C333,MAR!$G$154:$J$154)</f>
        <v>0</v>
      </c>
      <c r="K333" s="1589"/>
      <c r="L333" s="1590"/>
      <c r="M333" s="1588">
        <f>SUMIF(APR!$G$157:$J$157,$C333,APR!$G$154:$J$154)</f>
        <v>0</v>
      </c>
      <c r="N333" s="1589"/>
      <c r="O333" s="1590"/>
      <c r="P333" s="1588">
        <f>SUMIF(MAG!$G$157:$J$157,$C333,MAG!$G$154:$J$154)</f>
        <v>0</v>
      </c>
      <c r="Q333" s="1589"/>
      <c r="R333" s="1590"/>
      <c r="S333" s="1588">
        <f>SUMIF(GIU!$G$157:$J$157,$C333,GIU!$G$154:$J$154)</f>
        <v>0</v>
      </c>
      <c r="T333" s="1589"/>
      <c r="U333" s="1590"/>
      <c r="V333" s="1588">
        <f>SUMIF(LUG!$G$157:$J$157,$C333,LUG!$G$154:$J$154)</f>
        <v>0</v>
      </c>
      <c r="W333" s="1589"/>
      <c r="X333" s="1590"/>
      <c r="Y333" s="1588">
        <f>SUMIF(AGO!$G$157:$J$157,$C333,AGO!$G$154:$J$154)</f>
        <v>0</v>
      </c>
      <c r="Z333" s="1589"/>
      <c r="AA333" s="1590"/>
      <c r="AB333" s="1588">
        <f>SUMIF(SET!$G$157:$J$157,$C333,SET!$G$154:$J$154)</f>
        <v>0</v>
      </c>
      <c r="AC333" s="1589"/>
      <c r="AD333" s="1590"/>
      <c r="AE333" s="1588">
        <f>SUMIF(OTT!$G$157:$J$157,$C333,OTT!$G$154:$J$154)</f>
        <v>0</v>
      </c>
      <c r="AF333" s="1589"/>
      <c r="AG333" s="1590"/>
      <c r="AH333" s="1588">
        <f>SUMIF(NOV!$G$157:$J$157,$C333,NOV!$G$154:$J$154)</f>
        <v>0</v>
      </c>
      <c r="AI333" s="1589"/>
      <c r="AJ333" s="1590"/>
      <c r="AK333" s="1588">
        <f>SUMIF(DIC!$G$157:$J$157,$C333,DIC!$G$154:$J$154)</f>
        <v>0</v>
      </c>
      <c r="AL333" s="1589"/>
      <c r="AM333" s="1590"/>
      <c r="AN333" s="1588">
        <f t="shared" si="54"/>
        <v>0</v>
      </c>
      <c r="AO333" s="1589"/>
      <c r="AP333" s="1590"/>
      <c r="AQ333" s="48"/>
      <c r="AR333" s="48"/>
      <c r="AS333" s="48"/>
      <c r="AT333" s="481"/>
      <c r="AU333" s="481"/>
      <c r="AV333" s="481"/>
      <c r="AW333" s="481"/>
      <c r="AX333" s="481"/>
      <c r="AY333" s="481"/>
      <c r="AZ333" s="481"/>
      <c r="BA333" s="481"/>
      <c r="BB333" s="481"/>
      <c r="BC333" s="481"/>
      <c r="BD333" s="481"/>
      <c r="BE333" s="481"/>
      <c r="BF333" s="481"/>
      <c r="BG333" s="481"/>
      <c r="BH333" s="481"/>
      <c r="BI333" s="481"/>
      <c r="BJ333" s="481"/>
      <c r="BK333" s="481"/>
      <c r="BL333" s="481"/>
      <c r="BM333" s="481"/>
      <c r="BN333" s="481"/>
      <c r="BO333" s="481"/>
      <c r="BP333" s="481"/>
      <c r="BQ333" s="481"/>
      <c r="BR333" s="481"/>
      <c r="BS333" s="481"/>
      <c r="BT333" s="481"/>
      <c r="BU333" s="481"/>
      <c r="BV333" s="481"/>
      <c r="BW333" s="481"/>
      <c r="BX333" s="481"/>
      <c r="BY333" s="481"/>
      <c r="BZ333" s="481"/>
      <c r="CA333" s="481"/>
      <c r="CB333" s="481"/>
      <c r="CC333" s="481"/>
      <c r="CD333" s="481"/>
      <c r="CE333" s="481"/>
      <c r="CF333" s="481"/>
      <c r="CG333" s="481"/>
      <c r="CH333" s="481"/>
      <c r="CI333" s="481"/>
      <c r="CJ333" s="481"/>
      <c r="CK333" s="481"/>
      <c r="CL333" s="481"/>
      <c r="CM333" s="481"/>
      <c r="CN333" s="481"/>
      <c r="CO333" s="481"/>
      <c r="CP333" s="481"/>
      <c r="CQ333" s="481"/>
      <c r="CR333" s="481"/>
      <c r="CS333" s="481"/>
      <c r="CT333" s="481"/>
      <c r="CU333" s="481"/>
      <c r="CV333" s="481"/>
      <c r="CW333" s="481"/>
      <c r="CX333" s="481"/>
      <c r="CY333" s="481"/>
      <c r="CZ333" s="481"/>
      <c r="DA333" s="481"/>
      <c r="DB333" s="481"/>
      <c r="DC333" s="481"/>
      <c r="DD333" s="481"/>
      <c r="DE333" s="481"/>
      <c r="DF333" s="481"/>
      <c r="DG333" s="481"/>
      <c r="DH333" s="481"/>
      <c r="DI333" s="481"/>
      <c r="DJ333" s="481"/>
      <c r="DK333" s="481"/>
      <c r="DL333" s="481"/>
      <c r="DM333" s="481"/>
      <c r="DN333" s="481"/>
      <c r="DO333" s="481"/>
      <c r="DP333" s="481"/>
      <c r="DQ333" s="481"/>
      <c r="DR333" s="481"/>
      <c r="DS333" s="481"/>
      <c r="DT333" s="481"/>
      <c r="DU333" s="481"/>
      <c r="DV333" s="481"/>
      <c r="DW333" s="481"/>
      <c r="DX333" s="481"/>
      <c r="DY333" s="481"/>
      <c r="DZ333" s="481"/>
      <c r="EA333" s="481"/>
      <c r="EB333" s="481"/>
      <c r="EC333" s="481"/>
      <c r="ED333" s="481"/>
      <c r="EE333" s="481"/>
      <c r="EF333" s="481"/>
      <c r="EG333" s="481"/>
      <c r="EH333" s="481"/>
      <c r="EI333" s="481"/>
      <c r="EJ333" s="481"/>
      <c r="EK333" s="481"/>
      <c r="EL333" s="481"/>
      <c r="EM333" s="481"/>
      <c r="EN333" s="481"/>
      <c r="EO333" s="481"/>
      <c r="EP333" s="481"/>
      <c r="EQ333" s="481"/>
      <c r="ER333" s="481"/>
      <c r="ES333" s="481"/>
      <c r="ET333" s="481"/>
      <c r="EU333" s="481"/>
      <c r="EV333" s="481"/>
      <c r="EW333" s="481"/>
      <c r="EX333" s="481"/>
      <c r="EY333" s="481"/>
      <c r="EZ333" s="481"/>
      <c r="FA333" s="481"/>
      <c r="FB333" s="481"/>
      <c r="FC333" s="481"/>
      <c r="FD333" s="481"/>
    </row>
    <row r="334" spans="1:160" ht="18" hidden="1" customHeight="1" x14ac:dyDescent="0.2">
      <c r="A334" s="186"/>
      <c r="B334" s="48"/>
      <c r="C334" s="48"/>
      <c r="D334" s="1598">
        <f>SUM(D324:F333)</f>
        <v>0</v>
      </c>
      <c r="E334" s="1599"/>
      <c r="F334" s="1600"/>
      <c r="G334" s="1598">
        <f>SUM(G324:I333)</f>
        <v>0</v>
      </c>
      <c r="H334" s="1599"/>
      <c r="I334" s="1600"/>
      <c r="J334" s="1598">
        <f>SUM(J324:L333)</f>
        <v>0</v>
      </c>
      <c r="K334" s="1599"/>
      <c r="L334" s="1600"/>
      <c r="M334" s="1598">
        <f>SUM(M324:O333)</f>
        <v>0</v>
      </c>
      <c r="N334" s="1599"/>
      <c r="O334" s="1600"/>
      <c r="P334" s="1598">
        <f>SUM(P324:R333)</f>
        <v>0</v>
      </c>
      <c r="Q334" s="1599"/>
      <c r="R334" s="1600"/>
      <c r="S334" s="1598">
        <f>SUM(S324:U333)</f>
        <v>0</v>
      </c>
      <c r="T334" s="1599"/>
      <c r="U334" s="1600"/>
      <c r="V334" s="1598">
        <f>SUM(V324:X333)</f>
        <v>0</v>
      </c>
      <c r="W334" s="1599"/>
      <c r="X334" s="1600"/>
      <c r="Y334" s="1598">
        <f>SUM(Y324:AA333)</f>
        <v>0</v>
      </c>
      <c r="Z334" s="1599"/>
      <c r="AA334" s="1600"/>
      <c r="AB334" s="1598">
        <f>SUM(AB324:AD333)</f>
        <v>0</v>
      </c>
      <c r="AC334" s="1599"/>
      <c r="AD334" s="1600"/>
      <c r="AE334" s="1598">
        <f>SUM(AE324:AG333)</f>
        <v>0</v>
      </c>
      <c r="AF334" s="1599"/>
      <c r="AG334" s="1600"/>
      <c r="AH334" s="1598">
        <f>SUM(AH324:AJ333)</f>
        <v>0</v>
      </c>
      <c r="AI334" s="1599"/>
      <c r="AJ334" s="1600"/>
      <c r="AK334" s="1598">
        <f>SUM(AK324:AM333)</f>
        <v>0</v>
      </c>
      <c r="AL334" s="1599"/>
      <c r="AM334" s="1600"/>
      <c r="AN334" s="1598">
        <f>SUM(D334:AM334)</f>
        <v>0</v>
      </c>
      <c r="AO334" s="1599"/>
      <c r="AP334" s="1600"/>
      <c r="AQ334" s="48"/>
      <c r="AR334" s="48"/>
      <c r="AS334" s="48"/>
      <c r="AT334" s="481"/>
      <c r="AU334" s="481"/>
      <c r="AV334" s="481"/>
      <c r="AW334" s="481"/>
      <c r="AX334" s="481"/>
      <c r="AY334" s="481"/>
      <c r="AZ334" s="481"/>
      <c r="BA334" s="481"/>
      <c r="BB334" s="481"/>
      <c r="BC334" s="481"/>
      <c r="BD334" s="481"/>
      <c r="BE334" s="481"/>
      <c r="BF334" s="481"/>
      <c r="BG334" s="481"/>
      <c r="BH334" s="481"/>
      <c r="BI334" s="481"/>
      <c r="BJ334" s="481"/>
      <c r="BK334" s="481"/>
      <c r="BL334" s="481"/>
      <c r="BM334" s="481"/>
      <c r="BN334" s="481"/>
      <c r="BO334" s="481"/>
      <c r="BP334" s="481"/>
      <c r="BQ334" s="481"/>
      <c r="BR334" s="481"/>
      <c r="BS334" s="481"/>
      <c r="BT334" s="481"/>
      <c r="BU334" s="481"/>
      <c r="BV334" s="481"/>
      <c r="BW334" s="481"/>
      <c r="BX334" s="481"/>
      <c r="BY334" s="481"/>
      <c r="BZ334" s="481"/>
      <c r="CA334" s="481"/>
      <c r="CB334" s="481"/>
      <c r="CC334" s="481"/>
      <c r="CD334" s="481"/>
      <c r="CE334" s="481"/>
      <c r="CF334" s="481"/>
      <c r="CG334" s="481"/>
      <c r="CH334" s="481"/>
      <c r="CI334" s="481"/>
      <c r="CJ334" s="481"/>
      <c r="CK334" s="481"/>
      <c r="CL334" s="481"/>
      <c r="CM334" s="481"/>
      <c r="CN334" s="481"/>
      <c r="CO334" s="481"/>
      <c r="CP334" s="481"/>
      <c r="CQ334" s="481"/>
      <c r="CR334" s="481"/>
      <c r="CS334" s="481"/>
      <c r="CT334" s="481"/>
      <c r="CU334" s="481"/>
      <c r="CV334" s="481"/>
      <c r="CW334" s="481"/>
      <c r="CX334" s="481"/>
      <c r="CY334" s="481"/>
      <c r="CZ334" s="481"/>
      <c r="DA334" s="481"/>
      <c r="DB334" s="481"/>
      <c r="DC334" s="481"/>
      <c r="DD334" s="481"/>
      <c r="DE334" s="481"/>
      <c r="DF334" s="481"/>
      <c r="DG334" s="481"/>
      <c r="DH334" s="481"/>
      <c r="DI334" s="481"/>
      <c r="DJ334" s="481"/>
      <c r="DK334" s="481"/>
      <c r="DL334" s="481"/>
      <c r="DM334" s="481"/>
      <c r="DN334" s="481"/>
      <c r="DO334" s="481"/>
      <c r="DP334" s="481"/>
      <c r="DQ334" s="481"/>
      <c r="DR334" s="481"/>
      <c r="DS334" s="481"/>
      <c r="DT334" s="481"/>
      <c r="DU334" s="481"/>
      <c r="DV334" s="481"/>
      <c r="DW334" s="481"/>
      <c r="DX334" s="481"/>
      <c r="DY334" s="481"/>
      <c r="DZ334" s="481"/>
      <c r="EA334" s="481"/>
      <c r="EB334" s="481"/>
      <c r="EC334" s="481"/>
      <c r="ED334" s="481"/>
      <c r="EE334" s="481"/>
      <c r="EF334" s="481"/>
      <c r="EG334" s="481"/>
      <c r="EH334" s="481"/>
      <c r="EI334" s="481"/>
      <c r="EJ334" s="481"/>
      <c r="EK334" s="481"/>
      <c r="EL334" s="481"/>
      <c r="EM334" s="481"/>
      <c r="EN334" s="481"/>
      <c r="EO334" s="481"/>
      <c r="EP334" s="481"/>
      <c r="EQ334" s="481"/>
      <c r="ER334" s="481"/>
      <c r="ES334" s="481"/>
      <c r="ET334" s="481"/>
      <c r="EU334" s="481"/>
      <c r="EV334" s="481"/>
      <c r="EW334" s="481"/>
      <c r="EX334" s="481"/>
      <c r="EY334" s="481"/>
      <c r="EZ334" s="481"/>
      <c r="FA334" s="481"/>
      <c r="FB334" s="481"/>
      <c r="FC334" s="481"/>
      <c r="FD334" s="481"/>
    </row>
    <row r="335" spans="1:160" ht="18" hidden="1" customHeight="1" x14ac:dyDescent="0.2">
      <c r="A335" s="186"/>
      <c r="B335" s="48"/>
      <c r="C335" s="48"/>
      <c r="D335" s="1588">
        <f>D334</f>
        <v>0</v>
      </c>
      <c r="E335" s="1589"/>
      <c r="F335" s="1590"/>
      <c r="G335" s="1588">
        <f>G334+D335</f>
        <v>0</v>
      </c>
      <c r="H335" s="1589"/>
      <c r="I335" s="1590"/>
      <c r="J335" s="1588">
        <f>J334+G335</f>
        <v>0</v>
      </c>
      <c r="K335" s="1589"/>
      <c r="L335" s="1590"/>
      <c r="M335" s="1588">
        <f>M334+J335</f>
        <v>0</v>
      </c>
      <c r="N335" s="1589"/>
      <c r="O335" s="1590"/>
      <c r="P335" s="1588">
        <f>P334+M335</f>
        <v>0</v>
      </c>
      <c r="Q335" s="1589"/>
      <c r="R335" s="1590"/>
      <c r="S335" s="1588">
        <f>S334+P335</f>
        <v>0</v>
      </c>
      <c r="T335" s="1589"/>
      <c r="U335" s="1590"/>
      <c r="V335" s="1588">
        <f>V334+S335</f>
        <v>0</v>
      </c>
      <c r="W335" s="1589"/>
      <c r="X335" s="1590"/>
      <c r="Y335" s="1588">
        <f>Y334+V335</f>
        <v>0</v>
      </c>
      <c r="Z335" s="1589"/>
      <c r="AA335" s="1590"/>
      <c r="AB335" s="1588">
        <f>AB334+Y335</f>
        <v>0</v>
      </c>
      <c r="AC335" s="1589"/>
      <c r="AD335" s="1590"/>
      <c r="AE335" s="1588">
        <f>AE334+AB335</f>
        <v>0</v>
      </c>
      <c r="AF335" s="1589"/>
      <c r="AG335" s="1590"/>
      <c r="AH335" s="1588">
        <f>AH334+AE335</f>
        <v>0</v>
      </c>
      <c r="AI335" s="1589"/>
      <c r="AJ335" s="1590"/>
      <c r="AK335" s="1588">
        <f>AK334+AH335</f>
        <v>0</v>
      </c>
      <c r="AL335" s="1589"/>
      <c r="AM335" s="1590"/>
      <c r="AN335" s="48"/>
      <c r="AO335" s="48"/>
      <c r="AP335" s="48"/>
      <c r="AQ335" s="48"/>
      <c r="AR335" s="48"/>
      <c r="AS335" s="48"/>
      <c r="AT335" s="481"/>
      <c r="AU335" s="481"/>
      <c r="AV335" s="481"/>
      <c r="AW335" s="481"/>
      <c r="AX335" s="481"/>
      <c r="AY335" s="481"/>
      <c r="AZ335" s="481"/>
      <c r="BA335" s="481"/>
      <c r="BB335" s="481"/>
      <c r="BC335" s="481"/>
      <c r="BD335" s="481"/>
      <c r="BE335" s="481"/>
      <c r="BF335" s="481"/>
      <c r="BG335" s="481"/>
      <c r="BH335" s="481"/>
      <c r="BI335" s="481"/>
      <c r="BJ335" s="481"/>
      <c r="BK335" s="481"/>
      <c r="BL335" s="481"/>
      <c r="BM335" s="481"/>
      <c r="BN335" s="481"/>
      <c r="BO335" s="481"/>
      <c r="BP335" s="481"/>
      <c r="BQ335" s="481"/>
      <c r="BR335" s="481"/>
      <c r="BS335" s="481"/>
      <c r="BT335" s="481"/>
      <c r="BU335" s="481"/>
      <c r="BV335" s="481"/>
      <c r="BW335" s="481"/>
      <c r="BX335" s="481"/>
      <c r="BY335" s="481"/>
      <c r="BZ335" s="481"/>
      <c r="CA335" s="481"/>
      <c r="CB335" s="481"/>
      <c r="CC335" s="481"/>
      <c r="CD335" s="481"/>
      <c r="CE335" s="481"/>
      <c r="CF335" s="481"/>
      <c r="CG335" s="481"/>
      <c r="CH335" s="481"/>
      <c r="CI335" s="481"/>
      <c r="CJ335" s="481"/>
      <c r="CK335" s="481"/>
      <c r="CL335" s="481"/>
      <c r="CM335" s="481"/>
      <c r="CN335" s="481"/>
      <c r="CO335" s="481"/>
      <c r="CP335" s="481"/>
      <c r="CQ335" s="481"/>
      <c r="CR335" s="481"/>
      <c r="CS335" s="481"/>
      <c r="CT335" s="481"/>
      <c r="CU335" s="481"/>
      <c r="CV335" s="481"/>
      <c r="CW335" s="481"/>
      <c r="CX335" s="481"/>
      <c r="CY335" s="481"/>
      <c r="CZ335" s="481"/>
      <c r="DA335" s="481"/>
      <c r="DB335" s="481"/>
      <c r="DC335" s="481"/>
      <c r="DD335" s="481"/>
      <c r="DE335" s="481"/>
      <c r="DF335" s="481"/>
      <c r="DG335" s="481"/>
      <c r="DH335" s="481"/>
      <c r="DI335" s="481"/>
      <c r="DJ335" s="481"/>
      <c r="DK335" s="481"/>
      <c r="DL335" s="481"/>
      <c r="DM335" s="481"/>
      <c r="DN335" s="481"/>
      <c r="DO335" s="481"/>
      <c r="DP335" s="481"/>
      <c r="DQ335" s="481"/>
      <c r="DR335" s="481"/>
      <c r="DS335" s="481"/>
      <c r="DT335" s="481"/>
      <c r="DU335" s="481"/>
      <c r="DV335" s="481"/>
      <c r="DW335" s="481"/>
      <c r="DX335" s="481"/>
      <c r="DY335" s="481"/>
      <c r="DZ335" s="481"/>
      <c r="EA335" s="481"/>
      <c r="EB335" s="481"/>
      <c r="EC335" s="481"/>
      <c r="ED335" s="481"/>
      <c r="EE335" s="481"/>
      <c r="EF335" s="481"/>
      <c r="EG335" s="481"/>
      <c r="EH335" s="481"/>
      <c r="EI335" s="481"/>
      <c r="EJ335" s="481"/>
      <c r="EK335" s="481"/>
      <c r="EL335" s="481"/>
      <c r="EM335" s="481"/>
      <c r="EN335" s="481"/>
      <c r="EO335" s="481"/>
      <c r="EP335" s="481"/>
      <c r="EQ335" s="481"/>
      <c r="ER335" s="481"/>
      <c r="ES335" s="481"/>
      <c r="ET335" s="481"/>
      <c r="EU335" s="481"/>
      <c r="EV335" s="481"/>
      <c r="EW335" s="481"/>
      <c r="EX335" s="481"/>
      <c r="EY335" s="481"/>
      <c r="EZ335" s="481"/>
      <c r="FA335" s="481"/>
      <c r="FB335" s="481"/>
      <c r="FC335" s="481"/>
      <c r="FD335" s="481"/>
    </row>
    <row r="336" spans="1:160" ht="18" hidden="1" customHeight="1" x14ac:dyDescent="0.2">
      <c r="A336" s="186"/>
      <c r="B336" s="48"/>
      <c r="C336" s="48"/>
      <c r="D336" s="48"/>
      <c r="E336" s="48"/>
      <c r="F336" s="48"/>
      <c r="G336" s="185"/>
      <c r="H336" s="185"/>
      <c r="I336" s="185"/>
      <c r="J336" s="185"/>
      <c r="K336" s="185"/>
      <c r="L336" s="185"/>
      <c r="M336" s="185"/>
      <c r="N336" s="185"/>
      <c r="O336" s="185"/>
      <c r="P336" s="185"/>
      <c r="Q336" s="185"/>
      <c r="R336" s="185"/>
      <c r="S336" s="185"/>
      <c r="T336" s="185"/>
      <c r="U336" s="185"/>
      <c r="V336" s="185"/>
      <c r="W336" s="185"/>
      <c r="X336" s="185"/>
      <c r="Y336" s="185"/>
      <c r="Z336" s="185"/>
      <c r="AA336" s="185"/>
      <c r="AB336" s="185"/>
      <c r="AC336" s="186"/>
      <c r="AD336" s="186"/>
      <c r="AE336" s="186"/>
      <c r="AF336" s="186"/>
      <c r="AG336" s="186"/>
      <c r="AH336" s="186"/>
      <c r="AI336" s="186"/>
      <c r="AJ336" s="186"/>
      <c r="AK336" s="186"/>
      <c r="AL336" s="186"/>
      <c r="AM336" s="186"/>
      <c r="AN336" s="48"/>
      <c r="AO336" s="48"/>
      <c r="AP336" s="48"/>
      <c r="AQ336" s="48"/>
      <c r="AR336" s="48"/>
      <c r="AS336" s="48"/>
      <c r="AT336" s="48"/>
      <c r="AU336" s="48"/>
      <c r="AV336" s="48"/>
      <c r="AW336" s="481"/>
      <c r="AX336" s="481"/>
      <c r="AY336" s="481"/>
      <c r="AZ336" s="481"/>
      <c r="BA336" s="481"/>
      <c r="BB336" s="481"/>
      <c r="BC336" s="481"/>
      <c r="BD336" s="481"/>
      <c r="BE336" s="481"/>
      <c r="BF336" s="481"/>
      <c r="BG336" s="481"/>
      <c r="BH336" s="481"/>
      <c r="BI336" s="481"/>
      <c r="BJ336" s="481"/>
      <c r="BK336" s="481"/>
      <c r="BL336" s="481"/>
      <c r="BM336" s="481"/>
      <c r="BN336" s="481"/>
      <c r="BO336" s="481"/>
      <c r="BP336" s="481"/>
      <c r="BQ336" s="481"/>
      <c r="BR336" s="481"/>
      <c r="BS336" s="481"/>
      <c r="BT336" s="481"/>
      <c r="BU336" s="481"/>
      <c r="BV336" s="481"/>
      <c r="BW336" s="481"/>
      <c r="BX336" s="481"/>
      <c r="BY336" s="481"/>
      <c r="BZ336" s="481"/>
      <c r="CA336" s="481"/>
      <c r="CB336" s="481"/>
      <c r="CC336" s="481"/>
      <c r="CD336" s="481"/>
      <c r="CE336" s="481"/>
      <c r="CF336" s="481"/>
      <c r="CG336" s="481"/>
      <c r="CH336" s="481"/>
      <c r="CI336" s="481"/>
      <c r="CJ336" s="481"/>
      <c r="CK336" s="481"/>
      <c r="CL336" s="481"/>
      <c r="CM336" s="481"/>
      <c r="CN336" s="481"/>
      <c r="CO336" s="481"/>
      <c r="CP336" s="481"/>
      <c r="CQ336" s="481"/>
      <c r="CR336" s="481"/>
      <c r="CS336" s="481"/>
      <c r="CT336" s="481"/>
      <c r="CU336" s="481"/>
      <c r="CV336" s="481"/>
      <c r="CW336" s="481"/>
      <c r="CX336" s="481"/>
      <c r="CY336" s="481"/>
      <c r="CZ336" s="481"/>
      <c r="DA336" s="481"/>
      <c r="DB336" s="481"/>
      <c r="DC336" s="481"/>
      <c r="DD336" s="481"/>
      <c r="DE336" s="481"/>
      <c r="DF336" s="481"/>
      <c r="DG336" s="481"/>
      <c r="DH336" s="481"/>
      <c r="DI336" s="481"/>
      <c r="DJ336" s="481"/>
      <c r="DK336" s="481"/>
      <c r="DL336" s="481"/>
      <c r="DM336" s="481"/>
      <c r="DN336" s="481"/>
      <c r="DO336" s="481"/>
      <c r="DP336" s="481"/>
      <c r="DQ336" s="481"/>
      <c r="DR336" s="481"/>
      <c r="DS336" s="481"/>
      <c r="DT336" s="481"/>
      <c r="DU336" s="481"/>
      <c r="DV336" s="481"/>
      <c r="DW336" s="481"/>
      <c r="DX336" s="481"/>
      <c r="DY336" s="481"/>
      <c r="DZ336" s="481"/>
      <c r="EA336" s="481"/>
      <c r="EB336" s="481"/>
      <c r="EC336" s="481"/>
      <c r="ED336" s="481"/>
      <c r="EE336" s="481"/>
      <c r="EF336" s="481"/>
      <c r="EG336" s="481"/>
      <c r="EH336" s="481"/>
      <c r="EI336" s="481"/>
      <c r="EJ336" s="481"/>
      <c r="EK336" s="481"/>
      <c r="EL336" s="481"/>
      <c r="EM336" s="481"/>
      <c r="EN336" s="481"/>
      <c r="EO336" s="481"/>
      <c r="EP336" s="481"/>
      <c r="EQ336" s="481"/>
      <c r="ER336" s="481"/>
      <c r="ES336" s="481"/>
      <c r="ET336" s="481"/>
      <c r="EU336" s="481"/>
      <c r="EV336" s="481"/>
      <c r="EW336" s="481"/>
      <c r="EX336" s="481"/>
      <c r="EY336" s="481"/>
      <c r="EZ336" s="481"/>
      <c r="FA336" s="481"/>
      <c r="FB336" s="481"/>
      <c r="FC336" s="481"/>
      <c r="FD336" s="481"/>
    </row>
    <row r="337" spans="1:160" ht="18" hidden="1" customHeight="1" x14ac:dyDescent="0.2">
      <c r="A337" s="186"/>
      <c r="B337" s="1687" t="s">
        <v>525</v>
      </c>
      <c r="C337" s="1688"/>
      <c r="D337" s="1601" t="str">
        <f>D323</f>
        <v>Gennaio</v>
      </c>
      <c r="E337" s="1602"/>
      <c r="F337" s="1602"/>
      <c r="G337" s="1601" t="str">
        <f>G323</f>
        <v>Febbraio</v>
      </c>
      <c r="H337" s="1602"/>
      <c r="I337" s="1602"/>
      <c r="J337" s="1601" t="str">
        <f>J323</f>
        <v>Marzo</v>
      </c>
      <c r="K337" s="1602"/>
      <c r="L337" s="1602"/>
      <c r="M337" s="1601" t="str">
        <f>M323</f>
        <v>Aprile</v>
      </c>
      <c r="N337" s="1602"/>
      <c r="O337" s="1602"/>
      <c r="P337" s="1601" t="str">
        <f>P323</f>
        <v>Maggio</v>
      </c>
      <c r="Q337" s="1602"/>
      <c r="R337" s="1602"/>
      <c r="S337" s="1601" t="str">
        <f>S323</f>
        <v>Giugno</v>
      </c>
      <c r="T337" s="1602"/>
      <c r="U337" s="1602"/>
      <c r="V337" s="1601" t="str">
        <f>V323</f>
        <v>Luglio</v>
      </c>
      <c r="W337" s="1602"/>
      <c r="X337" s="1603"/>
      <c r="Y337" s="1601" t="str">
        <f>Y323</f>
        <v>Agosto</v>
      </c>
      <c r="Z337" s="1602"/>
      <c r="AA337" s="1602"/>
      <c r="AB337" s="1601" t="str">
        <f>AB323</f>
        <v>Settembre</v>
      </c>
      <c r="AC337" s="1602"/>
      <c r="AD337" s="1602"/>
      <c r="AE337" s="1601" t="str">
        <f>AE323</f>
        <v>Ottobre</v>
      </c>
      <c r="AF337" s="1602"/>
      <c r="AG337" s="1602"/>
      <c r="AH337" s="1601" t="str">
        <f>AH323</f>
        <v>Novembre</v>
      </c>
      <c r="AI337" s="1602"/>
      <c r="AJ337" s="1602"/>
      <c r="AK337" s="1601" t="str">
        <f>AK323</f>
        <v>Dicembre</v>
      </c>
      <c r="AL337" s="1602"/>
      <c r="AM337" s="1603"/>
      <c r="AN337" s="48"/>
      <c r="AO337" s="48"/>
      <c r="AP337" s="48"/>
      <c r="AQ337" s="48"/>
      <c r="AR337" s="48"/>
      <c r="AS337" s="48"/>
      <c r="AT337" s="48"/>
      <c r="AU337" s="48"/>
      <c r="AV337" s="48"/>
      <c r="AW337" s="481"/>
      <c r="AX337" s="481"/>
      <c r="AY337" s="481"/>
      <c r="AZ337" s="481"/>
      <c r="BA337" s="481"/>
      <c r="BB337" s="481"/>
      <c r="BC337" s="481"/>
      <c r="BD337" s="481"/>
      <c r="BE337" s="481"/>
      <c r="BF337" s="481"/>
      <c r="BG337" s="481"/>
      <c r="BH337" s="481"/>
      <c r="BI337" s="481"/>
      <c r="BJ337" s="481"/>
      <c r="BK337" s="481"/>
      <c r="BL337" s="481"/>
      <c r="BM337" s="481"/>
      <c r="BN337" s="481"/>
      <c r="BO337" s="481"/>
      <c r="BP337" s="481"/>
      <c r="BQ337" s="481"/>
      <c r="BR337" s="481"/>
      <c r="BS337" s="481"/>
      <c r="BT337" s="481"/>
      <c r="BU337" s="481"/>
      <c r="BV337" s="481"/>
      <c r="BW337" s="481"/>
      <c r="BX337" s="481"/>
      <c r="BY337" s="481"/>
      <c r="BZ337" s="481"/>
      <c r="CA337" s="481"/>
      <c r="CB337" s="481"/>
      <c r="CC337" s="481"/>
      <c r="CD337" s="481"/>
      <c r="CE337" s="481"/>
      <c r="CF337" s="481"/>
      <c r="CG337" s="481"/>
      <c r="CH337" s="481"/>
      <c r="CI337" s="481"/>
      <c r="CJ337" s="481"/>
      <c r="CK337" s="481"/>
      <c r="CL337" s="481"/>
      <c r="CM337" s="481"/>
      <c r="CN337" s="481"/>
      <c r="CO337" s="481"/>
      <c r="CP337" s="481"/>
      <c r="CQ337" s="481"/>
      <c r="CR337" s="481"/>
      <c r="CS337" s="481"/>
      <c r="CT337" s="481"/>
      <c r="CU337" s="481"/>
      <c r="CV337" s="481"/>
      <c r="CW337" s="481"/>
      <c r="CX337" s="481"/>
      <c r="CY337" s="481"/>
      <c r="CZ337" s="481"/>
      <c r="DA337" s="481"/>
      <c r="DB337" s="481"/>
      <c r="DC337" s="481"/>
      <c r="DD337" s="481"/>
      <c r="DE337" s="481"/>
      <c r="DF337" s="481"/>
      <c r="DG337" s="481"/>
      <c r="DH337" s="481"/>
      <c r="DI337" s="481"/>
      <c r="DJ337" s="481"/>
      <c r="DK337" s="481"/>
      <c r="DL337" s="481"/>
      <c r="DM337" s="481"/>
      <c r="DN337" s="481"/>
      <c r="DO337" s="481"/>
      <c r="DP337" s="481"/>
      <c r="DQ337" s="481"/>
      <c r="DR337" s="481"/>
      <c r="DS337" s="481"/>
      <c r="DT337" s="481"/>
      <c r="DU337" s="481"/>
      <c r="DV337" s="481"/>
      <c r="DW337" s="481"/>
      <c r="DX337" s="481"/>
      <c r="DY337" s="481"/>
      <c r="DZ337" s="481"/>
      <c r="EA337" s="481"/>
      <c r="EB337" s="481"/>
      <c r="EC337" s="481"/>
      <c r="ED337" s="481"/>
      <c r="EE337" s="481"/>
      <c r="EF337" s="481"/>
      <c r="EG337" s="481"/>
      <c r="EH337" s="481"/>
      <c r="EI337" s="481"/>
      <c r="EJ337" s="481"/>
      <c r="EK337" s="481"/>
      <c r="EL337" s="481"/>
      <c r="EM337" s="481"/>
      <c r="EN337" s="481"/>
      <c r="EO337" s="481"/>
      <c r="EP337" s="481"/>
      <c r="EQ337" s="481"/>
      <c r="ER337" s="481"/>
      <c r="ES337" s="481"/>
      <c r="ET337" s="481"/>
      <c r="EU337" s="481"/>
      <c r="EV337" s="481"/>
      <c r="EW337" s="481"/>
      <c r="EX337" s="481"/>
      <c r="EY337" s="481"/>
      <c r="EZ337" s="481"/>
      <c r="FA337" s="481"/>
      <c r="FB337" s="481"/>
      <c r="FC337" s="481"/>
      <c r="FD337" s="481"/>
    </row>
    <row r="338" spans="1:160" ht="18" hidden="1" customHeight="1" x14ac:dyDescent="0.2">
      <c r="A338" s="560" t="str">
        <f>IF(B234="--","--",MID(B234,4,2))</f>
        <v>--</v>
      </c>
      <c r="B338" s="309">
        <f>IF(ISERROR(VLOOKUP(C338,A$338:A$346,1,FALSE)),0,1)</f>
        <v>0</v>
      </c>
      <c r="C338" s="309" t="str">
        <f t="shared" ref="C338:C343" si="56">X8</f>
        <v>14</v>
      </c>
      <c r="D338" s="1588">
        <f>SUMIF(GEN!$G$158:$J$158,$C338,GEN!$G$153:$J$153)</f>
        <v>0</v>
      </c>
      <c r="E338" s="1589"/>
      <c r="F338" s="1590"/>
      <c r="G338" s="1588">
        <f>SUMIF(FEB!$G$158:$J$158,$C338,FEB!$G$153:$J$153)</f>
        <v>0</v>
      </c>
      <c r="H338" s="1589"/>
      <c r="I338" s="1590"/>
      <c r="J338" s="1588">
        <f>SUMIF(MAR!$G$158:$J$158,$C338,MAR!$G$153:$J$153)</f>
        <v>0</v>
      </c>
      <c r="K338" s="1589"/>
      <c r="L338" s="1590"/>
      <c r="M338" s="1588">
        <f>SUMIF(APR!$G$158:$J$158,$C338,APR!$G$153:$J$153)</f>
        <v>0</v>
      </c>
      <c r="N338" s="1589"/>
      <c r="O338" s="1590"/>
      <c r="P338" s="1588">
        <f>SUMIF(MAG!$G$158:$J$158,$C338,MAG!$G$153:$J$153)</f>
        <v>0</v>
      </c>
      <c r="Q338" s="1589"/>
      <c r="R338" s="1590"/>
      <c r="S338" s="1588">
        <f>SUMIF(GIU!$G$158:$J$158,$C338,GIU!$G$153:$J$153)</f>
        <v>0</v>
      </c>
      <c r="T338" s="1589"/>
      <c r="U338" s="1590"/>
      <c r="V338" s="1588">
        <f>SUMIF(LUG!$G$158:$J$158,$C338,LUG!$G$153:$J$153)</f>
        <v>0</v>
      </c>
      <c r="W338" s="1589"/>
      <c r="X338" s="1590"/>
      <c r="Y338" s="1588">
        <f>SUMIF(AGO!$G$158:$J$158,$C338,AGO!$G$153:$J$153)</f>
        <v>0</v>
      </c>
      <c r="Z338" s="1589"/>
      <c r="AA338" s="1590"/>
      <c r="AB338" s="1588">
        <f>SUMIF(SET!$G$158:$J$158,$C338,SET!$G$153:$J$153)</f>
        <v>0</v>
      </c>
      <c r="AC338" s="1589"/>
      <c r="AD338" s="1590"/>
      <c r="AE338" s="1588">
        <f>SUMIF(OTT!$G$158:$J$158,$C338,OTT!$G$153:$J$153)</f>
        <v>0</v>
      </c>
      <c r="AF338" s="1589"/>
      <c r="AG338" s="1590"/>
      <c r="AH338" s="1588">
        <f>SUMIF(NOV!$G$158:$J$158,$C338,NOV!$G$153:$J$153)</f>
        <v>0</v>
      </c>
      <c r="AI338" s="1589"/>
      <c r="AJ338" s="1590"/>
      <c r="AK338" s="1588">
        <f>SUMIF(DIC!$G$158:$J$158,$C338,DIC!$G$153:$J$153)</f>
        <v>0</v>
      </c>
      <c r="AL338" s="1589"/>
      <c r="AM338" s="1590"/>
      <c r="AN338" s="1588">
        <f>SUM(D338:AM338)</f>
        <v>0</v>
      </c>
      <c r="AO338" s="1589"/>
      <c r="AP338" s="1589"/>
      <c r="AQ338" s="1689" t="str">
        <f t="shared" ref="AQ338:AQ343" si="57">CONCATENATE(Y8," ",AD8)</f>
        <v>Fuori C. IVA Art. 15</v>
      </c>
      <c r="AR338" s="1690"/>
      <c r="AS338" s="1690"/>
      <c r="AT338" s="1691"/>
      <c r="AU338" s="48"/>
      <c r="AV338" s="48"/>
      <c r="AW338" s="481"/>
      <c r="AX338" s="481"/>
      <c r="AY338" s="481"/>
      <c r="AZ338" s="481"/>
      <c r="BA338" s="481"/>
      <c r="BB338" s="481"/>
      <c r="BC338" s="481"/>
      <c r="BD338" s="481"/>
      <c r="BE338" s="481"/>
      <c r="BF338" s="481"/>
      <c r="BG338" s="481"/>
      <c r="BH338" s="481"/>
      <c r="BI338" s="481"/>
      <c r="BJ338" s="481"/>
      <c r="BK338" s="481"/>
      <c r="BL338" s="481"/>
      <c r="BM338" s="481"/>
      <c r="BN338" s="481"/>
      <c r="BO338" s="481"/>
      <c r="BP338" s="481"/>
      <c r="BQ338" s="481"/>
      <c r="BR338" s="481"/>
      <c r="BS338" s="481"/>
      <c r="BT338" s="481"/>
      <c r="BU338" s="481"/>
      <c r="BV338" s="481"/>
      <c r="BW338" s="481"/>
      <c r="BX338" s="481"/>
      <c r="BY338" s="481"/>
      <c r="BZ338" s="481"/>
      <c r="CA338" s="481"/>
      <c r="CB338" s="481"/>
      <c r="CC338" s="481"/>
      <c r="CD338" s="481"/>
      <c r="CE338" s="481"/>
      <c r="CF338" s="481"/>
      <c r="CG338" s="481"/>
      <c r="CH338" s="481"/>
      <c r="CI338" s="481"/>
      <c r="CJ338" s="481"/>
      <c r="CK338" s="481"/>
      <c r="CL338" s="481"/>
      <c r="CM338" s="481"/>
      <c r="CN338" s="481"/>
      <c r="CO338" s="481"/>
      <c r="CP338" s="481"/>
      <c r="CQ338" s="481"/>
      <c r="CR338" s="481"/>
      <c r="CS338" s="481"/>
      <c r="CT338" s="481"/>
      <c r="CU338" s="481"/>
      <c r="CV338" s="481"/>
      <c r="CW338" s="481"/>
      <c r="CX338" s="481"/>
      <c r="CY338" s="481"/>
      <c r="CZ338" s="481"/>
      <c r="DA338" s="481"/>
      <c r="DB338" s="481"/>
      <c r="DC338" s="481"/>
      <c r="DD338" s="481"/>
      <c r="DE338" s="481"/>
      <c r="DF338" s="481"/>
      <c r="DG338" s="481"/>
      <c r="DH338" s="481"/>
      <c r="DI338" s="481"/>
      <c r="DJ338" s="481"/>
      <c r="DK338" s="481"/>
      <c r="DL338" s="481"/>
      <c r="DM338" s="481"/>
      <c r="DN338" s="481"/>
      <c r="DO338" s="481"/>
      <c r="DP338" s="481"/>
      <c r="DQ338" s="481"/>
      <c r="DR338" s="481"/>
      <c r="DS338" s="481"/>
      <c r="DT338" s="481"/>
      <c r="DU338" s="481"/>
      <c r="DV338" s="481"/>
      <c r="DW338" s="481"/>
      <c r="DX338" s="481"/>
      <c r="DY338" s="481"/>
      <c r="DZ338" s="481"/>
      <c r="EA338" s="481"/>
      <c r="EB338" s="481"/>
      <c r="EC338" s="481"/>
      <c r="ED338" s="481"/>
      <c r="EE338" s="481"/>
      <c r="EF338" s="481"/>
      <c r="EG338" s="481"/>
      <c r="EH338" s="481"/>
      <c r="EI338" s="481"/>
      <c r="EJ338" s="481"/>
      <c r="EK338" s="481"/>
      <c r="EL338" s="481"/>
      <c r="EM338" s="481"/>
      <c r="EN338" s="481"/>
      <c r="EO338" s="481"/>
      <c r="EP338" s="481"/>
      <c r="EQ338" s="481"/>
      <c r="ER338" s="481"/>
      <c r="ES338" s="481"/>
      <c r="ET338" s="481"/>
      <c r="EU338" s="481"/>
      <c r="EV338" s="481"/>
      <c r="EW338" s="481"/>
      <c r="EX338" s="481"/>
      <c r="EY338" s="481"/>
      <c r="EZ338" s="481"/>
      <c r="FA338" s="481"/>
      <c r="FB338" s="481"/>
      <c r="FC338" s="481"/>
      <c r="FD338" s="481"/>
    </row>
    <row r="339" spans="1:160" ht="18" hidden="1" customHeight="1" x14ac:dyDescent="0.2">
      <c r="A339" s="560" t="str">
        <f>IF(B237="--","--",MID(B237,4,2))</f>
        <v>--</v>
      </c>
      <c r="B339" s="370">
        <f>IF(ISERROR(VLOOKUP(C339,A$338:A$346,1,FALSE)),0,COUNTIF(B$338:B338,"&gt;0")+1)</f>
        <v>0</v>
      </c>
      <c r="C339" s="309" t="str">
        <f t="shared" si="56"/>
        <v>15</v>
      </c>
      <c r="D339" s="1588">
        <f>SUMIF(GEN!$G$158:$J$158,$C339,GEN!$G$153:$J$153)</f>
        <v>0</v>
      </c>
      <c r="E339" s="1589"/>
      <c r="F339" s="1590"/>
      <c r="G339" s="1588">
        <f>SUMIF(FEB!$G$158:$J$158,$C339,FEB!$G$153:$J$153)</f>
        <v>0</v>
      </c>
      <c r="H339" s="1589"/>
      <c r="I339" s="1590"/>
      <c r="J339" s="1588">
        <f>SUMIF(MAR!$G$158:$J$158,$C339,MAR!$G$153:$J$153)</f>
        <v>0</v>
      </c>
      <c r="K339" s="1589"/>
      <c r="L339" s="1590"/>
      <c r="M339" s="1588">
        <f>SUMIF(APR!$G$158:$J$158,$C339,APR!$G$153:$J$153)</f>
        <v>0</v>
      </c>
      <c r="N339" s="1589"/>
      <c r="O339" s="1590"/>
      <c r="P339" s="1588">
        <f>SUMIF(MAG!$G$158:$J$158,$C339,MAG!$G$153:$J$153)</f>
        <v>0</v>
      </c>
      <c r="Q339" s="1589"/>
      <c r="R339" s="1590"/>
      <c r="S339" s="1588">
        <f>SUMIF(GIU!$G$158:$J$158,$C339,GIU!$G$153:$J$153)</f>
        <v>0</v>
      </c>
      <c r="T339" s="1589"/>
      <c r="U339" s="1590"/>
      <c r="V339" s="1588">
        <f>SUMIF(LUG!$G$158:$J$158,$C339,LUG!$G$153:$J$153)</f>
        <v>0</v>
      </c>
      <c r="W339" s="1589"/>
      <c r="X339" s="1590"/>
      <c r="Y339" s="1588">
        <f>SUMIF(AGO!$G$158:$J$158,$C339,AGO!$G$153:$J$153)</f>
        <v>0</v>
      </c>
      <c r="Z339" s="1589"/>
      <c r="AA339" s="1590"/>
      <c r="AB339" s="1588">
        <f>SUMIF(SET!$G$158:$J$158,$C339,SET!$G$153:$J$153)</f>
        <v>0</v>
      </c>
      <c r="AC339" s="1589"/>
      <c r="AD339" s="1590"/>
      <c r="AE339" s="1588">
        <f>SUMIF(OTT!$G$158:$J$158,$C339,OTT!$G$153:$J$153)</f>
        <v>0</v>
      </c>
      <c r="AF339" s="1589"/>
      <c r="AG339" s="1590"/>
      <c r="AH339" s="1588">
        <f>SUMIF(NOV!$G$158:$J$158,$C339,NOV!$G$153:$J$153)</f>
        <v>0</v>
      </c>
      <c r="AI339" s="1589"/>
      <c r="AJ339" s="1590"/>
      <c r="AK339" s="1588">
        <f>SUMIF(DIC!$G$158:$J$158,$C339,DIC!$G$153:$J$153)</f>
        <v>0</v>
      </c>
      <c r="AL339" s="1589"/>
      <c r="AM339" s="1590"/>
      <c r="AN339" s="1588">
        <f t="shared" ref="AN339:AN347" si="58">SUM(D339:AM339)</f>
        <v>0</v>
      </c>
      <c r="AO339" s="1589"/>
      <c r="AP339" s="1589"/>
      <c r="AQ339" s="1689" t="str">
        <f t="shared" si="57"/>
        <v xml:space="preserve">Non Imp. Art. </v>
      </c>
      <c r="AR339" s="1690"/>
      <c r="AS339" s="1690"/>
      <c r="AT339" s="1691"/>
      <c r="AU339" s="48"/>
      <c r="AV339" s="48"/>
      <c r="AW339" s="481"/>
      <c r="AX339" s="481"/>
      <c r="AY339" s="481"/>
      <c r="AZ339" s="481"/>
      <c r="BA339" s="481"/>
      <c r="BB339" s="481"/>
      <c r="BC339" s="481"/>
      <c r="BD339" s="481"/>
      <c r="BE339" s="481"/>
      <c r="BF339" s="481"/>
      <c r="BG339" s="481"/>
      <c r="BH339" s="481"/>
      <c r="BI339" s="481"/>
      <c r="BJ339" s="481"/>
      <c r="BK339" s="481"/>
      <c r="BL339" s="481"/>
      <c r="BM339" s="481"/>
      <c r="BN339" s="481"/>
      <c r="BO339" s="481"/>
      <c r="BP339" s="481"/>
      <c r="BQ339" s="481"/>
      <c r="BR339" s="481"/>
      <c r="BS339" s="481"/>
      <c r="BT339" s="481"/>
      <c r="BU339" s="481"/>
      <c r="BV339" s="481"/>
      <c r="BW339" s="481"/>
      <c r="BX339" s="481"/>
      <c r="BY339" s="481"/>
      <c r="BZ339" s="481"/>
      <c r="CA339" s="481"/>
      <c r="CB339" s="481"/>
      <c r="CC339" s="481"/>
      <c r="CD339" s="481"/>
      <c r="CE339" s="481"/>
      <c r="CF339" s="481"/>
      <c r="CG339" s="481"/>
      <c r="CH339" s="481"/>
      <c r="CI339" s="481"/>
      <c r="CJ339" s="481"/>
      <c r="CK339" s="481"/>
      <c r="CL339" s="481"/>
      <c r="CM339" s="481"/>
      <c r="CN339" s="481"/>
      <c r="CO339" s="481"/>
      <c r="CP339" s="481"/>
      <c r="CQ339" s="481"/>
      <c r="CR339" s="481"/>
      <c r="CS339" s="481"/>
      <c r="CT339" s="481"/>
      <c r="CU339" s="481"/>
      <c r="CV339" s="481"/>
      <c r="CW339" s="481"/>
      <c r="CX339" s="481"/>
      <c r="CY339" s="481"/>
      <c r="CZ339" s="481"/>
      <c r="DA339" s="481"/>
      <c r="DB339" s="481"/>
      <c r="DC339" s="481"/>
      <c r="DD339" s="481"/>
      <c r="DE339" s="481"/>
      <c r="DF339" s="481"/>
      <c r="DG339" s="481"/>
      <c r="DH339" s="481"/>
      <c r="DI339" s="481"/>
      <c r="DJ339" s="481"/>
      <c r="DK339" s="481"/>
      <c r="DL339" s="481"/>
      <c r="DM339" s="481"/>
      <c r="DN339" s="481"/>
      <c r="DO339" s="481"/>
      <c r="DP339" s="481"/>
      <c r="DQ339" s="481"/>
      <c r="DR339" s="481"/>
      <c r="DS339" s="481"/>
      <c r="DT339" s="481"/>
      <c r="DU339" s="481"/>
      <c r="DV339" s="481"/>
      <c r="DW339" s="481"/>
      <c r="DX339" s="481"/>
      <c r="DY339" s="481"/>
      <c r="DZ339" s="481"/>
      <c r="EA339" s="481"/>
      <c r="EB339" s="481"/>
      <c r="EC339" s="481"/>
      <c r="ED339" s="481"/>
      <c r="EE339" s="481"/>
      <c r="EF339" s="481"/>
      <c r="EG339" s="481"/>
      <c r="EH339" s="481"/>
      <c r="EI339" s="481"/>
      <c r="EJ339" s="481"/>
      <c r="EK339" s="481"/>
      <c r="EL339" s="481"/>
      <c r="EM339" s="481"/>
      <c r="EN339" s="481"/>
      <c r="EO339" s="481"/>
      <c r="EP339" s="481"/>
      <c r="EQ339" s="481"/>
      <c r="ER339" s="481"/>
      <c r="ES339" s="481"/>
      <c r="ET339" s="481"/>
      <c r="EU339" s="481"/>
      <c r="EV339" s="481"/>
      <c r="EW339" s="481"/>
      <c r="EX339" s="481"/>
      <c r="EY339" s="481"/>
      <c r="EZ339" s="481"/>
      <c r="FA339" s="481"/>
      <c r="FB339" s="481"/>
      <c r="FC339" s="481"/>
      <c r="FD339" s="481"/>
    </row>
    <row r="340" spans="1:160" ht="18" hidden="1" customHeight="1" x14ac:dyDescent="0.2">
      <c r="A340" s="560" t="str">
        <f>IF(B240="--","--",MID(B240,4,2))</f>
        <v>--</v>
      </c>
      <c r="B340" s="370">
        <f>IF(ISERROR(VLOOKUP(C340,A$338:A$346,1,FALSE)),0,COUNTIF(B$338:B339,"&gt;0")+1)</f>
        <v>0</v>
      </c>
      <c r="C340" s="309" t="str">
        <f t="shared" si="56"/>
        <v>16</v>
      </c>
      <c r="D340" s="1588">
        <f>SUMIF(GEN!$G$158:$J$158,$C340,GEN!$G$153:$J$153)</f>
        <v>0</v>
      </c>
      <c r="E340" s="1589"/>
      <c r="F340" s="1590"/>
      <c r="G340" s="1588">
        <f>SUMIF(FEB!$G$158:$J$158,$C340,FEB!$G$153:$J$153)</f>
        <v>0</v>
      </c>
      <c r="H340" s="1589"/>
      <c r="I340" s="1590"/>
      <c r="J340" s="1588">
        <f>SUMIF(MAR!$G$158:$J$158,$C340,MAR!$G$153:$J$153)</f>
        <v>0</v>
      </c>
      <c r="K340" s="1589"/>
      <c r="L340" s="1590"/>
      <c r="M340" s="1588">
        <f>SUMIF(APR!$G$158:$J$158,$C340,APR!$G$153:$J$153)</f>
        <v>0</v>
      </c>
      <c r="N340" s="1589"/>
      <c r="O340" s="1590"/>
      <c r="P340" s="1588">
        <f>SUMIF(MAG!$G$158:$J$158,$C340,MAG!$G$153:$J$153)</f>
        <v>0</v>
      </c>
      <c r="Q340" s="1589"/>
      <c r="R340" s="1590"/>
      <c r="S340" s="1588">
        <f>SUMIF(GIU!$G$158:$J$158,$C340,GIU!$G$153:$J$153)</f>
        <v>0</v>
      </c>
      <c r="T340" s="1589"/>
      <c r="U340" s="1590"/>
      <c r="V340" s="1588">
        <f>SUMIF(LUG!$G$158:$J$158,$C340,LUG!$G$153:$J$153)</f>
        <v>0</v>
      </c>
      <c r="W340" s="1589"/>
      <c r="X340" s="1590"/>
      <c r="Y340" s="1588">
        <f>SUMIF(AGO!$G$158:$J$158,$C340,AGO!$G$153:$J$153)</f>
        <v>0</v>
      </c>
      <c r="Z340" s="1589"/>
      <c r="AA340" s="1590"/>
      <c r="AB340" s="1588">
        <f>SUMIF(SET!$G$158:$J$158,$C340,SET!$G$153:$J$153)</f>
        <v>0</v>
      </c>
      <c r="AC340" s="1589"/>
      <c r="AD340" s="1590"/>
      <c r="AE340" s="1588">
        <f>SUMIF(OTT!$G$158:$J$158,$C340,OTT!$G$153:$J$153)</f>
        <v>0</v>
      </c>
      <c r="AF340" s="1589"/>
      <c r="AG340" s="1590"/>
      <c r="AH340" s="1588">
        <f>SUMIF(NOV!$G$158:$J$158,$C340,NOV!$G$153:$J$153)</f>
        <v>0</v>
      </c>
      <c r="AI340" s="1589"/>
      <c r="AJ340" s="1590"/>
      <c r="AK340" s="1588">
        <f>SUMIF(DIC!$G$158:$J$158,$C340,DIC!$G$153:$J$153)</f>
        <v>0</v>
      </c>
      <c r="AL340" s="1589"/>
      <c r="AM340" s="1590"/>
      <c r="AN340" s="1588">
        <f t="shared" si="58"/>
        <v>0</v>
      </c>
      <c r="AO340" s="1589"/>
      <c r="AP340" s="1589"/>
      <c r="AQ340" s="1689" t="str">
        <f t="shared" si="57"/>
        <v xml:space="preserve">Escluso Art. </v>
      </c>
      <c r="AR340" s="1690"/>
      <c r="AS340" s="1690"/>
      <c r="AT340" s="1691"/>
      <c r="AU340" s="48"/>
      <c r="AV340" s="48"/>
      <c r="AW340" s="481"/>
      <c r="AX340" s="481"/>
      <c r="AY340" s="481"/>
      <c r="AZ340" s="481"/>
      <c r="BA340" s="481"/>
      <c r="BB340" s="481"/>
      <c r="BC340" s="481"/>
      <c r="BD340" s="481"/>
      <c r="BE340" s="481"/>
      <c r="BF340" s="481"/>
      <c r="BG340" s="481"/>
      <c r="BH340" s="481"/>
      <c r="BI340" s="481"/>
      <c r="BJ340" s="481"/>
      <c r="BK340" s="481"/>
      <c r="BL340" s="481"/>
      <c r="BM340" s="481"/>
      <c r="BN340" s="481"/>
      <c r="BO340" s="481"/>
      <c r="BP340" s="481"/>
      <c r="BQ340" s="481"/>
      <c r="BR340" s="481"/>
      <c r="BS340" s="481"/>
      <c r="BT340" s="481"/>
      <c r="BU340" s="481"/>
      <c r="BV340" s="481"/>
      <c r="BW340" s="481"/>
      <c r="BX340" s="481"/>
      <c r="BY340" s="481"/>
      <c r="BZ340" s="481"/>
      <c r="CA340" s="481"/>
      <c r="CB340" s="481"/>
      <c r="CC340" s="481"/>
      <c r="CD340" s="481"/>
      <c r="CE340" s="481"/>
      <c r="CF340" s="481"/>
      <c r="CG340" s="481"/>
      <c r="CH340" s="481"/>
      <c r="CI340" s="481"/>
      <c r="CJ340" s="481"/>
      <c r="CK340" s="481"/>
      <c r="CL340" s="481"/>
      <c r="CM340" s="481"/>
      <c r="CN340" s="481"/>
      <c r="CO340" s="481"/>
      <c r="CP340" s="481"/>
      <c r="CQ340" s="481"/>
      <c r="CR340" s="481"/>
      <c r="CS340" s="481"/>
      <c r="CT340" s="481"/>
      <c r="CU340" s="481"/>
      <c r="CV340" s="481"/>
      <c r="CW340" s="481"/>
      <c r="CX340" s="481"/>
      <c r="CY340" s="481"/>
      <c r="CZ340" s="481"/>
      <c r="DA340" s="481"/>
      <c r="DB340" s="481"/>
      <c r="DC340" s="481"/>
      <c r="DD340" s="481"/>
      <c r="DE340" s="481"/>
      <c r="DF340" s="481"/>
      <c r="DG340" s="481"/>
      <c r="DH340" s="481"/>
      <c r="DI340" s="481"/>
      <c r="DJ340" s="481"/>
      <c r="DK340" s="481"/>
      <c r="DL340" s="481"/>
      <c r="DM340" s="481"/>
      <c r="DN340" s="481"/>
      <c r="DO340" s="481"/>
      <c r="DP340" s="481"/>
      <c r="DQ340" s="481"/>
      <c r="DR340" s="481"/>
      <c r="DS340" s="481"/>
      <c r="DT340" s="481"/>
      <c r="DU340" s="481"/>
      <c r="DV340" s="481"/>
      <c r="DW340" s="481"/>
      <c r="DX340" s="481"/>
      <c r="DY340" s="481"/>
      <c r="DZ340" s="481"/>
      <c r="EA340" s="481"/>
      <c r="EB340" s="481"/>
      <c r="EC340" s="481"/>
      <c r="ED340" s="481"/>
      <c r="EE340" s="481"/>
      <c r="EF340" s="481"/>
      <c r="EG340" s="481"/>
      <c r="EH340" s="481"/>
      <c r="EI340" s="481"/>
      <c r="EJ340" s="481"/>
      <c r="EK340" s="481"/>
      <c r="EL340" s="481"/>
      <c r="EM340" s="481"/>
      <c r="EN340" s="481"/>
      <c r="EO340" s="481"/>
      <c r="EP340" s="481"/>
      <c r="EQ340" s="481"/>
      <c r="ER340" s="481"/>
      <c r="ES340" s="481"/>
      <c r="ET340" s="481"/>
      <c r="EU340" s="481"/>
      <c r="EV340" s="481"/>
      <c r="EW340" s="481"/>
      <c r="EX340" s="481"/>
      <c r="EY340" s="481"/>
      <c r="EZ340" s="481"/>
      <c r="FA340" s="481"/>
      <c r="FB340" s="481"/>
      <c r="FC340" s="481"/>
      <c r="FD340" s="481"/>
    </row>
    <row r="341" spans="1:160" ht="18" hidden="1" customHeight="1" x14ac:dyDescent="0.2">
      <c r="A341" s="560" t="str">
        <f>IF(B243="--","--",MID(B243,4,2))</f>
        <v>--</v>
      </c>
      <c r="B341" s="370">
        <f>IF(ISERROR(VLOOKUP(C341,A$338:A$346,1,FALSE)),0,COUNTIF(B$338:B340,"&gt;0")+1)</f>
        <v>0</v>
      </c>
      <c r="C341" s="309" t="str">
        <f t="shared" si="56"/>
        <v>17</v>
      </c>
      <c r="D341" s="1588">
        <f>SUMIF(GEN!$G$158:$J$158,$C341,GEN!$G$153:$J$153)</f>
        <v>0</v>
      </c>
      <c r="E341" s="1589"/>
      <c r="F341" s="1590"/>
      <c r="G341" s="1588">
        <f>SUMIF(FEB!$G$158:$J$158,$C341,FEB!$G$153:$J$153)</f>
        <v>0</v>
      </c>
      <c r="H341" s="1589"/>
      <c r="I341" s="1590"/>
      <c r="J341" s="1588">
        <f>SUMIF(MAR!$G$158:$J$158,$C341,MAR!$G$153:$J$153)</f>
        <v>0</v>
      </c>
      <c r="K341" s="1589"/>
      <c r="L341" s="1590"/>
      <c r="M341" s="1588">
        <f>SUMIF(APR!$G$158:$J$158,$C341,APR!$G$153:$J$153)</f>
        <v>0</v>
      </c>
      <c r="N341" s="1589"/>
      <c r="O341" s="1590"/>
      <c r="P341" s="1588">
        <f>SUMIF(MAG!$G$158:$J$158,$C341,MAG!$G$153:$J$153)</f>
        <v>0</v>
      </c>
      <c r="Q341" s="1589"/>
      <c r="R341" s="1590"/>
      <c r="S341" s="1588">
        <f>SUMIF(GIU!$G$158:$J$158,$C341,GIU!$G$153:$J$153)</f>
        <v>0</v>
      </c>
      <c r="T341" s="1589"/>
      <c r="U341" s="1590"/>
      <c r="V341" s="1588">
        <f>SUMIF(LUG!$G$158:$J$158,$C341,LUG!$G$153:$J$153)</f>
        <v>0</v>
      </c>
      <c r="W341" s="1589"/>
      <c r="X341" s="1590"/>
      <c r="Y341" s="1588">
        <f>SUMIF(AGO!$G$158:$J$158,$C341,AGO!$G$153:$J$153)</f>
        <v>0</v>
      </c>
      <c r="Z341" s="1589"/>
      <c r="AA341" s="1590"/>
      <c r="AB341" s="1588">
        <f>SUMIF(SET!$G$158:$J$158,$C341,SET!$G$153:$J$153)</f>
        <v>0</v>
      </c>
      <c r="AC341" s="1589"/>
      <c r="AD341" s="1590"/>
      <c r="AE341" s="1588">
        <f>SUMIF(OTT!$G$158:$J$158,$C341,OTT!$G$153:$J$153)</f>
        <v>0</v>
      </c>
      <c r="AF341" s="1589"/>
      <c r="AG341" s="1590"/>
      <c r="AH341" s="1588">
        <f>SUMIF(NOV!$G$158:$J$158,$C341,NOV!$G$153:$J$153)</f>
        <v>0</v>
      </c>
      <c r="AI341" s="1589"/>
      <c r="AJ341" s="1590"/>
      <c r="AK341" s="1588">
        <f>SUMIF(DIC!$G$158:$J$158,$C341,DIC!$G$153:$J$153)</f>
        <v>0</v>
      </c>
      <c r="AL341" s="1589"/>
      <c r="AM341" s="1590"/>
      <c r="AN341" s="1588">
        <f t="shared" si="58"/>
        <v>0</v>
      </c>
      <c r="AO341" s="1589"/>
      <c r="AP341" s="1589"/>
      <c r="AQ341" s="1689" t="str">
        <f t="shared" si="57"/>
        <v>Esente Art. 7</v>
      </c>
      <c r="AR341" s="1690"/>
      <c r="AS341" s="1690"/>
      <c r="AT341" s="1691"/>
      <c r="AU341" s="48"/>
      <c r="AV341" s="48"/>
      <c r="AW341" s="481"/>
      <c r="AX341" s="481"/>
      <c r="AY341" s="481"/>
      <c r="AZ341" s="481"/>
      <c r="BA341" s="481"/>
      <c r="BB341" s="481"/>
      <c r="BC341" s="481"/>
      <c r="BD341" s="481"/>
      <c r="BE341" s="481"/>
      <c r="BF341" s="481"/>
      <c r="BG341" s="481"/>
      <c r="BH341" s="481"/>
      <c r="BI341" s="481"/>
      <c r="BJ341" s="481"/>
      <c r="BK341" s="481"/>
      <c r="BL341" s="481"/>
      <c r="BM341" s="481"/>
      <c r="BN341" s="481"/>
      <c r="BO341" s="481"/>
      <c r="BP341" s="481"/>
      <c r="BQ341" s="481"/>
      <c r="BR341" s="481"/>
      <c r="BS341" s="481"/>
      <c r="BT341" s="481"/>
      <c r="BU341" s="481"/>
      <c r="BV341" s="481"/>
      <c r="BW341" s="481"/>
      <c r="BX341" s="481"/>
      <c r="BY341" s="481"/>
      <c r="BZ341" s="481"/>
      <c r="CA341" s="481"/>
      <c r="CB341" s="481"/>
      <c r="CC341" s="481"/>
      <c r="CD341" s="481"/>
      <c r="CE341" s="481"/>
      <c r="CF341" s="481"/>
      <c r="CG341" s="481"/>
      <c r="CH341" s="481"/>
      <c r="CI341" s="481"/>
      <c r="CJ341" s="481"/>
      <c r="CK341" s="481"/>
      <c r="CL341" s="481"/>
      <c r="CM341" s="481"/>
      <c r="CN341" s="481"/>
      <c r="CO341" s="481"/>
      <c r="CP341" s="481"/>
      <c r="CQ341" s="481"/>
      <c r="CR341" s="481"/>
      <c r="CS341" s="481"/>
      <c r="CT341" s="481"/>
      <c r="CU341" s="481"/>
      <c r="CV341" s="481"/>
      <c r="CW341" s="481"/>
      <c r="CX341" s="481"/>
      <c r="CY341" s="481"/>
      <c r="CZ341" s="481"/>
      <c r="DA341" s="481"/>
      <c r="DB341" s="481"/>
      <c r="DC341" s="481"/>
      <c r="DD341" s="481"/>
      <c r="DE341" s="481"/>
      <c r="DF341" s="481"/>
      <c r="DG341" s="481"/>
      <c r="DH341" s="481"/>
      <c r="DI341" s="481"/>
      <c r="DJ341" s="481"/>
      <c r="DK341" s="481"/>
      <c r="DL341" s="481"/>
      <c r="DM341" s="481"/>
      <c r="DN341" s="481"/>
      <c r="DO341" s="481"/>
      <c r="DP341" s="481"/>
      <c r="DQ341" s="481"/>
      <c r="DR341" s="481"/>
      <c r="DS341" s="481"/>
      <c r="DT341" s="481"/>
      <c r="DU341" s="481"/>
      <c r="DV341" s="481"/>
      <c r="DW341" s="481"/>
      <c r="DX341" s="481"/>
      <c r="DY341" s="481"/>
      <c r="DZ341" s="481"/>
      <c r="EA341" s="481"/>
      <c r="EB341" s="481"/>
      <c r="EC341" s="481"/>
      <c r="ED341" s="481"/>
      <c r="EE341" s="481"/>
      <c r="EF341" s="481"/>
      <c r="EG341" s="481"/>
      <c r="EH341" s="481"/>
      <c r="EI341" s="481"/>
      <c r="EJ341" s="481"/>
      <c r="EK341" s="481"/>
      <c r="EL341" s="481"/>
      <c r="EM341" s="481"/>
      <c r="EN341" s="481"/>
      <c r="EO341" s="481"/>
      <c r="EP341" s="481"/>
      <c r="EQ341" s="481"/>
      <c r="ER341" s="481"/>
      <c r="ES341" s="481"/>
      <c r="ET341" s="481"/>
      <c r="EU341" s="481"/>
      <c r="EV341" s="481"/>
      <c r="EW341" s="481"/>
      <c r="EX341" s="481"/>
      <c r="EY341" s="481"/>
      <c r="EZ341" s="481"/>
      <c r="FA341" s="481"/>
      <c r="FB341" s="481"/>
      <c r="FC341" s="481"/>
      <c r="FD341" s="481"/>
    </row>
    <row r="342" spans="1:160" ht="18" hidden="1" customHeight="1" x14ac:dyDescent="0.2">
      <c r="A342" s="560" t="str">
        <f>IF(B246="--","--",MID(B246,4,2))</f>
        <v/>
      </c>
      <c r="B342" s="370">
        <f>IF(ISERROR(VLOOKUP(C342,A$338:A$346,1,FALSE)),0,COUNTIF(B$338:B341,"&gt;0")+1)</f>
        <v>0</v>
      </c>
      <c r="C342" s="309" t="str">
        <f t="shared" si="56"/>
        <v>18</v>
      </c>
      <c r="D342" s="1588">
        <f>SUMIF(GEN!$G$158:$J$158,$C342,GEN!$G$153:$J$153)</f>
        <v>0</v>
      </c>
      <c r="E342" s="1589"/>
      <c r="F342" s="1590"/>
      <c r="G342" s="1588">
        <f>SUMIF(FEB!$G$158:$J$158,$C342,FEB!$G$153:$J$153)</f>
        <v>0</v>
      </c>
      <c r="H342" s="1589"/>
      <c r="I342" s="1590"/>
      <c r="J342" s="1588">
        <f>SUMIF(MAR!$G$158:$J$158,$C342,MAR!$G$153:$J$153)</f>
        <v>0</v>
      </c>
      <c r="K342" s="1589"/>
      <c r="L342" s="1590"/>
      <c r="M342" s="1588">
        <f>SUMIF(APR!$G$158:$J$158,$C342,APR!$G$153:$J$153)</f>
        <v>0</v>
      </c>
      <c r="N342" s="1589"/>
      <c r="O342" s="1590"/>
      <c r="P342" s="1588">
        <f>SUMIF(MAG!$G$158:$J$158,$C342,MAG!$G$153:$J$153)</f>
        <v>0</v>
      </c>
      <c r="Q342" s="1589"/>
      <c r="R342" s="1590"/>
      <c r="S342" s="1588">
        <f>SUMIF(GIU!$G$158:$J$158,$C342,GIU!$G$153:$J$153)</f>
        <v>0</v>
      </c>
      <c r="T342" s="1589"/>
      <c r="U342" s="1590"/>
      <c r="V342" s="1588">
        <f>SUMIF(LUG!$G$158:$J$158,$C342,LUG!$G$153:$J$153)</f>
        <v>0</v>
      </c>
      <c r="W342" s="1589"/>
      <c r="X342" s="1590"/>
      <c r="Y342" s="1588">
        <f>SUMIF(AGO!$G$158:$J$158,$C342,AGO!$G$153:$J$153)</f>
        <v>0</v>
      </c>
      <c r="Z342" s="1589"/>
      <c r="AA342" s="1590"/>
      <c r="AB342" s="1588">
        <f>SUMIF(SET!$G$158:$J$158,$C342,SET!$G$153:$J$153)</f>
        <v>0</v>
      </c>
      <c r="AC342" s="1589"/>
      <c r="AD342" s="1590"/>
      <c r="AE342" s="1588">
        <f>SUMIF(OTT!$G$158:$J$158,$C342,OTT!$G$153:$J$153)</f>
        <v>0</v>
      </c>
      <c r="AF342" s="1589"/>
      <c r="AG342" s="1590"/>
      <c r="AH342" s="1588">
        <f>SUMIF(NOV!$G$158:$J$158,$C342,NOV!$G$153:$J$153)</f>
        <v>0</v>
      </c>
      <c r="AI342" s="1589"/>
      <c r="AJ342" s="1590"/>
      <c r="AK342" s="1588">
        <f>SUMIF(DIC!$G$158:$J$158,$C342,DIC!$G$153:$J$153)</f>
        <v>0</v>
      </c>
      <c r="AL342" s="1589"/>
      <c r="AM342" s="1590"/>
      <c r="AN342" s="1588">
        <f t="shared" si="58"/>
        <v>0</v>
      </c>
      <c r="AO342" s="1589"/>
      <c r="AP342" s="1589"/>
      <c r="AQ342" s="1689" t="str">
        <f t="shared" si="57"/>
        <v xml:space="preserve"> </v>
      </c>
      <c r="AR342" s="1690"/>
      <c r="AS342" s="1690"/>
      <c r="AT342" s="1691"/>
      <c r="AU342" s="48"/>
      <c r="AV342" s="48"/>
      <c r="AW342" s="481"/>
      <c r="AX342" s="481"/>
      <c r="AY342" s="481"/>
      <c r="AZ342" s="481"/>
      <c r="BA342" s="481"/>
      <c r="BB342" s="481"/>
      <c r="BC342" s="481"/>
      <c r="BD342" s="481"/>
      <c r="BE342" s="481"/>
      <c r="BF342" s="481"/>
      <c r="BG342" s="481"/>
      <c r="BH342" s="481"/>
      <c r="BI342" s="481"/>
      <c r="BJ342" s="481"/>
      <c r="BK342" s="481"/>
      <c r="BL342" s="481"/>
      <c r="BM342" s="481"/>
      <c r="BN342" s="481"/>
      <c r="BO342" s="481"/>
      <c r="BP342" s="481"/>
      <c r="BQ342" s="481"/>
      <c r="BR342" s="481"/>
      <c r="BS342" s="481"/>
      <c r="BT342" s="481"/>
      <c r="BU342" s="481"/>
      <c r="BV342" s="481"/>
      <c r="BW342" s="481"/>
      <c r="BX342" s="481"/>
      <c r="BY342" s="481"/>
      <c r="BZ342" s="481"/>
      <c r="CA342" s="481"/>
      <c r="CB342" s="481"/>
      <c r="CC342" s="481"/>
      <c r="CD342" s="481"/>
      <c r="CE342" s="481"/>
      <c r="CF342" s="481"/>
      <c r="CG342" s="481"/>
      <c r="CH342" s="481"/>
      <c r="CI342" s="481"/>
      <c r="CJ342" s="481"/>
      <c r="CK342" s="481"/>
      <c r="CL342" s="481"/>
      <c r="CM342" s="481"/>
      <c r="CN342" s="481"/>
      <c r="CO342" s="481"/>
      <c r="CP342" s="481"/>
      <c r="CQ342" s="481"/>
      <c r="CR342" s="481"/>
      <c r="CS342" s="481"/>
      <c r="CT342" s="481"/>
      <c r="CU342" s="481"/>
      <c r="CV342" s="481"/>
      <c r="CW342" s="481"/>
      <c r="CX342" s="481"/>
      <c r="CY342" s="481"/>
      <c r="CZ342" s="481"/>
      <c r="DA342" s="481"/>
      <c r="DB342" s="481"/>
      <c r="DC342" s="481"/>
      <c r="DD342" s="481"/>
      <c r="DE342" s="481"/>
      <c r="DF342" s="481"/>
      <c r="DG342" s="481"/>
      <c r="DH342" s="481"/>
      <c r="DI342" s="481"/>
      <c r="DJ342" s="481"/>
      <c r="DK342" s="481"/>
      <c r="DL342" s="481"/>
      <c r="DM342" s="481"/>
      <c r="DN342" s="481"/>
      <c r="DO342" s="481"/>
      <c r="DP342" s="481"/>
      <c r="DQ342" s="481"/>
      <c r="DR342" s="481"/>
      <c r="DS342" s="481"/>
      <c r="DT342" s="481"/>
      <c r="DU342" s="481"/>
      <c r="DV342" s="481"/>
      <c r="DW342" s="481"/>
      <c r="DX342" s="481"/>
      <c r="DY342" s="481"/>
      <c r="DZ342" s="481"/>
      <c r="EA342" s="481"/>
      <c r="EB342" s="481"/>
      <c r="EC342" s="481"/>
      <c r="ED342" s="481"/>
      <c r="EE342" s="481"/>
      <c r="EF342" s="481"/>
      <c r="EG342" s="481"/>
      <c r="EH342" s="481"/>
      <c r="EI342" s="481"/>
      <c r="EJ342" s="481"/>
      <c r="EK342" s="481"/>
      <c r="EL342" s="481"/>
      <c r="EM342" s="481"/>
      <c r="EN342" s="481"/>
      <c r="EO342" s="481"/>
      <c r="EP342" s="481"/>
      <c r="EQ342" s="481"/>
      <c r="ER342" s="481"/>
      <c r="ES342" s="481"/>
      <c r="ET342" s="481"/>
      <c r="EU342" s="481"/>
      <c r="EV342" s="481"/>
      <c r="EW342" s="481"/>
      <c r="EX342" s="481"/>
      <c r="EY342" s="481"/>
      <c r="EZ342" s="481"/>
      <c r="FA342" s="481"/>
      <c r="FB342" s="481"/>
      <c r="FC342" s="481"/>
      <c r="FD342" s="481"/>
    </row>
    <row r="343" spans="1:160" ht="18" hidden="1" customHeight="1" x14ac:dyDescent="0.2">
      <c r="A343" s="560" t="str">
        <f>IF(B249="--","--",MID(B249,4,2))</f>
        <v/>
      </c>
      <c r="B343" s="370">
        <f>IF(ISERROR(VLOOKUP(C343,A$338:A$346,1,FALSE)),0,COUNTIF(B$338:B342,"&gt;0")+1)</f>
        <v>0</v>
      </c>
      <c r="C343" s="309" t="str">
        <f t="shared" si="56"/>
        <v>19</v>
      </c>
      <c r="D343" s="1588">
        <f>SUMIF(GEN!$G$158:$J$158,$C343,GEN!$G$153:$J$153)</f>
        <v>0</v>
      </c>
      <c r="E343" s="1589"/>
      <c r="F343" s="1590"/>
      <c r="G343" s="1588">
        <f>SUMIF(FEB!$G$158:$J$158,$C343,FEB!$G$153:$J$153)</f>
        <v>0</v>
      </c>
      <c r="H343" s="1589"/>
      <c r="I343" s="1590"/>
      <c r="J343" s="1588">
        <f>SUMIF(MAR!$G$158:$J$158,$C343,MAR!$G$153:$J$153)</f>
        <v>0</v>
      </c>
      <c r="K343" s="1589"/>
      <c r="L343" s="1590"/>
      <c r="M343" s="1588">
        <f>SUMIF(APR!$G$158:$J$158,$C343,APR!$G$153:$J$153)</f>
        <v>0</v>
      </c>
      <c r="N343" s="1589"/>
      <c r="O343" s="1590"/>
      <c r="P343" s="1588">
        <f>SUMIF(MAG!$G$158:$J$158,$C343,MAG!$G$153:$J$153)</f>
        <v>0</v>
      </c>
      <c r="Q343" s="1589"/>
      <c r="R343" s="1590"/>
      <c r="S343" s="1588">
        <f>SUMIF(GIU!$G$158:$J$158,$C343,GIU!$G$153:$J$153)</f>
        <v>0</v>
      </c>
      <c r="T343" s="1589"/>
      <c r="U343" s="1590"/>
      <c r="V343" s="1588">
        <f>SUMIF(LUG!$G$158:$J$158,$C343,LUG!$G$153:$J$153)</f>
        <v>0</v>
      </c>
      <c r="W343" s="1589"/>
      <c r="X343" s="1590"/>
      <c r="Y343" s="1588">
        <f>SUMIF(AGO!$G$158:$J$158,$C343,AGO!$G$153:$J$153)</f>
        <v>0</v>
      </c>
      <c r="Z343" s="1589"/>
      <c r="AA343" s="1590"/>
      <c r="AB343" s="1588">
        <f>SUMIF(SET!$G$158:$J$158,$C343,SET!$G$153:$J$153)</f>
        <v>0</v>
      </c>
      <c r="AC343" s="1589"/>
      <c r="AD343" s="1590"/>
      <c r="AE343" s="1588">
        <f>SUMIF(OTT!$G$158:$J$158,$C343,OTT!$G$153:$J$153)</f>
        <v>0</v>
      </c>
      <c r="AF343" s="1589"/>
      <c r="AG343" s="1590"/>
      <c r="AH343" s="1588">
        <f>SUMIF(NOV!$G$158:$J$158,$C343,NOV!$G$153:$J$153)</f>
        <v>0</v>
      </c>
      <c r="AI343" s="1589"/>
      <c r="AJ343" s="1590"/>
      <c r="AK343" s="1588">
        <f>SUMIF(DIC!$G$158:$J$158,$C343,DIC!$G$153:$J$153)</f>
        <v>0</v>
      </c>
      <c r="AL343" s="1589"/>
      <c r="AM343" s="1590"/>
      <c r="AN343" s="1588">
        <f t="shared" si="58"/>
        <v>0</v>
      </c>
      <c r="AO343" s="1589"/>
      <c r="AP343" s="1589"/>
      <c r="AQ343" s="1689" t="str">
        <f t="shared" si="57"/>
        <v xml:space="preserve"> </v>
      </c>
      <c r="AR343" s="1690"/>
      <c r="AS343" s="1690"/>
      <c r="AT343" s="1691"/>
      <c r="AU343" s="48"/>
      <c r="AV343" s="48"/>
      <c r="AW343" s="481"/>
      <c r="AX343" s="481"/>
      <c r="AY343" s="481"/>
      <c r="AZ343" s="481"/>
      <c r="BA343" s="481"/>
      <c r="BB343" s="481"/>
      <c r="BC343" s="481"/>
      <c r="BD343" s="481"/>
      <c r="BE343" s="481"/>
      <c r="BF343" s="481"/>
      <c r="BG343" s="481"/>
      <c r="BH343" s="481"/>
      <c r="BI343" s="481"/>
      <c r="BJ343" s="481"/>
      <c r="BK343" s="481"/>
      <c r="BL343" s="481"/>
      <c r="BM343" s="481"/>
      <c r="BN343" s="481"/>
      <c r="BO343" s="481"/>
      <c r="BP343" s="481"/>
      <c r="BQ343" s="481"/>
      <c r="BR343" s="481"/>
      <c r="BS343" s="481"/>
      <c r="BT343" s="481"/>
      <c r="BU343" s="481"/>
      <c r="BV343" s="481"/>
      <c r="BW343" s="481"/>
      <c r="BX343" s="481"/>
      <c r="BY343" s="481"/>
      <c r="BZ343" s="481"/>
      <c r="CA343" s="481"/>
      <c r="CB343" s="481"/>
      <c r="CC343" s="481"/>
      <c r="CD343" s="481"/>
      <c r="CE343" s="481"/>
      <c r="CF343" s="481"/>
      <c r="CG343" s="481"/>
      <c r="CH343" s="481"/>
      <c r="CI343" s="481"/>
      <c r="CJ343" s="481"/>
      <c r="CK343" s="481"/>
      <c r="CL343" s="481"/>
      <c r="CM343" s="481"/>
      <c r="CN343" s="481"/>
      <c r="CO343" s="481"/>
      <c r="CP343" s="481"/>
      <c r="CQ343" s="481"/>
      <c r="CR343" s="481"/>
      <c r="CS343" s="481"/>
      <c r="CT343" s="481"/>
      <c r="CU343" s="481"/>
      <c r="CV343" s="481"/>
      <c r="CW343" s="481"/>
      <c r="CX343" s="481"/>
      <c r="CY343" s="481"/>
      <c r="CZ343" s="481"/>
      <c r="DA343" s="481"/>
      <c r="DB343" s="481"/>
      <c r="DC343" s="481"/>
      <c r="DD343" s="481"/>
      <c r="DE343" s="481"/>
      <c r="DF343" s="481"/>
      <c r="DG343" s="481"/>
      <c r="DH343" s="481"/>
      <c r="DI343" s="481"/>
      <c r="DJ343" s="481"/>
      <c r="DK343" s="481"/>
      <c r="DL343" s="481"/>
      <c r="DM343" s="481"/>
      <c r="DN343" s="481"/>
      <c r="DO343" s="481"/>
      <c r="DP343" s="481"/>
      <c r="DQ343" s="481"/>
      <c r="DR343" s="481"/>
      <c r="DS343" s="481"/>
      <c r="DT343" s="481"/>
      <c r="DU343" s="481"/>
      <c r="DV343" s="481"/>
      <c r="DW343" s="481"/>
      <c r="DX343" s="481"/>
      <c r="DY343" s="481"/>
      <c r="DZ343" s="481"/>
      <c r="EA343" s="481"/>
      <c r="EB343" s="481"/>
      <c r="EC343" s="481"/>
      <c r="ED343" s="481"/>
      <c r="EE343" s="481"/>
      <c r="EF343" s="481"/>
      <c r="EG343" s="481"/>
      <c r="EH343" s="481"/>
      <c r="EI343" s="481"/>
      <c r="EJ343" s="481"/>
      <c r="EK343" s="481"/>
      <c r="EL343" s="481"/>
      <c r="EM343" s="481"/>
      <c r="EN343" s="481"/>
      <c r="EO343" s="481"/>
      <c r="EP343" s="481"/>
      <c r="EQ343" s="481"/>
      <c r="ER343" s="481"/>
      <c r="ES343" s="481"/>
      <c r="ET343" s="481"/>
      <c r="EU343" s="481"/>
      <c r="EV343" s="481"/>
      <c r="EW343" s="481"/>
      <c r="EX343" s="481"/>
      <c r="EY343" s="481"/>
      <c r="EZ343" s="481"/>
      <c r="FA343" s="481"/>
      <c r="FB343" s="481"/>
      <c r="FC343" s="481"/>
      <c r="FD343" s="481"/>
    </row>
    <row r="344" spans="1:160" ht="18" hidden="1" customHeight="1" x14ac:dyDescent="0.2">
      <c r="B344" s="370">
        <f>IF(ISERROR(VLOOKUP(C344,A$338:A$346,1,FALSE)),0,COUNTIF(B$338:B343,"&gt;0")+1)</f>
        <v>0</v>
      </c>
      <c r="AU344" s="48"/>
      <c r="AV344" s="48"/>
      <c r="AW344" s="481"/>
      <c r="AX344" s="481"/>
      <c r="AY344" s="481"/>
      <c r="AZ344" s="481"/>
      <c r="BA344" s="481"/>
      <c r="BB344" s="481"/>
      <c r="BC344" s="481"/>
      <c r="BD344" s="481"/>
      <c r="BE344" s="481"/>
      <c r="BF344" s="481"/>
      <c r="BG344" s="481"/>
      <c r="BH344" s="481"/>
      <c r="BI344" s="481"/>
      <c r="BJ344" s="481"/>
      <c r="BK344" s="481"/>
      <c r="BL344" s="481"/>
      <c r="BM344" s="481"/>
      <c r="BN344" s="481"/>
      <c r="BO344" s="481"/>
      <c r="BP344" s="481"/>
      <c r="BQ344" s="481"/>
      <c r="BR344" s="481"/>
      <c r="BS344" s="481"/>
      <c r="BT344" s="481"/>
      <c r="BU344" s="481"/>
      <c r="BV344" s="481"/>
      <c r="BW344" s="481"/>
      <c r="BX344" s="481"/>
      <c r="BY344" s="481"/>
      <c r="BZ344" s="481"/>
      <c r="CA344" s="481"/>
      <c r="CB344" s="481"/>
      <c r="CC344" s="481"/>
      <c r="CD344" s="481"/>
      <c r="CE344" s="481"/>
      <c r="CF344" s="481"/>
      <c r="CG344" s="481"/>
      <c r="CH344" s="481"/>
      <c r="CI344" s="481"/>
      <c r="CJ344" s="481"/>
      <c r="CK344" s="481"/>
      <c r="CL344" s="481"/>
      <c r="CM344" s="481"/>
      <c r="CN344" s="481"/>
      <c r="CO344" s="481"/>
      <c r="CP344" s="481"/>
      <c r="CQ344" s="481"/>
      <c r="CR344" s="481"/>
      <c r="CS344" s="481"/>
      <c r="CT344" s="481"/>
      <c r="CU344" s="481"/>
      <c r="CV344" s="481"/>
      <c r="CW344" s="481"/>
      <c r="CX344" s="481"/>
      <c r="CY344" s="481"/>
      <c r="CZ344" s="481"/>
      <c r="DA344" s="481"/>
      <c r="DB344" s="481"/>
      <c r="DC344" s="481"/>
      <c r="DD344" s="481"/>
      <c r="DE344" s="481"/>
      <c r="DF344" s="481"/>
      <c r="DG344" s="481"/>
      <c r="DH344" s="481"/>
      <c r="DI344" s="481"/>
      <c r="DJ344" s="481"/>
      <c r="DK344" s="481"/>
      <c r="DL344" s="481"/>
      <c r="DM344" s="481"/>
      <c r="DN344" s="481"/>
      <c r="DO344" s="481"/>
      <c r="DP344" s="481"/>
      <c r="DQ344" s="481"/>
      <c r="DR344" s="481"/>
      <c r="DS344" s="481"/>
      <c r="DT344" s="481"/>
      <c r="DU344" s="481"/>
      <c r="DV344" s="481"/>
      <c r="DW344" s="481"/>
      <c r="DX344" s="481"/>
      <c r="DY344" s="481"/>
      <c r="DZ344" s="481"/>
      <c r="EA344" s="481"/>
      <c r="EB344" s="481"/>
      <c r="EC344" s="481"/>
      <c r="ED344" s="481"/>
      <c r="EE344" s="481"/>
      <c r="EF344" s="481"/>
      <c r="EG344" s="481"/>
      <c r="EH344" s="481"/>
      <c r="EI344" s="481"/>
      <c r="EJ344" s="481"/>
      <c r="EK344" s="481"/>
      <c r="EL344" s="481"/>
      <c r="EM344" s="481"/>
      <c r="EN344" s="481"/>
      <c r="EO344" s="481"/>
      <c r="EP344" s="481"/>
      <c r="EQ344" s="481"/>
      <c r="ER344" s="481"/>
      <c r="ES344" s="481"/>
      <c r="ET344" s="481"/>
      <c r="EU344" s="481"/>
      <c r="EV344" s="481"/>
      <c r="EW344" s="481"/>
      <c r="EX344" s="481"/>
      <c r="EY344" s="481"/>
      <c r="EZ344" s="481"/>
      <c r="FA344" s="481"/>
      <c r="FB344" s="481"/>
      <c r="FC344" s="481"/>
      <c r="FD344" s="481"/>
    </row>
    <row r="345" spans="1:160" ht="18" hidden="1" customHeight="1" x14ac:dyDescent="0.2">
      <c r="B345" s="370">
        <f>IF(ISERROR(VLOOKUP(C345,A$338:A$346,1,FALSE)),0,COUNTIF(B$338:B344,"&gt;0")+1)</f>
        <v>0</v>
      </c>
      <c r="AU345" s="48"/>
      <c r="AV345" s="48"/>
      <c r="AW345" s="481"/>
      <c r="AX345" s="481"/>
      <c r="AY345" s="481"/>
      <c r="AZ345" s="481"/>
      <c r="BA345" s="481"/>
      <c r="BB345" s="481"/>
      <c r="BC345" s="481"/>
      <c r="BD345" s="481"/>
      <c r="BE345" s="481"/>
      <c r="BF345" s="481"/>
      <c r="BG345" s="481"/>
      <c r="BH345" s="481"/>
      <c r="BI345" s="481"/>
      <c r="BJ345" s="481"/>
      <c r="BK345" s="481"/>
      <c r="BL345" s="481"/>
      <c r="BM345" s="481"/>
      <c r="BN345" s="481"/>
      <c r="BO345" s="481"/>
      <c r="BP345" s="481"/>
      <c r="BQ345" s="481"/>
      <c r="BR345" s="481"/>
      <c r="BS345" s="481"/>
      <c r="BT345" s="481"/>
      <c r="BU345" s="481"/>
      <c r="BV345" s="481"/>
      <c r="BW345" s="481"/>
      <c r="BX345" s="481"/>
      <c r="BY345" s="481"/>
      <c r="BZ345" s="481"/>
      <c r="CA345" s="481"/>
      <c r="CB345" s="481"/>
      <c r="CC345" s="481"/>
      <c r="CD345" s="481"/>
      <c r="CE345" s="481"/>
      <c r="CF345" s="481"/>
      <c r="CG345" s="481"/>
      <c r="CH345" s="481"/>
      <c r="CI345" s="481"/>
      <c r="CJ345" s="481"/>
      <c r="CK345" s="481"/>
      <c r="CL345" s="481"/>
      <c r="CM345" s="481"/>
      <c r="CN345" s="481"/>
      <c r="CO345" s="481"/>
      <c r="CP345" s="481"/>
      <c r="CQ345" s="481"/>
      <c r="CR345" s="481"/>
      <c r="CS345" s="481"/>
      <c r="CT345" s="481"/>
      <c r="CU345" s="481"/>
      <c r="CV345" s="481"/>
      <c r="CW345" s="481"/>
      <c r="CX345" s="481"/>
      <c r="CY345" s="481"/>
      <c r="CZ345" s="481"/>
      <c r="DA345" s="481"/>
      <c r="DB345" s="481"/>
      <c r="DC345" s="481"/>
      <c r="DD345" s="481"/>
      <c r="DE345" s="481"/>
      <c r="DF345" s="481"/>
      <c r="DG345" s="481"/>
      <c r="DH345" s="481"/>
      <c r="DI345" s="481"/>
      <c r="DJ345" s="481"/>
      <c r="DK345" s="481"/>
      <c r="DL345" s="481"/>
      <c r="DM345" s="481"/>
      <c r="DN345" s="481"/>
      <c r="DO345" s="481"/>
      <c r="DP345" s="481"/>
      <c r="DQ345" s="481"/>
      <c r="DR345" s="481"/>
      <c r="DS345" s="481"/>
      <c r="DT345" s="481"/>
      <c r="DU345" s="481"/>
      <c r="DV345" s="481"/>
      <c r="DW345" s="481"/>
      <c r="DX345" s="481"/>
      <c r="DY345" s="481"/>
      <c r="DZ345" s="481"/>
      <c r="EA345" s="481"/>
      <c r="EB345" s="481"/>
      <c r="EC345" s="481"/>
      <c r="ED345" s="481"/>
      <c r="EE345" s="481"/>
      <c r="EF345" s="481"/>
      <c r="EG345" s="481"/>
      <c r="EH345" s="481"/>
      <c r="EI345" s="481"/>
      <c r="EJ345" s="481"/>
      <c r="EK345" s="481"/>
      <c r="EL345" s="481"/>
      <c r="EM345" s="481"/>
      <c r="EN345" s="481"/>
      <c r="EO345" s="481"/>
      <c r="EP345" s="481"/>
      <c r="EQ345" s="481"/>
      <c r="ER345" s="481"/>
      <c r="ES345" s="481"/>
      <c r="ET345" s="481"/>
      <c r="EU345" s="481"/>
      <c r="EV345" s="481"/>
      <c r="EW345" s="481"/>
      <c r="EX345" s="481"/>
      <c r="EY345" s="481"/>
      <c r="EZ345" s="481"/>
      <c r="FA345" s="481"/>
      <c r="FB345" s="481"/>
      <c r="FC345" s="481"/>
      <c r="FD345" s="481"/>
    </row>
    <row r="346" spans="1:160" ht="18" hidden="1" customHeight="1" x14ac:dyDescent="0.2">
      <c r="A346" s="560" t="str">
        <f>IF(B252="--","--",MID(B252,4,2))</f>
        <v/>
      </c>
      <c r="B346" s="370">
        <f>IF(ISERROR(VLOOKUP(C346,A$338:A$346,1,FALSE)),0,COUNTIF(B$338:B345,"&gt;0")+1)</f>
        <v>0</v>
      </c>
      <c r="C346" s="309" t="str">
        <f>X14</f>
        <v>20</v>
      </c>
      <c r="D346" s="1588">
        <f>SUMIF(GEN!$G$158:$J$158,$C346,GEN!$G$153:$J$153)</f>
        <v>0</v>
      </c>
      <c r="E346" s="1589"/>
      <c r="F346" s="1590"/>
      <c r="G346" s="1588">
        <f>SUMIF(FEB!$G$158:$J$158,$C346,FEB!$G$153:$J$153)</f>
        <v>0</v>
      </c>
      <c r="H346" s="1589"/>
      <c r="I346" s="1590"/>
      <c r="J346" s="1588">
        <f>SUMIF(MAR!$G$158:$J$158,$C346,MAR!$G$153:$J$153)</f>
        <v>0</v>
      </c>
      <c r="K346" s="1589"/>
      <c r="L346" s="1590"/>
      <c r="M346" s="1588">
        <f>SUMIF(APR!$G$158:$J$158,$C346,APR!$G$153:$J$153)</f>
        <v>0</v>
      </c>
      <c r="N346" s="1589"/>
      <c r="O346" s="1590"/>
      <c r="P346" s="1588">
        <f>SUMIF(MAG!$G$158:$J$158,$C346,MAG!$G$153:$J$153)</f>
        <v>0</v>
      </c>
      <c r="Q346" s="1589"/>
      <c r="R346" s="1590"/>
      <c r="S346" s="1588">
        <f>SUMIF(GIU!$G$158:$J$158,$C346,GIU!$G$153:$J$153)</f>
        <v>0</v>
      </c>
      <c r="T346" s="1589"/>
      <c r="U346" s="1590"/>
      <c r="V346" s="1588">
        <f>SUMIF(LUG!$G$158:$J$158,$C346,LUG!$G$153:$J$153)</f>
        <v>0</v>
      </c>
      <c r="W346" s="1589"/>
      <c r="X346" s="1590"/>
      <c r="Y346" s="1588">
        <f>SUMIF(AGO!$G$158:$J$158,$C346,AGO!$G$153:$J$153)</f>
        <v>0</v>
      </c>
      <c r="Z346" s="1589"/>
      <c r="AA346" s="1590"/>
      <c r="AB346" s="1588">
        <f>SUMIF(SET!$G$158:$J$158,$C346,SET!$G$153:$J$153)</f>
        <v>0</v>
      </c>
      <c r="AC346" s="1589"/>
      <c r="AD346" s="1590"/>
      <c r="AE346" s="1588">
        <f>SUMIF(OTT!$G$158:$J$158,$C346,OTT!$G$153:$J$153)</f>
        <v>0</v>
      </c>
      <c r="AF346" s="1589"/>
      <c r="AG346" s="1590"/>
      <c r="AH346" s="1588">
        <f>SUMIF(NOV!$G$158:$J$158,$C346,NOV!$G$153:$J$153)</f>
        <v>0</v>
      </c>
      <c r="AI346" s="1589"/>
      <c r="AJ346" s="1590"/>
      <c r="AK346" s="1588">
        <f>SUMIF(DIC!$G$158:$J$158,$C346,DIC!$G$153:$J$153)</f>
        <v>0</v>
      </c>
      <c r="AL346" s="1589"/>
      <c r="AM346" s="1590"/>
      <c r="AN346" s="1588">
        <f>SUM(D346:AM346)</f>
        <v>0</v>
      </c>
      <c r="AO346" s="1589"/>
      <c r="AP346" s="1590"/>
      <c r="AQ346" s="1689" t="str">
        <f>CONCATENATE(Y14," ",AD14)</f>
        <v xml:space="preserve"> </v>
      </c>
      <c r="AR346" s="1690"/>
      <c r="AS346" s="1690"/>
      <c r="AT346" s="1691"/>
      <c r="AU346" s="48"/>
      <c r="AV346" s="48"/>
      <c r="AW346" s="481"/>
      <c r="AX346" s="481"/>
      <c r="AY346" s="481"/>
      <c r="AZ346" s="481"/>
      <c r="BA346" s="481"/>
      <c r="BB346" s="481"/>
      <c r="BC346" s="481"/>
      <c r="BD346" s="481"/>
      <c r="BE346" s="481"/>
      <c r="BF346" s="481"/>
      <c r="BG346" s="481"/>
      <c r="BH346" s="481"/>
      <c r="BI346" s="481"/>
      <c r="BJ346" s="481"/>
      <c r="BK346" s="481"/>
      <c r="BL346" s="481"/>
      <c r="BM346" s="481"/>
      <c r="BN346" s="481"/>
      <c r="BO346" s="481"/>
      <c r="BP346" s="481"/>
      <c r="BQ346" s="481"/>
      <c r="BR346" s="481"/>
      <c r="BS346" s="481"/>
      <c r="BT346" s="481"/>
      <c r="BU346" s="481"/>
      <c r="BV346" s="481"/>
      <c r="BW346" s="481"/>
      <c r="BX346" s="481"/>
      <c r="BY346" s="481"/>
      <c r="BZ346" s="481"/>
      <c r="CA346" s="481"/>
      <c r="CB346" s="481"/>
      <c r="CC346" s="481"/>
      <c r="CD346" s="481"/>
      <c r="CE346" s="481"/>
      <c r="CF346" s="481"/>
      <c r="CG346" s="481"/>
      <c r="CH346" s="481"/>
      <c r="CI346" s="481"/>
      <c r="CJ346" s="481"/>
      <c r="CK346" s="481"/>
      <c r="CL346" s="481"/>
      <c r="CM346" s="481"/>
      <c r="CN346" s="481"/>
      <c r="CO346" s="481"/>
      <c r="CP346" s="481"/>
      <c r="CQ346" s="481"/>
      <c r="CR346" s="481"/>
      <c r="CS346" s="481"/>
      <c r="CT346" s="481"/>
      <c r="CU346" s="481"/>
      <c r="CV346" s="481"/>
      <c r="CW346" s="481"/>
      <c r="CX346" s="481"/>
      <c r="CY346" s="481"/>
      <c r="CZ346" s="481"/>
      <c r="DA346" s="481"/>
      <c r="DB346" s="481"/>
      <c r="DC346" s="481"/>
      <c r="DD346" s="481"/>
      <c r="DE346" s="481"/>
      <c r="DF346" s="481"/>
      <c r="DG346" s="481"/>
      <c r="DH346" s="481"/>
      <c r="DI346" s="481"/>
      <c r="DJ346" s="481"/>
      <c r="DK346" s="481"/>
      <c r="DL346" s="481"/>
      <c r="DM346" s="481"/>
      <c r="DN346" s="481"/>
      <c r="DO346" s="481"/>
      <c r="DP346" s="481"/>
      <c r="DQ346" s="481"/>
      <c r="DR346" s="481"/>
      <c r="DS346" s="481"/>
      <c r="DT346" s="481"/>
      <c r="DU346" s="481"/>
      <c r="DV346" s="481"/>
      <c r="DW346" s="481"/>
      <c r="DX346" s="481"/>
      <c r="DY346" s="481"/>
      <c r="DZ346" s="481"/>
      <c r="EA346" s="481"/>
      <c r="EB346" s="481"/>
      <c r="EC346" s="481"/>
      <c r="ED346" s="481"/>
      <c r="EE346" s="481"/>
      <c r="EF346" s="481"/>
      <c r="EG346" s="481"/>
      <c r="EH346" s="481"/>
      <c r="EI346" s="481"/>
      <c r="EJ346" s="481"/>
      <c r="EK346" s="481"/>
      <c r="EL346" s="481"/>
      <c r="EM346" s="481"/>
      <c r="EN346" s="481"/>
      <c r="EO346" s="481"/>
      <c r="EP346" s="481"/>
      <c r="EQ346" s="481"/>
      <c r="ER346" s="481"/>
      <c r="ES346" s="481"/>
      <c r="ET346" s="481"/>
      <c r="EU346" s="481"/>
      <c r="EV346" s="481"/>
      <c r="EW346" s="481"/>
      <c r="EX346" s="481"/>
      <c r="EY346" s="481"/>
      <c r="EZ346" s="481"/>
      <c r="FA346" s="481"/>
      <c r="FB346" s="481"/>
      <c r="FC346" s="481"/>
      <c r="FD346" s="481"/>
    </row>
    <row r="347" spans="1:160" ht="18" hidden="1" customHeight="1" x14ac:dyDescent="0.2">
      <c r="A347" s="186"/>
      <c r="B347" s="186"/>
      <c r="C347" s="309" t="str">
        <f>B351</f>
        <v>%</v>
      </c>
      <c r="D347" s="1588">
        <f>SUMIF(GEN!$G$158:$J$158,$C347,GEN!$G$153:$J$153)</f>
        <v>0</v>
      </c>
      <c r="E347" s="1589"/>
      <c r="F347" s="1590"/>
      <c r="G347" s="1588">
        <f>SUMIF(FEB!$G$158:$J$158,$C347,FEB!$G$153:$J$153)</f>
        <v>0</v>
      </c>
      <c r="H347" s="1589"/>
      <c r="I347" s="1590"/>
      <c r="J347" s="1588">
        <f>SUMIF(MAR!$G$158:$J$158,$C347,MAR!$G$153:$J$153)</f>
        <v>0</v>
      </c>
      <c r="K347" s="1589"/>
      <c r="L347" s="1590"/>
      <c r="M347" s="1588">
        <f>SUMIF(APR!$G$158:$J$158,$C347,APR!$G$153:$J$153)</f>
        <v>0</v>
      </c>
      <c r="N347" s="1589"/>
      <c r="O347" s="1590"/>
      <c r="P347" s="1588">
        <f>SUMIF(MAG!$G$158:$J$158,$C347,MAG!$G$153:$J$153)</f>
        <v>0</v>
      </c>
      <c r="Q347" s="1589"/>
      <c r="R347" s="1590"/>
      <c r="S347" s="1588">
        <f>SUMIF(GIU!$G$158:$J$158,$C347,GIU!$G$153:$J$153)</f>
        <v>0</v>
      </c>
      <c r="T347" s="1589"/>
      <c r="U347" s="1590"/>
      <c r="V347" s="1588">
        <f>SUMIF(LUG!$G$158:$J$158,$C347,LUG!$G$153:$J$153)</f>
        <v>0</v>
      </c>
      <c r="W347" s="1589"/>
      <c r="X347" s="1590"/>
      <c r="Y347" s="1588">
        <f>SUMIF(AGO!$G$158:$J$158,$C347,AGO!$G$153:$J$153)</f>
        <v>0</v>
      </c>
      <c r="Z347" s="1589"/>
      <c r="AA347" s="1590"/>
      <c r="AB347" s="1588">
        <f>SUMIF(SET!$G$158:$J$158,$C347,SET!$G$153:$J$153)</f>
        <v>0</v>
      </c>
      <c r="AC347" s="1589"/>
      <c r="AD347" s="1590"/>
      <c r="AE347" s="1588">
        <f>SUMIF(OTT!$G$158:$J$158,$C347,OTT!$G$153:$J$153)</f>
        <v>0</v>
      </c>
      <c r="AF347" s="1589"/>
      <c r="AG347" s="1590"/>
      <c r="AH347" s="1588">
        <f>SUMIF(NOV!$G$158:$J$158,$C347,NOV!$G$153:$J$153)</f>
        <v>0</v>
      </c>
      <c r="AI347" s="1589"/>
      <c r="AJ347" s="1590"/>
      <c r="AK347" s="1588">
        <f>SUMIF(DIC!$G$158:$J$158,$C347,DIC!$G$153:$J$153)</f>
        <v>0</v>
      </c>
      <c r="AL347" s="1589"/>
      <c r="AM347" s="1590"/>
      <c r="AN347" s="1588">
        <f t="shared" si="58"/>
        <v>0</v>
      </c>
      <c r="AO347" s="1589"/>
      <c r="AP347" s="1590"/>
      <c r="AQ347" s="1622" t="str">
        <f>D351</f>
        <v>IVATO</v>
      </c>
      <c r="AR347" s="1699"/>
      <c r="AS347" s="1699"/>
      <c r="AT347" s="1700"/>
      <c r="AU347" s="48"/>
      <c r="AV347" s="48"/>
      <c r="AW347" s="481"/>
      <c r="AX347" s="481"/>
      <c r="AY347" s="481"/>
      <c r="AZ347" s="481"/>
      <c r="BA347" s="481"/>
      <c r="BB347" s="481"/>
      <c r="BC347" s="481"/>
      <c r="BD347" s="481"/>
      <c r="BE347" s="481"/>
      <c r="BF347" s="481"/>
      <c r="BG347" s="481"/>
      <c r="BH347" s="481"/>
      <c r="BI347" s="481"/>
      <c r="BJ347" s="481"/>
      <c r="BK347" s="481"/>
      <c r="BL347" s="481"/>
      <c r="BM347" s="481"/>
      <c r="BN347" s="481"/>
      <c r="BO347" s="481"/>
      <c r="BP347" s="481"/>
      <c r="BQ347" s="481"/>
      <c r="BR347" s="481"/>
      <c r="BS347" s="481"/>
      <c r="BT347" s="481"/>
      <c r="BU347" s="481"/>
      <c r="BV347" s="481"/>
      <c r="BW347" s="481"/>
      <c r="BX347" s="481"/>
      <c r="BY347" s="481"/>
      <c r="BZ347" s="481"/>
      <c r="CA347" s="481"/>
      <c r="CB347" s="481"/>
      <c r="CC347" s="481"/>
      <c r="CD347" s="481"/>
      <c r="CE347" s="481"/>
      <c r="CF347" s="481"/>
      <c r="CG347" s="481"/>
      <c r="CH347" s="481"/>
      <c r="CI347" s="481"/>
      <c r="CJ347" s="481"/>
      <c r="CK347" s="481"/>
      <c r="CL347" s="481"/>
      <c r="CM347" s="481"/>
      <c r="CN347" s="481"/>
      <c r="CO347" s="481"/>
      <c r="CP347" s="481"/>
      <c r="CQ347" s="481"/>
      <c r="CR347" s="481"/>
      <c r="CS347" s="481"/>
      <c r="CT347" s="481"/>
      <c r="CU347" s="481"/>
      <c r="CV347" s="481"/>
      <c r="CW347" s="481"/>
      <c r="CX347" s="481"/>
      <c r="CY347" s="481"/>
      <c r="CZ347" s="481"/>
      <c r="DA347" s="481"/>
      <c r="DB347" s="481"/>
      <c r="DC347" s="481"/>
      <c r="DD347" s="481"/>
      <c r="DE347" s="481"/>
      <c r="DF347" s="481"/>
      <c r="DG347" s="481"/>
      <c r="DH347" s="481"/>
      <c r="DI347" s="481"/>
      <c r="DJ347" s="481"/>
      <c r="DK347" s="481"/>
      <c r="DL347" s="481"/>
      <c r="DM347" s="481"/>
      <c r="DN347" s="481"/>
      <c r="DO347" s="481"/>
      <c r="DP347" s="481"/>
      <c r="DQ347" s="481"/>
      <c r="DR347" s="481"/>
      <c r="DS347" s="481"/>
      <c r="DT347" s="481"/>
      <c r="DU347" s="481"/>
      <c r="DV347" s="481"/>
      <c r="DW347" s="481"/>
      <c r="DX347" s="481"/>
      <c r="DY347" s="481"/>
      <c r="DZ347" s="481"/>
      <c r="EA347" s="481"/>
      <c r="EB347" s="481"/>
      <c r="EC347" s="481"/>
      <c r="ED347" s="481"/>
      <c r="EE347" s="481"/>
      <c r="EF347" s="481"/>
      <c r="EG347" s="481"/>
      <c r="EH347" s="481"/>
      <c r="EI347" s="481"/>
      <c r="EJ347" s="481"/>
      <c r="EK347" s="481"/>
      <c r="EL347" s="481"/>
      <c r="EM347" s="481"/>
      <c r="EN347" s="481"/>
      <c r="EO347" s="481"/>
      <c r="EP347" s="481"/>
      <c r="EQ347" s="481"/>
      <c r="ER347" s="481"/>
      <c r="ES347" s="481"/>
      <c r="ET347" s="481"/>
      <c r="EU347" s="481"/>
      <c r="EV347" s="481"/>
      <c r="EW347" s="481"/>
      <c r="EX347" s="481"/>
      <c r="EY347" s="481"/>
      <c r="EZ347" s="481"/>
      <c r="FA347" s="481"/>
      <c r="FB347" s="481"/>
      <c r="FC347" s="481"/>
      <c r="FD347" s="481"/>
    </row>
    <row r="348" spans="1:160" ht="18" hidden="1" customHeight="1" x14ac:dyDescent="0.2">
      <c r="A348" s="186"/>
      <c r="B348" s="48"/>
      <c r="C348" s="48"/>
      <c r="D348" s="1598">
        <f>SUM(D338:F347)</f>
        <v>0</v>
      </c>
      <c r="E348" s="1599"/>
      <c r="F348" s="1600"/>
      <c r="G348" s="1598">
        <f>SUM(G338:I347)</f>
        <v>0</v>
      </c>
      <c r="H348" s="1599"/>
      <c r="I348" s="1600"/>
      <c r="J348" s="1598">
        <f>SUM(J338:L347)</f>
        <v>0</v>
      </c>
      <c r="K348" s="1599"/>
      <c r="L348" s="1600"/>
      <c r="M348" s="1598">
        <f>SUM(M338:O347)</f>
        <v>0</v>
      </c>
      <c r="N348" s="1599"/>
      <c r="O348" s="1600"/>
      <c r="P348" s="1598">
        <f>SUM(P338:R347)</f>
        <v>0</v>
      </c>
      <c r="Q348" s="1599"/>
      <c r="R348" s="1600"/>
      <c r="S348" s="1598">
        <f>SUM(S338:U347)</f>
        <v>0</v>
      </c>
      <c r="T348" s="1599"/>
      <c r="U348" s="1600"/>
      <c r="V348" s="1598">
        <f>SUM(V338:X347)</f>
        <v>0</v>
      </c>
      <c r="W348" s="1599"/>
      <c r="X348" s="1600"/>
      <c r="Y348" s="1598">
        <f>SUM(Y338:AA347)</f>
        <v>0</v>
      </c>
      <c r="Z348" s="1599"/>
      <c r="AA348" s="1600"/>
      <c r="AB348" s="1598">
        <f>SUM(AB338:AD347)</f>
        <v>0</v>
      </c>
      <c r="AC348" s="1599"/>
      <c r="AD348" s="1600"/>
      <c r="AE348" s="1598">
        <f>SUM(AE338:AG347)</f>
        <v>0</v>
      </c>
      <c r="AF348" s="1599"/>
      <c r="AG348" s="1600"/>
      <c r="AH348" s="1598">
        <f>SUM(AH338:AJ347)</f>
        <v>0</v>
      </c>
      <c r="AI348" s="1599"/>
      <c r="AJ348" s="1600"/>
      <c r="AK348" s="1598">
        <f>SUM(AK338:AM347)</f>
        <v>0</v>
      </c>
      <c r="AL348" s="1599"/>
      <c r="AM348" s="1600"/>
      <c r="AN348" s="1598">
        <f>SUM(D348:AM348)</f>
        <v>0</v>
      </c>
      <c r="AO348" s="1599"/>
      <c r="AP348" s="1600"/>
      <c r="AQ348" s="48"/>
      <c r="AR348" s="48"/>
      <c r="AS348" s="48"/>
      <c r="AT348" s="48"/>
      <c r="AU348" s="48"/>
      <c r="AV348" s="48"/>
      <c r="AW348" s="481"/>
      <c r="AX348" s="481"/>
      <c r="AY348" s="481"/>
      <c r="AZ348" s="481"/>
      <c r="BA348" s="481"/>
      <c r="BB348" s="481"/>
      <c r="BC348" s="481"/>
      <c r="BD348" s="481"/>
      <c r="BE348" s="481"/>
      <c r="BF348" s="481"/>
      <c r="BG348" s="481"/>
      <c r="BH348" s="481"/>
      <c r="BI348" s="481"/>
      <c r="BJ348" s="481"/>
      <c r="BK348" s="481"/>
      <c r="BL348" s="481"/>
      <c r="BM348" s="481"/>
      <c r="BN348" s="481"/>
      <c r="BO348" s="481"/>
      <c r="BP348" s="481"/>
      <c r="BQ348" s="481"/>
      <c r="BR348" s="481"/>
      <c r="BS348" s="481"/>
      <c r="BT348" s="481"/>
      <c r="BU348" s="481"/>
      <c r="BV348" s="481"/>
      <c r="BW348" s="481"/>
      <c r="BX348" s="481"/>
      <c r="BY348" s="481"/>
      <c r="BZ348" s="481"/>
      <c r="CA348" s="481"/>
      <c r="CB348" s="481"/>
      <c r="CC348" s="481"/>
      <c r="CD348" s="481"/>
      <c r="CE348" s="481"/>
      <c r="CF348" s="481"/>
      <c r="CG348" s="481"/>
      <c r="CH348" s="481"/>
      <c r="CI348" s="481"/>
      <c r="CJ348" s="481"/>
      <c r="CK348" s="481"/>
      <c r="CL348" s="481"/>
      <c r="CM348" s="481"/>
      <c r="CN348" s="481"/>
      <c r="CO348" s="481"/>
      <c r="CP348" s="481"/>
      <c r="CQ348" s="481"/>
      <c r="CR348" s="481"/>
      <c r="CS348" s="481"/>
      <c r="CT348" s="481"/>
      <c r="CU348" s="481"/>
      <c r="CV348" s="481"/>
      <c r="CW348" s="481"/>
      <c r="CX348" s="481"/>
      <c r="CY348" s="481"/>
      <c r="CZ348" s="481"/>
      <c r="DA348" s="481"/>
      <c r="DB348" s="481"/>
      <c r="DC348" s="481"/>
      <c r="DD348" s="481"/>
      <c r="DE348" s="481"/>
      <c r="DF348" s="481"/>
      <c r="DG348" s="481"/>
      <c r="DH348" s="481"/>
      <c r="DI348" s="481"/>
      <c r="DJ348" s="481"/>
      <c r="DK348" s="481"/>
      <c r="DL348" s="481"/>
      <c r="DM348" s="481"/>
      <c r="DN348" s="481"/>
      <c r="DO348" s="481"/>
      <c r="DP348" s="481"/>
      <c r="DQ348" s="481"/>
      <c r="DR348" s="481"/>
      <c r="DS348" s="481"/>
      <c r="DT348" s="481"/>
      <c r="DU348" s="481"/>
      <c r="DV348" s="481"/>
      <c r="DW348" s="481"/>
      <c r="DX348" s="481"/>
      <c r="DY348" s="481"/>
      <c r="DZ348" s="481"/>
      <c r="EA348" s="481"/>
      <c r="EB348" s="481"/>
      <c r="EC348" s="481"/>
      <c r="ED348" s="481"/>
      <c r="EE348" s="481"/>
      <c r="EF348" s="481"/>
      <c r="EG348" s="481"/>
      <c r="EH348" s="481"/>
      <c r="EI348" s="481"/>
      <c r="EJ348" s="481"/>
      <c r="EK348" s="481"/>
      <c r="EL348" s="481"/>
      <c r="EM348" s="481"/>
      <c r="EN348" s="481"/>
      <c r="EO348" s="481"/>
      <c r="EP348" s="481"/>
      <c r="EQ348" s="481"/>
      <c r="ER348" s="481"/>
      <c r="ES348" s="481"/>
      <c r="ET348" s="481"/>
      <c r="EU348" s="481"/>
      <c r="EV348" s="481"/>
      <c r="EW348" s="481"/>
      <c r="EX348" s="481"/>
      <c r="EY348" s="481"/>
      <c r="EZ348" s="481"/>
      <c r="FA348" s="481"/>
      <c r="FB348" s="481"/>
      <c r="FC348" s="481"/>
      <c r="FD348" s="481"/>
    </row>
    <row r="349" spans="1:160" ht="18" hidden="1" customHeight="1" x14ac:dyDescent="0.2">
      <c r="A349" s="186"/>
      <c r="B349" s="48"/>
      <c r="C349" s="48"/>
      <c r="D349" s="1588">
        <f>D348</f>
        <v>0</v>
      </c>
      <c r="E349" s="1589"/>
      <c r="F349" s="1590"/>
      <c r="G349" s="1588">
        <f>G348+D349</f>
        <v>0</v>
      </c>
      <c r="H349" s="1589"/>
      <c r="I349" s="1590"/>
      <c r="J349" s="1588">
        <f>J348+G349</f>
        <v>0</v>
      </c>
      <c r="K349" s="1589"/>
      <c r="L349" s="1590"/>
      <c r="M349" s="1588">
        <f>M348+J349</f>
        <v>0</v>
      </c>
      <c r="N349" s="1589"/>
      <c r="O349" s="1590"/>
      <c r="P349" s="1588">
        <f>P348+M349</f>
        <v>0</v>
      </c>
      <c r="Q349" s="1589"/>
      <c r="R349" s="1590"/>
      <c r="S349" s="1588">
        <f>S348+P349</f>
        <v>0</v>
      </c>
      <c r="T349" s="1589"/>
      <c r="U349" s="1590"/>
      <c r="V349" s="1588">
        <f>V348+S349</f>
        <v>0</v>
      </c>
      <c r="W349" s="1589"/>
      <c r="X349" s="1590"/>
      <c r="Y349" s="1588">
        <f>Y348+V349</f>
        <v>0</v>
      </c>
      <c r="Z349" s="1589"/>
      <c r="AA349" s="1590"/>
      <c r="AB349" s="1588">
        <f>AB348+Y349</f>
        <v>0</v>
      </c>
      <c r="AC349" s="1589"/>
      <c r="AD349" s="1590"/>
      <c r="AE349" s="1588">
        <f>AE348+AB349</f>
        <v>0</v>
      </c>
      <c r="AF349" s="1589"/>
      <c r="AG349" s="1590"/>
      <c r="AH349" s="1588">
        <f>AH348+AE349</f>
        <v>0</v>
      </c>
      <c r="AI349" s="1589"/>
      <c r="AJ349" s="1590"/>
      <c r="AK349" s="1588">
        <f>AK348+AH349</f>
        <v>0</v>
      </c>
      <c r="AL349" s="1589"/>
      <c r="AM349" s="1590"/>
      <c r="AN349" s="48"/>
      <c r="AO349" s="48"/>
      <c r="AP349" s="48"/>
      <c r="AQ349" s="48"/>
      <c r="AR349" s="48"/>
      <c r="AS349" s="48"/>
      <c r="AT349" s="48"/>
      <c r="AU349" s="48"/>
      <c r="AV349" s="48"/>
      <c r="AW349" s="481"/>
      <c r="AX349" s="481"/>
      <c r="AY349" s="481"/>
      <c r="AZ349" s="481"/>
      <c r="BA349" s="481"/>
      <c r="BB349" s="481"/>
      <c r="BC349" s="481"/>
      <c r="BD349" s="481"/>
      <c r="BE349" s="481"/>
      <c r="BF349" s="481"/>
      <c r="BG349" s="481"/>
      <c r="BH349" s="481"/>
      <c r="BI349" s="481"/>
      <c r="BJ349" s="481"/>
      <c r="BK349" s="481"/>
      <c r="BL349" s="481"/>
      <c r="BM349" s="481"/>
      <c r="BN349" s="481"/>
      <c r="BO349" s="481"/>
      <c r="BP349" s="481"/>
      <c r="BQ349" s="481"/>
      <c r="BR349" s="481"/>
      <c r="BS349" s="481"/>
      <c r="BT349" s="481"/>
      <c r="BU349" s="481"/>
      <c r="BV349" s="481"/>
      <c r="BW349" s="481"/>
      <c r="BX349" s="481"/>
      <c r="BY349" s="481"/>
      <c r="BZ349" s="481"/>
      <c r="CA349" s="481"/>
      <c r="CB349" s="481"/>
      <c r="CC349" s="481"/>
      <c r="CD349" s="481"/>
      <c r="CE349" s="481"/>
      <c r="CF349" s="481"/>
      <c r="CG349" s="481"/>
      <c r="CH349" s="481"/>
      <c r="CI349" s="481"/>
      <c r="CJ349" s="481"/>
      <c r="CK349" s="481"/>
      <c r="CL349" s="481"/>
      <c r="CM349" s="481"/>
      <c r="CN349" s="481"/>
      <c r="CO349" s="481"/>
      <c r="CP349" s="481"/>
      <c r="CQ349" s="481"/>
      <c r="CR349" s="481"/>
      <c r="CS349" s="481"/>
      <c r="CT349" s="481"/>
      <c r="CU349" s="481"/>
      <c r="CV349" s="481"/>
      <c r="CW349" s="481"/>
      <c r="CX349" s="481"/>
      <c r="CY349" s="481"/>
      <c r="CZ349" s="481"/>
      <c r="DA349" s="481"/>
      <c r="DB349" s="481"/>
      <c r="DC349" s="481"/>
      <c r="DD349" s="481"/>
      <c r="DE349" s="481"/>
      <c r="DF349" s="481"/>
      <c r="DG349" s="481"/>
      <c r="DH349" s="481"/>
      <c r="DI349" s="481"/>
      <c r="DJ349" s="481"/>
      <c r="DK349" s="481"/>
      <c r="DL349" s="481"/>
      <c r="DM349" s="481"/>
      <c r="DN349" s="481"/>
      <c r="DO349" s="481"/>
      <c r="DP349" s="481"/>
      <c r="DQ349" s="481"/>
      <c r="DR349" s="481"/>
      <c r="DS349" s="481"/>
      <c r="DT349" s="481"/>
      <c r="DU349" s="481"/>
      <c r="DV349" s="481"/>
      <c r="DW349" s="481"/>
      <c r="DX349" s="481"/>
      <c r="DY349" s="481"/>
      <c r="DZ349" s="481"/>
      <c r="EA349" s="481"/>
      <c r="EB349" s="481"/>
      <c r="EC349" s="481"/>
      <c r="ED349" s="481"/>
      <c r="EE349" s="481"/>
      <c r="EF349" s="481"/>
      <c r="EG349" s="481"/>
      <c r="EH349" s="481"/>
      <c r="EI349" s="481"/>
      <c r="EJ349" s="481"/>
      <c r="EK349" s="481"/>
      <c r="EL349" s="481"/>
      <c r="EM349" s="481"/>
      <c r="EN349" s="481"/>
      <c r="EO349" s="481"/>
      <c r="EP349" s="481"/>
      <c r="EQ349" s="481"/>
      <c r="ER349" s="481"/>
      <c r="ES349" s="481"/>
      <c r="ET349" s="481"/>
      <c r="EU349" s="481"/>
      <c r="EV349" s="481"/>
      <c r="EW349" s="481"/>
      <c r="EX349" s="481"/>
      <c r="EY349" s="481"/>
      <c r="EZ349" s="481"/>
      <c r="FA349" s="481"/>
      <c r="FB349" s="481"/>
      <c r="FC349" s="481"/>
      <c r="FD349" s="481"/>
    </row>
    <row r="350" spans="1:160" ht="18" hidden="1" customHeight="1" x14ac:dyDescent="0.2">
      <c r="A350" s="186"/>
      <c r="B350" s="48"/>
      <c r="C350" s="48"/>
      <c r="D350" s="48"/>
      <c r="E350" s="48"/>
      <c r="F350" s="48"/>
      <c r="G350" s="185"/>
      <c r="H350" s="185"/>
      <c r="I350" s="185"/>
      <c r="J350" s="185"/>
      <c r="K350" s="185"/>
      <c r="L350" s="185"/>
      <c r="M350" s="185"/>
      <c r="N350" s="185"/>
      <c r="O350" s="185"/>
      <c r="P350" s="185"/>
      <c r="Q350" s="185"/>
      <c r="R350" s="185"/>
      <c r="S350" s="185"/>
      <c r="T350" s="185"/>
      <c r="U350" s="185"/>
      <c r="V350" s="185"/>
      <c r="W350" s="185"/>
      <c r="X350" s="185"/>
      <c r="Y350" s="185"/>
      <c r="Z350" s="185"/>
      <c r="AA350" s="185"/>
      <c r="AB350" s="185"/>
      <c r="AC350" s="186"/>
      <c r="AD350" s="186"/>
      <c r="AE350" s="186"/>
      <c r="AF350" s="186"/>
      <c r="AG350" s="186"/>
      <c r="AH350" s="186"/>
      <c r="AI350" s="186"/>
      <c r="AJ350" s="186"/>
      <c r="AK350" s="186"/>
      <c r="AL350" s="186"/>
      <c r="AM350" s="186"/>
      <c r="AN350" s="48"/>
      <c r="AO350" s="48"/>
      <c r="AP350" s="48"/>
      <c r="AQ350" s="48"/>
      <c r="AR350" s="48"/>
      <c r="AS350" s="48"/>
      <c r="AT350" s="48"/>
      <c r="AU350" s="48"/>
      <c r="AV350" s="48"/>
      <c r="AW350" s="481"/>
      <c r="AX350" s="481"/>
      <c r="AY350" s="481"/>
      <c r="AZ350" s="481"/>
      <c r="BA350" s="481"/>
      <c r="BB350" s="481"/>
      <c r="BC350" s="481"/>
      <c r="BD350" s="481"/>
      <c r="BE350" s="481"/>
      <c r="BF350" s="481"/>
      <c r="BG350" s="481"/>
      <c r="BH350" s="481"/>
      <c r="BI350" s="481"/>
      <c r="BJ350" s="481"/>
      <c r="BK350" s="481"/>
      <c r="BL350" s="481"/>
      <c r="BM350" s="481"/>
      <c r="BN350" s="481"/>
      <c r="BO350" s="481"/>
      <c r="BP350" s="481"/>
      <c r="BQ350" s="481"/>
      <c r="BR350" s="481"/>
      <c r="BS350" s="481"/>
      <c r="BT350" s="481"/>
      <c r="BU350" s="481"/>
      <c r="BV350" s="481"/>
      <c r="BW350" s="481"/>
      <c r="BX350" s="481"/>
      <c r="BY350" s="481"/>
      <c r="BZ350" s="481"/>
      <c r="CA350" s="481"/>
      <c r="CB350" s="481"/>
      <c r="CC350" s="481"/>
      <c r="CD350" s="481"/>
      <c r="CE350" s="481"/>
      <c r="CF350" s="481"/>
      <c r="CG350" s="481"/>
      <c r="CH350" s="481"/>
      <c r="CI350" s="481"/>
      <c r="CJ350" s="481"/>
      <c r="CK350" s="481"/>
      <c r="CL350" s="481"/>
      <c r="CM350" s="481"/>
      <c r="CN350" s="481"/>
      <c r="CO350" s="481"/>
      <c r="CP350" s="481"/>
      <c r="CQ350" s="481"/>
      <c r="CR350" s="481"/>
      <c r="CS350" s="481"/>
      <c r="CT350" s="481"/>
      <c r="CU350" s="481"/>
      <c r="CV350" s="481"/>
      <c r="CW350" s="481"/>
      <c r="CX350" s="481"/>
      <c r="CY350" s="481"/>
      <c r="CZ350" s="481"/>
      <c r="DA350" s="481"/>
      <c r="DB350" s="481"/>
      <c r="DC350" s="481"/>
      <c r="DD350" s="481"/>
      <c r="DE350" s="481"/>
      <c r="DF350" s="481"/>
      <c r="DG350" s="481"/>
      <c r="DH350" s="481"/>
      <c r="DI350" s="481"/>
      <c r="DJ350" s="481"/>
      <c r="DK350" s="481"/>
      <c r="DL350" s="481"/>
      <c r="DM350" s="481"/>
      <c r="DN350" s="481"/>
      <c r="DO350" s="481"/>
      <c r="DP350" s="481"/>
      <c r="DQ350" s="481"/>
      <c r="DR350" s="481"/>
      <c r="DS350" s="481"/>
      <c r="DT350" s="481"/>
      <c r="DU350" s="481"/>
      <c r="DV350" s="481"/>
      <c r="DW350" s="481"/>
      <c r="DX350" s="481"/>
      <c r="DY350" s="481"/>
      <c r="DZ350" s="481"/>
      <c r="EA350" s="481"/>
      <c r="EB350" s="481"/>
      <c r="EC350" s="481"/>
      <c r="ED350" s="481"/>
      <c r="EE350" s="481"/>
      <c r="EF350" s="481"/>
      <c r="EG350" s="481"/>
      <c r="EH350" s="481"/>
      <c r="EI350" s="481"/>
      <c r="EJ350" s="481"/>
      <c r="EK350" s="481"/>
      <c r="EL350" s="481"/>
      <c r="EM350" s="481"/>
      <c r="EN350" s="481"/>
      <c r="EO350" s="481"/>
      <c r="EP350" s="481"/>
      <c r="EQ350" s="481"/>
      <c r="ER350" s="481"/>
      <c r="ES350" s="481"/>
      <c r="ET350" s="481"/>
      <c r="EU350" s="481"/>
      <c r="EV350" s="481"/>
      <c r="EW350" s="481"/>
      <c r="EX350" s="481"/>
      <c r="EY350" s="481"/>
      <c r="EZ350" s="481"/>
      <c r="FA350" s="481"/>
      <c r="FB350" s="481"/>
      <c r="FC350" s="481"/>
      <c r="FD350" s="481"/>
    </row>
    <row r="351" spans="1:160" ht="18" hidden="1" customHeight="1" x14ac:dyDescent="0.2">
      <c r="A351" s="186"/>
      <c r="B351" s="1694" t="s">
        <v>186</v>
      </c>
      <c r="C351" s="1695"/>
      <c r="D351" s="1696" t="s">
        <v>526</v>
      </c>
      <c r="E351" s="1697"/>
      <c r="F351" s="1697"/>
      <c r="G351" s="1697"/>
      <c r="H351" s="185"/>
      <c r="I351" s="185"/>
      <c r="J351" s="185"/>
      <c r="K351" s="185"/>
      <c r="L351" s="185"/>
      <c r="M351" s="185"/>
      <c r="N351" s="185"/>
      <c r="O351" s="185"/>
      <c r="P351" s="185"/>
      <c r="Q351" s="185"/>
      <c r="R351" s="185"/>
      <c r="S351" s="185"/>
      <c r="T351" s="185"/>
      <c r="U351" s="185"/>
      <c r="V351" s="185"/>
      <c r="W351" s="185"/>
      <c r="X351" s="185"/>
      <c r="Y351" s="185"/>
      <c r="Z351" s="185"/>
      <c r="AA351" s="185"/>
      <c r="AB351" s="185"/>
      <c r="AC351" s="186"/>
      <c r="AD351" s="186"/>
      <c r="AE351" s="186"/>
      <c r="AF351" s="186"/>
      <c r="AG351" s="186"/>
      <c r="AH351" s="186"/>
      <c r="AI351" s="186"/>
      <c r="AJ351" s="186"/>
      <c r="AK351" s="186"/>
      <c r="AL351" s="186"/>
      <c r="AM351" s="186"/>
      <c r="AN351" s="48"/>
      <c r="AO351" s="48"/>
      <c r="AP351" s="48"/>
      <c r="AQ351" s="48"/>
      <c r="AR351" s="48"/>
      <c r="AS351" s="48"/>
      <c r="AT351" s="48"/>
      <c r="AU351" s="48"/>
      <c r="AV351" s="48"/>
      <c r="AW351" s="481"/>
      <c r="AX351" s="481"/>
      <c r="AY351" s="481"/>
      <c r="AZ351" s="481"/>
      <c r="BA351" s="481"/>
      <c r="BB351" s="481"/>
      <c r="BC351" s="481"/>
      <c r="BD351" s="481"/>
      <c r="BE351" s="481"/>
      <c r="BF351" s="481"/>
      <c r="BG351" s="481"/>
      <c r="BH351" s="481"/>
      <c r="BI351" s="481"/>
      <c r="BJ351" s="481"/>
      <c r="BK351" s="481"/>
      <c r="BL351" s="481"/>
      <c r="BM351" s="481"/>
      <c r="BN351" s="481"/>
      <c r="BO351" s="481"/>
      <c r="BP351" s="481"/>
      <c r="BQ351" s="481"/>
      <c r="BR351" s="481"/>
      <c r="BS351" s="481"/>
      <c r="BT351" s="481"/>
      <c r="BU351" s="481"/>
      <c r="BV351" s="481"/>
      <c r="BW351" s="481"/>
      <c r="BX351" s="481"/>
      <c r="BY351" s="481"/>
      <c r="BZ351" s="481"/>
      <c r="CA351" s="481"/>
      <c r="CB351" s="481"/>
      <c r="CC351" s="481"/>
      <c r="CD351" s="481"/>
      <c r="CE351" s="481"/>
      <c r="CF351" s="481"/>
      <c r="CG351" s="481"/>
      <c r="CH351" s="481"/>
      <c r="CI351" s="481"/>
      <c r="CJ351" s="481"/>
      <c r="CK351" s="481"/>
      <c r="CL351" s="481"/>
      <c r="CM351" s="481"/>
      <c r="CN351" s="481"/>
      <c r="CO351" s="481"/>
      <c r="CP351" s="481"/>
      <c r="CQ351" s="481"/>
      <c r="CR351" s="481"/>
      <c r="CS351" s="481"/>
      <c r="CT351" s="481"/>
      <c r="CU351" s="481"/>
      <c r="CV351" s="481"/>
      <c r="CW351" s="481"/>
      <c r="CX351" s="481"/>
      <c r="CY351" s="481"/>
      <c r="CZ351" s="481"/>
      <c r="DA351" s="481"/>
      <c r="DB351" s="481"/>
      <c r="DC351" s="481"/>
      <c r="DD351" s="481"/>
      <c r="DE351" s="481"/>
      <c r="DF351" s="481"/>
      <c r="DG351" s="481"/>
      <c r="DH351" s="481"/>
      <c r="DI351" s="481"/>
      <c r="DJ351" s="481"/>
      <c r="DK351" s="481"/>
      <c r="DL351" s="481"/>
      <c r="DM351" s="481"/>
      <c r="DN351" s="481"/>
      <c r="DO351" s="481"/>
      <c r="DP351" s="481"/>
      <c r="DQ351" s="481"/>
      <c r="DR351" s="481"/>
      <c r="DS351" s="481"/>
      <c r="DT351" s="481"/>
      <c r="DU351" s="481"/>
      <c r="DV351" s="481"/>
      <c r="DW351" s="481"/>
      <c r="DX351" s="481"/>
      <c r="DY351" s="481"/>
      <c r="DZ351" s="481"/>
      <c r="EA351" s="481"/>
      <c r="EB351" s="481"/>
      <c r="EC351" s="481"/>
      <c r="ED351" s="481"/>
      <c r="EE351" s="481"/>
      <c r="EF351" s="481"/>
      <c r="EG351" s="481"/>
      <c r="EH351" s="481"/>
      <c r="EI351" s="481"/>
      <c r="EJ351" s="481"/>
      <c r="EK351" s="481"/>
      <c r="EL351" s="481"/>
      <c r="EM351" s="481"/>
      <c r="EN351" s="481"/>
      <c r="EO351" s="481"/>
      <c r="EP351" s="481"/>
      <c r="EQ351" s="481"/>
      <c r="ER351" s="481"/>
      <c r="ES351" s="481"/>
      <c r="ET351" s="481"/>
      <c r="EU351" s="481"/>
      <c r="EV351" s="481"/>
      <c r="EW351" s="481"/>
      <c r="EX351" s="481"/>
      <c r="EY351" s="481"/>
      <c r="EZ351" s="481"/>
      <c r="FA351" s="481"/>
      <c r="FB351" s="481"/>
      <c r="FC351" s="481"/>
      <c r="FD351" s="481"/>
    </row>
    <row r="352" spans="1:160" ht="18" hidden="1" customHeight="1" x14ac:dyDescent="0.2">
      <c r="A352" s="186"/>
      <c r="B352" s="48"/>
      <c r="C352" s="48"/>
      <c r="D352" s="48"/>
      <c r="E352" s="48"/>
      <c r="F352" s="48"/>
      <c r="G352" s="185"/>
      <c r="H352" s="185"/>
      <c r="I352" s="185"/>
      <c r="J352" s="185"/>
      <c r="K352" s="185"/>
      <c r="L352" s="185"/>
      <c r="M352" s="185"/>
      <c r="N352" s="185"/>
      <c r="O352" s="185"/>
      <c r="P352" s="185"/>
      <c r="Q352" s="185"/>
      <c r="R352" s="185"/>
      <c r="S352" s="185"/>
      <c r="T352" s="185"/>
      <c r="U352" s="185"/>
      <c r="V352" s="185"/>
      <c r="W352" s="185"/>
      <c r="X352" s="185"/>
      <c r="Y352" s="185"/>
      <c r="Z352" s="185"/>
      <c r="AA352" s="185"/>
      <c r="AB352" s="185"/>
      <c r="AC352" s="186"/>
      <c r="AD352" s="186"/>
      <c r="AE352" s="186"/>
      <c r="AF352" s="186"/>
      <c r="AG352" s="186"/>
      <c r="AH352" s="186"/>
      <c r="AI352" s="186"/>
      <c r="AJ352" s="186"/>
      <c r="AK352" s="186"/>
      <c r="AL352" s="186"/>
      <c r="AM352" s="186"/>
      <c r="AN352" s="48"/>
      <c r="AO352" s="48"/>
      <c r="AP352" s="48"/>
      <c r="AQ352" s="48"/>
      <c r="AR352" s="48"/>
      <c r="AS352" s="48"/>
      <c r="AT352" s="48"/>
      <c r="AU352" s="48"/>
      <c r="AV352" s="48"/>
      <c r="AW352" s="481"/>
      <c r="AX352" s="481"/>
      <c r="AY352" s="481"/>
      <c r="AZ352" s="481"/>
      <c r="BA352" s="481"/>
      <c r="BB352" s="481"/>
      <c r="BC352" s="481"/>
      <c r="BD352" s="481"/>
      <c r="BE352" s="481"/>
      <c r="BF352" s="481"/>
      <c r="BG352" s="481"/>
      <c r="BH352" s="481"/>
      <c r="BI352" s="481"/>
      <c r="BJ352" s="481"/>
      <c r="BK352" s="481"/>
      <c r="BL352" s="481"/>
      <c r="BM352" s="481"/>
      <c r="BN352" s="481"/>
      <c r="BO352" s="481"/>
      <c r="BP352" s="481"/>
      <c r="BQ352" s="481"/>
      <c r="BR352" s="481"/>
      <c r="BS352" s="481"/>
      <c r="BT352" s="481"/>
      <c r="BU352" s="481"/>
      <c r="BV352" s="481"/>
      <c r="BW352" s="481"/>
      <c r="BX352" s="481"/>
      <c r="BY352" s="481"/>
      <c r="BZ352" s="481"/>
      <c r="CA352" s="481"/>
      <c r="CB352" s="481"/>
      <c r="CC352" s="481"/>
      <c r="CD352" s="481"/>
      <c r="CE352" s="481"/>
      <c r="CF352" s="481"/>
      <c r="CG352" s="481"/>
      <c r="CH352" s="481"/>
      <c r="CI352" s="481"/>
      <c r="CJ352" s="481"/>
      <c r="CK352" s="481"/>
      <c r="CL352" s="481"/>
      <c r="CM352" s="481"/>
      <c r="CN352" s="481"/>
      <c r="CO352" s="481"/>
      <c r="CP352" s="481"/>
      <c r="CQ352" s="481"/>
      <c r="CR352" s="481"/>
      <c r="CS352" s="481"/>
      <c r="CT352" s="481"/>
      <c r="CU352" s="481"/>
      <c r="CV352" s="481"/>
      <c r="CW352" s="481"/>
      <c r="CX352" s="481"/>
      <c r="CY352" s="481"/>
      <c r="CZ352" s="481"/>
      <c r="DA352" s="481"/>
      <c r="DB352" s="481"/>
      <c r="DC352" s="481"/>
      <c r="DD352" s="481"/>
      <c r="DE352" s="481"/>
      <c r="DF352" s="481"/>
      <c r="DG352" s="481"/>
      <c r="DH352" s="481"/>
      <c r="DI352" s="481"/>
      <c r="DJ352" s="481"/>
      <c r="DK352" s="481"/>
      <c r="DL352" s="481"/>
      <c r="DM352" s="481"/>
      <c r="DN352" s="481"/>
      <c r="DO352" s="481"/>
      <c r="DP352" s="481"/>
      <c r="DQ352" s="481"/>
      <c r="DR352" s="481"/>
      <c r="DS352" s="481"/>
      <c r="DT352" s="481"/>
      <c r="DU352" s="481"/>
      <c r="DV352" s="481"/>
      <c r="DW352" s="481"/>
      <c r="DX352" s="481"/>
      <c r="DY352" s="481"/>
      <c r="DZ352" s="481"/>
      <c r="EA352" s="481"/>
      <c r="EB352" s="481"/>
      <c r="EC352" s="481"/>
      <c r="ED352" s="481"/>
      <c r="EE352" s="481"/>
      <c r="EF352" s="481"/>
      <c r="EG352" s="481"/>
      <c r="EH352" s="481"/>
      <c r="EI352" s="481"/>
      <c r="EJ352" s="481"/>
      <c r="EK352" s="481"/>
      <c r="EL352" s="481"/>
      <c r="EM352" s="481"/>
      <c r="EN352" s="481"/>
      <c r="EO352" s="481"/>
      <c r="EP352" s="481"/>
      <c r="EQ352" s="481"/>
      <c r="ER352" s="481"/>
      <c r="ES352" s="481"/>
      <c r="ET352" s="481"/>
      <c r="EU352" s="481"/>
      <c r="EV352" s="481"/>
      <c r="EW352" s="481"/>
      <c r="EX352" s="481"/>
      <c r="EY352" s="481"/>
      <c r="EZ352" s="481"/>
      <c r="FA352" s="481"/>
      <c r="FB352" s="481"/>
      <c r="FC352" s="481"/>
      <c r="FD352" s="481"/>
    </row>
    <row r="353" spans="1:160" ht="18" hidden="1" customHeight="1" x14ac:dyDescent="0.2">
      <c r="A353" s="186"/>
      <c r="B353" s="48"/>
      <c r="C353" s="48"/>
      <c r="D353" s="48"/>
      <c r="E353" s="48"/>
      <c r="F353" s="48"/>
      <c r="G353" s="185"/>
      <c r="H353" s="185"/>
      <c r="I353" s="185"/>
      <c r="J353" s="185"/>
      <c r="K353" s="185"/>
      <c r="L353" s="185"/>
      <c r="M353" s="185"/>
      <c r="N353" s="185"/>
      <c r="O353" s="185"/>
      <c r="P353" s="185"/>
      <c r="Q353" s="185"/>
      <c r="R353" s="185"/>
      <c r="S353" s="185"/>
      <c r="T353" s="185"/>
      <c r="U353" s="185"/>
      <c r="V353" s="185"/>
      <c r="W353" s="185"/>
      <c r="X353" s="185"/>
      <c r="Y353" s="185"/>
      <c r="Z353" s="185"/>
      <c r="AA353" s="185"/>
      <c r="AB353" s="185"/>
      <c r="AC353" s="186"/>
      <c r="AD353" s="186"/>
      <c r="AE353" s="186"/>
      <c r="AF353" s="186"/>
      <c r="AG353" s="186"/>
      <c r="AH353" s="186"/>
      <c r="AI353" s="186"/>
      <c r="AJ353" s="186"/>
      <c r="AK353" s="186"/>
      <c r="AL353" s="186"/>
      <c r="AM353" s="186"/>
      <c r="AN353" s="48"/>
      <c r="AO353" s="48"/>
      <c r="AP353" s="48"/>
      <c r="AQ353" s="48"/>
      <c r="AR353" s="48"/>
      <c r="AS353" s="48"/>
      <c r="AT353" s="48"/>
      <c r="AU353" s="48"/>
      <c r="AV353" s="48"/>
      <c r="AW353" s="481"/>
      <c r="AX353" s="481"/>
      <c r="AY353" s="481"/>
      <c r="AZ353" s="481"/>
      <c r="BA353" s="481"/>
      <c r="BB353" s="481"/>
      <c r="BC353" s="481"/>
      <c r="BD353" s="481"/>
      <c r="BE353" s="481"/>
      <c r="BF353" s="481"/>
      <c r="BG353" s="481"/>
      <c r="BH353" s="481"/>
      <c r="BI353" s="481"/>
      <c r="BJ353" s="481"/>
      <c r="BK353" s="481"/>
      <c r="BL353" s="481"/>
      <c r="BM353" s="481"/>
      <c r="BN353" s="481"/>
      <c r="BO353" s="481"/>
      <c r="BP353" s="481"/>
      <c r="BQ353" s="481"/>
      <c r="BR353" s="481"/>
      <c r="BS353" s="481"/>
      <c r="BT353" s="481"/>
      <c r="BU353" s="481"/>
      <c r="BV353" s="481"/>
      <c r="BW353" s="481"/>
      <c r="BX353" s="481"/>
      <c r="BY353" s="481"/>
      <c r="BZ353" s="481"/>
      <c r="CA353" s="481"/>
      <c r="CB353" s="481"/>
      <c r="CC353" s="481"/>
      <c r="CD353" s="481"/>
      <c r="CE353" s="481"/>
      <c r="CF353" s="481"/>
      <c r="CG353" s="481"/>
      <c r="CH353" s="481"/>
      <c r="CI353" s="481"/>
      <c r="CJ353" s="481"/>
      <c r="CK353" s="481"/>
      <c r="CL353" s="481"/>
      <c r="CM353" s="481"/>
      <c r="CN353" s="481"/>
      <c r="CO353" s="481"/>
      <c r="CP353" s="481"/>
      <c r="CQ353" s="481"/>
      <c r="CR353" s="481"/>
      <c r="CS353" s="481"/>
      <c r="CT353" s="481"/>
      <c r="CU353" s="481"/>
      <c r="CV353" s="481"/>
      <c r="CW353" s="481"/>
      <c r="CX353" s="481"/>
      <c r="CY353" s="481"/>
      <c r="CZ353" s="481"/>
      <c r="DA353" s="481"/>
      <c r="DB353" s="481"/>
      <c r="DC353" s="481"/>
      <c r="DD353" s="481"/>
      <c r="DE353" s="481"/>
      <c r="DF353" s="481"/>
      <c r="DG353" s="481"/>
      <c r="DH353" s="481"/>
      <c r="DI353" s="481"/>
      <c r="DJ353" s="481"/>
      <c r="DK353" s="481"/>
      <c r="DL353" s="481"/>
      <c r="DM353" s="481"/>
      <c r="DN353" s="481"/>
      <c r="DO353" s="481"/>
      <c r="DP353" s="481"/>
      <c r="DQ353" s="481"/>
      <c r="DR353" s="481"/>
      <c r="DS353" s="481"/>
      <c r="DT353" s="481"/>
      <c r="DU353" s="481"/>
      <c r="DV353" s="481"/>
      <c r="DW353" s="481"/>
      <c r="DX353" s="481"/>
      <c r="DY353" s="481"/>
      <c r="DZ353" s="481"/>
      <c r="EA353" s="481"/>
      <c r="EB353" s="481"/>
      <c r="EC353" s="481"/>
      <c r="ED353" s="481"/>
      <c r="EE353" s="481"/>
      <c r="EF353" s="481"/>
      <c r="EG353" s="481"/>
      <c r="EH353" s="481"/>
      <c r="EI353" s="481"/>
      <c r="EJ353" s="481"/>
      <c r="EK353" s="481"/>
      <c r="EL353" s="481"/>
      <c r="EM353" s="481"/>
      <c r="EN353" s="481"/>
      <c r="EO353" s="481"/>
      <c r="EP353" s="481"/>
      <c r="EQ353" s="481"/>
      <c r="ER353" s="481"/>
      <c r="ES353" s="481"/>
      <c r="ET353" s="481"/>
      <c r="EU353" s="481"/>
      <c r="EV353" s="481"/>
      <c r="EW353" s="481"/>
      <c r="EX353" s="481"/>
      <c r="EY353" s="481"/>
      <c r="EZ353" s="481"/>
      <c r="FA353" s="481"/>
      <c r="FB353" s="481"/>
      <c r="FC353" s="481"/>
      <c r="FD353" s="481"/>
    </row>
    <row r="354" spans="1:160" ht="18" hidden="1" customHeight="1" x14ac:dyDescent="0.2">
      <c r="A354" s="186"/>
      <c r="B354" s="1687" t="s">
        <v>528</v>
      </c>
      <c r="C354" s="1688"/>
      <c r="D354" s="1601" t="str">
        <f>D337</f>
        <v>Gennaio</v>
      </c>
      <c r="E354" s="1602"/>
      <c r="F354" s="1602"/>
      <c r="G354" s="1601" t="str">
        <f>G337</f>
        <v>Febbraio</v>
      </c>
      <c r="H354" s="1602"/>
      <c r="I354" s="1602"/>
      <c r="J354" s="1601" t="str">
        <f>J337</f>
        <v>Marzo</v>
      </c>
      <c r="K354" s="1602"/>
      <c r="L354" s="1602"/>
      <c r="M354" s="1601" t="str">
        <f>M337</f>
        <v>Aprile</v>
      </c>
      <c r="N354" s="1602"/>
      <c r="O354" s="1602"/>
      <c r="P354" s="1601" t="str">
        <f>P337</f>
        <v>Maggio</v>
      </c>
      <c r="Q354" s="1602"/>
      <c r="R354" s="1602"/>
      <c r="S354" s="1601" t="str">
        <f>S337</f>
        <v>Giugno</v>
      </c>
      <c r="T354" s="1602"/>
      <c r="U354" s="1602"/>
      <c r="V354" s="1601" t="str">
        <f>V337</f>
        <v>Luglio</v>
      </c>
      <c r="W354" s="1602"/>
      <c r="X354" s="1603"/>
      <c r="Y354" s="1601" t="str">
        <f>Y337</f>
        <v>Agosto</v>
      </c>
      <c r="Z354" s="1602"/>
      <c r="AA354" s="1602"/>
      <c r="AB354" s="1601" t="str">
        <f>AB337</f>
        <v>Settembre</v>
      </c>
      <c r="AC354" s="1602"/>
      <c r="AD354" s="1602"/>
      <c r="AE354" s="1601" t="str">
        <f>AE337</f>
        <v>Ottobre</v>
      </c>
      <c r="AF354" s="1602"/>
      <c r="AG354" s="1602"/>
      <c r="AH354" s="1601" t="str">
        <f>AH337</f>
        <v>Novembre</v>
      </c>
      <c r="AI354" s="1602"/>
      <c r="AJ354" s="1602"/>
      <c r="AK354" s="1601" t="str">
        <f>AK337</f>
        <v>Dicembre</v>
      </c>
      <c r="AL354" s="1602"/>
      <c r="AM354" s="1603"/>
      <c r="AN354" s="48"/>
      <c r="AO354" s="48"/>
      <c r="AP354" s="48"/>
      <c r="AQ354" s="48"/>
      <c r="AR354" s="48"/>
      <c r="AS354" s="48"/>
      <c r="AT354" s="48"/>
      <c r="AU354" s="48"/>
      <c r="AV354" s="48"/>
      <c r="AW354" s="481"/>
      <c r="AX354" s="481"/>
      <c r="AY354" s="481"/>
      <c r="AZ354" s="481"/>
      <c r="BA354" s="481"/>
      <c r="BB354" s="481"/>
      <c r="BC354" s="481"/>
      <c r="BD354" s="481"/>
      <c r="BE354" s="481"/>
      <c r="BF354" s="481"/>
      <c r="BG354" s="481"/>
      <c r="BH354" s="481"/>
      <c r="BI354" s="481"/>
      <c r="BJ354" s="481"/>
      <c r="BK354" s="481"/>
      <c r="BL354" s="481"/>
      <c r="BM354" s="481"/>
      <c r="BN354" s="481"/>
      <c r="BO354" s="481"/>
      <c r="BP354" s="481"/>
      <c r="BQ354" s="481"/>
      <c r="BR354" s="481"/>
      <c r="BS354" s="481"/>
      <c r="BT354" s="481"/>
      <c r="BU354" s="481"/>
      <c r="BV354" s="481"/>
      <c r="BW354" s="481"/>
      <c r="BX354" s="481"/>
      <c r="BY354" s="481"/>
      <c r="BZ354" s="481"/>
      <c r="CA354" s="481"/>
      <c r="CB354" s="481"/>
      <c r="CC354" s="481"/>
      <c r="CD354" s="481"/>
      <c r="CE354" s="481"/>
      <c r="CF354" s="481"/>
      <c r="CG354" s="481"/>
      <c r="CH354" s="481"/>
      <c r="CI354" s="481"/>
      <c r="CJ354" s="481"/>
      <c r="CK354" s="481"/>
      <c r="CL354" s="481"/>
      <c r="CM354" s="481"/>
      <c r="CN354" s="481"/>
      <c r="CO354" s="481"/>
      <c r="CP354" s="481"/>
      <c r="CQ354" s="481"/>
      <c r="CR354" s="481"/>
      <c r="CS354" s="481"/>
      <c r="CT354" s="481"/>
      <c r="CU354" s="481"/>
      <c r="CV354" s="481"/>
      <c r="CW354" s="481"/>
      <c r="CX354" s="481"/>
      <c r="CY354" s="481"/>
      <c r="CZ354" s="481"/>
      <c r="DA354" s="481"/>
      <c r="DB354" s="481"/>
      <c r="DC354" s="481"/>
      <c r="DD354" s="481"/>
      <c r="DE354" s="481"/>
      <c r="DF354" s="481"/>
      <c r="DG354" s="481"/>
      <c r="DH354" s="481"/>
      <c r="DI354" s="481"/>
      <c r="DJ354" s="481"/>
      <c r="DK354" s="481"/>
      <c r="DL354" s="481"/>
      <c r="DM354" s="481"/>
      <c r="DN354" s="481"/>
      <c r="DO354" s="481"/>
      <c r="DP354" s="481"/>
      <c r="DQ354" s="481"/>
      <c r="DR354" s="481"/>
      <c r="DS354" s="481"/>
      <c r="DT354" s="481"/>
      <c r="DU354" s="481"/>
      <c r="DV354" s="481"/>
      <c r="DW354" s="481"/>
      <c r="DX354" s="481"/>
      <c r="DY354" s="481"/>
      <c r="DZ354" s="481"/>
      <c r="EA354" s="481"/>
      <c r="EB354" s="481"/>
      <c r="EC354" s="481"/>
      <c r="ED354" s="481"/>
      <c r="EE354" s="481"/>
      <c r="EF354" s="481"/>
      <c r="EG354" s="481"/>
      <c r="EH354" s="481"/>
      <c r="EI354" s="481"/>
      <c r="EJ354" s="481"/>
      <c r="EK354" s="481"/>
      <c r="EL354" s="481"/>
      <c r="EM354" s="481"/>
      <c r="EN354" s="481"/>
      <c r="EO354" s="481"/>
      <c r="EP354" s="481"/>
      <c r="EQ354" s="481"/>
      <c r="ER354" s="481"/>
      <c r="ES354" s="481"/>
      <c r="ET354" s="481"/>
      <c r="EU354" s="481"/>
      <c r="EV354" s="481"/>
      <c r="EW354" s="481"/>
      <c r="EX354" s="481"/>
      <c r="EY354" s="481"/>
      <c r="EZ354" s="481"/>
      <c r="FA354" s="481"/>
      <c r="FB354" s="481"/>
      <c r="FC354" s="481"/>
      <c r="FD354" s="481"/>
    </row>
    <row r="355" spans="1:160" ht="18" hidden="1" customHeight="1" x14ac:dyDescent="0.2">
      <c r="A355" s="560" t="str">
        <f>LEFT(B234,2)</f>
        <v>--</v>
      </c>
      <c r="B355" s="309">
        <f>IF(ISERROR(VLOOKUP(C355,A$355:A$363,1,FALSE)),0,1)</f>
        <v>0</v>
      </c>
      <c r="C355" s="309" t="str">
        <f t="shared" ref="C355:C360" si="59">B8</f>
        <v>01</v>
      </c>
      <c r="D355" s="1588">
        <f>SUMIF(GEN!$G$159:$J$159,$C355,GEN!$G$153:$J$153)</f>
        <v>0</v>
      </c>
      <c r="E355" s="1589"/>
      <c r="F355" s="1590"/>
      <c r="G355" s="1588">
        <f>SUMIF(FEB!$G$159:$J$159,$C355,FEB!$G$153:$J$153)</f>
        <v>0</v>
      </c>
      <c r="H355" s="1589"/>
      <c r="I355" s="1590"/>
      <c r="J355" s="1588">
        <f>SUMIF(MAR!$G$159:$J$159,$C355,MAR!$G$153:$J$153)</f>
        <v>0</v>
      </c>
      <c r="K355" s="1589"/>
      <c r="L355" s="1590"/>
      <c r="M355" s="1588">
        <f>SUMIF(APR!$G$159:$J$159,$C355,APR!$G$153:$J$153)</f>
        <v>0</v>
      </c>
      <c r="N355" s="1589"/>
      <c r="O355" s="1590"/>
      <c r="P355" s="1588">
        <f>SUMIF(MAG!$G$159:$J$159,$C355,MAG!$G$153:$J$153)</f>
        <v>0</v>
      </c>
      <c r="Q355" s="1589"/>
      <c r="R355" s="1590"/>
      <c r="S355" s="1588">
        <f>SUMIF(GIU!$G$159:$J$159,$C355,GIU!$G$153:$J$153)</f>
        <v>0</v>
      </c>
      <c r="T355" s="1589"/>
      <c r="U355" s="1590"/>
      <c r="V355" s="1588">
        <f>SUMIF(LUG!$G$159:$J$159,$C355,LUG!$G$153:$J$153)</f>
        <v>0</v>
      </c>
      <c r="W355" s="1589"/>
      <c r="X355" s="1590"/>
      <c r="Y355" s="1588">
        <f>SUMIF(AGO!$G$159:$J$159,$C355,AGO!$G$153:$J$153)</f>
        <v>0</v>
      </c>
      <c r="Z355" s="1589"/>
      <c r="AA355" s="1590"/>
      <c r="AB355" s="1588">
        <f>SUMIF(SET!$G$159:$J$159,$C355,SET!$G$153:$J$153)</f>
        <v>0</v>
      </c>
      <c r="AC355" s="1589"/>
      <c r="AD355" s="1590"/>
      <c r="AE355" s="1588">
        <f>SUMIF(OTT!$G$159:$J$159,$C355,OTT!$G$153:$J$153)</f>
        <v>0</v>
      </c>
      <c r="AF355" s="1589"/>
      <c r="AG355" s="1590"/>
      <c r="AH355" s="1588">
        <f>SUMIF(NOV!$G$159:$J$159,$C355,NOV!$G$153:$J$153)</f>
        <v>0</v>
      </c>
      <c r="AI355" s="1589"/>
      <c r="AJ355" s="1590"/>
      <c r="AK355" s="1588">
        <f>SUMIF(DIC!$G$159:$J$159,$C355,DIC!$G$153:$J$153)</f>
        <v>0</v>
      </c>
      <c r="AL355" s="1589"/>
      <c r="AM355" s="1590"/>
      <c r="AN355" s="1588">
        <f t="shared" ref="AN355:AN360" si="60">SUM(D355:AM355)</f>
        <v>0</v>
      </c>
      <c r="AO355" s="1589"/>
      <c r="AP355" s="1589"/>
      <c r="AQ355" s="1689" t="str">
        <f t="shared" ref="AQ355:AQ360" si="61">K8</f>
        <v>CORRISPETTIVI</v>
      </c>
      <c r="AR355" s="1690"/>
      <c r="AS355" s="1690"/>
      <c r="AT355" s="1691"/>
      <c r="AU355" s="48"/>
      <c r="AV355" s="48"/>
      <c r="AW355" s="481"/>
      <c r="AX355" s="481"/>
      <c r="AY355" s="481"/>
      <c r="AZ355" s="481"/>
      <c r="BA355" s="481"/>
      <c r="BB355" s="481"/>
      <c r="BC355" s="481"/>
      <c r="BD355" s="481"/>
      <c r="BE355" s="481"/>
      <c r="BF355" s="481"/>
      <c r="BG355" s="481"/>
      <c r="BH355" s="481"/>
      <c r="BI355" s="481"/>
      <c r="BJ355" s="481"/>
      <c r="BK355" s="481"/>
      <c r="BL355" s="481"/>
      <c r="BM355" s="481"/>
      <c r="BN355" s="481"/>
      <c r="BO355" s="481"/>
      <c r="BP355" s="481"/>
      <c r="BQ355" s="481"/>
      <c r="BR355" s="481"/>
      <c r="BS355" s="481"/>
      <c r="BT355" s="481"/>
      <c r="BU355" s="481"/>
      <c r="BV355" s="481"/>
      <c r="BW355" s="481"/>
      <c r="BX355" s="481"/>
      <c r="BY355" s="481"/>
      <c r="BZ355" s="481"/>
      <c r="CA355" s="481"/>
      <c r="CB355" s="481"/>
      <c r="CC355" s="481"/>
      <c r="CD355" s="481"/>
      <c r="CE355" s="481"/>
      <c r="CF355" s="481"/>
      <c r="CG355" s="481"/>
      <c r="CH355" s="481"/>
      <c r="CI355" s="481"/>
      <c r="CJ355" s="481"/>
      <c r="CK355" s="481"/>
      <c r="CL355" s="481"/>
      <c r="CM355" s="481"/>
      <c r="CN355" s="481"/>
      <c r="CO355" s="481"/>
      <c r="CP355" s="481"/>
      <c r="CQ355" s="481"/>
      <c r="CR355" s="481"/>
      <c r="CS355" s="481"/>
      <c r="CT355" s="481"/>
      <c r="CU355" s="481"/>
      <c r="CV355" s="481"/>
      <c r="CW355" s="481"/>
      <c r="CX355" s="481"/>
      <c r="CY355" s="481"/>
      <c r="CZ355" s="481"/>
      <c r="DA355" s="481"/>
      <c r="DB355" s="481"/>
      <c r="DC355" s="481"/>
      <c r="DD355" s="481"/>
      <c r="DE355" s="481"/>
      <c r="DF355" s="481"/>
      <c r="DG355" s="481"/>
      <c r="DH355" s="481"/>
      <c r="DI355" s="481"/>
      <c r="DJ355" s="481"/>
      <c r="DK355" s="481"/>
      <c r="DL355" s="481"/>
      <c r="DM355" s="481"/>
      <c r="DN355" s="481"/>
      <c r="DO355" s="481"/>
      <c r="DP355" s="481"/>
      <c r="DQ355" s="481"/>
      <c r="DR355" s="481"/>
      <c r="DS355" s="481"/>
      <c r="DT355" s="481"/>
      <c r="DU355" s="481"/>
      <c r="DV355" s="481"/>
      <c r="DW355" s="481"/>
      <c r="DX355" s="481"/>
      <c r="DY355" s="481"/>
      <c r="DZ355" s="481"/>
      <c r="EA355" s="481"/>
      <c r="EB355" s="481"/>
      <c r="EC355" s="481"/>
      <c r="ED355" s="481"/>
      <c r="EE355" s="481"/>
      <c r="EF355" s="481"/>
      <c r="EG355" s="481"/>
      <c r="EH355" s="481"/>
      <c r="EI355" s="481"/>
      <c r="EJ355" s="481"/>
      <c r="EK355" s="481"/>
      <c r="EL355" s="481"/>
      <c r="EM355" s="481"/>
      <c r="EN355" s="481"/>
      <c r="EO355" s="481"/>
      <c r="EP355" s="481"/>
      <c r="EQ355" s="481"/>
      <c r="ER355" s="481"/>
      <c r="ES355" s="481"/>
      <c r="ET355" s="481"/>
      <c r="EU355" s="481"/>
      <c r="EV355" s="481"/>
      <c r="EW355" s="481"/>
      <c r="EX355" s="481"/>
      <c r="EY355" s="481"/>
      <c r="EZ355" s="481"/>
      <c r="FA355" s="481"/>
      <c r="FB355" s="481"/>
      <c r="FC355" s="481"/>
      <c r="FD355" s="481"/>
    </row>
    <row r="356" spans="1:160" ht="18" hidden="1" customHeight="1" x14ac:dyDescent="0.2">
      <c r="A356" s="560" t="str">
        <f>LEFT(B237,2)</f>
        <v>--</v>
      </c>
      <c r="B356" s="370">
        <f>IF(ISERROR(VLOOKUP(C356,A$355:A$363,1,FALSE)),0,COUNTIF(B$355:B355,"&gt;0")+1)</f>
        <v>0</v>
      </c>
      <c r="C356" s="309" t="str">
        <f t="shared" si="59"/>
        <v>02</v>
      </c>
      <c r="D356" s="1588">
        <f>SUMIF(GEN!$G$159:$J$159,$C356,GEN!$G$153:$J$153)</f>
        <v>0</v>
      </c>
      <c r="E356" s="1589"/>
      <c r="F356" s="1590"/>
      <c r="G356" s="1588">
        <f>SUMIF(FEB!$G$159:$J$159,$C356,FEB!$G$153:$J$153)</f>
        <v>0</v>
      </c>
      <c r="H356" s="1589"/>
      <c r="I356" s="1590"/>
      <c r="J356" s="1588">
        <f>SUMIF(MAR!$G$159:$J$159,$C356,MAR!$G$153:$J$153)</f>
        <v>0</v>
      </c>
      <c r="K356" s="1589"/>
      <c r="L356" s="1590"/>
      <c r="M356" s="1588">
        <f>SUMIF(APR!$G$159:$J$159,$C356,APR!$G$153:$J$153)</f>
        <v>0</v>
      </c>
      <c r="N356" s="1589"/>
      <c r="O356" s="1590"/>
      <c r="P356" s="1588">
        <f>SUMIF(MAG!$G$159:$J$159,$C356,MAG!$G$153:$J$153)</f>
        <v>0</v>
      </c>
      <c r="Q356" s="1589"/>
      <c r="R356" s="1590"/>
      <c r="S356" s="1588">
        <f>SUMIF(GIU!$G$159:$J$159,$C356,GIU!$G$153:$J$153)</f>
        <v>0</v>
      </c>
      <c r="T356" s="1589"/>
      <c r="U356" s="1590"/>
      <c r="V356" s="1588">
        <f>SUMIF(LUG!$G$159:$J$159,$C356,LUG!$G$153:$J$153)</f>
        <v>0</v>
      </c>
      <c r="W356" s="1589"/>
      <c r="X356" s="1590"/>
      <c r="Y356" s="1588">
        <f>SUMIF(AGO!$G$159:$J$159,$C356,AGO!$G$153:$J$153)</f>
        <v>0</v>
      </c>
      <c r="Z356" s="1589"/>
      <c r="AA356" s="1590"/>
      <c r="AB356" s="1588">
        <f>SUMIF(SET!$G$159:$J$159,$C356,SET!$G$153:$J$153)</f>
        <v>0</v>
      </c>
      <c r="AC356" s="1589"/>
      <c r="AD356" s="1590"/>
      <c r="AE356" s="1588">
        <f>SUMIF(OTT!$G$159:$J$159,$C356,OTT!$G$153:$J$153)</f>
        <v>0</v>
      </c>
      <c r="AF356" s="1589"/>
      <c r="AG356" s="1590"/>
      <c r="AH356" s="1588">
        <f>SUMIF(NOV!$G$159:$J$159,$C356,NOV!$G$153:$J$153)</f>
        <v>0</v>
      </c>
      <c r="AI356" s="1589"/>
      <c r="AJ356" s="1590"/>
      <c r="AK356" s="1588">
        <f>SUMIF(DIC!$G$159:$J$159,$C356,DIC!$G$153:$J$153)</f>
        <v>0</v>
      </c>
      <c r="AL356" s="1589"/>
      <c r="AM356" s="1590"/>
      <c r="AN356" s="1588">
        <f t="shared" si="60"/>
        <v>0</v>
      </c>
      <c r="AO356" s="1589"/>
      <c r="AP356" s="1589"/>
      <c r="AQ356" s="1689" t="str">
        <f t="shared" si="61"/>
        <v>FATTURA</v>
      </c>
      <c r="AR356" s="1690"/>
      <c r="AS356" s="1690"/>
      <c r="AT356" s="1691"/>
      <c r="AU356" s="48"/>
      <c r="AV356" s="48"/>
      <c r="AW356" s="481"/>
      <c r="AX356" s="481"/>
      <c r="AY356" s="481"/>
      <c r="AZ356" s="481"/>
      <c r="BA356" s="481"/>
      <c r="BB356" s="481"/>
      <c r="BC356" s="481"/>
      <c r="BD356" s="481"/>
      <c r="BE356" s="481"/>
      <c r="BF356" s="481"/>
      <c r="BG356" s="481"/>
      <c r="BH356" s="481"/>
      <c r="BI356" s="481"/>
      <c r="BJ356" s="481"/>
      <c r="BK356" s="481"/>
      <c r="BL356" s="481"/>
      <c r="BM356" s="481"/>
      <c r="BN356" s="481"/>
      <c r="BO356" s="481"/>
      <c r="BP356" s="481"/>
      <c r="BQ356" s="481"/>
      <c r="BR356" s="481"/>
      <c r="BS356" s="481"/>
      <c r="BT356" s="481"/>
      <c r="BU356" s="481"/>
      <c r="BV356" s="481"/>
      <c r="BW356" s="481"/>
      <c r="BX356" s="481"/>
      <c r="BY356" s="481"/>
      <c r="BZ356" s="481"/>
      <c r="CA356" s="481"/>
      <c r="CB356" s="481"/>
      <c r="CC356" s="481"/>
      <c r="CD356" s="481"/>
      <c r="CE356" s="481"/>
      <c r="CF356" s="481"/>
      <c r="CG356" s="481"/>
      <c r="CH356" s="481"/>
      <c r="CI356" s="481"/>
      <c r="CJ356" s="481"/>
      <c r="CK356" s="481"/>
      <c r="CL356" s="481"/>
      <c r="CM356" s="481"/>
      <c r="CN356" s="481"/>
      <c r="CO356" s="481"/>
      <c r="CP356" s="481"/>
      <c r="CQ356" s="481"/>
      <c r="CR356" s="481"/>
      <c r="CS356" s="481"/>
      <c r="CT356" s="481"/>
      <c r="CU356" s="481"/>
      <c r="CV356" s="481"/>
      <c r="CW356" s="481"/>
      <c r="CX356" s="481"/>
      <c r="CY356" s="481"/>
      <c r="CZ356" s="481"/>
      <c r="DA356" s="481"/>
      <c r="DB356" s="481"/>
      <c r="DC356" s="481"/>
      <c r="DD356" s="481"/>
      <c r="DE356" s="481"/>
      <c r="DF356" s="481"/>
      <c r="DG356" s="481"/>
      <c r="DH356" s="481"/>
      <c r="DI356" s="481"/>
      <c r="DJ356" s="481"/>
      <c r="DK356" s="481"/>
      <c r="DL356" s="481"/>
      <c r="DM356" s="481"/>
      <c r="DN356" s="481"/>
      <c r="DO356" s="481"/>
      <c r="DP356" s="481"/>
      <c r="DQ356" s="481"/>
      <c r="DR356" s="481"/>
      <c r="DS356" s="481"/>
      <c r="DT356" s="481"/>
      <c r="DU356" s="481"/>
      <c r="DV356" s="481"/>
      <c r="DW356" s="481"/>
      <c r="DX356" s="481"/>
      <c r="DY356" s="481"/>
      <c r="DZ356" s="481"/>
      <c r="EA356" s="481"/>
      <c r="EB356" s="481"/>
      <c r="EC356" s="481"/>
      <c r="ED356" s="481"/>
      <c r="EE356" s="481"/>
      <c r="EF356" s="481"/>
      <c r="EG356" s="481"/>
      <c r="EH356" s="481"/>
      <c r="EI356" s="481"/>
      <c r="EJ356" s="481"/>
      <c r="EK356" s="481"/>
      <c r="EL356" s="481"/>
      <c r="EM356" s="481"/>
      <c r="EN356" s="481"/>
      <c r="EO356" s="481"/>
      <c r="EP356" s="481"/>
      <c r="EQ356" s="481"/>
      <c r="ER356" s="481"/>
      <c r="ES356" s="481"/>
      <c r="ET356" s="481"/>
      <c r="EU356" s="481"/>
      <c r="EV356" s="481"/>
      <c r="EW356" s="481"/>
      <c r="EX356" s="481"/>
      <c r="EY356" s="481"/>
      <c r="EZ356" s="481"/>
      <c r="FA356" s="481"/>
      <c r="FB356" s="481"/>
      <c r="FC356" s="481"/>
      <c r="FD356" s="481"/>
    </row>
    <row r="357" spans="1:160" ht="18" hidden="1" customHeight="1" x14ac:dyDescent="0.2">
      <c r="A357" s="560" t="str">
        <f>LEFT(B240,2)</f>
        <v>--</v>
      </c>
      <c r="B357" s="370">
        <f>IF(ISERROR(VLOOKUP(C357,A$355:A$363,1,FALSE)),0,COUNTIF(B$355:B356,"&gt;0")+1)</f>
        <v>0</v>
      </c>
      <c r="C357" s="309" t="str">
        <f t="shared" si="59"/>
        <v>03</v>
      </c>
      <c r="D357" s="1588">
        <f>SUMIF(GEN!$G$159:$J$159,$C357,GEN!$G$153:$J$153)</f>
        <v>0</v>
      </c>
      <c r="E357" s="1589"/>
      <c r="F357" s="1590"/>
      <c r="G357" s="1588">
        <f>SUMIF(FEB!$G$159:$J$159,$C357,FEB!$G$153:$J$153)</f>
        <v>0</v>
      </c>
      <c r="H357" s="1589"/>
      <c r="I357" s="1590"/>
      <c r="J357" s="1588">
        <f>SUMIF(MAR!$G$159:$J$159,$C357,MAR!$G$153:$J$153)</f>
        <v>0</v>
      </c>
      <c r="K357" s="1589"/>
      <c r="L357" s="1590"/>
      <c r="M357" s="1588">
        <f>SUMIF(APR!$G$159:$J$159,$C357,APR!$G$153:$J$153)</f>
        <v>0</v>
      </c>
      <c r="N357" s="1589"/>
      <c r="O357" s="1590"/>
      <c r="P357" s="1588">
        <f>SUMIF(MAG!$G$159:$J$159,$C357,MAG!$G$153:$J$153)</f>
        <v>0</v>
      </c>
      <c r="Q357" s="1589"/>
      <c r="R357" s="1590"/>
      <c r="S357" s="1588">
        <f>SUMIF(GIU!$G$159:$J$159,$C357,GIU!$G$153:$J$153)</f>
        <v>0</v>
      </c>
      <c r="T357" s="1589"/>
      <c r="U357" s="1590"/>
      <c r="V357" s="1588">
        <f>SUMIF(LUG!$G$159:$J$159,$C357,LUG!$G$153:$J$153)</f>
        <v>0</v>
      </c>
      <c r="W357" s="1589"/>
      <c r="X357" s="1590"/>
      <c r="Y357" s="1588">
        <f>SUMIF(AGO!$G$159:$J$159,$C357,AGO!$G$153:$J$153)</f>
        <v>0</v>
      </c>
      <c r="Z357" s="1589"/>
      <c r="AA357" s="1590"/>
      <c r="AB357" s="1588">
        <f>SUMIF(SET!$G$159:$J$159,$C357,SET!$G$153:$J$153)</f>
        <v>0</v>
      </c>
      <c r="AC357" s="1589"/>
      <c r="AD357" s="1590"/>
      <c r="AE357" s="1588">
        <f>SUMIF(OTT!$G$159:$J$159,$C357,OTT!$G$153:$J$153)</f>
        <v>0</v>
      </c>
      <c r="AF357" s="1589"/>
      <c r="AG357" s="1590"/>
      <c r="AH357" s="1588">
        <f>SUMIF(NOV!$G$159:$J$159,$C357,NOV!$G$153:$J$153)</f>
        <v>0</v>
      </c>
      <c r="AI357" s="1589"/>
      <c r="AJ357" s="1590"/>
      <c r="AK357" s="1588">
        <f>SUMIF(DIC!$G$159:$J$159,$C357,DIC!$G$153:$J$153)</f>
        <v>0</v>
      </c>
      <c r="AL357" s="1589"/>
      <c r="AM357" s="1590"/>
      <c r="AN357" s="1588">
        <f t="shared" si="60"/>
        <v>0</v>
      </c>
      <c r="AO357" s="1589"/>
      <c r="AP357" s="1589"/>
      <c r="AQ357" s="1689" t="str">
        <f t="shared" si="61"/>
        <v>E-COMMERCE</v>
      </c>
      <c r="AR357" s="1690"/>
      <c r="AS357" s="1690"/>
      <c r="AT357" s="1691"/>
      <c r="AU357" s="48"/>
      <c r="AV357" s="48"/>
      <c r="AW357" s="481"/>
      <c r="AX357" s="481"/>
      <c r="AY357" s="481"/>
      <c r="AZ357" s="481"/>
      <c r="BA357" s="481"/>
      <c r="BB357" s="481"/>
      <c r="BC357" s="481"/>
      <c r="BD357" s="481"/>
      <c r="BE357" s="481"/>
      <c r="BF357" s="481"/>
      <c r="BG357" s="481"/>
      <c r="BH357" s="481"/>
      <c r="BI357" s="481"/>
      <c r="BJ357" s="481"/>
      <c r="BK357" s="481"/>
      <c r="BL357" s="481"/>
      <c r="BM357" s="481"/>
      <c r="BN357" s="481"/>
      <c r="BO357" s="481"/>
      <c r="BP357" s="481"/>
      <c r="BQ357" s="481"/>
      <c r="BR357" s="481"/>
      <c r="BS357" s="481"/>
      <c r="BT357" s="481"/>
      <c r="BU357" s="481"/>
      <c r="BV357" s="481"/>
      <c r="BW357" s="481"/>
      <c r="BX357" s="481"/>
      <c r="BY357" s="481"/>
      <c r="BZ357" s="481"/>
      <c r="CA357" s="481"/>
      <c r="CB357" s="481"/>
      <c r="CC357" s="481"/>
      <c r="CD357" s="481"/>
      <c r="CE357" s="481"/>
      <c r="CF357" s="481"/>
      <c r="CG357" s="481"/>
      <c r="CH357" s="481"/>
      <c r="CI357" s="481"/>
      <c r="CJ357" s="481"/>
      <c r="CK357" s="481"/>
      <c r="CL357" s="481"/>
      <c r="CM357" s="481"/>
      <c r="CN357" s="481"/>
      <c r="CO357" s="481"/>
      <c r="CP357" s="481"/>
      <c r="CQ357" s="481"/>
      <c r="CR357" s="481"/>
      <c r="CS357" s="481"/>
      <c r="CT357" s="481"/>
      <c r="CU357" s="481"/>
      <c r="CV357" s="481"/>
      <c r="CW357" s="481"/>
      <c r="CX357" s="481"/>
      <c r="CY357" s="481"/>
      <c r="CZ357" s="481"/>
      <c r="DA357" s="481"/>
      <c r="DB357" s="481"/>
      <c r="DC357" s="481"/>
      <c r="DD357" s="481"/>
      <c r="DE357" s="481"/>
      <c r="DF357" s="481"/>
      <c r="DG357" s="481"/>
      <c r="DH357" s="481"/>
      <c r="DI357" s="481"/>
      <c r="DJ357" s="481"/>
      <c r="DK357" s="481"/>
      <c r="DL357" s="481"/>
      <c r="DM357" s="481"/>
      <c r="DN357" s="481"/>
      <c r="DO357" s="481"/>
      <c r="DP357" s="481"/>
      <c r="DQ357" s="481"/>
      <c r="DR357" s="481"/>
      <c r="DS357" s="481"/>
      <c r="DT357" s="481"/>
      <c r="DU357" s="481"/>
      <c r="DV357" s="481"/>
      <c r="DW357" s="481"/>
      <c r="DX357" s="481"/>
      <c r="DY357" s="481"/>
      <c r="DZ357" s="481"/>
      <c r="EA357" s="481"/>
      <c r="EB357" s="481"/>
      <c r="EC357" s="481"/>
      <c r="ED357" s="481"/>
      <c r="EE357" s="481"/>
      <c r="EF357" s="481"/>
      <c r="EG357" s="481"/>
      <c r="EH357" s="481"/>
      <c r="EI357" s="481"/>
      <c r="EJ357" s="481"/>
      <c r="EK357" s="481"/>
      <c r="EL357" s="481"/>
      <c r="EM357" s="481"/>
      <c r="EN357" s="481"/>
      <c r="EO357" s="481"/>
      <c r="EP357" s="481"/>
      <c r="EQ357" s="481"/>
      <c r="ER357" s="481"/>
      <c r="ES357" s="481"/>
      <c r="ET357" s="481"/>
      <c r="EU357" s="481"/>
      <c r="EV357" s="481"/>
      <c r="EW357" s="481"/>
      <c r="EX357" s="481"/>
      <c r="EY357" s="481"/>
      <c r="EZ357" s="481"/>
      <c r="FA357" s="481"/>
      <c r="FB357" s="481"/>
      <c r="FC357" s="481"/>
      <c r="FD357" s="481"/>
    </row>
    <row r="358" spans="1:160" ht="18" hidden="1" customHeight="1" x14ac:dyDescent="0.2">
      <c r="A358" s="560" t="str">
        <f>LEFT(B243,2)</f>
        <v>--</v>
      </c>
      <c r="B358" s="370">
        <f>IF(ISERROR(VLOOKUP(C358,A$355:A$363,1,FALSE)),0,COUNTIF(B$355:B357,"&gt;0")+1)</f>
        <v>0</v>
      </c>
      <c r="C358" s="309" t="str">
        <f t="shared" si="59"/>
        <v>04</v>
      </c>
      <c r="D358" s="1588">
        <f>SUMIF(GEN!$G$159:$J$159,$C358,GEN!$G$153:$J$153)</f>
        <v>0</v>
      </c>
      <c r="E358" s="1589"/>
      <c r="F358" s="1590"/>
      <c r="G358" s="1588">
        <f>SUMIF(FEB!$G$159:$J$159,$C358,FEB!$G$153:$J$153)</f>
        <v>0</v>
      </c>
      <c r="H358" s="1589"/>
      <c r="I358" s="1590"/>
      <c r="J358" s="1588">
        <f>SUMIF(MAR!$G$159:$J$159,$C358,MAR!$G$153:$J$153)</f>
        <v>0</v>
      </c>
      <c r="K358" s="1589"/>
      <c r="L358" s="1590"/>
      <c r="M358" s="1588">
        <f>SUMIF(APR!$G$159:$J$159,$C358,APR!$G$153:$J$153)</f>
        <v>0</v>
      </c>
      <c r="N358" s="1589"/>
      <c r="O358" s="1590"/>
      <c r="P358" s="1588">
        <f>SUMIF(MAG!$G$159:$J$159,$C358,MAG!$G$153:$J$153)</f>
        <v>0</v>
      </c>
      <c r="Q358" s="1589"/>
      <c r="R358" s="1590"/>
      <c r="S358" s="1588">
        <f>SUMIF(GIU!$G$159:$J$159,$C358,GIU!$G$153:$J$153)</f>
        <v>0</v>
      </c>
      <c r="T358" s="1589"/>
      <c r="U358" s="1590"/>
      <c r="V358" s="1588">
        <f>SUMIF(LUG!$G$159:$J$159,$C358,LUG!$G$153:$J$153)</f>
        <v>0</v>
      </c>
      <c r="W358" s="1589"/>
      <c r="X358" s="1590"/>
      <c r="Y358" s="1588">
        <f>SUMIF(AGO!$G$159:$J$159,$C358,AGO!$G$153:$J$153)</f>
        <v>0</v>
      </c>
      <c r="Z358" s="1589"/>
      <c r="AA358" s="1590"/>
      <c r="AB358" s="1588">
        <f>SUMIF(SET!$G$159:$J$159,$C358,SET!$G$153:$J$153)</f>
        <v>0</v>
      </c>
      <c r="AC358" s="1589"/>
      <c r="AD358" s="1590"/>
      <c r="AE358" s="1588">
        <f>SUMIF(OTT!$G$159:$J$159,$C358,OTT!$G$153:$J$153)</f>
        <v>0</v>
      </c>
      <c r="AF358" s="1589"/>
      <c r="AG358" s="1590"/>
      <c r="AH358" s="1588">
        <f>SUMIF(NOV!$G$159:$J$159,$C358,NOV!$G$153:$J$153)</f>
        <v>0</v>
      </c>
      <c r="AI358" s="1589"/>
      <c r="AJ358" s="1590"/>
      <c r="AK358" s="1588">
        <f>SUMIF(DIC!$G$159:$J$159,$C358,DIC!$G$153:$J$153)</f>
        <v>0</v>
      </c>
      <c r="AL358" s="1589"/>
      <c r="AM358" s="1590"/>
      <c r="AN358" s="1588">
        <f t="shared" si="60"/>
        <v>0</v>
      </c>
      <c r="AO358" s="1589"/>
      <c r="AP358" s="1589"/>
      <c r="AQ358" s="1689" t="str">
        <f t="shared" si="61"/>
        <v>RIC. FISCALE</v>
      </c>
      <c r="AR358" s="1690"/>
      <c r="AS358" s="1690"/>
      <c r="AT358" s="1691"/>
      <c r="AU358" s="48"/>
      <c r="AV358" s="48"/>
      <c r="AW358" s="481"/>
      <c r="AX358" s="481"/>
      <c r="AY358" s="481"/>
      <c r="AZ358" s="481"/>
      <c r="BA358" s="481"/>
      <c r="BB358" s="481"/>
      <c r="BC358" s="481"/>
      <c r="BD358" s="481"/>
      <c r="BE358" s="481"/>
      <c r="BF358" s="481"/>
      <c r="BG358" s="481"/>
      <c r="BH358" s="481"/>
      <c r="BI358" s="481"/>
      <c r="BJ358" s="481"/>
      <c r="BK358" s="481"/>
      <c r="BL358" s="481"/>
      <c r="BM358" s="481"/>
      <c r="BN358" s="481"/>
      <c r="BO358" s="481"/>
      <c r="BP358" s="481"/>
      <c r="BQ358" s="481"/>
      <c r="BR358" s="481"/>
      <c r="BS358" s="481"/>
      <c r="BT358" s="481"/>
      <c r="BU358" s="481"/>
      <c r="BV358" s="481"/>
      <c r="BW358" s="481"/>
      <c r="BX358" s="481"/>
      <c r="BY358" s="481"/>
      <c r="BZ358" s="481"/>
      <c r="CA358" s="481"/>
      <c r="CB358" s="481"/>
      <c r="CC358" s="481"/>
      <c r="CD358" s="481"/>
      <c r="CE358" s="481"/>
      <c r="CF358" s="481"/>
      <c r="CG358" s="481"/>
      <c r="CH358" s="481"/>
      <c r="CI358" s="481"/>
      <c r="CJ358" s="481"/>
      <c r="CK358" s="481"/>
      <c r="CL358" s="481"/>
      <c r="CM358" s="481"/>
      <c r="CN358" s="481"/>
      <c r="CO358" s="481"/>
      <c r="CP358" s="481"/>
      <c r="CQ358" s="481"/>
      <c r="CR358" s="481"/>
      <c r="CS358" s="481"/>
      <c r="CT358" s="481"/>
      <c r="CU358" s="481"/>
      <c r="CV358" s="481"/>
      <c r="CW358" s="481"/>
      <c r="CX358" s="481"/>
      <c r="CY358" s="481"/>
      <c r="CZ358" s="481"/>
      <c r="DA358" s="481"/>
      <c r="DB358" s="481"/>
      <c r="DC358" s="481"/>
      <c r="DD358" s="481"/>
      <c r="DE358" s="481"/>
      <c r="DF358" s="481"/>
      <c r="DG358" s="481"/>
      <c r="DH358" s="481"/>
      <c r="DI358" s="481"/>
      <c r="DJ358" s="481"/>
      <c r="DK358" s="481"/>
      <c r="DL358" s="481"/>
      <c r="DM358" s="481"/>
      <c r="DN358" s="481"/>
      <c r="DO358" s="481"/>
      <c r="DP358" s="481"/>
      <c r="DQ358" s="481"/>
      <c r="DR358" s="481"/>
      <c r="DS358" s="481"/>
      <c r="DT358" s="481"/>
      <c r="DU358" s="481"/>
      <c r="DV358" s="481"/>
      <c r="DW358" s="481"/>
      <c r="DX358" s="481"/>
      <c r="DY358" s="481"/>
      <c r="DZ358" s="481"/>
      <c r="EA358" s="481"/>
      <c r="EB358" s="481"/>
      <c r="EC358" s="481"/>
      <c r="ED358" s="481"/>
      <c r="EE358" s="481"/>
      <c r="EF358" s="481"/>
      <c r="EG358" s="481"/>
      <c r="EH358" s="481"/>
      <c r="EI358" s="481"/>
      <c r="EJ358" s="481"/>
      <c r="EK358" s="481"/>
      <c r="EL358" s="481"/>
      <c r="EM358" s="481"/>
      <c r="EN358" s="481"/>
      <c r="EO358" s="481"/>
      <c r="EP358" s="481"/>
      <c r="EQ358" s="481"/>
      <c r="ER358" s="481"/>
      <c r="ES358" s="481"/>
      <c r="ET358" s="481"/>
      <c r="EU358" s="481"/>
      <c r="EV358" s="481"/>
      <c r="EW358" s="481"/>
      <c r="EX358" s="481"/>
      <c r="EY358" s="481"/>
      <c r="EZ358" s="481"/>
      <c r="FA358" s="481"/>
      <c r="FB358" s="481"/>
      <c r="FC358" s="481"/>
      <c r="FD358" s="481"/>
    </row>
    <row r="359" spans="1:160" ht="18" hidden="1" customHeight="1" x14ac:dyDescent="0.2">
      <c r="A359" s="560" t="str">
        <f>LEFT(B246,2)</f>
        <v/>
      </c>
      <c r="B359" s="370">
        <f>IF(ISERROR(VLOOKUP(C359,A$355:A$363,1,FALSE)),0,COUNTIF(B$355:B358,"&gt;0")+1)</f>
        <v>0</v>
      </c>
      <c r="C359" s="309" t="str">
        <f t="shared" si="59"/>
        <v>05</v>
      </c>
      <c r="D359" s="1588">
        <f>SUMIF(GEN!$G$159:$J$159,$C359,GEN!$G$153:$J$153)</f>
        <v>0</v>
      </c>
      <c r="E359" s="1589"/>
      <c r="F359" s="1590"/>
      <c r="G359" s="1588">
        <f>SUMIF(FEB!$G$159:$J$159,$C359,FEB!$G$153:$J$153)</f>
        <v>0</v>
      </c>
      <c r="H359" s="1589"/>
      <c r="I359" s="1590"/>
      <c r="J359" s="1588">
        <f>SUMIF(MAR!$G$159:$J$159,$C359,MAR!$G$153:$J$153)</f>
        <v>0</v>
      </c>
      <c r="K359" s="1589"/>
      <c r="L359" s="1590"/>
      <c r="M359" s="1588">
        <f>SUMIF(APR!$G$159:$J$159,$C359,APR!$G$153:$J$153)</f>
        <v>0</v>
      </c>
      <c r="N359" s="1589"/>
      <c r="O359" s="1590"/>
      <c r="P359" s="1588">
        <f>SUMIF(MAG!$G$159:$J$159,$C359,MAG!$G$153:$J$153)</f>
        <v>0</v>
      </c>
      <c r="Q359" s="1589"/>
      <c r="R359" s="1590"/>
      <c r="S359" s="1588">
        <f>SUMIF(GIU!$G$159:$J$159,$C359,GIU!$G$153:$J$153)</f>
        <v>0</v>
      </c>
      <c r="T359" s="1589"/>
      <c r="U359" s="1590"/>
      <c r="V359" s="1588">
        <f>SUMIF(LUG!$G$159:$J$159,$C359,LUG!$G$153:$J$153)</f>
        <v>0</v>
      </c>
      <c r="W359" s="1589"/>
      <c r="X359" s="1590"/>
      <c r="Y359" s="1588">
        <f>SUMIF(AGO!$G$159:$J$159,$C359,AGO!$G$153:$J$153)</f>
        <v>0</v>
      </c>
      <c r="Z359" s="1589"/>
      <c r="AA359" s="1590"/>
      <c r="AB359" s="1588">
        <f>SUMIF(SET!$G$159:$J$159,$C359,SET!$G$153:$J$153)</f>
        <v>0</v>
      </c>
      <c r="AC359" s="1589"/>
      <c r="AD359" s="1590"/>
      <c r="AE359" s="1588">
        <f>SUMIF(OTT!$G$159:$J$159,$C359,OTT!$G$153:$J$153)</f>
        <v>0</v>
      </c>
      <c r="AF359" s="1589"/>
      <c r="AG359" s="1590"/>
      <c r="AH359" s="1588">
        <f>SUMIF(NOV!$G$159:$J$159,$C359,NOV!$G$153:$J$153)</f>
        <v>0</v>
      </c>
      <c r="AI359" s="1589"/>
      <c r="AJ359" s="1590"/>
      <c r="AK359" s="1588">
        <f>SUMIF(DIC!$G$159:$J$159,$C359,DIC!$G$153:$J$153)</f>
        <v>0</v>
      </c>
      <c r="AL359" s="1589"/>
      <c r="AM359" s="1590"/>
      <c r="AN359" s="1588">
        <f t="shared" si="60"/>
        <v>0</v>
      </c>
      <c r="AO359" s="1589"/>
      <c r="AP359" s="1589"/>
      <c r="AQ359" s="1689" t="str">
        <f t="shared" si="61"/>
        <v>R E S I</v>
      </c>
      <c r="AR359" s="1690"/>
      <c r="AS359" s="1690"/>
      <c r="AT359" s="1691"/>
      <c r="AU359" s="48"/>
      <c r="AV359" s="48"/>
      <c r="AW359" s="481"/>
      <c r="AX359" s="481"/>
      <c r="AY359" s="481"/>
      <c r="AZ359" s="481"/>
      <c r="BA359" s="481"/>
      <c r="BB359" s="481"/>
      <c r="BC359" s="481"/>
      <c r="BD359" s="481"/>
      <c r="BE359" s="481"/>
      <c r="BF359" s="481"/>
      <c r="BG359" s="481"/>
      <c r="BH359" s="481"/>
      <c r="BI359" s="481"/>
      <c r="BJ359" s="481"/>
      <c r="BK359" s="481"/>
      <c r="BL359" s="481"/>
      <c r="BM359" s="481"/>
      <c r="BN359" s="481"/>
      <c r="BO359" s="481"/>
      <c r="BP359" s="481"/>
      <c r="BQ359" s="481"/>
      <c r="BR359" s="481"/>
      <c r="BS359" s="481"/>
      <c r="BT359" s="481"/>
      <c r="BU359" s="481"/>
      <c r="BV359" s="481"/>
      <c r="BW359" s="481"/>
      <c r="BX359" s="481"/>
      <c r="BY359" s="481"/>
      <c r="BZ359" s="481"/>
      <c r="CA359" s="481"/>
      <c r="CB359" s="481"/>
      <c r="CC359" s="481"/>
      <c r="CD359" s="481"/>
      <c r="CE359" s="481"/>
      <c r="CF359" s="481"/>
      <c r="CG359" s="481"/>
      <c r="CH359" s="481"/>
      <c r="CI359" s="481"/>
      <c r="CJ359" s="481"/>
      <c r="CK359" s="481"/>
      <c r="CL359" s="481"/>
      <c r="CM359" s="481"/>
      <c r="CN359" s="481"/>
      <c r="CO359" s="481"/>
      <c r="CP359" s="481"/>
      <c r="CQ359" s="481"/>
      <c r="CR359" s="481"/>
      <c r="CS359" s="481"/>
      <c r="CT359" s="481"/>
      <c r="CU359" s="481"/>
      <c r="CV359" s="481"/>
      <c r="CW359" s="481"/>
      <c r="CX359" s="481"/>
      <c r="CY359" s="481"/>
      <c r="CZ359" s="481"/>
      <c r="DA359" s="481"/>
      <c r="DB359" s="481"/>
      <c r="DC359" s="481"/>
      <c r="DD359" s="481"/>
      <c r="DE359" s="481"/>
      <c r="DF359" s="481"/>
      <c r="DG359" s="481"/>
      <c r="DH359" s="481"/>
      <c r="DI359" s="481"/>
      <c r="DJ359" s="481"/>
      <c r="DK359" s="481"/>
      <c r="DL359" s="481"/>
      <c r="DM359" s="481"/>
      <c r="DN359" s="481"/>
      <c r="DO359" s="481"/>
      <c r="DP359" s="481"/>
      <c r="DQ359" s="481"/>
      <c r="DR359" s="481"/>
      <c r="DS359" s="481"/>
      <c r="DT359" s="481"/>
      <c r="DU359" s="481"/>
      <c r="DV359" s="481"/>
      <c r="DW359" s="481"/>
      <c r="DX359" s="481"/>
      <c r="DY359" s="481"/>
      <c r="DZ359" s="481"/>
      <c r="EA359" s="481"/>
      <c r="EB359" s="481"/>
      <c r="EC359" s="481"/>
      <c r="ED359" s="481"/>
      <c r="EE359" s="481"/>
      <c r="EF359" s="481"/>
      <c r="EG359" s="481"/>
      <c r="EH359" s="481"/>
      <c r="EI359" s="481"/>
      <c r="EJ359" s="481"/>
      <c r="EK359" s="481"/>
      <c r="EL359" s="481"/>
      <c r="EM359" s="481"/>
      <c r="EN359" s="481"/>
      <c r="EO359" s="481"/>
      <c r="EP359" s="481"/>
      <c r="EQ359" s="481"/>
      <c r="ER359" s="481"/>
      <c r="ES359" s="481"/>
      <c r="ET359" s="481"/>
      <c r="EU359" s="481"/>
      <c r="EV359" s="481"/>
      <c r="EW359" s="481"/>
      <c r="EX359" s="481"/>
      <c r="EY359" s="481"/>
      <c r="EZ359" s="481"/>
      <c r="FA359" s="481"/>
      <c r="FB359" s="481"/>
      <c r="FC359" s="481"/>
      <c r="FD359" s="481"/>
    </row>
    <row r="360" spans="1:160" ht="18" hidden="1" customHeight="1" x14ac:dyDescent="0.2">
      <c r="A360" s="560" t="str">
        <f>LEFT(B249,2)</f>
        <v/>
      </c>
      <c r="B360" s="370">
        <f>IF(ISERROR(VLOOKUP(C360,A$355:A$363,1,FALSE)),0,COUNTIF(B$355:B359,"&gt;0")+1)</f>
        <v>0</v>
      </c>
      <c r="C360" s="309" t="str">
        <f t="shared" si="59"/>
        <v>06</v>
      </c>
      <c r="D360" s="1588">
        <f>SUMIF(GEN!$G$159:$J$159,$C360,GEN!$G$153:$J$153)</f>
        <v>0</v>
      </c>
      <c r="E360" s="1589"/>
      <c r="F360" s="1590"/>
      <c r="G360" s="1588">
        <f>SUMIF(FEB!$G$159:$J$159,$C360,FEB!$G$153:$J$153)</f>
        <v>0</v>
      </c>
      <c r="H360" s="1589"/>
      <c r="I360" s="1590"/>
      <c r="J360" s="1588">
        <f>SUMIF(MAR!$G$159:$J$159,$C360,MAR!$G$153:$J$153)</f>
        <v>0</v>
      </c>
      <c r="K360" s="1589"/>
      <c r="L360" s="1590"/>
      <c r="M360" s="1588">
        <f>SUMIF(APR!$G$159:$J$159,$C360,APR!$G$153:$J$153)</f>
        <v>0</v>
      </c>
      <c r="N360" s="1589"/>
      <c r="O360" s="1590"/>
      <c r="P360" s="1588">
        <f>SUMIF(MAG!$G$159:$J$159,$C360,MAG!$G$153:$J$153)</f>
        <v>0</v>
      </c>
      <c r="Q360" s="1589"/>
      <c r="R360" s="1590"/>
      <c r="S360" s="1588">
        <f>SUMIF(GIU!$G$159:$J$159,$C360,GIU!$G$153:$J$153)</f>
        <v>0</v>
      </c>
      <c r="T360" s="1589"/>
      <c r="U360" s="1590"/>
      <c r="V360" s="1588">
        <f>SUMIF(LUG!$G$159:$J$159,$C360,LUG!$G$153:$J$153)</f>
        <v>0</v>
      </c>
      <c r="W360" s="1589"/>
      <c r="X360" s="1590"/>
      <c r="Y360" s="1588">
        <f>SUMIF(AGO!$G$159:$J$159,$C360,AGO!$G$153:$J$153)</f>
        <v>0</v>
      </c>
      <c r="Z360" s="1589"/>
      <c r="AA360" s="1590"/>
      <c r="AB360" s="1588">
        <f>SUMIF(SET!$G$159:$J$159,$C360,SET!$G$153:$J$153)</f>
        <v>0</v>
      </c>
      <c r="AC360" s="1589"/>
      <c r="AD360" s="1590"/>
      <c r="AE360" s="1588">
        <f>SUMIF(OTT!$G$159:$J$159,$C360,OTT!$G$153:$J$153)</f>
        <v>0</v>
      </c>
      <c r="AF360" s="1589"/>
      <c r="AG360" s="1590"/>
      <c r="AH360" s="1588">
        <f>SUMIF(NOV!$G$159:$J$159,$C360,NOV!$G$153:$J$153)</f>
        <v>0</v>
      </c>
      <c r="AI360" s="1589"/>
      <c r="AJ360" s="1590"/>
      <c r="AK360" s="1588">
        <f>SUMIF(DIC!$G$159:$J$159,$C360,DIC!$G$153:$J$153)</f>
        <v>0</v>
      </c>
      <c r="AL360" s="1589"/>
      <c r="AM360" s="1590"/>
      <c r="AN360" s="1588">
        <f t="shared" si="60"/>
        <v>0</v>
      </c>
      <c r="AO360" s="1589"/>
      <c r="AP360" s="1589"/>
      <c r="AQ360" s="1689" t="str">
        <f t="shared" si="61"/>
        <v>T I C K E T</v>
      </c>
      <c r="AR360" s="1690"/>
      <c r="AS360" s="1690"/>
      <c r="AT360" s="1691"/>
      <c r="AU360" s="48"/>
      <c r="AV360" s="48"/>
      <c r="AW360" s="481"/>
      <c r="AX360" s="481"/>
      <c r="AY360" s="481"/>
      <c r="AZ360" s="481"/>
      <c r="BA360" s="481"/>
      <c r="BB360" s="481"/>
      <c r="BC360" s="481"/>
      <c r="BD360" s="481"/>
      <c r="BE360" s="481"/>
      <c r="BF360" s="481"/>
      <c r="BG360" s="481"/>
      <c r="BH360" s="481"/>
      <c r="BI360" s="481"/>
      <c r="BJ360" s="481"/>
      <c r="BK360" s="481"/>
      <c r="BL360" s="481"/>
      <c r="BM360" s="481"/>
      <c r="BN360" s="481"/>
      <c r="BO360" s="481"/>
      <c r="BP360" s="481"/>
      <c r="BQ360" s="481"/>
      <c r="BR360" s="481"/>
      <c r="BS360" s="481"/>
      <c r="BT360" s="481"/>
      <c r="BU360" s="481"/>
      <c r="BV360" s="481"/>
      <c r="BW360" s="481"/>
      <c r="BX360" s="481"/>
      <c r="BY360" s="481"/>
      <c r="BZ360" s="481"/>
      <c r="CA360" s="481"/>
      <c r="CB360" s="481"/>
      <c r="CC360" s="481"/>
      <c r="CD360" s="481"/>
      <c r="CE360" s="481"/>
      <c r="CF360" s="481"/>
      <c r="CG360" s="481"/>
      <c r="CH360" s="481"/>
      <c r="CI360" s="481"/>
      <c r="CJ360" s="481"/>
      <c r="CK360" s="481"/>
      <c r="CL360" s="481"/>
      <c r="CM360" s="481"/>
      <c r="CN360" s="481"/>
      <c r="CO360" s="481"/>
      <c r="CP360" s="481"/>
      <c r="CQ360" s="481"/>
      <c r="CR360" s="481"/>
      <c r="CS360" s="481"/>
      <c r="CT360" s="481"/>
      <c r="CU360" s="481"/>
      <c r="CV360" s="481"/>
      <c r="CW360" s="481"/>
      <c r="CX360" s="481"/>
      <c r="CY360" s="481"/>
      <c r="CZ360" s="481"/>
      <c r="DA360" s="481"/>
      <c r="DB360" s="481"/>
      <c r="DC360" s="481"/>
      <c r="DD360" s="481"/>
      <c r="DE360" s="481"/>
      <c r="DF360" s="481"/>
      <c r="DG360" s="481"/>
      <c r="DH360" s="481"/>
      <c r="DI360" s="481"/>
      <c r="DJ360" s="481"/>
      <c r="DK360" s="481"/>
      <c r="DL360" s="481"/>
      <c r="DM360" s="481"/>
      <c r="DN360" s="481"/>
      <c r="DO360" s="481"/>
      <c r="DP360" s="481"/>
      <c r="DQ360" s="481"/>
      <c r="DR360" s="481"/>
      <c r="DS360" s="481"/>
      <c r="DT360" s="481"/>
      <c r="DU360" s="481"/>
      <c r="DV360" s="481"/>
      <c r="DW360" s="481"/>
      <c r="DX360" s="481"/>
      <c r="DY360" s="481"/>
      <c r="DZ360" s="481"/>
      <c r="EA360" s="481"/>
      <c r="EB360" s="481"/>
      <c r="EC360" s="481"/>
      <c r="ED360" s="481"/>
      <c r="EE360" s="481"/>
      <c r="EF360" s="481"/>
      <c r="EG360" s="481"/>
      <c r="EH360" s="481"/>
      <c r="EI360" s="481"/>
      <c r="EJ360" s="481"/>
      <c r="EK360" s="481"/>
      <c r="EL360" s="481"/>
      <c r="EM360" s="481"/>
      <c r="EN360" s="481"/>
      <c r="EO360" s="481"/>
      <c r="EP360" s="481"/>
      <c r="EQ360" s="481"/>
      <c r="ER360" s="481"/>
      <c r="ES360" s="481"/>
      <c r="ET360" s="481"/>
      <c r="EU360" s="481"/>
      <c r="EV360" s="481"/>
      <c r="EW360" s="481"/>
      <c r="EX360" s="481"/>
      <c r="EY360" s="481"/>
      <c r="EZ360" s="481"/>
      <c r="FA360" s="481"/>
      <c r="FB360" s="481"/>
      <c r="FC360" s="481"/>
      <c r="FD360" s="481"/>
    </row>
    <row r="361" spans="1:160" ht="18" hidden="1" customHeight="1" x14ac:dyDescent="0.2">
      <c r="B361" s="370">
        <f>IF(ISERROR(VLOOKUP(C361,A$355:A$363,1,FALSE)),0,COUNTIF(B$355:B360,"&gt;0")+1)</f>
        <v>0</v>
      </c>
      <c r="AU361" s="48"/>
      <c r="AV361" s="48"/>
      <c r="AW361" s="481"/>
      <c r="AX361" s="481"/>
      <c r="AY361" s="481"/>
      <c r="AZ361" s="481"/>
      <c r="BA361" s="481"/>
      <c r="BB361" s="481"/>
      <c r="BC361" s="481"/>
      <c r="BD361" s="481"/>
      <c r="BE361" s="481"/>
      <c r="BF361" s="481"/>
      <c r="BG361" s="481"/>
      <c r="BH361" s="481"/>
      <c r="BI361" s="481"/>
      <c r="BJ361" s="481"/>
      <c r="BK361" s="481"/>
      <c r="BL361" s="481"/>
      <c r="BM361" s="481"/>
      <c r="BN361" s="481"/>
      <c r="BO361" s="481"/>
      <c r="BP361" s="481"/>
      <c r="BQ361" s="481"/>
      <c r="BR361" s="481"/>
      <c r="BS361" s="481"/>
      <c r="BT361" s="481"/>
      <c r="BU361" s="481"/>
      <c r="BV361" s="481"/>
      <c r="BW361" s="481"/>
      <c r="BX361" s="481"/>
      <c r="BY361" s="481"/>
      <c r="BZ361" s="481"/>
      <c r="CA361" s="481"/>
      <c r="CB361" s="481"/>
      <c r="CC361" s="481"/>
      <c r="CD361" s="481"/>
      <c r="CE361" s="481"/>
      <c r="CF361" s="481"/>
      <c r="CG361" s="481"/>
      <c r="CH361" s="481"/>
      <c r="CI361" s="481"/>
      <c r="CJ361" s="481"/>
      <c r="CK361" s="481"/>
      <c r="CL361" s="481"/>
      <c r="CM361" s="481"/>
      <c r="CN361" s="481"/>
      <c r="CO361" s="481"/>
      <c r="CP361" s="481"/>
      <c r="CQ361" s="481"/>
      <c r="CR361" s="481"/>
      <c r="CS361" s="481"/>
      <c r="CT361" s="481"/>
      <c r="CU361" s="481"/>
      <c r="CV361" s="481"/>
      <c r="CW361" s="481"/>
      <c r="CX361" s="481"/>
      <c r="CY361" s="481"/>
      <c r="CZ361" s="481"/>
      <c r="DA361" s="481"/>
      <c r="DB361" s="481"/>
      <c r="DC361" s="481"/>
      <c r="DD361" s="481"/>
      <c r="DE361" s="481"/>
      <c r="DF361" s="481"/>
      <c r="DG361" s="481"/>
      <c r="DH361" s="481"/>
      <c r="DI361" s="481"/>
      <c r="DJ361" s="481"/>
      <c r="DK361" s="481"/>
      <c r="DL361" s="481"/>
      <c r="DM361" s="481"/>
      <c r="DN361" s="481"/>
      <c r="DO361" s="481"/>
      <c r="DP361" s="481"/>
      <c r="DQ361" s="481"/>
      <c r="DR361" s="481"/>
      <c r="DS361" s="481"/>
      <c r="DT361" s="481"/>
      <c r="DU361" s="481"/>
      <c r="DV361" s="481"/>
      <c r="DW361" s="481"/>
      <c r="DX361" s="481"/>
      <c r="DY361" s="481"/>
      <c r="DZ361" s="481"/>
      <c r="EA361" s="481"/>
      <c r="EB361" s="481"/>
      <c r="EC361" s="481"/>
      <c r="ED361" s="481"/>
      <c r="EE361" s="481"/>
      <c r="EF361" s="481"/>
      <c r="EG361" s="481"/>
      <c r="EH361" s="481"/>
      <c r="EI361" s="481"/>
      <c r="EJ361" s="481"/>
      <c r="EK361" s="481"/>
      <c r="EL361" s="481"/>
      <c r="EM361" s="481"/>
      <c r="EN361" s="481"/>
      <c r="EO361" s="481"/>
      <c r="EP361" s="481"/>
      <c r="EQ361" s="481"/>
      <c r="ER361" s="481"/>
      <c r="ES361" s="481"/>
      <c r="ET361" s="481"/>
      <c r="EU361" s="481"/>
      <c r="EV361" s="481"/>
      <c r="EW361" s="481"/>
      <c r="EX361" s="481"/>
      <c r="EY361" s="481"/>
      <c r="EZ361" s="481"/>
      <c r="FA361" s="481"/>
      <c r="FB361" s="481"/>
      <c r="FC361" s="481"/>
      <c r="FD361" s="481"/>
    </row>
    <row r="362" spans="1:160" ht="18" hidden="1" customHeight="1" x14ac:dyDescent="0.2">
      <c r="B362" s="370">
        <f>IF(ISERROR(VLOOKUP(C362,A$355:A$363,1,FALSE)),0,COUNTIF(B$355:B361,"&gt;0")+1)</f>
        <v>0</v>
      </c>
      <c r="AU362" s="48"/>
      <c r="AV362" s="48"/>
      <c r="AW362" s="481"/>
      <c r="AX362" s="481"/>
      <c r="AY362" s="481"/>
      <c r="AZ362" s="481"/>
      <c r="BA362" s="481"/>
      <c r="BB362" s="481"/>
      <c r="BC362" s="481"/>
      <c r="BD362" s="481"/>
      <c r="BE362" s="481"/>
      <c r="BF362" s="481"/>
      <c r="BG362" s="481"/>
      <c r="BH362" s="481"/>
      <c r="BI362" s="481"/>
      <c r="BJ362" s="481"/>
      <c r="BK362" s="481"/>
      <c r="BL362" s="481"/>
      <c r="BM362" s="481"/>
      <c r="BN362" s="481"/>
      <c r="BO362" s="481"/>
      <c r="BP362" s="481"/>
      <c r="BQ362" s="481"/>
      <c r="BR362" s="481"/>
      <c r="BS362" s="481"/>
      <c r="BT362" s="481"/>
      <c r="BU362" s="481"/>
      <c r="BV362" s="481"/>
      <c r="BW362" s="481"/>
      <c r="BX362" s="481"/>
      <c r="BY362" s="481"/>
      <c r="BZ362" s="481"/>
      <c r="CA362" s="481"/>
      <c r="CB362" s="481"/>
      <c r="CC362" s="481"/>
      <c r="CD362" s="481"/>
      <c r="CE362" s="481"/>
      <c r="CF362" s="481"/>
      <c r="CG362" s="481"/>
      <c r="CH362" s="481"/>
      <c r="CI362" s="481"/>
      <c r="CJ362" s="481"/>
      <c r="CK362" s="481"/>
      <c r="CL362" s="481"/>
      <c r="CM362" s="481"/>
      <c r="CN362" s="481"/>
      <c r="CO362" s="481"/>
      <c r="CP362" s="481"/>
      <c r="CQ362" s="481"/>
      <c r="CR362" s="481"/>
      <c r="CS362" s="481"/>
      <c r="CT362" s="481"/>
      <c r="CU362" s="481"/>
      <c r="CV362" s="481"/>
      <c r="CW362" s="481"/>
      <c r="CX362" s="481"/>
      <c r="CY362" s="481"/>
      <c r="CZ362" s="481"/>
      <c r="DA362" s="481"/>
      <c r="DB362" s="481"/>
      <c r="DC362" s="481"/>
      <c r="DD362" s="481"/>
      <c r="DE362" s="481"/>
      <c r="DF362" s="481"/>
      <c r="DG362" s="481"/>
      <c r="DH362" s="481"/>
      <c r="DI362" s="481"/>
      <c r="DJ362" s="481"/>
      <c r="DK362" s="481"/>
      <c r="DL362" s="481"/>
      <c r="DM362" s="481"/>
      <c r="DN362" s="481"/>
      <c r="DO362" s="481"/>
      <c r="DP362" s="481"/>
      <c r="DQ362" s="481"/>
      <c r="DR362" s="481"/>
      <c r="DS362" s="481"/>
      <c r="DT362" s="481"/>
      <c r="DU362" s="481"/>
      <c r="DV362" s="481"/>
      <c r="DW362" s="481"/>
      <c r="DX362" s="481"/>
      <c r="DY362" s="481"/>
      <c r="DZ362" s="481"/>
      <c r="EA362" s="481"/>
      <c r="EB362" s="481"/>
      <c r="EC362" s="481"/>
      <c r="ED362" s="481"/>
      <c r="EE362" s="481"/>
      <c r="EF362" s="481"/>
      <c r="EG362" s="481"/>
      <c r="EH362" s="481"/>
      <c r="EI362" s="481"/>
      <c r="EJ362" s="481"/>
      <c r="EK362" s="481"/>
      <c r="EL362" s="481"/>
      <c r="EM362" s="481"/>
      <c r="EN362" s="481"/>
      <c r="EO362" s="481"/>
      <c r="EP362" s="481"/>
      <c r="EQ362" s="481"/>
      <c r="ER362" s="481"/>
      <c r="ES362" s="481"/>
      <c r="ET362" s="481"/>
      <c r="EU362" s="481"/>
      <c r="EV362" s="481"/>
      <c r="EW362" s="481"/>
      <c r="EX362" s="481"/>
      <c r="EY362" s="481"/>
      <c r="EZ362" s="481"/>
      <c r="FA362" s="481"/>
      <c r="FB362" s="481"/>
      <c r="FC362" s="481"/>
      <c r="FD362" s="481"/>
    </row>
    <row r="363" spans="1:160" ht="18" hidden="1" customHeight="1" x14ac:dyDescent="0.2">
      <c r="A363" s="560" t="str">
        <f>LEFT(B252,2)</f>
        <v/>
      </c>
      <c r="B363" s="370">
        <f>IF(ISERROR(VLOOKUP(C363,A$355:A$363,1,FALSE)),0,COUNTIF(B$355:B362,"&gt;0")+1)</f>
        <v>0</v>
      </c>
      <c r="C363" s="309" t="str">
        <f>B14</f>
        <v>07</v>
      </c>
      <c r="D363" s="1588">
        <f>SUMIF(GEN!$G$159:$J$159,$C363,GEN!$G$153:$J$153)</f>
        <v>0</v>
      </c>
      <c r="E363" s="1589"/>
      <c r="F363" s="1590"/>
      <c r="G363" s="1588">
        <f>SUMIF(FEB!$G$159:$J$159,$C363,FEB!$G$153:$J$153)</f>
        <v>0</v>
      </c>
      <c r="H363" s="1589"/>
      <c r="I363" s="1590"/>
      <c r="J363" s="1588">
        <f>SUMIF(MAR!$G$159:$J$159,$C363,MAR!$G$153:$J$153)</f>
        <v>0</v>
      </c>
      <c r="K363" s="1589"/>
      <c r="L363" s="1590"/>
      <c r="M363" s="1588">
        <f>SUMIF(APR!$G$159:$J$159,$C363,APR!$G$153:$J$153)</f>
        <v>0</v>
      </c>
      <c r="N363" s="1589"/>
      <c r="O363" s="1590"/>
      <c r="P363" s="1588">
        <f>SUMIF(MAG!$G$159:$J$159,$C363,MAG!$G$153:$J$153)</f>
        <v>0</v>
      </c>
      <c r="Q363" s="1589"/>
      <c r="R363" s="1590"/>
      <c r="S363" s="1588">
        <f>SUMIF(GIU!$G$159:$J$159,$C363,GIU!$G$153:$J$153)</f>
        <v>0</v>
      </c>
      <c r="T363" s="1589"/>
      <c r="U363" s="1590"/>
      <c r="V363" s="1588">
        <f>SUMIF(LUG!$G$159:$J$159,$C363,LUG!$G$153:$J$153)</f>
        <v>0</v>
      </c>
      <c r="W363" s="1589"/>
      <c r="X363" s="1590"/>
      <c r="Y363" s="1588">
        <f>SUMIF(AGO!$G$159:$J$159,$C363,AGO!$G$153:$J$153)</f>
        <v>0</v>
      </c>
      <c r="Z363" s="1589"/>
      <c r="AA363" s="1590"/>
      <c r="AB363" s="1588">
        <f>SUMIF(SET!$G$159:$J$159,$C363,SET!$G$153:$J$153)</f>
        <v>0</v>
      </c>
      <c r="AC363" s="1589"/>
      <c r="AD363" s="1590"/>
      <c r="AE363" s="1588">
        <f>SUMIF(OTT!$G$159:$J$159,$C363,OTT!$G$153:$J$153)</f>
        <v>0</v>
      </c>
      <c r="AF363" s="1589"/>
      <c r="AG363" s="1590"/>
      <c r="AH363" s="1588">
        <f>SUMIF(NOV!$G$159:$J$159,$C363,NOV!$G$153:$J$153)</f>
        <v>0</v>
      </c>
      <c r="AI363" s="1589"/>
      <c r="AJ363" s="1590"/>
      <c r="AK363" s="1588">
        <f>SUMIF(DIC!$G$159:$J$159,$C363,DIC!$G$153:$J$153)</f>
        <v>0</v>
      </c>
      <c r="AL363" s="1589"/>
      <c r="AM363" s="1590"/>
      <c r="AN363" s="1588">
        <f>SUM(D363:AM363)</f>
        <v>0</v>
      </c>
      <c r="AO363" s="1589"/>
      <c r="AP363" s="1589"/>
      <c r="AQ363" s="1689" t="str">
        <f>K14</f>
        <v>A G G I</v>
      </c>
      <c r="AR363" s="1690"/>
      <c r="AS363" s="1690"/>
      <c r="AT363" s="1691"/>
      <c r="AU363" s="48"/>
      <c r="AV363" s="48"/>
      <c r="AW363" s="481"/>
      <c r="AX363" s="481"/>
      <c r="AY363" s="481"/>
      <c r="AZ363" s="481"/>
      <c r="BA363" s="481"/>
      <c r="BB363" s="481"/>
      <c r="BC363" s="481"/>
      <c r="BD363" s="481"/>
      <c r="BE363" s="481"/>
      <c r="BF363" s="481"/>
      <c r="BG363" s="481"/>
      <c r="BH363" s="481"/>
      <c r="BI363" s="481"/>
      <c r="BJ363" s="481"/>
      <c r="BK363" s="481"/>
      <c r="BL363" s="481"/>
      <c r="BM363" s="481"/>
      <c r="BN363" s="481"/>
      <c r="BO363" s="481"/>
      <c r="BP363" s="481"/>
      <c r="BQ363" s="481"/>
      <c r="BR363" s="481"/>
      <c r="BS363" s="481"/>
      <c r="BT363" s="481"/>
      <c r="BU363" s="481"/>
      <c r="BV363" s="481"/>
      <c r="BW363" s="481"/>
      <c r="BX363" s="481"/>
      <c r="BY363" s="481"/>
      <c r="BZ363" s="481"/>
      <c r="CA363" s="481"/>
      <c r="CB363" s="481"/>
      <c r="CC363" s="481"/>
      <c r="CD363" s="481"/>
      <c r="CE363" s="481"/>
      <c r="CF363" s="481"/>
      <c r="CG363" s="481"/>
      <c r="CH363" s="481"/>
      <c r="CI363" s="481"/>
      <c r="CJ363" s="481"/>
      <c r="CK363" s="481"/>
      <c r="CL363" s="481"/>
      <c r="CM363" s="481"/>
      <c r="CN363" s="481"/>
      <c r="CO363" s="481"/>
      <c r="CP363" s="481"/>
      <c r="CQ363" s="481"/>
      <c r="CR363" s="481"/>
      <c r="CS363" s="481"/>
      <c r="CT363" s="481"/>
      <c r="CU363" s="481"/>
      <c r="CV363" s="481"/>
      <c r="CW363" s="481"/>
      <c r="CX363" s="481"/>
      <c r="CY363" s="481"/>
      <c r="CZ363" s="481"/>
      <c r="DA363" s="481"/>
      <c r="DB363" s="481"/>
      <c r="DC363" s="481"/>
      <c r="DD363" s="481"/>
      <c r="DE363" s="481"/>
      <c r="DF363" s="481"/>
      <c r="DG363" s="481"/>
      <c r="DH363" s="481"/>
      <c r="DI363" s="481"/>
      <c r="DJ363" s="481"/>
      <c r="DK363" s="481"/>
      <c r="DL363" s="481"/>
      <c r="DM363" s="481"/>
      <c r="DN363" s="481"/>
      <c r="DO363" s="481"/>
      <c r="DP363" s="481"/>
      <c r="DQ363" s="481"/>
      <c r="DR363" s="481"/>
      <c r="DS363" s="481"/>
      <c r="DT363" s="481"/>
      <c r="DU363" s="481"/>
      <c r="DV363" s="481"/>
      <c r="DW363" s="481"/>
      <c r="DX363" s="481"/>
      <c r="DY363" s="481"/>
      <c r="DZ363" s="481"/>
      <c r="EA363" s="481"/>
      <c r="EB363" s="481"/>
      <c r="EC363" s="481"/>
      <c r="ED363" s="481"/>
      <c r="EE363" s="481"/>
      <c r="EF363" s="481"/>
      <c r="EG363" s="481"/>
      <c r="EH363" s="481"/>
      <c r="EI363" s="481"/>
      <c r="EJ363" s="481"/>
      <c r="EK363" s="481"/>
      <c r="EL363" s="481"/>
      <c r="EM363" s="481"/>
      <c r="EN363" s="481"/>
      <c r="EO363" s="481"/>
      <c r="EP363" s="481"/>
      <c r="EQ363" s="481"/>
      <c r="ER363" s="481"/>
      <c r="ES363" s="481"/>
      <c r="ET363" s="481"/>
      <c r="EU363" s="481"/>
      <c r="EV363" s="481"/>
      <c r="EW363" s="481"/>
      <c r="EX363" s="481"/>
      <c r="EY363" s="481"/>
      <c r="EZ363" s="481"/>
      <c r="FA363" s="481"/>
      <c r="FB363" s="481"/>
      <c r="FC363" s="481"/>
      <c r="FD363" s="481"/>
    </row>
    <row r="364" spans="1:160" ht="18" hidden="1" customHeight="1" x14ac:dyDescent="0.2">
      <c r="A364" s="186"/>
      <c r="B364" s="48"/>
      <c r="C364" s="48"/>
      <c r="D364" s="1598">
        <f>SUM(D355:F363)</f>
        <v>0</v>
      </c>
      <c r="E364" s="1599"/>
      <c r="F364" s="1600"/>
      <c r="G364" s="1598">
        <f>SUM(G355:I363)</f>
        <v>0</v>
      </c>
      <c r="H364" s="1599"/>
      <c r="I364" s="1600"/>
      <c r="J364" s="1598">
        <f>SUM(J355:L363)</f>
        <v>0</v>
      </c>
      <c r="K364" s="1599"/>
      <c r="L364" s="1600"/>
      <c r="M364" s="1598">
        <f>SUM(M355:O363)</f>
        <v>0</v>
      </c>
      <c r="N364" s="1599"/>
      <c r="O364" s="1600"/>
      <c r="P364" s="1598">
        <f>SUM(P355:R363)</f>
        <v>0</v>
      </c>
      <c r="Q364" s="1599"/>
      <c r="R364" s="1600"/>
      <c r="S364" s="1598">
        <f>SUM(S355:U363)</f>
        <v>0</v>
      </c>
      <c r="T364" s="1599"/>
      <c r="U364" s="1600"/>
      <c r="V364" s="1598">
        <f>SUM(V355:X363)</f>
        <v>0</v>
      </c>
      <c r="W364" s="1599"/>
      <c r="X364" s="1600"/>
      <c r="Y364" s="1598">
        <f>SUM(Y355:AA363)</f>
        <v>0</v>
      </c>
      <c r="Z364" s="1599"/>
      <c r="AA364" s="1600"/>
      <c r="AB364" s="1598">
        <f>SUM(AB355:AD363)</f>
        <v>0</v>
      </c>
      <c r="AC364" s="1599"/>
      <c r="AD364" s="1600"/>
      <c r="AE364" s="1598">
        <f>SUM(AE355:AG363)</f>
        <v>0</v>
      </c>
      <c r="AF364" s="1599"/>
      <c r="AG364" s="1600"/>
      <c r="AH364" s="1598">
        <f>SUM(AH355:AJ363)</f>
        <v>0</v>
      </c>
      <c r="AI364" s="1599"/>
      <c r="AJ364" s="1600"/>
      <c r="AK364" s="1598">
        <f>SUM(AK355:AM363)</f>
        <v>0</v>
      </c>
      <c r="AL364" s="1599"/>
      <c r="AM364" s="1600"/>
      <c r="AN364" s="1598">
        <f>SUM(D364:AM364)</f>
        <v>0</v>
      </c>
      <c r="AO364" s="1599"/>
      <c r="AP364" s="1600"/>
      <c r="AQ364" s="48"/>
      <c r="AR364" s="48"/>
      <c r="AS364" s="48"/>
      <c r="AT364" s="48"/>
      <c r="AU364" s="48"/>
      <c r="AV364" s="48"/>
      <c r="AW364" s="481"/>
      <c r="AX364" s="481"/>
      <c r="AY364" s="481"/>
      <c r="AZ364" s="481"/>
      <c r="BA364" s="481"/>
      <c r="BB364" s="481"/>
      <c r="BC364" s="481"/>
      <c r="BD364" s="481"/>
      <c r="BE364" s="481"/>
      <c r="BF364" s="481"/>
      <c r="BG364" s="481"/>
      <c r="BH364" s="481"/>
      <c r="BI364" s="481"/>
      <c r="BJ364" s="481"/>
      <c r="BK364" s="481"/>
      <c r="BL364" s="481"/>
      <c r="BM364" s="481"/>
      <c r="BN364" s="481"/>
      <c r="BO364" s="481"/>
      <c r="BP364" s="481"/>
      <c r="BQ364" s="481"/>
      <c r="BR364" s="481"/>
      <c r="BS364" s="481"/>
      <c r="BT364" s="481"/>
      <c r="BU364" s="481"/>
      <c r="BV364" s="481"/>
      <c r="BW364" s="481"/>
      <c r="BX364" s="481"/>
      <c r="BY364" s="481"/>
      <c r="BZ364" s="481"/>
      <c r="CA364" s="481"/>
      <c r="CB364" s="481"/>
      <c r="CC364" s="481"/>
      <c r="CD364" s="481"/>
      <c r="CE364" s="481"/>
      <c r="CF364" s="481"/>
      <c r="CG364" s="481"/>
      <c r="CH364" s="481"/>
      <c r="CI364" s="481"/>
      <c r="CJ364" s="481"/>
      <c r="CK364" s="481"/>
      <c r="CL364" s="481"/>
      <c r="CM364" s="481"/>
      <c r="CN364" s="481"/>
      <c r="CO364" s="481"/>
      <c r="CP364" s="481"/>
      <c r="CQ364" s="481"/>
      <c r="CR364" s="481"/>
      <c r="CS364" s="481"/>
      <c r="CT364" s="481"/>
      <c r="CU364" s="481"/>
      <c r="CV364" s="481"/>
      <c r="CW364" s="481"/>
      <c r="CX364" s="481"/>
      <c r="CY364" s="481"/>
      <c r="CZ364" s="481"/>
      <c r="DA364" s="481"/>
      <c r="DB364" s="481"/>
      <c r="DC364" s="481"/>
      <c r="DD364" s="481"/>
      <c r="DE364" s="481"/>
      <c r="DF364" s="481"/>
      <c r="DG364" s="481"/>
      <c r="DH364" s="481"/>
      <c r="DI364" s="481"/>
      <c r="DJ364" s="481"/>
      <c r="DK364" s="481"/>
      <c r="DL364" s="481"/>
      <c r="DM364" s="481"/>
      <c r="DN364" s="481"/>
      <c r="DO364" s="481"/>
      <c r="DP364" s="481"/>
      <c r="DQ364" s="481"/>
      <c r="DR364" s="481"/>
      <c r="DS364" s="481"/>
      <c r="DT364" s="481"/>
      <c r="DU364" s="481"/>
      <c r="DV364" s="481"/>
      <c r="DW364" s="481"/>
      <c r="DX364" s="481"/>
      <c r="DY364" s="481"/>
      <c r="DZ364" s="481"/>
      <c r="EA364" s="481"/>
      <c r="EB364" s="481"/>
      <c r="EC364" s="481"/>
      <c r="ED364" s="481"/>
      <c r="EE364" s="481"/>
      <c r="EF364" s="481"/>
      <c r="EG364" s="481"/>
      <c r="EH364" s="481"/>
      <c r="EI364" s="481"/>
      <c r="EJ364" s="481"/>
      <c r="EK364" s="481"/>
      <c r="EL364" s="481"/>
      <c r="EM364" s="481"/>
      <c r="EN364" s="481"/>
      <c r="EO364" s="481"/>
      <c r="EP364" s="481"/>
      <c r="EQ364" s="481"/>
      <c r="ER364" s="481"/>
      <c r="ES364" s="481"/>
      <c r="ET364" s="481"/>
      <c r="EU364" s="481"/>
      <c r="EV364" s="481"/>
      <c r="EW364" s="481"/>
      <c r="EX364" s="481"/>
      <c r="EY364" s="481"/>
      <c r="EZ364" s="481"/>
      <c r="FA364" s="481"/>
      <c r="FB364" s="481"/>
      <c r="FC364" s="481"/>
      <c r="FD364" s="481"/>
    </row>
    <row r="365" spans="1:160" ht="18" hidden="1" customHeight="1" x14ac:dyDescent="0.2">
      <c r="A365" s="186"/>
      <c r="B365" s="48"/>
      <c r="C365" s="48"/>
      <c r="D365" s="1588">
        <f>D364</f>
        <v>0</v>
      </c>
      <c r="E365" s="1589"/>
      <c r="F365" s="1590"/>
      <c r="G365" s="1588">
        <f>G364+D365</f>
        <v>0</v>
      </c>
      <c r="H365" s="1589"/>
      <c r="I365" s="1590"/>
      <c r="J365" s="1588">
        <f>J364+G365</f>
        <v>0</v>
      </c>
      <c r="K365" s="1589"/>
      <c r="L365" s="1590"/>
      <c r="M365" s="1588">
        <f>M364+J365</f>
        <v>0</v>
      </c>
      <c r="N365" s="1589"/>
      <c r="O365" s="1590"/>
      <c r="P365" s="1588">
        <f>P364+M365</f>
        <v>0</v>
      </c>
      <c r="Q365" s="1589"/>
      <c r="R365" s="1590"/>
      <c r="S365" s="1588">
        <f>S364+P365</f>
        <v>0</v>
      </c>
      <c r="T365" s="1589"/>
      <c r="U365" s="1590"/>
      <c r="V365" s="1588">
        <f>V364+S365</f>
        <v>0</v>
      </c>
      <c r="W365" s="1589"/>
      <c r="X365" s="1590"/>
      <c r="Y365" s="1588">
        <f>Y364+V365</f>
        <v>0</v>
      </c>
      <c r="Z365" s="1589"/>
      <c r="AA365" s="1590"/>
      <c r="AB365" s="1588">
        <f>AB364+Y365</f>
        <v>0</v>
      </c>
      <c r="AC365" s="1589"/>
      <c r="AD365" s="1590"/>
      <c r="AE365" s="1588">
        <f>AE364+AB365</f>
        <v>0</v>
      </c>
      <c r="AF365" s="1589"/>
      <c r="AG365" s="1590"/>
      <c r="AH365" s="1588">
        <f>AH364+AE365</f>
        <v>0</v>
      </c>
      <c r="AI365" s="1589"/>
      <c r="AJ365" s="1590"/>
      <c r="AK365" s="1588">
        <f>AK364+AH365</f>
        <v>0</v>
      </c>
      <c r="AL365" s="1589"/>
      <c r="AM365" s="1590"/>
      <c r="AN365" s="48"/>
      <c r="AO365" s="48"/>
      <c r="AP365" s="48"/>
      <c r="AQ365" s="48"/>
      <c r="AR365" s="48"/>
      <c r="AS365" s="481"/>
      <c r="AT365" s="481"/>
      <c r="AU365" s="481"/>
      <c r="AV365" s="481"/>
      <c r="AW365" s="481"/>
      <c r="AX365" s="481"/>
      <c r="AY365" s="481"/>
      <c r="AZ365" s="481"/>
      <c r="BA365" s="481"/>
      <c r="BB365" s="481"/>
      <c r="BC365" s="481"/>
      <c r="BD365" s="481"/>
      <c r="BE365" s="481"/>
      <c r="BF365" s="481"/>
      <c r="BG365" s="481"/>
      <c r="BH365" s="481"/>
      <c r="BI365" s="481"/>
      <c r="BJ365" s="481"/>
      <c r="BK365" s="481"/>
      <c r="BL365" s="481"/>
      <c r="BM365" s="481"/>
      <c r="BN365" s="481"/>
      <c r="BO365" s="481"/>
      <c r="BP365" s="481"/>
      <c r="BQ365" s="481"/>
      <c r="BR365" s="481"/>
      <c r="BS365" s="481"/>
      <c r="BT365" s="481"/>
      <c r="BU365" s="481"/>
      <c r="BV365" s="481"/>
      <c r="BW365" s="481"/>
      <c r="BX365" s="481"/>
      <c r="BY365" s="481"/>
      <c r="BZ365" s="481"/>
      <c r="CA365" s="481"/>
      <c r="CB365" s="481"/>
      <c r="CC365" s="481"/>
      <c r="CD365" s="481"/>
      <c r="CE365" s="481"/>
      <c r="CF365" s="481"/>
      <c r="CG365" s="481"/>
      <c r="CH365" s="481"/>
      <c r="CI365" s="481"/>
      <c r="CJ365" s="481"/>
      <c r="CK365" s="481"/>
      <c r="CL365" s="481"/>
      <c r="CM365" s="481"/>
      <c r="CN365" s="481"/>
      <c r="CO365" s="481"/>
      <c r="CP365" s="481"/>
      <c r="CQ365" s="481"/>
      <c r="CR365" s="481"/>
      <c r="CS365" s="481"/>
      <c r="CT365" s="481"/>
      <c r="CU365" s="481"/>
      <c r="CV365" s="481"/>
      <c r="CW365" s="481"/>
      <c r="CX365" s="481"/>
      <c r="CY365" s="481"/>
      <c r="CZ365" s="481"/>
      <c r="DA365" s="481"/>
      <c r="DB365" s="481"/>
      <c r="DC365" s="481"/>
      <c r="DD365" s="481"/>
      <c r="DE365" s="481"/>
      <c r="DF365" s="481"/>
      <c r="DG365" s="481"/>
      <c r="DH365" s="481"/>
      <c r="DI365" s="481"/>
      <c r="DJ365" s="481"/>
      <c r="DK365" s="481"/>
      <c r="DL365" s="481"/>
      <c r="DM365" s="481"/>
      <c r="DN365" s="481"/>
      <c r="DO365" s="481"/>
      <c r="DP365" s="481"/>
      <c r="DQ365" s="481"/>
      <c r="DR365" s="481"/>
      <c r="DS365" s="481"/>
      <c r="DT365" s="481"/>
      <c r="DU365" s="481"/>
      <c r="DV365" s="481"/>
      <c r="DW365" s="481"/>
      <c r="DX365" s="481"/>
      <c r="DY365" s="481"/>
      <c r="DZ365" s="481"/>
      <c r="EA365" s="481"/>
      <c r="EB365" s="481"/>
      <c r="EC365" s="481"/>
      <c r="ED365" s="481"/>
      <c r="EE365" s="481"/>
      <c r="EF365" s="481"/>
      <c r="EG365" s="481"/>
      <c r="EH365" s="481"/>
      <c r="EI365" s="481"/>
      <c r="EJ365" s="481"/>
      <c r="EK365" s="481"/>
      <c r="EL365" s="481"/>
      <c r="EM365" s="481"/>
      <c r="EN365" s="481"/>
      <c r="EO365" s="481"/>
      <c r="EP365" s="481"/>
      <c r="EQ365" s="481"/>
      <c r="ER365" s="481"/>
      <c r="ES365" s="481"/>
      <c r="ET365" s="481"/>
      <c r="EU365" s="481"/>
      <c r="EV365" s="481"/>
      <c r="EW365" s="481"/>
      <c r="EX365" s="481"/>
      <c r="EY365" s="481"/>
      <c r="EZ365" s="481"/>
      <c r="FA365" s="481"/>
      <c r="FB365" s="481"/>
      <c r="FC365" s="481"/>
      <c r="FD365" s="481"/>
    </row>
    <row r="366" spans="1:160" ht="18" hidden="1" customHeight="1" x14ac:dyDescent="0.2">
      <c r="A366" s="186"/>
      <c r="B366" s="48"/>
      <c r="C366" s="48"/>
      <c r="D366" s="48"/>
      <c r="E366" s="48"/>
      <c r="F366" s="48"/>
      <c r="G366" s="185"/>
      <c r="H366" s="185"/>
      <c r="I366" s="185"/>
      <c r="J366" s="185"/>
      <c r="K366" s="185"/>
      <c r="L366" s="185"/>
      <c r="M366" s="185"/>
      <c r="N366" s="185"/>
      <c r="O366" s="185"/>
      <c r="P366" s="185"/>
      <c r="Q366" s="185"/>
      <c r="R366" s="185"/>
      <c r="S366" s="185"/>
      <c r="T366" s="185"/>
      <c r="U366" s="185"/>
      <c r="V366" s="185"/>
      <c r="W366" s="185"/>
      <c r="X366" s="185"/>
      <c r="Y366" s="185"/>
      <c r="Z366" s="185"/>
      <c r="AA366" s="185"/>
      <c r="AB366" s="185"/>
      <c r="AC366" s="186"/>
      <c r="AD366" s="186"/>
      <c r="AE366" s="186"/>
      <c r="AF366" s="186"/>
      <c r="AG366" s="186"/>
      <c r="AH366" s="186"/>
      <c r="AI366" s="186"/>
      <c r="AJ366" s="186"/>
      <c r="AK366" s="186"/>
      <c r="AL366" s="186"/>
      <c r="AM366" s="186"/>
      <c r="AN366" s="48"/>
      <c r="AO366" s="48"/>
      <c r="AP366" s="48"/>
      <c r="AQ366" s="48"/>
      <c r="AR366" s="48"/>
      <c r="AS366" s="481"/>
      <c r="AT366" s="481"/>
      <c r="AU366" s="481"/>
      <c r="AV366" s="481"/>
      <c r="AW366" s="481"/>
      <c r="AX366" s="481"/>
      <c r="AY366" s="481"/>
      <c r="AZ366" s="481"/>
      <c r="BA366" s="481"/>
      <c r="BB366" s="481"/>
      <c r="BC366" s="481"/>
      <c r="BD366" s="481"/>
      <c r="BE366" s="481"/>
      <c r="BF366" s="481"/>
      <c r="BG366" s="481"/>
      <c r="BH366" s="481"/>
      <c r="BI366" s="481"/>
      <c r="BJ366" s="481"/>
      <c r="BK366" s="481"/>
      <c r="BL366" s="481"/>
      <c r="BM366" s="481"/>
      <c r="BN366" s="481"/>
      <c r="BO366" s="481"/>
      <c r="BP366" s="481"/>
      <c r="BQ366" s="481"/>
      <c r="BR366" s="481"/>
      <c r="BS366" s="481"/>
      <c r="BT366" s="481"/>
      <c r="BU366" s="481"/>
      <c r="BV366" s="481"/>
      <c r="BW366" s="481"/>
      <c r="BX366" s="481"/>
      <c r="BY366" s="481"/>
      <c r="BZ366" s="481"/>
      <c r="CA366" s="481"/>
      <c r="CB366" s="481"/>
      <c r="CC366" s="481"/>
      <c r="CD366" s="481"/>
      <c r="CE366" s="481"/>
      <c r="CF366" s="481"/>
      <c r="CG366" s="481"/>
      <c r="CH366" s="481"/>
      <c r="CI366" s="481"/>
      <c r="CJ366" s="481"/>
      <c r="CK366" s="481"/>
      <c r="CL366" s="481"/>
      <c r="CM366" s="481"/>
      <c r="CN366" s="481"/>
      <c r="CO366" s="481"/>
      <c r="CP366" s="481"/>
      <c r="CQ366" s="481"/>
      <c r="CR366" s="481"/>
      <c r="CS366" s="481"/>
      <c r="CT366" s="481"/>
      <c r="CU366" s="481"/>
      <c r="CV366" s="481"/>
      <c r="CW366" s="481"/>
      <c r="CX366" s="481"/>
      <c r="CY366" s="481"/>
      <c r="CZ366" s="481"/>
      <c r="DA366" s="481"/>
      <c r="DB366" s="481"/>
      <c r="DC366" s="481"/>
      <c r="DD366" s="481"/>
      <c r="DE366" s="481"/>
      <c r="DF366" s="481"/>
      <c r="DG366" s="481"/>
      <c r="DH366" s="481"/>
      <c r="DI366" s="481"/>
      <c r="DJ366" s="481"/>
      <c r="DK366" s="481"/>
      <c r="DL366" s="481"/>
      <c r="DM366" s="481"/>
      <c r="DN366" s="481"/>
      <c r="DO366" s="481"/>
      <c r="DP366" s="481"/>
      <c r="DQ366" s="481"/>
      <c r="DR366" s="481"/>
      <c r="DS366" s="481"/>
      <c r="DT366" s="481"/>
      <c r="DU366" s="481"/>
      <c r="DV366" s="481"/>
      <c r="DW366" s="481"/>
      <c r="DX366" s="481"/>
      <c r="DY366" s="481"/>
      <c r="DZ366" s="481"/>
      <c r="EA366" s="481"/>
      <c r="EB366" s="481"/>
      <c r="EC366" s="481"/>
      <c r="ED366" s="481"/>
      <c r="EE366" s="481"/>
      <c r="EF366" s="481"/>
      <c r="EG366" s="481"/>
      <c r="EH366" s="481"/>
      <c r="EI366" s="481"/>
      <c r="EJ366" s="481"/>
      <c r="EK366" s="481"/>
      <c r="EL366" s="481"/>
      <c r="EM366" s="481"/>
      <c r="EN366" s="481"/>
      <c r="EO366" s="481"/>
      <c r="EP366" s="481"/>
      <c r="EQ366" s="481"/>
      <c r="ER366" s="481"/>
      <c r="ES366" s="481"/>
      <c r="ET366" s="481"/>
      <c r="EU366" s="481"/>
      <c r="EV366" s="481"/>
      <c r="EW366" s="481"/>
      <c r="EX366" s="481"/>
      <c r="EY366" s="481"/>
      <c r="EZ366" s="481"/>
      <c r="FA366" s="481"/>
      <c r="FB366" s="481"/>
      <c r="FC366" s="481"/>
      <c r="FD366" s="481"/>
    </row>
    <row r="367" spans="1:160" ht="18" hidden="1" customHeight="1" x14ac:dyDescent="0.2">
      <c r="A367" s="186"/>
      <c r="B367" s="1687" t="s">
        <v>528</v>
      </c>
      <c r="C367" s="1688"/>
      <c r="D367" s="1601" t="str">
        <f>D354</f>
        <v>Gennaio</v>
      </c>
      <c r="E367" s="1602"/>
      <c r="F367" s="1602"/>
      <c r="G367" s="1601" t="str">
        <f>G354</f>
        <v>Febbraio</v>
      </c>
      <c r="H367" s="1602"/>
      <c r="I367" s="1602"/>
      <c r="J367" s="1601" t="str">
        <f>J354</f>
        <v>Marzo</v>
      </c>
      <c r="K367" s="1602"/>
      <c r="L367" s="1602"/>
      <c r="M367" s="1601" t="str">
        <f>M354</f>
        <v>Aprile</v>
      </c>
      <c r="N367" s="1602"/>
      <c r="O367" s="1602"/>
      <c r="P367" s="1601" t="str">
        <f>P354</f>
        <v>Maggio</v>
      </c>
      <c r="Q367" s="1602"/>
      <c r="R367" s="1602"/>
      <c r="S367" s="1601" t="str">
        <f>S354</f>
        <v>Giugno</v>
      </c>
      <c r="T367" s="1602"/>
      <c r="U367" s="1602"/>
      <c r="V367" s="1601" t="str">
        <f>V354</f>
        <v>Luglio</v>
      </c>
      <c r="W367" s="1602"/>
      <c r="X367" s="1603"/>
      <c r="Y367" s="1601" t="str">
        <f>Y354</f>
        <v>Agosto</v>
      </c>
      <c r="Z367" s="1602"/>
      <c r="AA367" s="1602"/>
      <c r="AB367" s="1601" t="str">
        <f>AB354</f>
        <v>Settembre</v>
      </c>
      <c r="AC367" s="1602"/>
      <c r="AD367" s="1602"/>
      <c r="AE367" s="1601" t="str">
        <f>AE354</f>
        <v>Ottobre</v>
      </c>
      <c r="AF367" s="1602"/>
      <c r="AG367" s="1602"/>
      <c r="AH367" s="1601" t="str">
        <f>AH354</f>
        <v>Novembre</v>
      </c>
      <c r="AI367" s="1602"/>
      <c r="AJ367" s="1602"/>
      <c r="AK367" s="1601" t="str">
        <f>AK354</f>
        <v>Dicembre</v>
      </c>
      <c r="AL367" s="1602"/>
      <c r="AM367" s="1603"/>
      <c r="AN367" s="48"/>
      <c r="AO367" s="48"/>
      <c r="AP367" s="48"/>
      <c r="AQ367" s="48"/>
      <c r="AR367" s="48"/>
      <c r="AS367" s="481"/>
      <c r="AT367" s="481"/>
      <c r="AU367" s="481"/>
      <c r="AV367" s="481"/>
      <c r="AW367" s="481"/>
      <c r="AX367" s="481"/>
      <c r="AY367" s="481"/>
      <c r="AZ367" s="481"/>
      <c r="BA367" s="481"/>
      <c r="BB367" s="481"/>
      <c r="BC367" s="481"/>
      <c r="BD367" s="481"/>
      <c r="BE367" s="481"/>
      <c r="BF367" s="481"/>
      <c r="BG367" s="481"/>
      <c r="BH367" s="481"/>
      <c r="BI367" s="481"/>
      <c r="BJ367" s="481"/>
      <c r="BK367" s="481"/>
      <c r="BL367" s="481"/>
      <c r="BM367" s="481"/>
      <c r="BN367" s="481"/>
      <c r="BO367" s="481"/>
      <c r="BP367" s="481"/>
      <c r="BQ367" s="481"/>
      <c r="BR367" s="481"/>
      <c r="BS367" s="481"/>
      <c r="BT367" s="481"/>
      <c r="BU367" s="481"/>
      <c r="BV367" s="481"/>
      <c r="BW367" s="481"/>
      <c r="BX367" s="481"/>
      <c r="BY367" s="481"/>
      <c r="BZ367" s="481"/>
      <c r="CA367" s="481"/>
      <c r="CB367" s="481"/>
      <c r="CC367" s="481"/>
      <c r="CD367" s="481"/>
      <c r="CE367" s="481"/>
      <c r="CF367" s="481"/>
      <c r="CG367" s="481"/>
      <c r="CH367" s="481"/>
      <c r="CI367" s="481"/>
      <c r="CJ367" s="481"/>
      <c r="CK367" s="481"/>
      <c r="CL367" s="481"/>
      <c r="CM367" s="481"/>
      <c r="CN367" s="481"/>
      <c r="CO367" s="481"/>
      <c r="CP367" s="481"/>
      <c r="CQ367" s="481"/>
      <c r="CR367" s="481"/>
      <c r="CS367" s="481"/>
      <c r="CT367" s="481"/>
      <c r="CU367" s="481"/>
      <c r="CV367" s="481"/>
      <c r="CW367" s="481"/>
      <c r="CX367" s="481"/>
      <c r="CY367" s="481"/>
      <c r="CZ367" s="481"/>
      <c r="DA367" s="481"/>
      <c r="DB367" s="481"/>
      <c r="DC367" s="481"/>
      <c r="DD367" s="481"/>
      <c r="DE367" s="481"/>
      <c r="DF367" s="481"/>
      <c r="DG367" s="481"/>
      <c r="DH367" s="481"/>
      <c r="DI367" s="481"/>
      <c r="DJ367" s="481"/>
      <c r="DK367" s="481"/>
      <c r="DL367" s="481"/>
      <c r="DM367" s="481"/>
      <c r="DN367" s="481"/>
      <c r="DO367" s="481"/>
      <c r="DP367" s="481"/>
      <c r="DQ367" s="481"/>
      <c r="DR367" s="481"/>
      <c r="DS367" s="481"/>
      <c r="DT367" s="481"/>
      <c r="DU367" s="481"/>
      <c r="DV367" s="481"/>
      <c r="DW367" s="481"/>
      <c r="DX367" s="481"/>
      <c r="DY367" s="481"/>
      <c r="DZ367" s="481"/>
      <c r="EA367" s="481"/>
      <c r="EB367" s="481"/>
      <c r="EC367" s="481"/>
      <c r="ED367" s="481"/>
      <c r="EE367" s="481"/>
      <c r="EF367" s="481"/>
      <c r="EG367" s="481"/>
      <c r="EH367" s="481"/>
      <c r="EI367" s="481"/>
      <c r="EJ367" s="481"/>
      <c r="EK367" s="481"/>
      <c r="EL367" s="481"/>
      <c r="EM367" s="481"/>
      <c r="EN367" s="481"/>
      <c r="EO367" s="481"/>
      <c r="EP367" s="481"/>
      <c r="EQ367" s="481"/>
      <c r="ER367" s="481"/>
      <c r="ES367" s="481"/>
      <c r="ET367" s="481"/>
      <c r="EU367" s="481"/>
      <c r="EV367" s="481"/>
      <c r="EW367" s="481"/>
      <c r="EX367" s="481"/>
      <c r="EY367" s="481"/>
      <c r="EZ367" s="481"/>
      <c r="FA367" s="481"/>
      <c r="FB367" s="481"/>
      <c r="FC367" s="481"/>
      <c r="FD367" s="481"/>
    </row>
    <row r="368" spans="1:160" ht="18" hidden="1" customHeight="1" x14ac:dyDescent="0.2">
      <c r="A368" s="186"/>
      <c r="B368" s="370">
        <f t="shared" ref="B368:B376" si="62">B355</f>
        <v>0</v>
      </c>
      <c r="C368" s="309" t="str">
        <f>C355</f>
        <v>01</v>
      </c>
      <c r="D368" s="1588">
        <f>SUMIF(GEN!$G$159:$J$159,$C368,GEN!$G$154:$J$154)</f>
        <v>0</v>
      </c>
      <c r="E368" s="1589"/>
      <c r="F368" s="1590"/>
      <c r="G368" s="1588">
        <f>SUMIF(FEB!$G$159:$J$159,$C368,FEB!$G$154:$J$154)</f>
        <v>0</v>
      </c>
      <c r="H368" s="1589"/>
      <c r="I368" s="1590"/>
      <c r="J368" s="1588">
        <f>SUMIF(MAR!$G$159:$J$159,$C368,MAR!$G$154:$J$154)</f>
        <v>0</v>
      </c>
      <c r="K368" s="1589"/>
      <c r="L368" s="1590"/>
      <c r="M368" s="1588">
        <f>SUMIF(APR!$G$159:$J$159,$C368,APR!$G$154:$J$154)</f>
        <v>0</v>
      </c>
      <c r="N368" s="1589"/>
      <c r="O368" s="1590"/>
      <c r="P368" s="1588">
        <f>SUMIF(MAG!$G$159:$J$159,$C368,MAG!$G$154:$J$154)</f>
        <v>0</v>
      </c>
      <c r="Q368" s="1589"/>
      <c r="R368" s="1590"/>
      <c r="S368" s="1588">
        <f>SUMIF(GIU!$G$159:$J$159,$C368,GIU!$G$154:$J$154)</f>
        <v>0</v>
      </c>
      <c r="T368" s="1589"/>
      <c r="U368" s="1590"/>
      <c r="V368" s="1588">
        <f>SUMIF(LUG!$G$159:$J$159,$C368,LUG!$G$154:$J$154)</f>
        <v>0</v>
      </c>
      <c r="W368" s="1589"/>
      <c r="X368" s="1590"/>
      <c r="Y368" s="1588">
        <f>SUMIF(AGO!$G$159:$J$159,$C368,AGO!$G$154:$J$154)</f>
        <v>0</v>
      </c>
      <c r="Z368" s="1589"/>
      <c r="AA368" s="1590"/>
      <c r="AB368" s="1588">
        <f>SUMIF(SET!$G$159:$J$159,$C368,SET!$G$154:$J$154)</f>
        <v>0</v>
      </c>
      <c r="AC368" s="1589"/>
      <c r="AD368" s="1590"/>
      <c r="AE368" s="1588">
        <f>SUMIF(OTT!$G$159:$J$159,$C368,OTT!$G$154:$J$154)</f>
        <v>0</v>
      </c>
      <c r="AF368" s="1589"/>
      <c r="AG368" s="1590"/>
      <c r="AH368" s="1588">
        <f>SUMIF(NOV!$G$159:$J$159,$C368,NOV!$G$154:$J$154)</f>
        <v>0</v>
      </c>
      <c r="AI368" s="1589"/>
      <c r="AJ368" s="1590"/>
      <c r="AK368" s="1588">
        <f>SUMIF(DIC!$G$159:$J$159,$C368,DIC!$G$154:$J$154)</f>
        <v>0</v>
      </c>
      <c r="AL368" s="1589"/>
      <c r="AM368" s="1590"/>
      <c r="AN368" s="1588">
        <f>SUM(D368:AM368)</f>
        <v>0</v>
      </c>
      <c r="AO368" s="1589"/>
      <c r="AP368" s="1590"/>
      <c r="AQ368" s="48"/>
      <c r="AR368" s="48"/>
      <c r="AS368" s="481"/>
      <c r="AT368" s="481"/>
      <c r="AU368" s="481"/>
      <c r="AV368" s="481"/>
      <c r="AW368" s="481"/>
      <c r="AX368" s="481"/>
      <c r="AY368" s="481"/>
      <c r="AZ368" s="481"/>
      <c r="BA368" s="481"/>
      <c r="BB368" s="481"/>
      <c r="BC368" s="481"/>
      <c r="BD368" s="481"/>
      <c r="BE368" s="481"/>
      <c r="BF368" s="481"/>
      <c r="BG368" s="481"/>
      <c r="BH368" s="481"/>
      <c r="BI368" s="481"/>
      <c r="BJ368" s="481"/>
      <c r="BK368" s="481"/>
      <c r="BL368" s="481"/>
      <c r="BM368" s="481"/>
      <c r="BN368" s="481"/>
      <c r="BO368" s="481"/>
      <c r="BP368" s="481"/>
      <c r="BQ368" s="481"/>
      <c r="BR368" s="481"/>
      <c r="BS368" s="481"/>
      <c r="BT368" s="481"/>
      <c r="BU368" s="481"/>
      <c r="BV368" s="481"/>
      <c r="BW368" s="481"/>
      <c r="BX368" s="481"/>
      <c r="BY368" s="481"/>
      <c r="BZ368" s="481"/>
      <c r="CA368" s="481"/>
      <c r="CB368" s="481"/>
      <c r="CC368" s="481"/>
      <c r="CD368" s="481"/>
      <c r="CE368" s="481"/>
      <c r="CF368" s="481"/>
      <c r="CG368" s="481"/>
      <c r="CH368" s="481"/>
      <c r="CI368" s="481"/>
      <c r="CJ368" s="481"/>
      <c r="CK368" s="481"/>
      <c r="CL368" s="481"/>
      <c r="CM368" s="481"/>
      <c r="CN368" s="481"/>
      <c r="CO368" s="481"/>
      <c r="CP368" s="481"/>
      <c r="CQ368" s="481"/>
      <c r="CR368" s="481"/>
      <c r="CS368" s="481"/>
      <c r="CT368" s="481"/>
      <c r="CU368" s="481"/>
      <c r="CV368" s="481"/>
      <c r="CW368" s="481"/>
      <c r="CX368" s="481"/>
      <c r="CY368" s="481"/>
      <c r="CZ368" s="481"/>
      <c r="DA368" s="481"/>
      <c r="DB368" s="481"/>
      <c r="DC368" s="481"/>
      <c r="DD368" s="481"/>
      <c r="DE368" s="481"/>
      <c r="DF368" s="481"/>
      <c r="DG368" s="481"/>
      <c r="DH368" s="481"/>
      <c r="DI368" s="481"/>
      <c r="DJ368" s="481"/>
      <c r="DK368" s="481"/>
      <c r="DL368" s="481"/>
      <c r="DM368" s="481"/>
      <c r="DN368" s="481"/>
      <c r="DO368" s="481"/>
      <c r="DP368" s="481"/>
      <c r="DQ368" s="481"/>
      <c r="DR368" s="481"/>
      <c r="DS368" s="481"/>
      <c r="DT368" s="481"/>
      <c r="DU368" s="481"/>
      <c r="DV368" s="481"/>
      <c r="DW368" s="481"/>
      <c r="DX368" s="481"/>
      <c r="DY368" s="481"/>
      <c r="DZ368" s="481"/>
      <c r="EA368" s="481"/>
      <c r="EB368" s="481"/>
      <c r="EC368" s="481"/>
      <c r="ED368" s="481"/>
      <c r="EE368" s="481"/>
      <c r="EF368" s="481"/>
      <c r="EG368" s="481"/>
      <c r="EH368" s="481"/>
      <c r="EI368" s="481"/>
      <c r="EJ368" s="481"/>
      <c r="EK368" s="481"/>
      <c r="EL368" s="481"/>
      <c r="EM368" s="481"/>
      <c r="EN368" s="481"/>
      <c r="EO368" s="481"/>
      <c r="EP368" s="481"/>
      <c r="EQ368" s="481"/>
      <c r="ER368" s="481"/>
      <c r="ES368" s="481"/>
      <c r="ET368" s="481"/>
      <c r="EU368" s="481"/>
      <c r="EV368" s="481"/>
      <c r="EW368" s="481"/>
      <c r="EX368" s="481"/>
      <c r="EY368" s="481"/>
      <c r="EZ368" s="481"/>
      <c r="FA368" s="481"/>
      <c r="FB368" s="481"/>
      <c r="FC368" s="481"/>
      <c r="FD368" s="481"/>
    </row>
    <row r="369" spans="1:160" ht="18" hidden="1" customHeight="1" x14ac:dyDescent="0.2">
      <c r="A369" s="186"/>
      <c r="B369" s="370">
        <f t="shared" si="62"/>
        <v>0</v>
      </c>
      <c r="C369" s="309" t="str">
        <f t="shared" ref="C369:C376" si="63">C356</f>
        <v>02</v>
      </c>
      <c r="D369" s="1588">
        <f>SUMIF(GEN!$G$159:$J$159,$C369,GEN!$G$154:$J$154)</f>
        <v>0</v>
      </c>
      <c r="E369" s="1589"/>
      <c r="F369" s="1590"/>
      <c r="G369" s="1588">
        <f>SUMIF(FEB!$G$159:$J$159,$C369,FEB!$G$154:$J$154)</f>
        <v>0</v>
      </c>
      <c r="H369" s="1589"/>
      <c r="I369" s="1590"/>
      <c r="J369" s="1588">
        <f>SUMIF(MAR!$G$159:$J$159,$C369,MAR!$G$154:$J$154)</f>
        <v>0</v>
      </c>
      <c r="K369" s="1589"/>
      <c r="L369" s="1590"/>
      <c r="M369" s="1588">
        <f>SUMIF(APR!$G$159:$J$159,$C369,APR!$G$154:$J$154)</f>
        <v>0</v>
      </c>
      <c r="N369" s="1589"/>
      <c r="O369" s="1590"/>
      <c r="P369" s="1588">
        <f>SUMIF(MAG!$G$159:$J$159,$C369,MAG!$G$154:$J$154)</f>
        <v>0</v>
      </c>
      <c r="Q369" s="1589"/>
      <c r="R369" s="1590"/>
      <c r="S369" s="1588">
        <f>SUMIF(GIU!$G$159:$J$159,$C369,GIU!$G$154:$J$154)</f>
        <v>0</v>
      </c>
      <c r="T369" s="1589"/>
      <c r="U369" s="1590"/>
      <c r="V369" s="1588">
        <f>SUMIF(LUG!$G$159:$J$159,$C369,LUG!$G$154:$J$154)</f>
        <v>0</v>
      </c>
      <c r="W369" s="1589"/>
      <c r="X369" s="1590"/>
      <c r="Y369" s="1588">
        <f>SUMIF(AGO!$G$159:$J$159,$C369,AGO!$G$154:$J$154)</f>
        <v>0</v>
      </c>
      <c r="Z369" s="1589"/>
      <c r="AA369" s="1590"/>
      <c r="AB369" s="1588">
        <f>SUMIF(SET!$G$159:$J$159,$C369,SET!$G$154:$J$154)</f>
        <v>0</v>
      </c>
      <c r="AC369" s="1589"/>
      <c r="AD369" s="1590"/>
      <c r="AE369" s="1588">
        <f>SUMIF(OTT!$G$159:$J$159,$C369,OTT!$G$154:$J$154)</f>
        <v>0</v>
      </c>
      <c r="AF369" s="1589"/>
      <c r="AG369" s="1590"/>
      <c r="AH369" s="1588">
        <f>SUMIF(NOV!$G$159:$J$159,$C369,NOV!$G$154:$J$154)</f>
        <v>0</v>
      </c>
      <c r="AI369" s="1589"/>
      <c r="AJ369" s="1590"/>
      <c r="AK369" s="1588">
        <f>SUMIF(DIC!$G$159:$J$159,$C369,DIC!$G$154:$J$154)</f>
        <v>0</v>
      </c>
      <c r="AL369" s="1589"/>
      <c r="AM369" s="1590"/>
      <c r="AN369" s="1588">
        <f t="shared" ref="AN369:AN375" si="64">SUM(D369:AM369)</f>
        <v>0</v>
      </c>
      <c r="AO369" s="1589"/>
      <c r="AP369" s="1590"/>
      <c r="AQ369" s="48"/>
      <c r="AR369" s="48"/>
      <c r="AS369" s="481"/>
      <c r="AT369" s="481"/>
      <c r="AU369" s="481"/>
      <c r="AV369" s="481"/>
      <c r="AW369" s="481"/>
      <c r="AX369" s="481"/>
      <c r="AY369" s="481"/>
      <c r="AZ369" s="481"/>
      <c r="BA369" s="481"/>
      <c r="BB369" s="481"/>
      <c r="BC369" s="481"/>
      <c r="BD369" s="481"/>
      <c r="BE369" s="481"/>
      <c r="BF369" s="481"/>
      <c r="BG369" s="481"/>
      <c r="BH369" s="481"/>
      <c r="BI369" s="481"/>
      <c r="BJ369" s="481"/>
      <c r="BK369" s="481"/>
      <c r="BL369" s="481"/>
      <c r="BM369" s="481"/>
      <c r="BN369" s="481"/>
      <c r="BO369" s="481"/>
      <c r="BP369" s="481"/>
      <c r="BQ369" s="481"/>
      <c r="BR369" s="481"/>
      <c r="BS369" s="481"/>
      <c r="BT369" s="481"/>
      <c r="BU369" s="481"/>
      <c r="BV369" s="481"/>
      <c r="BW369" s="481"/>
      <c r="BX369" s="481"/>
      <c r="BY369" s="481"/>
      <c r="BZ369" s="481"/>
      <c r="CA369" s="481"/>
      <c r="CB369" s="481"/>
      <c r="CC369" s="481"/>
      <c r="CD369" s="481"/>
      <c r="CE369" s="481"/>
      <c r="CF369" s="481"/>
      <c r="CG369" s="481"/>
      <c r="CH369" s="481"/>
      <c r="CI369" s="481"/>
      <c r="CJ369" s="481"/>
      <c r="CK369" s="481"/>
      <c r="CL369" s="481"/>
      <c r="CM369" s="481"/>
      <c r="CN369" s="481"/>
      <c r="CO369" s="481"/>
      <c r="CP369" s="481"/>
      <c r="CQ369" s="481"/>
      <c r="CR369" s="481"/>
      <c r="CS369" s="481"/>
      <c r="CT369" s="481"/>
      <c r="CU369" s="481"/>
      <c r="CV369" s="481"/>
      <c r="CW369" s="481"/>
      <c r="CX369" s="481"/>
      <c r="CY369" s="481"/>
      <c r="CZ369" s="481"/>
      <c r="DA369" s="481"/>
      <c r="DB369" s="481"/>
      <c r="DC369" s="481"/>
      <c r="DD369" s="481"/>
      <c r="DE369" s="481"/>
      <c r="DF369" s="481"/>
      <c r="DG369" s="481"/>
      <c r="DH369" s="481"/>
      <c r="DI369" s="481"/>
      <c r="DJ369" s="481"/>
      <c r="DK369" s="481"/>
      <c r="DL369" s="481"/>
      <c r="DM369" s="481"/>
      <c r="DN369" s="481"/>
      <c r="DO369" s="481"/>
      <c r="DP369" s="481"/>
      <c r="DQ369" s="481"/>
      <c r="DR369" s="481"/>
      <c r="DS369" s="481"/>
      <c r="DT369" s="481"/>
      <c r="DU369" s="481"/>
      <c r="DV369" s="481"/>
      <c r="DW369" s="481"/>
      <c r="DX369" s="481"/>
      <c r="DY369" s="481"/>
      <c r="DZ369" s="481"/>
      <c r="EA369" s="481"/>
      <c r="EB369" s="481"/>
      <c r="EC369" s="481"/>
      <c r="ED369" s="481"/>
      <c r="EE369" s="481"/>
      <c r="EF369" s="481"/>
      <c r="EG369" s="481"/>
      <c r="EH369" s="481"/>
      <c r="EI369" s="481"/>
      <c r="EJ369" s="481"/>
      <c r="EK369" s="481"/>
      <c r="EL369" s="481"/>
      <c r="EM369" s="481"/>
      <c r="EN369" s="481"/>
      <c r="EO369" s="481"/>
      <c r="EP369" s="481"/>
      <c r="EQ369" s="481"/>
      <c r="ER369" s="481"/>
      <c r="ES369" s="481"/>
      <c r="ET369" s="481"/>
      <c r="EU369" s="481"/>
      <c r="EV369" s="481"/>
      <c r="EW369" s="481"/>
      <c r="EX369" s="481"/>
      <c r="EY369" s="481"/>
      <c r="EZ369" s="481"/>
      <c r="FA369" s="481"/>
      <c r="FB369" s="481"/>
      <c r="FC369" s="481"/>
      <c r="FD369" s="481"/>
    </row>
    <row r="370" spans="1:160" ht="18" hidden="1" customHeight="1" x14ac:dyDescent="0.2">
      <c r="A370" s="186"/>
      <c r="B370" s="370">
        <f t="shared" si="62"/>
        <v>0</v>
      </c>
      <c r="C370" s="309" t="str">
        <f t="shared" si="63"/>
        <v>03</v>
      </c>
      <c r="D370" s="1588">
        <f>SUMIF(GEN!$G$159:$J$159,$C370,GEN!$G$154:$J$154)</f>
        <v>0</v>
      </c>
      <c r="E370" s="1589"/>
      <c r="F370" s="1590"/>
      <c r="G370" s="1588">
        <f>SUMIF(FEB!$G$159:$J$159,$C370,FEB!$G$154:$J$154)</f>
        <v>0</v>
      </c>
      <c r="H370" s="1589"/>
      <c r="I370" s="1590"/>
      <c r="J370" s="1588">
        <f>SUMIF(MAR!$G$159:$J$159,$C370,MAR!$G$154:$J$154)</f>
        <v>0</v>
      </c>
      <c r="K370" s="1589"/>
      <c r="L370" s="1590"/>
      <c r="M370" s="1588">
        <f>SUMIF(APR!$G$159:$J$159,$C370,APR!$G$154:$J$154)</f>
        <v>0</v>
      </c>
      <c r="N370" s="1589"/>
      <c r="O370" s="1590"/>
      <c r="P370" s="1588">
        <f>SUMIF(MAG!$G$159:$J$159,$C370,MAG!$G$154:$J$154)</f>
        <v>0</v>
      </c>
      <c r="Q370" s="1589"/>
      <c r="R370" s="1590"/>
      <c r="S370" s="1588">
        <f>SUMIF(GIU!$G$159:$J$159,$C370,GIU!$G$154:$J$154)</f>
        <v>0</v>
      </c>
      <c r="T370" s="1589"/>
      <c r="U370" s="1590"/>
      <c r="V370" s="1588">
        <f>SUMIF(LUG!$G$159:$J$159,$C370,LUG!$G$154:$J$154)</f>
        <v>0</v>
      </c>
      <c r="W370" s="1589"/>
      <c r="X370" s="1590"/>
      <c r="Y370" s="1588">
        <f>SUMIF(AGO!$G$159:$J$159,$C370,AGO!$G$154:$J$154)</f>
        <v>0</v>
      </c>
      <c r="Z370" s="1589"/>
      <c r="AA370" s="1590"/>
      <c r="AB370" s="1588">
        <f>SUMIF(SET!$G$159:$J$159,$C370,SET!$G$154:$J$154)</f>
        <v>0</v>
      </c>
      <c r="AC370" s="1589"/>
      <c r="AD370" s="1590"/>
      <c r="AE370" s="1588">
        <f>SUMIF(OTT!$G$159:$J$159,$C370,OTT!$G$154:$J$154)</f>
        <v>0</v>
      </c>
      <c r="AF370" s="1589"/>
      <c r="AG370" s="1590"/>
      <c r="AH370" s="1588">
        <f>SUMIF(NOV!$G$159:$J$159,$C370,NOV!$G$154:$J$154)</f>
        <v>0</v>
      </c>
      <c r="AI370" s="1589"/>
      <c r="AJ370" s="1590"/>
      <c r="AK370" s="1588">
        <f>SUMIF(DIC!$G$159:$J$159,$C370,DIC!$G$154:$J$154)</f>
        <v>0</v>
      </c>
      <c r="AL370" s="1589"/>
      <c r="AM370" s="1590"/>
      <c r="AN370" s="1588">
        <f t="shared" si="64"/>
        <v>0</v>
      </c>
      <c r="AO370" s="1589"/>
      <c r="AP370" s="1590"/>
      <c r="AQ370" s="48"/>
      <c r="AR370" s="48"/>
      <c r="AS370" s="481"/>
      <c r="AT370" s="481"/>
      <c r="AU370" s="481"/>
      <c r="AV370" s="481"/>
      <c r="AW370" s="481"/>
      <c r="AX370" s="481"/>
      <c r="AY370" s="481"/>
      <c r="AZ370" s="481"/>
      <c r="BA370" s="481"/>
      <c r="BB370" s="481"/>
      <c r="BC370" s="481"/>
      <c r="BD370" s="481"/>
      <c r="BE370" s="481"/>
      <c r="BF370" s="481"/>
      <c r="BG370" s="481"/>
      <c r="BH370" s="481"/>
      <c r="BI370" s="481"/>
      <c r="BJ370" s="481"/>
      <c r="BK370" s="481"/>
      <c r="BL370" s="481"/>
      <c r="BM370" s="481"/>
      <c r="BN370" s="481"/>
      <c r="BO370" s="481"/>
      <c r="BP370" s="481"/>
      <c r="BQ370" s="481"/>
      <c r="BR370" s="481"/>
      <c r="BS370" s="481"/>
      <c r="BT370" s="481"/>
      <c r="BU370" s="481"/>
      <c r="BV370" s="481"/>
      <c r="BW370" s="481"/>
      <c r="BX370" s="481"/>
      <c r="BY370" s="481"/>
      <c r="BZ370" s="481"/>
      <c r="CA370" s="481"/>
      <c r="CB370" s="481"/>
      <c r="CC370" s="481"/>
      <c r="CD370" s="481"/>
      <c r="CE370" s="481"/>
      <c r="CF370" s="481"/>
      <c r="CG370" s="481"/>
      <c r="CH370" s="481"/>
      <c r="CI370" s="481"/>
      <c r="CJ370" s="481"/>
      <c r="CK370" s="481"/>
      <c r="CL370" s="481"/>
      <c r="CM370" s="481"/>
      <c r="CN370" s="481"/>
      <c r="CO370" s="481"/>
      <c r="CP370" s="481"/>
      <c r="CQ370" s="481"/>
      <c r="CR370" s="481"/>
      <c r="CS370" s="481"/>
      <c r="CT370" s="481"/>
      <c r="CU370" s="481"/>
      <c r="CV370" s="481"/>
      <c r="CW370" s="481"/>
      <c r="CX370" s="481"/>
      <c r="CY370" s="481"/>
      <c r="CZ370" s="481"/>
      <c r="DA370" s="481"/>
      <c r="DB370" s="481"/>
      <c r="DC370" s="481"/>
      <c r="DD370" s="481"/>
      <c r="DE370" s="481"/>
      <c r="DF370" s="481"/>
      <c r="DG370" s="481"/>
      <c r="DH370" s="481"/>
      <c r="DI370" s="481"/>
      <c r="DJ370" s="481"/>
      <c r="DK370" s="481"/>
      <c r="DL370" s="481"/>
      <c r="DM370" s="481"/>
      <c r="DN370" s="481"/>
      <c r="DO370" s="481"/>
      <c r="DP370" s="481"/>
      <c r="DQ370" s="481"/>
      <c r="DR370" s="481"/>
      <c r="DS370" s="481"/>
      <c r="DT370" s="481"/>
      <c r="DU370" s="481"/>
      <c r="DV370" s="481"/>
      <c r="DW370" s="481"/>
      <c r="DX370" s="481"/>
      <c r="DY370" s="481"/>
      <c r="DZ370" s="481"/>
      <c r="EA370" s="481"/>
      <c r="EB370" s="481"/>
      <c r="EC370" s="481"/>
      <c r="ED370" s="481"/>
      <c r="EE370" s="481"/>
      <c r="EF370" s="481"/>
      <c r="EG370" s="481"/>
      <c r="EH370" s="481"/>
      <c r="EI370" s="481"/>
      <c r="EJ370" s="481"/>
      <c r="EK370" s="481"/>
      <c r="EL370" s="481"/>
      <c r="EM370" s="481"/>
      <c r="EN370" s="481"/>
      <c r="EO370" s="481"/>
      <c r="EP370" s="481"/>
      <c r="EQ370" s="481"/>
      <c r="ER370" s="481"/>
      <c r="ES370" s="481"/>
      <c r="ET370" s="481"/>
      <c r="EU370" s="481"/>
      <c r="EV370" s="481"/>
      <c r="EW370" s="481"/>
      <c r="EX370" s="481"/>
      <c r="EY370" s="481"/>
      <c r="EZ370" s="481"/>
      <c r="FA370" s="481"/>
      <c r="FB370" s="481"/>
      <c r="FC370" s="481"/>
      <c r="FD370" s="481"/>
    </row>
    <row r="371" spans="1:160" ht="18" hidden="1" customHeight="1" x14ac:dyDescent="0.2">
      <c r="A371" s="186"/>
      <c r="B371" s="370">
        <f t="shared" si="62"/>
        <v>0</v>
      </c>
      <c r="C371" s="309" t="str">
        <f t="shared" si="63"/>
        <v>04</v>
      </c>
      <c r="D371" s="1588">
        <f>SUMIF(GEN!$G$159:$J$159,$C371,GEN!$G$154:$J$154)</f>
        <v>0</v>
      </c>
      <c r="E371" s="1589"/>
      <c r="F371" s="1590"/>
      <c r="G371" s="1588">
        <f>SUMIF(FEB!$G$159:$J$159,$C371,FEB!$G$154:$J$154)</f>
        <v>0</v>
      </c>
      <c r="H371" s="1589"/>
      <c r="I371" s="1590"/>
      <c r="J371" s="1588">
        <f>SUMIF(MAR!$G$159:$J$159,$C371,MAR!$G$154:$J$154)</f>
        <v>0</v>
      </c>
      <c r="K371" s="1589"/>
      <c r="L371" s="1590"/>
      <c r="M371" s="1588">
        <f>SUMIF(APR!$G$159:$J$159,$C371,APR!$G$154:$J$154)</f>
        <v>0</v>
      </c>
      <c r="N371" s="1589"/>
      <c r="O371" s="1590"/>
      <c r="P371" s="1588">
        <f>SUMIF(MAG!$G$159:$J$159,$C371,MAG!$G$154:$J$154)</f>
        <v>0</v>
      </c>
      <c r="Q371" s="1589"/>
      <c r="R371" s="1590"/>
      <c r="S371" s="1588">
        <f>SUMIF(GIU!$G$159:$J$159,$C371,GIU!$G$154:$J$154)</f>
        <v>0</v>
      </c>
      <c r="T371" s="1589"/>
      <c r="U371" s="1590"/>
      <c r="V371" s="1588">
        <f>SUMIF(LUG!$G$159:$J$159,$C371,LUG!$G$154:$J$154)</f>
        <v>0</v>
      </c>
      <c r="W371" s="1589"/>
      <c r="X371" s="1590"/>
      <c r="Y371" s="1588">
        <f>SUMIF(AGO!$G$159:$J$159,$C371,AGO!$G$154:$J$154)</f>
        <v>0</v>
      </c>
      <c r="Z371" s="1589"/>
      <c r="AA371" s="1590"/>
      <c r="AB371" s="1588">
        <f>SUMIF(SET!$G$159:$J$159,$C371,SET!$G$154:$J$154)</f>
        <v>0</v>
      </c>
      <c r="AC371" s="1589"/>
      <c r="AD371" s="1590"/>
      <c r="AE371" s="1588">
        <f>SUMIF(OTT!$G$159:$J$159,$C371,OTT!$G$154:$J$154)</f>
        <v>0</v>
      </c>
      <c r="AF371" s="1589"/>
      <c r="AG371" s="1590"/>
      <c r="AH371" s="1588">
        <f>SUMIF(NOV!$G$159:$J$159,$C371,NOV!$G$154:$J$154)</f>
        <v>0</v>
      </c>
      <c r="AI371" s="1589"/>
      <c r="AJ371" s="1590"/>
      <c r="AK371" s="1588">
        <f>SUMIF(DIC!$G$159:$J$159,$C371,DIC!$G$154:$J$154)</f>
        <v>0</v>
      </c>
      <c r="AL371" s="1589"/>
      <c r="AM371" s="1590"/>
      <c r="AN371" s="1588">
        <f t="shared" si="64"/>
        <v>0</v>
      </c>
      <c r="AO371" s="1589"/>
      <c r="AP371" s="1590"/>
      <c r="AQ371" s="48"/>
      <c r="AR371" s="48"/>
      <c r="AS371" s="481"/>
      <c r="AT371" s="481"/>
      <c r="AU371" s="481"/>
      <c r="AV371" s="481"/>
      <c r="AW371" s="481"/>
      <c r="AX371" s="481"/>
      <c r="AY371" s="481"/>
      <c r="AZ371" s="481"/>
      <c r="BA371" s="481"/>
      <c r="BB371" s="481"/>
      <c r="BC371" s="481"/>
      <c r="BD371" s="481"/>
      <c r="BE371" s="481"/>
      <c r="BF371" s="481"/>
      <c r="BG371" s="481"/>
      <c r="BH371" s="481"/>
      <c r="BI371" s="481"/>
      <c r="BJ371" s="481"/>
      <c r="BK371" s="481"/>
      <c r="BL371" s="481"/>
      <c r="BM371" s="481"/>
      <c r="BN371" s="481"/>
      <c r="BO371" s="481"/>
      <c r="BP371" s="481"/>
      <c r="BQ371" s="481"/>
      <c r="BR371" s="481"/>
      <c r="BS371" s="481"/>
      <c r="BT371" s="481"/>
      <c r="BU371" s="481"/>
      <c r="BV371" s="481"/>
      <c r="BW371" s="481"/>
      <c r="BX371" s="481"/>
      <c r="BY371" s="481"/>
      <c r="BZ371" s="481"/>
      <c r="CA371" s="481"/>
      <c r="CB371" s="481"/>
      <c r="CC371" s="481"/>
      <c r="CD371" s="481"/>
      <c r="CE371" s="481"/>
      <c r="CF371" s="481"/>
      <c r="CG371" s="481"/>
      <c r="CH371" s="481"/>
      <c r="CI371" s="481"/>
      <c r="CJ371" s="481"/>
      <c r="CK371" s="481"/>
      <c r="CL371" s="481"/>
      <c r="CM371" s="481"/>
      <c r="CN371" s="481"/>
      <c r="CO371" s="481"/>
      <c r="CP371" s="481"/>
      <c r="CQ371" s="481"/>
      <c r="CR371" s="481"/>
      <c r="CS371" s="481"/>
      <c r="CT371" s="481"/>
      <c r="CU371" s="481"/>
      <c r="CV371" s="481"/>
      <c r="CW371" s="481"/>
      <c r="CX371" s="481"/>
      <c r="CY371" s="481"/>
      <c r="CZ371" s="481"/>
      <c r="DA371" s="481"/>
      <c r="DB371" s="481"/>
      <c r="DC371" s="481"/>
      <c r="DD371" s="481"/>
      <c r="DE371" s="481"/>
      <c r="DF371" s="481"/>
      <c r="DG371" s="481"/>
      <c r="DH371" s="481"/>
      <c r="DI371" s="481"/>
      <c r="DJ371" s="481"/>
      <c r="DK371" s="481"/>
      <c r="DL371" s="481"/>
      <c r="DM371" s="481"/>
      <c r="DN371" s="481"/>
      <c r="DO371" s="481"/>
      <c r="DP371" s="481"/>
      <c r="DQ371" s="481"/>
      <c r="DR371" s="481"/>
      <c r="DS371" s="481"/>
      <c r="DT371" s="481"/>
      <c r="DU371" s="481"/>
      <c r="DV371" s="481"/>
      <c r="DW371" s="481"/>
      <c r="DX371" s="481"/>
      <c r="DY371" s="481"/>
      <c r="DZ371" s="481"/>
      <c r="EA371" s="481"/>
      <c r="EB371" s="481"/>
      <c r="EC371" s="481"/>
      <c r="ED371" s="481"/>
      <c r="EE371" s="481"/>
      <c r="EF371" s="481"/>
      <c r="EG371" s="481"/>
      <c r="EH371" s="481"/>
      <c r="EI371" s="481"/>
      <c r="EJ371" s="481"/>
      <c r="EK371" s="481"/>
      <c r="EL371" s="481"/>
      <c r="EM371" s="481"/>
      <c r="EN371" s="481"/>
      <c r="EO371" s="481"/>
      <c r="EP371" s="481"/>
      <c r="EQ371" s="481"/>
      <c r="ER371" s="481"/>
      <c r="ES371" s="481"/>
      <c r="ET371" s="481"/>
      <c r="EU371" s="481"/>
      <c r="EV371" s="481"/>
      <c r="EW371" s="481"/>
      <c r="EX371" s="481"/>
      <c r="EY371" s="481"/>
      <c r="EZ371" s="481"/>
      <c r="FA371" s="481"/>
      <c r="FB371" s="481"/>
      <c r="FC371" s="481"/>
      <c r="FD371" s="481"/>
    </row>
    <row r="372" spans="1:160" ht="18" hidden="1" customHeight="1" x14ac:dyDescent="0.2">
      <c r="A372" s="186"/>
      <c r="B372" s="370">
        <f t="shared" si="62"/>
        <v>0</v>
      </c>
      <c r="C372" s="309" t="str">
        <f t="shared" si="63"/>
        <v>05</v>
      </c>
      <c r="D372" s="1588">
        <f>SUMIF(GEN!$G$159:$J$159,$C372,GEN!$G$154:$J$154)</f>
        <v>0</v>
      </c>
      <c r="E372" s="1589"/>
      <c r="F372" s="1590"/>
      <c r="G372" s="1588">
        <f>SUMIF(FEB!$G$159:$J$159,$C372,FEB!$G$154:$J$154)</f>
        <v>0</v>
      </c>
      <c r="H372" s="1589"/>
      <c r="I372" s="1590"/>
      <c r="J372" s="1588">
        <f>SUMIF(MAR!$G$159:$J$159,$C372,MAR!$G$154:$J$154)</f>
        <v>0</v>
      </c>
      <c r="K372" s="1589"/>
      <c r="L372" s="1590"/>
      <c r="M372" s="1588">
        <f>SUMIF(APR!$G$159:$J$159,$C372,APR!$G$154:$J$154)</f>
        <v>0</v>
      </c>
      <c r="N372" s="1589"/>
      <c r="O372" s="1590"/>
      <c r="P372" s="1588">
        <f>SUMIF(MAG!$G$159:$J$159,$C372,MAG!$G$154:$J$154)</f>
        <v>0</v>
      </c>
      <c r="Q372" s="1589"/>
      <c r="R372" s="1590"/>
      <c r="S372" s="1588">
        <f>SUMIF(GIU!$G$159:$J$159,$C372,GIU!$G$154:$J$154)</f>
        <v>0</v>
      </c>
      <c r="T372" s="1589"/>
      <c r="U372" s="1590"/>
      <c r="V372" s="1588">
        <f>SUMIF(LUG!$G$159:$J$159,$C372,LUG!$G$154:$J$154)</f>
        <v>0</v>
      </c>
      <c r="W372" s="1589"/>
      <c r="X372" s="1590"/>
      <c r="Y372" s="1588">
        <f>SUMIF(AGO!$G$159:$J$159,$C372,AGO!$G$154:$J$154)</f>
        <v>0</v>
      </c>
      <c r="Z372" s="1589"/>
      <c r="AA372" s="1590"/>
      <c r="AB372" s="1588">
        <f>SUMIF(SET!$G$159:$J$159,$C372,SET!$G$154:$J$154)</f>
        <v>0</v>
      </c>
      <c r="AC372" s="1589"/>
      <c r="AD372" s="1590"/>
      <c r="AE372" s="1588">
        <f>SUMIF(OTT!$G$159:$J$159,$C372,OTT!$G$154:$J$154)</f>
        <v>0</v>
      </c>
      <c r="AF372" s="1589"/>
      <c r="AG372" s="1590"/>
      <c r="AH372" s="1588">
        <f>SUMIF(NOV!$G$159:$J$159,$C372,NOV!$G$154:$J$154)</f>
        <v>0</v>
      </c>
      <c r="AI372" s="1589"/>
      <c r="AJ372" s="1590"/>
      <c r="AK372" s="1588">
        <f>SUMIF(DIC!$G$159:$J$159,$C372,DIC!$G$154:$J$154)</f>
        <v>0</v>
      </c>
      <c r="AL372" s="1589"/>
      <c r="AM372" s="1590"/>
      <c r="AN372" s="1588">
        <f t="shared" si="64"/>
        <v>0</v>
      </c>
      <c r="AO372" s="1589"/>
      <c r="AP372" s="1590"/>
      <c r="AQ372" s="48"/>
      <c r="AR372" s="48"/>
      <c r="AS372" s="481"/>
      <c r="AT372" s="481"/>
      <c r="AU372" s="481"/>
      <c r="AV372" s="481"/>
      <c r="AW372" s="481"/>
      <c r="AX372" s="481"/>
      <c r="AY372" s="481"/>
      <c r="AZ372" s="481"/>
      <c r="BA372" s="481"/>
      <c r="BB372" s="481"/>
      <c r="BC372" s="481"/>
      <c r="BD372" s="481"/>
      <c r="BE372" s="481"/>
      <c r="BF372" s="481"/>
      <c r="BG372" s="481"/>
      <c r="BH372" s="481"/>
      <c r="BI372" s="481"/>
      <c r="BJ372" s="481"/>
      <c r="BK372" s="481"/>
      <c r="BL372" s="481"/>
      <c r="BM372" s="481"/>
      <c r="BN372" s="481"/>
      <c r="BO372" s="481"/>
      <c r="BP372" s="481"/>
      <c r="BQ372" s="481"/>
      <c r="BR372" s="481"/>
      <c r="BS372" s="481"/>
      <c r="BT372" s="481"/>
      <c r="BU372" s="481"/>
      <c r="BV372" s="481"/>
      <c r="BW372" s="481"/>
      <c r="BX372" s="481"/>
      <c r="BY372" s="481"/>
      <c r="BZ372" s="481"/>
      <c r="CA372" s="481"/>
      <c r="CB372" s="481"/>
      <c r="CC372" s="481"/>
      <c r="CD372" s="481"/>
      <c r="CE372" s="481"/>
      <c r="CF372" s="481"/>
      <c r="CG372" s="481"/>
      <c r="CH372" s="481"/>
      <c r="CI372" s="481"/>
      <c r="CJ372" s="481"/>
      <c r="CK372" s="481"/>
      <c r="CL372" s="481"/>
      <c r="CM372" s="481"/>
      <c r="CN372" s="481"/>
      <c r="CO372" s="481"/>
      <c r="CP372" s="481"/>
      <c r="CQ372" s="481"/>
      <c r="CR372" s="481"/>
      <c r="CS372" s="481"/>
      <c r="CT372" s="481"/>
      <c r="CU372" s="481"/>
      <c r="CV372" s="481"/>
      <c r="CW372" s="481"/>
      <c r="CX372" s="481"/>
      <c r="CY372" s="481"/>
      <c r="CZ372" s="481"/>
      <c r="DA372" s="481"/>
      <c r="DB372" s="481"/>
      <c r="DC372" s="481"/>
      <c r="DD372" s="481"/>
      <c r="DE372" s="481"/>
      <c r="DF372" s="481"/>
      <c r="DG372" s="481"/>
      <c r="DH372" s="481"/>
      <c r="DI372" s="481"/>
      <c r="DJ372" s="481"/>
      <c r="DK372" s="481"/>
      <c r="DL372" s="481"/>
      <c r="DM372" s="481"/>
      <c r="DN372" s="481"/>
      <c r="DO372" s="481"/>
      <c r="DP372" s="481"/>
      <c r="DQ372" s="481"/>
      <c r="DR372" s="481"/>
      <c r="DS372" s="481"/>
      <c r="DT372" s="481"/>
      <c r="DU372" s="481"/>
      <c r="DV372" s="481"/>
      <c r="DW372" s="481"/>
      <c r="DX372" s="481"/>
      <c r="DY372" s="481"/>
      <c r="DZ372" s="481"/>
      <c r="EA372" s="481"/>
      <c r="EB372" s="481"/>
      <c r="EC372" s="481"/>
      <c r="ED372" s="481"/>
      <c r="EE372" s="481"/>
      <c r="EF372" s="481"/>
      <c r="EG372" s="481"/>
      <c r="EH372" s="481"/>
      <c r="EI372" s="481"/>
      <c r="EJ372" s="481"/>
      <c r="EK372" s="481"/>
      <c r="EL372" s="481"/>
      <c r="EM372" s="481"/>
      <c r="EN372" s="481"/>
      <c r="EO372" s="481"/>
      <c r="EP372" s="481"/>
      <c r="EQ372" s="481"/>
      <c r="ER372" s="481"/>
      <c r="ES372" s="481"/>
      <c r="ET372" s="481"/>
      <c r="EU372" s="481"/>
      <c r="EV372" s="481"/>
      <c r="EW372" s="481"/>
      <c r="EX372" s="481"/>
      <c r="EY372" s="481"/>
      <c r="EZ372" s="481"/>
      <c r="FA372" s="481"/>
      <c r="FB372" s="481"/>
      <c r="FC372" s="481"/>
      <c r="FD372" s="481"/>
    </row>
    <row r="373" spans="1:160" ht="18" hidden="1" customHeight="1" x14ac:dyDescent="0.2">
      <c r="A373" s="186"/>
      <c r="B373" s="370">
        <f t="shared" si="62"/>
        <v>0</v>
      </c>
      <c r="C373" s="309" t="str">
        <f t="shared" si="63"/>
        <v>06</v>
      </c>
      <c r="D373" s="1588">
        <f>SUMIF(GEN!$G$159:$J$159,$C373,GEN!$G$154:$J$154)</f>
        <v>0</v>
      </c>
      <c r="E373" s="1589"/>
      <c r="F373" s="1590"/>
      <c r="G373" s="1588">
        <f>SUMIF(FEB!$G$159:$J$159,$C373,FEB!$G$154:$J$154)</f>
        <v>0</v>
      </c>
      <c r="H373" s="1589"/>
      <c r="I373" s="1590"/>
      <c r="J373" s="1588">
        <f>SUMIF(MAR!$G$159:$J$159,$C373,MAR!$G$154:$J$154)</f>
        <v>0</v>
      </c>
      <c r="K373" s="1589"/>
      <c r="L373" s="1590"/>
      <c r="M373" s="1588">
        <f>SUMIF(APR!$G$159:$J$159,$C373,APR!$G$154:$J$154)</f>
        <v>0</v>
      </c>
      <c r="N373" s="1589"/>
      <c r="O373" s="1590"/>
      <c r="P373" s="1588">
        <f>SUMIF(MAG!$G$159:$J$159,$C373,MAG!$G$154:$J$154)</f>
        <v>0</v>
      </c>
      <c r="Q373" s="1589"/>
      <c r="R373" s="1590"/>
      <c r="S373" s="1588">
        <f>SUMIF(GIU!$G$159:$J$159,$C373,GIU!$G$154:$J$154)</f>
        <v>0</v>
      </c>
      <c r="T373" s="1589"/>
      <c r="U373" s="1590"/>
      <c r="V373" s="1588">
        <f>SUMIF(LUG!$G$159:$J$159,$C373,LUG!$G$154:$J$154)</f>
        <v>0</v>
      </c>
      <c r="W373" s="1589"/>
      <c r="X373" s="1590"/>
      <c r="Y373" s="1588">
        <f>SUMIF(AGO!$G$159:$J$159,$C373,AGO!$G$154:$J$154)</f>
        <v>0</v>
      </c>
      <c r="Z373" s="1589"/>
      <c r="AA373" s="1590"/>
      <c r="AB373" s="1588">
        <f>SUMIF(SET!$G$159:$J$159,$C373,SET!$G$154:$J$154)</f>
        <v>0</v>
      </c>
      <c r="AC373" s="1589"/>
      <c r="AD373" s="1590"/>
      <c r="AE373" s="1588">
        <f>SUMIF(OTT!$G$159:$J$159,$C373,OTT!$G$154:$J$154)</f>
        <v>0</v>
      </c>
      <c r="AF373" s="1589"/>
      <c r="AG373" s="1590"/>
      <c r="AH373" s="1588">
        <f>SUMIF(NOV!$G$159:$J$159,$C373,NOV!$G$154:$J$154)</f>
        <v>0</v>
      </c>
      <c r="AI373" s="1589"/>
      <c r="AJ373" s="1590"/>
      <c r="AK373" s="1588">
        <f>SUMIF(DIC!$G$159:$J$159,$C373,DIC!$G$154:$J$154)</f>
        <v>0</v>
      </c>
      <c r="AL373" s="1589"/>
      <c r="AM373" s="1590"/>
      <c r="AN373" s="1588">
        <f t="shared" si="64"/>
        <v>0</v>
      </c>
      <c r="AO373" s="1589"/>
      <c r="AP373" s="1590"/>
      <c r="AQ373" s="48"/>
      <c r="AR373" s="48"/>
      <c r="AS373" s="481"/>
      <c r="AT373" s="481"/>
      <c r="AU373" s="481"/>
      <c r="AV373" s="481"/>
      <c r="AW373" s="481"/>
      <c r="AX373" s="481"/>
      <c r="AY373" s="481"/>
      <c r="AZ373" s="481"/>
      <c r="BA373" s="481"/>
      <c r="BB373" s="481"/>
      <c r="BC373" s="481"/>
      <c r="BD373" s="481"/>
      <c r="BE373" s="481"/>
      <c r="BF373" s="481"/>
      <c r="BG373" s="481"/>
      <c r="BH373" s="481"/>
      <c r="BI373" s="481"/>
      <c r="BJ373" s="481"/>
      <c r="BK373" s="481"/>
      <c r="BL373" s="481"/>
      <c r="BM373" s="481"/>
      <c r="BN373" s="481"/>
      <c r="BO373" s="481"/>
      <c r="BP373" s="481"/>
      <c r="BQ373" s="481"/>
      <c r="BR373" s="481"/>
      <c r="BS373" s="481"/>
      <c r="BT373" s="481"/>
      <c r="BU373" s="481"/>
      <c r="BV373" s="481"/>
      <c r="BW373" s="481"/>
      <c r="BX373" s="481"/>
      <c r="BY373" s="481"/>
      <c r="BZ373" s="481"/>
      <c r="CA373" s="481"/>
      <c r="CB373" s="481"/>
      <c r="CC373" s="481"/>
      <c r="CD373" s="481"/>
      <c r="CE373" s="481"/>
      <c r="CF373" s="481"/>
      <c r="CG373" s="481"/>
      <c r="CH373" s="481"/>
      <c r="CI373" s="481"/>
      <c r="CJ373" s="481"/>
      <c r="CK373" s="481"/>
      <c r="CL373" s="481"/>
      <c r="CM373" s="481"/>
      <c r="CN373" s="481"/>
      <c r="CO373" s="481"/>
      <c r="CP373" s="481"/>
      <c r="CQ373" s="481"/>
      <c r="CR373" s="481"/>
      <c r="CS373" s="481"/>
      <c r="CT373" s="481"/>
      <c r="CU373" s="481"/>
      <c r="CV373" s="481"/>
      <c r="CW373" s="481"/>
      <c r="CX373" s="481"/>
      <c r="CY373" s="481"/>
      <c r="CZ373" s="481"/>
      <c r="DA373" s="481"/>
      <c r="DB373" s="481"/>
      <c r="DC373" s="481"/>
      <c r="DD373" s="481"/>
      <c r="DE373" s="481"/>
      <c r="DF373" s="481"/>
      <c r="DG373" s="481"/>
      <c r="DH373" s="481"/>
      <c r="DI373" s="481"/>
      <c r="DJ373" s="481"/>
      <c r="DK373" s="481"/>
      <c r="DL373" s="481"/>
      <c r="DM373" s="481"/>
      <c r="DN373" s="481"/>
      <c r="DO373" s="481"/>
      <c r="DP373" s="481"/>
      <c r="DQ373" s="481"/>
      <c r="DR373" s="481"/>
      <c r="DS373" s="481"/>
      <c r="DT373" s="481"/>
      <c r="DU373" s="481"/>
      <c r="DV373" s="481"/>
      <c r="DW373" s="481"/>
      <c r="DX373" s="481"/>
      <c r="DY373" s="481"/>
      <c r="DZ373" s="481"/>
      <c r="EA373" s="481"/>
      <c r="EB373" s="481"/>
      <c r="EC373" s="481"/>
      <c r="ED373" s="481"/>
      <c r="EE373" s="481"/>
      <c r="EF373" s="481"/>
      <c r="EG373" s="481"/>
      <c r="EH373" s="481"/>
      <c r="EI373" s="481"/>
      <c r="EJ373" s="481"/>
      <c r="EK373" s="481"/>
      <c r="EL373" s="481"/>
      <c r="EM373" s="481"/>
      <c r="EN373" s="481"/>
      <c r="EO373" s="481"/>
      <c r="EP373" s="481"/>
      <c r="EQ373" s="481"/>
      <c r="ER373" s="481"/>
      <c r="ES373" s="481"/>
      <c r="ET373" s="481"/>
      <c r="EU373" s="481"/>
      <c r="EV373" s="481"/>
      <c r="EW373" s="481"/>
      <c r="EX373" s="481"/>
      <c r="EY373" s="481"/>
      <c r="EZ373" s="481"/>
      <c r="FA373" s="481"/>
      <c r="FB373" s="481"/>
      <c r="FC373" s="481"/>
      <c r="FD373" s="481"/>
    </row>
    <row r="374" spans="1:160" ht="18" hidden="1" customHeight="1" x14ac:dyDescent="0.2">
      <c r="A374" s="186"/>
      <c r="B374" s="370">
        <f t="shared" si="62"/>
        <v>0</v>
      </c>
      <c r="C374" s="309">
        <f t="shared" si="63"/>
        <v>0</v>
      </c>
      <c r="D374" s="1588">
        <f>SUMIF(GEN!$G$159:$J$159,$C374,GEN!$G$154:$J$154)</f>
        <v>0</v>
      </c>
      <c r="E374" s="1589"/>
      <c r="F374" s="1590"/>
      <c r="G374" s="1588">
        <f>SUMIF(FEB!$G$159:$J$159,$C374,FEB!$G$154:$J$154)</f>
        <v>0</v>
      </c>
      <c r="H374" s="1589"/>
      <c r="I374" s="1590"/>
      <c r="J374" s="1588">
        <f>SUMIF(MAR!$G$159:$J$159,$C374,MAR!$G$154:$J$154)</f>
        <v>0</v>
      </c>
      <c r="K374" s="1589"/>
      <c r="L374" s="1590"/>
      <c r="M374" s="1588">
        <f>SUMIF(APR!$G$159:$J$159,$C374,APR!$G$154:$J$154)</f>
        <v>0</v>
      </c>
      <c r="N374" s="1589"/>
      <c r="O374" s="1590"/>
      <c r="P374" s="1588">
        <f>SUMIF(MAG!$G$159:$J$159,$C374,MAG!$G$154:$J$154)</f>
        <v>0</v>
      </c>
      <c r="Q374" s="1589"/>
      <c r="R374" s="1590"/>
      <c r="S374" s="1588">
        <f>SUMIF(GIU!$G$159:$J$159,$C374,GIU!$G$154:$J$154)</f>
        <v>0</v>
      </c>
      <c r="T374" s="1589"/>
      <c r="U374" s="1590"/>
      <c r="V374" s="1588">
        <f>SUMIF(LUG!$G$159:$J$159,$C374,LUG!$G$154:$J$154)</f>
        <v>0</v>
      </c>
      <c r="W374" s="1589"/>
      <c r="X374" s="1590"/>
      <c r="Y374" s="1588">
        <f>SUMIF(AGO!$G$159:$J$159,$C374,AGO!$G$154:$J$154)</f>
        <v>0</v>
      </c>
      <c r="Z374" s="1589"/>
      <c r="AA374" s="1590"/>
      <c r="AB374" s="1588">
        <f>SUMIF(SET!$G$159:$J$159,$C374,SET!$G$154:$J$154)</f>
        <v>0</v>
      </c>
      <c r="AC374" s="1589"/>
      <c r="AD374" s="1590"/>
      <c r="AE374" s="1588">
        <f>SUMIF(OTT!$G$159:$J$159,$C374,OTT!$G$154:$J$154)</f>
        <v>0</v>
      </c>
      <c r="AF374" s="1589"/>
      <c r="AG374" s="1590"/>
      <c r="AH374" s="1588">
        <f>SUMIF(NOV!$G$159:$J$159,$C374,NOV!$G$154:$J$154)</f>
        <v>0</v>
      </c>
      <c r="AI374" s="1589"/>
      <c r="AJ374" s="1590"/>
      <c r="AK374" s="1588">
        <f>SUMIF(DIC!$G$159:$J$159,$C374,DIC!$G$154:$J$154)</f>
        <v>0</v>
      </c>
      <c r="AL374" s="1589"/>
      <c r="AM374" s="1590"/>
      <c r="AN374" s="1588">
        <f t="shared" si="64"/>
        <v>0</v>
      </c>
      <c r="AO374" s="1589"/>
      <c r="AP374" s="1590"/>
      <c r="AQ374" s="48"/>
      <c r="AR374" s="48"/>
      <c r="AS374" s="481"/>
      <c r="AT374" s="481"/>
      <c r="AU374" s="481"/>
      <c r="AV374" s="481"/>
      <c r="AW374" s="481"/>
      <c r="AX374" s="481"/>
      <c r="AY374" s="481"/>
      <c r="AZ374" s="481"/>
      <c r="BA374" s="481"/>
      <c r="BB374" s="481"/>
      <c r="BC374" s="481"/>
      <c r="BD374" s="481"/>
      <c r="BE374" s="481"/>
      <c r="BF374" s="481"/>
      <c r="BG374" s="481"/>
      <c r="BH374" s="481"/>
      <c r="BI374" s="481"/>
      <c r="BJ374" s="481"/>
      <c r="BK374" s="481"/>
      <c r="BL374" s="481"/>
      <c r="BM374" s="481"/>
      <c r="BN374" s="481"/>
      <c r="BO374" s="481"/>
      <c r="BP374" s="481"/>
      <c r="BQ374" s="481"/>
      <c r="BR374" s="481"/>
      <c r="BS374" s="481"/>
      <c r="BT374" s="481"/>
      <c r="BU374" s="481"/>
      <c r="BV374" s="481"/>
      <c r="BW374" s="481"/>
      <c r="BX374" s="481"/>
      <c r="BY374" s="481"/>
      <c r="BZ374" s="481"/>
      <c r="CA374" s="481"/>
      <c r="CB374" s="481"/>
      <c r="CC374" s="481"/>
      <c r="CD374" s="481"/>
      <c r="CE374" s="481"/>
      <c r="CF374" s="481"/>
      <c r="CG374" s="481"/>
      <c r="CH374" s="481"/>
      <c r="CI374" s="481"/>
      <c r="CJ374" s="481"/>
      <c r="CK374" s="481"/>
      <c r="CL374" s="481"/>
      <c r="CM374" s="481"/>
      <c r="CN374" s="481"/>
      <c r="CO374" s="481"/>
      <c r="CP374" s="481"/>
      <c r="CQ374" s="481"/>
      <c r="CR374" s="481"/>
      <c r="CS374" s="481"/>
      <c r="CT374" s="481"/>
      <c r="CU374" s="481"/>
      <c r="CV374" s="481"/>
      <c r="CW374" s="481"/>
      <c r="CX374" s="481"/>
      <c r="CY374" s="481"/>
      <c r="CZ374" s="481"/>
      <c r="DA374" s="481"/>
      <c r="DB374" s="481"/>
      <c r="DC374" s="481"/>
      <c r="DD374" s="481"/>
      <c r="DE374" s="481"/>
      <c r="DF374" s="481"/>
      <c r="DG374" s="481"/>
      <c r="DH374" s="481"/>
      <c r="DI374" s="481"/>
      <c r="DJ374" s="481"/>
      <c r="DK374" s="481"/>
      <c r="DL374" s="481"/>
      <c r="DM374" s="481"/>
      <c r="DN374" s="481"/>
      <c r="DO374" s="481"/>
      <c r="DP374" s="481"/>
      <c r="DQ374" s="481"/>
      <c r="DR374" s="481"/>
      <c r="DS374" s="481"/>
      <c r="DT374" s="481"/>
      <c r="DU374" s="481"/>
      <c r="DV374" s="481"/>
      <c r="DW374" s="481"/>
      <c r="DX374" s="481"/>
      <c r="DY374" s="481"/>
      <c r="DZ374" s="481"/>
      <c r="EA374" s="481"/>
      <c r="EB374" s="481"/>
      <c r="EC374" s="481"/>
      <c r="ED374" s="481"/>
      <c r="EE374" s="481"/>
      <c r="EF374" s="481"/>
      <c r="EG374" s="481"/>
      <c r="EH374" s="481"/>
      <c r="EI374" s="481"/>
      <c r="EJ374" s="481"/>
      <c r="EK374" s="481"/>
      <c r="EL374" s="481"/>
      <c r="EM374" s="481"/>
      <c r="EN374" s="481"/>
      <c r="EO374" s="481"/>
      <c r="EP374" s="481"/>
      <c r="EQ374" s="481"/>
      <c r="ER374" s="481"/>
      <c r="ES374" s="481"/>
      <c r="ET374" s="481"/>
      <c r="EU374" s="481"/>
      <c r="EV374" s="481"/>
      <c r="EW374" s="481"/>
      <c r="EX374" s="481"/>
      <c r="EY374" s="481"/>
      <c r="EZ374" s="481"/>
      <c r="FA374" s="481"/>
      <c r="FB374" s="481"/>
      <c r="FC374" s="481"/>
      <c r="FD374" s="481"/>
    </row>
    <row r="375" spans="1:160" ht="18" hidden="1" customHeight="1" x14ac:dyDescent="0.2">
      <c r="A375" s="186"/>
      <c r="B375" s="370">
        <f t="shared" si="62"/>
        <v>0</v>
      </c>
      <c r="C375" s="309">
        <f t="shared" si="63"/>
        <v>0</v>
      </c>
      <c r="D375" s="1588">
        <f>SUMIF(GEN!$G$159:$J$159,$C375,GEN!$G$154:$J$154)</f>
        <v>0</v>
      </c>
      <c r="E375" s="1589"/>
      <c r="F375" s="1590"/>
      <c r="G375" s="1588">
        <f>SUMIF(FEB!$G$159:$J$159,$C375,FEB!$G$154:$J$154)</f>
        <v>0</v>
      </c>
      <c r="H375" s="1589"/>
      <c r="I375" s="1590"/>
      <c r="J375" s="1588">
        <f>SUMIF(MAR!$G$159:$J$159,$C375,MAR!$G$154:$J$154)</f>
        <v>0</v>
      </c>
      <c r="K375" s="1589"/>
      <c r="L375" s="1590"/>
      <c r="M375" s="1588">
        <f>SUMIF(APR!$G$159:$J$159,$C375,APR!$G$154:$J$154)</f>
        <v>0</v>
      </c>
      <c r="N375" s="1589"/>
      <c r="O375" s="1590"/>
      <c r="P375" s="1588">
        <f>SUMIF(MAG!$G$159:$J$159,$C375,MAG!$G$154:$J$154)</f>
        <v>0</v>
      </c>
      <c r="Q375" s="1589"/>
      <c r="R375" s="1590"/>
      <c r="S375" s="1588">
        <f>SUMIF(GIU!$G$159:$J$159,$C375,GIU!$G$154:$J$154)</f>
        <v>0</v>
      </c>
      <c r="T375" s="1589"/>
      <c r="U375" s="1590"/>
      <c r="V375" s="1588">
        <f>SUMIF(LUG!$G$159:$J$159,$C375,LUG!$G$154:$J$154)</f>
        <v>0</v>
      </c>
      <c r="W375" s="1589"/>
      <c r="X375" s="1590"/>
      <c r="Y375" s="1588">
        <f>SUMIF(AGO!$G$159:$J$159,$C375,AGO!$G$154:$J$154)</f>
        <v>0</v>
      </c>
      <c r="Z375" s="1589"/>
      <c r="AA375" s="1590"/>
      <c r="AB375" s="1588">
        <f>SUMIF(SET!$G$159:$J$159,$C375,SET!$G$154:$J$154)</f>
        <v>0</v>
      </c>
      <c r="AC375" s="1589"/>
      <c r="AD375" s="1590"/>
      <c r="AE375" s="1588">
        <f>SUMIF(OTT!$G$159:$J$159,$C375,OTT!$G$154:$J$154)</f>
        <v>0</v>
      </c>
      <c r="AF375" s="1589"/>
      <c r="AG375" s="1590"/>
      <c r="AH375" s="1588">
        <f>SUMIF(NOV!$G$159:$J$159,$C375,NOV!$G$154:$J$154)</f>
        <v>0</v>
      </c>
      <c r="AI375" s="1589"/>
      <c r="AJ375" s="1590"/>
      <c r="AK375" s="1588">
        <f>SUMIF(DIC!$G$159:$J$159,$C375,DIC!$G$154:$J$154)</f>
        <v>0</v>
      </c>
      <c r="AL375" s="1589"/>
      <c r="AM375" s="1590"/>
      <c r="AN375" s="1588">
        <f t="shared" si="64"/>
        <v>0</v>
      </c>
      <c r="AO375" s="1589"/>
      <c r="AP375" s="1590"/>
      <c r="AQ375" s="48"/>
      <c r="AR375" s="48"/>
      <c r="AS375" s="481"/>
      <c r="AT375" s="481"/>
      <c r="AU375" s="481"/>
      <c r="AV375" s="481"/>
      <c r="AW375" s="481"/>
      <c r="AX375" s="481"/>
      <c r="AY375" s="481"/>
      <c r="AZ375" s="481"/>
      <c r="BA375" s="481"/>
      <c r="BB375" s="481"/>
      <c r="BC375" s="481"/>
      <c r="BD375" s="481"/>
      <c r="BE375" s="481"/>
      <c r="BF375" s="481"/>
      <c r="BG375" s="481"/>
      <c r="BH375" s="481"/>
      <c r="BI375" s="481"/>
      <c r="BJ375" s="481"/>
      <c r="BK375" s="481"/>
      <c r="BL375" s="481"/>
      <c r="BM375" s="481"/>
      <c r="BN375" s="481"/>
      <c r="BO375" s="481"/>
      <c r="BP375" s="481"/>
      <c r="BQ375" s="481"/>
      <c r="BR375" s="481"/>
      <c r="BS375" s="481"/>
      <c r="BT375" s="481"/>
      <c r="BU375" s="481"/>
      <c r="BV375" s="481"/>
      <c r="BW375" s="481"/>
      <c r="BX375" s="481"/>
      <c r="BY375" s="481"/>
      <c r="BZ375" s="481"/>
      <c r="CA375" s="481"/>
      <c r="CB375" s="481"/>
      <c r="CC375" s="481"/>
      <c r="CD375" s="481"/>
      <c r="CE375" s="481"/>
      <c r="CF375" s="481"/>
      <c r="CG375" s="481"/>
      <c r="CH375" s="481"/>
      <c r="CI375" s="481"/>
      <c r="CJ375" s="481"/>
      <c r="CK375" s="481"/>
      <c r="CL375" s="481"/>
      <c r="CM375" s="481"/>
      <c r="CN375" s="481"/>
      <c r="CO375" s="481"/>
      <c r="CP375" s="481"/>
      <c r="CQ375" s="481"/>
      <c r="CR375" s="481"/>
      <c r="CS375" s="481"/>
      <c r="CT375" s="481"/>
      <c r="CU375" s="481"/>
      <c r="CV375" s="481"/>
      <c r="CW375" s="481"/>
      <c r="CX375" s="481"/>
      <c r="CY375" s="481"/>
      <c r="CZ375" s="481"/>
      <c r="DA375" s="481"/>
      <c r="DB375" s="481"/>
      <c r="DC375" s="481"/>
      <c r="DD375" s="481"/>
      <c r="DE375" s="481"/>
      <c r="DF375" s="481"/>
      <c r="DG375" s="481"/>
      <c r="DH375" s="481"/>
      <c r="DI375" s="481"/>
      <c r="DJ375" s="481"/>
      <c r="DK375" s="481"/>
      <c r="DL375" s="481"/>
      <c r="DM375" s="481"/>
      <c r="DN375" s="481"/>
      <c r="DO375" s="481"/>
      <c r="DP375" s="481"/>
      <c r="DQ375" s="481"/>
      <c r="DR375" s="481"/>
      <c r="DS375" s="481"/>
      <c r="DT375" s="481"/>
      <c r="DU375" s="481"/>
      <c r="DV375" s="481"/>
      <c r="DW375" s="481"/>
      <c r="DX375" s="481"/>
      <c r="DY375" s="481"/>
      <c r="DZ375" s="481"/>
      <c r="EA375" s="481"/>
      <c r="EB375" s="481"/>
      <c r="EC375" s="481"/>
      <c r="ED375" s="481"/>
      <c r="EE375" s="481"/>
      <c r="EF375" s="481"/>
      <c r="EG375" s="481"/>
      <c r="EH375" s="481"/>
      <c r="EI375" s="481"/>
      <c r="EJ375" s="481"/>
      <c r="EK375" s="481"/>
      <c r="EL375" s="481"/>
      <c r="EM375" s="481"/>
      <c r="EN375" s="481"/>
      <c r="EO375" s="481"/>
      <c r="EP375" s="481"/>
      <c r="EQ375" s="481"/>
      <c r="ER375" s="481"/>
      <c r="ES375" s="481"/>
      <c r="ET375" s="481"/>
      <c r="EU375" s="481"/>
      <c r="EV375" s="481"/>
      <c r="EW375" s="481"/>
      <c r="EX375" s="481"/>
      <c r="EY375" s="481"/>
      <c r="EZ375" s="481"/>
      <c r="FA375" s="481"/>
      <c r="FB375" s="481"/>
      <c r="FC375" s="481"/>
      <c r="FD375" s="481"/>
    </row>
    <row r="376" spans="1:160" ht="18" hidden="1" customHeight="1" x14ac:dyDescent="0.2">
      <c r="A376" s="186"/>
      <c r="B376" s="370">
        <f t="shared" si="62"/>
        <v>0</v>
      </c>
      <c r="C376" s="309" t="str">
        <f t="shared" si="63"/>
        <v>07</v>
      </c>
      <c r="D376" s="1588">
        <f>SUMIF(GEN!$G$159:$J$159,$C376,GEN!$G$154:$J$154)</f>
        <v>0</v>
      </c>
      <c r="E376" s="1589"/>
      <c r="F376" s="1590"/>
      <c r="G376" s="1588">
        <f>SUMIF(FEB!$G$159:$J$159,$C376,FEB!$G$154:$J$154)</f>
        <v>0</v>
      </c>
      <c r="H376" s="1589"/>
      <c r="I376" s="1590"/>
      <c r="J376" s="1588">
        <f>SUMIF(MAR!$G$159:$J$159,$C376,MAR!$G$154:$J$154)</f>
        <v>0</v>
      </c>
      <c r="K376" s="1589"/>
      <c r="L376" s="1590"/>
      <c r="M376" s="1588">
        <f>SUMIF(APR!$G$159:$J$159,$C376,APR!$G$154:$J$154)</f>
        <v>0</v>
      </c>
      <c r="N376" s="1589"/>
      <c r="O376" s="1590"/>
      <c r="P376" s="1588">
        <f>SUMIF(MAG!$G$159:$J$159,$C376,MAG!$G$154:$J$154)</f>
        <v>0</v>
      </c>
      <c r="Q376" s="1589"/>
      <c r="R376" s="1590"/>
      <c r="S376" s="1588">
        <f>SUMIF(GIU!$G$159:$J$159,$C376,GIU!$G$154:$J$154)</f>
        <v>0</v>
      </c>
      <c r="T376" s="1589"/>
      <c r="U376" s="1590"/>
      <c r="V376" s="1588">
        <f>SUMIF(LUG!$G$159:$J$159,$C376,LUG!$G$154:$J$154)</f>
        <v>0</v>
      </c>
      <c r="W376" s="1589"/>
      <c r="X376" s="1590"/>
      <c r="Y376" s="1588">
        <f>SUMIF(AGO!$G$159:$J$159,$C376,AGO!$G$154:$J$154)</f>
        <v>0</v>
      </c>
      <c r="Z376" s="1589"/>
      <c r="AA376" s="1590"/>
      <c r="AB376" s="1588">
        <f>SUMIF(SET!$G$159:$J$159,$C376,SET!$G$154:$J$154)</f>
        <v>0</v>
      </c>
      <c r="AC376" s="1589"/>
      <c r="AD376" s="1590"/>
      <c r="AE376" s="1588">
        <f>SUMIF(OTT!$G$159:$J$159,$C376,OTT!$G$154:$J$154)</f>
        <v>0</v>
      </c>
      <c r="AF376" s="1589"/>
      <c r="AG376" s="1590"/>
      <c r="AH376" s="1588">
        <f>SUMIF(NOV!$G$159:$J$159,$C376,NOV!$G$154:$J$154)</f>
        <v>0</v>
      </c>
      <c r="AI376" s="1589"/>
      <c r="AJ376" s="1590"/>
      <c r="AK376" s="1588">
        <f>SUMIF(DIC!$G$159:$J$159,$C376,DIC!$G$154:$J$154)</f>
        <v>0</v>
      </c>
      <c r="AL376" s="1589"/>
      <c r="AM376" s="1590"/>
      <c r="AN376" s="1588">
        <f>SUM(D376:AM376)</f>
        <v>0</v>
      </c>
      <c r="AO376" s="1589"/>
      <c r="AP376" s="1590"/>
      <c r="AQ376" s="48"/>
      <c r="AR376" s="48"/>
      <c r="AS376" s="481"/>
      <c r="AT376" s="481"/>
      <c r="AU376" s="481"/>
      <c r="AV376" s="481"/>
      <c r="AW376" s="481"/>
      <c r="AX376" s="481"/>
      <c r="AY376" s="481"/>
      <c r="AZ376" s="481"/>
      <c r="BA376" s="481"/>
      <c r="BB376" s="481"/>
      <c r="BC376" s="481"/>
      <c r="BD376" s="481"/>
      <c r="BE376" s="481"/>
      <c r="BF376" s="481"/>
      <c r="BG376" s="481"/>
      <c r="BH376" s="481"/>
      <c r="BI376" s="481"/>
      <c r="BJ376" s="481"/>
      <c r="BK376" s="481"/>
      <c r="BL376" s="481"/>
      <c r="BM376" s="481"/>
      <c r="BN376" s="481"/>
      <c r="BO376" s="481"/>
      <c r="BP376" s="481"/>
      <c r="BQ376" s="481"/>
      <c r="BR376" s="481"/>
      <c r="BS376" s="481"/>
      <c r="BT376" s="481"/>
      <c r="BU376" s="481"/>
      <c r="BV376" s="481"/>
      <c r="BW376" s="481"/>
      <c r="BX376" s="481"/>
      <c r="BY376" s="481"/>
      <c r="BZ376" s="481"/>
      <c r="CA376" s="481"/>
      <c r="CB376" s="481"/>
      <c r="CC376" s="481"/>
      <c r="CD376" s="481"/>
      <c r="CE376" s="481"/>
      <c r="CF376" s="481"/>
      <c r="CG376" s="481"/>
      <c r="CH376" s="481"/>
      <c r="CI376" s="481"/>
      <c r="CJ376" s="481"/>
      <c r="CK376" s="481"/>
      <c r="CL376" s="481"/>
      <c r="CM376" s="481"/>
      <c r="CN376" s="481"/>
      <c r="CO376" s="481"/>
      <c r="CP376" s="481"/>
      <c r="CQ376" s="481"/>
      <c r="CR376" s="481"/>
      <c r="CS376" s="481"/>
      <c r="CT376" s="481"/>
      <c r="CU376" s="481"/>
      <c r="CV376" s="481"/>
      <c r="CW376" s="481"/>
      <c r="CX376" s="481"/>
      <c r="CY376" s="481"/>
      <c r="CZ376" s="481"/>
      <c r="DA376" s="481"/>
      <c r="DB376" s="481"/>
      <c r="DC376" s="481"/>
      <c r="DD376" s="481"/>
      <c r="DE376" s="481"/>
      <c r="DF376" s="481"/>
      <c r="DG376" s="481"/>
      <c r="DH376" s="481"/>
      <c r="DI376" s="481"/>
      <c r="DJ376" s="481"/>
      <c r="DK376" s="481"/>
      <c r="DL376" s="481"/>
      <c r="DM376" s="481"/>
      <c r="DN376" s="481"/>
      <c r="DO376" s="481"/>
      <c r="DP376" s="481"/>
      <c r="DQ376" s="481"/>
      <c r="DR376" s="481"/>
      <c r="DS376" s="481"/>
      <c r="DT376" s="481"/>
      <c r="DU376" s="481"/>
      <c r="DV376" s="481"/>
      <c r="DW376" s="481"/>
      <c r="DX376" s="481"/>
      <c r="DY376" s="481"/>
      <c r="DZ376" s="481"/>
      <c r="EA376" s="481"/>
      <c r="EB376" s="481"/>
      <c r="EC376" s="481"/>
      <c r="ED376" s="481"/>
      <c r="EE376" s="481"/>
      <c r="EF376" s="481"/>
      <c r="EG376" s="481"/>
      <c r="EH376" s="481"/>
      <c r="EI376" s="481"/>
      <c r="EJ376" s="481"/>
      <c r="EK376" s="481"/>
      <c r="EL376" s="481"/>
      <c r="EM376" s="481"/>
      <c r="EN376" s="481"/>
      <c r="EO376" s="481"/>
      <c r="EP376" s="481"/>
      <c r="EQ376" s="481"/>
      <c r="ER376" s="481"/>
      <c r="ES376" s="481"/>
      <c r="ET376" s="481"/>
      <c r="EU376" s="481"/>
      <c r="EV376" s="481"/>
      <c r="EW376" s="481"/>
      <c r="EX376" s="481"/>
      <c r="EY376" s="481"/>
      <c r="EZ376" s="481"/>
      <c r="FA376" s="481"/>
      <c r="FB376" s="481"/>
      <c r="FC376" s="481"/>
      <c r="FD376" s="481"/>
    </row>
    <row r="377" spans="1:160" ht="18" hidden="1" customHeight="1" x14ac:dyDescent="0.2">
      <c r="A377" s="186"/>
      <c r="B377" s="48"/>
      <c r="C377" s="48"/>
      <c r="D377" s="1598">
        <f>SUM(D368:F376)</f>
        <v>0</v>
      </c>
      <c r="E377" s="1599"/>
      <c r="F377" s="1600"/>
      <c r="G377" s="1598">
        <f>SUM(G368:I376)</f>
        <v>0</v>
      </c>
      <c r="H377" s="1599"/>
      <c r="I377" s="1600"/>
      <c r="J377" s="1598">
        <f>SUM(J368:L376)</f>
        <v>0</v>
      </c>
      <c r="K377" s="1599"/>
      <c r="L377" s="1600"/>
      <c r="M377" s="1598">
        <f>SUM(M368:O376)</f>
        <v>0</v>
      </c>
      <c r="N377" s="1599"/>
      <c r="O377" s="1600"/>
      <c r="P377" s="1598">
        <f>SUM(P368:R376)</f>
        <v>0</v>
      </c>
      <c r="Q377" s="1599"/>
      <c r="R377" s="1600"/>
      <c r="S377" s="1598">
        <f>SUM(S368:U376)</f>
        <v>0</v>
      </c>
      <c r="T377" s="1599"/>
      <c r="U377" s="1600"/>
      <c r="V377" s="1598">
        <f>SUM(V368:X376)</f>
        <v>0</v>
      </c>
      <c r="W377" s="1599"/>
      <c r="X377" s="1600"/>
      <c r="Y377" s="1598">
        <f>SUM(Y368:AA376)</f>
        <v>0</v>
      </c>
      <c r="Z377" s="1599"/>
      <c r="AA377" s="1600"/>
      <c r="AB377" s="1598">
        <f>SUM(AB368:AD376)</f>
        <v>0</v>
      </c>
      <c r="AC377" s="1599"/>
      <c r="AD377" s="1600"/>
      <c r="AE377" s="1598">
        <f>SUM(AE368:AG376)</f>
        <v>0</v>
      </c>
      <c r="AF377" s="1599"/>
      <c r="AG377" s="1600"/>
      <c r="AH377" s="1598">
        <f>SUM(AH368:AJ376)</f>
        <v>0</v>
      </c>
      <c r="AI377" s="1599"/>
      <c r="AJ377" s="1600"/>
      <c r="AK377" s="1598">
        <f>SUM(AK368:AM376)</f>
        <v>0</v>
      </c>
      <c r="AL377" s="1599"/>
      <c r="AM377" s="1600"/>
      <c r="AN377" s="1598">
        <f>SUM(D377:AM377)</f>
        <v>0</v>
      </c>
      <c r="AO377" s="1599"/>
      <c r="AP377" s="1600"/>
      <c r="AQ377" s="48"/>
      <c r="AR377" s="48"/>
      <c r="AS377" s="481"/>
      <c r="AT377" s="481"/>
      <c r="AU377" s="481"/>
      <c r="AV377" s="481"/>
      <c r="AW377" s="481"/>
      <c r="AX377" s="481"/>
      <c r="AY377" s="481"/>
      <c r="AZ377" s="481"/>
      <c r="BA377" s="481"/>
      <c r="BB377" s="481"/>
      <c r="BC377" s="481"/>
      <c r="BD377" s="481"/>
      <c r="BE377" s="481"/>
      <c r="BF377" s="481"/>
      <c r="BG377" s="481"/>
      <c r="BH377" s="481"/>
      <c r="BI377" s="481"/>
      <c r="BJ377" s="481"/>
      <c r="BK377" s="481"/>
      <c r="BL377" s="481"/>
      <c r="BM377" s="481"/>
      <c r="BN377" s="481"/>
      <c r="BO377" s="481"/>
      <c r="BP377" s="481"/>
      <c r="BQ377" s="481"/>
      <c r="BR377" s="481"/>
      <c r="BS377" s="481"/>
      <c r="BT377" s="481"/>
      <c r="BU377" s="481"/>
      <c r="BV377" s="481"/>
      <c r="BW377" s="481"/>
      <c r="BX377" s="481"/>
      <c r="BY377" s="481"/>
      <c r="BZ377" s="481"/>
      <c r="CA377" s="481"/>
      <c r="CB377" s="481"/>
      <c r="CC377" s="481"/>
      <c r="CD377" s="481"/>
      <c r="CE377" s="481"/>
      <c r="CF377" s="481"/>
      <c r="CG377" s="481"/>
      <c r="CH377" s="481"/>
      <c r="CI377" s="481"/>
      <c r="CJ377" s="481"/>
      <c r="CK377" s="481"/>
      <c r="CL377" s="481"/>
      <c r="CM377" s="481"/>
      <c r="CN377" s="481"/>
      <c r="CO377" s="481"/>
      <c r="CP377" s="481"/>
      <c r="CQ377" s="481"/>
      <c r="CR377" s="481"/>
      <c r="CS377" s="481"/>
      <c r="CT377" s="481"/>
      <c r="CU377" s="481"/>
      <c r="CV377" s="481"/>
      <c r="CW377" s="481"/>
      <c r="CX377" s="481"/>
      <c r="CY377" s="481"/>
      <c r="CZ377" s="481"/>
      <c r="DA377" s="481"/>
      <c r="DB377" s="481"/>
      <c r="DC377" s="481"/>
      <c r="DD377" s="481"/>
      <c r="DE377" s="481"/>
      <c r="DF377" s="481"/>
      <c r="DG377" s="481"/>
      <c r="DH377" s="481"/>
      <c r="DI377" s="481"/>
      <c r="DJ377" s="481"/>
      <c r="DK377" s="481"/>
      <c r="DL377" s="481"/>
      <c r="DM377" s="481"/>
      <c r="DN377" s="481"/>
      <c r="DO377" s="481"/>
      <c r="DP377" s="481"/>
      <c r="DQ377" s="481"/>
      <c r="DR377" s="481"/>
      <c r="DS377" s="481"/>
      <c r="DT377" s="481"/>
      <c r="DU377" s="481"/>
      <c r="DV377" s="481"/>
      <c r="DW377" s="481"/>
      <c r="DX377" s="481"/>
      <c r="DY377" s="481"/>
      <c r="DZ377" s="481"/>
      <c r="EA377" s="481"/>
      <c r="EB377" s="481"/>
      <c r="EC377" s="481"/>
      <c r="ED377" s="481"/>
      <c r="EE377" s="481"/>
      <c r="EF377" s="481"/>
      <c r="EG377" s="481"/>
      <c r="EH377" s="481"/>
      <c r="EI377" s="481"/>
      <c r="EJ377" s="481"/>
      <c r="EK377" s="481"/>
      <c r="EL377" s="481"/>
      <c r="EM377" s="481"/>
      <c r="EN377" s="481"/>
      <c r="EO377" s="481"/>
      <c r="EP377" s="481"/>
      <c r="EQ377" s="481"/>
      <c r="ER377" s="481"/>
      <c r="ES377" s="481"/>
      <c r="ET377" s="481"/>
      <c r="EU377" s="481"/>
      <c r="EV377" s="481"/>
      <c r="EW377" s="481"/>
      <c r="EX377" s="481"/>
      <c r="EY377" s="481"/>
      <c r="EZ377" s="481"/>
      <c r="FA377" s="481"/>
      <c r="FB377" s="481"/>
      <c r="FC377" s="481"/>
      <c r="FD377" s="481"/>
    </row>
    <row r="378" spans="1:160" ht="18" hidden="1" customHeight="1" x14ac:dyDescent="0.2">
      <c r="A378" s="186"/>
      <c r="B378" s="48"/>
      <c r="C378" s="48"/>
      <c r="D378" s="1588">
        <f>D377</f>
        <v>0</v>
      </c>
      <c r="E378" s="1589"/>
      <c r="F378" s="1590"/>
      <c r="G378" s="1588">
        <f>G377+D378</f>
        <v>0</v>
      </c>
      <c r="H378" s="1589"/>
      <c r="I378" s="1590"/>
      <c r="J378" s="1588">
        <f>J377+G378</f>
        <v>0</v>
      </c>
      <c r="K378" s="1589"/>
      <c r="L378" s="1590"/>
      <c r="M378" s="1588">
        <f>M377+J378</f>
        <v>0</v>
      </c>
      <c r="N378" s="1589"/>
      <c r="O378" s="1590"/>
      <c r="P378" s="1588">
        <f>P377+M378</f>
        <v>0</v>
      </c>
      <c r="Q378" s="1589"/>
      <c r="R378" s="1590"/>
      <c r="S378" s="1588">
        <f>S377+P378</f>
        <v>0</v>
      </c>
      <c r="T378" s="1589"/>
      <c r="U378" s="1590"/>
      <c r="V378" s="1588">
        <f>V377+S378</f>
        <v>0</v>
      </c>
      <c r="W378" s="1589"/>
      <c r="X378" s="1590"/>
      <c r="Y378" s="1588">
        <f>Y377+V378</f>
        <v>0</v>
      </c>
      <c r="Z378" s="1589"/>
      <c r="AA378" s="1590"/>
      <c r="AB378" s="1588">
        <f>AB377+Y378</f>
        <v>0</v>
      </c>
      <c r="AC378" s="1589"/>
      <c r="AD378" s="1590"/>
      <c r="AE378" s="1588">
        <f>AE377+AB378</f>
        <v>0</v>
      </c>
      <c r="AF378" s="1589"/>
      <c r="AG378" s="1590"/>
      <c r="AH378" s="1588">
        <f>AH377+AE378</f>
        <v>0</v>
      </c>
      <c r="AI378" s="1589"/>
      <c r="AJ378" s="1590"/>
      <c r="AK378" s="1588">
        <f>AK377+AH378</f>
        <v>0</v>
      </c>
      <c r="AL378" s="1589"/>
      <c r="AM378" s="1590"/>
      <c r="AN378" s="48"/>
      <c r="AO378" s="48"/>
      <c r="AP378" s="48"/>
      <c r="AQ378" s="48"/>
      <c r="AR378" s="48"/>
      <c r="AS378" s="481"/>
      <c r="AT378" s="481"/>
      <c r="AU378" s="481"/>
      <c r="AV378" s="481"/>
      <c r="AW378" s="481"/>
      <c r="AX378" s="481"/>
      <c r="AY378" s="481"/>
      <c r="AZ378" s="481"/>
      <c r="BA378" s="481"/>
      <c r="BB378" s="481"/>
      <c r="BC378" s="481"/>
      <c r="BD378" s="481"/>
      <c r="BE378" s="481"/>
      <c r="BF378" s="481"/>
      <c r="BG378" s="481"/>
      <c r="BH378" s="481"/>
      <c r="BI378" s="481"/>
      <c r="BJ378" s="481"/>
      <c r="BK378" s="481"/>
      <c r="BL378" s="481"/>
      <c r="BM378" s="481"/>
      <c r="BN378" s="481"/>
      <c r="BO378" s="481"/>
      <c r="BP378" s="481"/>
      <c r="BQ378" s="481"/>
      <c r="BR378" s="481"/>
      <c r="BS378" s="481"/>
      <c r="BT378" s="481"/>
      <c r="BU378" s="481"/>
      <c r="BV378" s="481"/>
      <c r="BW378" s="481"/>
      <c r="BX378" s="481"/>
      <c r="BY378" s="481"/>
      <c r="BZ378" s="481"/>
      <c r="CA378" s="481"/>
      <c r="CB378" s="481"/>
      <c r="CC378" s="481"/>
      <c r="CD378" s="481"/>
      <c r="CE378" s="481"/>
      <c r="CF378" s="481"/>
      <c r="CG378" s="481"/>
      <c r="CH378" s="481"/>
      <c r="CI378" s="481"/>
      <c r="CJ378" s="481"/>
      <c r="CK378" s="481"/>
      <c r="CL378" s="481"/>
      <c r="CM378" s="481"/>
      <c r="CN378" s="481"/>
      <c r="CO378" s="481"/>
      <c r="CP378" s="481"/>
      <c r="CQ378" s="481"/>
      <c r="CR378" s="481"/>
      <c r="CS378" s="481"/>
      <c r="CT378" s="481"/>
      <c r="CU378" s="481"/>
      <c r="CV378" s="481"/>
      <c r="CW378" s="481"/>
      <c r="CX378" s="481"/>
      <c r="CY378" s="481"/>
      <c r="CZ378" s="481"/>
      <c r="DA378" s="481"/>
      <c r="DB378" s="481"/>
      <c r="DC378" s="481"/>
      <c r="DD378" s="481"/>
      <c r="DE378" s="481"/>
      <c r="DF378" s="481"/>
      <c r="DG378" s="481"/>
      <c r="DH378" s="481"/>
      <c r="DI378" s="481"/>
      <c r="DJ378" s="481"/>
      <c r="DK378" s="481"/>
      <c r="DL378" s="481"/>
      <c r="DM378" s="481"/>
      <c r="DN378" s="481"/>
      <c r="DO378" s="481"/>
      <c r="DP378" s="481"/>
      <c r="DQ378" s="481"/>
      <c r="DR378" s="481"/>
      <c r="DS378" s="481"/>
      <c r="DT378" s="481"/>
      <c r="DU378" s="481"/>
      <c r="DV378" s="481"/>
      <c r="DW378" s="481"/>
      <c r="DX378" s="481"/>
      <c r="DY378" s="481"/>
      <c r="DZ378" s="481"/>
      <c r="EA378" s="481"/>
      <c r="EB378" s="481"/>
      <c r="EC378" s="481"/>
      <c r="ED378" s="481"/>
      <c r="EE378" s="481"/>
      <c r="EF378" s="481"/>
      <c r="EG378" s="481"/>
      <c r="EH378" s="481"/>
      <c r="EI378" s="481"/>
      <c r="EJ378" s="481"/>
      <c r="EK378" s="481"/>
      <c r="EL378" s="481"/>
      <c r="EM378" s="481"/>
      <c r="EN378" s="481"/>
      <c r="EO378" s="481"/>
      <c r="EP378" s="481"/>
      <c r="EQ378" s="481"/>
      <c r="ER378" s="481"/>
      <c r="ES378" s="481"/>
      <c r="ET378" s="481"/>
      <c r="EU378" s="481"/>
      <c r="EV378" s="481"/>
      <c r="EW378" s="481"/>
      <c r="EX378" s="481"/>
      <c r="EY378" s="481"/>
      <c r="EZ378" s="481"/>
      <c r="FA378" s="481"/>
      <c r="FB378" s="481"/>
      <c r="FC378" s="481"/>
      <c r="FD378" s="481"/>
    </row>
    <row r="379" spans="1:160" ht="18" hidden="1" customHeight="1" x14ac:dyDescent="0.2">
      <c r="A379" s="186"/>
      <c r="B379" s="48"/>
      <c r="C379" s="48"/>
      <c r="D379" s="48"/>
      <c r="E379" s="48"/>
      <c r="F379" s="48"/>
      <c r="G379" s="185"/>
      <c r="H379" s="185"/>
      <c r="I379" s="185"/>
      <c r="J379" s="185"/>
      <c r="K379" s="185"/>
      <c r="L379" s="185"/>
      <c r="M379" s="185"/>
      <c r="N379" s="185"/>
      <c r="O379" s="185"/>
      <c r="P379" s="185"/>
      <c r="Q379" s="185"/>
      <c r="R379" s="185"/>
      <c r="S379" s="185"/>
      <c r="T379" s="185"/>
      <c r="U379" s="185"/>
      <c r="V379" s="185"/>
      <c r="W379" s="185"/>
      <c r="X379" s="185"/>
      <c r="Y379" s="185"/>
      <c r="Z379" s="185"/>
      <c r="AA379" s="185"/>
      <c r="AB379" s="185"/>
      <c r="AC379" s="186"/>
      <c r="AD379" s="186"/>
      <c r="AE379" s="186"/>
      <c r="AF379" s="186"/>
      <c r="AG379" s="186"/>
      <c r="AH379" s="186"/>
      <c r="AI379" s="186"/>
      <c r="AJ379" s="186"/>
      <c r="AK379" s="186"/>
      <c r="AL379" s="186"/>
      <c r="AM379" s="186"/>
      <c r="AN379" s="48"/>
      <c r="AO379" s="481"/>
      <c r="AP379" s="481"/>
      <c r="AQ379" s="481"/>
      <c r="AR379" s="481"/>
      <c r="AS379" s="481"/>
      <c r="AT379" s="481"/>
      <c r="AU379" s="481"/>
      <c r="AV379" s="481"/>
      <c r="AW379" s="481"/>
      <c r="AX379" s="481"/>
      <c r="AY379" s="481"/>
      <c r="AZ379" s="481"/>
      <c r="BA379" s="481"/>
      <c r="BB379" s="481"/>
      <c r="BC379" s="481"/>
      <c r="BD379" s="481"/>
      <c r="BE379" s="481"/>
      <c r="BF379" s="481"/>
      <c r="BG379" s="481"/>
      <c r="BH379" s="481"/>
      <c r="BI379" s="481"/>
      <c r="BJ379" s="481"/>
      <c r="BK379" s="481"/>
      <c r="BL379" s="481"/>
      <c r="BM379" s="481"/>
      <c r="BN379" s="481"/>
      <c r="BO379" s="481"/>
      <c r="BP379" s="481"/>
      <c r="BQ379" s="481"/>
      <c r="BR379" s="481"/>
      <c r="BS379" s="481"/>
      <c r="BT379" s="481"/>
      <c r="BU379" s="481"/>
      <c r="BV379" s="481"/>
      <c r="BW379" s="481"/>
      <c r="BX379" s="481"/>
      <c r="BY379" s="481"/>
      <c r="BZ379" s="481"/>
      <c r="CA379" s="481"/>
      <c r="CB379" s="481"/>
      <c r="CC379" s="481"/>
      <c r="CD379" s="481"/>
      <c r="CE379" s="481"/>
      <c r="CF379" s="481"/>
      <c r="CG379" s="481"/>
      <c r="CH379" s="481"/>
      <c r="CI379" s="481"/>
      <c r="CJ379" s="481"/>
      <c r="CK379" s="481"/>
      <c r="CL379" s="481"/>
      <c r="CM379" s="481"/>
      <c r="CN379" s="481"/>
      <c r="CO379" s="481"/>
      <c r="CP379" s="481"/>
      <c r="CQ379" s="481"/>
      <c r="CR379" s="481"/>
      <c r="CS379" s="481"/>
      <c r="CT379" s="481"/>
      <c r="CU379" s="481"/>
      <c r="CV379" s="481"/>
      <c r="CW379" s="481"/>
      <c r="CX379" s="481"/>
      <c r="CY379" s="481"/>
      <c r="CZ379" s="481"/>
      <c r="DA379" s="481"/>
      <c r="DB379" s="481"/>
      <c r="DC379" s="481"/>
      <c r="DD379" s="481"/>
      <c r="DE379" s="481"/>
      <c r="DF379" s="481"/>
      <c r="DG379" s="481"/>
      <c r="DH379" s="481"/>
      <c r="DI379" s="481"/>
      <c r="DJ379" s="481"/>
      <c r="DK379" s="481"/>
      <c r="DL379" s="481"/>
      <c r="DM379" s="481"/>
      <c r="DN379" s="481"/>
      <c r="DO379" s="481"/>
      <c r="DP379" s="481"/>
      <c r="DQ379" s="481"/>
      <c r="DR379" s="481"/>
      <c r="DS379" s="481"/>
      <c r="DT379" s="481"/>
      <c r="DU379" s="481"/>
      <c r="DV379" s="481"/>
      <c r="DW379" s="481"/>
      <c r="DX379" s="481"/>
      <c r="DY379" s="481"/>
      <c r="DZ379" s="481"/>
      <c r="EA379" s="481"/>
      <c r="EB379" s="481"/>
      <c r="EC379" s="481"/>
      <c r="ED379" s="481"/>
      <c r="EE379" s="481"/>
      <c r="EF379" s="481"/>
      <c r="EG379" s="481"/>
      <c r="EH379" s="481"/>
      <c r="EI379" s="481"/>
      <c r="EJ379" s="481"/>
      <c r="EK379" s="481"/>
      <c r="EL379" s="481"/>
      <c r="EM379" s="481"/>
      <c r="EN379" s="481"/>
      <c r="EO379" s="481"/>
      <c r="EP379" s="481"/>
      <c r="EQ379" s="481"/>
      <c r="ER379" s="481"/>
      <c r="ES379" s="481"/>
      <c r="ET379" s="481"/>
      <c r="EU379" s="481"/>
      <c r="EV379" s="481"/>
      <c r="EW379" s="481"/>
      <c r="EX379" s="481"/>
      <c r="EY379" s="481"/>
      <c r="EZ379" s="481"/>
      <c r="FA379" s="481"/>
      <c r="FB379" s="481"/>
      <c r="FC379" s="481"/>
      <c r="FD379" s="481"/>
    </row>
    <row r="380" spans="1:160" hidden="1" x14ac:dyDescent="0.2">
      <c r="A380" s="186"/>
      <c r="B380" s="186"/>
      <c r="C380" s="186"/>
      <c r="D380" s="186"/>
      <c r="E380" s="186"/>
      <c r="F380" s="186"/>
      <c r="G380" s="186"/>
      <c r="H380" s="186"/>
      <c r="I380" s="186"/>
      <c r="J380" s="186"/>
      <c r="K380" s="186"/>
      <c r="L380" s="186"/>
      <c r="M380" s="186"/>
      <c r="N380" s="186"/>
      <c r="O380" s="186"/>
      <c r="P380" s="186"/>
      <c r="Q380" s="186"/>
      <c r="R380" s="186"/>
      <c r="S380" s="186"/>
      <c r="T380" s="186"/>
      <c r="U380" s="186"/>
      <c r="V380" s="186"/>
      <c r="W380" s="186"/>
      <c r="X380" s="186"/>
      <c r="Y380" s="186"/>
      <c r="Z380" s="186"/>
      <c r="AA380" s="186"/>
      <c r="AB380" s="186"/>
      <c r="AC380" s="186"/>
      <c r="AD380" s="48"/>
      <c r="AE380" s="48"/>
      <c r="AF380" s="48"/>
      <c r="AG380" s="48"/>
      <c r="AH380" s="48"/>
      <c r="AI380" s="48"/>
      <c r="AJ380" s="48"/>
      <c r="AK380" s="48"/>
      <c r="AL380" s="1723" t="b">
        <v>0</v>
      </c>
      <c r="AM380" s="1723"/>
      <c r="AN380" s="48"/>
      <c r="AO380" s="481"/>
      <c r="AP380" s="481"/>
      <c r="AQ380" s="481"/>
      <c r="AR380" s="481"/>
      <c r="AS380" s="481"/>
      <c r="AT380" s="481"/>
      <c r="AU380" s="481"/>
      <c r="AV380" s="481"/>
      <c r="AW380" s="481"/>
      <c r="AX380" s="481"/>
      <c r="AY380" s="481"/>
      <c r="AZ380" s="481"/>
      <c r="BA380" s="481"/>
      <c r="BB380" s="481"/>
      <c r="BC380" s="481"/>
      <c r="BD380" s="481"/>
      <c r="BE380" s="481"/>
      <c r="BF380" s="481"/>
      <c r="BG380" s="481"/>
      <c r="BH380" s="481"/>
      <c r="BI380" s="481"/>
      <c r="BJ380" s="481"/>
      <c r="BK380" s="481"/>
      <c r="BL380" s="481"/>
      <c r="BM380" s="481"/>
      <c r="BN380" s="481"/>
      <c r="BO380" s="481"/>
      <c r="BP380" s="481"/>
      <c r="BQ380" s="481"/>
      <c r="BR380" s="481"/>
      <c r="BS380" s="481"/>
      <c r="BT380" s="481"/>
      <c r="BU380" s="481"/>
      <c r="BV380" s="481"/>
      <c r="BW380" s="481"/>
      <c r="BX380" s="481"/>
      <c r="BY380" s="481"/>
      <c r="BZ380" s="481"/>
      <c r="CA380" s="481"/>
      <c r="CB380" s="481"/>
      <c r="CC380" s="481"/>
      <c r="CD380" s="481"/>
      <c r="CE380" s="481"/>
      <c r="CF380" s="481"/>
      <c r="CG380" s="481"/>
      <c r="CH380" s="481"/>
      <c r="CI380" s="481"/>
      <c r="CJ380" s="481"/>
      <c r="CK380" s="481"/>
      <c r="CL380" s="481"/>
      <c r="CM380" s="481"/>
      <c r="CN380" s="481"/>
      <c r="CO380" s="481"/>
      <c r="CP380" s="481"/>
      <c r="CQ380" s="481"/>
      <c r="CR380" s="481"/>
      <c r="CS380" s="481"/>
      <c r="CT380" s="481"/>
      <c r="CU380" s="481"/>
      <c r="CV380" s="481"/>
      <c r="CW380" s="481"/>
      <c r="CX380" s="481"/>
      <c r="CY380" s="481"/>
      <c r="CZ380" s="481"/>
      <c r="DA380" s="481"/>
      <c r="DB380" s="481"/>
      <c r="DC380" s="481"/>
      <c r="DD380" s="481"/>
      <c r="DE380" s="481"/>
      <c r="DF380" s="481"/>
      <c r="DG380" s="481"/>
      <c r="DH380" s="481"/>
      <c r="DI380" s="481"/>
      <c r="DJ380" s="481"/>
      <c r="DK380" s="481"/>
      <c r="DL380" s="481"/>
      <c r="DM380" s="481"/>
      <c r="DN380" s="481"/>
      <c r="DO380" s="481"/>
      <c r="DP380" s="481"/>
      <c r="DQ380" s="481"/>
      <c r="DR380" s="481"/>
      <c r="DS380" s="481"/>
      <c r="DT380" s="481"/>
      <c r="DU380" s="481"/>
      <c r="DV380" s="481"/>
      <c r="DW380" s="481"/>
      <c r="DX380" s="481"/>
      <c r="DY380" s="481"/>
      <c r="DZ380" s="481"/>
      <c r="EA380" s="481"/>
      <c r="EB380" s="481"/>
      <c r="EC380" s="481"/>
      <c r="ED380" s="481"/>
      <c r="EE380" s="481"/>
      <c r="EF380" s="481"/>
      <c r="EG380" s="481"/>
      <c r="EH380" s="481"/>
      <c r="EI380" s="481"/>
      <c r="EJ380" s="481"/>
      <c r="EK380" s="481"/>
      <c r="EL380" s="481"/>
      <c r="EM380" s="481"/>
      <c r="EN380" s="481"/>
      <c r="EO380" s="481"/>
      <c r="EP380" s="481"/>
      <c r="EQ380" s="481"/>
      <c r="ER380" s="481"/>
      <c r="ES380" s="481"/>
      <c r="ET380" s="481"/>
      <c r="EU380" s="481"/>
      <c r="EV380" s="481"/>
      <c r="EW380" s="481"/>
      <c r="EX380" s="481"/>
      <c r="EY380" s="481"/>
      <c r="EZ380" s="481"/>
      <c r="FA380" s="481"/>
      <c r="FB380" s="481"/>
      <c r="FC380" s="481"/>
      <c r="FD380" s="481"/>
    </row>
    <row r="381" spans="1:160" ht="14.25" hidden="1" customHeight="1" x14ac:dyDescent="0.2">
      <c r="A381" s="186"/>
      <c r="B381" s="186"/>
      <c r="C381" s="186"/>
      <c r="D381" s="186"/>
      <c r="E381" s="186"/>
      <c r="F381" s="186"/>
      <c r="G381" s="186"/>
      <c r="H381" s="186"/>
      <c r="I381" s="186"/>
      <c r="J381" s="186"/>
      <c r="K381" s="186"/>
      <c r="L381" s="136"/>
      <c r="M381" s="186"/>
      <c r="N381" s="186"/>
      <c r="O381" s="186"/>
      <c r="P381" s="186"/>
      <c r="Q381" s="186"/>
      <c r="R381" s="186"/>
      <c r="S381" s="186"/>
      <c r="T381" s="186"/>
      <c r="U381" s="186"/>
      <c r="V381" s="186"/>
      <c r="W381" s="190"/>
      <c r="X381" s="186"/>
      <c r="Y381" s="186"/>
      <c r="Z381" s="186"/>
      <c r="AA381" s="186"/>
      <c r="AB381" s="186"/>
      <c r="AC381" s="186"/>
      <c r="AD381" s="48"/>
      <c r="AE381" s="48"/>
      <c r="AF381" s="48"/>
      <c r="AG381" s="48"/>
      <c r="AH381" s="48"/>
      <c r="AI381" s="48"/>
      <c r="AJ381" s="48"/>
      <c r="AK381" s="48"/>
      <c r="AL381" s="48"/>
      <c r="AM381" s="48"/>
      <c r="AN381" s="48"/>
      <c r="AO381" s="481"/>
      <c r="AP381" s="481"/>
      <c r="AQ381" s="481"/>
      <c r="AR381" s="481"/>
      <c r="AS381" s="481"/>
      <c r="AT381" s="481"/>
      <c r="AU381" s="481"/>
      <c r="AV381" s="481"/>
      <c r="AW381" s="481"/>
      <c r="AX381" s="481"/>
      <c r="AY381" s="481"/>
      <c r="AZ381" s="481"/>
      <c r="BA381" s="481"/>
      <c r="BB381" s="481"/>
      <c r="BC381" s="481"/>
      <c r="BD381" s="481"/>
      <c r="BE381" s="481"/>
      <c r="BF381" s="481"/>
      <c r="BG381" s="481"/>
      <c r="BH381" s="481"/>
      <c r="BI381" s="481"/>
      <c r="BJ381" s="481"/>
      <c r="BK381" s="481"/>
      <c r="BL381" s="481"/>
      <c r="BM381" s="481"/>
      <c r="BN381" s="481"/>
      <c r="BO381" s="481"/>
      <c r="BP381" s="481"/>
      <c r="BQ381" s="481"/>
      <c r="BR381" s="481"/>
      <c r="BS381" s="481"/>
      <c r="BT381" s="481"/>
      <c r="BU381" s="481"/>
      <c r="BV381" s="481"/>
      <c r="BW381" s="481"/>
      <c r="BX381" s="481"/>
      <c r="BY381" s="481"/>
      <c r="BZ381" s="481"/>
      <c r="CA381" s="481"/>
      <c r="CB381" s="481"/>
      <c r="CC381" s="481"/>
      <c r="CD381" s="481"/>
      <c r="CE381" s="481"/>
      <c r="CF381" s="481"/>
      <c r="CG381" s="481"/>
      <c r="CH381" s="481"/>
      <c r="CI381" s="481"/>
      <c r="CJ381" s="481"/>
      <c r="CK381" s="481"/>
      <c r="CL381" s="481"/>
      <c r="CM381" s="481"/>
      <c r="CN381" s="481"/>
      <c r="CO381" s="481"/>
      <c r="CP381" s="481"/>
      <c r="CQ381" s="481"/>
      <c r="CR381" s="481"/>
      <c r="CS381" s="481"/>
      <c r="CT381" s="481"/>
      <c r="CU381" s="481"/>
      <c r="CV381" s="481"/>
      <c r="CW381" s="481"/>
      <c r="CX381" s="481"/>
      <c r="CY381" s="481"/>
      <c r="CZ381" s="481"/>
      <c r="DA381" s="481"/>
      <c r="DB381" s="481"/>
      <c r="DC381" s="481"/>
      <c r="DD381" s="481"/>
      <c r="DE381" s="481"/>
      <c r="DF381" s="481"/>
      <c r="DG381" s="481"/>
      <c r="DH381" s="481"/>
      <c r="DI381" s="481"/>
      <c r="DJ381" s="481"/>
      <c r="DK381" s="481"/>
      <c r="DL381" s="481"/>
      <c r="DM381" s="481"/>
      <c r="DN381" s="481"/>
      <c r="DO381" s="481"/>
      <c r="DP381" s="481"/>
      <c r="DQ381" s="481"/>
      <c r="DR381" s="481"/>
      <c r="DS381" s="481"/>
      <c r="DT381" s="481"/>
      <c r="DU381" s="481"/>
      <c r="DV381" s="481"/>
      <c r="DW381" s="481"/>
      <c r="DX381" s="481"/>
      <c r="DY381" s="481"/>
      <c r="DZ381" s="481"/>
      <c r="EA381" s="481"/>
      <c r="EB381" s="481"/>
      <c r="EC381" s="481"/>
      <c r="ED381" s="481"/>
      <c r="EE381" s="481"/>
      <c r="EF381" s="481"/>
      <c r="EG381" s="481"/>
      <c r="EH381" s="481"/>
      <c r="EI381" s="481"/>
      <c r="EJ381" s="481"/>
      <c r="EK381" s="481"/>
      <c r="EL381" s="481"/>
      <c r="EM381" s="481"/>
      <c r="EN381" s="481"/>
      <c r="EO381" s="481"/>
      <c r="EP381" s="481"/>
      <c r="EQ381" s="481"/>
      <c r="ER381" s="481"/>
      <c r="ES381" s="481"/>
      <c r="ET381" s="481"/>
      <c r="EU381" s="481"/>
      <c r="EV381" s="481"/>
      <c r="EW381" s="481"/>
      <c r="EX381" s="481"/>
      <c r="EY381" s="481"/>
      <c r="EZ381" s="481"/>
      <c r="FA381" s="481"/>
      <c r="FB381" s="481"/>
      <c r="FC381" s="481"/>
      <c r="FD381" s="481"/>
    </row>
    <row r="382" spans="1:160" ht="14.25" hidden="1" customHeight="1" x14ac:dyDescent="0.2">
      <c r="A382" s="186"/>
      <c r="B382" s="186"/>
      <c r="C382" s="186"/>
      <c r="D382" s="186"/>
      <c r="E382" s="186"/>
      <c r="F382" s="186"/>
      <c r="G382" s="186"/>
      <c r="H382" s="217" t="s">
        <v>227</v>
      </c>
      <c r="I382" s="48"/>
      <c r="J382" s="1973" t="s">
        <v>481</v>
      </c>
      <c r="K382" s="1974"/>
      <c r="L382" s="1974"/>
      <c r="M382" s="1974"/>
      <c r="N382" s="1974"/>
      <c r="O382" s="1974"/>
      <c r="P382" s="1974"/>
      <c r="Q382" s="1974"/>
      <c r="R382" s="1974"/>
      <c r="S382" s="1974"/>
      <c r="T382" s="1974"/>
      <c r="U382" s="1974"/>
      <c r="V382" s="1974"/>
      <c r="W382" s="1975"/>
      <c r="X382" s="186"/>
      <c r="Y382" s="1698" t="s">
        <v>489</v>
      </c>
      <c r="Z382" s="1699"/>
      <c r="AA382" s="1699"/>
      <c r="AB382" s="1699"/>
      <c r="AC382" s="1699"/>
      <c r="AD382" s="1699"/>
      <c r="AE382" s="1699"/>
      <c r="AF382" s="1699"/>
      <c r="AG382" s="1699"/>
      <c r="AH382" s="1699"/>
      <c r="AI382" s="1699"/>
      <c r="AJ382" s="1699"/>
      <c r="AK382" s="1699"/>
      <c r="AL382" s="1700"/>
      <c r="AM382" s="48"/>
      <c r="AN382" s="48"/>
      <c r="AO382" s="481"/>
      <c r="AP382" s="481"/>
      <c r="AQ382" s="481"/>
      <c r="AR382" s="481"/>
      <c r="AS382" s="481"/>
      <c r="AT382" s="481"/>
      <c r="AU382" s="481"/>
      <c r="AV382" s="481"/>
      <c r="AW382" s="481"/>
      <c r="AX382" s="481"/>
      <c r="AY382" s="481"/>
      <c r="AZ382" s="481"/>
      <c r="BA382" s="481"/>
      <c r="BB382" s="481"/>
      <c r="BC382" s="481"/>
      <c r="BD382" s="481"/>
      <c r="BE382" s="481"/>
      <c r="BF382" s="481"/>
      <c r="BG382" s="481"/>
      <c r="BH382" s="481"/>
      <c r="BI382" s="481"/>
      <c r="BJ382" s="481"/>
      <c r="BK382" s="481"/>
      <c r="BL382" s="481"/>
      <c r="BM382" s="481"/>
      <c r="BN382" s="481"/>
      <c r="BO382" s="481"/>
      <c r="BP382" s="481"/>
      <c r="BQ382" s="481"/>
      <c r="BR382" s="481"/>
      <c r="BS382" s="481"/>
      <c r="BT382" s="481"/>
      <c r="BU382" s="481"/>
      <c r="BV382" s="481"/>
      <c r="BW382" s="481"/>
      <c r="BX382" s="481"/>
      <c r="BY382" s="481"/>
      <c r="BZ382" s="481"/>
      <c r="CA382" s="481"/>
      <c r="CB382" s="481"/>
      <c r="CC382" s="481"/>
      <c r="CD382" s="481"/>
      <c r="CE382" s="481"/>
      <c r="CF382" s="481"/>
      <c r="CG382" s="481"/>
      <c r="CH382" s="481"/>
      <c r="CI382" s="481"/>
      <c r="CJ382" s="481"/>
      <c r="CK382" s="481"/>
      <c r="CL382" s="481"/>
      <c r="CM382" s="481"/>
      <c r="CN382" s="481"/>
      <c r="CO382" s="481"/>
      <c r="CP382" s="481"/>
      <c r="CQ382" s="481"/>
      <c r="CR382" s="481"/>
      <c r="CS382" s="481"/>
      <c r="CT382" s="481"/>
      <c r="CU382" s="481"/>
      <c r="CV382" s="481"/>
      <c r="CW382" s="481"/>
      <c r="CX382" s="481"/>
      <c r="CY382" s="481"/>
      <c r="CZ382" s="481"/>
      <c r="DA382" s="481"/>
      <c r="DB382" s="481"/>
      <c r="DC382" s="481"/>
      <c r="DD382" s="481"/>
      <c r="DE382" s="481"/>
      <c r="DF382" s="481"/>
      <c r="DG382" s="481"/>
      <c r="DH382" s="481"/>
      <c r="DI382" s="481"/>
      <c r="DJ382" s="481"/>
      <c r="DK382" s="481"/>
      <c r="DL382" s="481"/>
      <c r="DM382" s="481"/>
      <c r="DN382" s="481"/>
      <c r="DO382" s="481"/>
      <c r="DP382" s="481"/>
      <c r="DQ382" s="481"/>
      <c r="DR382" s="481"/>
      <c r="DS382" s="481"/>
      <c r="DT382" s="481"/>
      <c r="DU382" s="481"/>
      <c r="DV382" s="481"/>
      <c r="DW382" s="481"/>
      <c r="DX382" s="481"/>
      <c r="DY382" s="481"/>
      <c r="DZ382" s="481"/>
      <c r="EA382" s="481"/>
      <c r="EB382" s="481"/>
      <c r="EC382" s="481"/>
      <c r="ED382" s="481"/>
      <c r="EE382" s="481"/>
      <c r="EF382" s="481"/>
      <c r="EG382" s="481"/>
      <c r="EH382" s="481"/>
      <c r="EI382" s="481"/>
      <c r="EJ382" s="481"/>
      <c r="EK382" s="481"/>
      <c r="EL382" s="481"/>
      <c r="EM382" s="481"/>
      <c r="EN382" s="481"/>
      <c r="EO382" s="481"/>
      <c r="EP382" s="481"/>
      <c r="EQ382" s="481"/>
      <c r="ER382" s="481"/>
      <c r="ES382" s="481"/>
      <c r="ET382" s="481"/>
      <c r="EU382" s="481"/>
      <c r="EV382" s="481"/>
      <c r="EW382" s="481"/>
      <c r="EX382" s="481"/>
      <c r="EY382" s="481"/>
      <c r="EZ382" s="481"/>
      <c r="FA382" s="481"/>
      <c r="FB382" s="481"/>
      <c r="FC382" s="481"/>
      <c r="FD382" s="481"/>
    </row>
    <row r="383" spans="1:160" ht="14.25" hidden="1" customHeight="1" x14ac:dyDescent="0.2">
      <c r="A383" s="186"/>
      <c r="B383" s="186"/>
      <c r="C383" s="186"/>
      <c r="D383" s="186"/>
      <c r="E383" s="186"/>
      <c r="F383" s="186"/>
      <c r="G383" s="186"/>
      <c r="H383" s="217" t="s">
        <v>227</v>
      </c>
      <c r="I383" s="186"/>
      <c r="J383" s="1698" t="s">
        <v>351</v>
      </c>
      <c r="K383" s="1699"/>
      <c r="L383" s="1700"/>
      <c r="M383" s="1698" t="s">
        <v>352</v>
      </c>
      <c r="N383" s="1699"/>
      <c r="O383" s="1700"/>
      <c r="P383" s="1698" t="s">
        <v>357</v>
      </c>
      <c r="Q383" s="1699"/>
      <c r="R383" s="1700"/>
      <c r="S383" s="186"/>
      <c r="T383" s="186"/>
      <c r="U383" s="186"/>
      <c r="V383" s="186"/>
      <c r="W383" s="186"/>
      <c r="X383" s="186"/>
      <c r="Y383" s="1698" t="s">
        <v>737</v>
      </c>
      <c r="Z383" s="1699"/>
      <c r="AA383" s="1699"/>
      <c r="AB383" s="1699"/>
      <c r="AC383" s="1699"/>
      <c r="AD383" s="1699"/>
      <c r="AE383" s="1699"/>
      <c r="AF383" s="1699"/>
      <c r="AG383" s="1699"/>
      <c r="AH383" s="1699"/>
      <c r="AI383" s="1699"/>
      <c r="AJ383" s="1699"/>
      <c r="AK383" s="1699"/>
      <c r="AL383" s="1700"/>
      <c r="AM383" s="48"/>
      <c r="AN383" s="48"/>
      <c r="AO383" s="481"/>
      <c r="AP383" s="481"/>
      <c r="AQ383" s="481"/>
      <c r="AR383" s="481"/>
      <c r="AS383" s="481"/>
      <c r="AT383" s="481"/>
      <c r="AU383" s="481"/>
      <c r="AV383" s="481"/>
      <c r="AW383" s="481"/>
      <c r="AX383" s="481"/>
      <c r="AY383" s="481"/>
      <c r="AZ383" s="481"/>
      <c r="BA383" s="481"/>
      <c r="BB383" s="481"/>
      <c r="BC383" s="481"/>
      <c r="BD383" s="481"/>
      <c r="BE383" s="481"/>
      <c r="BF383" s="481"/>
      <c r="BG383" s="481"/>
      <c r="BH383" s="481"/>
      <c r="BI383" s="481"/>
      <c r="BJ383" s="481"/>
      <c r="BK383" s="481"/>
      <c r="BL383" s="481"/>
      <c r="BM383" s="481"/>
      <c r="BN383" s="481"/>
      <c r="BO383" s="481"/>
      <c r="BP383" s="481"/>
      <c r="BQ383" s="481"/>
      <c r="BR383" s="481"/>
      <c r="BS383" s="481"/>
      <c r="BT383" s="481"/>
      <c r="BU383" s="481"/>
      <c r="BV383" s="481"/>
      <c r="BW383" s="481"/>
      <c r="BX383" s="481"/>
      <c r="BY383" s="481"/>
      <c r="BZ383" s="481"/>
      <c r="CA383" s="481"/>
      <c r="CB383" s="481"/>
      <c r="CC383" s="481"/>
      <c r="CD383" s="481"/>
      <c r="CE383" s="481"/>
      <c r="CF383" s="481"/>
      <c r="CG383" s="481"/>
      <c r="CH383" s="481"/>
      <c r="CI383" s="481"/>
      <c r="CJ383" s="481"/>
      <c r="CK383" s="481"/>
      <c r="CL383" s="481"/>
      <c r="CM383" s="481"/>
      <c r="CN383" s="481"/>
      <c r="CO383" s="481"/>
      <c r="CP383" s="481"/>
      <c r="CQ383" s="481"/>
      <c r="CR383" s="481"/>
      <c r="CS383" s="481"/>
      <c r="CT383" s="481"/>
      <c r="CU383" s="481"/>
      <c r="CV383" s="481"/>
      <c r="CW383" s="481"/>
      <c r="CX383" s="481"/>
      <c r="CY383" s="481"/>
      <c r="CZ383" s="481"/>
      <c r="DA383" s="481"/>
      <c r="DB383" s="481"/>
      <c r="DC383" s="481"/>
      <c r="DD383" s="481"/>
      <c r="DE383" s="481"/>
      <c r="DF383" s="481"/>
      <c r="DG383" s="481"/>
      <c r="DH383" s="481"/>
      <c r="DI383" s="481"/>
      <c r="DJ383" s="481"/>
      <c r="DK383" s="481"/>
      <c r="DL383" s="481"/>
      <c r="DM383" s="481"/>
      <c r="DN383" s="481"/>
      <c r="DO383" s="481"/>
      <c r="DP383" s="481"/>
      <c r="DQ383" s="481"/>
      <c r="DR383" s="481"/>
      <c r="DS383" s="481"/>
      <c r="DT383" s="481"/>
      <c r="DU383" s="481"/>
      <c r="DV383" s="481"/>
      <c r="DW383" s="481"/>
      <c r="DX383" s="481"/>
      <c r="DY383" s="481"/>
      <c r="DZ383" s="481"/>
      <c r="EA383" s="481"/>
      <c r="EB383" s="481"/>
      <c r="EC383" s="481"/>
      <c r="ED383" s="481"/>
      <c r="EE383" s="481"/>
      <c r="EF383" s="481"/>
      <c r="EG383" s="481"/>
      <c r="EH383" s="481"/>
      <c r="EI383" s="481"/>
      <c r="EJ383" s="481"/>
      <c r="EK383" s="481"/>
      <c r="EL383" s="481"/>
      <c r="EM383" s="481"/>
      <c r="EN383" s="481"/>
      <c r="EO383" s="481"/>
      <c r="EP383" s="481"/>
      <c r="EQ383" s="481"/>
      <c r="ER383" s="481"/>
      <c r="ES383" s="481"/>
      <c r="ET383" s="481"/>
      <c r="EU383" s="481"/>
      <c r="EV383" s="481"/>
      <c r="EW383" s="481"/>
      <c r="EX383" s="481"/>
      <c r="EY383" s="481"/>
      <c r="EZ383" s="481"/>
      <c r="FA383" s="481"/>
      <c r="FB383" s="481"/>
      <c r="FC383" s="481"/>
      <c r="FD383" s="481"/>
    </row>
    <row r="384" spans="1:160" ht="14.25" hidden="1" customHeight="1" x14ac:dyDescent="0.2">
      <c r="A384" s="186"/>
      <c r="B384" s="186"/>
      <c r="C384" s="186"/>
      <c r="D384" s="186"/>
      <c r="E384" s="186"/>
      <c r="F384" s="186"/>
      <c r="G384" s="186"/>
      <c r="H384" s="186"/>
      <c r="I384" s="186"/>
      <c r="J384" s="186"/>
      <c r="K384" s="186"/>
      <c r="L384" s="186"/>
      <c r="M384" s="186"/>
      <c r="N384" s="186"/>
      <c r="O384" s="186"/>
      <c r="P384" s="186"/>
      <c r="Q384" s="186"/>
      <c r="R384" s="186"/>
      <c r="S384" s="186"/>
      <c r="T384" s="186"/>
      <c r="U384" s="186"/>
      <c r="V384" s="186"/>
      <c r="W384" s="186"/>
      <c r="X384" s="186"/>
      <c r="Y384" s="1698" t="s">
        <v>544</v>
      </c>
      <c r="Z384" s="1699"/>
      <c r="AA384" s="1699"/>
      <c r="AB384" s="1699"/>
      <c r="AC384" s="1699"/>
      <c r="AD384" s="1699"/>
      <c r="AE384" s="1699"/>
      <c r="AF384" s="1699"/>
      <c r="AG384" s="1699"/>
      <c r="AH384" s="1699"/>
      <c r="AI384" s="1699"/>
      <c r="AJ384" s="1699"/>
      <c r="AK384" s="1699"/>
      <c r="AL384" s="1700"/>
      <c r="AM384" s="48"/>
      <c r="AN384" s="48"/>
      <c r="AO384" s="481"/>
      <c r="AP384" s="481"/>
      <c r="AQ384" s="481"/>
      <c r="AR384" s="481"/>
      <c r="AS384" s="481"/>
      <c r="AT384" s="481"/>
      <c r="AU384" s="481"/>
      <c r="AV384" s="481"/>
      <c r="AW384" s="481"/>
      <c r="AX384" s="481"/>
      <c r="AY384" s="481"/>
      <c r="AZ384" s="481"/>
      <c r="BA384" s="481"/>
      <c r="BB384" s="481"/>
      <c r="BC384" s="481"/>
      <c r="BD384" s="481"/>
      <c r="BE384" s="481"/>
      <c r="BF384" s="481"/>
      <c r="BG384" s="481"/>
      <c r="BH384" s="481"/>
      <c r="BI384" s="481"/>
      <c r="BJ384" s="481"/>
      <c r="BK384" s="481"/>
      <c r="BL384" s="481"/>
      <c r="BM384" s="481"/>
      <c r="BN384" s="481"/>
      <c r="BO384" s="481"/>
      <c r="BP384" s="481"/>
      <c r="BQ384" s="481"/>
      <c r="BR384" s="481"/>
      <c r="BS384" s="481"/>
      <c r="BT384" s="481"/>
      <c r="BU384" s="481"/>
      <c r="BV384" s="481"/>
      <c r="BW384" s="481"/>
      <c r="BX384" s="481"/>
      <c r="BY384" s="481"/>
      <c r="BZ384" s="481"/>
      <c r="CA384" s="481"/>
      <c r="CB384" s="481"/>
      <c r="CC384" s="481"/>
      <c r="CD384" s="481"/>
      <c r="CE384" s="481"/>
      <c r="CF384" s="481"/>
      <c r="CG384" s="481"/>
      <c r="CH384" s="481"/>
      <c r="CI384" s="481"/>
      <c r="CJ384" s="481"/>
      <c r="CK384" s="481"/>
      <c r="CL384" s="481"/>
      <c r="CM384" s="481"/>
      <c r="CN384" s="481"/>
      <c r="CO384" s="481"/>
      <c r="CP384" s="481"/>
      <c r="CQ384" s="481"/>
      <c r="CR384" s="481"/>
      <c r="CS384" s="481"/>
      <c r="CT384" s="481"/>
      <c r="CU384" s="481"/>
      <c r="CV384" s="481"/>
      <c r="CW384" s="481"/>
      <c r="CX384" s="481"/>
      <c r="CY384" s="481"/>
      <c r="CZ384" s="481"/>
      <c r="DA384" s="481"/>
      <c r="DB384" s="481"/>
      <c r="DC384" s="481"/>
      <c r="DD384" s="481"/>
      <c r="DE384" s="481"/>
      <c r="DF384" s="481"/>
      <c r="DG384" s="481"/>
      <c r="DH384" s="481"/>
      <c r="DI384" s="481"/>
      <c r="DJ384" s="481"/>
      <c r="DK384" s="481"/>
      <c r="DL384" s="481"/>
      <c r="DM384" s="481"/>
      <c r="DN384" s="481"/>
      <c r="DO384" s="481"/>
      <c r="DP384" s="481"/>
      <c r="DQ384" s="481"/>
      <c r="DR384" s="481"/>
      <c r="DS384" s="481"/>
      <c r="DT384" s="481"/>
      <c r="DU384" s="481"/>
      <c r="DV384" s="481"/>
      <c r="DW384" s="481"/>
      <c r="DX384" s="481"/>
      <c r="DY384" s="481"/>
      <c r="DZ384" s="481"/>
      <c r="EA384" s="481"/>
      <c r="EB384" s="481"/>
      <c r="EC384" s="481"/>
      <c r="ED384" s="481"/>
      <c r="EE384" s="481"/>
      <c r="EF384" s="481"/>
      <c r="EG384" s="481"/>
      <c r="EH384" s="481"/>
      <c r="EI384" s="481"/>
      <c r="EJ384" s="481"/>
      <c r="EK384" s="481"/>
      <c r="EL384" s="481"/>
      <c r="EM384" s="481"/>
      <c r="EN384" s="481"/>
      <c r="EO384" s="481"/>
      <c r="EP384" s="481"/>
      <c r="EQ384" s="481"/>
      <c r="ER384" s="481"/>
      <c r="ES384" s="481"/>
      <c r="ET384" s="481"/>
      <c r="EU384" s="481"/>
      <c r="EV384" s="481"/>
      <c r="EW384" s="481"/>
      <c r="EX384" s="481"/>
      <c r="EY384" s="481"/>
      <c r="EZ384" s="481"/>
      <c r="FA384" s="481"/>
      <c r="FB384" s="481"/>
      <c r="FC384" s="481"/>
      <c r="FD384" s="481"/>
    </row>
    <row r="385" spans="1:160" hidden="1" x14ac:dyDescent="0.2">
      <c r="A385" s="186"/>
      <c r="B385" s="186"/>
      <c r="C385" s="186"/>
      <c r="D385" s="186"/>
      <c r="E385" s="186"/>
      <c r="F385" s="186"/>
      <c r="G385" s="186"/>
      <c r="H385" s="186"/>
      <c r="I385" s="186"/>
      <c r="J385" s="186"/>
      <c r="K385" s="186"/>
      <c r="L385" s="186"/>
      <c r="M385" s="186"/>
      <c r="N385" s="186"/>
      <c r="O385" s="186"/>
      <c r="P385" s="186"/>
      <c r="Q385" s="186"/>
      <c r="R385" s="186"/>
      <c r="S385" s="186"/>
      <c r="T385" s="186"/>
      <c r="U385" s="186"/>
      <c r="V385" s="186"/>
      <c r="W385" s="186"/>
      <c r="X385" s="186"/>
      <c r="Y385" s="186"/>
      <c r="Z385" s="186"/>
      <c r="AA385" s="186"/>
      <c r="AB385" s="186"/>
      <c r="AC385" s="186"/>
      <c r="AD385" s="48"/>
      <c r="AE385" s="48"/>
      <c r="AF385" s="48"/>
      <c r="AG385" s="48"/>
      <c r="AH385" s="48"/>
      <c r="AI385" s="48"/>
      <c r="AJ385" s="48"/>
      <c r="AK385" s="48"/>
      <c r="AL385" s="48"/>
      <c r="AM385" s="48"/>
      <c r="AN385" s="48"/>
      <c r="AO385" s="481"/>
      <c r="AP385" s="481"/>
      <c r="AQ385" s="481"/>
      <c r="AR385" s="481"/>
      <c r="AS385" s="481"/>
      <c r="AT385" s="481"/>
      <c r="AU385" s="481"/>
      <c r="AV385" s="481"/>
      <c r="AW385" s="481"/>
      <c r="AX385" s="481"/>
      <c r="AY385" s="481"/>
      <c r="AZ385" s="481"/>
      <c r="BA385" s="481"/>
      <c r="BB385" s="481"/>
      <c r="BC385" s="481"/>
      <c r="BD385" s="481"/>
      <c r="BE385" s="481"/>
      <c r="BF385" s="481"/>
      <c r="BG385" s="481"/>
      <c r="BH385" s="481"/>
      <c r="BI385" s="481"/>
      <c r="BJ385" s="481"/>
      <c r="BK385" s="481"/>
      <c r="BL385" s="481"/>
      <c r="BM385" s="481"/>
      <c r="BN385" s="481"/>
      <c r="BO385" s="481"/>
      <c r="BP385" s="481"/>
      <c r="BQ385" s="481"/>
      <c r="BR385" s="481"/>
      <c r="BS385" s="481"/>
      <c r="BT385" s="481"/>
      <c r="BU385" s="481"/>
      <c r="BV385" s="481"/>
      <c r="BW385" s="481"/>
      <c r="BX385" s="481"/>
      <c r="BY385" s="481"/>
      <c r="BZ385" s="481"/>
      <c r="CA385" s="481"/>
      <c r="CB385" s="481"/>
      <c r="CC385" s="481"/>
      <c r="CD385" s="481"/>
      <c r="CE385" s="481"/>
      <c r="CF385" s="481"/>
      <c r="CG385" s="481"/>
      <c r="CH385" s="481"/>
      <c r="CI385" s="481"/>
      <c r="CJ385" s="481"/>
      <c r="CK385" s="481"/>
      <c r="CL385" s="481"/>
      <c r="CM385" s="481"/>
      <c r="CN385" s="481"/>
      <c r="CO385" s="481"/>
      <c r="CP385" s="481"/>
      <c r="CQ385" s="481"/>
      <c r="CR385" s="481"/>
      <c r="CS385" s="481"/>
      <c r="CT385" s="481"/>
      <c r="CU385" s="481"/>
      <c r="CV385" s="481"/>
      <c r="CW385" s="481"/>
      <c r="CX385" s="481"/>
      <c r="CY385" s="481"/>
      <c r="CZ385" s="481"/>
      <c r="DA385" s="481"/>
      <c r="DB385" s="481"/>
      <c r="DC385" s="481"/>
      <c r="DD385" s="481"/>
      <c r="DE385" s="481"/>
      <c r="DF385" s="481"/>
      <c r="DG385" s="481"/>
      <c r="DH385" s="481"/>
      <c r="DI385" s="481"/>
      <c r="DJ385" s="481"/>
      <c r="DK385" s="481"/>
      <c r="DL385" s="481"/>
      <c r="DM385" s="481"/>
      <c r="DN385" s="481"/>
      <c r="DO385" s="481"/>
      <c r="DP385" s="481"/>
      <c r="DQ385" s="481"/>
      <c r="DR385" s="481"/>
      <c r="DS385" s="481"/>
      <c r="DT385" s="481"/>
      <c r="DU385" s="481"/>
      <c r="DV385" s="481"/>
      <c r="DW385" s="481"/>
      <c r="DX385" s="481"/>
      <c r="DY385" s="481"/>
      <c r="DZ385" s="481"/>
      <c r="EA385" s="481"/>
      <c r="EB385" s="481"/>
      <c r="EC385" s="481"/>
      <c r="ED385" s="481"/>
      <c r="EE385" s="481"/>
      <c r="EF385" s="481"/>
      <c r="EG385" s="481"/>
      <c r="EH385" s="481"/>
      <c r="EI385" s="481"/>
      <c r="EJ385" s="481"/>
      <c r="EK385" s="481"/>
      <c r="EL385" s="481"/>
      <c r="EM385" s="481"/>
      <c r="EN385" s="481"/>
      <c r="EO385" s="481"/>
      <c r="EP385" s="481"/>
      <c r="EQ385" s="481"/>
      <c r="ER385" s="481"/>
      <c r="ES385" s="481"/>
      <c r="ET385" s="481"/>
      <c r="EU385" s="481"/>
      <c r="EV385" s="481"/>
      <c r="EW385" s="481"/>
      <c r="EX385" s="481"/>
      <c r="EY385" s="481"/>
      <c r="EZ385" s="481"/>
      <c r="FA385" s="481"/>
      <c r="FB385" s="481"/>
      <c r="FC385" s="481"/>
      <c r="FD385" s="481"/>
    </row>
    <row r="386" spans="1:160" hidden="1" x14ac:dyDescent="0.2">
      <c r="A386" s="186"/>
      <c r="B386" s="186"/>
      <c r="C386" s="186"/>
      <c r="D386" s="186"/>
      <c r="E386" s="186"/>
      <c r="F386" s="186"/>
      <c r="G386" s="186"/>
      <c r="H386" s="186"/>
      <c r="I386" s="186"/>
      <c r="J386" s="186"/>
      <c r="K386" s="186"/>
      <c r="L386" s="186"/>
      <c r="M386" s="186"/>
      <c r="N386" s="186"/>
      <c r="O386" s="186"/>
      <c r="P386" s="186"/>
      <c r="Q386" s="186"/>
      <c r="R386" s="186"/>
      <c r="S386" s="186"/>
      <c r="T386" s="186"/>
      <c r="U386" s="186"/>
      <c r="V386" s="186"/>
      <c r="W386" s="186"/>
      <c r="X386" s="186"/>
      <c r="Y386" s="186"/>
      <c r="Z386" s="186"/>
      <c r="AA386" s="186"/>
      <c r="AB386" s="186"/>
      <c r="AC386" s="186"/>
      <c r="AD386" s="48"/>
      <c r="AE386" s="48"/>
      <c r="AF386" s="48"/>
      <c r="AG386" s="48"/>
      <c r="AH386" s="48"/>
      <c r="AI386" s="48"/>
      <c r="AJ386" s="48"/>
      <c r="AK386" s="48"/>
      <c r="AL386" s="48"/>
      <c r="AM386" s="48"/>
      <c r="AN386" s="48"/>
      <c r="AO386" s="481"/>
      <c r="AP386" s="481"/>
      <c r="AQ386" s="481"/>
      <c r="AR386" s="481"/>
      <c r="AS386" s="481"/>
      <c r="AT386" s="481"/>
      <c r="AU386" s="481"/>
      <c r="AV386" s="481"/>
      <c r="AW386" s="481"/>
      <c r="AX386" s="481"/>
      <c r="AY386" s="481"/>
      <c r="AZ386" s="481"/>
      <c r="BA386" s="481"/>
      <c r="BB386" s="481"/>
      <c r="BC386" s="481"/>
      <c r="BD386" s="481"/>
      <c r="BE386" s="481"/>
      <c r="BF386" s="481"/>
      <c r="BG386" s="481"/>
      <c r="BH386" s="481"/>
      <c r="BI386" s="481"/>
      <c r="BJ386" s="481"/>
      <c r="BK386" s="481"/>
      <c r="BL386" s="481"/>
      <c r="BM386" s="481"/>
      <c r="BN386" s="481"/>
      <c r="BO386" s="481"/>
      <c r="BP386" s="481"/>
      <c r="BQ386" s="481"/>
      <c r="BR386" s="481"/>
      <c r="BS386" s="481"/>
      <c r="BT386" s="481"/>
      <c r="BU386" s="481"/>
      <c r="BV386" s="481"/>
      <c r="BW386" s="481"/>
      <c r="BX386" s="481"/>
      <c r="BY386" s="481"/>
      <c r="BZ386" s="481"/>
      <c r="CA386" s="481"/>
      <c r="CB386" s="481"/>
      <c r="CC386" s="481"/>
      <c r="CD386" s="481"/>
      <c r="CE386" s="481"/>
      <c r="CF386" s="481"/>
      <c r="CG386" s="481"/>
      <c r="CH386" s="481"/>
      <c r="CI386" s="481"/>
      <c r="CJ386" s="481"/>
      <c r="CK386" s="481"/>
      <c r="CL386" s="481"/>
      <c r="CM386" s="481"/>
      <c r="CN386" s="481"/>
      <c r="CO386" s="481"/>
      <c r="CP386" s="481"/>
      <c r="CQ386" s="481"/>
      <c r="CR386" s="481"/>
      <c r="CS386" s="481"/>
      <c r="CT386" s="481"/>
      <c r="CU386" s="481"/>
      <c r="CV386" s="481"/>
      <c r="CW386" s="481"/>
      <c r="CX386" s="481"/>
      <c r="CY386" s="481"/>
      <c r="CZ386" s="481"/>
      <c r="DA386" s="481"/>
      <c r="DB386" s="481"/>
      <c r="DC386" s="481"/>
      <c r="DD386" s="481"/>
      <c r="DE386" s="481"/>
      <c r="DF386" s="481"/>
      <c r="DG386" s="481"/>
      <c r="DH386" s="481"/>
      <c r="DI386" s="481"/>
      <c r="DJ386" s="481"/>
      <c r="DK386" s="481"/>
      <c r="DL386" s="481"/>
      <c r="DM386" s="481"/>
      <c r="DN386" s="481"/>
      <c r="DO386" s="481"/>
      <c r="DP386" s="481"/>
      <c r="DQ386" s="481"/>
      <c r="DR386" s="481"/>
      <c r="DS386" s="481"/>
      <c r="DT386" s="481"/>
      <c r="DU386" s="481"/>
      <c r="DV386" s="481"/>
      <c r="DW386" s="481"/>
      <c r="DX386" s="481"/>
      <c r="DY386" s="481"/>
      <c r="DZ386" s="481"/>
      <c r="EA386" s="481"/>
      <c r="EB386" s="481"/>
      <c r="EC386" s="481"/>
      <c r="ED386" s="481"/>
      <c r="EE386" s="481"/>
      <c r="EF386" s="481"/>
      <c r="EG386" s="481"/>
      <c r="EH386" s="481"/>
      <c r="EI386" s="481"/>
      <c r="EJ386" s="481"/>
      <c r="EK386" s="481"/>
      <c r="EL386" s="481"/>
      <c r="EM386" s="481"/>
      <c r="EN386" s="481"/>
      <c r="EO386" s="481"/>
      <c r="EP386" s="481"/>
      <c r="EQ386" s="481"/>
      <c r="ER386" s="481"/>
      <c r="ES386" s="481"/>
      <c r="ET386" s="481"/>
      <c r="EU386" s="481"/>
      <c r="EV386" s="481"/>
      <c r="EW386" s="481"/>
      <c r="EX386" s="481"/>
      <c r="EY386" s="481"/>
      <c r="EZ386" s="481"/>
      <c r="FA386" s="481"/>
      <c r="FB386" s="481"/>
      <c r="FC386" s="481"/>
      <c r="FD386" s="481"/>
    </row>
    <row r="387" spans="1:160" hidden="1" x14ac:dyDescent="0.2">
      <c r="A387" s="48"/>
      <c r="B387" s="166">
        <f>IF(Presentazione!K83="",-1,IF(Presentazione!K83=Presentazione!J165,1,-1))</f>
        <v>-1</v>
      </c>
      <c r="C387" s="166" t="s">
        <v>251</v>
      </c>
      <c r="D387" s="186"/>
      <c r="E387" s="186"/>
      <c r="F387" s="186"/>
      <c r="G387" s="522">
        <f ca="1">IF(Presentazione!C85&gt;0,1,0)</f>
        <v>0</v>
      </c>
      <c r="H387" s="522" t="s">
        <v>252</v>
      </c>
      <c r="I387" s="186"/>
      <c r="J387" s="48"/>
      <c r="K387" s="186"/>
      <c r="L387" s="186"/>
      <c r="M387" s="186"/>
      <c r="N387" s="522">
        <f>Presentazione!K159</f>
        <v>18</v>
      </c>
      <c r="O387" s="522" t="s">
        <v>170</v>
      </c>
      <c r="P387" s="186"/>
      <c r="Q387" s="186"/>
      <c r="R387" s="186"/>
      <c r="S387" s="186"/>
      <c r="T387" s="186"/>
      <c r="U387" s="199">
        <v>1</v>
      </c>
      <c r="V387" s="170" t="s">
        <v>398</v>
      </c>
      <c r="W387" s="186"/>
      <c r="X387" s="186"/>
      <c r="Y387" s="186"/>
      <c r="Z387" s="186"/>
      <c r="AA387" s="186"/>
      <c r="AB387" s="186"/>
      <c r="AC387" s="48"/>
      <c r="AD387" s="48"/>
      <c r="AE387" s="48"/>
      <c r="AF387" s="48"/>
      <c r="AG387" s="48"/>
      <c r="AH387" s="48"/>
      <c r="AI387" s="48"/>
      <c r="AJ387" s="48"/>
      <c r="AK387" s="48"/>
      <c r="AL387" s="48"/>
      <c r="AM387" s="48"/>
      <c r="AN387" s="48"/>
      <c r="AO387" s="481"/>
      <c r="AP387" s="481"/>
      <c r="AQ387" s="481"/>
      <c r="AR387" s="481"/>
      <c r="AS387" s="481"/>
      <c r="AT387" s="481"/>
      <c r="AU387" s="481"/>
      <c r="AV387" s="481"/>
      <c r="AW387" s="481"/>
      <c r="AX387" s="481"/>
      <c r="AY387" s="481"/>
      <c r="AZ387" s="481"/>
      <c r="BA387" s="481"/>
      <c r="BB387" s="481"/>
      <c r="BC387" s="481"/>
      <c r="BD387" s="481"/>
      <c r="BE387" s="481"/>
      <c r="BF387" s="481"/>
      <c r="BG387" s="481"/>
      <c r="BH387" s="481"/>
      <c r="BI387" s="481"/>
      <c r="BJ387" s="481"/>
      <c r="BK387" s="481"/>
      <c r="BL387" s="481"/>
      <c r="BM387" s="481"/>
      <c r="BN387" s="481"/>
      <c r="BO387" s="481"/>
      <c r="BP387" s="481"/>
      <c r="BQ387" s="481"/>
      <c r="BR387" s="481"/>
      <c r="BS387" s="481"/>
      <c r="BT387" s="481"/>
      <c r="BU387" s="481"/>
      <c r="BV387" s="481"/>
      <c r="BW387" s="481"/>
      <c r="BX387" s="481"/>
      <c r="BY387" s="481"/>
      <c r="BZ387" s="481"/>
      <c r="CA387" s="481"/>
      <c r="CB387" s="481"/>
      <c r="CC387" s="481"/>
      <c r="CD387" s="481"/>
      <c r="CE387" s="481"/>
      <c r="CF387" s="481"/>
      <c r="CG387" s="481"/>
      <c r="CH387" s="481"/>
      <c r="CI387" s="481"/>
      <c r="CJ387" s="481"/>
      <c r="CK387" s="481"/>
      <c r="CL387" s="481"/>
      <c r="CM387" s="481"/>
      <c r="CN387" s="481"/>
      <c r="CO387" s="481"/>
      <c r="CP387" s="481"/>
      <c r="CQ387" s="481"/>
      <c r="CR387" s="481"/>
      <c r="CS387" s="481"/>
      <c r="CT387" s="481"/>
      <c r="CU387" s="481"/>
      <c r="CV387" s="481"/>
      <c r="CW387" s="481"/>
      <c r="CX387" s="481"/>
      <c r="CY387" s="481"/>
      <c r="CZ387" s="481"/>
      <c r="DA387" s="481"/>
      <c r="DB387" s="481"/>
      <c r="DC387" s="481"/>
      <c r="DD387" s="481"/>
      <c r="DE387" s="481"/>
      <c r="DF387" s="481"/>
      <c r="DG387" s="481"/>
      <c r="DH387" s="481"/>
      <c r="DI387" s="481"/>
      <c r="DJ387" s="481"/>
      <c r="DK387" s="481"/>
      <c r="DL387" s="481"/>
      <c r="DM387" s="481"/>
      <c r="DN387" s="481"/>
      <c r="DO387" s="481"/>
      <c r="DP387" s="481"/>
      <c r="DQ387" s="481"/>
      <c r="DR387" s="481"/>
      <c r="DS387" s="481"/>
      <c r="DT387" s="481"/>
      <c r="DU387" s="481"/>
      <c r="DV387" s="481"/>
      <c r="DW387" s="481"/>
      <c r="DX387" s="481"/>
      <c r="DY387" s="481"/>
      <c r="DZ387" s="481"/>
      <c r="EA387" s="481"/>
      <c r="EB387" s="481"/>
      <c r="EC387" s="481"/>
      <c r="ED387" s="481"/>
      <c r="EE387" s="481"/>
      <c r="EF387" s="481"/>
      <c r="EG387" s="481"/>
      <c r="EH387" s="481"/>
      <c r="EI387" s="481"/>
      <c r="EJ387" s="481"/>
      <c r="EK387" s="481"/>
      <c r="EL387" s="481"/>
      <c r="EM387" s="481"/>
      <c r="EN387" s="481"/>
      <c r="EO387" s="481"/>
      <c r="EP387" s="481"/>
      <c r="EQ387" s="481"/>
      <c r="ER387" s="481"/>
      <c r="ES387" s="481"/>
      <c r="ET387" s="481"/>
      <c r="EU387" s="481"/>
      <c r="EV387" s="481"/>
      <c r="EW387" s="481"/>
      <c r="EX387" s="481"/>
      <c r="EY387" s="481"/>
      <c r="EZ387" s="481"/>
      <c r="FA387" s="481"/>
      <c r="FB387" s="481"/>
      <c r="FC387" s="481"/>
      <c r="FD387" s="481"/>
    </row>
    <row r="388" spans="1:160" hidden="1" x14ac:dyDescent="0.2">
      <c r="A388" s="48"/>
      <c r="B388" s="188"/>
      <c r="C388" s="48"/>
      <c r="D388" s="48"/>
      <c r="E388" s="48"/>
      <c r="F388" s="48"/>
      <c r="G388" s="188"/>
      <c r="H388" s="188"/>
      <c r="I388" s="188"/>
      <c r="J388" s="188"/>
      <c r="K388" s="186"/>
      <c r="L388" s="186"/>
      <c r="M388" s="186"/>
      <c r="N388" s="48"/>
      <c r="O388" s="48"/>
      <c r="P388" s="48"/>
      <c r="Q388" s="186"/>
      <c r="R388" s="186"/>
      <c r="S388" s="186"/>
      <c r="T388" s="186"/>
      <c r="U388" s="186"/>
      <c r="V388" s="186"/>
      <c r="W388" s="186"/>
      <c r="X388" s="186"/>
      <c r="Y388" s="186"/>
      <c r="Z388" s="186"/>
      <c r="AA388" s="186"/>
      <c r="AB388" s="186"/>
      <c r="AC388" s="48"/>
      <c r="AD388" s="48"/>
      <c r="AE388" s="48"/>
      <c r="AF388" s="48"/>
      <c r="AG388" s="48"/>
      <c r="AH388" s="48"/>
      <c r="AI388" s="48"/>
      <c r="AJ388" s="48"/>
      <c r="AK388" s="48"/>
      <c r="AL388" s="48"/>
      <c r="AM388" s="48"/>
      <c r="AN388" s="48"/>
      <c r="AO388" s="481"/>
      <c r="AP388" s="481"/>
      <c r="AQ388" s="481"/>
      <c r="AR388" s="481"/>
      <c r="AS388" s="481"/>
      <c r="AT388" s="481"/>
      <c r="AU388" s="481"/>
      <c r="AV388" s="481"/>
      <c r="AW388" s="481"/>
      <c r="AX388" s="481"/>
      <c r="AY388" s="481"/>
      <c r="AZ388" s="481"/>
      <c r="BA388" s="481"/>
      <c r="BB388" s="481"/>
      <c r="BC388" s="481"/>
      <c r="BD388" s="481"/>
      <c r="BE388" s="481"/>
      <c r="BF388" s="481"/>
      <c r="BG388" s="481"/>
      <c r="BH388" s="481"/>
      <c r="BI388" s="481"/>
      <c r="BJ388" s="481"/>
      <c r="BK388" s="481"/>
      <c r="BL388" s="481"/>
      <c r="BM388" s="481"/>
      <c r="BN388" s="481"/>
      <c r="BO388" s="481"/>
      <c r="BP388" s="481"/>
      <c r="BQ388" s="481"/>
      <c r="BR388" s="481"/>
      <c r="BS388" s="481"/>
      <c r="BT388" s="481"/>
      <c r="BU388" s="481"/>
      <c r="BV388" s="481"/>
      <c r="BW388" s="481"/>
      <c r="BX388" s="481"/>
      <c r="BY388" s="481"/>
      <c r="BZ388" s="481"/>
      <c r="CA388" s="481"/>
      <c r="CB388" s="481"/>
      <c r="CC388" s="481"/>
      <c r="CD388" s="481"/>
      <c r="CE388" s="481"/>
      <c r="CF388" s="481"/>
      <c r="CG388" s="481"/>
      <c r="CH388" s="481"/>
      <c r="CI388" s="481"/>
      <c r="CJ388" s="481"/>
      <c r="CK388" s="481"/>
      <c r="CL388" s="481"/>
      <c r="CM388" s="481"/>
      <c r="CN388" s="481"/>
      <c r="CO388" s="481"/>
      <c r="CP388" s="481"/>
      <c r="CQ388" s="481"/>
      <c r="CR388" s="481"/>
      <c r="CS388" s="481"/>
      <c r="CT388" s="481"/>
      <c r="CU388" s="481"/>
      <c r="CV388" s="481"/>
      <c r="CW388" s="481"/>
      <c r="CX388" s="481"/>
      <c r="CY388" s="481"/>
      <c r="CZ388" s="481"/>
      <c r="DA388" s="481"/>
      <c r="DB388" s="481"/>
      <c r="DC388" s="481"/>
      <c r="DD388" s="481"/>
      <c r="DE388" s="481"/>
      <c r="DF388" s="481"/>
      <c r="DG388" s="481"/>
      <c r="DH388" s="481"/>
      <c r="DI388" s="481"/>
      <c r="DJ388" s="481"/>
      <c r="DK388" s="481"/>
      <c r="DL388" s="481"/>
      <c r="DM388" s="481"/>
      <c r="DN388" s="481"/>
      <c r="DO388" s="481"/>
      <c r="DP388" s="481"/>
      <c r="DQ388" s="481"/>
      <c r="DR388" s="481"/>
      <c r="DS388" s="481"/>
      <c r="DT388" s="481"/>
      <c r="DU388" s="481"/>
      <c r="DV388" s="481"/>
      <c r="DW388" s="481"/>
      <c r="DX388" s="481"/>
      <c r="DY388" s="481"/>
      <c r="DZ388" s="481"/>
      <c r="EA388" s="481"/>
      <c r="EB388" s="481"/>
      <c r="EC388" s="481"/>
      <c r="ED388" s="481"/>
      <c r="EE388" s="481"/>
      <c r="EF388" s="481"/>
      <c r="EG388" s="481"/>
      <c r="EH388" s="481"/>
      <c r="EI388" s="481"/>
      <c r="EJ388" s="481"/>
      <c r="EK388" s="481"/>
      <c r="EL388" s="481"/>
      <c r="EM388" s="481"/>
      <c r="EN388" s="481"/>
      <c r="EO388" s="481"/>
      <c r="EP388" s="481"/>
      <c r="EQ388" s="481"/>
      <c r="ER388" s="481"/>
      <c r="ES388" s="481"/>
      <c r="ET388" s="481"/>
      <c r="EU388" s="481"/>
      <c r="EV388" s="481"/>
      <c r="EW388" s="481"/>
      <c r="EX388" s="481"/>
      <c r="EY388" s="481"/>
      <c r="EZ388" s="481"/>
      <c r="FA388" s="481"/>
      <c r="FB388" s="481"/>
      <c r="FC388" s="481"/>
      <c r="FD388" s="481"/>
    </row>
    <row r="389" spans="1:160" ht="18" hidden="1" customHeight="1" x14ac:dyDescent="0.2">
      <c r="A389" s="186"/>
      <c r="B389" s="185"/>
      <c r="C389" s="185"/>
      <c r="D389" s="185"/>
      <c r="E389" s="185"/>
      <c r="F389" s="185"/>
      <c r="G389" s="185"/>
      <c r="H389" s="185"/>
      <c r="I389" s="185"/>
      <c r="J389" s="185"/>
      <c r="K389" s="185"/>
      <c r="L389" s="185"/>
      <c r="M389" s="185"/>
      <c r="N389" s="185"/>
      <c r="O389" s="185"/>
      <c r="P389" s="185"/>
      <c r="Q389" s="185"/>
      <c r="R389" s="185"/>
      <c r="S389" s="185"/>
      <c r="T389" s="185"/>
      <c r="U389" s="185"/>
      <c r="V389" s="185"/>
      <c r="W389" s="185"/>
      <c r="X389" s="185"/>
      <c r="Y389" s="185"/>
      <c r="Z389" s="185"/>
      <c r="AA389" s="185"/>
      <c r="AB389" s="185"/>
      <c r="AC389" s="186"/>
      <c r="AD389" s="186"/>
      <c r="AE389" s="186"/>
      <c r="AF389" s="186"/>
      <c r="AG389" s="186"/>
      <c r="AH389" s="186"/>
      <c r="AI389" s="186"/>
      <c r="AJ389" s="186"/>
      <c r="AK389" s="186"/>
      <c r="AL389" s="186"/>
      <c r="AM389" s="186"/>
      <c r="AN389" s="48"/>
      <c r="AO389" s="481"/>
      <c r="AP389" s="481"/>
      <c r="AQ389" s="481"/>
      <c r="AR389" s="481"/>
      <c r="AS389" s="481"/>
      <c r="AT389" s="481"/>
      <c r="AU389" s="481"/>
      <c r="AV389" s="481"/>
      <c r="AW389" s="481"/>
      <c r="AX389" s="481"/>
      <c r="AY389" s="481"/>
      <c r="AZ389" s="481"/>
      <c r="BA389" s="481"/>
      <c r="BB389" s="481"/>
      <c r="BC389" s="481"/>
      <c r="BD389" s="481"/>
      <c r="BE389" s="481"/>
      <c r="BF389" s="481"/>
      <c r="BG389" s="481"/>
      <c r="BH389" s="481"/>
      <c r="BI389" s="481"/>
      <c r="BJ389" s="481"/>
      <c r="BK389" s="481"/>
      <c r="BL389" s="481"/>
      <c r="BM389" s="481"/>
      <c r="BN389" s="481"/>
      <c r="BO389" s="481"/>
      <c r="BP389" s="481"/>
      <c r="BQ389" s="481"/>
      <c r="BR389" s="481"/>
      <c r="BS389" s="481"/>
      <c r="BT389" s="481"/>
      <c r="BU389" s="481"/>
      <c r="BV389" s="481"/>
      <c r="BW389" s="481"/>
      <c r="BX389" s="481"/>
      <c r="BY389" s="481"/>
      <c r="BZ389" s="481"/>
      <c r="CA389" s="481"/>
      <c r="CB389" s="481"/>
      <c r="CC389" s="481"/>
      <c r="CD389" s="481"/>
      <c r="CE389" s="481"/>
      <c r="CF389" s="481"/>
      <c r="CG389" s="481"/>
      <c r="CH389" s="481"/>
      <c r="CI389" s="481"/>
      <c r="CJ389" s="481"/>
      <c r="CK389" s="481"/>
      <c r="CL389" s="481"/>
      <c r="CM389" s="481"/>
      <c r="CN389" s="481"/>
      <c r="CO389" s="481"/>
      <c r="CP389" s="481"/>
      <c r="CQ389" s="481"/>
      <c r="CR389" s="481"/>
      <c r="CS389" s="481"/>
      <c r="CT389" s="481"/>
      <c r="CU389" s="481"/>
      <c r="CV389" s="481"/>
      <c r="CW389" s="481"/>
      <c r="CX389" s="481"/>
      <c r="CY389" s="481"/>
      <c r="CZ389" s="481"/>
      <c r="DA389" s="481"/>
      <c r="DB389" s="481"/>
      <c r="DC389" s="481"/>
      <c r="DD389" s="481"/>
      <c r="DE389" s="481"/>
      <c r="DF389" s="481"/>
      <c r="DG389" s="481"/>
      <c r="DH389" s="481"/>
      <c r="DI389" s="481"/>
      <c r="DJ389" s="481"/>
      <c r="DK389" s="481"/>
      <c r="DL389" s="481"/>
      <c r="DM389" s="481"/>
      <c r="DN389" s="481"/>
      <c r="DO389" s="481"/>
      <c r="DP389" s="481"/>
      <c r="DQ389" s="481"/>
      <c r="DR389" s="481"/>
      <c r="DS389" s="481"/>
      <c r="DT389" s="481"/>
      <c r="DU389" s="481"/>
      <c r="DV389" s="481"/>
      <c r="DW389" s="481"/>
      <c r="DX389" s="481"/>
      <c r="DY389" s="481"/>
      <c r="DZ389" s="481"/>
      <c r="EA389" s="481"/>
      <c r="EB389" s="481"/>
      <c r="EC389" s="481"/>
      <c r="ED389" s="481"/>
      <c r="EE389" s="481"/>
      <c r="EF389" s="481"/>
      <c r="EG389" s="481"/>
      <c r="EH389" s="481"/>
      <c r="EI389" s="481"/>
      <c r="EJ389" s="481"/>
      <c r="EK389" s="481"/>
      <c r="EL389" s="481"/>
      <c r="EM389" s="481"/>
      <c r="EN389" s="481"/>
      <c r="EO389" s="481"/>
      <c r="EP389" s="481"/>
      <c r="EQ389" s="481"/>
      <c r="ER389" s="481"/>
      <c r="ES389" s="481"/>
      <c r="ET389" s="481"/>
      <c r="EU389" s="481"/>
      <c r="EV389" s="481"/>
      <c r="EW389" s="481"/>
      <c r="EX389" s="481"/>
      <c r="EY389" s="481"/>
      <c r="EZ389" s="481"/>
      <c r="FA389" s="481"/>
      <c r="FB389" s="481"/>
      <c r="FC389" s="481"/>
      <c r="FD389" s="481"/>
    </row>
    <row r="390" spans="1:160" ht="18" hidden="1" customHeight="1" x14ac:dyDescent="0.2">
      <c r="A390" s="186"/>
      <c r="B390" s="1706" t="s">
        <v>194</v>
      </c>
      <c r="C390" s="1706"/>
      <c r="D390" s="1988" t="str">
        <f>D297</f>
        <v>Gennaio</v>
      </c>
      <c r="E390" s="1989"/>
      <c r="F390" s="1989"/>
      <c r="G390" s="1990" t="str">
        <f>G297</f>
        <v>Febbraio</v>
      </c>
      <c r="H390" s="1989"/>
      <c r="I390" s="1989"/>
      <c r="J390" s="1990" t="str">
        <f>J297</f>
        <v>Marzo</v>
      </c>
      <c r="K390" s="1989"/>
      <c r="L390" s="1989"/>
      <c r="M390" s="1990" t="str">
        <f>M297</f>
        <v>Aprile</v>
      </c>
      <c r="N390" s="1989"/>
      <c r="O390" s="1989"/>
      <c r="P390" s="1990" t="str">
        <f>P297</f>
        <v>Maggio</v>
      </c>
      <c r="Q390" s="1989"/>
      <c r="R390" s="1989"/>
      <c r="S390" s="1990" t="str">
        <f>S297</f>
        <v>Giugno</v>
      </c>
      <c r="T390" s="1989"/>
      <c r="U390" s="1989"/>
      <c r="V390" s="1990" t="str">
        <f>V297</f>
        <v>Luglio</v>
      </c>
      <c r="W390" s="1989"/>
      <c r="X390" s="1989"/>
      <c r="Y390" s="1990" t="str">
        <f>Y297</f>
        <v>Agosto</v>
      </c>
      <c r="Z390" s="1989"/>
      <c r="AA390" s="1989"/>
      <c r="AB390" s="1990" t="str">
        <f>AB297</f>
        <v>Settembre</v>
      </c>
      <c r="AC390" s="1989"/>
      <c r="AD390" s="1989"/>
      <c r="AE390" s="1990" t="str">
        <f>AE297</f>
        <v>Ottobre</v>
      </c>
      <c r="AF390" s="1989"/>
      <c r="AG390" s="1989"/>
      <c r="AH390" s="1990" t="str">
        <f>AH297</f>
        <v>Novembre</v>
      </c>
      <c r="AI390" s="1989"/>
      <c r="AJ390" s="1989"/>
      <c r="AK390" s="1990" t="str">
        <f>AK297</f>
        <v>Dicembre</v>
      </c>
      <c r="AL390" s="1989"/>
      <c r="AM390" s="2005"/>
      <c r="AN390" s="48"/>
      <c r="AO390" s="481"/>
      <c r="AP390" s="481"/>
      <c r="AQ390" s="481"/>
      <c r="AR390" s="481"/>
      <c r="AS390" s="481"/>
      <c r="AT390" s="481"/>
      <c r="AU390" s="481"/>
      <c r="AV390" s="481"/>
      <c r="AW390" s="481"/>
      <c r="AX390" s="481"/>
      <c r="AY390" s="481"/>
      <c r="AZ390" s="481"/>
      <c r="BA390" s="481"/>
      <c r="BB390" s="481"/>
      <c r="BC390" s="481"/>
      <c r="BD390" s="481"/>
      <c r="BE390" s="481"/>
      <c r="BF390" s="481"/>
      <c r="BG390" s="481"/>
      <c r="BH390" s="481"/>
      <c r="BI390" s="481"/>
      <c r="BJ390" s="481"/>
      <c r="BK390" s="481"/>
      <c r="BL390" s="481"/>
      <c r="BM390" s="481"/>
      <c r="BN390" s="481"/>
      <c r="BO390" s="481"/>
      <c r="BP390" s="481"/>
      <c r="BQ390" s="481"/>
      <c r="BR390" s="481"/>
      <c r="BS390" s="481"/>
      <c r="BT390" s="481"/>
      <c r="BU390" s="481"/>
      <c r="BV390" s="481"/>
      <c r="BW390" s="481"/>
      <c r="BX390" s="481"/>
      <c r="BY390" s="481"/>
      <c r="BZ390" s="481"/>
      <c r="CA390" s="481"/>
      <c r="CB390" s="481"/>
      <c r="CC390" s="481"/>
      <c r="CD390" s="481"/>
      <c r="CE390" s="481"/>
      <c r="CF390" s="481"/>
      <c r="CG390" s="481"/>
      <c r="CH390" s="481"/>
      <c r="CI390" s="481"/>
      <c r="CJ390" s="481"/>
      <c r="CK390" s="481"/>
      <c r="CL390" s="481"/>
      <c r="CM390" s="481"/>
      <c r="CN390" s="481"/>
      <c r="CO390" s="481"/>
      <c r="CP390" s="481"/>
      <c r="CQ390" s="481"/>
      <c r="CR390" s="481"/>
      <c r="CS390" s="481"/>
      <c r="CT390" s="481"/>
      <c r="CU390" s="481"/>
      <c r="CV390" s="481"/>
      <c r="CW390" s="481"/>
      <c r="CX390" s="481"/>
      <c r="CY390" s="481"/>
      <c r="CZ390" s="481"/>
      <c r="DA390" s="481"/>
      <c r="DB390" s="481"/>
      <c r="DC390" s="481"/>
      <c r="DD390" s="481"/>
      <c r="DE390" s="481"/>
      <c r="DF390" s="481"/>
      <c r="DG390" s="481"/>
      <c r="DH390" s="481"/>
      <c r="DI390" s="481"/>
      <c r="DJ390" s="481"/>
      <c r="DK390" s="481"/>
      <c r="DL390" s="481"/>
      <c r="DM390" s="481"/>
      <c r="DN390" s="481"/>
      <c r="DO390" s="481"/>
      <c r="DP390" s="481"/>
      <c r="DQ390" s="481"/>
      <c r="DR390" s="481"/>
      <c r="DS390" s="481"/>
      <c r="DT390" s="481"/>
      <c r="DU390" s="481"/>
      <c r="DV390" s="481"/>
      <c r="DW390" s="481"/>
      <c r="DX390" s="481"/>
      <c r="DY390" s="481"/>
      <c r="DZ390" s="481"/>
      <c r="EA390" s="481"/>
      <c r="EB390" s="481"/>
      <c r="EC390" s="481"/>
      <c r="ED390" s="481"/>
      <c r="EE390" s="481"/>
      <c r="EF390" s="481"/>
      <c r="EG390" s="481"/>
      <c r="EH390" s="481"/>
      <c r="EI390" s="481"/>
      <c r="EJ390" s="481"/>
      <c r="EK390" s="481"/>
      <c r="EL390" s="481"/>
      <c r="EM390" s="481"/>
      <c r="EN390" s="481"/>
      <c r="EO390" s="481"/>
      <c r="EP390" s="481"/>
      <c r="EQ390" s="481"/>
      <c r="ER390" s="481"/>
      <c r="ES390" s="481"/>
      <c r="ET390" s="481"/>
      <c r="EU390" s="481"/>
      <c r="EV390" s="481"/>
      <c r="EW390" s="481"/>
      <c r="EX390" s="481"/>
      <c r="EY390" s="481"/>
      <c r="EZ390" s="481"/>
      <c r="FA390" s="481"/>
      <c r="FB390" s="481"/>
      <c r="FC390" s="481"/>
      <c r="FD390" s="481"/>
    </row>
    <row r="391" spans="1:160" ht="18" hidden="1" customHeight="1" x14ac:dyDescent="0.2">
      <c r="A391" s="186"/>
      <c r="B391" s="1622" t="str">
        <f>B298</f>
        <v>--</v>
      </c>
      <c r="C391" s="2002"/>
      <c r="D391" s="2003">
        <f>IF(ISERROR(HLOOKUP($B391,GEN!$G$1:$N$47,47,FALSE)),0,HLOOKUP($B391,GEN!$G$1:$N$47,47,FALSE))</f>
        <v>1000</v>
      </c>
      <c r="E391" s="1589"/>
      <c r="F391" s="1590"/>
      <c r="G391" s="1588">
        <f>IF(ISERROR(HLOOKUP($B391,FEB!$G$1:$N$47,47,FALSE)),D391,HLOOKUP($B391,FEB!$G$1:$N$47,47,FALSE)+D391)</f>
        <v>1000</v>
      </c>
      <c r="H391" s="1589"/>
      <c r="I391" s="1590"/>
      <c r="J391" s="1588">
        <f>IF(ISERROR(HLOOKUP($B391,MAR!$G$1:$N$47,47,FALSE)),G391,HLOOKUP($B391,MAR!$G$1:$N$47,47,FALSE)+G391)</f>
        <v>1000</v>
      </c>
      <c r="K391" s="1589"/>
      <c r="L391" s="1590"/>
      <c r="M391" s="1588">
        <f>IF(ISERROR(HLOOKUP($B391,APR!$G$1:$N$47,47,FALSE)),J391,HLOOKUP($B391,APR!$G$1:$N$47,47,FALSE)+J391)</f>
        <v>1000</v>
      </c>
      <c r="N391" s="1589"/>
      <c r="O391" s="1590"/>
      <c r="P391" s="1588">
        <f>IF(ISERROR(HLOOKUP($B391,MAG!$G$1:$N$47,47,FALSE)),M391,HLOOKUP($B391,MAG!$G$1:$N$47,47,FALSE)+M391)</f>
        <v>1000</v>
      </c>
      <c r="Q391" s="1589"/>
      <c r="R391" s="1590"/>
      <c r="S391" s="1588">
        <f>IF(ISERROR(HLOOKUP($B391,GIU!$G$1:$N$47,47,FALSE)),P391,HLOOKUP($B391,GIU!$G$1:$N$47,47,FALSE)+P391)</f>
        <v>1000</v>
      </c>
      <c r="T391" s="1589"/>
      <c r="U391" s="1590"/>
      <c r="V391" s="1588">
        <f>IF(ISERROR(HLOOKUP($B391,LUG!$G$1:$N$47,47,FALSE)),S391,HLOOKUP($B391,LUG!$G$1:$N$47,47,FALSE)+S391)</f>
        <v>1000</v>
      </c>
      <c r="W391" s="1589"/>
      <c r="X391" s="1590"/>
      <c r="Y391" s="1588">
        <f>IF(ISERROR(HLOOKUP($B391,AGO!$G$1:$N$47,47,FALSE)),V391,HLOOKUP($B391,AGO!$G$1:$N$47,47,FALSE)+V391)</f>
        <v>1000</v>
      </c>
      <c r="Z391" s="1589"/>
      <c r="AA391" s="1590"/>
      <c r="AB391" s="1588">
        <f>IF(ISERROR(HLOOKUP($B391,SET!$G$1:$N$47,47,FALSE)),Y391,HLOOKUP($B391,SET!$G$1:$N$47,47,FALSE)+Y391)</f>
        <v>1000</v>
      </c>
      <c r="AC391" s="1589"/>
      <c r="AD391" s="1590"/>
      <c r="AE391" s="1588">
        <f>IF(ISERROR(HLOOKUP($B391,OTT!$G$1:$N$47,47,FALSE)),AB391,HLOOKUP($B391,OTT!$G$1:$N$47,47,FALSE)+AB391)</f>
        <v>1000</v>
      </c>
      <c r="AF391" s="1589"/>
      <c r="AG391" s="1590"/>
      <c r="AH391" s="1588">
        <f>IF(ISERROR(HLOOKUP($B391,NOV!$G$1:$N$47,47,FALSE)),AE391,HLOOKUP($B391,NOV!$G$1:$N$47,47,FALSE)+AE391)</f>
        <v>1000</v>
      </c>
      <c r="AI391" s="1589"/>
      <c r="AJ391" s="1590"/>
      <c r="AK391" s="1588">
        <f>IF(ISERROR(HLOOKUP($B391,DIC!$G$1:$N$47,47,FALSE)),AH391,HLOOKUP($B391,DIC!$G$1:$N$47,47,FALSE)+AH391)</f>
        <v>1000</v>
      </c>
      <c r="AL391" s="1589"/>
      <c r="AM391" s="2004"/>
      <c r="AN391" s="48"/>
      <c r="AO391" s="481"/>
      <c r="AP391" s="481"/>
      <c r="AQ391" s="481"/>
      <c r="AR391" s="481"/>
      <c r="AS391" s="481"/>
      <c r="AT391" s="481"/>
      <c r="AU391" s="481"/>
      <c r="AV391" s="481"/>
      <c r="AW391" s="481"/>
      <c r="AX391" s="481"/>
      <c r="AY391" s="481"/>
      <c r="AZ391" s="481"/>
      <c r="BA391" s="481"/>
      <c r="BB391" s="481"/>
      <c r="BC391" s="481"/>
      <c r="BD391" s="481"/>
      <c r="BE391" s="481"/>
      <c r="BF391" s="481"/>
      <c r="BG391" s="481"/>
      <c r="BH391" s="481"/>
      <c r="BI391" s="481"/>
      <c r="BJ391" s="481"/>
      <c r="BK391" s="481"/>
      <c r="BL391" s="481"/>
      <c r="BM391" s="481"/>
      <c r="BN391" s="481"/>
      <c r="BO391" s="481"/>
      <c r="BP391" s="481"/>
      <c r="BQ391" s="481"/>
      <c r="BR391" s="481"/>
      <c r="BS391" s="481"/>
      <c r="BT391" s="481"/>
      <c r="BU391" s="481"/>
      <c r="BV391" s="481"/>
      <c r="BW391" s="481"/>
      <c r="BX391" s="481"/>
      <c r="BY391" s="481"/>
      <c r="BZ391" s="481"/>
      <c r="CA391" s="481"/>
      <c r="CB391" s="481"/>
      <c r="CC391" s="481"/>
      <c r="CD391" s="481"/>
      <c r="CE391" s="481"/>
      <c r="CF391" s="481"/>
      <c r="CG391" s="481"/>
      <c r="CH391" s="481"/>
      <c r="CI391" s="481"/>
      <c r="CJ391" s="481"/>
      <c r="CK391" s="481"/>
      <c r="CL391" s="481"/>
      <c r="CM391" s="481"/>
      <c r="CN391" s="481"/>
      <c r="CO391" s="481"/>
      <c r="CP391" s="481"/>
      <c r="CQ391" s="481"/>
      <c r="CR391" s="481"/>
      <c r="CS391" s="481"/>
      <c r="CT391" s="481"/>
      <c r="CU391" s="481"/>
      <c r="CV391" s="481"/>
      <c r="CW391" s="481"/>
      <c r="CX391" s="481"/>
      <c r="CY391" s="481"/>
      <c r="CZ391" s="481"/>
      <c r="DA391" s="481"/>
      <c r="DB391" s="481"/>
      <c r="DC391" s="481"/>
      <c r="DD391" s="481"/>
      <c r="DE391" s="481"/>
      <c r="DF391" s="481"/>
      <c r="DG391" s="481"/>
      <c r="DH391" s="481"/>
      <c r="DI391" s="481"/>
      <c r="DJ391" s="481"/>
      <c r="DK391" s="481"/>
      <c r="DL391" s="481"/>
      <c r="DM391" s="481"/>
      <c r="DN391" s="481"/>
      <c r="DO391" s="481"/>
      <c r="DP391" s="481"/>
      <c r="DQ391" s="481"/>
      <c r="DR391" s="481"/>
      <c r="DS391" s="481"/>
      <c r="DT391" s="481"/>
      <c r="DU391" s="481"/>
      <c r="DV391" s="481"/>
      <c r="DW391" s="481"/>
      <c r="DX391" s="481"/>
      <c r="DY391" s="481"/>
      <c r="DZ391" s="481"/>
      <c r="EA391" s="481"/>
      <c r="EB391" s="481"/>
      <c r="EC391" s="481"/>
      <c r="ED391" s="481"/>
      <c r="EE391" s="481"/>
      <c r="EF391" s="481"/>
      <c r="EG391" s="481"/>
      <c r="EH391" s="481"/>
      <c r="EI391" s="481"/>
      <c r="EJ391" s="481"/>
      <c r="EK391" s="481"/>
      <c r="EL391" s="481"/>
      <c r="EM391" s="481"/>
      <c r="EN391" s="481"/>
      <c r="EO391" s="481"/>
      <c r="EP391" s="481"/>
      <c r="EQ391" s="481"/>
      <c r="ER391" s="481"/>
      <c r="ES391" s="481"/>
      <c r="ET391" s="481"/>
      <c r="EU391" s="481"/>
      <c r="EV391" s="481"/>
      <c r="EW391" s="481"/>
      <c r="EX391" s="481"/>
      <c r="EY391" s="481"/>
      <c r="EZ391" s="481"/>
      <c r="FA391" s="481"/>
      <c r="FB391" s="481"/>
      <c r="FC391" s="481"/>
      <c r="FD391" s="481"/>
    </row>
    <row r="392" spans="1:160" ht="18" hidden="1" customHeight="1" x14ac:dyDescent="0.2">
      <c r="A392" s="186"/>
      <c r="B392" s="1622" t="str">
        <f t="shared" ref="B392:B397" si="65">B299</f>
        <v>--</v>
      </c>
      <c r="C392" s="2002"/>
      <c r="D392" s="2003">
        <f>IF(ISERROR(HLOOKUP($B392,GEN!$G$1:$N$47,47,FALSE)),0,HLOOKUP($B392,GEN!$G$1:$N$47,47,FALSE))</f>
        <v>1000</v>
      </c>
      <c r="E392" s="1589"/>
      <c r="F392" s="1590"/>
      <c r="G392" s="1588">
        <f>IF(ISERROR(HLOOKUP($B392,FEB!$G$1:$N$47,47,FALSE)),D392,HLOOKUP($B392,FEB!$G$1:$N$47,47,FALSE)+D392)</f>
        <v>1000</v>
      </c>
      <c r="H392" s="1589"/>
      <c r="I392" s="1590"/>
      <c r="J392" s="1588">
        <f>IF(ISERROR(HLOOKUP($B392,MAR!$G$1:$N$47,47,FALSE)),G392,HLOOKUP($B392,MAR!$G$1:$N$47,47,FALSE)+G392)</f>
        <v>1000</v>
      </c>
      <c r="K392" s="1589"/>
      <c r="L392" s="1590"/>
      <c r="M392" s="1588">
        <f>IF(ISERROR(HLOOKUP($B392,APR!$G$1:$N$47,47,FALSE)),J392,HLOOKUP($B392,APR!$G$1:$N$47,47,FALSE)+J392)</f>
        <v>1000</v>
      </c>
      <c r="N392" s="1589"/>
      <c r="O392" s="1590"/>
      <c r="P392" s="1588">
        <f>IF(ISERROR(HLOOKUP($B392,MAG!$G$1:$N$47,47,FALSE)),M392,HLOOKUP($B392,MAG!$G$1:$N$47,47,FALSE)+M392)</f>
        <v>1000</v>
      </c>
      <c r="Q392" s="1589"/>
      <c r="R392" s="1590"/>
      <c r="S392" s="1588">
        <f>IF(ISERROR(HLOOKUP($B392,GIU!$G$1:$N$47,47,FALSE)),P392,HLOOKUP($B392,GIU!$G$1:$N$47,47,FALSE)+P392)</f>
        <v>1000</v>
      </c>
      <c r="T392" s="1589"/>
      <c r="U392" s="1590"/>
      <c r="V392" s="1588">
        <f>IF(ISERROR(HLOOKUP($B392,LUG!$G$1:$N$47,47,FALSE)),S392,HLOOKUP($B392,LUG!$G$1:$N$47,47,FALSE)+S392)</f>
        <v>1000</v>
      </c>
      <c r="W392" s="1589"/>
      <c r="X392" s="1590"/>
      <c r="Y392" s="1588">
        <f>IF(ISERROR(HLOOKUP($B392,AGO!$G$1:$N$47,47,FALSE)),V392,HLOOKUP($B392,AGO!$G$1:$N$47,47,FALSE)+V392)</f>
        <v>1000</v>
      </c>
      <c r="Z392" s="1589"/>
      <c r="AA392" s="1590"/>
      <c r="AB392" s="1588">
        <f>IF(ISERROR(HLOOKUP($B392,SET!$G$1:$N$47,47,FALSE)),Y392,HLOOKUP($B392,SET!$G$1:$N$47,47,FALSE)+Y392)</f>
        <v>1000</v>
      </c>
      <c r="AC392" s="1589"/>
      <c r="AD392" s="1590"/>
      <c r="AE392" s="1588">
        <f>IF(ISERROR(HLOOKUP($B392,OTT!$G$1:$N$47,47,FALSE)),AB392,HLOOKUP($B392,OTT!$G$1:$N$47,47,FALSE)+AB392)</f>
        <v>1000</v>
      </c>
      <c r="AF392" s="1589"/>
      <c r="AG392" s="1590"/>
      <c r="AH392" s="1588">
        <f>IF(ISERROR(HLOOKUP($B392,NOV!$G$1:$N$47,47,FALSE)),AE392,HLOOKUP($B392,NOV!$G$1:$N$47,47,FALSE)+AE392)</f>
        <v>1000</v>
      </c>
      <c r="AI392" s="1589"/>
      <c r="AJ392" s="1590"/>
      <c r="AK392" s="1588">
        <f>IF(ISERROR(HLOOKUP($B392,DIC!$G$1:$N$47,47,FALSE)),AH392,HLOOKUP($B392,DIC!$G$1:$N$47,47,FALSE)+AH392)</f>
        <v>1000</v>
      </c>
      <c r="AL392" s="1589"/>
      <c r="AM392" s="2004"/>
      <c r="AN392" s="48"/>
      <c r="AO392" s="481"/>
      <c r="AP392" s="481"/>
      <c r="AQ392" s="481"/>
      <c r="AR392" s="481"/>
      <c r="AS392" s="481"/>
      <c r="AT392" s="481"/>
      <c r="AU392" s="481"/>
      <c r="AV392" s="481"/>
      <c r="AW392" s="481"/>
      <c r="AX392" s="481"/>
      <c r="AY392" s="481"/>
      <c r="AZ392" s="481"/>
      <c r="BA392" s="481"/>
      <c r="BB392" s="481"/>
      <c r="BC392" s="481"/>
      <c r="BD392" s="481"/>
      <c r="BE392" s="481"/>
      <c r="BF392" s="481"/>
      <c r="BG392" s="481"/>
      <c r="BH392" s="481"/>
      <c r="BI392" s="481"/>
      <c r="BJ392" s="481"/>
      <c r="BK392" s="481"/>
      <c r="BL392" s="481"/>
      <c r="BM392" s="481"/>
      <c r="BN392" s="481"/>
      <c r="BO392" s="481"/>
      <c r="BP392" s="481"/>
      <c r="BQ392" s="481"/>
      <c r="BR392" s="481"/>
      <c r="BS392" s="481"/>
      <c r="BT392" s="481"/>
      <c r="BU392" s="481"/>
      <c r="BV392" s="481"/>
      <c r="BW392" s="481"/>
      <c r="BX392" s="481"/>
      <c r="BY392" s="481"/>
      <c r="BZ392" s="481"/>
      <c r="CA392" s="481"/>
      <c r="CB392" s="481"/>
      <c r="CC392" s="481"/>
      <c r="CD392" s="481"/>
      <c r="CE392" s="481"/>
      <c r="CF392" s="481"/>
      <c r="CG392" s="481"/>
      <c r="CH392" s="481"/>
      <c r="CI392" s="481"/>
      <c r="CJ392" s="481"/>
      <c r="CK392" s="481"/>
      <c r="CL392" s="481"/>
      <c r="CM392" s="481"/>
      <c r="CN392" s="481"/>
      <c r="CO392" s="481"/>
      <c r="CP392" s="481"/>
      <c r="CQ392" s="481"/>
      <c r="CR392" s="481"/>
      <c r="CS392" s="481"/>
      <c r="CT392" s="481"/>
      <c r="CU392" s="481"/>
      <c r="CV392" s="481"/>
      <c r="CW392" s="481"/>
      <c r="CX392" s="481"/>
      <c r="CY392" s="481"/>
      <c r="CZ392" s="481"/>
      <c r="DA392" s="481"/>
      <c r="DB392" s="481"/>
      <c r="DC392" s="481"/>
      <c r="DD392" s="481"/>
      <c r="DE392" s="481"/>
      <c r="DF392" s="481"/>
      <c r="DG392" s="481"/>
      <c r="DH392" s="481"/>
      <c r="DI392" s="481"/>
      <c r="DJ392" s="481"/>
      <c r="DK392" s="481"/>
      <c r="DL392" s="481"/>
      <c r="DM392" s="481"/>
      <c r="DN392" s="481"/>
      <c r="DO392" s="481"/>
      <c r="DP392" s="481"/>
      <c r="DQ392" s="481"/>
      <c r="DR392" s="481"/>
      <c r="DS392" s="481"/>
      <c r="DT392" s="481"/>
      <c r="DU392" s="481"/>
      <c r="DV392" s="481"/>
      <c r="DW392" s="481"/>
      <c r="DX392" s="481"/>
      <c r="DY392" s="481"/>
      <c r="DZ392" s="481"/>
      <c r="EA392" s="481"/>
      <c r="EB392" s="481"/>
      <c r="EC392" s="481"/>
      <c r="ED392" s="481"/>
      <c r="EE392" s="481"/>
      <c r="EF392" s="481"/>
      <c r="EG392" s="481"/>
      <c r="EH392" s="481"/>
      <c r="EI392" s="481"/>
      <c r="EJ392" s="481"/>
      <c r="EK392" s="481"/>
      <c r="EL392" s="481"/>
      <c r="EM392" s="481"/>
      <c r="EN392" s="481"/>
      <c r="EO392" s="481"/>
      <c r="EP392" s="481"/>
      <c r="EQ392" s="481"/>
      <c r="ER392" s="481"/>
      <c r="ES392" s="481"/>
      <c r="ET392" s="481"/>
      <c r="EU392" s="481"/>
      <c r="EV392" s="481"/>
      <c r="EW392" s="481"/>
      <c r="EX392" s="481"/>
      <c r="EY392" s="481"/>
      <c r="EZ392" s="481"/>
      <c r="FA392" s="481"/>
      <c r="FB392" s="481"/>
      <c r="FC392" s="481"/>
      <c r="FD392" s="481"/>
    </row>
    <row r="393" spans="1:160" ht="18" hidden="1" customHeight="1" x14ac:dyDescent="0.2">
      <c r="A393" s="186"/>
      <c r="B393" s="1622" t="str">
        <f t="shared" si="65"/>
        <v>--</v>
      </c>
      <c r="C393" s="2002"/>
      <c r="D393" s="2003">
        <f>IF(ISERROR(HLOOKUP($B393,GEN!$G$1:$N$47,47,FALSE)),0,HLOOKUP($B393,GEN!$G$1:$N$47,47,FALSE))</f>
        <v>1000</v>
      </c>
      <c r="E393" s="1589"/>
      <c r="F393" s="1590"/>
      <c r="G393" s="1588">
        <f>IF(ISERROR(HLOOKUP($B393,FEB!$G$1:$N$47,47,FALSE)),D393,HLOOKUP($B393,FEB!$G$1:$N$47,47,FALSE)+D393)</f>
        <v>1000</v>
      </c>
      <c r="H393" s="1589"/>
      <c r="I393" s="1590"/>
      <c r="J393" s="1588">
        <f>IF(ISERROR(HLOOKUP($B393,MAR!$G$1:$N$47,47,FALSE)),G393,HLOOKUP($B393,MAR!$G$1:$N$47,47,FALSE)+G393)</f>
        <v>1000</v>
      </c>
      <c r="K393" s="1589"/>
      <c r="L393" s="1590"/>
      <c r="M393" s="1588">
        <f>IF(ISERROR(HLOOKUP($B393,APR!$G$1:$N$47,47,FALSE)),J393,HLOOKUP($B393,APR!$G$1:$N$47,47,FALSE)+J393)</f>
        <v>1000</v>
      </c>
      <c r="N393" s="1589"/>
      <c r="O393" s="1590"/>
      <c r="P393" s="1588">
        <f>IF(ISERROR(HLOOKUP($B393,MAG!$G$1:$N$47,47,FALSE)),M393,HLOOKUP($B393,MAG!$G$1:$N$47,47,FALSE)+M393)</f>
        <v>1000</v>
      </c>
      <c r="Q393" s="1589"/>
      <c r="R393" s="1590"/>
      <c r="S393" s="1588">
        <f>IF(ISERROR(HLOOKUP($B393,GIU!$G$1:$N$47,47,FALSE)),P393,HLOOKUP($B393,GIU!$G$1:$N$47,47,FALSE)+P393)</f>
        <v>1000</v>
      </c>
      <c r="T393" s="1589"/>
      <c r="U393" s="1590"/>
      <c r="V393" s="1588">
        <f>IF(ISERROR(HLOOKUP($B393,LUG!$G$1:$N$47,47,FALSE)),S393,HLOOKUP($B393,LUG!$G$1:$N$47,47,FALSE)+S393)</f>
        <v>1000</v>
      </c>
      <c r="W393" s="1589"/>
      <c r="X393" s="1590"/>
      <c r="Y393" s="1588">
        <f>IF(ISERROR(HLOOKUP($B393,AGO!$G$1:$N$47,47,FALSE)),V393,HLOOKUP($B393,AGO!$G$1:$N$47,47,FALSE)+V393)</f>
        <v>1000</v>
      </c>
      <c r="Z393" s="1589"/>
      <c r="AA393" s="1590"/>
      <c r="AB393" s="1588">
        <f>IF(ISERROR(HLOOKUP($B393,SET!$G$1:$N$47,47,FALSE)),Y393,HLOOKUP($B393,SET!$G$1:$N$47,47,FALSE)+Y393)</f>
        <v>1000</v>
      </c>
      <c r="AC393" s="1589"/>
      <c r="AD393" s="1590"/>
      <c r="AE393" s="1588">
        <f>IF(ISERROR(HLOOKUP($B393,OTT!$G$1:$N$47,47,FALSE)),AB393,HLOOKUP($B393,OTT!$G$1:$N$47,47,FALSE)+AB393)</f>
        <v>1000</v>
      </c>
      <c r="AF393" s="1589"/>
      <c r="AG393" s="1590"/>
      <c r="AH393" s="1588">
        <f>IF(ISERROR(HLOOKUP($B393,NOV!$G$1:$N$47,47,FALSE)),AE393,HLOOKUP($B393,NOV!$G$1:$N$47,47,FALSE)+AE393)</f>
        <v>1000</v>
      </c>
      <c r="AI393" s="1589"/>
      <c r="AJ393" s="1590"/>
      <c r="AK393" s="1588">
        <f>IF(ISERROR(HLOOKUP($B393,DIC!$G$1:$N$47,47,FALSE)),AH393,HLOOKUP($B393,DIC!$G$1:$N$47,47,FALSE)+AH393)</f>
        <v>1000</v>
      </c>
      <c r="AL393" s="1589"/>
      <c r="AM393" s="2004"/>
      <c r="AN393" s="48"/>
      <c r="AO393" s="481"/>
      <c r="AP393" s="481"/>
      <c r="AQ393" s="481"/>
      <c r="AR393" s="481"/>
      <c r="AS393" s="481"/>
      <c r="AT393" s="481"/>
      <c r="AU393" s="481"/>
      <c r="AV393" s="481"/>
      <c r="AW393" s="481"/>
      <c r="AX393" s="481"/>
      <c r="AY393" s="481"/>
      <c r="AZ393" s="481"/>
      <c r="BA393" s="481"/>
      <c r="BB393" s="481"/>
      <c r="BC393" s="481"/>
      <c r="BD393" s="481"/>
      <c r="BE393" s="481"/>
      <c r="BF393" s="481"/>
      <c r="BG393" s="481"/>
      <c r="BH393" s="481"/>
      <c r="BI393" s="481"/>
      <c r="BJ393" s="481"/>
      <c r="BK393" s="481"/>
      <c r="BL393" s="481"/>
      <c r="BM393" s="481"/>
      <c r="BN393" s="481"/>
      <c r="BO393" s="481"/>
      <c r="BP393" s="481"/>
      <c r="BQ393" s="481"/>
      <c r="BR393" s="481"/>
      <c r="BS393" s="481"/>
      <c r="BT393" s="481"/>
      <c r="BU393" s="481"/>
      <c r="BV393" s="481"/>
      <c r="BW393" s="481"/>
      <c r="BX393" s="481"/>
      <c r="BY393" s="481"/>
      <c r="BZ393" s="481"/>
      <c r="CA393" s="481"/>
      <c r="CB393" s="481"/>
      <c r="CC393" s="481"/>
      <c r="CD393" s="481"/>
      <c r="CE393" s="481"/>
      <c r="CF393" s="481"/>
      <c r="CG393" s="481"/>
      <c r="CH393" s="481"/>
      <c r="CI393" s="481"/>
      <c r="CJ393" s="481"/>
      <c r="CK393" s="481"/>
      <c r="CL393" s="481"/>
      <c r="CM393" s="481"/>
      <c r="CN393" s="481"/>
      <c r="CO393" s="481"/>
      <c r="CP393" s="481"/>
      <c r="CQ393" s="481"/>
      <c r="CR393" s="481"/>
      <c r="CS393" s="481"/>
      <c r="CT393" s="481"/>
      <c r="CU393" s="481"/>
      <c r="CV393" s="481"/>
      <c r="CW393" s="481"/>
      <c r="CX393" s="481"/>
      <c r="CY393" s="481"/>
      <c r="CZ393" s="481"/>
      <c r="DA393" s="481"/>
      <c r="DB393" s="481"/>
      <c r="DC393" s="481"/>
      <c r="DD393" s="481"/>
      <c r="DE393" s="481"/>
      <c r="DF393" s="481"/>
      <c r="DG393" s="481"/>
      <c r="DH393" s="481"/>
      <c r="DI393" s="481"/>
      <c r="DJ393" s="481"/>
      <c r="DK393" s="481"/>
      <c r="DL393" s="481"/>
      <c r="DM393" s="481"/>
      <c r="DN393" s="481"/>
      <c r="DO393" s="481"/>
      <c r="DP393" s="481"/>
      <c r="DQ393" s="481"/>
      <c r="DR393" s="481"/>
      <c r="DS393" s="481"/>
      <c r="DT393" s="481"/>
      <c r="DU393" s="481"/>
      <c r="DV393" s="481"/>
      <c r="DW393" s="481"/>
      <c r="DX393" s="481"/>
      <c r="DY393" s="481"/>
      <c r="DZ393" s="481"/>
      <c r="EA393" s="481"/>
      <c r="EB393" s="481"/>
      <c r="EC393" s="481"/>
      <c r="ED393" s="481"/>
      <c r="EE393" s="481"/>
      <c r="EF393" s="481"/>
      <c r="EG393" s="481"/>
      <c r="EH393" s="481"/>
      <c r="EI393" s="481"/>
      <c r="EJ393" s="481"/>
      <c r="EK393" s="481"/>
      <c r="EL393" s="481"/>
      <c r="EM393" s="481"/>
      <c r="EN393" s="481"/>
      <c r="EO393" s="481"/>
      <c r="EP393" s="481"/>
      <c r="EQ393" s="481"/>
      <c r="ER393" s="481"/>
      <c r="ES393" s="481"/>
      <c r="ET393" s="481"/>
      <c r="EU393" s="481"/>
      <c r="EV393" s="481"/>
      <c r="EW393" s="481"/>
      <c r="EX393" s="481"/>
      <c r="EY393" s="481"/>
      <c r="EZ393" s="481"/>
      <c r="FA393" s="481"/>
      <c r="FB393" s="481"/>
      <c r="FC393" s="481"/>
      <c r="FD393" s="481"/>
    </row>
    <row r="394" spans="1:160" ht="18" hidden="1" customHeight="1" x14ac:dyDescent="0.2">
      <c r="A394" s="186"/>
      <c r="B394" s="1622" t="str">
        <f t="shared" si="65"/>
        <v>--</v>
      </c>
      <c r="C394" s="2002"/>
      <c r="D394" s="2003">
        <f>IF(ISERROR(HLOOKUP($B394,GEN!$G$1:$N$47,47,FALSE)),0,HLOOKUP($B394,GEN!$G$1:$N$47,47,FALSE))</f>
        <v>1000</v>
      </c>
      <c r="E394" s="1589"/>
      <c r="F394" s="1590"/>
      <c r="G394" s="1588">
        <f>IF(ISERROR(HLOOKUP($B394,FEB!$G$1:$N$47,47,FALSE)),D394,HLOOKUP($B394,FEB!$G$1:$N$47,47,FALSE)+D394)</f>
        <v>1000</v>
      </c>
      <c r="H394" s="1589"/>
      <c r="I394" s="1590"/>
      <c r="J394" s="1588">
        <f>IF(ISERROR(HLOOKUP($B394,MAR!$G$1:$N$47,47,FALSE)),G394,HLOOKUP($B394,MAR!$G$1:$N$47,47,FALSE)+G394)</f>
        <v>1000</v>
      </c>
      <c r="K394" s="1589"/>
      <c r="L394" s="1590"/>
      <c r="M394" s="1588">
        <f>IF(ISERROR(HLOOKUP($B394,APR!$G$1:$N$47,47,FALSE)),J394,HLOOKUP($B394,APR!$G$1:$N$47,47,FALSE)+J394)</f>
        <v>1000</v>
      </c>
      <c r="N394" s="1589"/>
      <c r="O394" s="1590"/>
      <c r="P394" s="1588">
        <f>IF(ISERROR(HLOOKUP($B394,MAG!$G$1:$N$47,47,FALSE)),M394,HLOOKUP($B394,MAG!$G$1:$N$47,47,FALSE)+M394)</f>
        <v>1000</v>
      </c>
      <c r="Q394" s="1589"/>
      <c r="R394" s="1590"/>
      <c r="S394" s="1588">
        <f>IF(ISERROR(HLOOKUP($B394,GIU!$G$1:$N$47,47,FALSE)),P394,HLOOKUP($B394,GIU!$G$1:$N$47,47,FALSE)+P394)</f>
        <v>1000</v>
      </c>
      <c r="T394" s="1589"/>
      <c r="U394" s="1590"/>
      <c r="V394" s="1588">
        <f>IF(ISERROR(HLOOKUP($B394,LUG!$G$1:$N$47,47,FALSE)),S394,HLOOKUP($B394,LUG!$G$1:$N$47,47,FALSE)+S394)</f>
        <v>1000</v>
      </c>
      <c r="W394" s="1589"/>
      <c r="X394" s="1590"/>
      <c r="Y394" s="1588">
        <f>IF(ISERROR(HLOOKUP($B394,AGO!$G$1:$N$47,47,FALSE)),V394,HLOOKUP($B394,AGO!$G$1:$N$47,47,FALSE)+V394)</f>
        <v>1000</v>
      </c>
      <c r="Z394" s="1589"/>
      <c r="AA394" s="1590"/>
      <c r="AB394" s="1588">
        <f>IF(ISERROR(HLOOKUP($B394,SET!$G$1:$N$47,47,FALSE)),Y394,HLOOKUP($B394,SET!$G$1:$N$47,47,FALSE)+Y394)</f>
        <v>1000</v>
      </c>
      <c r="AC394" s="1589"/>
      <c r="AD394" s="1590"/>
      <c r="AE394" s="1588">
        <f>IF(ISERROR(HLOOKUP($B394,OTT!$G$1:$N$47,47,FALSE)),AB394,HLOOKUP($B394,OTT!$G$1:$N$47,47,FALSE)+AB394)</f>
        <v>1000</v>
      </c>
      <c r="AF394" s="1589"/>
      <c r="AG394" s="1590"/>
      <c r="AH394" s="1588">
        <f>IF(ISERROR(HLOOKUP($B394,NOV!$G$1:$N$47,47,FALSE)),AE394,HLOOKUP($B394,NOV!$G$1:$N$47,47,FALSE)+AE394)</f>
        <v>1000</v>
      </c>
      <c r="AI394" s="1589"/>
      <c r="AJ394" s="1590"/>
      <c r="AK394" s="1588">
        <f>IF(ISERROR(HLOOKUP($B394,DIC!$G$1:$N$47,47,FALSE)),AH394,HLOOKUP($B394,DIC!$G$1:$N$47,47,FALSE)+AH394)</f>
        <v>1000</v>
      </c>
      <c r="AL394" s="1589"/>
      <c r="AM394" s="2004"/>
      <c r="AN394" s="48"/>
      <c r="AO394" s="481"/>
      <c r="AP394" s="481"/>
      <c r="AQ394" s="481"/>
      <c r="AR394" s="481"/>
      <c r="AS394" s="481"/>
      <c r="AT394" s="481"/>
      <c r="AU394" s="481"/>
      <c r="AV394" s="481"/>
      <c r="AW394" s="481"/>
      <c r="AX394" s="481"/>
      <c r="AY394" s="481"/>
      <c r="AZ394" s="481"/>
      <c r="BA394" s="481"/>
      <c r="BB394" s="481"/>
      <c r="BC394" s="481"/>
      <c r="BD394" s="481"/>
      <c r="BE394" s="481"/>
      <c r="BF394" s="481"/>
      <c r="BG394" s="481"/>
      <c r="BH394" s="481"/>
      <c r="BI394" s="481"/>
      <c r="BJ394" s="481"/>
      <c r="BK394" s="481"/>
      <c r="BL394" s="481"/>
      <c r="BM394" s="481"/>
      <c r="BN394" s="481"/>
      <c r="BO394" s="481"/>
      <c r="BP394" s="481"/>
      <c r="BQ394" s="481"/>
      <c r="BR394" s="481"/>
      <c r="BS394" s="481"/>
      <c r="BT394" s="481"/>
      <c r="BU394" s="481"/>
      <c r="BV394" s="481"/>
      <c r="BW394" s="481"/>
      <c r="BX394" s="481"/>
      <c r="BY394" s="481"/>
      <c r="BZ394" s="481"/>
      <c r="CA394" s="481"/>
      <c r="CB394" s="481"/>
      <c r="CC394" s="481"/>
      <c r="CD394" s="481"/>
      <c r="CE394" s="481"/>
      <c r="CF394" s="481"/>
      <c r="CG394" s="481"/>
      <c r="CH394" s="481"/>
      <c r="CI394" s="481"/>
      <c r="CJ394" s="481"/>
      <c r="CK394" s="481"/>
      <c r="CL394" s="481"/>
      <c r="CM394" s="481"/>
      <c r="CN394" s="481"/>
      <c r="CO394" s="481"/>
      <c r="CP394" s="481"/>
      <c r="CQ394" s="481"/>
      <c r="CR394" s="481"/>
      <c r="CS394" s="481"/>
      <c r="CT394" s="481"/>
      <c r="CU394" s="481"/>
      <c r="CV394" s="481"/>
      <c r="CW394" s="481"/>
      <c r="CX394" s="481"/>
      <c r="CY394" s="481"/>
      <c r="CZ394" s="481"/>
      <c r="DA394" s="481"/>
      <c r="DB394" s="481"/>
      <c r="DC394" s="481"/>
      <c r="DD394" s="481"/>
      <c r="DE394" s="481"/>
      <c r="DF394" s="481"/>
      <c r="DG394" s="481"/>
      <c r="DH394" s="481"/>
      <c r="DI394" s="481"/>
      <c r="DJ394" s="481"/>
      <c r="DK394" s="481"/>
      <c r="DL394" s="481"/>
      <c r="DM394" s="481"/>
      <c r="DN394" s="481"/>
      <c r="DO394" s="481"/>
      <c r="DP394" s="481"/>
      <c r="DQ394" s="481"/>
      <c r="DR394" s="481"/>
      <c r="DS394" s="481"/>
      <c r="DT394" s="481"/>
      <c r="DU394" s="481"/>
      <c r="DV394" s="481"/>
      <c r="DW394" s="481"/>
      <c r="DX394" s="481"/>
      <c r="DY394" s="481"/>
      <c r="DZ394" s="481"/>
      <c r="EA394" s="481"/>
      <c r="EB394" s="481"/>
      <c r="EC394" s="481"/>
      <c r="ED394" s="481"/>
      <c r="EE394" s="481"/>
      <c r="EF394" s="481"/>
      <c r="EG394" s="481"/>
      <c r="EH394" s="481"/>
      <c r="EI394" s="481"/>
      <c r="EJ394" s="481"/>
      <c r="EK394" s="481"/>
      <c r="EL394" s="481"/>
      <c r="EM394" s="481"/>
      <c r="EN394" s="481"/>
      <c r="EO394" s="481"/>
      <c r="EP394" s="481"/>
      <c r="EQ394" s="481"/>
      <c r="ER394" s="481"/>
      <c r="ES394" s="481"/>
      <c r="ET394" s="481"/>
      <c r="EU394" s="481"/>
      <c r="EV394" s="481"/>
      <c r="EW394" s="481"/>
      <c r="EX394" s="481"/>
      <c r="EY394" s="481"/>
      <c r="EZ394" s="481"/>
      <c r="FA394" s="481"/>
      <c r="FB394" s="481"/>
      <c r="FC394" s="481"/>
      <c r="FD394" s="481"/>
    </row>
    <row r="395" spans="1:160" ht="18" hidden="1" customHeight="1" x14ac:dyDescent="0.2">
      <c r="A395" s="186"/>
      <c r="B395" s="1622" t="str">
        <f t="shared" si="65"/>
        <v/>
      </c>
      <c r="C395" s="2002"/>
      <c r="D395" s="2003">
        <f>IF(ISERROR(HLOOKUP($B395,GEN!$G$1:$N$47,47,FALSE)),0,HLOOKUP($B395,GEN!$G$1:$N$47,47,FALSE))</f>
        <v>0</v>
      </c>
      <c r="E395" s="1589"/>
      <c r="F395" s="1590"/>
      <c r="G395" s="1588">
        <f>IF(ISERROR(HLOOKUP($B395,FEB!$G$1:$N$47,47,FALSE)),D395,HLOOKUP($B395,FEB!$G$1:$N$47,47,FALSE)+D395)</f>
        <v>0</v>
      </c>
      <c r="H395" s="1589"/>
      <c r="I395" s="1590"/>
      <c r="J395" s="1588">
        <f>IF(ISERROR(HLOOKUP($B395,MAR!$G$1:$N$47,47,FALSE)),G395,HLOOKUP($B395,MAR!$G$1:$N$47,47,FALSE)+G395)</f>
        <v>0</v>
      </c>
      <c r="K395" s="1589"/>
      <c r="L395" s="1590"/>
      <c r="M395" s="1588">
        <f>IF(ISERROR(HLOOKUP($B395,APR!$G$1:$N$47,47,FALSE)),J395,HLOOKUP($B395,APR!$G$1:$N$47,47,FALSE)+J395)</f>
        <v>0</v>
      </c>
      <c r="N395" s="1589"/>
      <c r="O395" s="1590"/>
      <c r="P395" s="1588">
        <f>IF(ISERROR(HLOOKUP($B395,MAG!$G$1:$N$47,47,FALSE)),M395,HLOOKUP($B395,MAG!$G$1:$N$47,47,FALSE)+M395)</f>
        <v>0</v>
      </c>
      <c r="Q395" s="1589"/>
      <c r="R395" s="1590"/>
      <c r="S395" s="1588">
        <f>IF(ISERROR(HLOOKUP($B395,GIU!$G$1:$N$47,47,FALSE)),P395,HLOOKUP($B395,GIU!$G$1:$N$47,47,FALSE)+P395)</f>
        <v>0</v>
      </c>
      <c r="T395" s="1589"/>
      <c r="U395" s="1590"/>
      <c r="V395" s="1588">
        <f>IF(ISERROR(HLOOKUP($B395,LUG!$G$1:$N$47,47,FALSE)),S395,HLOOKUP($B395,LUG!$G$1:$N$47,47,FALSE)+S395)</f>
        <v>0</v>
      </c>
      <c r="W395" s="1589"/>
      <c r="X395" s="1590"/>
      <c r="Y395" s="1588">
        <f>IF(ISERROR(HLOOKUP($B395,AGO!$G$1:$N$47,47,FALSE)),V395,HLOOKUP($B395,AGO!$G$1:$N$47,47,FALSE)+V395)</f>
        <v>0</v>
      </c>
      <c r="Z395" s="1589"/>
      <c r="AA395" s="1590"/>
      <c r="AB395" s="1588">
        <f>IF(ISERROR(HLOOKUP($B395,SET!$G$1:$N$47,47,FALSE)),Y395,HLOOKUP($B395,SET!$G$1:$N$47,47,FALSE)+Y395)</f>
        <v>0</v>
      </c>
      <c r="AC395" s="1589"/>
      <c r="AD395" s="1590"/>
      <c r="AE395" s="1588">
        <f>IF(ISERROR(HLOOKUP($B395,OTT!$G$1:$N$47,47,FALSE)),AB395,HLOOKUP($B395,OTT!$G$1:$N$47,47,FALSE)+AB395)</f>
        <v>0</v>
      </c>
      <c r="AF395" s="1589"/>
      <c r="AG395" s="1590"/>
      <c r="AH395" s="1588">
        <f>IF(ISERROR(HLOOKUP($B395,NOV!$G$1:$N$47,47,FALSE)),AE395,HLOOKUP($B395,NOV!$G$1:$N$47,47,FALSE)+AE395)</f>
        <v>0</v>
      </c>
      <c r="AI395" s="1589"/>
      <c r="AJ395" s="1590"/>
      <c r="AK395" s="1588">
        <f>IF(ISERROR(HLOOKUP($B395,DIC!$G$1:$N$47,47,FALSE)),AH395,HLOOKUP($B395,DIC!$G$1:$N$47,47,FALSE)+AH395)</f>
        <v>0</v>
      </c>
      <c r="AL395" s="1589"/>
      <c r="AM395" s="2004"/>
      <c r="AN395" s="48"/>
      <c r="AO395" s="481"/>
      <c r="AP395" s="481"/>
      <c r="AQ395" s="481"/>
      <c r="AR395" s="481"/>
      <c r="AS395" s="481"/>
      <c r="AT395" s="481"/>
      <c r="AU395" s="481"/>
      <c r="AV395" s="481"/>
      <c r="AW395" s="481"/>
      <c r="AX395" s="481"/>
      <c r="AY395" s="481"/>
      <c r="AZ395" s="481"/>
      <c r="BA395" s="481"/>
      <c r="BB395" s="481"/>
      <c r="BC395" s="481"/>
      <c r="BD395" s="481"/>
      <c r="BE395" s="481"/>
      <c r="BF395" s="481"/>
      <c r="BG395" s="481"/>
      <c r="BH395" s="481"/>
      <c r="BI395" s="481"/>
      <c r="BJ395" s="481"/>
      <c r="BK395" s="481"/>
      <c r="BL395" s="481"/>
      <c r="BM395" s="481"/>
      <c r="BN395" s="481"/>
      <c r="BO395" s="481"/>
      <c r="BP395" s="481"/>
      <c r="BQ395" s="481"/>
      <c r="BR395" s="481"/>
      <c r="BS395" s="481"/>
      <c r="BT395" s="481"/>
      <c r="BU395" s="481"/>
      <c r="BV395" s="481"/>
      <c r="BW395" s="481"/>
      <c r="BX395" s="481"/>
      <c r="BY395" s="481"/>
      <c r="BZ395" s="481"/>
      <c r="CA395" s="481"/>
      <c r="CB395" s="481"/>
      <c r="CC395" s="481"/>
      <c r="CD395" s="481"/>
      <c r="CE395" s="481"/>
      <c r="CF395" s="481"/>
      <c r="CG395" s="481"/>
      <c r="CH395" s="481"/>
      <c r="CI395" s="481"/>
      <c r="CJ395" s="481"/>
      <c r="CK395" s="481"/>
      <c r="CL395" s="481"/>
      <c r="CM395" s="481"/>
      <c r="CN395" s="481"/>
      <c r="CO395" s="481"/>
      <c r="CP395" s="481"/>
      <c r="CQ395" s="481"/>
      <c r="CR395" s="481"/>
      <c r="CS395" s="481"/>
      <c r="CT395" s="481"/>
      <c r="CU395" s="481"/>
      <c r="CV395" s="481"/>
      <c r="CW395" s="481"/>
      <c r="CX395" s="481"/>
      <c r="CY395" s="481"/>
      <c r="CZ395" s="481"/>
      <c r="DA395" s="481"/>
      <c r="DB395" s="481"/>
      <c r="DC395" s="481"/>
      <c r="DD395" s="481"/>
      <c r="DE395" s="481"/>
      <c r="DF395" s="481"/>
      <c r="DG395" s="481"/>
      <c r="DH395" s="481"/>
      <c r="DI395" s="481"/>
      <c r="DJ395" s="481"/>
      <c r="DK395" s="481"/>
      <c r="DL395" s="481"/>
      <c r="DM395" s="481"/>
      <c r="DN395" s="481"/>
      <c r="DO395" s="481"/>
      <c r="DP395" s="481"/>
      <c r="DQ395" s="481"/>
      <c r="DR395" s="481"/>
      <c r="DS395" s="481"/>
      <c r="DT395" s="481"/>
      <c r="DU395" s="481"/>
      <c r="DV395" s="481"/>
      <c r="DW395" s="481"/>
      <c r="DX395" s="481"/>
      <c r="DY395" s="481"/>
      <c r="DZ395" s="481"/>
      <c r="EA395" s="481"/>
      <c r="EB395" s="481"/>
      <c r="EC395" s="481"/>
      <c r="ED395" s="481"/>
      <c r="EE395" s="481"/>
      <c r="EF395" s="481"/>
      <c r="EG395" s="481"/>
      <c r="EH395" s="481"/>
      <c r="EI395" s="481"/>
      <c r="EJ395" s="481"/>
      <c r="EK395" s="481"/>
      <c r="EL395" s="481"/>
      <c r="EM395" s="481"/>
      <c r="EN395" s="481"/>
      <c r="EO395" s="481"/>
      <c r="EP395" s="481"/>
      <c r="EQ395" s="481"/>
      <c r="ER395" s="481"/>
      <c r="ES395" s="481"/>
      <c r="ET395" s="481"/>
      <c r="EU395" s="481"/>
      <c r="EV395" s="481"/>
      <c r="EW395" s="481"/>
      <c r="EX395" s="481"/>
      <c r="EY395" s="481"/>
      <c r="EZ395" s="481"/>
      <c r="FA395" s="481"/>
      <c r="FB395" s="481"/>
      <c r="FC395" s="481"/>
      <c r="FD395" s="481"/>
    </row>
    <row r="396" spans="1:160" ht="18" hidden="1" customHeight="1" x14ac:dyDescent="0.2">
      <c r="A396" s="186"/>
      <c r="B396" s="1622" t="str">
        <f t="shared" si="65"/>
        <v/>
      </c>
      <c r="C396" s="2002"/>
      <c r="D396" s="2003">
        <f>IF(ISERROR(HLOOKUP($B396,GEN!$G$1:$N$47,47,FALSE)),0,HLOOKUP($B396,GEN!$G$1:$N$47,47,FALSE))</f>
        <v>0</v>
      </c>
      <c r="E396" s="1589"/>
      <c r="F396" s="1590"/>
      <c r="G396" s="1588">
        <f>IF(ISERROR(HLOOKUP($B396,FEB!$G$1:$N$47,47,FALSE)),D396,HLOOKUP($B396,FEB!$G$1:$N$47,47,FALSE)+D396)</f>
        <v>0</v>
      </c>
      <c r="H396" s="1589"/>
      <c r="I396" s="1590"/>
      <c r="J396" s="1588">
        <f>IF(ISERROR(HLOOKUP($B396,MAR!$G$1:$N$47,47,FALSE)),G396,HLOOKUP($B396,MAR!$G$1:$N$47,47,FALSE)+G396)</f>
        <v>0</v>
      </c>
      <c r="K396" s="1589"/>
      <c r="L396" s="1590"/>
      <c r="M396" s="1588">
        <f>IF(ISERROR(HLOOKUP($B396,APR!$G$1:$N$47,47,FALSE)),J396,HLOOKUP($B396,APR!$G$1:$N$47,47,FALSE)+J396)</f>
        <v>0</v>
      </c>
      <c r="N396" s="1589"/>
      <c r="O396" s="1590"/>
      <c r="P396" s="1588">
        <f>IF(ISERROR(HLOOKUP($B396,MAG!$G$1:$N$47,47,FALSE)),M396,HLOOKUP($B396,MAG!$G$1:$N$47,47,FALSE)+M396)</f>
        <v>0</v>
      </c>
      <c r="Q396" s="1589"/>
      <c r="R396" s="1590"/>
      <c r="S396" s="1588">
        <f>IF(ISERROR(HLOOKUP($B396,GIU!$G$1:$N$47,47,FALSE)),P396,HLOOKUP($B396,GIU!$G$1:$N$47,47,FALSE)+P396)</f>
        <v>0</v>
      </c>
      <c r="T396" s="1589"/>
      <c r="U396" s="1590"/>
      <c r="V396" s="1588">
        <f>IF(ISERROR(HLOOKUP($B396,LUG!$G$1:$N$47,47,FALSE)),S396,HLOOKUP($B396,LUG!$G$1:$N$47,47,FALSE)+S396)</f>
        <v>0</v>
      </c>
      <c r="W396" s="1589"/>
      <c r="X396" s="1590"/>
      <c r="Y396" s="1588">
        <f>IF(ISERROR(HLOOKUP($B396,AGO!$G$1:$N$47,47,FALSE)),V396,HLOOKUP($B396,AGO!$G$1:$N$47,47,FALSE)+V396)</f>
        <v>0</v>
      </c>
      <c r="Z396" s="1589"/>
      <c r="AA396" s="1590"/>
      <c r="AB396" s="1588">
        <f>IF(ISERROR(HLOOKUP($B396,SET!$G$1:$N$47,47,FALSE)),Y396,HLOOKUP($B396,SET!$G$1:$N$47,47,FALSE)+Y396)</f>
        <v>0</v>
      </c>
      <c r="AC396" s="1589"/>
      <c r="AD396" s="1590"/>
      <c r="AE396" s="1588">
        <f>IF(ISERROR(HLOOKUP($B396,OTT!$G$1:$N$47,47,FALSE)),AB396,HLOOKUP($B396,OTT!$G$1:$N$47,47,FALSE)+AB396)</f>
        <v>0</v>
      </c>
      <c r="AF396" s="1589"/>
      <c r="AG396" s="1590"/>
      <c r="AH396" s="1588">
        <f>IF(ISERROR(HLOOKUP($B396,NOV!$G$1:$N$47,47,FALSE)),AE396,HLOOKUP($B396,NOV!$G$1:$N$47,47,FALSE)+AE396)</f>
        <v>0</v>
      </c>
      <c r="AI396" s="1589"/>
      <c r="AJ396" s="1590"/>
      <c r="AK396" s="1588">
        <f>IF(ISERROR(HLOOKUP($B396,DIC!$G$1:$N$47,47,FALSE)),AH396,HLOOKUP($B396,DIC!$G$1:$N$47,47,FALSE)+AH396)</f>
        <v>0</v>
      </c>
      <c r="AL396" s="1589"/>
      <c r="AM396" s="2004"/>
      <c r="AN396" s="48"/>
      <c r="AO396" s="481"/>
      <c r="AP396" s="481"/>
      <c r="AQ396" s="481"/>
      <c r="AR396" s="481"/>
      <c r="AS396" s="481"/>
      <c r="AT396" s="481"/>
      <c r="AU396" s="481"/>
      <c r="AV396" s="481"/>
      <c r="AW396" s="481"/>
      <c r="AX396" s="481"/>
      <c r="AY396" s="481"/>
      <c r="AZ396" s="481"/>
      <c r="BA396" s="481"/>
      <c r="BB396" s="481"/>
      <c r="BC396" s="481"/>
      <c r="BD396" s="481"/>
      <c r="BE396" s="481"/>
      <c r="BF396" s="481"/>
      <c r="BG396" s="481"/>
      <c r="BH396" s="481"/>
      <c r="BI396" s="481"/>
      <c r="BJ396" s="481"/>
      <c r="BK396" s="481"/>
      <c r="BL396" s="481"/>
      <c r="BM396" s="481"/>
      <c r="BN396" s="481"/>
      <c r="BO396" s="481"/>
      <c r="BP396" s="481"/>
      <c r="BQ396" s="481"/>
      <c r="BR396" s="481"/>
      <c r="BS396" s="481"/>
      <c r="BT396" s="481"/>
      <c r="BU396" s="481"/>
      <c r="BV396" s="481"/>
      <c r="BW396" s="481"/>
      <c r="BX396" s="481"/>
      <c r="BY396" s="481"/>
      <c r="BZ396" s="481"/>
      <c r="CA396" s="481"/>
      <c r="CB396" s="481"/>
      <c r="CC396" s="481"/>
      <c r="CD396" s="481"/>
      <c r="CE396" s="481"/>
      <c r="CF396" s="481"/>
      <c r="CG396" s="481"/>
      <c r="CH396" s="481"/>
      <c r="CI396" s="481"/>
      <c r="CJ396" s="481"/>
      <c r="CK396" s="481"/>
      <c r="CL396" s="481"/>
      <c r="CM396" s="481"/>
      <c r="CN396" s="481"/>
      <c r="CO396" s="481"/>
      <c r="CP396" s="481"/>
      <c r="CQ396" s="481"/>
      <c r="CR396" s="481"/>
      <c r="CS396" s="481"/>
      <c r="CT396" s="481"/>
      <c r="CU396" s="481"/>
      <c r="CV396" s="481"/>
      <c r="CW396" s="481"/>
      <c r="CX396" s="481"/>
      <c r="CY396" s="481"/>
      <c r="CZ396" s="481"/>
      <c r="DA396" s="481"/>
      <c r="DB396" s="481"/>
      <c r="DC396" s="481"/>
      <c r="DD396" s="481"/>
      <c r="DE396" s="481"/>
      <c r="DF396" s="481"/>
      <c r="DG396" s="481"/>
      <c r="DH396" s="481"/>
      <c r="DI396" s="481"/>
      <c r="DJ396" s="481"/>
      <c r="DK396" s="481"/>
      <c r="DL396" s="481"/>
      <c r="DM396" s="481"/>
      <c r="DN396" s="481"/>
      <c r="DO396" s="481"/>
      <c r="DP396" s="481"/>
      <c r="DQ396" s="481"/>
      <c r="DR396" s="481"/>
      <c r="DS396" s="481"/>
      <c r="DT396" s="481"/>
      <c r="DU396" s="481"/>
      <c r="DV396" s="481"/>
      <c r="DW396" s="481"/>
      <c r="DX396" s="481"/>
      <c r="DY396" s="481"/>
      <c r="DZ396" s="481"/>
      <c r="EA396" s="481"/>
      <c r="EB396" s="481"/>
      <c r="EC396" s="481"/>
      <c r="ED396" s="481"/>
      <c r="EE396" s="481"/>
      <c r="EF396" s="481"/>
      <c r="EG396" s="481"/>
      <c r="EH396" s="481"/>
      <c r="EI396" s="481"/>
      <c r="EJ396" s="481"/>
      <c r="EK396" s="481"/>
      <c r="EL396" s="481"/>
      <c r="EM396" s="481"/>
      <c r="EN396" s="481"/>
      <c r="EO396" s="481"/>
      <c r="EP396" s="481"/>
      <c r="EQ396" s="481"/>
      <c r="ER396" s="481"/>
      <c r="ES396" s="481"/>
      <c r="ET396" s="481"/>
      <c r="EU396" s="481"/>
      <c r="EV396" s="481"/>
      <c r="EW396" s="481"/>
      <c r="EX396" s="481"/>
      <c r="EY396" s="481"/>
      <c r="EZ396" s="481"/>
      <c r="FA396" s="481"/>
      <c r="FB396" s="481"/>
      <c r="FC396" s="481"/>
      <c r="FD396" s="481"/>
    </row>
    <row r="397" spans="1:160" ht="18" hidden="1" customHeight="1" x14ac:dyDescent="0.2">
      <c r="A397" s="186"/>
      <c r="B397" s="1622" t="str">
        <f t="shared" si="65"/>
        <v/>
      </c>
      <c r="C397" s="2002"/>
      <c r="D397" s="2003">
        <f>IF(ISERROR(HLOOKUP($B397,GEN!$G$1:$N$47,47,FALSE)),0,HLOOKUP($B397,GEN!$G$1:$N$47,47,FALSE))</f>
        <v>0</v>
      </c>
      <c r="E397" s="1589"/>
      <c r="F397" s="1590"/>
      <c r="G397" s="1588">
        <f>IF(ISERROR(HLOOKUP($B397,FEB!$G$1:$N$47,47,FALSE)),D397,HLOOKUP($B397,FEB!$G$1:$N$47,47,FALSE)+D397)</f>
        <v>0</v>
      </c>
      <c r="H397" s="1589"/>
      <c r="I397" s="1590"/>
      <c r="J397" s="1588">
        <f>IF(ISERROR(HLOOKUP($B397,MAR!$G$1:$N$47,47,FALSE)),G397,HLOOKUP($B397,MAR!$G$1:$N$47,47,FALSE)+G397)</f>
        <v>0</v>
      </c>
      <c r="K397" s="1589"/>
      <c r="L397" s="1590"/>
      <c r="M397" s="1588">
        <f>IF(ISERROR(HLOOKUP($B397,APR!$G$1:$N$47,47,FALSE)),J397,HLOOKUP($B397,APR!$G$1:$N$47,47,FALSE)+J397)</f>
        <v>0</v>
      </c>
      <c r="N397" s="1589"/>
      <c r="O397" s="1590"/>
      <c r="P397" s="1588">
        <f>IF(ISERROR(HLOOKUP($B397,MAG!$G$1:$N$47,47,FALSE)),M397,HLOOKUP($B397,MAG!$G$1:$N$47,47,FALSE)+M397)</f>
        <v>0</v>
      </c>
      <c r="Q397" s="1589"/>
      <c r="R397" s="1590"/>
      <c r="S397" s="1588">
        <f>IF(ISERROR(HLOOKUP($B397,GIU!$G$1:$N$47,47,FALSE)),P397,HLOOKUP($B397,GIU!$G$1:$N$47,47,FALSE)+P397)</f>
        <v>0</v>
      </c>
      <c r="T397" s="1589"/>
      <c r="U397" s="1590"/>
      <c r="V397" s="1588">
        <f>IF(ISERROR(HLOOKUP($B397,LUG!$G$1:$N$47,47,FALSE)),S397,HLOOKUP($B397,LUG!$G$1:$N$47,47,FALSE)+S397)</f>
        <v>0</v>
      </c>
      <c r="W397" s="1589"/>
      <c r="X397" s="1590"/>
      <c r="Y397" s="1588">
        <f>IF(ISERROR(HLOOKUP($B397,AGO!$G$1:$N$47,47,FALSE)),V397,HLOOKUP($B397,AGO!$G$1:$N$47,47,FALSE)+V397)</f>
        <v>0</v>
      </c>
      <c r="Z397" s="1589"/>
      <c r="AA397" s="1590"/>
      <c r="AB397" s="1588">
        <f>IF(ISERROR(HLOOKUP($B397,SET!$G$1:$N$47,47,FALSE)),Y397,HLOOKUP($B397,SET!$G$1:$N$47,47,FALSE)+Y397)</f>
        <v>0</v>
      </c>
      <c r="AC397" s="1589"/>
      <c r="AD397" s="1590"/>
      <c r="AE397" s="1588">
        <f>IF(ISERROR(HLOOKUP($B397,OTT!$G$1:$N$47,47,FALSE)),AB397,HLOOKUP($B397,OTT!$G$1:$N$47,47,FALSE)+AB397)</f>
        <v>0</v>
      </c>
      <c r="AF397" s="1589"/>
      <c r="AG397" s="1590"/>
      <c r="AH397" s="1588">
        <f>IF(ISERROR(HLOOKUP($B397,NOV!$G$1:$N$47,47,FALSE)),AE397,HLOOKUP($B397,NOV!$G$1:$N$47,47,FALSE)+AE397)</f>
        <v>0</v>
      </c>
      <c r="AI397" s="1589"/>
      <c r="AJ397" s="1590"/>
      <c r="AK397" s="1588">
        <f>IF(ISERROR(HLOOKUP($B397,DIC!$G$1:$N$47,47,FALSE)),AH397,HLOOKUP($B397,DIC!$G$1:$N$47,47,FALSE)+AH397)</f>
        <v>0</v>
      </c>
      <c r="AL397" s="1589"/>
      <c r="AM397" s="2004"/>
      <c r="AN397" s="48"/>
      <c r="AO397" s="481"/>
      <c r="AP397" s="481"/>
      <c r="AQ397" s="481"/>
      <c r="AR397" s="481"/>
      <c r="AS397" s="481"/>
      <c r="AT397" s="481"/>
      <c r="AU397" s="481"/>
      <c r="AV397" s="481"/>
      <c r="AW397" s="481"/>
      <c r="AX397" s="481"/>
      <c r="AY397" s="481"/>
      <c r="AZ397" s="481"/>
      <c r="BA397" s="481"/>
      <c r="BB397" s="481"/>
      <c r="BC397" s="481"/>
      <c r="BD397" s="481"/>
      <c r="BE397" s="481"/>
      <c r="BF397" s="481"/>
      <c r="BG397" s="481"/>
      <c r="BH397" s="481"/>
      <c r="BI397" s="481"/>
      <c r="BJ397" s="481"/>
      <c r="BK397" s="481"/>
      <c r="BL397" s="481"/>
      <c r="BM397" s="481"/>
      <c r="BN397" s="481"/>
      <c r="BO397" s="481"/>
      <c r="BP397" s="481"/>
      <c r="BQ397" s="481"/>
      <c r="BR397" s="481"/>
      <c r="BS397" s="481"/>
      <c r="BT397" s="481"/>
      <c r="BU397" s="481"/>
      <c r="BV397" s="481"/>
      <c r="BW397" s="481"/>
      <c r="BX397" s="481"/>
      <c r="BY397" s="481"/>
      <c r="BZ397" s="481"/>
      <c r="CA397" s="481"/>
      <c r="CB397" s="481"/>
      <c r="CC397" s="481"/>
      <c r="CD397" s="481"/>
      <c r="CE397" s="481"/>
      <c r="CF397" s="481"/>
      <c r="CG397" s="481"/>
      <c r="CH397" s="481"/>
      <c r="CI397" s="481"/>
      <c r="CJ397" s="481"/>
      <c r="CK397" s="481"/>
      <c r="CL397" s="481"/>
      <c r="CM397" s="481"/>
      <c r="CN397" s="481"/>
      <c r="CO397" s="481"/>
      <c r="CP397" s="481"/>
      <c r="CQ397" s="481"/>
      <c r="CR397" s="481"/>
      <c r="CS397" s="481"/>
      <c r="CT397" s="481"/>
      <c r="CU397" s="481"/>
      <c r="CV397" s="481"/>
      <c r="CW397" s="481"/>
      <c r="CX397" s="481"/>
      <c r="CY397" s="481"/>
      <c r="CZ397" s="481"/>
      <c r="DA397" s="481"/>
      <c r="DB397" s="481"/>
      <c r="DC397" s="481"/>
      <c r="DD397" s="481"/>
      <c r="DE397" s="481"/>
      <c r="DF397" s="481"/>
      <c r="DG397" s="481"/>
      <c r="DH397" s="481"/>
      <c r="DI397" s="481"/>
      <c r="DJ397" s="481"/>
      <c r="DK397" s="481"/>
      <c r="DL397" s="481"/>
      <c r="DM397" s="481"/>
      <c r="DN397" s="481"/>
      <c r="DO397" s="481"/>
      <c r="DP397" s="481"/>
      <c r="DQ397" s="481"/>
      <c r="DR397" s="481"/>
      <c r="DS397" s="481"/>
      <c r="DT397" s="481"/>
      <c r="DU397" s="481"/>
      <c r="DV397" s="481"/>
      <c r="DW397" s="481"/>
      <c r="DX397" s="481"/>
      <c r="DY397" s="481"/>
      <c r="DZ397" s="481"/>
      <c r="EA397" s="481"/>
      <c r="EB397" s="481"/>
      <c r="EC397" s="481"/>
      <c r="ED397" s="481"/>
      <c r="EE397" s="481"/>
      <c r="EF397" s="481"/>
      <c r="EG397" s="481"/>
      <c r="EH397" s="481"/>
      <c r="EI397" s="481"/>
      <c r="EJ397" s="481"/>
      <c r="EK397" s="481"/>
      <c r="EL397" s="481"/>
      <c r="EM397" s="481"/>
      <c r="EN397" s="481"/>
      <c r="EO397" s="481"/>
      <c r="EP397" s="481"/>
      <c r="EQ397" s="481"/>
      <c r="ER397" s="481"/>
      <c r="ES397" s="481"/>
      <c r="ET397" s="481"/>
      <c r="EU397" s="481"/>
      <c r="EV397" s="481"/>
      <c r="EW397" s="481"/>
      <c r="EX397" s="481"/>
      <c r="EY397" s="481"/>
      <c r="EZ397" s="481"/>
      <c r="FA397" s="481"/>
      <c r="FB397" s="481"/>
      <c r="FC397" s="481"/>
      <c r="FD397" s="481"/>
    </row>
    <row r="398" spans="1:160" ht="18" hidden="1" customHeight="1" x14ac:dyDescent="0.2">
      <c r="A398" s="186"/>
      <c r="B398" s="48"/>
      <c r="C398" s="48"/>
      <c r="D398" s="2017">
        <f>SUMIF(D391:F397,"&gt;0")+SUMIF(D391:F397,"&lt;0")</f>
        <v>4000</v>
      </c>
      <c r="E398" s="2008"/>
      <c r="F398" s="2009"/>
      <c r="G398" s="2007">
        <f>SUMIF(G391:I397,"&gt;0")+SUMIF(G391:I397,"&lt;0")</f>
        <v>4000</v>
      </c>
      <c r="H398" s="2008"/>
      <c r="I398" s="2009"/>
      <c r="J398" s="2007">
        <f>SUMIF(J391:L397,"&gt;0")+SUMIF(J391:L397,"&lt;0")</f>
        <v>4000</v>
      </c>
      <c r="K398" s="2008"/>
      <c r="L398" s="2009"/>
      <c r="M398" s="2007">
        <f>SUMIF(M391:O397,"&gt;0")+SUMIF(M391:O397,"&lt;0")</f>
        <v>4000</v>
      </c>
      <c r="N398" s="2008"/>
      <c r="O398" s="2009"/>
      <c r="P398" s="2007">
        <f>SUMIF(P391:R397,"&gt;0")+SUMIF(P391:R397,"&lt;0")</f>
        <v>4000</v>
      </c>
      <c r="Q398" s="2008"/>
      <c r="R398" s="2009"/>
      <c r="S398" s="2007">
        <f>SUMIF(S391:U397,"&gt;0")+SUMIF(S391:U397,"&lt;0")</f>
        <v>4000</v>
      </c>
      <c r="T398" s="2008"/>
      <c r="U398" s="2009"/>
      <c r="V398" s="2007">
        <f>SUMIF(V391:X397,"&gt;0")+SUMIF(V391:X397,"&lt;0")</f>
        <v>4000</v>
      </c>
      <c r="W398" s="2008"/>
      <c r="X398" s="2009"/>
      <c r="Y398" s="2007">
        <f>SUMIF(Y391:AA397,"&gt;0")+SUMIF(Y391:AA397,"&lt;0")</f>
        <v>4000</v>
      </c>
      <c r="Z398" s="2008"/>
      <c r="AA398" s="2009"/>
      <c r="AB398" s="2007">
        <f>SUMIF(AB391:AD397,"&gt;0")+SUMIF(AB391:AD397,"&lt;0")</f>
        <v>4000</v>
      </c>
      <c r="AC398" s="2008"/>
      <c r="AD398" s="2009"/>
      <c r="AE398" s="2007">
        <f>SUMIF(AE391:AG397,"&gt;0")+SUMIF(AE391:AG397,"&lt;0")</f>
        <v>4000</v>
      </c>
      <c r="AF398" s="2008"/>
      <c r="AG398" s="2009"/>
      <c r="AH398" s="2007">
        <f>SUMIF(AH391:AJ397,"&gt;0")+SUMIF(AH391:AJ397,"&lt;0")</f>
        <v>4000</v>
      </c>
      <c r="AI398" s="2008"/>
      <c r="AJ398" s="2009"/>
      <c r="AK398" s="2007">
        <f>SUMIF(AK391:AM397,"&gt;0")+SUMIF(AK391:AM397,"&lt;0")</f>
        <v>4000</v>
      </c>
      <c r="AL398" s="2008"/>
      <c r="AM398" s="2010"/>
      <c r="AN398" s="48"/>
      <c r="AO398" s="481"/>
      <c r="AP398" s="481"/>
      <c r="AQ398" s="481"/>
      <c r="AR398" s="481"/>
      <c r="AS398" s="481"/>
      <c r="AT398" s="481"/>
      <c r="AU398" s="481"/>
      <c r="AV398" s="481"/>
      <c r="AW398" s="481"/>
      <c r="AX398" s="481"/>
      <c r="AY398" s="481"/>
      <c r="AZ398" s="481"/>
      <c r="BA398" s="481"/>
      <c r="BB398" s="481"/>
      <c r="BC398" s="481"/>
      <c r="BD398" s="481"/>
      <c r="BE398" s="481"/>
      <c r="BF398" s="481"/>
      <c r="BG398" s="481"/>
      <c r="BH398" s="481"/>
      <c r="BI398" s="481"/>
      <c r="BJ398" s="481"/>
      <c r="BK398" s="481"/>
      <c r="BL398" s="481"/>
      <c r="BM398" s="481"/>
      <c r="BN398" s="481"/>
      <c r="BO398" s="481"/>
      <c r="BP398" s="481"/>
      <c r="BQ398" s="481"/>
      <c r="BR398" s="481"/>
      <c r="BS398" s="481"/>
      <c r="BT398" s="481"/>
      <c r="BU398" s="481"/>
      <c r="BV398" s="481"/>
      <c r="BW398" s="481"/>
      <c r="BX398" s="481"/>
      <c r="BY398" s="481"/>
      <c r="BZ398" s="481"/>
      <c r="CA398" s="481"/>
      <c r="CB398" s="481"/>
      <c r="CC398" s="481"/>
      <c r="CD398" s="481"/>
      <c r="CE398" s="481"/>
      <c r="CF398" s="481"/>
      <c r="CG398" s="481"/>
      <c r="CH398" s="481"/>
      <c r="CI398" s="481"/>
      <c r="CJ398" s="481"/>
      <c r="CK398" s="481"/>
      <c r="CL398" s="481"/>
      <c r="CM398" s="481"/>
      <c r="CN398" s="481"/>
      <c r="CO398" s="481"/>
      <c r="CP398" s="481"/>
      <c r="CQ398" s="481"/>
      <c r="CR398" s="481"/>
      <c r="CS398" s="481"/>
      <c r="CT398" s="481"/>
      <c r="CU398" s="481"/>
      <c r="CV398" s="481"/>
      <c r="CW398" s="481"/>
      <c r="CX398" s="481"/>
      <c r="CY398" s="481"/>
      <c r="CZ398" s="481"/>
      <c r="DA398" s="481"/>
      <c r="DB398" s="481"/>
      <c r="DC398" s="481"/>
      <c r="DD398" s="481"/>
      <c r="DE398" s="481"/>
      <c r="DF398" s="481"/>
      <c r="DG398" s="481"/>
      <c r="DH398" s="481"/>
      <c r="DI398" s="481"/>
      <c r="DJ398" s="481"/>
      <c r="DK398" s="481"/>
      <c r="DL398" s="481"/>
      <c r="DM398" s="481"/>
      <c r="DN398" s="481"/>
      <c r="DO398" s="481"/>
      <c r="DP398" s="481"/>
      <c r="DQ398" s="481"/>
      <c r="DR398" s="481"/>
      <c r="DS398" s="481"/>
      <c r="DT398" s="481"/>
      <c r="DU398" s="481"/>
      <c r="DV398" s="481"/>
      <c r="DW398" s="481"/>
      <c r="DX398" s="481"/>
      <c r="DY398" s="481"/>
      <c r="DZ398" s="481"/>
      <c r="EA398" s="481"/>
      <c r="EB398" s="481"/>
      <c r="EC398" s="481"/>
      <c r="ED398" s="481"/>
      <c r="EE398" s="481"/>
      <c r="EF398" s="481"/>
      <c r="EG398" s="481"/>
      <c r="EH398" s="481"/>
      <c r="EI398" s="481"/>
      <c r="EJ398" s="481"/>
      <c r="EK398" s="481"/>
      <c r="EL398" s="481"/>
      <c r="EM398" s="481"/>
      <c r="EN398" s="481"/>
      <c r="EO398" s="481"/>
      <c r="EP398" s="481"/>
      <c r="EQ398" s="481"/>
      <c r="ER398" s="481"/>
      <c r="ES398" s="481"/>
      <c r="ET398" s="481"/>
      <c r="EU398" s="481"/>
      <c r="EV398" s="481"/>
      <c r="EW398" s="481"/>
      <c r="EX398" s="481"/>
      <c r="EY398" s="481"/>
      <c r="EZ398" s="481"/>
      <c r="FA398" s="481"/>
      <c r="FB398" s="481"/>
      <c r="FC398" s="481"/>
      <c r="FD398" s="481"/>
    </row>
    <row r="399" spans="1:160" ht="18" hidden="1" customHeight="1" x14ac:dyDescent="0.2">
      <c r="A399" s="186"/>
      <c r="B399" s="48"/>
      <c r="C399" s="48"/>
      <c r="D399" s="185"/>
      <c r="E399" s="185"/>
      <c r="F399" s="185"/>
      <c r="G399" s="185"/>
      <c r="H399" s="185"/>
      <c r="I399" s="185"/>
      <c r="J399" s="185"/>
      <c r="K399" s="185"/>
      <c r="L399" s="185"/>
      <c r="M399" s="185"/>
      <c r="N399" s="185"/>
      <c r="O399" s="185"/>
      <c r="P399" s="185"/>
      <c r="Q399" s="185"/>
      <c r="R399" s="185"/>
      <c r="S399" s="185"/>
      <c r="T399" s="185"/>
      <c r="U399" s="185"/>
      <c r="V399" s="185"/>
      <c r="W399" s="185"/>
      <c r="X399" s="185"/>
      <c r="Y399" s="185"/>
      <c r="Z399" s="185"/>
      <c r="AA399" s="185"/>
      <c r="AB399" s="185"/>
      <c r="AC399" s="186"/>
      <c r="AD399" s="186"/>
      <c r="AE399" s="186"/>
      <c r="AF399" s="186"/>
      <c r="AG399" s="186"/>
      <c r="AH399" s="186"/>
      <c r="AI399" s="186"/>
      <c r="AJ399" s="186"/>
      <c r="AK399" s="186"/>
      <c r="AL399" s="186"/>
      <c r="AM399" s="186"/>
      <c r="AN399" s="48"/>
      <c r="AO399" s="481"/>
      <c r="AP399" s="481"/>
      <c r="AQ399" s="481"/>
      <c r="AR399" s="481"/>
      <c r="AS399" s="481"/>
      <c r="AT399" s="481"/>
      <c r="AU399" s="481"/>
      <c r="AV399" s="481"/>
      <c r="AW399" s="481"/>
      <c r="AX399" s="481"/>
      <c r="AY399" s="481"/>
      <c r="AZ399" s="481"/>
      <c r="BA399" s="481"/>
      <c r="BB399" s="481"/>
      <c r="BC399" s="481"/>
      <c r="BD399" s="481"/>
      <c r="BE399" s="481"/>
      <c r="BF399" s="481"/>
      <c r="BG399" s="481"/>
      <c r="BH399" s="481"/>
      <c r="BI399" s="481"/>
      <c r="BJ399" s="481"/>
      <c r="BK399" s="481"/>
      <c r="BL399" s="481"/>
      <c r="BM399" s="481"/>
      <c r="BN399" s="481"/>
      <c r="BO399" s="481"/>
      <c r="BP399" s="481"/>
      <c r="BQ399" s="481"/>
      <c r="BR399" s="481"/>
      <c r="BS399" s="481"/>
      <c r="BT399" s="481"/>
      <c r="BU399" s="481"/>
      <c r="BV399" s="481"/>
      <c r="BW399" s="481"/>
      <c r="BX399" s="481"/>
      <c r="BY399" s="481"/>
      <c r="BZ399" s="481"/>
      <c r="CA399" s="481"/>
      <c r="CB399" s="481"/>
      <c r="CC399" s="481"/>
      <c r="CD399" s="481"/>
      <c r="CE399" s="481"/>
      <c r="CF399" s="481"/>
      <c r="CG399" s="481"/>
      <c r="CH399" s="481"/>
      <c r="CI399" s="481"/>
      <c r="CJ399" s="481"/>
      <c r="CK399" s="481"/>
      <c r="CL399" s="481"/>
      <c r="CM399" s="481"/>
      <c r="CN399" s="481"/>
      <c r="CO399" s="481"/>
      <c r="CP399" s="481"/>
      <c r="CQ399" s="481"/>
      <c r="CR399" s="481"/>
      <c r="CS399" s="481"/>
      <c r="CT399" s="481"/>
      <c r="CU399" s="481"/>
      <c r="CV399" s="481"/>
      <c r="CW399" s="481"/>
      <c r="CX399" s="481"/>
      <c r="CY399" s="481"/>
      <c r="CZ399" s="481"/>
      <c r="DA399" s="481"/>
      <c r="DB399" s="481"/>
      <c r="DC399" s="481"/>
      <c r="DD399" s="481"/>
      <c r="DE399" s="481"/>
      <c r="DF399" s="481"/>
      <c r="DG399" s="481"/>
      <c r="DH399" s="481"/>
      <c r="DI399" s="481"/>
      <c r="DJ399" s="481"/>
      <c r="DK399" s="481"/>
      <c r="DL399" s="481"/>
      <c r="DM399" s="481"/>
      <c r="DN399" s="481"/>
      <c r="DO399" s="481"/>
      <c r="DP399" s="481"/>
      <c r="DQ399" s="481"/>
      <c r="DR399" s="481"/>
      <c r="DS399" s="481"/>
      <c r="DT399" s="481"/>
      <c r="DU399" s="481"/>
      <c r="DV399" s="481"/>
      <c r="DW399" s="481"/>
      <c r="DX399" s="481"/>
      <c r="DY399" s="481"/>
      <c r="DZ399" s="481"/>
      <c r="EA399" s="481"/>
      <c r="EB399" s="481"/>
      <c r="EC399" s="481"/>
      <c r="ED399" s="481"/>
      <c r="EE399" s="481"/>
      <c r="EF399" s="481"/>
      <c r="EG399" s="481"/>
      <c r="EH399" s="481"/>
      <c r="EI399" s="481"/>
      <c r="EJ399" s="481"/>
      <c r="EK399" s="481"/>
      <c r="EL399" s="481"/>
      <c r="EM399" s="481"/>
      <c r="EN399" s="481"/>
      <c r="EO399" s="481"/>
      <c r="EP399" s="481"/>
      <c r="EQ399" s="481"/>
      <c r="ER399" s="481"/>
      <c r="ES399" s="481"/>
      <c r="ET399" s="481"/>
      <c r="EU399" s="481"/>
      <c r="EV399" s="481"/>
      <c r="EW399" s="481"/>
      <c r="EX399" s="481"/>
      <c r="EY399" s="481"/>
      <c r="EZ399" s="481"/>
      <c r="FA399" s="481"/>
      <c r="FB399" s="481"/>
      <c r="FC399" s="481"/>
      <c r="FD399" s="481"/>
    </row>
    <row r="400" spans="1:160" ht="18" hidden="1" customHeight="1" x14ac:dyDescent="0.2">
      <c r="A400" s="186"/>
      <c r="B400" s="1593" t="s">
        <v>666</v>
      </c>
      <c r="C400" s="1594"/>
      <c r="D400" s="2012" t="str">
        <f>D256</f>
        <v>Gennaio</v>
      </c>
      <c r="E400" s="2013"/>
      <c r="F400" s="2013"/>
      <c r="G400" s="2012" t="str">
        <f>G256</f>
        <v>Febbraio</v>
      </c>
      <c r="H400" s="2013"/>
      <c r="I400" s="2013"/>
      <c r="J400" s="2012" t="str">
        <f>J256</f>
        <v>Marzo</v>
      </c>
      <c r="K400" s="2013"/>
      <c r="L400" s="2013"/>
      <c r="M400" s="2012" t="str">
        <f>M256</f>
        <v>Aprile</v>
      </c>
      <c r="N400" s="2013"/>
      <c r="O400" s="2013"/>
      <c r="P400" s="2012" t="str">
        <f>P256</f>
        <v>Maggio</v>
      </c>
      <c r="Q400" s="2013"/>
      <c r="R400" s="2013"/>
      <c r="S400" s="2012" t="str">
        <f>S256</f>
        <v>Giugno</v>
      </c>
      <c r="T400" s="2013"/>
      <c r="U400" s="2013"/>
      <c r="V400" s="2012" t="str">
        <f>V256</f>
        <v>Luglio</v>
      </c>
      <c r="W400" s="2013"/>
      <c r="X400" s="2013"/>
      <c r="Y400" s="2012" t="str">
        <f>Y256</f>
        <v>Agosto</v>
      </c>
      <c r="Z400" s="2013"/>
      <c r="AA400" s="2013"/>
      <c r="AB400" s="2012" t="str">
        <f>AB256</f>
        <v>Settembre</v>
      </c>
      <c r="AC400" s="2013"/>
      <c r="AD400" s="2013"/>
      <c r="AE400" s="2012" t="str">
        <f>AE256</f>
        <v>Ottobre</v>
      </c>
      <c r="AF400" s="2013"/>
      <c r="AG400" s="2013"/>
      <c r="AH400" s="2012" t="str">
        <f>AH256</f>
        <v>Novembre</v>
      </c>
      <c r="AI400" s="2013"/>
      <c r="AJ400" s="2013"/>
      <c r="AK400" s="2012" t="str">
        <f>AK256</f>
        <v>Dicembre</v>
      </c>
      <c r="AL400" s="2013"/>
      <c r="AM400" s="2013"/>
      <c r="AN400" s="48"/>
      <c r="AO400" s="481"/>
      <c r="AP400" s="481"/>
      <c r="AQ400" s="481"/>
      <c r="AR400" s="481"/>
      <c r="AS400" s="481"/>
      <c r="AT400" s="481"/>
      <c r="AU400" s="481"/>
      <c r="AV400" s="481"/>
      <c r="AW400" s="481"/>
      <c r="AX400" s="481"/>
      <c r="AY400" s="481"/>
      <c r="AZ400" s="481"/>
      <c r="BA400" s="481"/>
      <c r="BB400" s="481"/>
      <c r="BC400" s="481"/>
      <c r="BD400" s="481"/>
      <c r="BE400" s="481"/>
      <c r="BF400" s="481"/>
      <c r="BG400" s="481"/>
      <c r="BH400" s="481"/>
      <c r="BI400" s="481"/>
      <c r="BJ400" s="481"/>
      <c r="BK400" s="481"/>
      <c r="BL400" s="481"/>
      <c r="BM400" s="481"/>
      <c r="BN400" s="481"/>
      <c r="BO400" s="481"/>
      <c r="BP400" s="481"/>
      <c r="BQ400" s="481"/>
      <c r="BR400" s="481"/>
      <c r="BS400" s="481"/>
      <c r="BT400" s="481"/>
      <c r="BU400" s="481"/>
      <c r="BV400" s="481"/>
      <c r="BW400" s="481"/>
      <c r="BX400" s="481"/>
    </row>
    <row r="401" spans="1:76" ht="18" hidden="1" customHeight="1" x14ac:dyDescent="0.2">
      <c r="A401" s="186"/>
      <c r="B401" s="1596" t="str">
        <f t="shared" ref="B401:B407" si="66">B257</f>
        <v>--</v>
      </c>
      <c r="C401" s="1597"/>
      <c r="D401" s="1588">
        <f>IF(D$408=1,0,D410+D419)</f>
        <v>0</v>
      </c>
      <c r="E401" s="1589"/>
      <c r="F401" s="1590"/>
      <c r="G401" s="1588">
        <f t="shared" ref="G401:G407" si="67">IF(G$408=1,0,G410+G419)</f>
        <v>0</v>
      </c>
      <c r="H401" s="1589"/>
      <c r="I401" s="1590"/>
      <c r="J401" s="1588">
        <f t="shared" ref="J401:J407" si="68">IF(J$408=1,0,J410+J419)</f>
        <v>0</v>
      </c>
      <c r="K401" s="1589"/>
      <c r="L401" s="1590"/>
      <c r="M401" s="1588">
        <f t="shared" ref="M401:M407" si="69">IF(M$408=1,0,M410+M419)</f>
        <v>0</v>
      </c>
      <c r="N401" s="1589"/>
      <c r="O401" s="1590"/>
      <c r="P401" s="1588">
        <f t="shared" ref="P401:P407" si="70">IF(P$408=1,0,P410+P419)</f>
        <v>0</v>
      </c>
      <c r="Q401" s="1589"/>
      <c r="R401" s="1590"/>
      <c r="S401" s="1588">
        <f t="shared" ref="S401:S407" si="71">IF(S$408=1,0,S410+S419)</f>
        <v>0</v>
      </c>
      <c r="T401" s="1589"/>
      <c r="U401" s="1590"/>
      <c r="V401" s="1588">
        <f t="shared" ref="V401:V407" si="72">IF(V$408=1,0,V410+V419)</f>
        <v>0</v>
      </c>
      <c r="W401" s="1589"/>
      <c r="X401" s="1590"/>
      <c r="Y401" s="1588">
        <f t="shared" ref="Y401:Y407" si="73">IF(Y$408=1,0,Y410+Y419)</f>
        <v>0</v>
      </c>
      <c r="Z401" s="1589"/>
      <c r="AA401" s="1590"/>
      <c r="AB401" s="1588">
        <f t="shared" ref="AB401:AB407" si="74">IF(AB$408=1,0,AB410+AB419)</f>
        <v>0</v>
      </c>
      <c r="AC401" s="1589"/>
      <c r="AD401" s="1590"/>
      <c r="AE401" s="1588">
        <f t="shared" ref="AE401:AE407" si="75">IF(AE$408=1,0,AE410+AE419)</f>
        <v>0</v>
      </c>
      <c r="AF401" s="1589"/>
      <c r="AG401" s="1590"/>
      <c r="AH401" s="1588">
        <f t="shared" ref="AH401:AH407" si="76">IF(AH$408=1,0,AH410+AH419)</f>
        <v>0</v>
      </c>
      <c r="AI401" s="1589"/>
      <c r="AJ401" s="1590"/>
      <c r="AK401" s="1588">
        <f t="shared" ref="AK401:AK407" si="77">IF(AK$408=1,0,AK410+AK419)</f>
        <v>0</v>
      </c>
      <c r="AL401" s="1589"/>
      <c r="AM401" s="1590"/>
      <c r="AN401" s="48"/>
      <c r="AO401" s="481"/>
      <c r="AP401" s="481"/>
      <c r="AQ401" s="481"/>
      <c r="AR401" s="481"/>
      <c r="AS401" s="481"/>
      <c r="AT401" s="481"/>
      <c r="AU401" s="481"/>
      <c r="AV401" s="481"/>
      <c r="AW401" s="481"/>
      <c r="AX401" s="481"/>
      <c r="AY401" s="481"/>
      <c r="AZ401" s="481"/>
      <c r="BA401" s="481"/>
      <c r="BB401" s="481"/>
      <c r="BC401" s="481"/>
      <c r="BD401" s="481"/>
      <c r="BE401" s="481"/>
      <c r="BF401" s="481"/>
      <c r="BG401" s="481"/>
      <c r="BH401" s="481"/>
      <c r="BI401" s="481"/>
      <c r="BJ401" s="481"/>
      <c r="BK401" s="481"/>
      <c r="BL401" s="481"/>
      <c r="BM401" s="481"/>
      <c r="BN401" s="481"/>
      <c r="BO401" s="481"/>
      <c r="BP401" s="481"/>
      <c r="BQ401" s="481"/>
      <c r="BR401" s="481"/>
      <c r="BS401" s="481"/>
      <c r="BT401" s="481"/>
      <c r="BU401" s="481"/>
      <c r="BV401" s="481"/>
      <c r="BW401" s="481"/>
      <c r="BX401" s="481"/>
    </row>
    <row r="402" spans="1:76" ht="18" hidden="1" customHeight="1" x14ac:dyDescent="0.2">
      <c r="A402" s="186"/>
      <c r="B402" s="1596" t="str">
        <f t="shared" si="66"/>
        <v>--</v>
      </c>
      <c r="C402" s="1597"/>
      <c r="D402" s="1588">
        <f>IF(D$408=1,0,D411+D420)</f>
        <v>0</v>
      </c>
      <c r="E402" s="1589"/>
      <c r="F402" s="1590"/>
      <c r="G402" s="1588">
        <f t="shared" si="67"/>
        <v>0</v>
      </c>
      <c r="H402" s="1589"/>
      <c r="I402" s="1590"/>
      <c r="J402" s="1588">
        <f t="shared" si="68"/>
        <v>0</v>
      </c>
      <c r="K402" s="1589"/>
      <c r="L402" s="1590"/>
      <c r="M402" s="1588">
        <f t="shared" si="69"/>
        <v>0</v>
      </c>
      <c r="N402" s="1589"/>
      <c r="O402" s="1590"/>
      <c r="P402" s="1588">
        <f t="shared" si="70"/>
        <v>0</v>
      </c>
      <c r="Q402" s="1589"/>
      <c r="R402" s="1590"/>
      <c r="S402" s="1588">
        <f t="shared" si="71"/>
        <v>0</v>
      </c>
      <c r="T402" s="1589"/>
      <c r="U402" s="1590"/>
      <c r="V402" s="1588">
        <f t="shared" si="72"/>
        <v>0</v>
      </c>
      <c r="W402" s="1589"/>
      <c r="X402" s="1590"/>
      <c r="Y402" s="1588">
        <f t="shared" si="73"/>
        <v>0</v>
      </c>
      <c r="Z402" s="1589"/>
      <c r="AA402" s="1590"/>
      <c r="AB402" s="1588">
        <f t="shared" si="74"/>
        <v>0</v>
      </c>
      <c r="AC402" s="1589"/>
      <c r="AD402" s="1590"/>
      <c r="AE402" s="1588">
        <f t="shared" si="75"/>
        <v>0</v>
      </c>
      <c r="AF402" s="1589"/>
      <c r="AG402" s="1590"/>
      <c r="AH402" s="1588">
        <f t="shared" si="76"/>
        <v>0</v>
      </c>
      <c r="AI402" s="1589"/>
      <c r="AJ402" s="1590"/>
      <c r="AK402" s="1588">
        <f t="shared" si="77"/>
        <v>0</v>
      </c>
      <c r="AL402" s="1589"/>
      <c r="AM402" s="1590"/>
      <c r="AN402" s="48"/>
      <c r="AO402" s="481"/>
      <c r="AP402" s="481"/>
      <c r="AQ402" s="481"/>
      <c r="AR402" s="481"/>
      <c r="AS402" s="481"/>
      <c r="AT402" s="481"/>
      <c r="AU402" s="481"/>
      <c r="AV402" s="481"/>
      <c r="AW402" s="481"/>
      <c r="AX402" s="481"/>
      <c r="AY402" s="481"/>
      <c r="AZ402" s="481"/>
      <c r="BA402" s="481"/>
      <c r="BB402" s="481"/>
      <c r="BC402" s="481"/>
      <c r="BD402" s="481"/>
      <c r="BE402" s="481"/>
      <c r="BF402" s="481"/>
      <c r="BG402" s="481"/>
      <c r="BH402" s="481"/>
      <c r="BI402" s="481"/>
      <c r="BJ402" s="481"/>
      <c r="BK402" s="481"/>
      <c r="BL402" s="481"/>
      <c r="BM402" s="481"/>
      <c r="BN402" s="481"/>
      <c r="BO402" s="481"/>
      <c r="BP402" s="481"/>
      <c r="BQ402" s="481"/>
      <c r="BR402" s="481"/>
      <c r="BS402" s="481"/>
      <c r="BT402" s="481"/>
      <c r="BU402" s="481"/>
      <c r="BV402" s="481"/>
      <c r="BW402" s="481"/>
      <c r="BX402" s="481"/>
    </row>
    <row r="403" spans="1:76" ht="18" hidden="1" customHeight="1" x14ac:dyDescent="0.2">
      <c r="A403" s="186"/>
      <c r="B403" s="1596" t="str">
        <f t="shared" si="66"/>
        <v>--</v>
      </c>
      <c r="C403" s="1597"/>
      <c r="D403" s="1588">
        <f>IF(D$408=1,0,D412+D421)</f>
        <v>0</v>
      </c>
      <c r="E403" s="1589"/>
      <c r="F403" s="1590"/>
      <c r="G403" s="1588">
        <f t="shared" si="67"/>
        <v>0</v>
      </c>
      <c r="H403" s="1589"/>
      <c r="I403" s="1590"/>
      <c r="J403" s="1588">
        <f t="shared" si="68"/>
        <v>0</v>
      </c>
      <c r="K403" s="1589"/>
      <c r="L403" s="1590"/>
      <c r="M403" s="1588">
        <f t="shared" si="69"/>
        <v>0</v>
      </c>
      <c r="N403" s="1589"/>
      <c r="O403" s="1590"/>
      <c r="P403" s="1588">
        <f t="shared" si="70"/>
        <v>0</v>
      </c>
      <c r="Q403" s="1589"/>
      <c r="R403" s="1590"/>
      <c r="S403" s="1588">
        <f t="shared" si="71"/>
        <v>0</v>
      </c>
      <c r="T403" s="1589"/>
      <c r="U403" s="1590"/>
      <c r="V403" s="1588">
        <f t="shared" si="72"/>
        <v>0</v>
      </c>
      <c r="W403" s="1589"/>
      <c r="X403" s="1590"/>
      <c r="Y403" s="1588">
        <f t="shared" si="73"/>
        <v>0</v>
      </c>
      <c r="Z403" s="1589"/>
      <c r="AA403" s="1590"/>
      <c r="AB403" s="1588">
        <f t="shared" si="74"/>
        <v>0</v>
      </c>
      <c r="AC403" s="1589"/>
      <c r="AD403" s="1590"/>
      <c r="AE403" s="1588">
        <f t="shared" si="75"/>
        <v>0</v>
      </c>
      <c r="AF403" s="1589"/>
      <c r="AG403" s="1590"/>
      <c r="AH403" s="1588">
        <f t="shared" si="76"/>
        <v>0</v>
      </c>
      <c r="AI403" s="1589"/>
      <c r="AJ403" s="1590"/>
      <c r="AK403" s="1588">
        <f t="shared" si="77"/>
        <v>0</v>
      </c>
      <c r="AL403" s="1589"/>
      <c r="AM403" s="1590"/>
      <c r="AN403" s="48"/>
      <c r="AO403" s="481"/>
      <c r="AP403" s="481"/>
      <c r="AQ403" s="481"/>
      <c r="AR403" s="481"/>
      <c r="AS403" s="481"/>
      <c r="AT403" s="481"/>
      <c r="AU403" s="481"/>
      <c r="AV403" s="481"/>
      <c r="AW403" s="481"/>
      <c r="AX403" s="481"/>
      <c r="AY403" s="481"/>
      <c r="AZ403" s="481"/>
      <c r="BA403" s="481"/>
      <c r="BB403" s="481"/>
      <c r="BC403" s="481"/>
      <c r="BD403" s="481"/>
      <c r="BE403" s="481"/>
      <c r="BF403" s="481"/>
      <c r="BG403" s="481"/>
      <c r="BH403" s="481"/>
      <c r="BI403" s="481"/>
      <c r="BJ403" s="481"/>
      <c r="BK403" s="481"/>
      <c r="BL403" s="481"/>
      <c r="BM403" s="481"/>
      <c r="BN403" s="481"/>
      <c r="BO403" s="481"/>
      <c r="BP403" s="481"/>
      <c r="BQ403" s="481"/>
      <c r="BR403" s="481"/>
      <c r="BS403" s="481"/>
      <c r="BT403" s="481"/>
      <c r="BU403" s="481"/>
      <c r="BV403" s="481"/>
      <c r="BW403" s="481"/>
      <c r="BX403" s="481"/>
    </row>
    <row r="404" spans="1:76" ht="18" hidden="1" customHeight="1" x14ac:dyDescent="0.2">
      <c r="A404" s="186"/>
      <c r="B404" s="1596" t="str">
        <f t="shared" si="66"/>
        <v>--</v>
      </c>
      <c r="C404" s="1597"/>
      <c r="D404" s="1588">
        <f>IF(D$408=1,0,D413+D422)</f>
        <v>0</v>
      </c>
      <c r="E404" s="1589"/>
      <c r="F404" s="1590"/>
      <c r="G404" s="1588">
        <f t="shared" si="67"/>
        <v>0</v>
      </c>
      <c r="H404" s="1589"/>
      <c r="I404" s="1590"/>
      <c r="J404" s="1588">
        <f t="shared" si="68"/>
        <v>0</v>
      </c>
      <c r="K404" s="1589"/>
      <c r="L404" s="1590"/>
      <c r="M404" s="1588">
        <f t="shared" si="69"/>
        <v>0</v>
      </c>
      <c r="N404" s="1589"/>
      <c r="O404" s="1590"/>
      <c r="P404" s="1588">
        <f t="shared" si="70"/>
        <v>0</v>
      </c>
      <c r="Q404" s="1589"/>
      <c r="R404" s="1590"/>
      <c r="S404" s="1588">
        <f t="shared" si="71"/>
        <v>0</v>
      </c>
      <c r="T404" s="1589"/>
      <c r="U404" s="1590"/>
      <c r="V404" s="1588">
        <f t="shared" si="72"/>
        <v>0</v>
      </c>
      <c r="W404" s="1589"/>
      <c r="X404" s="1590"/>
      <c r="Y404" s="1588">
        <f t="shared" si="73"/>
        <v>0</v>
      </c>
      <c r="Z404" s="1589"/>
      <c r="AA404" s="1590"/>
      <c r="AB404" s="1588">
        <f t="shared" si="74"/>
        <v>0</v>
      </c>
      <c r="AC404" s="1589"/>
      <c r="AD404" s="1590"/>
      <c r="AE404" s="1588">
        <f t="shared" si="75"/>
        <v>0</v>
      </c>
      <c r="AF404" s="1589"/>
      <c r="AG404" s="1590"/>
      <c r="AH404" s="1588">
        <f t="shared" si="76"/>
        <v>0</v>
      </c>
      <c r="AI404" s="1589"/>
      <c r="AJ404" s="1590"/>
      <c r="AK404" s="1588">
        <f t="shared" si="77"/>
        <v>0</v>
      </c>
      <c r="AL404" s="1589"/>
      <c r="AM404" s="1590"/>
      <c r="AN404" s="48"/>
      <c r="AO404" s="481"/>
      <c r="AP404" s="481"/>
      <c r="AQ404" s="481"/>
      <c r="AR404" s="481"/>
      <c r="AS404" s="481"/>
      <c r="AT404" s="481"/>
      <c r="AU404" s="481"/>
      <c r="AV404" s="481"/>
      <c r="AW404" s="481"/>
      <c r="AX404" s="481"/>
      <c r="AY404" s="481"/>
      <c r="AZ404" s="481"/>
      <c r="BA404" s="481"/>
      <c r="BB404" s="481"/>
      <c r="BC404" s="481"/>
      <c r="BD404" s="481"/>
      <c r="BE404" s="481"/>
      <c r="BF404" s="481"/>
      <c r="BG404" s="481"/>
      <c r="BH404" s="481"/>
      <c r="BI404" s="481"/>
      <c r="BJ404" s="481"/>
      <c r="BK404" s="481"/>
      <c r="BL404" s="481"/>
      <c r="BM404" s="481"/>
      <c r="BN404" s="481"/>
      <c r="BO404" s="481"/>
      <c r="BP404" s="481"/>
      <c r="BQ404" s="481"/>
      <c r="BR404" s="481"/>
      <c r="BS404" s="481"/>
      <c r="BT404" s="481"/>
      <c r="BU404" s="481"/>
      <c r="BV404" s="481"/>
      <c r="BW404" s="481"/>
      <c r="BX404" s="481"/>
    </row>
    <row r="405" spans="1:76" ht="18" hidden="1" customHeight="1" x14ac:dyDescent="0.2">
      <c r="A405" s="186"/>
      <c r="B405" s="1596" t="str">
        <f t="shared" si="66"/>
        <v/>
      </c>
      <c r="C405" s="1597"/>
      <c r="G405" s="1588">
        <f t="shared" si="67"/>
        <v>0</v>
      </c>
      <c r="H405" s="1589"/>
      <c r="I405" s="1590"/>
      <c r="J405" s="1588">
        <f t="shared" si="68"/>
        <v>0</v>
      </c>
      <c r="K405" s="1589"/>
      <c r="L405" s="1590"/>
      <c r="M405" s="1588">
        <f t="shared" si="69"/>
        <v>0</v>
      </c>
      <c r="N405" s="1589"/>
      <c r="O405" s="1590"/>
      <c r="P405" s="1588">
        <f t="shared" si="70"/>
        <v>0</v>
      </c>
      <c r="Q405" s="1589"/>
      <c r="R405" s="1590"/>
      <c r="S405" s="1588">
        <f t="shared" si="71"/>
        <v>0</v>
      </c>
      <c r="T405" s="1589"/>
      <c r="U405" s="1590"/>
      <c r="V405" s="1588">
        <f t="shared" si="72"/>
        <v>0</v>
      </c>
      <c r="W405" s="1589"/>
      <c r="X405" s="1590"/>
      <c r="Y405" s="1588">
        <f t="shared" si="73"/>
        <v>0</v>
      </c>
      <c r="Z405" s="1589"/>
      <c r="AA405" s="1590"/>
      <c r="AB405" s="1588">
        <f t="shared" si="74"/>
        <v>0</v>
      </c>
      <c r="AC405" s="1589"/>
      <c r="AD405" s="1590"/>
      <c r="AE405" s="1588">
        <f t="shared" si="75"/>
        <v>0</v>
      </c>
      <c r="AF405" s="1589"/>
      <c r="AG405" s="1590"/>
      <c r="AH405" s="1588">
        <f t="shared" si="76"/>
        <v>0</v>
      </c>
      <c r="AI405" s="1589"/>
      <c r="AJ405" s="1590"/>
      <c r="AK405" s="1588">
        <f t="shared" si="77"/>
        <v>0</v>
      </c>
      <c r="AL405" s="1589"/>
      <c r="AM405" s="1590"/>
      <c r="AN405" s="48"/>
      <c r="AO405" s="481"/>
      <c r="AP405" s="481"/>
      <c r="AQ405" s="481"/>
      <c r="AR405" s="481"/>
      <c r="AS405" s="481"/>
      <c r="AT405" s="481"/>
      <c r="AU405" s="481"/>
      <c r="AV405" s="481"/>
      <c r="AW405" s="481"/>
      <c r="AX405" s="481"/>
      <c r="AY405" s="481"/>
      <c r="AZ405" s="481"/>
      <c r="BA405" s="481"/>
      <c r="BB405" s="481"/>
      <c r="BC405" s="481"/>
      <c r="BD405" s="481"/>
      <c r="BE405" s="481"/>
      <c r="BF405" s="481"/>
      <c r="BG405" s="481"/>
      <c r="BH405" s="481"/>
      <c r="BI405" s="481"/>
      <c r="BJ405" s="481"/>
      <c r="BK405" s="481"/>
      <c r="BL405" s="481"/>
      <c r="BM405" s="481"/>
      <c r="BN405" s="481"/>
      <c r="BO405" s="481"/>
      <c r="BP405" s="481"/>
      <c r="BQ405" s="481"/>
      <c r="BR405" s="481"/>
      <c r="BS405" s="481"/>
      <c r="BT405" s="481"/>
      <c r="BU405" s="481"/>
      <c r="BV405" s="481"/>
      <c r="BW405" s="481"/>
      <c r="BX405" s="481"/>
    </row>
    <row r="406" spans="1:76" ht="18" hidden="1" customHeight="1" x14ac:dyDescent="0.2">
      <c r="A406" s="186"/>
      <c r="B406" s="1596" t="str">
        <f t="shared" si="66"/>
        <v/>
      </c>
      <c r="C406" s="1597"/>
      <c r="G406" s="1588">
        <f t="shared" si="67"/>
        <v>0</v>
      </c>
      <c r="H406" s="1589"/>
      <c r="I406" s="1590"/>
      <c r="J406" s="1588">
        <f t="shared" si="68"/>
        <v>0</v>
      </c>
      <c r="K406" s="1589"/>
      <c r="L406" s="1590"/>
      <c r="M406" s="1588">
        <f t="shared" si="69"/>
        <v>0</v>
      </c>
      <c r="N406" s="1589"/>
      <c r="O406" s="1590"/>
      <c r="P406" s="1588">
        <f t="shared" si="70"/>
        <v>0</v>
      </c>
      <c r="Q406" s="1589"/>
      <c r="R406" s="1590"/>
      <c r="S406" s="1588">
        <f t="shared" si="71"/>
        <v>0</v>
      </c>
      <c r="T406" s="1589"/>
      <c r="U406" s="1590"/>
      <c r="V406" s="1588">
        <f t="shared" si="72"/>
        <v>0</v>
      </c>
      <c r="W406" s="1589"/>
      <c r="X406" s="1590"/>
      <c r="Y406" s="1588">
        <f t="shared" si="73"/>
        <v>0</v>
      </c>
      <c r="Z406" s="1589"/>
      <c r="AA406" s="1590"/>
      <c r="AB406" s="1588">
        <f t="shared" si="74"/>
        <v>0</v>
      </c>
      <c r="AC406" s="1589"/>
      <c r="AD406" s="1590"/>
      <c r="AE406" s="1588">
        <f t="shared" si="75"/>
        <v>0</v>
      </c>
      <c r="AF406" s="1589"/>
      <c r="AG406" s="1590"/>
      <c r="AH406" s="1588">
        <f t="shared" si="76"/>
        <v>0</v>
      </c>
      <c r="AI406" s="1589"/>
      <c r="AJ406" s="1590"/>
      <c r="AK406" s="1588">
        <f t="shared" si="77"/>
        <v>0</v>
      </c>
      <c r="AL406" s="1589"/>
      <c r="AM406" s="1590"/>
      <c r="AN406" s="48"/>
      <c r="AO406" s="481"/>
      <c r="AP406" s="481"/>
      <c r="AQ406" s="481"/>
      <c r="AR406" s="481"/>
      <c r="AS406" s="481"/>
      <c r="AT406" s="481"/>
      <c r="AU406" s="481"/>
      <c r="AV406" s="481"/>
      <c r="AW406" s="481"/>
      <c r="AX406" s="481"/>
      <c r="AY406" s="481"/>
      <c r="AZ406" s="481"/>
      <c r="BA406" s="481"/>
      <c r="BB406" s="481"/>
      <c r="BC406" s="481"/>
      <c r="BD406" s="481"/>
      <c r="BE406" s="481"/>
      <c r="BF406" s="481"/>
      <c r="BG406" s="481"/>
      <c r="BH406" s="481"/>
      <c r="BI406" s="481"/>
      <c r="BJ406" s="481"/>
      <c r="BK406" s="481"/>
      <c r="BL406" s="481"/>
      <c r="BM406" s="481"/>
      <c r="BN406" s="481"/>
      <c r="BO406" s="481"/>
      <c r="BP406" s="481"/>
      <c r="BQ406" s="481"/>
      <c r="BR406" s="481"/>
      <c r="BS406" s="481"/>
      <c r="BT406" s="481"/>
      <c r="BU406" s="481"/>
      <c r="BV406" s="481"/>
      <c r="BW406" s="481"/>
      <c r="BX406" s="481"/>
    </row>
    <row r="407" spans="1:76" ht="18" hidden="1" customHeight="1" x14ac:dyDescent="0.2">
      <c r="A407" s="186"/>
      <c r="B407" s="1596" t="str">
        <f t="shared" si="66"/>
        <v/>
      </c>
      <c r="C407" s="1597"/>
      <c r="G407" s="1588">
        <f t="shared" si="67"/>
        <v>0</v>
      </c>
      <c r="H407" s="1589"/>
      <c r="I407" s="1590"/>
      <c r="J407" s="1588">
        <f t="shared" si="68"/>
        <v>0</v>
      </c>
      <c r="K407" s="1589"/>
      <c r="L407" s="1590"/>
      <c r="M407" s="1588">
        <f t="shared" si="69"/>
        <v>0</v>
      </c>
      <c r="N407" s="1589"/>
      <c r="O407" s="1590"/>
      <c r="P407" s="1588">
        <f t="shared" si="70"/>
        <v>0</v>
      </c>
      <c r="Q407" s="1589"/>
      <c r="R407" s="1590"/>
      <c r="S407" s="1588">
        <f t="shared" si="71"/>
        <v>0</v>
      </c>
      <c r="T407" s="1589"/>
      <c r="U407" s="1590"/>
      <c r="V407" s="1588">
        <f t="shared" si="72"/>
        <v>0</v>
      </c>
      <c r="W407" s="1589"/>
      <c r="X407" s="1590"/>
      <c r="Y407" s="1588">
        <f t="shared" si="73"/>
        <v>0</v>
      </c>
      <c r="Z407" s="1589"/>
      <c r="AA407" s="1590"/>
      <c r="AB407" s="1588">
        <f t="shared" si="74"/>
        <v>0</v>
      </c>
      <c r="AC407" s="1589"/>
      <c r="AD407" s="1590"/>
      <c r="AE407" s="1588">
        <f t="shared" si="75"/>
        <v>0</v>
      </c>
      <c r="AF407" s="1589"/>
      <c r="AG407" s="1590"/>
      <c r="AH407" s="1588">
        <f t="shared" si="76"/>
        <v>0</v>
      </c>
      <c r="AI407" s="1589"/>
      <c r="AJ407" s="1590"/>
      <c r="AK407" s="1588">
        <f t="shared" si="77"/>
        <v>0</v>
      </c>
      <c r="AL407" s="1589"/>
      <c r="AM407" s="1590"/>
      <c r="AN407" s="48"/>
      <c r="AO407" s="481"/>
      <c r="AP407" s="481"/>
      <c r="AQ407" s="481"/>
      <c r="AR407" s="481"/>
      <c r="AS407" s="481"/>
      <c r="AT407" s="481"/>
      <c r="AU407" s="481"/>
      <c r="AV407" s="481"/>
      <c r="AW407" s="481"/>
      <c r="AX407" s="481"/>
      <c r="AY407" s="481"/>
      <c r="AZ407" s="481"/>
      <c r="BA407" s="481"/>
      <c r="BB407" s="481"/>
      <c r="BC407" s="481"/>
      <c r="BD407" s="481"/>
      <c r="BE407" s="481"/>
      <c r="BF407" s="481"/>
      <c r="BG407" s="481"/>
      <c r="BH407" s="481"/>
      <c r="BI407" s="481"/>
      <c r="BJ407" s="481"/>
      <c r="BK407" s="481"/>
      <c r="BL407" s="481"/>
      <c r="BM407" s="481"/>
      <c r="BN407" s="481"/>
      <c r="BO407" s="481"/>
      <c r="BP407" s="481"/>
      <c r="BQ407" s="481"/>
      <c r="BR407" s="481"/>
      <c r="BS407" s="481"/>
      <c r="BT407" s="481"/>
      <c r="BU407" s="481"/>
      <c r="BV407" s="481"/>
      <c r="BW407" s="481"/>
      <c r="BX407" s="481"/>
    </row>
    <row r="408" spans="1:76" ht="15.75" hidden="1" customHeight="1" x14ac:dyDescent="0.2">
      <c r="A408" s="48"/>
      <c r="B408" s="48"/>
      <c r="C408" s="48"/>
      <c r="D408" s="560">
        <f>VLOOKUP(D400,STORICO!$C$153:$AO$197,39,FALSE)</f>
        <v>1</v>
      </c>
      <c r="E408" s="855"/>
      <c r="F408" s="855"/>
      <c r="G408" s="560">
        <f>VLOOKUP(G400,STORICO!$C$153:$AO$197,39,FALSE)</f>
        <v>1</v>
      </c>
      <c r="H408" s="855"/>
      <c r="I408" s="855"/>
      <c r="J408" s="560">
        <f>VLOOKUP(J400,STORICO!$C$153:$AO$197,39,FALSE)</f>
        <v>1</v>
      </c>
      <c r="K408" s="855"/>
      <c r="L408" s="855"/>
      <c r="M408" s="560">
        <f>VLOOKUP(M400,STORICO!$C$153:$AO$197,39,FALSE)</f>
        <v>0</v>
      </c>
      <c r="N408" s="855"/>
      <c r="O408" s="855"/>
      <c r="P408" s="560">
        <f>VLOOKUP(P400,STORICO!$C$153:$AO$197,39,FALSE)</f>
        <v>0</v>
      </c>
      <c r="Q408" s="855"/>
      <c r="R408" s="855"/>
      <c r="S408" s="560">
        <f>VLOOKUP(S400,STORICO!$C$153:$AO$197,39,FALSE)</f>
        <v>0</v>
      </c>
      <c r="T408" s="855"/>
      <c r="U408" s="855"/>
      <c r="V408" s="560">
        <f>VLOOKUP(V400,STORICO!$C$153:$AO$197,39,FALSE)</f>
        <v>0</v>
      </c>
      <c r="W408" s="855"/>
      <c r="X408" s="855"/>
      <c r="Y408" s="560">
        <f>VLOOKUP(Y400,STORICO!$C$153:$AO$197,39,FALSE)</f>
        <v>0</v>
      </c>
      <c r="Z408" s="855"/>
      <c r="AA408" s="855"/>
      <c r="AB408" s="560">
        <f>VLOOKUP(AB400,STORICO!$C$153:$AO$197,39,FALSE)</f>
        <v>0</v>
      </c>
      <c r="AC408" s="855"/>
      <c r="AD408" s="855"/>
      <c r="AE408" s="560">
        <f>VLOOKUP(AE400,STORICO!$C$153:$AO$197,39,FALSE)</f>
        <v>0</v>
      </c>
      <c r="AF408" s="855"/>
      <c r="AG408" s="855"/>
      <c r="AH408" s="560">
        <f>VLOOKUP(AH400,STORICO!$C$153:$AO$197,39,FALSE)</f>
        <v>0</v>
      </c>
      <c r="AI408" s="855"/>
      <c r="AJ408" s="855"/>
      <c r="AK408" s="560">
        <f>VLOOKUP(AK400,STORICO!$C$153:$AO$197,39,FALSE)</f>
        <v>0</v>
      </c>
      <c r="AL408" s="855"/>
      <c r="AM408" s="855"/>
      <c r="AN408" s="48"/>
      <c r="AO408" s="481"/>
      <c r="AP408" s="481"/>
      <c r="AQ408" s="481"/>
      <c r="AR408" s="481"/>
      <c r="AS408" s="481"/>
      <c r="AT408" s="481"/>
      <c r="AU408" s="481"/>
      <c r="AV408" s="481"/>
      <c r="AW408" s="481"/>
      <c r="AX408" s="481"/>
      <c r="AY408" s="481"/>
    </row>
    <row r="409" spans="1:76" ht="18" hidden="1" customHeight="1" x14ac:dyDescent="0.2">
      <c r="A409" s="186"/>
      <c r="B409" s="1593" t="s">
        <v>194</v>
      </c>
      <c r="C409" s="1594"/>
      <c r="D409" s="1591" t="str">
        <f>D400</f>
        <v>Gennaio</v>
      </c>
      <c r="E409" s="1592"/>
      <c r="F409" s="1592"/>
      <c r="G409" s="1591" t="str">
        <f>G400</f>
        <v>Febbraio</v>
      </c>
      <c r="H409" s="1592"/>
      <c r="I409" s="1592"/>
      <c r="J409" s="1591" t="str">
        <f>J400</f>
        <v>Marzo</v>
      </c>
      <c r="K409" s="1592"/>
      <c r="L409" s="1592"/>
      <c r="M409" s="1591" t="str">
        <f>M400</f>
        <v>Aprile</v>
      </c>
      <c r="N409" s="1592"/>
      <c r="O409" s="1592"/>
      <c r="P409" s="1591" t="str">
        <f>P400</f>
        <v>Maggio</v>
      </c>
      <c r="Q409" s="1592"/>
      <c r="R409" s="1592"/>
      <c r="S409" s="1591" t="str">
        <f>S400</f>
        <v>Giugno</v>
      </c>
      <c r="T409" s="1592"/>
      <c r="U409" s="1592"/>
      <c r="V409" s="1591" t="str">
        <f>V400</f>
        <v>Luglio</v>
      </c>
      <c r="W409" s="1592"/>
      <c r="X409" s="1592"/>
      <c r="Y409" s="1591" t="str">
        <f>Y400</f>
        <v>Agosto</v>
      </c>
      <c r="Z409" s="1592"/>
      <c r="AA409" s="1592"/>
      <c r="AB409" s="1591" t="str">
        <f>AB400</f>
        <v>Settembre</v>
      </c>
      <c r="AC409" s="1592"/>
      <c r="AD409" s="1592"/>
      <c r="AE409" s="1591" t="str">
        <f>AE400</f>
        <v>Ottobre</v>
      </c>
      <c r="AF409" s="1592"/>
      <c r="AG409" s="1592"/>
      <c r="AH409" s="1591" t="str">
        <f>AH400</f>
        <v>Novembre</v>
      </c>
      <c r="AI409" s="1592"/>
      <c r="AJ409" s="1592"/>
      <c r="AK409" s="1591" t="str">
        <f>AK400</f>
        <v>Dicembre</v>
      </c>
      <c r="AL409" s="1592"/>
      <c r="AM409" s="1592"/>
      <c r="AN409" s="48"/>
      <c r="AO409" s="481"/>
      <c r="AP409" s="481"/>
      <c r="AQ409" s="481"/>
      <c r="AR409" s="481"/>
      <c r="AS409" s="481"/>
      <c r="AT409" s="481"/>
      <c r="AU409" s="481"/>
      <c r="AV409" s="481"/>
      <c r="AW409" s="481"/>
      <c r="AX409" s="481"/>
      <c r="AY409" s="481"/>
      <c r="AZ409" s="481"/>
      <c r="BA409" s="481"/>
      <c r="BB409" s="481"/>
      <c r="BC409" s="481"/>
      <c r="BD409" s="481"/>
      <c r="BE409" s="481"/>
      <c r="BF409" s="481"/>
      <c r="BG409" s="481"/>
      <c r="BH409" s="481"/>
      <c r="BI409" s="481"/>
      <c r="BJ409" s="481"/>
      <c r="BK409" s="481"/>
      <c r="BL409" s="481"/>
      <c r="BM409" s="481"/>
      <c r="BN409" s="481"/>
      <c r="BO409" s="481"/>
      <c r="BP409" s="481"/>
      <c r="BQ409" s="481"/>
      <c r="BR409" s="481"/>
      <c r="BS409" s="481"/>
      <c r="BT409" s="481"/>
      <c r="BU409" s="481"/>
      <c r="BV409" s="481"/>
      <c r="BW409" s="481"/>
      <c r="BX409" s="481"/>
    </row>
    <row r="410" spans="1:76" ht="18" hidden="1" customHeight="1" x14ac:dyDescent="0.2">
      <c r="A410" s="186"/>
      <c r="B410" s="1585" t="str">
        <f>B401</f>
        <v>--</v>
      </c>
      <c r="C410" s="1586"/>
      <c r="D410" s="1588">
        <f>IF($B410="--",0,IF(D$408=1,0,HLOOKUP($B410,STORICO!$J$149:$AI$199,E$417,FALSE)))</f>
        <v>0</v>
      </c>
      <c r="E410" s="1589"/>
      <c r="F410" s="1590"/>
      <c r="G410" s="1588">
        <f>IF($B410="--",0,IF(G$408=1,0,HLOOKUP($B410,STORICO!$J$149:$AI$199,H$417,FALSE)))</f>
        <v>0</v>
      </c>
      <c r="H410" s="1589"/>
      <c r="I410" s="1590"/>
      <c r="J410" s="1588">
        <f>IF($B410="--",0,IF(J$408=1,0,HLOOKUP($B410,STORICO!$J$149:$AI$199,K$417,FALSE)))</f>
        <v>0</v>
      </c>
      <c r="K410" s="1589"/>
      <c r="L410" s="1590"/>
      <c r="M410" s="1588">
        <f>IF($B410="--",0,IF(M$408=1,0,HLOOKUP($B410,STORICO!$J$149:$AI$199,N$417,FALSE)))</f>
        <v>0</v>
      </c>
      <c r="N410" s="1589"/>
      <c r="O410" s="1590"/>
      <c r="P410" s="1588">
        <f>IF($B410="--",0,IF(P$408=1,0,HLOOKUP($B410,STORICO!$J$149:$AI$199,Q$417,FALSE)))</f>
        <v>0</v>
      </c>
      <c r="Q410" s="1589"/>
      <c r="R410" s="1590"/>
      <c r="S410" s="1588">
        <f>IF($B410="--",0,IF(S$408=1,0,HLOOKUP($B410,STORICO!$J$149:$AI$199,T$417,FALSE)))</f>
        <v>0</v>
      </c>
      <c r="T410" s="1589"/>
      <c r="U410" s="1590"/>
      <c r="V410" s="1588">
        <f>IF($B410="--",0,IF(V$408=1,0,HLOOKUP($B410,STORICO!$J$149:$AI$199,W$417,FALSE)))</f>
        <v>0</v>
      </c>
      <c r="W410" s="1589"/>
      <c r="X410" s="1590"/>
      <c r="Y410" s="1588">
        <f>IF($B410="--",0,IF(Y$408=1,0,HLOOKUP($B410,STORICO!$J$149:$AI$199,Z$417,FALSE)))</f>
        <v>0</v>
      </c>
      <c r="Z410" s="1589"/>
      <c r="AA410" s="1590"/>
      <c r="AB410" s="1588">
        <f>IF($B410="--",0,IF(AB$408=1,0,HLOOKUP($B410,STORICO!$J$149:$AI$199,AC$417,FALSE)))</f>
        <v>0</v>
      </c>
      <c r="AC410" s="1589"/>
      <c r="AD410" s="1590"/>
      <c r="AE410" s="1588">
        <f>IF($B410="--",0,IF(AE$408=1,0,HLOOKUP($B410,STORICO!$J$149:$AI$199,AF$417,FALSE)))</f>
        <v>0</v>
      </c>
      <c r="AF410" s="1589"/>
      <c r="AG410" s="1590"/>
      <c r="AH410" s="1588">
        <f>IF($B410="--",0,IF(AH$408=1,0,HLOOKUP($B410,STORICO!$J$149:$AI$199,AI$417,FALSE)))</f>
        <v>0</v>
      </c>
      <c r="AI410" s="1589"/>
      <c r="AJ410" s="1590"/>
      <c r="AK410" s="1588">
        <f>IF($B410="--",0,IF(AK$408=1,0,HLOOKUP($B410,STORICO!$J$149:$AI$199,AL$417,FALSE)))</f>
        <v>0</v>
      </c>
      <c r="AL410" s="1589"/>
      <c r="AM410" s="1590"/>
      <c r="AN410" s="48"/>
      <c r="AO410" s="481"/>
      <c r="AP410" s="481"/>
      <c r="AQ410" s="481"/>
      <c r="AR410" s="481"/>
      <c r="AS410" s="481"/>
      <c r="AT410" s="481"/>
      <c r="AU410" s="481"/>
      <c r="AV410" s="481"/>
      <c r="AW410" s="481"/>
      <c r="AX410" s="481"/>
      <c r="AY410" s="481"/>
      <c r="AZ410" s="481"/>
      <c r="BA410" s="481"/>
      <c r="BB410" s="481"/>
      <c r="BC410" s="481"/>
      <c r="BD410" s="481"/>
      <c r="BE410" s="481"/>
      <c r="BF410" s="481"/>
      <c r="BG410" s="481"/>
      <c r="BH410" s="481"/>
      <c r="BI410" s="481"/>
      <c r="BJ410" s="481"/>
      <c r="BK410" s="481"/>
      <c r="BL410" s="481"/>
      <c r="BM410" s="481"/>
      <c r="BN410" s="481"/>
      <c r="BO410" s="481"/>
      <c r="BP410" s="481"/>
      <c r="BQ410" s="481"/>
      <c r="BR410" s="481"/>
      <c r="BS410" s="481"/>
      <c r="BT410" s="481"/>
      <c r="BU410" s="481"/>
      <c r="BV410" s="481"/>
      <c r="BW410" s="481"/>
      <c r="BX410" s="481"/>
    </row>
    <row r="411" spans="1:76" ht="18" hidden="1" customHeight="1" x14ac:dyDescent="0.2">
      <c r="A411" s="186"/>
      <c r="B411" s="1585" t="str">
        <f t="shared" ref="B411:B416" si="78">B402</f>
        <v>--</v>
      </c>
      <c r="C411" s="1586"/>
      <c r="D411" s="1588">
        <f>IF($B411="--",0,IF(D$408=1,0,HLOOKUP($B411,STORICO!$J$149:$AI$199,E$417,FALSE)))</f>
        <v>0</v>
      </c>
      <c r="E411" s="1589"/>
      <c r="F411" s="1590"/>
      <c r="G411" s="1588">
        <f>IF($B411="--",0,IF(G$408=1,0,HLOOKUP($B411,STORICO!$J$149:$AI$199,H$417,FALSE)))</f>
        <v>0</v>
      </c>
      <c r="H411" s="1589"/>
      <c r="I411" s="1590"/>
      <c r="J411" s="1588">
        <f>IF($B411="--",0,IF(J$408=1,0,HLOOKUP($B411,STORICO!$J$149:$AI$199,K$417,FALSE)))</f>
        <v>0</v>
      </c>
      <c r="K411" s="1589"/>
      <c r="L411" s="1590"/>
      <c r="M411" s="1588">
        <f>IF($B411="--",0,IF(M$408=1,0,HLOOKUP($B411,STORICO!$J$149:$AI$199,N$417,FALSE)))</f>
        <v>0</v>
      </c>
      <c r="N411" s="1589"/>
      <c r="O411" s="1590"/>
      <c r="P411" s="1588">
        <f>IF($B411="--",0,IF(P$408=1,0,HLOOKUP($B411,STORICO!$J$149:$AI$199,Q$417,FALSE)))</f>
        <v>0</v>
      </c>
      <c r="Q411" s="1589"/>
      <c r="R411" s="1590"/>
      <c r="S411" s="1588">
        <f>IF($B411="--",0,IF(S$408=1,0,HLOOKUP($B411,STORICO!$J$149:$AI$199,T$417,FALSE)))</f>
        <v>0</v>
      </c>
      <c r="T411" s="1589"/>
      <c r="U411" s="1590"/>
      <c r="V411" s="1588">
        <f>IF($B411="--",0,IF(V$408=1,0,HLOOKUP($B411,STORICO!$J$149:$AI$199,W$417,FALSE)))</f>
        <v>0</v>
      </c>
      <c r="W411" s="1589"/>
      <c r="X411" s="1590"/>
      <c r="Y411" s="1588">
        <f>IF($B411="--",0,IF(Y$408=1,0,HLOOKUP($B411,STORICO!$J$149:$AI$199,Z$417,FALSE)))</f>
        <v>0</v>
      </c>
      <c r="Z411" s="1589"/>
      <c r="AA411" s="1590"/>
      <c r="AB411" s="1588">
        <f>IF($B411="--",0,IF(AB$408=1,0,HLOOKUP($B411,STORICO!$J$149:$AI$199,AC$417,FALSE)))</f>
        <v>0</v>
      </c>
      <c r="AC411" s="1589"/>
      <c r="AD411" s="1590"/>
      <c r="AE411" s="1588">
        <f>IF($B411="--",0,IF(AE$408=1,0,HLOOKUP($B411,STORICO!$J$149:$AI$199,AF$417,FALSE)))</f>
        <v>0</v>
      </c>
      <c r="AF411" s="1589"/>
      <c r="AG411" s="1590"/>
      <c r="AH411" s="1588">
        <f>IF($B411="--",0,IF(AH$408=1,0,HLOOKUP($B411,STORICO!$J$149:$AI$199,AI$417,FALSE)))</f>
        <v>0</v>
      </c>
      <c r="AI411" s="1589"/>
      <c r="AJ411" s="1590"/>
      <c r="AK411" s="1588">
        <f>IF($B411="--",0,IF(AK$408=1,0,HLOOKUP($B411,STORICO!$J$149:$AI$199,AL$417,FALSE)))</f>
        <v>0</v>
      </c>
      <c r="AL411" s="1589"/>
      <c r="AM411" s="1590"/>
      <c r="AN411" s="48"/>
      <c r="AO411" s="481"/>
      <c r="AP411" s="481"/>
      <c r="AQ411" s="481"/>
      <c r="AR411" s="481"/>
      <c r="AS411" s="481"/>
      <c r="AT411" s="481"/>
      <c r="AU411" s="481"/>
      <c r="AV411" s="481"/>
      <c r="AW411" s="481"/>
      <c r="AX411" s="481"/>
      <c r="AY411" s="481"/>
      <c r="AZ411" s="481"/>
      <c r="BA411" s="481"/>
      <c r="BB411" s="481"/>
      <c r="BC411" s="481"/>
      <c r="BD411" s="481"/>
      <c r="BE411" s="481"/>
      <c r="BF411" s="481"/>
      <c r="BG411" s="481"/>
      <c r="BH411" s="481"/>
      <c r="BI411" s="481"/>
      <c r="BJ411" s="481"/>
      <c r="BK411" s="481"/>
      <c r="BL411" s="481"/>
      <c r="BM411" s="481"/>
      <c r="BN411" s="481"/>
      <c r="BO411" s="481"/>
      <c r="BP411" s="481"/>
      <c r="BQ411" s="481"/>
      <c r="BR411" s="481"/>
      <c r="BS411" s="481"/>
      <c r="BT411" s="481"/>
      <c r="BU411" s="481"/>
      <c r="BV411" s="481"/>
      <c r="BW411" s="481"/>
      <c r="BX411" s="481"/>
    </row>
    <row r="412" spans="1:76" ht="18" hidden="1" customHeight="1" x14ac:dyDescent="0.2">
      <c r="A412" s="186"/>
      <c r="B412" s="1585" t="str">
        <f t="shared" si="78"/>
        <v>--</v>
      </c>
      <c r="C412" s="1586"/>
      <c r="D412" s="1588">
        <f>IF($B412="--",0,IF(D$408=1,0,HLOOKUP($B412,STORICO!$J$149:$AI$199,E$417,FALSE)))</f>
        <v>0</v>
      </c>
      <c r="E412" s="1589"/>
      <c r="F412" s="1590"/>
      <c r="G412" s="1588">
        <f>IF($B412="--",0,IF(G$408=1,0,HLOOKUP($B412,STORICO!$J$149:$AI$199,H$417,FALSE)))</f>
        <v>0</v>
      </c>
      <c r="H412" s="1589"/>
      <c r="I412" s="1590"/>
      <c r="J412" s="1588">
        <f>IF($B412="--",0,IF(J$408=1,0,HLOOKUP($B412,STORICO!$J$149:$AI$199,K$417,FALSE)))</f>
        <v>0</v>
      </c>
      <c r="K412" s="1589"/>
      <c r="L412" s="1590"/>
      <c r="M412" s="1588">
        <f>IF($B412="--",0,IF(M$408=1,0,HLOOKUP($B412,STORICO!$J$149:$AI$199,N$417,FALSE)))</f>
        <v>0</v>
      </c>
      <c r="N412" s="1589"/>
      <c r="O412" s="1590"/>
      <c r="P412" s="1588">
        <f>IF($B412="--",0,IF(P$408=1,0,HLOOKUP($B412,STORICO!$J$149:$AI$199,Q$417,FALSE)))</f>
        <v>0</v>
      </c>
      <c r="Q412" s="1589"/>
      <c r="R412" s="1590"/>
      <c r="S412" s="1588">
        <f>IF($B412="--",0,IF(S$408=1,0,HLOOKUP($B412,STORICO!$J$149:$AI$199,T$417,FALSE)))</f>
        <v>0</v>
      </c>
      <c r="T412" s="1589"/>
      <c r="U412" s="1590"/>
      <c r="V412" s="1588">
        <f>IF($B412="--",0,IF(V$408=1,0,HLOOKUP($B412,STORICO!$J$149:$AI$199,W$417,FALSE)))</f>
        <v>0</v>
      </c>
      <c r="W412" s="1589"/>
      <c r="X412" s="1590"/>
      <c r="Y412" s="1588">
        <f>IF($B412="--",0,IF(Y$408=1,0,HLOOKUP($B412,STORICO!$J$149:$AI$199,Z$417,FALSE)))</f>
        <v>0</v>
      </c>
      <c r="Z412" s="1589"/>
      <c r="AA412" s="1590"/>
      <c r="AB412" s="1588">
        <f>IF($B412="--",0,IF(AB$408=1,0,HLOOKUP($B412,STORICO!$J$149:$AI$199,AC$417,FALSE)))</f>
        <v>0</v>
      </c>
      <c r="AC412" s="1589"/>
      <c r="AD412" s="1590"/>
      <c r="AE412" s="1588">
        <f>IF($B412="--",0,IF(AE$408=1,0,HLOOKUP($B412,STORICO!$J$149:$AI$199,AF$417,FALSE)))</f>
        <v>0</v>
      </c>
      <c r="AF412" s="1589"/>
      <c r="AG412" s="1590"/>
      <c r="AH412" s="1588">
        <f>IF($B412="--",0,IF(AH$408=1,0,HLOOKUP($B412,STORICO!$J$149:$AI$199,AI$417,FALSE)))</f>
        <v>0</v>
      </c>
      <c r="AI412" s="1589"/>
      <c r="AJ412" s="1590"/>
      <c r="AK412" s="1588">
        <f>IF($B412="--",0,IF(AK$408=1,0,HLOOKUP($B412,STORICO!$J$149:$AI$199,AL$417,FALSE)))</f>
        <v>0</v>
      </c>
      <c r="AL412" s="1589"/>
      <c r="AM412" s="1590"/>
      <c r="AN412" s="48"/>
      <c r="AO412" s="481"/>
      <c r="AP412" s="481"/>
      <c r="AQ412" s="481"/>
      <c r="AR412" s="481"/>
      <c r="AS412" s="481"/>
      <c r="AT412" s="481"/>
      <c r="AU412" s="481"/>
      <c r="AV412" s="481"/>
      <c r="AW412" s="481"/>
      <c r="AX412" s="481"/>
      <c r="AY412" s="481"/>
      <c r="AZ412" s="481"/>
      <c r="BA412" s="481"/>
      <c r="BB412" s="481"/>
      <c r="BC412" s="481"/>
      <c r="BD412" s="481"/>
      <c r="BE412" s="481"/>
      <c r="BF412" s="481"/>
      <c r="BG412" s="481"/>
      <c r="BH412" s="481"/>
      <c r="BI412" s="481"/>
      <c r="BJ412" s="481"/>
      <c r="BK412" s="481"/>
      <c r="BL412" s="481"/>
      <c r="BM412" s="481"/>
      <c r="BN412" s="481"/>
      <c r="BO412" s="481"/>
      <c r="BP412" s="481"/>
      <c r="BQ412" s="481"/>
      <c r="BR412" s="481"/>
      <c r="BS412" s="481"/>
      <c r="BT412" s="481"/>
      <c r="BU412" s="481"/>
      <c r="BV412" s="481"/>
      <c r="BW412" s="481"/>
      <c r="BX412" s="481"/>
    </row>
    <row r="413" spans="1:76" ht="18" hidden="1" customHeight="1" x14ac:dyDescent="0.2">
      <c r="A413" s="186"/>
      <c r="B413" s="1585" t="str">
        <f t="shared" si="78"/>
        <v>--</v>
      </c>
      <c r="C413" s="1586"/>
      <c r="D413" s="1588">
        <f>IF($B413="--",0,IF(D$408=1,0,HLOOKUP($B413,STORICO!$J$149:$AI$199,E$417,FALSE)))</f>
        <v>0</v>
      </c>
      <c r="E413" s="1589"/>
      <c r="F413" s="1590"/>
      <c r="G413" s="1588">
        <f>IF($B413="--",0,IF(G$408=1,0,HLOOKUP($B413,STORICO!$J$149:$AI$199,H$417,FALSE)))</f>
        <v>0</v>
      </c>
      <c r="H413" s="1589"/>
      <c r="I413" s="1590"/>
      <c r="J413" s="1588">
        <f>IF($B413="--",0,IF(J$408=1,0,HLOOKUP($B413,STORICO!$J$149:$AI$199,K$417,FALSE)))</f>
        <v>0</v>
      </c>
      <c r="K413" s="1589"/>
      <c r="L413" s="1590"/>
      <c r="M413" s="1588">
        <f>IF($B413="--",0,IF(M$408=1,0,HLOOKUP($B413,STORICO!$J$149:$AI$199,N$417,FALSE)))</f>
        <v>0</v>
      </c>
      <c r="N413" s="1589"/>
      <c r="O413" s="1590"/>
      <c r="P413" s="1588">
        <f>IF($B413="--",0,IF(P$408=1,0,HLOOKUP($B413,STORICO!$J$149:$AI$199,Q$417,FALSE)))</f>
        <v>0</v>
      </c>
      <c r="Q413" s="1589"/>
      <c r="R413" s="1590"/>
      <c r="S413" s="1588">
        <f>IF($B413="--",0,IF(S$408=1,0,HLOOKUP($B413,STORICO!$J$149:$AI$199,T$417,FALSE)))</f>
        <v>0</v>
      </c>
      <c r="T413" s="1589"/>
      <c r="U413" s="1590"/>
      <c r="V413" s="1588">
        <f>IF($B413="--",0,IF(V$408=1,0,HLOOKUP($B413,STORICO!$J$149:$AI$199,W$417,FALSE)))</f>
        <v>0</v>
      </c>
      <c r="W413" s="1589"/>
      <c r="X413" s="1590"/>
      <c r="Y413" s="1588">
        <f>IF($B413="--",0,IF(Y$408=1,0,HLOOKUP($B413,STORICO!$J$149:$AI$199,Z$417,FALSE)))</f>
        <v>0</v>
      </c>
      <c r="Z413" s="1589"/>
      <c r="AA413" s="1590"/>
      <c r="AB413" s="1588">
        <f>IF($B413="--",0,IF(AB$408=1,0,HLOOKUP($B413,STORICO!$J$149:$AI$199,AC$417,FALSE)))</f>
        <v>0</v>
      </c>
      <c r="AC413" s="1589"/>
      <c r="AD413" s="1590"/>
      <c r="AE413" s="1588">
        <f>IF($B413="--",0,IF(AE$408=1,0,HLOOKUP($B413,STORICO!$J$149:$AI$199,AF$417,FALSE)))</f>
        <v>0</v>
      </c>
      <c r="AF413" s="1589"/>
      <c r="AG413" s="1590"/>
      <c r="AH413" s="1588">
        <f>IF($B413="--",0,IF(AH$408=1,0,HLOOKUP($B413,STORICO!$J$149:$AI$199,AI$417,FALSE)))</f>
        <v>0</v>
      </c>
      <c r="AI413" s="1589"/>
      <c r="AJ413" s="1590"/>
      <c r="AK413" s="1588">
        <f>IF($B413="--",0,IF(AK$408=1,0,HLOOKUP($B413,STORICO!$J$149:$AI$199,AL$417,FALSE)))</f>
        <v>0</v>
      </c>
      <c r="AL413" s="1589"/>
      <c r="AM413" s="1590"/>
      <c r="AN413" s="48"/>
      <c r="AO413" s="481"/>
      <c r="AP413" s="481"/>
      <c r="AQ413" s="481"/>
      <c r="AR413" s="481"/>
      <c r="AS413" s="481"/>
      <c r="AT413" s="481"/>
      <c r="AU413" s="481"/>
      <c r="AV413" s="481"/>
      <c r="AW413" s="481"/>
      <c r="AX413" s="481"/>
      <c r="AY413" s="481"/>
      <c r="AZ413" s="481"/>
      <c r="BA413" s="481"/>
      <c r="BB413" s="481"/>
      <c r="BC413" s="481"/>
      <c r="BD413" s="481"/>
      <c r="BE413" s="481"/>
      <c r="BF413" s="481"/>
      <c r="BG413" s="481"/>
      <c r="BH413" s="481"/>
      <c r="BI413" s="481"/>
      <c r="BJ413" s="481"/>
      <c r="BK413" s="481"/>
      <c r="BL413" s="481"/>
      <c r="BM413" s="481"/>
      <c r="BN413" s="481"/>
      <c r="BO413" s="481"/>
      <c r="BP413" s="481"/>
      <c r="BQ413" s="481"/>
      <c r="BR413" s="481"/>
      <c r="BS413" s="481"/>
      <c r="BT413" s="481"/>
      <c r="BU413" s="481"/>
      <c r="BV413" s="481"/>
      <c r="BW413" s="481"/>
      <c r="BX413" s="481"/>
    </row>
    <row r="414" spans="1:76" ht="18" hidden="1" customHeight="1" x14ac:dyDescent="0.2">
      <c r="A414" s="186"/>
      <c r="B414" s="1585" t="str">
        <f t="shared" si="78"/>
        <v/>
      </c>
      <c r="C414" s="1586"/>
      <c r="G414" s="1588">
        <f>IF($B414="",0,IF(G$408=1,0,HLOOKUP($B414,STORICO!$J$149:$AI$199,H$417,FALSE)))</f>
        <v>0</v>
      </c>
      <c r="H414" s="1589"/>
      <c r="I414" s="1590"/>
      <c r="J414" s="1588">
        <f>IF($B414="",0,IF(J$408=1,0,HLOOKUP($B414,STORICO!$J$149:$AI$199,K$417,FALSE)))</f>
        <v>0</v>
      </c>
      <c r="K414" s="1589"/>
      <c r="L414" s="1590"/>
      <c r="M414" s="1588">
        <f>IF($B414="",0,IF(M$408=1,0,HLOOKUP($B414,STORICO!$J$149:$AI$199,N$417,FALSE)))</f>
        <v>0</v>
      </c>
      <c r="N414" s="1589"/>
      <c r="O414" s="1590"/>
      <c r="P414" s="1588">
        <f>IF($B414="",0,IF(P$408=1,0,HLOOKUP($B414,STORICO!$J$149:$AI$199,Q$417,FALSE)))</f>
        <v>0</v>
      </c>
      <c r="Q414" s="1589"/>
      <c r="R414" s="1590"/>
      <c r="S414" s="1588">
        <f>IF($B414="",0,IF(S$408=1,0,HLOOKUP($B414,STORICO!$J$149:$AI$199,T$417,FALSE)))</f>
        <v>0</v>
      </c>
      <c r="T414" s="1589"/>
      <c r="U414" s="1590"/>
      <c r="V414" s="1588">
        <f>IF($B414="",0,IF(V$408=1,0,HLOOKUP($B414,STORICO!$J$149:$AI$199,W$417,FALSE)))</f>
        <v>0</v>
      </c>
      <c r="W414" s="1589"/>
      <c r="X414" s="1590"/>
      <c r="Y414" s="1588">
        <f>IF($B414="",0,IF(Y$408=1,0,HLOOKUP($B414,STORICO!$J$149:$AI$199,Z$417,FALSE)))</f>
        <v>0</v>
      </c>
      <c r="Z414" s="1589"/>
      <c r="AA414" s="1590"/>
      <c r="AB414" s="1588">
        <f>IF($B414="",0,IF(AB$408=1,0,HLOOKUP($B414,STORICO!$J$149:$AI$199,AC$417,FALSE)))</f>
        <v>0</v>
      </c>
      <c r="AC414" s="1589"/>
      <c r="AD414" s="1590"/>
      <c r="AE414" s="1588">
        <f>IF($B414="",0,IF(AE$408=1,0,HLOOKUP($B414,STORICO!$J$149:$AI$199,AF$417,FALSE)))</f>
        <v>0</v>
      </c>
      <c r="AF414" s="1589"/>
      <c r="AG414" s="1590"/>
      <c r="AH414" s="1588">
        <f>IF($B414="",0,IF(AH$408=1,0,HLOOKUP($B414,STORICO!$J$149:$AI$199,AI$417,FALSE)))</f>
        <v>0</v>
      </c>
      <c r="AI414" s="1589"/>
      <c r="AJ414" s="1590"/>
      <c r="AK414" s="1588">
        <f>IF($B414="",0,IF(AK$408=1,0,HLOOKUP($B414,STORICO!$J$149:$AI$199,AL$417,FALSE)))</f>
        <v>0</v>
      </c>
      <c r="AL414" s="1589"/>
      <c r="AM414" s="1590"/>
      <c r="AN414" s="48"/>
      <c r="AO414" s="481"/>
      <c r="AP414" s="481"/>
      <c r="AQ414" s="481"/>
      <c r="AR414" s="481"/>
      <c r="AS414" s="481"/>
      <c r="AT414" s="481"/>
      <c r="AU414" s="481"/>
      <c r="AV414" s="481"/>
      <c r="AW414" s="481"/>
      <c r="AX414" s="481"/>
      <c r="AY414" s="481"/>
      <c r="AZ414" s="481"/>
      <c r="BA414" s="481"/>
      <c r="BB414" s="481"/>
      <c r="BC414" s="481"/>
      <c r="BD414" s="481"/>
      <c r="BE414" s="481"/>
      <c r="BF414" s="481"/>
      <c r="BG414" s="481"/>
      <c r="BH414" s="481"/>
      <c r="BI414" s="481"/>
      <c r="BJ414" s="481"/>
      <c r="BK414" s="481"/>
      <c r="BL414" s="481"/>
      <c r="BM414" s="481"/>
      <c r="BN414" s="481"/>
      <c r="BO414" s="481"/>
      <c r="BP414" s="481"/>
      <c r="BQ414" s="481"/>
      <c r="BR414" s="481"/>
      <c r="BS414" s="481"/>
      <c r="BT414" s="481"/>
      <c r="BU414" s="481"/>
      <c r="BV414" s="481"/>
      <c r="BW414" s="481"/>
      <c r="BX414" s="481"/>
    </row>
    <row r="415" spans="1:76" ht="18" hidden="1" customHeight="1" x14ac:dyDescent="0.2">
      <c r="A415" s="186"/>
      <c r="B415" s="1585" t="str">
        <f t="shared" si="78"/>
        <v/>
      </c>
      <c r="C415" s="1586"/>
      <c r="G415" s="1588">
        <f>IF($B415="",0,IF(G$408=1,0,HLOOKUP($B415,STORICO!$J$149:$AI$199,H$417,FALSE)))</f>
        <v>0</v>
      </c>
      <c r="H415" s="1589"/>
      <c r="I415" s="1590"/>
      <c r="J415" s="1588">
        <f>IF($B415="",0,IF(J$408=1,0,HLOOKUP($B415,STORICO!$J$149:$AI$199,K$417,FALSE)))</f>
        <v>0</v>
      </c>
      <c r="K415" s="1589"/>
      <c r="L415" s="1590"/>
      <c r="M415" s="1588">
        <f>IF($B415="",0,IF(M$408=1,0,HLOOKUP($B415,STORICO!$J$149:$AI$199,N$417,FALSE)))</f>
        <v>0</v>
      </c>
      <c r="N415" s="1589"/>
      <c r="O415" s="1590"/>
      <c r="P415" s="1588">
        <f>IF($B415="",0,IF(P$408=1,0,HLOOKUP($B415,STORICO!$J$149:$AI$199,Q$417,FALSE)))</f>
        <v>0</v>
      </c>
      <c r="Q415" s="1589"/>
      <c r="R415" s="1590"/>
      <c r="S415" s="1588">
        <f>IF($B415="",0,IF(S$408=1,0,HLOOKUP($B415,STORICO!$J$149:$AI$199,T$417,FALSE)))</f>
        <v>0</v>
      </c>
      <c r="T415" s="1589"/>
      <c r="U415" s="1590"/>
      <c r="V415" s="1588">
        <f>IF($B415="",0,IF(V$408=1,0,HLOOKUP($B415,STORICO!$J$149:$AI$199,W$417,FALSE)))</f>
        <v>0</v>
      </c>
      <c r="W415" s="1589"/>
      <c r="X415" s="1590"/>
      <c r="Y415" s="1588">
        <f>IF($B415="",0,IF(Y$408=1,0,HLOOKUP($B415,STORICO!$J$149:$AI$199,Z$417,FALSE)))</f>
        <v>0</v>
      </c>
      <c r="Z415" s="1589"/>
      <c r="AA415" s="1590"/>
      <c r="AB415" s="1588">
        <f>IF($B415="",0,IF(AB$408=1,0,HLOOKUP($B415,STORICO!$J$149:$AI$199,AC$417,FALSE)))</f>
        <v>0</v>
      </c>
      <c r="AC415" s="1589"/>
      <c r="AD415" s="1590"/>
      <c r="AE415" s="1588">
        <f>IF($B415="",0,IF(AE$408=1,0,HLOOKUP($B415,STORICO!$J$149:$AI$199,AF$417,FALSE)))</f>
        <v>0</v>
      </c>
      <c r="AF415" s="1589"/>
      <c r="AG415" s="1590"/>
      <c r="AH415" s="1588">
        <f>IF($B415="",0,IF(AH$408=1,0,HLOOKUP($B415,STORICO!$J$149:$AI$199,AI$417,FALSE)))</f>
        <v>0</v>
      </c>
      <c r="AI415" s="1589"/>
      <c r="AJ415" s="1590"/>
      <c r="AK415" s="1588">
        <f>IF($B415="",0,IF(AK$408=1,0,HLOOKUP($B415,STORICO!$J$149:$AI$199,AL$417,FALSE)))</f>
        <v>0</v>
      </c>
      <c r="AL415" s="1589"/>
      <c r="AM415" s="1590"/>
      <c r="AN415" s="48"/>
      <c r="AO415" s="481"/>
      <c r="AP415" s="481"/>
      <c r="AQ415" s="481"/>
      <c r="AR415" s="481"/>
      <c r="AS415" s="481"/>
      <c r="AT415" s="481"/>
      <c r="AU415" s="481"/>
      <c r="AV415" s="481"/>
      <c r="AW415" s="481"/>
      <c r="AX415" s="481"/>
      <c r="AY415" s="481"/>
      <c r="AZ415" s="481"/>
      <c r="BA415" s="481"/>
      <c r="BB415" s="481"/>
      <c r="BC415" s="481"/>
      <c r="BD415" s="481"/>
      <c r="BE415" s="481"/>
      <c r="BF415" s="481"/>
      <c r="BG415" s="481"/>
      <c r="BH415" s="481"/>
      <c r="BI415" s="481"/>
      <c r="BJ415" s="481"/>
      <c r="BK415" s="481"/>
      <c r="BL415" s="481"/>
      <c r="BM415" s="481"/>
      <c r="BN415" s="481"/>
      <c r="BO415" s="481"/>
      <c r="BP415" s="481"/>
      <c r="BQ415" s="481"/>
      <c r="BR415" s="481"/>
      <c r="BS415" s="481"/>
      <c r="BT415" s="481"/>
      <c r="BU415" s="481"/>
      <c r="BV415" s="481"/>
      <c r="BW415" s="481"/>
      <c r="BX415" s="481"/>
    </row>
    <row r="416" spans="1:76" ht="18" hidden="1" customHeight="1" x14ac:dyDescent="0.2">
      <c r="A416" s="186"/>
      <c r="B416" s="1585" t="str">
        <f t="shared" si="78"/>
        <v/>
      </c>
      <c r="C416" s="1586"/>
      <c r="G416" s="1588">
        <f>IF($B416="",0,IF(G$408=1,0,HLOOKUP($B416,STORICO!$J$149:$AI$199,H$417,FALSE)))</f>
        <v>0</v>
      </c>
      <c r="H416" s="1589"/>
      <c r="I416" s="1590"/>
      <c r="J416" s="1588">
        <f>IF($B416="",0,IF(J$408=1,0,HLOOKUP($B416,STORICO!$J$149:$AI$199,K$417,FALSE)))</f>
        <v>0</v>
      </c>
      <c r="K416" s="1589"/>
      <c r="L416" s="1590"/>
      <c r="M416" s="1588">
        <f>IF($B416="",0,IF(M$408=1,0,HLOOKUP($B416,STORICO!$J$149:$AI$199,N$417,FALSE)))</f>
        <v>0</v>
      </c>
      <c r="N416" s="1589"/>
      <c r="O416" s="1590"/>
      <c r="P416" s="1588">
        <f>IF($B416="",0,IF(P$408=1,0,HLOOKUP($B416,STORICO!$J$149:$AI$199,Q$417,FALSE)))</f>
        <v>0</v>
      </c>
      <c r="Q416" s="1589"/>
      <c r="R416" s="1590"/>
      <c r="S416" s="1588">
        <f>IF($B416="",0,IF(S$408=1,0,HLOOKUP($B416,STORICO!$J$149:$AI$199,T$417,FALSE)))</f>
        <v>0</v>
      </c>
      <c r="T416" s="1589"/>
      <c r="U416" s="1590"/>
      <c r="V416" s="1588">
        <f>IF($B416="",0,IF(V$408=1,0,HLOOKUP($B416,STORICO!$J$149:$AI$199,W$417,FALSE)))</f>
        <v>0</v>
      </c>
      <c r="W416" s="1589"/>
      <c r="X416" s="1590"/>
      <c r="Y416" s="1588">
        <f>IF($B416="",0,IF(Y$408=1,0,HLOOKUP($B416,STORICO!$J$149:$AI$199,Z$417,FALSE)))</f>
        <v>0</v>
      </c>
      <c r="Z416" s="1589"/>
      <c r="AA416" s="1590"/>
      <c r="AB416" s="1588">
        <f>IF($B416="",0,IF(AB$408=1,0,HLOOKUP($B416,STORICO!$J$149:$AI$199,AC$417,FALSE)))</f>
        <v>0</v>
      </c>
      <c r="AC416" s="1589"/>
      <c r="AD416" s="1590"/>
      <c r="AE416" s="1588">
        <f>IF($B416="",0,IF(AE$408=1,0,HLOOKUP($B416,STORICO!$J$149:$AI$199,AF$417,FALSE)))</f>
        <v>0</v>
      </c>
      <c r="AF416" s="1589"/>
      <c r="AG416" s="1590"/>
      <c r="AH416" s="1588">
        <f>IF($B416="",0,IF(AH$408=1,0,HLOOKUP($B416,STORICO!$J$149:$AI$199,AI$417,FALSE)))</f>
        <v>0</v>
      </c>
      <c r="AI416" s="1589"/>
      <c r="AJ416" s="1590"/>
      <c r="AK416" s="1588">
        <f>IF($B416="",0,IF(AK$408=1,0,HLOOKUP($B416,STORICO!$J$149:$AI$199,AL$417,FALSE)))</f>
        <v>0</v>
      </c>
      <c r="AL416" s="1589"/>
      <c r="AM416" s="1590"/>
      <c r="AN416" s="48"/>
      <c r="AO416" s="481"/>
      <c r="AP416" s="481"/>
      <c r="AQ416" s="481"/>
      <c r="AR416" s="481"/>
      <c r="AS416" s="481"/>
      <c r="AT416" s="481"/>
      <c r="AU416" s="481"/>
      <c r="AV416" s="481"/>
      <c r="AW416" s="481"/>
      <c r="AX416" s="481"/>
      <c r="AY416" s="481"/>
      <c r="AZ416" s="481"/>
      <c r="BA416" s="481"/>
      <c r="BB416" s="481"/>
      <c r="BC416" s="481"/>
      <c r="BD416" s="481"/>
      <c r="BE416" s="481"/>
      <c r="BF416" s="481"/>
      <c r="BG416" s="481"/>
      <c r="BH416" s="481"/>
      <c r="BI416" s="481"/>
      <c r="BJ416" s="481"/>
      <c r="BK416" s="481"/>
      <c r="BL416" s="481"/>
      <c r="BM416" s="481"/>
      <c r="BN416" s="481"/>
      <c r="BO416" s="481"/>
      <c r="BP416" s="481"/>
      <c r="BQ416" s="481"/>
      <c r="BR416" s="481"/>
      <c r="BS416" s="481"/>
      <c r="BT416" s="481"/>
      <c r="BU416" s="481"/>
      <c r="BV416" s="481"/>
      <c r="BW416" s="481"/>
      <c r="BX416" s="481"/>
    </row>
    <row r="417" spans="1:76" ht="15.75" hidden="1" customHeight="1" x14ac:dyDescent="0.2">
      <c r="A417" s="48"/>
      <c r="B417" s="48"/>
      <c r="C417" s="48"/>
      <c r="D417" s="560"/>
      <c r="E417" s="1595">
        <v>6</v>
      </c>
      <c r="F417" s="1595"/>
      <c r="G417" s="560"/>
      <c r="H417" s="1595">
        <f>E417+4</f>
        <v>10</v>
      </c>
      <c r="I417" s="1595"/>
      <c r="J417" s="560"/>
      <c r="K417" s="1595">
        <f>H417+4</f>
        <v>14</v>
      </c>
      <c r="L417" s="1595"/>
      <c r="M417" s="560"/>
      <c r="N417" s="1595">
        <f>K417+4</f>
        <v>18</v>
      </c>
      <c r="O417" s="1595"/>
      <c r="P417" s="560"/>
      <c r="Q417" s="1595">
        <f>N417+4</f>
        <v>22</v>
      </c>
      <c r="R417" s="1595"/>
      <c r="S417" s="560"/>
      <c r="T417" s="1595">
        <f>Q417+4</f>
        <v>26</v>
      </c>
      <c r="U417" s="1595"/>
      <c r="V417" s="560"/>
      <c r="W417" s="1595">
        <f>T417+4</f>
        <v>30</v>
      </c>
      <c r="X417" s="1595"/>
      <c r="Y417" s="560"/>
      <c r="Z417" s="1595">
        <f>W417+4</f>
        <v>34</v>
      </c>
      <c r="AA417" s="1595"/>
      <c r="AB417" s="560"/>
      <c r="AC417" s="1595">
        <f>Z417+4</f>
        <v>38</v>
      </c>
      <c r="AD417" s="1595"/>
      <c r="AE417" s="560"/>
      <c r="AF417" s="1595">
        <f>AC417+4</f>
        <v>42</v>
      </c>
      <c r="AG417" s="1595"/>
      <c r="AH417" s="560"/>
      <c r="AI417" s="1595">
        <f>AF417+4</f>
        <v>46</v>
      </c>
      <c r="AJ417" s="1595"/>
      <c r="AK417" s="560"/>
      <c r="AL417" s="1595">
        <f>AI417+4</f>
        <v>50</v>
      </c>
      <c r="AM417" s="1595"/>
      <c r="AN417" s="48"/>
      <c r="AO417" s="481"/>
      <c r="AP417" s="481"/>
      <c r="AQ417" s="481"/>
      <c r="AR417" s="481"/>
      <c r="AS417" s="481"/>
      <c r="AT417" s="481"/>
      <c r="AU417" s="481"/>
      <c r="AV417" s="481"/>
      <c r="AW417" s="481"/>
      <c r="AX417" s="481"/>
      <c r="AY417" s="481"/>
    </row>
    <row r="418" spans="1:76" ht="18" hidden="1" customHeight="1" x14ac:dyDescent="0.2">
      <c r="A418" s="186"/>
      <c r="B418" s="1593" t="s">
        <v>195</v>
      </c>
      <c r="C418" s="1594"/>
      <c r="D418" s="1591" t="str">
        <f>D409</f>
        <v>Gennaio</v>
      </c>
      <c r="E418" s="1592"/>
      <c r="F418" s="1592"/>
      <c r="G418" s="1591" t="str">
        <f>G409</f>
        <v>Febbraio</v>
      </c>
      <c r="H418" s="1592"/>
      <c r="I418" s="1592"/>
      <c r="J418" s="1591" t="str">
        <f>J409</f>
        <v>Marzo</v>
      </c>
      <c r="K418" s="1592"/>
      <c r="L418" s="1592"/>
      <c r="M418" s="1591" t="str">
        <f>M409</f>
        <v>Aprile</v>
      </c>
      <c r="N418" s="1592"/>
      <c r="O418" s="1592"/>
      <c r="P418" s="1591" t="str">
        <f>P409</f>
        <v>Maggio</v>
      </c>
      <c r="Q418" s="1592"/>
      <c r="R418" s="1592"/>
      <c r="S418" s="1591" t="str">
        <f>S409</f>
        <v>Giugno</v>
      </c>
      <c r="T418" s="1592"/>
      <c r="U418" s="1592"/>
      <c r="V418" s="1591" t="str">
        <f>V409</f>
        <v>Luglio</v>
      </c>
      <c r="W418" s="1592"/>
      <c r="X418" s="1592"/>
      <c r="Y418" s="1591" t="str">
        <f>Y409</f>
        <v>Agosto</v>
      </c>
      <c r="Z418" s="1592"/>
      <c r="AA418" s="1592"/>
      <c r="AB418" s="1591" t="str">
        <f>AB409</f>
        <v>Settembre</v>
      </c>
      <c r="AC418" s="1592"/>
      <c r="AD418" s="1592"/>
      <c r="AE418" s="1591" t="str">
        <f>AE409</f>
        <v>Ottobre</v>
      </c>
      <c r="AF418" s="1592"/>
      <c r="AG418" s="1592"/>
      <c r="AH418" s="1591" t="str">
        <f>AH409</f>
        <v>Novembre</v>
      </c>
      <c r="AI418" s="1592"/>
      <c r="AJ418" s="1592"/>
      <c r="AK418" s="1591" t="str">
        <f>AK409</f>
        <v>Dicembre</v>
      </c>
      <c r="AL418" s="1592"/>
      <c r="AM418" s="1592"/>
      <c r="AN418" s="48"/>
      <c r="AO418" s="481"/>
      <c r="AP418" s="481"/>
      <c r="AQ418" s="481"/>
      <c r="AR418" s="481"/>
      <c r="AS418" s="481"/>
      <c r="AT418" s="481"/>
      <c r="AU418" s="481"/>
      <c r="AV418" s="481"/>
      <c r="AW418" s="481"/>
      <c r="AX418" s="481"/>
      <c r="AY418" s="481"/>
      <c r="AZ418" s="481"/>
      <c r="BA418" s="481"/>
      <c r="BB418" s="481"/>
      <c r="BC418" s="481"/>
      <c r="BD418" s="481"/>
      <c r="BE418" s="481"/>
      <c r="BF418" s="481"/>
      <c r="BG418" s="481"/>
      <c r="BH418" s="481"/>
      <c r="BI418" s="481"/>
      <c r="BJ418" s="481"/>
      <c r="BK418" s="481"/>
      <c r="BL418" s="481"/>
      <c r="BM418" s="481"/>
      <c r="BN418" s="481"/>
      <c r="BO418" s="481"/>
      <c r="BP418" s="481"/>
      <c r="BQ418" s="481"/>
      <c r="BR418" s="481"/>
      <c r="BS418" s="481"/>
      <c r="BT418" s="481"/>
      <c r="BU418" s="481"/>
      <c r="BV418" s="481"/>
      <c r="BW418" s="481"/>
      <c r="BX418" s="481"/>
    </row>
    <row r="419" spans="1:76" ht="18" hidden="1" customHeight="1" x14ac:dyDescent="0.2">
      <c r="A419" s="186"/>
      <c r="B419" s="1585" t="str">
        <f t="shared" ref="B419:B425" si="79">B410</f>
        <v>--</v>
      </c>
      <c r="C419" s="1586"/>
      <c r="D419" s="1588">
        <f>IF($B419="--",0,IF(D$408=1,0,HLOOKUP($B419,STORICO!$J$149:$AI$199,E$426,FALSE)))</f>
        <v>0</v>
      </c>
      <c r="E419" s="1589"/>
      <c r="F419" s="1590"/>
      <c r="G419" s="1588">
        <f>IF($B419="--",0,IF(G$408=1,0,HLOOKUP($B419,STORICO!$J$149:$AI$199,H$426,FALSE)))</f>
        <v>0</v>
      </c>
      <c r="H419" s="1589"/>
      <c r="I419" s="1590"/>
      <c r="J419" s="1588">
        <f>IF($B419="--",0,IF(J$408=1,0,HLOOKUP($B419,STORICO!$J$149:$AI$199,K$426,FALSE)))</f>
        <v>0</v>
      </c>
      <c r="K419" s="1589"/>
      <c r="L419" s="1590"/>
      <c r="M419" s="1588">
        <f>IF($B419="--",0,IF(M$408=1,0,HLOOKUP($B419,STORICO!$J$149:$AI$199,N$426,FALSE)))</f>
        <v>0</v>
      </c>
      <c r="N419" s="1589"/>
      <c r="O419" s="1590"/>
      <c r="P419" s="1588">
        <f>IF($B419="--",0,IF(P$408=1,0,HLOOKUP($B419,STORICO!$J$149:$AI$199,Q$426,FALSE)))</f>
        <v>0</v>
      </c>
      <c r="Q419" s="1589"/>
      <c r="R419" s="1590"/>
      <c r="S419" s="1588">
        <f>IF($B419="--",0,IF(S$408=1,0,HLOOKUP($B419,STORICO!$J$149:$AI$199,T$426,FALSE)))</f>
        <v>0</v>
      </c>
      <c r="T419" s="1589"/>
      <c r="U419" s="1590"/>
      <c r="V419" s="1588">
        <f>IF($B419="--",0,IF(V$408=1,0,HLOOKUP($B419,STORICO!$J$149:$AI$199,W$426,FALSE)))</f>
        <v>0</v>
      </c>
      <c r="W419" s="1589"/>
      <c r="X419" s="1590"/>
      <c r="Y419" s="1588">
        <f>IF($B419="--",0,IF(Y$408=1,0,HLOOKUP($B419,STORICO!$J$149:$AI$199,Z$426,FALSE)))</f>
        <v>0</v>
      </c>
      <c r="Z419" s="1589"/>
      <c r="AA419" s="1590"/>
      <c r="AB419" s="1588">
        <f>IF($B419="--",0,IF(AB$408=1,0,HLOOKUP($B419,STORICO!$J$149:$AI$199,AC$426,FALSE)))</f>
        <v>0</v>
      </c>
      <c r="AC419" s="1589"/>
      <c r="AD419" s="1590"/>
      <c r="AE419" s="1588">
        <f>IF($B419="--",0,IF(AE$408=1,0,HLOOKUP($B419,STORICO!$J$149:$AI$199,AF$426,FALSE)))</f>
        <v>0</v>
      </c>
      <c r="AF419" s="1589"/>
      <c r="AG419" s="1590"/>
      <c r="AH419" s="1588">
        <f>IF($B419="--",0,IF(AH$408=1,0,HLOOKUP($B419,STORICO!$J$149:$AI$199,AI$426,FALSE)))</f>
        <v>0</v>
      </c>
      <c r="AI419" s="1589"/>
      <c r="AJ419" s="1590"/>
      <c r="AK419" s="1588">
        <f>IF($B419="--",0,IF(AK$408=1,0,HLOOKUP($B419,STORICO!$J$149:$AI$199,AL$426,FALSE)))</f>
        <v>0</v>
      </c>
      <c r="AL419" s="1589"/>
      <c r="AM419" s="1590"/>
      <c r="AN419" s="48"/>
      <c r="AO419" s="481"/>
      <c r="AP419" s="481"/>
      <c r="AQ419" s="481"/>
      <c r="AR419" s="481"/>
      <c r="AS419" s="481"/>
      <c r="AT419" s="481"/>
      <c r="AU419" s="481"/>
      <c r="AV419" s="481"/>
      <c r="AW419" s="481"/>
      <c r="AX419" s="481"/>
      <c r="AY419" s="481"/>
      <c r="AZ419" s="481"/>
      <c r="BA419" s="481"/>
      <c r="BB419" s="481"/>
      <c r="BC419" s="481"/>
      <c r="BD419" s="481"/>
      <c r="BE419" s="481"/>
      <c r="BF419" s="481"/>
      <c r="BG419" s="481"/>
      <c r="BH419" s="481"/>
      <c r="BI419" s="481"/>
      <c r="BJ419" s="481"/>
      <c r="BK419" s="481"/>
      <c r="BL419" s="481"/>
      <c r="BM419" s="481"/>
      <c r="BN419" s="481"/>
      <c r="BO419" s="481"/>
      <c r="BP419" s="481"/>
      <c r="BQ419" s="481"/>
      <c r="BR419" s="481"/>
      <c r="BS419" s="481"/>
      <c r="BT419" s="481"/>
      <c r="BU419" s="481"/>
      <c r="BV419" s="481"/>
      <c r="BW419" s="481"/>
      <c r="BX419" s="481"/>
    </row>
    <row r="420" spans="1:76" ht="18" hidden="1" customHeight="1" x14ac:dyDescent="0.2">
      <c r="A420" s="186"/>
      <c r="B420" s="1585" t="str">
        <f t="shared" si="79"/>
        <v>--</v>
      </c>
      <c r="C420" s="1586"/>
      <c r="D420" s="1588">
        <f>IF($B420="--",0,IF(D$408=1,0,HLOOKUP($B420,STORICO!$J$149:$AI$199,E$426,FALSE)))</f>
        <v>0</v>
      </c>
      <c r="E420" s="1589"/>
      <c r="F420" s="1590"/>
      <c r="G420" s="1588">
        <f>IF($B420="--",0,IF(G$408=1,0,HLOOKUP($B420,STORICO!$J$149:$AI$199,H$426,FALSE)))</f>
        <v>0</v>
      </c>
      <c r="H420" s="1589"/>
      <c r="I420" s="1590"/>
      <c r="J420" s="1588">
        <f>IF($B420="--",0,IF(J$408=1,0,HLOOKUP($B420,STORICO!$J$149:$AI$199,K$426,FALSE)))</f>
        <v>0</v>
      </c>
      <c r="K420" s="1589"/>
      <c r="L420" s="1590"/>
      <c r="M420" s="1588">
        <f>IF($B420="--",0,IF(M$408=1,0,HLOOKUP($B420,STORICO!$J$149:$AI$199,N$426,FALSE)))</f>
        <v>0</v>
      </c>
      <c r="N420" s="1589"/>
      <c r="O420" s="1590"/>
      <c r="P420" s="1588">
        <f>IF($B420="--",0,IF(P$408=1,0,HLOOKUP($B420,STORICO!$J$149:$AI$199,Q$426,FALSE)))</f>
        <v>0</v>
      </c>
      <c r="Q420" s="1589"/>
      <c r="R420" s="1590"/>
      <c r="S420" s="1588">
        <f>IF($B420="--",0,IF(S$408=1,0,HLOOKUP($B420,STORICO!$J$149:$AI$199,T$426,FALSE)))</f>
        <v>0</v>
      </c>
      <c r="T420" s="1589"/>
      <c r="U420" s="1590"/>
      <c r="V420" s="1588">
        <f>IF($B420="--",0,IF(V$408=1,0,HLOOKUP($B420,STORICO!$J$149:$AI$199,W$426,FALSE)))</f>
        <v>0</v>
      </c>
      <c r="W420" s="1589"/>
      <c r="X420" s="1590"/>
      <c r="Y420" s="1588">
        <f>IF($B420="--",0,IF(Y$408=1,0,HLOOKUP($B420,STORICO!$J$149:$AI$199,Z$426,FALSE)))</f>
        <v>0</v>
      </c>
      <c r="Z420" s="1589"/>
      <c r="AA420" s="1590"/>
      <c r="AB420" s="1588">
        <f>IF($B420="--",0,IF(AB$408=1,0,HLOOKUP($B420,STORICO!$J$149:$AI$199,AC$426,FALSE)))</f>
        <v>0</v>
      </c>
      <c r="AC420" s="1589"/>
      <c r="AD420" s="1590"/>
      <c r="AE420" s="1588">
        <f>IF($B420="--",0,IF(AE$408=1,0,HLOOKUP($B420,STORICO!$J$149:$AI$199,AF$426,FALSE)))</f>
        <v>0</v>
      </c>
      <c r="AF420" s="1589"/>
      <c r="AG420" s="1590"/>
      <c r="AH420" s="1588">
        <f>IF($B420="--",0,IF(AH$408=1,0,HLOOKUP($B420,STORICO!$J$149:$AI$199,AI$426,FALSE)))</f>
        <v>0</v>
      </c>
      <c r="AI420" s="1589"/>
      <c r="AJ420" s="1590"/>
      <c r="AK420" s="1588">
        <f>IF($B420="--",0,IF(AK$408=1,0,HLOOKUP($B420,STORICO!$J$149:$AI$199,AL$426,FALSE)))</f>
        <v>0</v>
      </c>
      <c r="AL420" s="1589"/>
      <c r="AM420" s="1590"/>
      <c r="AN420" s="48"/>
      <c r="AO420" s="481"/>
      <c r="AP420" s="481"/>
      <c r="AQ420" s="481"/>
      <c r="AR420" s="481"/>
      <c r="AS420" s="481"/>
      <c r="AT420" s="481"/>
      <c r="AU420" s="481"/>
      <c r="AV420" s="481"/>
      <c r="AW420" s="481"/>
      <c r="AX420" s="481"/>
      <c r="AY420" s="481"/>
      <c r="AZ420" s="481"/>
      <c r="BA420" s="481"/>
      <c r="BB420" s="481"/>
      <c r="BC420" s="481"/>
      <c r="BD420" s="481"/>
      <c r="BE420" s="481"/>
      <c r="BF420" s="481"/>
      <c r="BG420" s="481"/>
      <c r="BH420" s="481"/>
      <c r="BI420" s="481"/>
      <c r="BJ420" s="481"/>
      <c r="BK420" s="481"/>
      <c r="BL420" s="481"/>
      <c r="BM420" s="481"/>
      <c r="BN420" s="481"/>
      <c r="BO420" s="481"/>
      <c r="BP420" s="481"/>
      <c r="BQ420" s="481"/>
      <c r="BR420" s="481"/>
      <c r="BS420" s="481"/>
      <c r="BT420" s="481"/>
      <c r="BU420" s="481"/>
      <c r="BV420" s="481"/>
      <c r="BW420" s="481"/>
      <c r="BX420" s="481"/>
    </row>
    <row r="421" spans="1:76" ht="18" hidden="1" customHeight="1" x14ac:dyDescent="0.2">
      <c r="A421" s="186"/>
      <c r="B421" s="1585" t="str">
        <f t="shared" si="79"/>
        <v>--</v>
      </c>
      <c r="C421" s="1586"/>
      <c r="D421" s="1588">
        <f>IF($B421="--",0,IF(D$408=1,0,HLOOKUP($B421,STORICO!$J$149:$AI$199,E$426,FALSE)))</f>
        <v>0</v>
      </c>
      <c r="E421" s="1589"/>
      <c r="F421" s="1590"/>
      <c r="G421" s="1588">
        <f>IF($B421="--",0,IF(G$408=1,0,HLOOKUP($B421,STORICO!$J$149:$AI$199,H$426,FALSE)))</f>
        <v>0</v>
      </c>
      <c r="H421" s="1589"/>
      <c r="I421" s="1590"/>
      <c r="J421" s="1588">
        <f>IF($B421="--",0,IF(J$408=1,0,HLOOKUP($B421,STORICO!$J$149:$AI$199,K$426,FALSE)))</f>
        <v>0</v>
      </c>
      <c r="K421" s="1589"/>
      <c r="L421" s="1590"/>
      <c r="M421" s="1588">
        <f>IF($B421="--",0,IF(M$408=1,0,HLOOKUP($B421,STORICO!$J$149:$AI$199,N$426,FALSE)))</f>
        <v>0</v>
      </c>
      <c r="N421" s="1589"/>
      <c r="O421" s="1590"/>
      <c r="P421" s="1588">
        <f>IF($B421="--",0,IF(P$408=1,0,HLOOKUP($B421,STORICO!$J$149:$AI$199,Q$426,FALSE)))</f>
        <v>0</v>
      </c>
      <c r="Q421" s="1589"/>
      <c r="R421" s="1590"/>
      <c r="S421" s="1588">
        <f>IF($B421="--",0,IF(S$408=1,0,HLOOKUP($B421,STORICO!$J$149:$AI$199,T$426,FALSE)))</f>
        <v>0</v>
      </c>
      <c r="T421" s="1589"/>
      <c r="U421" s="1590"/>
      <c r="V421" s="1588">
        <f>IF($B421="--",0,IF(V$408=1,0,HLOOKUP($B421,STORICO!$J$149:$AI$199,W$426,FALSE)))</f>
        <v>0</v>
      </c>
      <c r="W421" s="1589"/>
      <c r="X421" s="1590"/>
      <c r="Y421" s="1588">
        <f>IF($B421="--",0,IF(Y$408=1,0,HLOOKUP($B421,STORICO!$J$149:$AI$199,Z$426,FALSE)))</f>
        <v>0</v>
      </c>
      <c r="Z421" s="1589"/>
      <c r="AA421" s="1590"/>
      <c r="AB421" s="1588">
        <f>IF($B421="--",0,IF(AB$408=1,0,HLOOKUP($B421,STORICO!$J$149:$AI$199,AC$426,FALSE)))</f>
        <v>0</v>
      </c>
      <c r="AC421" s="1589"/>
      <c r="AD421" s="1590"/>
      <c r="AE421" s="1588">
        <f>IF($B421="--",0,IF(AE$408=1,0,HLOOKUP($B421,STORICO!$J$149:$AI$199,AF$426,FALSE)))</f>
        <v>0</v>
      </c>
      <c r="AF421" s="1589"/>
      <c r="AG421" s="1590"/>
      <c r="AH421" s="1588">
        <f>IF($B421="--",0,IF(AH$408=1,0,HLOOKUP($B421,STORICO!$J$149:$AI$199,AI$426,FALSE)))</f>
        <v>0</v>
      </c>
      <c r="AI421" s="1589"/>
      <c r="AJ421" s="1590"/>
      <c r="AK421" s="1588">
        <f>IF($B421="--",0,IF(AK$408=1,0,HLOOKUP($B421,STORICO!$J$149:$AI$199,AL$426,FALSE)))</f>
        <v>0</v>
      </c>
      <c r="AL421" s="1589"/>
      <c r="AM421" s="1590"/>
      <c r="AN421" s="48"/>
      <c r="AO421" s="481"/>
      <c r="AP421" s="481"/>
      <c r="AQ421" s="481"/>
      <c r="AR421" s="481"/>
      <c r="AS421" s="481"/>
      <c r="AT421" s="481"/>
      <c r="AU421" s="481"/>
      <c r="AV421" s="481"/>
      <c r="AW421" s="481"/>
      <c r="AX421" s="481"/>
      <c r="AY421" s="481"/>
      <c r="AZ421" s="481"/>
      <c r="BA421" s="481"/>
      <c r="BB421" s="481"/>
      <c r="BC421" s="481"/>
      <c r="BD421" s="481"/>
      <c r="BE421" s="481"/>
      <c r="BF421" s="481"/>
      <c r="BG421" s="481"/>
      <c r="BH421" s="481"/>
      <c r="BI421" s="481"/>
      <c r="BJ421" s="481"/>
      <c r="BK421" s="481"/>
      <c r="BL421" s="481"/>
      <c r="BM421" s="481"/>
      <c r="BN421" s="481"/>
      <c r="BO421" s="481"/>
      <c r="BP421" s="481"/>
      <c r="BQ421" s="481"/>
      <c r="BR421" s="481"/>
      <c r="BS421" s="481"/>
      <c r="BT421" s="481"/>
      <c r="BU421" s="481"/>
      <c r="BV421" s="481"/>
      <c r="BW421" s="481"/>
      <c r="BX421" s="481"/>
    </row>
    <row r="422" spans="1:76" ht="18" hidden="1" customHeight="1" x14ac:dyDescent="0.2">
      <c r="A422" s="186"/>
      <c r="B422" s="1585" t="str">
        <f t="shared" si="79"/>
        <v>--</v>
      </c>
      <c r="C422" s="1586"/>
      <c r="D422" s="1588">
        <f>IF($B422="--",0,IF(D$408=1,0,HLOOKUP($B422,STORICO!$J$149:$AI$199,E$426,FALSE)))</f>
        <v>0</v>
      </c>
      <c r="E422" s="1589"/>
      <c r="F422" s="1590"/>
      <c r="G422" s="1588">
        <f>IF($B422="--",0,IF(G$408=1,0,HLOOKUP($B422,STORICO!$J$149:$AI$199,H$426,FALSE)))</f>
        <v>0</v>
      </c>
      <c r="H422" s="1589"/>
      <c r="I422" s="1590"/>
      <c r="J422" s="1588">
        <f>IF($B422="--",0,IF(J$408=1,0,HLOOKUP($B422,STORICO!$J$149:$AI$199,K$426,FALSE)))</f>
        <v>0</v>
      </c>
      <c r="K422" s="1589"/>
      <c r="L422" s="1590"/>
      <c r="M422" s="1588">
        <f>IF($B422="--",0,IF(M$408=1,0,HLOOKUP($B422,STORICO!$J$149:$AI$199,N$426,FALSE)))</f>
        <v>0</v>
      </c>
      <c r="N422" s="1589"/>
      <c r="O422" s="1590"/>
      <c r="P422" s="1588">
        <f>IF($B422="--",0,IF(P$408=1,0,HLOOKUP($B422,STORICO!$J$149:$AI$199,Q$426,FALSE)))</f>
        <v>0</v>
      </c>
      <c r="Q422" s="1589"/>
      <c r="R422" s="1590"/>
      <c r="S422" s="1588">
        <f>IF($B422="--",0,IF(S$408=1,0,HLOOKUP($B422,STORICO!$J$149:$AI$199,T$426,FALSE)))</f>
        <v>0</v>
      </c>
      <c r="T422" s="1589"/>
      <c r="U422" s="1590"/>
      <c r="V422" s="1588">
        <f>IF($B422="--",0,IF(V$408=1,0,HLOOKUP($B422,STORICO!$J$149:$AI$199,W$426,FALSE)))</f>
        <v>0</v>
      </c>
      <c r="W422" s="1589"/>
      <c r="X422" s="1590"/>
      <c r="Y422" s="1588">
        <f>IF($B422="--",0,IF(Y$408=1,0,HLOOKUP($B422,STORICO!$J$149:$AI$199,Z$426,FALSE)))</f>
        <v>0</v>
      </c>
      <c r="Z422" s="1589"/>
      <c r="AA422" s="1590"/>
      <c r="AB422" s="1588">
        <f>IF($B422="--",0,IF(AB$408=1,0,HLOOKUP($B422,STORICO!$J$149:$AI$199,AC$426,FALSE)))</f>
        <v>0</v>
      </c>
      <c r="AC422" s="1589"/>
      <c r="AD422" s="1590"/>
      <c r="AE422" s="1588">
        <f>IF($B422="--",0,IF(AE$408=1,0,HLOOKUP($B422,STORICO!$J$149:$AI$199,AF$426,FALSE)))</f>
        <v>0</v>
      </c>
      <c r="AF422" s="1589"/>
      <c r="AG422" s="1590"/>
      <c r="AH422" s="1588">
        <f>IF($B422="--",0,IF(AH$408=1,0,HLOOKUP($B422,STORICO!$J$149:$AI$199,AI$426,FALSE)))</f>
        <v>0</v>
      </c>
      <c r="AI422" s="1589"/>
      <c r="AJ422" s="1590"/>
      <c r="AK422" s="1588">
        <f>IF($B422="--",0,IF(AK$408=1,0,HLOOKUP($B422,STORICO!$J$149:$AI$199,AL$426,FALSE)))</f>
        <v>0</v>
      </c>
      <c r="AL422" s="1589"/>
      <c r="AM422" s="1590"/>
      <c r="AN422" s="48"/>
      <c r="AO422" s="481"/>
      <c r="AP422" s="481"/>
      <c r="AQ422" s="481"/>
      <c r="AR422" s="481"/>
      <c r="AS422" s="481"/>
      <c r="AT422" s="481"/>
      <c r="AU422" s="481"/>
      <c r="AV422" s="481"/>
      <c r="AW422" s="481"/>
      <c r="AX422" s="481"/>
      <c r="AY422" s="481"/>
      <c r="AZ422" s="481"/>
      <c r="BA422" s="481"/>
      <c r="BB422" s="481"/>
      <c r="BC422" s="481"/>
      <c r="BD422" s="481"/>
      <c r="BE422" s="481"/>
      <c r="BF422" s="481"/>
      <c r="BG422" s="481"/>
      <c r="BH422" s="481"/>
      <c r="BI422" s="481"/>
      <c r="BJ422" s="481"/>
      <c r="BK422" s="481"/>
      <c r="BL422" s="481"/>
      <c r="BM422" s="481"/>
      <c r="BN422" s="481"/>
      <c r="BO422" s="481"/>
      <c r="BP422" s="481"/>
      <c r="BQ422" s="481"/>
      <c r="BR422" s="481"/>
      <c r="BS422" s="481"/>
      <c r="BT422" s="481"/>
      <c r="BU422" s="481"/>
      <c r="BV422" s="481"/>
      <c r="BW422" s="481"/>
      <c r="BX422" s="481"/>
    </row>
    <row r="423" spans="1:76" ht="18" hidden="1" customHeight="1" x14ac:dyDescent="0.2">
      <c r="A423" s="186"/>
      <c r="B423" s="1585" t="str">
        <f t="shared" si="79"/>
        <v/>
      </c>
      <c r="C423" s="1586"/>
      <c r="G423" s="1588">
        <f>IF($B423="",0,IF(G$408=1,0,HLOOKUP($B423,STORICO!$J$149:$AI$199,H$426,FALSE)))</f>
        <v>0</v>
      </c>
      <c r="H423" s="1589"/>
      <c r="I423" s="1590"/>
      <c r="J423" s="1588">
        <f>IF($B423="",0,IF(J$408=1,0,HLOOKUP($B423,STORICO!$J$149:$AI$199,K$426,FALSE)))</f>
        <v>0</v>
      </c>
      <c r="K423" s="1589"/>
      <c r="L423" s="1590"/>
      <c r="M423" s="1588">
        <f>IF($B423="",0,IF(M$408=1,0,HLOOKUP($B423,STORICO!$J$149:$AI$199,N$426,FALSE)))</f>
        <v>0</v>
      </c>
      <c r="N423" s="1589"/>
      <c r="O423" s="1590"/>
      <c r="P423" s="1588">
        <f>IF($B423="",0,IF(P$408=1,0,HLOOKUP($B423,STORICO!$J$149:$AI$199,Q$426,FALSE)))</f>
        <v>0</v>
      </c>
      <c r="Q423" s="1589"/>
      <c r="R423" s="1590"/>
      <c r="S423" s="1588">
        <f>IF($B423="",0,IF(S$408=1,0,HLOOKUP($B423,STORICO!$J$149:$AI$199,T$426,FALSE)))</f>
        <v>0</v>
      </c>
      <c r="T423" s="1589"/>
      <c r="U423" s="1590"/>
      <c r="V423" s="1588">
        <f>IF($B423="",0,IF(V$408=1,0,HLOOKUP($B423,STORICO!$J$149:$AI$199,W$426,FALSE)))</f>
        <v>0</v>
      </c>
      <c r="W423" s="1589"/>
      <c r="X423" s="1590"/>
      <c r="Y423" s="1588">
        <f>IF($B423="",0,IF(Y$408=1,0,HLOOKUP($B423,STORICO!$J$149:$AI$199,Z$426,FALSE)))</f>
        <v>0</v>
      </c>
      <c r="Z423" s="1589"/>
      <c r="AA423" s="1590"/>
      <c r="AB423" s="1588">
        <f>IF($B423="",0,IF(AB$408=1,0,HLOOKUP($B423,STORICO!$J$149:$AI$199,AC$426,FALSE)))</f>
        <v>0</v>
      </c>
      <c r="AC423" s="1589"/>
      <c r="AD423" s="1590"/>
      <c r="AE423" s="1588">
        <f>IF($B423="",0,IF(AE$408=1,0,HLOOKUP($B423,STORICO!$J$149:$AI$199,AF$426,FALSE)))</f>
        <v>0</v>
      </c>
      <c r="AF423" s="1589"/>
      <c r="AG423" s="1590"/>
      <c r="AH423" s="1588">
        <f>IF($B423="",0,IF(AH$408=1,0,HLOOKUP($B423,STORICO!$J$149:$AI$199,AI$426,FALSE)))</f>
        <v>0</v>
      </c>
      <c r="AI423" s="1589"/>
      <c r="AJ423" s="1590"/>
      <c r="AK423" s="1588">
        <f>IF($B423="",0,IF(AK$408=1,0,HLOOKUP($B423,STORICO!$J$149:$AI$199,AL$426,FALSE)))</f>
        <v>0</v>
      </c>
      <c r="AL423" s="1589"/>
      <c r="AM423" s="1590"/>
      <c r="AN423" s="48"/>
      <c r="AO423" s="481"/>
      <c r="AP423" s="481"/>
      <c r="AQ423" s="481"/>
      <c r="AR423" s="481"/>
      <c r="AS423" s="481"/>
      <c r="AT423" s="481"/>
      <c r="AU423" s="481"/>
      <c r="AV423" s="481"/>
      <c r="AW423" s="481"/>
      <c r="AX423" s="481"/>
      <c r="AY423" s="481"/>
      <c r="AZ423" s="481"/>
      <c r="BA423" s="481"/>
      <c r="BB423" s="481"/>
      <c r="BC423" s="481"/>
      <c r="BD423" s="481"/>
      <c r="BE423" s="481"/>
      <c r="BF423" s="481"/>
      <c r="BG423" s="481"/>
      <c r="BH423" s="481"/>
      <c r="BI423" s="481"/>
      <c r="BJ423" s="481"/>
      <c r="BK423" s="481"/>
      <c r="BL423" s="481"/>
      <c r="BM423" s="481"/>
      <c r="BN423" s="481"/>
      <c r="BO423" s="481"/>
      <c r="BP423" s="481"/>
      <c r="BQ423" s="481"/>
      <c r="BR423" s="481"/>
      <c r="BS423" s="481"/>
      <c r="BT423" s="481"/>
      <c r="BU423" s="481"/>
      <c r="BV423" s="481"/>
      <c r="BW423" s="481"/>
      <c r="BX423" s="481"/>
    </row>
    <row r="424" spans="1:76" ht="18" hidden="1" customHeight="1" x14ac:dyDescent="0.2">
      <c r="A424" s="186"/>
      <c r="B424" s="1585" t="str">
        <f t="shared" si="79"/>
        <v/>
      </c>
      <c r="C424" s="1586"/>
      <c r="G424" s="1588">
        <f>IF($B424="",0,IF(G$408=1,0,HLOOKUP($B424,STORICO!$J$149:$AI$199,H$426,FALSE)))</f>
        <v>0</v>
      </c>
      <c r="H424" s="1589"/>
      <c r="I424" s="1590"/>
      <c r="J424" s="1588">
        <f>IF($B424="",0,IF(J$408=1,0,HLOOKUP($B424,STORICO!$J$149:$AI$199,K$426,FALSE)))</f>
        <v>0</v>
      </c>
      <c r="K424" s="1589"/>
      <c r="L424" s="1590"/>
      <c r="M424" s="1588">
        <f>IF($B424="",0,IF(M$408=1,0,HLOOKUP($B424,STORICO!$J$149:$AI$199,N$426,FALSE)))</f>
        <v>0</v>
      </c>
      <c r="N424" s="1589"/>
      <c r="O424" s="1590"/>
      <c r="P424" s="1588">
        <f>IF($B424="",0,IF(P$408=1,0,HLOOKUP($B424,STORICO!$J$149:$AI$199,Q$426,FALSE)))</f>
        <v>0</v>
      </c>
      <c r="Q424" s="1589"/>
      <c r="R424" s="1590"/>
      <c r="S424" s="1588">
        <f>IF($B424="",0,IF(S$408=1,0,HLOOKUP($B424,STORICO!$J$149:$AI$199,T$426,FALSE)))</f>
        <v>0</v>
      </c>
      <c r="T424" s="1589"/>
      <c r="U424" s="1590"/>
      <c r="V424" s="1588">
        <f>IF($B424="",0,IF(V$408=1,0,HLOOKUP($B424,STORICO!$J$149:$AI$199,W$426,FALSE)))</f>
        <v>0</v>
      </c>
      <c r="W424" s="1589"/>
      <c r="X424" s="1590"/>
      <c r="Y424" s="1588">
        <f>IF($B424="",0,IF(Y$408=1,0,HLOOKUP($B424,STORICO!$J$149:$AI$199,Z$426,FALSE)))</f>
        <v>0</v>
      </c>
      <c r="Z424" s="1589"/>
      <c r="AA424" s="1590"/>
      <c r="AB424" s="1588">
        <f>IF($B424="",0,IF(AB$408=1,0,HLOOKUP($B424,STORICO!$J$149:$AI$199,AC$426,FALSE)))</f>
        <v>0</v>
      </c>
      <c r="AC424" s="1589"/>
      <c r="AD424" s="1590"/>
      <c r="AE424" s="1588">
        <f>IF($B424="",0,IF(AE$408=1,0,HLOOKUP($B424,STORICO!$J$149:$AI$199,AF$426,FALSE)))</f>
        <v>0</v>
      </c>
      <c r="AF424" s="1589"/>
      <c r="AG424" s="1590"/>
      <c r="AH424" s="1588">
        <f>IF($B424="",0,IF(AH$408=1,0,HLOOKUP($B424,STORICO!$J$149:$AI$199,AI$426,FALSE)))</f>
        <v>0</v>
      </c>
      <c r="AI424" s="1589"/>
      <c r="AJ424" s="1590"/>
      <c r="AK424" s="1588">
        <f>IF($B424="",0,IF(AK$408=1,0,HLOOKUP($B424,STORICO!$J$149:$AI$199,AL$426,FALSE)))</f>
        <v>0</v>
      </c>
      <c r="AL424" s="1589"/>
      <c r="AM424" s="1590"/>
      <c r="AN424" s="48"/>
      <c r="AO424" s="481"/>
      <c r="AP424" s="481"/>
      <c r="AQ424" s="481"/>
      <c r="AR424" s="481"/>
      <c r="AS424" s="481"/>
      <c r="AT424" s="481"/>
      <c r="AU424" s="481"/>
      <c r="AV424" s="481"/>
      <c r="AW424" s="481"/>
      <c r="AX424" s="481"/>
      <c r="AY424" s="481"/>
      <c r="AZ424" s="481"/>
      <c r="BA424" s="481"/>
      <c r="BB424" s="481"/>
      <c r="BC424" s="481"/>
      <c r="BD424" s="481"/>
      <c r="BE424" s="481"/>
      <c r="BF424" s="481"/>
      <c r="BG424" s="481"/>
      <c r="BH424" s="481"/>
      <c r="BI424" s="481"/>
      <c r="BJ424" s="481"/>
      <c r="BK424" s="481"/>
      <c r="BL424" s="481"/>
      <c r="BM424" s="481"/>
      <c r="BN424" s="481"/>
      <c r="BO424" s="481"/>
      <c r="BP424" s="481"/>
      <c r="BQ424" s="481"/>
      <c r="BR424" s="481"/>
      <c r="BS424" s="481"/>
      <c r="BT424" s="481"/>
      <c r="BU424" s="481"/>
      <c r="BV424" s="481"/>
      <c r="BW424" s="481"/>
      <c r="BX424" s="481"/>
    </row>
    <row r="425" spans="1:76" ht="18" hidden="1" customHeight="1" x14ac:dyDescent="0.2">
      <c r="A425" s="186"/>
      <c r="B425" s="1585" t="str">
        <f t="shared" si="79"/>
        <v/>
      </c>
      <c r="C425" s="1586"/>
      <c r="G425" s="1588">
        <f>IF($B425="",0,IF(G$408=1,0,HLOOKUP($B425,STORICO!$J$149:$AI$199,H$426,FALSE)))</f>
        <v>0</v>
      </c>
      <c r="H425" s="1589"/>
      <c r="I425" s="1590"/>
      <c r="J425" s="1588">
        <f>IF($B425="",0,IF(J$408=1,0,HLOOKUP($B425,STORICO!$J$149:$AI$199,K$426,FALSE)))</f>
        <v>0</v>
      </c>
      <c r="K425" s="1589"/>
      <c r="L425" s="1590"/>
      <c r="M425" s="1588">
        <f>IF($B425="",0,IF(M$408=1,0,HLOOKUP($B425,STORICO!$J$149:$AI$199,N$426,FALSE)))</f>
        <v>0</v>
      </c>
      <c r="N425" s="1589"/>
      <c r="O425" s="1590"/>
      <c r="P425" s="1588">
        <f>IF($B425="",0,IF(P$408=1,0,HLOOKUP($B425,STORICO!$J$149:$AI$199,Q$426,FALSE)))</f>
        <v>0</v>
      </c>
      <c r="Q425" s="1589"/>
      <c r="R425" s="1590"/>
      <c r="S425" s="1588">
        <f>IF($B425="",0,IF(S$408=1,0,HLOOKUP($B425,STORICO!$J$149:$AI$199,T$426,FALSE)))</f>
        <v>0</v>
      </c>
      <c r="T425" s="1589"/>
      <c r="U425" s="1590"/>
      <c r="V425" s="1588">
        <f>IF($B425="",0,IF(V$408=1,0,HLOOKUP($B425,STORICO!$J$149:$AI$199,W$426,FALSE)))</f>
        <v>0</v>
      </c>
      <c r="W425" s="1589"/>
      <c r="X425" s="1590"/>
      <c r="Y425" s="1588">
        <f>IF($B425="",0,IF(Y$408=1,0,HLOOKUP($B425,STORICO!$J$149:$AI$199,Z$426,FALSE)))</f>
        <v>0</v>
      </c>
      <c r="Z425" s="1589"/>
      <c r="AA425" s="1590"/>
      <c r="AB425" s="1588">
        <f>IF($B425="",0,IF(AB$408=1,0,HLOOKUP($B425,STORICO!$J$149:$AI$199,AC$426,FALSE)))</f>
        <v>0</v>
      </c>
      <c r="AC425" s="1589"/>
      <c r="AD425" s="1590"/>
      <c r="AE425" s="1588">
        <f>IF($B425="",0,IF(AE$408=1,0,HLOOKUP($B425,STORICO!$J$149:$AI$199,AF$426,FALSE)))</f>
        <v>0</v>
      </c>
      <c r="AF425" s="1589"/>
      <c r="AG425" s="1590"/>
      <c r="AH425" s="1588">
        <f>IF($B425="",0,IF(AH$408=1,0,HLOOKUP($B425,STORICO!$J$149:$AI$199,AI$426,FALSE)))</f>
        <v>0</v>
      </c>
      <c r="AI425" s="1589"/>
      <c r="AJ425" s="1590"/>
      <c r="AK425" s="1588">
        <f>IF($B425="",0,IF(AK$408=1,0,HLOOKUP($B425,STORICO!$J$149:$AI$199,AL$426,FALSE)))</f>
        <v>0</v>
      </c>
      <c r="AL425" s="1589"/>
      <c r="AM425" s="1590"/>
      <c r="AN425" s="48"/>
      <c r="AO425" s="481"/>
      <c r="AP425" s="481"/>
      <c r="AQ425" s="481"/>
      <c r="AR425" s="481"/>
      <c r="AS425" s="481"/>
      <c r="AT425" s="481"/>
      <c r="AU425" s="481"/>
      <c r="AV425" s="481"/>
      <c r="AW425" s="481"/>
      <c r="AX425" s="481"/>
      <c r="AY425" s="481"/>
      <c r="AZ425" s="481"/>
      <c r="BA425" s="481"/>
      <c r="BB425" s="481"/>
      <c r="BC425" s="481"/>
      <c r="BD425" s="481"/>
      <c r="BE425" s="481"/>
      <c r="BF425" s="481"/>
      <c r="BG425" s="481"/>
      <c r="BH425" s="481"/>
      <c r="BI425" s="481"/>
      <c r="BJ425" s="481"/>
      <c r="BK425" s="481"/>
      <c r="BL425" s="481"/>
      <c r="BM425" s="481"/>
      <c r="BN425" s="481"/>
      <c r="BO425" s="481"/>
      <c r="BP425" s="481"/>
      <c r="BQ425" s="481"/>
      <c r="BR425" s="481"/>
      <c r="BS425" s="481"/>
      <c r="BT425" s="481"/>
      <c r="BU425" s="481"/>
      <c r="BV425" s="481"/>
      <c r="BW425" s="481"/>
      <c r="BX425" s="481"/>
    </row>
    <row r="426" spans="1:76" ht="15.75" hidden="1" customHeight="1" x14ac:dyDescent="0.2">
      <c r="A426" s="48"/>
      <c r="B426" s="48"/>
      <c r="C426" s="48"/>
      <c r="D426" s="813"/>
      <c r="E426" s="1587">
        <v>7</v>
      </c>
      <c r="F426" s="1587"/>
      <c r="G426" s="813"/>
      <c r="H426" s="1587">
        <f>E426+4</f>
        <v>11</v>
      </c>
      <c r="I426" s="1587"/>
      <c r="J426" s="813"/>
      <c r="K426" s="1587">
        <f>H426+4</f>
        <v>15</v>
      </c>
      <c r="L426" s="1587"/>
      <c r="M426" s="813"/>
      <c r="N426" s="1587">
        <f>K426+4</f>
        <v>19</v>
      </c>
      <c r="O426" s="1587"/>
      <c r="P426" s="813"/>
      <c r="Q426" s="1587">
        <f>N426+4</f>
        <v>23</v>
      </c>
      <c r="R426" s="1587"/>
      <c r="S426" s="813"/>
      <c r="T426" s="1587">
        <f>Q426+4</f>
        <v>27</v>
      </c>
      <c r="U426" s="1587"/>
      <c r="V426" s="813"/>
      <c r="W426" s="1587">
        <f>T426+4</f>
        <v>31</v>
      </c>
      <c r="X426" s="1587"/>
      <c r="Y426" s="813"/>
      <c r="Z426" s="1587">
        <f>W426+4</f>
        <v>35</v>
      </c>
      <c r="AA426" s="1587"/>
      <c r="AB426" s="813"/>
      <c r="AC426" s="1587">
        <f>Z426+4</f>
        <v>39</v>
      </c>
      <c r="AD426" s="1587"/>
      <c r="AE426" s="813"/>
      <c r="AF426" s="1587">
        <f>AC426+4</f>
        <v>43</v>
      </c>
      <c r="AG426" s="1587"/>
      <c r="AH426" s="813"/>
      <c r="AI426" s="1587">
        <f>AF426+4</f>
        <v>47</v>
      </c>
      <c r="AJ426" s="1587"/>
      <c r="AK426" s="813"/>
      <c r="AL426" s="1587">
        <f>AI426+4</f>
        <v>51</v>
      </c>
      <c r="AM426" s="1587"/>
      <c r="AN426" s="48"/>
      <c r="AO426" s="481"/>
      <c r="AP426" s="481"/>
      <c r="AQ426" s="481"/>
      <c r="AR426" s="481"/>
      <c r="AS426" s="481"/>
      <c r="AT426" s="481"/>
      <c r="AU426" s="481"/>
      <c r="AV426" s="481"/>
      <c r="AW426" s="481"/>
      <c r="AX426" s="481"/>
      <c r="AY426" s="481"/>
      <c r="AZ426" s="481"/>
    </row>
    <row r="427" spans="1:76" hidden="1" x14ac:dyDescent="0.2">
      <c r="A427" s="48"/>
      <c r="B427" s="48"/>
      <c r="C427" s="48"/>
      <c r="D427" s="48"/>
      <c r="E427" s="48"/>
      <c r="F427" s="48"/>
      <c r="G427" s="48"/>
      <c r="H427" s="48"/>
      <c r="I427" s="48"/>
      <c r="J427" s="48"/>
      <c r="K427" s="48"/>
      <c r="L427" s="48"/>
      <c r="M427" s="48"/>
      <c r="N427" s="48"/>
      <c r="O427" s="48"/>
      <c r="P427" s="48"/>
      <c r="Q427" s="48"/>
      <c r="R427" s="48"/>
      <c r="S427" s="48"/>
      <c r="T427" s="48"/>
      <c r="U427" s="48"/>
      <c r="V427" s="48"/>
      <c r="W427" s="48"/>
      <c r="X427" s="48"/>
      <c r="Y427" s="48"/>
      <c r="Z427" s="48"/>
      <c r="AA427" s="48"/>
      <c r="AB427" s="48"/>
      <c r="AC427" s="48"/>
      <c r="AD427" s="48"/>
      <c r="AE427" s="48"/>
      <c r="AF427" s="48"/>
      <c r="AG427" s="48"/>
      <c r="AH427" s="48"/>
      <c r="AI427" s="48"/>
      <c r="AJ427" s="48"/>
      <c r="AK427" s="48"/>
      <c r="AL427" s="48"/>
      <c r="AM427" s="48"/>
      <c r="AN427" s="48"/>
      <c r="AO427" s="481"/>
      <c r="AP427" s="481"/>
      <c r="AQ427" s="481"/>
      <c r="AR427" s="481"/>
      <c r="AS427" s="481"/>
      <c r="AT427" s="481"/>
      <c r="AU427" s="481"/>
      <c r="AV427" s="481"/>
      <c r="AW427" s="481"/>
      <c r="AX427" s="481"/>
      <c r="AY427" s="481"/>
      <c r="AZ427" s="481"/>
    </row>
    <row r="428" spans="1:76" ht="14.25" x14ac:dyDescent="0.2">
      <c r="A428" s="48"/>
      <c r="B428" s="48"/>
      <c r="C428" s="48"/>
      <c r="D428" s="48"/>
      <c r="E428" s="414"/>
      <c r="F428" s="48"/>
      <c r="G428" s="48"/>
      <c r="H428" s="48"/>
      <c r="I428" s="48"/>
      <c r="J428" s="48"/>
      <c r="K428" s="48"/>
      <c r="L428" s="48"/>
      <c r="M428" s="48"/>
      <c r="N428" s="48"/>
      <c r="O428" s="48"/>
      <c r="P428" s="48"/>
      <c r="Q428" s="48"/>
      <c r="R428" s="48"/>
      <c r="S428" s="48"/>
      <c r="T428" s="48"/>
      <c r="U428" s="48"/>
      <c r="V428" s="48"/>
      <c r="W428" s="48"/>
      <c r="X428" s="48"/>
      <c r="Y428" s="48"/>
      <c r="Z428" s="48"/>
      <c r="AA428" s="48"/>
      <c r="AB428" s="48"/>
      <c r="AC428" s="48"/>
      <c r="AD428" s="48"/>
      <c r="AE428" s="48"/>
      <c r="AF428" s="48"/>
      <c r="AG428" s="48"/>
      <c r="AH428" s="48"/>
      <c r="AI428" s="48"/>
      <c r="AJ428" s="48"/>
      <c r="AK428" s="48"/>
      <c r="AL428" s="48"/>
      <c r="AM428" s="48"/>
      <c r="AN428" s="48"/>
      <c r="AO428" s="481"/>
      <c r="AP428" s="481"/>
      <c r="AQ428" s="481"/>
      <c r="AR428" s="481"/>
      <c r="AS428" s="481"/>
      <c r="AT428" s="481"/>
      <c r="AU428" s="481"/>
      <c r="AV428" s="481"/>
      <c r="AW428" s="481"/>
      <c r="AX428" s="481"/>
      <c r="AY428" s="481"/>
      <c r="AZ428" s="481"/>
    </row>
    <row r="429" spans="1:76" x14ac:dyDescent="0.2">
      <c r="A429" s="48"/>
      <c r="B429" s="48"/>
      <c r="C429" s="48"/>
      <c r="D429" s="1294" t="s">
        <v>57</v>
      </c>
      <c r="E429" s="48"/>
      <c r="F429" s="48"/>
      <c r="G429" s="48"/>
      <c r="H429" s="48"/>
      <c r="I429" s="48"/>
      <c r="J429" s="48"/>
      <c r="K429" s="48"/>
      <c r="L429" s="48"/>
      <c r="M429" s="48"/>
      <c r="N429" s="48"/>
      <c r="O429" s="48"/>
      <c r="P429" s="48"/>
      <c r="Q429" s="48"/>
      <c r="R429" s="48"/>
      <c r="S429" s="48"/>
      <c r="T429" s="48"/>
      <c r="U429" s="48"/>
      <c r="V429" s="48"/>
      <c r="W429" s="1294" t="s">
        <v>128</v>
      </c>
      <c r="X429" s="48"/>
      <c r="Y429" s="48"/>
      <c r="Z429" s="48"/>
      <c r="AA429" s="48"/>
      <c r="AB429" s="48"/>
      <c r="AC429" s="48"/>
      <c r="AD429" s="48"/>
      <c r="AE429" s="48"/>
      <c r="AF429" s="48"/>
      <c r="AG429" s="48"/>
      <c r="AH429" s="48"/>
      <c r="AI429" s="48"/>
      <c r="AJ429" s="48"/>
      <c r="AK429" s="48"/>
      <c r="AL429" s="48"/>
      <c r="AM429" s="48"/>
      <c r="AN429" s="48"/>
      <c r="AO429" s="481"/>
      <c r="AP429" s="481"/>
      <c r="AQ429" s="481"/>
      <c r="AR429" s="481"/>
      <c r="AS429" s="481"/>
      <c r="AT429" s="481"/>
      <c r="AU429" s="481"/>
      <c r="AV429" s="481"/>
      <c r="AW429" s="481"/>
    </row>
    <row r="430" spans="1:76" x14ac:dyDescent="0.2">
      <c r="A430" s="48"/>
      <c r="B430" s="48"/>
      <c r="C430" s="48"/>
      <c r="D430" s="1372" t="s">
        <v>55</v>
      </c>
      <c r="E430" s="48"/>
      <c r="F430" s="48"/>
      <c r="G430" s="48"/>
      <c r="H430" s="48"/>
      <c r="I430" s="48"/>
      <c r="J430" s="48"/>
      <c r="K430" s="48"/>
      <c r="L430" s="48"/>
      <c r="M430" s="48"/>
      <c r="N430" s="48"/>
      <c r="O430" s="48"/>
      <c r="P430" s="48"/>
      <c r="Q430" s="48"/>
      <c r="R430" s="48"/>
      <c r="S430" s="48"/>
      <c r="T430" s="48"/>
      <c r="U430" s="48"/>
      <c r="V430" s="48"/>
      <c r="W430" s="1294" t="s">
        <v>129</v>
      </c>
      <c r="X430" s="48"/>
      <c r="Y430" s="48"/>
      <c r="Z430" s="48"/>
      <c r="AA430" s="48"/>
      <c r="AB430" s="48"/>
      <c r="AC430" s="48"/>
      <c r="AD430" s="48"/>
      <c r="AE430" s="48"/>
      <c r="AF430" s="48"/>
      <c r="AG430" s="48"/>
      <c r="AH430" s="48"/>
      <c r="AI430" s="48"/>
      <c r="AJ430" s="48"/>
      <c r="AK430" s="48"/>
      <c r="AL430" s="48"/>
      <c r="AM430" s="48"/>
      <c r="AN430" s="48"/>
      <c r="AO430" s="481"/>
      <c r="AP430" s="481"/>
      <c r="AQ430" s="481"/>
      <c r="AR430" s="481"/>
      <c r="AS430" s="481"/>
      <c r="AT430" s="481"/>
      <c r="AU430" s="481"/>
      <c r="AV430" s="481"/>
      <c r="AW430" s="481"/>
    </row>
    <row r="431" spans="1:76" x14ac:dyDescent="0.2">
      <c r="A431" s="48"/>
      <c r="B431" s="48"/>
      <c r="C431" s="48"/>
      <c r="D431" s="1294" t="s">
        <v>50</v>
      </c>
      <c r="E431" s="48"/>
      <c r="F431" s="48"/>
      <c r="G431" s="48"/>
      <c r="H431" s="48"/>
      <c r="I431" s="48"/>
      <c r="J431" s="48"/>
      <c r="K431" s="48"/>
      <c r="L431" s="48"/>
      <c r="M431" s="48"/>
      <c r="N431" s="48"/>
      <c r="O431" s="48"/>
      <c r="P431" s="48"/>
      <c r="Q431" s="48"/>
      <c r="R431" s="48"/>
      <c r="S431" s="48"/>
      <c r="T431" s="48"/>
      <c r="U431" s="48"/>
      <c r="V431" s="48"/>
      <c r="W431" s="1294" t="s">
        <v>130</v>
      </c>
      <c r="X431" s="48"/>
      <c r="Y431" s="48"/>
      <c r="Z431" s="48"/>
      <c r="AA431" s="48"/>
      <c r="AB431" s="48"/>
      <c r="AC431" s="48"/>
      <c r="AD431" s="48"/>
      <c r="AE431" s="48"/>
      <c r="AF431" s="48"/>
      <c r="AG431" s="48"/>
      <c r="AH431" s="48"/>
      <c r="AI431" s="48"/>
      <c r="AJ431" s="48"/>
      <c r="AK431" s="48"/>
      <c r="AL431" s="48"/>
      <c r="AM431" s="48"/>
      <c r="AN431" s="48"/>
      <c r="AO431" s="481"/>
      <c r="AP431" s="481"/>
      <c r="AQ431" s="481"/>
      <c r="AR431" s="481"/>
      <c r="AS431" s="481"/>
      <c r="AT431" s="481"/>
      <c r="AU431" s="481"/>
      <c r="AV431" s="481"/>
      <c r="AW431" s="481"/>
    </row>
    <row r="432" spans="1:76" x14ac:dyDescent="0.2">
      <c r="A432" s="48"/>
      <c r="B432" s="48"/>
      <c r="C432" s="48"/>
      <c r="D432" s="1294"/>
      <c r="E432" s="48"/>
      <c r="F432" s="48"/>
      <c r="G432" s="48"/>
      <c r="H432" s="48"/>
      <c r="I432" s="48"/>
      <c r="J432" s="48"/>
      <c r="K432" s="48"/>
      <c r="L432" s="48"/>
      <c r="M432" s="48"/>
      <c r="N432" s="48"/>
      <c r="O432" s="48"/>
      <c r="P432" s="48"/>
      <c r="Q432" s="48"/>
      <c r="R432" s="48"/>
      <c r="S432" s="48"/>
      <c r="T432" s="48"/>
      <c r="U432" s="48"/>
      <c r="V432" s="48"/>
      <c r="W432" s="1294" t="s">
        <v>131</v>
      </c>
      <c r="X432" s="48"/>
      <c r="Y432" s="48"/>
      <c r="Z432" s="48"/>
      <c r="AA432" s="48"/>
      <c r="AB432" s="48"/>
      <c r="AC432" s="48"/>
      <c r="AD432" s="48"/>
      <c r="AE432" s="48"/>
      <c r="AF432" s="48"/>
      <c r="AG432" s="48"/>
      <c r="AH432" s="48"/>
      <c r="AI432" s="48"/>
      <c r="AJ432" s="48"/>
      <c r="AK432" s="48"/>
      <c r="AL432" s="48"/>
      <c r="AM432" s="48"/>
      <c r="AN432" s="48"/>
      <c r="AO432" s="481"/>
      <c r="AP432" s="481"/>
      <c r="AQ432" s="481"/>
      <c r="AR432" s="481"/>
      <c r="AS432" s="481"/>
      <c r="AT432" s="481"/>
      <c r="AU432" s="481"/>
      <c r="AV432" s="481"/>
      <c r="AW432" s="481"/>
    </row>
    <row r="433" spans="1:49" x14ac:dyDescent="0.2">
      <c r="A433" s="48"/>
      <c r="B433" s="48"/>
      <c r="C433" s="48"/>
      <c r="D433" s="1295" t="s">
        <v>51</v>
      </c>
      <c r="E433" s="48"/>
      <c r="F433" s="48"/>
      <c r="G433" s="48"/>
      <c r="H433" s="48"/>
      <c r="I433" s="48"/>
      <c r="J433" s="48"/>
      <c r="K433" s="48"/>
      <c r="L433" s="48"/>
      <c r="M433" s="48"/>
      <c r="N433" s="48"/>
      <c r="O433" s="48"/>
      <c r="P433" s="48"/>
      <c r="Q433" s="48"/>
      <c r="R433" s="48"/>
      <c r="S433" s="48"/>
      <c r="T433" s="48"/>
      <c r="U433" s="48"/>
      <c r="V433" s="48"/>
      <c r="W433" s="2014" t="s">
        <v>571</v>
      </c>
      <c r="X433" s="2014"/>
      <c r="Y433" s="2014"/>
      <c r="Z433" s="2014"/>
      <c r="AA433" s="48"/>
      <c r="AB433" s="48"/>
      <c r="AC433" s="48"/>
      <c r="AD433" s="48"/>
      <c r="AE433" s="48"/>
      <c r="AF433" s="48"/>
      <c r="AG433" s="48"/>
      <c r="AH433" s="48"/>
      <c r="AI433" s="48"/>
      <c r="AJ433" s="48"/>
      <c r="AK433" s="48"/>
      <c r="AL433" s="48"/>
      <c r="AM433" s="48"/>
      <c r="AN433" s="48"/>
      <c r="AO433" s="481"/>
      <c r="AP433" s="481"/>
      <c r="AQ433" s="481"/>
      <c r="AR433" s="481"/>
      <c r="AS433" s="481"/>
      <c r="AT433" s="481"/>
      <c r="AU433" s="481"/>
      <c r="AV433" s="481"/>
      <c r="AW433" s="481"/>
    </row>
    <row r="434" spans="1:49" x14ac:dyDescent="0.2">
      <c r="A434" s="48"/>
      <c r="B434" s="48"/>
      <c r="C434" s="48"/>
      <c r="D434" s="1295" t="s">
        <v>124</v>
      </c>
      <c r="E434" s="48"/>
      <c r="F434" s="48"/>
      <c r="G434" s="48"/>
      <c r="H434" s="48"/>
      <c r="I434" s="48"/>
      <c r="J434" s="48"/>
      <c r="K434" s="48"/>
      <c r="L434" s="48"/>
      <c r="M434" s="48"/>
      <c r="N434" s="48"/>
      <c r="O434" s="48"/>
      <c r="P434" s="48"/>
      <c r="Q434" s="48"/>
      <c r="R434" s="48"/>
      <c r="S434" s="48"/>
      <c r="T434" s="48"/>
      <c r="U434" s="48"/>
      <c r="V434" s="48"/>
      <c r="W434" s="48"/>
      <c r="X434" s="48"/>
      <c r="Y434" s="48"/>
      <c r="Z434" s="48"/>
      <c r="AA434" s="48"/>
      <c r="AB434" s="48"/>
      <c r="AC434" s="48"/>
      <c r="AD434" s="48"/>
      <c r="AE434" s="48"/>
      <c r="AF434" s="48"/>
      <c r="AG434" s="48"/>
      <c r="AH434" s="48"/>
      <c r="AI434" s="48"/>
      <c r="AJ434" s="48"/>
      <c r="AK434" s="48"/>
      <c r="AL434" s="48"/>
      <c r="AM434" s="48"/>
      <c r="AN434" s="48"/>
      <c r="AO434" s="481"/>
      <c r="AP434" s="481"/>
      <c r="AQ434" s="481"/>
      <c r="AR434" s="481"/>
      <c r="AS434" s="481"/>
      <c r="AT434" s="481"/>
      <c r="AU434" s="481"/>
      <c r="AV434" s="481"/>
      <c r="AW434" s="481"/>
    </row>
    <row r="435" spans="1:49" x14ac:dyDescent="0.2">
      <c r="A435" s="48"/>
      <c r="B435" s="48"/>
      <c r="C435" s="48"/>
      <c r="D435" s="1295" t="s">
        <v>127</v>
      </c>
      <c r="E435" s="48"/>
      <c r="F435" s="48"/>
      <c r="G435" s="48"/>
      <c r="H435" s="48"/>
      <c r="I435" s="48"/>
      <c r="J435" s="48"/>
      <c r="K435" s="48"/>
      <c r="L435" s="48"/>
      <c r="M435" s="48"/>
      <c r="N435" s="48"/>
      <c r="O435" s="48"/>
      <c r="P435" s="48"/>
      <c r="Q435" s="48"/>
      <c r="R435" s="48"/>
      <c r="S435" s="48"/>
      <c r="T435" s="48"/>
      <c r="U435" s="48"/>
      <c r="V435" s="48"/>
      <c r="W435" s="1295" t="s">
        <v>10</v>
      </c>
      <c r="X435" s="48"/>
      <c r="Y435" s="48"/>
      <c r="Z435" s="48"/>
      <c r="AA435" s="48"/>
      <c r="AB435" s="48"/>
      <c r="AC435" s="48"/>
      <c r="AD435" s="48"/>
      <c r="AE435" s="48"/>
      <c r="AF435" s="48"/>
      <c r="AG435" s="48"/>
      <c r="AH435" s="48"/>
      <c r="AI435" s="48"/>
      <c r="AJ435" s="48"/>
      <c r="AK435" s="48"/>
      <c r="AL435" s="48"/>
      <c r="AM435" s="48"/>
      <c r="AN435" s="48"/>
      <c r="AO435" s="481"/>
      <c r="AP435" s="481"/>
      <c r="AQ435" s="481"/>
      <c r="AR435" s="481"/>
      <c r="AS435" s="481"/>
      <c r="AT435" s="481"/>
      <c r="AU435" s="481"/>
      <c r="AV435" s="481"/>
      <c r="AW435" s="481"/>
    </row>
    <row r="436" spans="1:49" x14ac:dyDescent="0.2">
      <c r="A436" s="48"/>
      <c r="B436" s="48"/>
      <c r="C436" s="48"/>
      <c r="D436" s="1294" t="s">
        <v>52</v>
      </c>
      <c r="E436" s="48"/>
      <c r="F436" s="48"/>
      <c r="G436" s="48"/>
      <c r="H436" s="48"/>
      <c r="I436" s="48"/>
      <c r="J436" s="48"/>
      <c r="K436" s="48"/>
      <c r="L436" s="48"/>
      <c r="M436" s="48"/>
      <c r="N436" s="48"/>
      <c r="O436" s="48"/>
      <c r="P436" s="48"/>
      <c r="Q436" s="48"/>
      <c r="R436" s="48"/>
      <c r="S436" s="48"/>
      <c r="T436" s="48"/>
      <c r="U436" s="48"/>
      <c r="V436" s="48"/>
      <c r="W436" s="1295" t="s">
        <v>11</v>
      </c>
      <c r="X436" s="48"/>
      <c r="Y436" s="48"/>
      <c r="Z436" s="48"/>
      <c r="AA436" s="48"/>
      <c r="AB436" s="48"/>
      <c r="AC436" s="48"/>
      <c r="AD436" s="48"/>
      <c r="AE436" s="48"/>
      <c r="AF436" s="48"/>
      <c r="AG436" s="48"/>
      <c r="AH436" s="48"/>
      <c r="AI436" s="48"/>
      <c r="AJ436" s="48"/>
      <c r="AK436" s="48"/>
      <c r="AL436" s="48"/>
      <c r="AM436" s="48"/>
      <c r="AN436" s="48"/>
      <c r="AO436" s="481"/>
      <c r="AP436" s="481"/>
      <c r="AQ436" s="481"/>
      <c r="AR436" s="481"/>
      <c r="AS436" s="481"/>
      <c r="AT436" s="481"/>
      <c r="AU436" s="481"/>
      <c r="AV436" s="481"/>
      <c r="AW436" s="481"/>
    </row>
    <row r="437" spans="1:49" x14ac:dyDescent="0.2">
      <c r="A437" s="48"/>
      <c r="B437" s="48"/>
      <c r="C437" s="48"/>
      <c r="D437" s="48"/>
      <c r="E437" s="48"/>
      <c r="F437" s="48"/>
      <c r="G437" s="48"/>
      <c r="H437" s="48"/>
      <c r="I437" s="48"/>
      <c r="J437" s="48"/>
      <c r="K437" s="48"/>
      <c r="L437" s="48"/>
      <c r="M437" s="48"/>
      <c r="N437" s="48"/>
      <c r="O437" s="48"/>
      <c r="P437" s="48"/>
      <c r="Q437" s="48"/>
      <c r="R437" s="48"/>
      <c r="S437" s="48"/>
      <c r="T437" s="48"/>
      <c r="U437" s="48"/>
      <c r="V437" s="48"/>
      <c r="W437" s="1295" t="s">
        <v>132</v>
      </c>
      <c r="X437" s="48"/>
      <c r="Y437" s="48"/>
      <c r="Z437" s="48"/>
      <c r="AA437" s="48"/>
      <c r="AB437" s="48"/>
      <c r="AC437" s="48"/>
      <c r="AD437" s="48"/>
      <c r="AE437" s="48"/>
      <c r="AF437" s="48"/>
      <c r="AG437" s="48"/>
      <c r="AH437" s="48"/>
      <c r="AI437" s="48"/>
      <c r="AJ437" s="48"/>
      <c r="AK437" s="48"/>
      <c r="AL437" s="48"/>
      <c r="AM437" s="48"/>
      <c r="AN437" s="48"/>
      <c r="AO437" s="481"/>
      <c r="AP437" s="481"/>
      <c r="AQ437" s="481"/>
      <c r="AR437" s="481"/>
      <c r="AS437" s="481"/>
      <c r="AT437" s="481"/>
      <c r="AU437" s="481"/>
      <c r="AV437" s="481"/>
      <c r="AW437" s="481"/>
    </row>
    <row r="438" spans="1:49" x14ac:dyDescent="0.2">
      <c r="A438" s="48"/>
      <c r="B438" s="48"/>
      <c r="C438" s="48"/>
      <c r="D438" s="1402" t="s">
        <v>53</v>
      </c>
      <c r="E438" s="48"/>
      <c r="F438" s="48"/>
      <c r="G438" s="48"/>
      <c r="H438" s="48"/>
      <c r="I438" s="48"/>
      <c r="J438" s="48"/>
      <c r="K438" s="48"/>
      <c r="L438" s="48"/>
      <c r="M438" s="48"/>
      <c r="N438" s="48"/>
      <c r="O438" s="48"/>
      <c r="P438" s="48"/>
      <c r="Q438" s="48"/>
      <c r="R438" s="48"/>
      <c r="S438" s="48"/>
      <c r="T438" s="48"/>
      <c r="U438" s="48"/>
      <c r="V438" s="48"/>
      <c r="W438" s="48"/>
      <c r="X438" s="48"/>
      <c r="Y438" s="48"/>
      <c r="Z438" s="48"/>
      <c r="AA438" s="48"/>
      <c r="AB438" s="48"/>
      <c r="AC438" s="48"/>
      <c r="AD438" s="48"/>
      <c r="AE438" s="48"/>
      <c r="AF438" s="48"/>
      <c r="AG438" s="48"/>
      <c r="AH438" s="48"/>
      <c r="AI438" s="48"/>
      <c r="AJ438" s="48"/>
      <c r="AK438" s="48"/>
      <c r="AL438" s="48"/>
      <c r="AM438" s="48"/>
      <c r="AN438" s="48"/>
      <c r="AO438" s="481"/>
      <c r="AP438" s="481"/>
      <c r="AQ438" s="481"/>
      <c r="AR438" s="481"/>
      <c r="AS438" s="481"/>
      <c r="AT438" s="481"/>
      <c r="AU438" s="481"/>
      <c r="AV438" s="481"/>
      <c r="AW438" s="481"/>
    </row>
    <row r="439" spans="1:49" x14ac:dyDescent="0.2">
      <c r="A439" s="48"/>
      <c r="B439" s="48"/>
      <c r="C439" s="48"/>
      <c r="D439" s="1403" t="s">
        <v>56</v>
      </c>
      <c r="E439" s="48"/>
      <c r="F439" s="48"/>
      <c r="G439" s="48"/>
      <c r="H439" s="48"/>
      <c r="I439" s="48"/>
      <c r="J439" s="48"/>
      <c r="K439" s="48"/>
      <c r="L439" s="48"/>
      <c r="M439" s="48"/>
      <c r="N439" s="48"/>
      <c r="O439" s="48"/>
      <c r="P439" s="48"/>
      <c r="Q439" s="48"/>
      <c r="R439" s="48"/>
      <c r="S439" s="48"/>
      <c r="T439" s="48"/>
      <c r="U439" s="48"/>
      <c r="V439" s="48"/>
      <c r="W439" s="1295" t="s">
        <v>133</v>
      </c>
      <c r="X439" s="48"/>
      <c r="Y439" s="48"/>
      <c r="Z439" s="48"/>
      <c r="AA439" s="48"/>
      <c r="AB439" s="48"/>
      <c r="AC439" s="48"/>
      <c r="AD439" s="48"/>
      <c r="AE439" s="48"/>
      <c r="AF439" s="48"/>
      <c r="AG439" s="48"/>
      <c r="AH439" s="48"/>
      <c r="AI439" s="48"/>
      <c r="AJ439" s="48"/>
      <c r="AK439" s="48"/>
      <c r="AL439" s="48"/>
      <c r="AM439" s="48"/>
      <c r="AN439" s="48"/>
      <c r="AO439" s="481"/>
      <c r="AP439" s="481"/>
      <c r="AQ439" s="481"/>
      <c r="AR439" s="481"/>
      <c r="AS439" s="481"/>
      <c r="AT439" s="481"/>
      <c r="AU439" s="481"/>
      <c r="AV439" s="481"/>
      <c r="AW439" s="481"/>
    </row>
    <row r="440" spans="1:49" x14ac:dyDescent="0.2">
      <c r="A440" s="48"/>
      <c r="B440" s="48"/>
      <c r="C440" s="48"/>
      <c r="D440" s="48"/>
      <c r="E440" s="48"/>
      <c r="F440" s="48"/>
      <c r="G440" s="48"/>
      <c r="H440" s="48"/>
      <c r="I440" s="48"/>
      <c r="J440" s="48"/>
      <c r="K440" s="48"/>
      <c r="L440" s="48"/>
      <c r="M440" s="48"/>
      <c r="N440" s="48"/>
      <c r="O440" s="48"/>
      <c r="P440" s="48"/>
      <c r="Q440" s="48"/>
      <c r="R440" s="48"/>
      <c r="S440" s="48"/>
      <c r="T440" s="48"/>
      <c r="U440" s="48"/>
      <c r="V440" s="48"/>
      <c r="W440" s="1295" t="s">
        <v>134</v>
      </c>
      <c r="X440" s="48"/>
      <c r="Y440" s="48"/>
      <c r="Z440" s="48"/>
      <c r="AA440" s="48"/>
      <c r="AB440" s="48"/>
      <c r="AC440" s="48"/>
      <c r="AD440" s="48"/>
      <c r="AE440" s="48"/>
      <c r="AF440" s="48"/>
      <c r="AG440" s="48"/>
      <c r="AH440" s="48"/>
      <c r="AI440" s="48"/>
      <c r="AJ440" s="48"/>
      <c r="AK440" s="48"/>
      <c r="AL440" s="48"/>
      <c r="AM440" s="48"/>
      <c r="AN440" s="48"/>
      <c r="AO440" s="481"/>
      <c r="AP440" s="481"/>
      <c r="AQ440" s="481"/>
      <c r="AR440" s="481"/>
      <c r="AS440" s="481"/>
      <c r="AT440" s="481"/>
      <c r="AU440" s="481"/>
      <c r="AV440" s="481"/>
      <c r="AW440" s="481"/>
    </row>
    <row r="441" spans="1:49" x14ac:dyDescent="0.2">
      <c r="A441" s="48"/>
      <c r="B441" s="48"/>
      <c r="C441" s="48"/>
      <c r="D441" s="1295" t="s">
        <v>153</v>
      </c>
      <c r="E441" s="48"/>
      <c r="F441" s="48"/>
      <c r="G441" s="48"/>
      <c r="H441" s="48"/>
      <c r="I441" s="48"/>
      <c r="J441" s="48"/>
      <c r="K441" s="48"/>
      <c r="L441" s="48"/>
      <c r="M441" s="48"/>
      <c r="N441" s="48"/>
      <c r="O441" s="48"/>
      <c r="P441" s="48"/>
      <c r="Q441" s="48"/>
      <c r="R441" s="48"/>
      <c r="S441" s="48"/>
      <c r="T441" s="48"/>
      <c r="U441" s="48"/>
      <c r="V441" s="48"/>
      <c r="W441" s="1398" t="s">
        <v>572</v>
      </c>
      <c r="X441" s="48"/>
      <c r="Y441" s="48"/>
      <c r="Z441" s="48"/>
      <c r="AA441" s="48"/>
      <c r="AB441" s="48"/>
      <c r="AC441" s="48"/>
      <c r="AD441" s="48"/>
      <c r="AE441" s="48"/>
      <c r="AF441" s="48"/>
      <c r="AG441" s="48"/>
      <c r="AH441" s="48"/>
      <c r="AI441" s="48"/>
      <c r="AJ441" s="48"/>
      <c r="AK441" s="48"/>
      <c r="AL441" s="48"/>
      <c r="AM441" s="48"/>
      <c r="AN441" s="48"/>
      <c r="AO441" s="481"/>
      <c r="AP441" s="481"/>
      <c r="AQ441" s="481"/>
      <c r="AR441" s="481"/>
      <c r="AS441" s="481"/>
      <c r="AT441" s="481"/>
      <c r="AU441" s="481"/>
      <c r="AV441" s="481"/>
      <c r="AW441" s="481"/>
    </row>
    <row r="442" spans="1:49" x14ac:dyDescent="0.2">
      <c r="A442" s="48"/>
      <c r="B442" s="48"/>
      <c r="C442" s="48"/>
      <c r="D442" s="1294" t="s">
        <v>54</v>
      </c>
      <c r="E442" s="48"/>
      <c r="F442" s="48"/>
      <c r="G442" s="48"/>
      <c r="H442" s="48"/>
      <c r="I442" s="48"/>
      <c r="J442" s="48"/>
      <c r="K442" s="48"/>
      <c r="L442" s="48"/>
      <c r="M442" s="48"/>
      <c r="N442" s="48"/>
      <c r="O442" s="48"/>
      <c r="P442" s="48"/>
      <c r="Q442" s="48"/>
      <c r="R442" s="48"/>
      <c r="S442" s="48"/>
      <c r="T442" s="48"/>
      <c r="U442" s="48"/>
      <c r="V442" s="48"/>
      <c r="W442" s="48"/>
      <c r="X442" s="48"/>
      <c r="Y442" s="48"/>
      <c r="Z442" s="48"/>
      <c r="AA442" s="48"/>
      <c r="AB442" s="48"/>
      <c r="AC442" s="48"/>
      <c r="AD442" s="48"/>
      <c r="AE442" s="48"/>
      <c r="AF442" s="48"/>
      <c r="AG442" s="48"/>
      <c r="AH442" s="48"/>
      <c r="AI442" s="48"/>
      <c r="AJ442" s="48"/>
      <c r="AK442" s="48"/>
      <c r="AL442" s="48"/>
      <c r="AM442" s="48"/>
      <c r="AN442" s="48"/>
      <c r="AO442" s="481"/>
      <c r="AP442" s="481"/>
      <c r="AQ442" s="481"/>
      <c r="AR442" s="481"/>
      <c r="AS442" s="481"/>
      <c r="AT442" s="481"/>
      <c r="AU442" s="481"/>
      <c r="AV442" s="481"/>
      <c r="AW442" s="481"/>
    </row>
    <row r="443" spans="1:49" x14ac:dyDescent="0.2">
      <c r="A443" s="48"/>
      <c r="B443" s="48"/>
      <c r="C443" s="48"/>
      <c r="D443" s="1294" t="s">
        <v>126</v>
      </c>
      <c r="E443" s="48"/>
      <c r="F443" s="48"/>
      <c r="G443" s="48"/>
      <c r="H443" s="48"/>
      <c r="I443" s="48"/>
      <c r="J443" s="48"/>
      <c r="K443" s="48"/>
      <c r="L443" s="48"/>
      <c r="M443" s="48"/>
      <c r="N443" s="48"/>
      <c r="O443" s="48"/>
      <c r="P443" s="48"/>
      <c r="Q443" s="48"/>
      <c r="R443" s="48"/>
      <c r="S443" s="48"/>
      <c r="T443" s="48"/>
      <c r="U443" s="48"/>
      <c r="V443" s="48"/>
      <c r="W443" s="48"/>
      <c r="X443" s="48"/>
      <c r="Y443" s="48"/>
      <c r="Z443" s="48"/>
      <c r="AA443" s="48"/>
      <c r="AB443" s="48"/>
      <c r="AC443" s="48"/>
      <c r="AD443" s="48"/>
      <c r="AE443" s="48"/>
      <c r="AF443" s="48"/>
      <c r="AG443" s="48"/>
      <c r="AH443" s="48"/>
      <c r="AI443" s="48"/>
      <c r="AJ443" s="48"/>
      <c r="AK443" s="48"/>
      <c r="AL443" s="48"/>
      <c r="AM443" s="48"/>
      <c r="AN443" s="48"/>
      <c r="AO443" s="481"/>
      <c r="AP443" s="481"/>
      <c r="AQ443" s="481"/>
      <c r="AR443" s="481"/>
      <c r="AS443" s="481"/>
      <c r="AT443" s="481"/>
      <c r="AU443" s="481"/>
      <c r="AV443" s="481"/>
      <c r="AW443" s="481"/>
    </row>
    <row r="444" spans="1:49" x14ac:dyDescent="0.2">
      <c r="A444" s="48"/>
      <c r="B444" s="48"/>
      <c r="C444" s="48"/>
      <c r="D444" s="1295"/>
      <c r="E444" s="48"/>
      <c r="F444" s="48"/>
      <c r="G444" s="48"/>
      <c r="H444" s="48"/>
      <c r="I444" s="48"/>
      <c r="J444" s="48"/>
      <c r="K444" s="48"/>
      <c r="L444" s="48"/>
      <c r="M444" s="48"/>
      <c r="N444" s="48"/>
      <c r="O444" s="48"/>
      <c r="P444" s="48"/>
      <c r="Q444" s="48"/>
      <c r="R444" s="48"/>
      <c r="S444" s="48"/>
      <c r="T444" s="48"/>
      <c r="U444" s="48"/>
      <c r="V444" s="48"/>
      <c r="W444" s="48"/>
      <c r="X444" s="48"/>
      <c r="Y444" s="48"/>
      <c r="Z444" s="48"/>
      <c r="AA444" s="48"/>
      <c r="AB444" s="48"/>
      <c r="AC444" s="48"/>
      <c r="AD444" s="48"/>
      <c r="AE444" s="48"/>
      <c r="AF444" s="48"/>
      <c r="AG444" s="48"/>
      <c r="AH444" s="48"/>
      <c r="AI444" s="48"/>
      <c r="AJ444" s="48"/>
      <c r="AK444" s="48"/>
      <c r="AL444" s="48"/>
      <c r="AM444" s="48"/>
      <c r="AN444" s="48"/>
      <c r="AO444" s="481"/>
      <c r="AP444" s="481"/>
      <c r="AQ444" s="481"/>
      <c r="AR444" s="481"/>
      <c r="AS444" s="481"/>
      <c r="AT444" s="481"/>
      <c r="AU444" s="481"/>
      <c r="AV444" s="481"/>
      <c r="AW444" s="481"/>
    </row>
    <row r="445" spans="1:49" x14ac:dyDescent="0.2">
      <c r="A445" s="48"/>
      <c r="B445" s="48"/>
      <c r="C445" s="48"/>
      <c r="D445" s="1294"/>
      <c r="E445" s="48"/>
      <c r="F445" s="48"/>
      <c r="G445" s="48"/>
      <c r="H445" s="48"/>
      <c r="I445" s="48"/>
      <c r="J445" s="48"/>
      <c r="K445" s="48"/>
      <c r="L445" s="48"/>
      <c r="M445" s="48"/>
      <c r="N445" s="48"/>
      <c r="O445" s="48"/>
      <c r="P445" s="48"/>
      <c r="Q445" s="48"/>
      <c r="R445" s="48"/>
      <c r="S445" s="48"/>
      <c r="T445" s="48"/>
      <c r="U445" s="48"/>
      <c r="V445" s="48"/>
      <c r="W445" s="48"/>
      <c r="X445" s="48"/>
      <c r="Y445" s="48"/>
      <c r="Z445" s="48"/>
      <c r="AA445" s="48"/>
      <c r="AB445" s="48"/>
      <c r="AC445" s="48"/>
      <c r="AD445" s="48"/>
      <c r="AE445" s="48"/>
      <c r="AF445" s="48"/>
      <c r="AG445" s="48"/>
      <c r="AH445" s="48"/>
      <c r="AI445" s="48"/>
      <c r="AJ445" s="48"/>
      <c r="AK445" s="48"/>
      <c r="AL445" s="48"/>
      <c r="AM445" s="48"/>
      <c r="AN445" s="48"/>
      <c r="AO445" s="481"/>
      <c r="AP445" s="481"/>
      <c r="AQ445" s="481"/>
      <c r="AR445" s="481"/>
      <c r="AS445" s="481"/>
      <c r="AT445" s="481"/>
      <c r="AU445" s="481"/>
      <c r="AV445" s="481"/>
      <c r="AW445" s="481"/>
    </row>
    <row r="446" spans="1:49" x14ac:dyDescent="0.2">
      <c r="A446" s="48"/>
      <c r="B446" s="48"/>
      <c r="C446" s="48"/>
      <c r="D446" s="1294"/>
      <c r="E446" s="48"/>
      <c r="F446" s="48"/>
      <c r="G446" s="48"/>
      <c r="H446" s="48"/>
      <c r="I446" s="48"/>
      <c r="J446" s="48"/>
      <c r="K446" s="48"/>
      <c r="L446" s="48"/>
      <c r="M446" s="48"/>
      <c r="N446" s="48"/>
      <c r="O446" s="48"/>
      <c r="P446" s="48"/>
      <c r="Q446" s="48"/>
      <c r="R446" s="48"/>
      <c r="S446" s="48"/>
      <c r="T446" s="48"/>
      <c r="U446" s="48"/>
      <c r="V446" s="48"/>
      <c r="W446" s="48"/>
      <c r="X446" s="48"/>
      <c r="Y446" s="48"/>
      <c r="Z446" s="48"/>
      <c r="AA446" s="48"/>
      <c r="AB446" s="48"/>
      <c r="AC446" s="48"/>
      <c r="AD446" s="48"/>
      <c r="AE446" s="48"/>
      <c r="AF446" s="48"/>
      <c r="AG446" s="48"/>
      <c r="AH446" s="48"/>
      <c r="AI446" s="48"/>
      <c r="AJ446" s="48"/>
      <c r="AK446" s="48"/>
      <c r="AL446" s="48"/>
      <c r="AM446" s="48"/>
      <c r="AN446" s="48"/>
      <c r="AO446" s="481"/>
      <c r="AP446" s="481"/>
      <c r="AQ446" s="481"/>
      <c r="AR446" s="481"/>
      <c r="AS446" s="481"/>
      <c r="AT446" s="481"/>
      <c r="AU446" s="481"/>
      <c r="AV446" s="481"/>
      <c r="AW446" s="481"/>
    </row>
    <row r="447" spans="1:49" x14ac:dyDescent="0.2">
      <c r="A447" s="48"/>
      <c r="B447" s="48"/>
      <c r="C447" s="48"/>
      <c r="D447" s="48"/>
      <c r="E447" s="1401"/>
      <c r="F447" s="1401"/>
      <c r="G447" s="1401"/>
      <c r="H447" s="1401"/>
      <c r="I447" s="1401"/>
      <c r="J447" s="1401"/>
      <c r="K447" s="1401"/>
      <c r="L447" s="1401"/>
      <c r="M447" s="1401"/>
      <c r="N447" s="1401"/>
      <c r="O447" s="48"/>
      <c r="P447" s="48"/>
      <c r="Q447" s="48"/>
      <c r="R447" s="48"/>
      <c r="S447" s="48"/>
      <c r="T447" s="48"/>
      <c r="U447" s="48"/>
      <c r="V447" s="48"/>
      <c r="W447" s="48"/>
      <c r="X447" s="48"/>
      <c r="Y447" s="48"/>
      <c r="Z447" s="48"/>
      <c r="AA447" s="48"/>
      <c r="AB447" s="48"/>
      <c r="AC447" s="48"/>
      <c r="AD447" s="48"/>
      <c r="AE447" s="48"/>
      <c r="AF447" s="48"/>
      <c r="AG447" s="48"/>
      <c r="AH447" s="48"/>
      <c r="AI447" s="48"/>
      <c r="AJ447" s="48"/>
      <c r="AK447" s="48"/>
      <c r="AL447" s="48"/>
      <c r="AM447" s="48"/>
      <c r="AN447" s="48"/>
      <c r="AO447" s="481"/>
      <c r="AP447" s="481"/>
      <c r="AQ447" s="481"/>
      <c r="AR447" s="481"/>
      <c r="AS447" s="481"/>
      <c r="AT447" s="481"/>
      <c r="AU447" s="481"/>
      <c r="AV447" s="481"/>
      <c r="AW447" s="481"/>
    </row>
    <row r="448" spans="1:49" x14ac:dyDescent="0.2">
      <c r="A448" s="48"/>
      <c r="B448" s="48"/>
      <c r="C448" s="48"/>
      <c r="D448" s="48"/>
      <c r="E448" s="48"/>
      <c r="F448" s="48"/>
      <c r="G448" s="48"/>
      <c r="H448" s="48"/>
      <c r="I448" s="48"/>
      <c r="J448" s="48"/>
      <c r="K448" s="48"/>
      <c r="L448" s="48"/>
      <c r="M448" s="48"/>
      <c r="N448" s="48"/>
      <c r="O448" s="48"/>
      <c r="P448" s="48"/>
      <c r="Q448" s="48"/>
      <c r="R448" s="48"/>
      <c r="S448" s="48"/>
      <c r="T448" s="48"/>
      <c r="U448" s="48"/>
      <c r="V448" s="48"/>
      <c r="W448" s="48"/>
      <c r="X448" s="48"/>
      <c r="Y448" s="48"/>
      <c r="Z448" s="48"/>
      <c r="AA448" s="48"/>
      <c r="AB448" s="48"/>
      <c r="AC448" s="48"/>
      <c r="AD448" s="48"/>
      <c r="AE448" s="48"/>
      <c r="AF448" s="48"/>
      <c r="AG448" s="48"/>
      <c r="AH448" s="48"/>
      <c r="AI448" s="48"/>
      <c r="AJ448" s="48"/>
      <c r="AK448" s="48"/>
      <c r="AL448" s="48"/>
      <c r="AM448" s="48"/>
      <c r="AN448" s="48"/>
      <c r="AO448" s="481"/>
      <c r="AP448" s="481"/>
      <c r="AQ448" s="481"/>
      <c r="AR448" s="481"/>
      <c r="AS448" s="481"/>
      <c r="AT448" s="481"/>
      <c r="AU448" s="481"/>
      <c r="AV448" s="481"/>
      <c r="AW448" s="481"/>
    </row>
    <row r="449" spans="1:52" x14ac:dyDescent="0.2">
      <c r="A449" s="48"/>
      <c r="B449" s="48"/>
      <c r="C449" s="48"/>
      <c r="D449" s="1295"/>
      <c r="E449" s="48"/>
      <c r="F449" s="48"/>
      <c r="G449" s="48"/>
      <c r="H449" s="48"/>
      <c r="I449" s="48"/>
      <c r="J449" s="48"/>
      <c r="K449" s="48"/>
      <c r="L449" s="48"/>
      <c r="M449" s="48"/>
      <c r="N449" s="48"/>
      <c r="O449" s="48"/>
      <c r="P449" s="48"/>
      <c r="Q449" s="48"/>
      <c r="R449" s="48"/>
      <c r="S449" s="48"/>
      <c r="T449" s="48"/>
      <c r="U449" s="48"/>
      <c r="V449" s="48"/>
      <c r="W449" s="48"/>
      <c r="X449" s="48"/>
      <c r="Y449" s="48"/>
      <c r="Z449" s="48"/>
      <c r="AA449" s="48"/>
      <c r="AB449" s="48"/>
      <c r="AC449" s="48"/>
      <c r="AD449" s="48"/>
      <c r="AE449" s="48"/>
      <c r="AF449" s="48"/>
      <c r="AG449" s="48"/>
      <c r="AH449" s="48"/>
      <c r="AI449" s="48"/>
      <c r="AJ449" s="48"/>
      <c r="AK449" s="48"/>
      <c r="AL449" s="48"/>
      <c r="AM449" s="48"/>
      <c r="AN449" s="48"/>
      <c r="AO449" s="481"/>
      <c r="AP449" s="481"/>
      <c r="AQ449" s="481"/>
      <c r="AR449" s="481"/>
      <c r="AS449" s="481"/>
      <c r="AT449" s="481"/>
      <c r="AU449" s="481"/>
      <c r="AV449" s="481"/>
      <c r="AW449" s="481"/>
    </row>
    <row r="450" spans="1:52" x14ac:dyDescent="0.2">
      <c r="A450" s="48"/>
      <c r="B450" s="48"/>
      <c r="C450" s="48"/>
      <c r="D450" s="1294"/>
      <c r="E450" s="48"/>
      <c r="F450" s="48"/>
      <c r="G450" s="48"/>
      <c r="H450" s="48"/>
      <c r="I450" s="48"/>
      <c r="J450" s="48"/>
      <c r="K450" s="48"/>
      <c r="L450" s="48"/>
      <c r="M450" s="48"/>
      <c r="N450" s="48"/>
      <c r="O450" s="48"/>
      <c r="P450" s="48"/>
      <c r="Q450" s="48"/>
      <c r="R450" s="48"/>
      <c r="S450" s="48"/>
      <c r="T450" s="48"/>
      <c r="U450" s="48"/>
      <c r="V450" s="48"/>
      <c r="W450" s="48"/>
      <c r="X450" s="48"/>
      <c r="Y450" s="48"/>
      <c r="Z450" s="48"/>
      <c r="AA450" s="48"/>
      <c r="AB450" s="48"/>
      <c r="AC450" s="48"/>
      <c r="AD450" s="48"/>
      <c r="AE450" s="48"/>
      <c r="AF450" s="48"/>
      <c r="AG450" s="48"/>
      <c r="AH450" s="48"/>
      <c r="AI450" s="48"/>
      <c r="AJ450" s="48"/>
      <c r="AK450" s="48"/>
      <c r="AL450" s="48"/>
      <c r="AM450" s="48"/>
      <c r="AN450" s="48"/>
      <c r="AO450" s="481"/>
      <c r="AP450" s="481"/>
      <c r="AQ450" s="481"/>
      <c r="AR450" s="481"/>
      <c r="AS450" s="481"/>
      <c r="AT450" s="481"/>
      <c r="AU450" s="481"/>
      <c r="AV450" s="481"/>
      <c r="AW450" s="481"/>
    </row>
    <row r="451" spans="1:52" x14ac:dyDescent="0.2">
      <c r="A451" s="48"/>
      <c r="B451" s="48"/>
      <c r="C451" s="48"/>
      <c r="D451" s="1294"/>
      <c r="E451" s="48"/>
      <c r="F451" s="48"/>
      <c r="G451" s="48"/>
      <c r="H451" s="48"/>
      <c r="I451" s="48"/>
      <c r="J451" s="48"/>
      <c r="K451" s="48"/>
      <c r="L451" s="48"/>
      <c r="M451" s="48"/>
      <c r="N451" s="48"/>
      <c r="O451" s="48"/>
      <c r="P451" s="48"/>
      <c r="Q451" s="48"/>
      <c r="R451" s="48"/>
      <c r="S451" s="48"/>
      <c r="T451" s="48"/>
      <c r="U451" s="48"/>
      <c r="V451" s="48"/>
      <c r="W451" s="48"/>
      <c r="X451" s="48"/>
      <c r="Y451" s="48"/>
      <c r="Z451" s="48"/>
      <c r="AA451" s="48"/>
      <c r="AB451" s="48"/>
      <c r="AC451" s="48"/>
      <c r="AD451" s="48"/>
      <c r="AE451" s="48"/>
      <c r="AF451" s="48"/>
      <c r="AG451" s="48"/>
      <c r="AH451" s="48"/>
      <c r="AI451" s="48"/>
      <c r="AJ451" s="48"/>
      <c r="AK451" s="48"/>
      <c r="AL451" s="48"/>
      <c r="AM451" s="48"/>
      <c r="AN451" s="48"/>
      <c r="AO451" s="481"/>
      <c r="AP451" s="481"/>
      <c r="AQ451" s="481"/>
      <c r="AR451" s="481"/>
      <c r="AS451" s="481"/>
      <c r="AT451" s="481"/>
      <c r="AU451" s="481"/>
      <c r="AV451" s="481"/>
      <c r="AW451" s="481"/>
    </row>
    <row r="452" spans="1:52" x14ac:dyDescent="0.2">
      <c r="A452" s="48"/>
      <c r="B452" s="48"/>
      <c r="C452" s="48"/>
      <c r="D452" s="1294"/>
      <c r="E452" s="48"/>
      <c r="F452" s="48"/>
      <c r="G452" s="48"/>
      <c r="H452" s="48"/>
      <c r="I452" s="48"/>
      <c r="J452" s="48"/>
      <c r="K452" s="48"/>
      <c r="L452" s="48"/>
      <c r="M452" s="48"/>
      <c r="N452" s="48"/>
      <c r="O452" s="48"/>
      <c r="P452" s="48"/>
      <c r="Q452" s="48"/>
      <c r="R452" s="48"/>
      <c r="S452" s="48"/>
      <c r="T452" s="48"/>
      <c r="U452" s="48"/>
      <c r="V452" s="48"/>
      <c r="W452" s="48"/>
      <c r="X452" s="48"/>
      <c r="Y452" s="48"/>
      <c r="Z452" s="48"/>
      <c r="AA452" s="48"/>
      <c r="AB452" s="48"/>
      <c r="AC452" s="48"/>
      <c r="AD452" s="48"/>
      <c r="AE452" s="48"/>
      <c r="AF452" s="48"/>
      <c r="AG452" s="48"/>
      <c r="AH452" s="48"/>
      <c r="AI452" s="48"/>
      <c r="AJ452" s="48"/>
      <c r="AK452" s="48"/>
      <c r="AL452" s="48"/>
      <c r="AM452" s="48"/>
      <c r="AN452" s="48"/>
      <c r="AO452" s="481"/>
      <c r="AP452" s="481"/>
      <c r="AQ452" s="481"/>
      <c r="AR452" s="481"/>
      <c r="AS452" s="481"/>
      <c r="AT452" s="481"/>
      <c r="AU452" s="481"/>
      <c r="AV452" s="481"/>
      <c r="AW452" s="481"/>
    </row>
    <row r="453" spans="1:52" x14ac:dyDescent="0.2">
      <c r="A453" s="48"/>
      <c r="B453" s="48"/>
      <c r="C453" s="48"/>
      <c r="D453" s="48"/>
      <c r="E453" s="48"/>
      <c r="F453" s="48"/>
      <c r="G453" s="48"/>
      <c r="H453" s="48"/>
      <c r="I453" s="48"/>
      <c r="J453" s="48"/>
      <c r="K453" s="48"/>
      <c r="L453" s="48"/>
      <c r="M453" s="48"/>
      <c r="N453" s="48"/>
      <c r="O453" s="48"/>
      <c r="P453" s="48"/>
      <c r="Q453" s="48"/>
      <c r="R453" s="48"/>
      <c r="S453" s="48"/>
      <c r="T453" s="48"/>
      <c r="U453" s="48"/>
      <c r="V453" s="48"/>
      <c r="W453" s="48"/>
      <c r="X453" s="48"/>
      <c r="Y453" s="48"/>
      <c r="Z453" s="48"/>
      <c r="AA453" s="48"/>
      <c r="AB453" s="48"/>
      <c r="AC453" s="48"/>
      <c r="AD453" s="48"/>
      <c r="AE453" s="48"/>
      <c r="AF453" s="48"/>
      <c r="AG453" s="48"/>
      <c r="AH453" s="48"/>
      <c r="AI453" s="48"/>
      <c r="AJ453" s="48"/>
      <c r="AK453" s="48"/>
      <c r="AL453" s="48"/>
      <c r="AM453" s="48"/>
      <c r="AN453" s="48"/>
      <c r="AO453" s="481"/>
      <c r="AP453" s="481"/>
      <c r="AQ453" s="481"/>
      <c r="AR453" s="481"/>
      <c r="AS453" s="481"/>
      <c r="AT453" s="481"/>
      <c r="AU453" s="481"/>
      <c r="AV453" s="481"/>
      <c r="AW453" s="481"/>
    </row>
    <row r="454" spans="1:52" x14ac:dyDescent="0.2">
      <c r="A454" s="48"/>
      <c r="B454" s="48"/>
      <c r="C454" s="48"/>
      <c r="D454" s="48"/>
      <c r="E454" s="1557"/>
      <c r="F454" s="1557"/>
      <c r="G454" s="1557"/>
      <c r="H454" s="1557"/>
      <c r="I454" s="48"/>
      <c r="J454" s="48"/>
      <c r="K454" s="48"/>
      <c r="L454" s="48"/>
      <c r="M454" s="48"/>
      <c r="N454" s="48"/>
      <c r="O454" s="48"/>
      <c r="P454" s="48"/>
      <c r="Q454" s="48"/>
      <c r="R454" s="48"/>
      <c r="S454" s="48"/>
      <c r="T454" s="48"/>
      <c r="U454" s="48"/>
      <c r="V454" s="48"/>
      <c r="W454" s="48"/>
      <c r="X454" s="48"/>
      <c r="Y454" s="48"/>
      <c r="Z454" s="48"/>
      <c r="AA454" s="48"/>
      <c r="AB454" s="48"/>
      <c r="AC454" s="48"/>
      <c r="AD454" s="48"/>
      <c r="AE454" s="48"/>
      <c r="AF454" s="48"/>
      <c r="AG454" s="48"/>
      <c r="AH454" s="48"/>
      <c r="AI454" s="48"/>
      <c r="AJ454" s="48"/>
      <c r="AK454" s="48"/>
      <c r="AL454" s="48"/>
      <c r="AM454" s="48"/>
      <c r="AN454" s="48"/>
      <c r="AO454" s="481"/>
      <c r="AP454" s="481"/>
      <c r="AQ454" s="481"/>
      <c r="AR454" s="481"/>
      <c r="AS454" s="481"/>
      <c r="AT454" s="481"/>
      <c r="AU454" s="481"/>
      <c r="AV454" s="481"/>
      <c r="AW454" s="481"/>
    </row>
    <row r="455" spans="1:52" x14ac:dyDescent="0.2">
      <c r="A455" s="48"/>
      <c r="B455" s="48"/>
      <c r="C455" s="48"/>
      <c r="D455" s="48"/>
      <c r="E455" s="48"/>
      <c r="F455" s="48"/>
      <c r="G455" s="48"/>
      <c r="H455" s="48"/>
      <c r="I455" s="48"/>
      <c r="J455" s="48"/>
      <c r="K455" s="48"/>
      <c r="L455" s="48"/>
      <c r="M455" s="48"/>
      <c r="N455" s="48"/>
      <c r="O455" s="48"/>
      <c r="P455" s="48"/>
      <c r="Q455" s="48"/>
      <c r="R455" s="48"/>
      <c r="S455" s="48"/>
      <c r="T455" s="48"/>
      <c r="U455" s="48"/>
      <c r="V455" s="48"/>
      <c r="W455" s="48"/>
      <c r="X455" s="48"/>
      <c r="Y455" s="48"/>
      <c r="Z455" s="48"/>
      <c r="AA455" s="48"/>
      <c r="AB455" s="48"/>
      <c r="AC455" s="48"/>
      <c r="AD455" s="48"/>
      <c r="AE455" s="48"/>
      <c r="AF455" s="48"/>
      <c r="AG455" s="48"/>
      <c r="AH455" s="48"/>
      <c r="AI455" s="48"/>
      <c r="AJ455" s="48"/>
      <c r="AK455" s="48"/>
      <c r="AL455" s="48"/>
      <c r="AM455" s="48"/>
      <c r="AN455" s="48"/>
      <c r="AO455" s="481"/>
      <c r="AP455" s="481"/>
      <c r="AQ455" s="481"/>
      <c r="AR455" s="481"/>
      <c r="AS455" s="481"/>
      <c r="AT455" s="481"/>
      <c r="AU455" s="481"/>
      <c r="AV455" s="481"/>
      <c r="AW455" s="481"/>
    </row>
    <row r="456" spans="1:52" x14ac:dyDescent="0.2">
      <c r="AO456" s="481"/>
      <c r="AP456" s="481"/>
      <c r="AQ456" s="481"/>
      <c r="AR456" s="481"/>
      <c r="AS456" s="481"/>
      <c r="AT456" s="481"/>
      <c r="AU456" s="481"/>
      <c r="AV456" s="481"/>
      <c r="AW456" s="481"/>
      <c r="AX456" s="481"/>
      <c r="AY456" s="481"/>
      <c r="AZ456" s="481"/>
    </row>
    <row r="457" spans="1:52" x14ac:dyDescent="0.2">
      <c r="AO457" s="481"/>
      <c r="AP457" s="481"/>
      <c r="AQ457" s="481"/>
      <c r="AR457" s="481"/>
      <c r="AS457" s="481"/>
      <c r="AT457" s="481"/>
      <c r="AU457" s="481"/>
      <c r="AV457" s="481"/>
      <c r="AW457" s="481"/>
      <c r="AX457" s="481"/>
      <c r="AY457" s="481"/>
      <c r="AZ457" s="481"/>
    </row>
    <row r="458" spans="1:52" x14ac:dyDescent="0.2">
      <c r="AO458" s="481"/>
      <c r="AP458" s="481"/>
      <c r="AQ458" s="481"/>
      <c r="AR458" s="481"/>
      <c r="AS458" s="481"/>
      <c r="AT458" s="481"/>
      <c r="AU458" s="481"/>
      <c r="AV458" s="481"/>
      <c r="AW458" s="481"/>
      <c r="AX458" s="481"/>
      <c r="AY458" s="481"/>
      <c r="AZ458" s="481"/>
    </row>
    <row r="459" spans="1:52" x14ac:dyDescent="0.2">
      <c r="AO459" s="481"/>
      <c r="AP459" s="481"/>
      <c r="AQ459" s="481"/>
      <c r="AR459" s="481"/>
      <c r="AS459" s="481"/>
      <c r="AT459" s="481"/>
      <c r="AU459" s="481"/>
      <c r="AV459" s="481"/>
      <c r="AW459" s="481"/>
      <c r="AX459" s="481"/>
      <c r="AY459" s="481"/>
      <c r="AZ459" s="481"/>
    </row>
    <row r="460" spans="1:52" x14ac:dyDescent="0.2">
      <c r="AQ460" s="481"/>
      <c r="AR460" s="481"/>
      <c r="AS460" s="481"/>
      <c r="AT460" s="481"/>
      <c r="AU460" s="481"/>
      <c r="AV460" s="481"/>
      <c r="AW460" s="481"/>
      <c r="AX460" s="481"/>
      <c r="AY460" s="481"/>
      <c r="AZ460" s="481"/>
    </row>
    <row r="461" spans="1:52" x14ac:dyDescent="0.2">
      <c r="AQ461" s="481"/>
      <c r="AR461" s="481"/>
      <c r="AS461" s="481"/>
      <c r="AT461" s="481"/>
      <c r="AU461" s="481"/>
      <c r="AV461" s="481"/>
      <c r="AW461" s="481"/>
      <c r="AX461" s="481"/>
      <c r="AY461" s="481"/>
      <c r="AZ461" s="481"/>
    </row>
    <row r="462" spans="1:52" x14ac:dyDescent="0.2">
      <c r="AQ462" s="481"/>
      <c r="AR462" s="481"/>
      <c r="AS462" s="481"/>
      <c r="AT462" s="481"/>
      <c r="AU462" s="481"/>
      <c r="AV462" s="481"/>
      <c r="AW462" s="481"/>
      <c r="AX462" s="481"/>
      <c r="AY462" s="481"/>
      <c r="AZ462" s="481"/>
    </row>
    <row r="463" spans="1:52" x14ac:dyDescent="0.2">
      <c r="AQ463" s="481"/>
      <c r="AR463" s="481"/>
      <c r="AS463" s="481"/>
      <c r="AT463" s="481"/>
      <c r="AU463" s="481"/>
      <c r="AV463" s="481"/>
      <c r="AW463" s="481"/>
      <c r="AX463" s="481"/>
      <c r="AY463" s="481"/>
      <c r="AZ463" s="481"/>
    </row>
  </sheetData>
  <sheetProtection algorithmName="SHA-512" hashValue="9fG7sKGstb6rRrlQ3MiKbjKS/VX/l6WP7QKcK+aNFFu7Jkip/3y+x05xP2ZZXGATDUDYq8jCWCtr793uUJdmuQ==" saltValue="9FQBmE4+eVW1zKiC1YBD5g==" spinCount="100000" sheet="1" objects="1" scenarios="1" selectLockedCells="1"/>
  <mergeCells count="2808">
    <mergeCell ref="B394:C394"/>
    <mergeCell ref="D394:F394"/>
    <mergeCell ref="W433:Z433"/>
    <mergeCell ref="AG28:AJ28"/>
    <mergeCell ref="Q28:T28"/>
    <mergeCell ref="Y24:AB24"/>
    <mergeCell ref="Y25:AB25"/>
    <mergeCell ref="Y26:Z26"/>
    <mergeCell ref="AA26:AB26"/>
    <mergeCell ref="Q26:R26"/>
    <mergeCell ref="G394:I394"/>
    <mergeCell ref="J394:L394"/>
    <mergeCell ref="J400:L400"/>
    <mergeCell ref="B406:C406"/>
    <mergeCell ref="G253:I253"/>
    <mergeCell ref="G406:I406"/>
    <mergeCell ref="D398:F398"/>
    <mergeCell ref="G398:I398"/>
    <mergeCell ref="B396:C396"/>
    <mergeCell ref="D396:F396"/>
    <mergeCell ref="B395:C395"/>
    <mergeCell ref="D395:F395"/>
    <mergeCell ref="G395:I395"/>
    <mergeCell ref="J395:L395"/>
    <mergeCell ref="J406:L406"/>
    <mergeCell ref="J398:L398"/>
    <mergeCell ref="J396:L396"/>
    <mergeCell ref="G396:I396"/>
    <mergeCell ref="B400:C400"/>
    <mergeCell ref="D400:F400"/>
    <mergeCell ref="AE415:AG415"/>
    <mergeCell ref="AH415:AJ415"/>
    <mergeCell ref="AB415:AD415"/>
    <mergeCell ref="G415:I415"/>
    <mergeCell ref="J415:L415"/>
    <mergeCell ref="M415:O415"/>
    <mergeCell ref="V418:X418"/>
    <mergeCell ref="V419:X419"/>
    <mergeCell ref="M421:O421"/>
    <mergeCell ref="Y400:AA400"/>
    <mergeCell ref="AB400:AD400"/>
    <mergeCell ref="AE400:AG400"/>
    <mergeCell ref="AH400:AJ400"/>
    <mergeCell ref="M400:O400"/>
    <mergeCell ref="AK415:AM415"/>
    <mergeCell ref="P415:R415"/>
    <mergeCell ref="S415:U415"/>
    <mergeCell ref="V415:X415"/>
    <mergeCell ref="Y415:AA415"/>
    <mergeCell ref="AB406:AD406"/>
    <mergeCell ref="M406:O406"/>
    <mergeCell ref="AK406:AM406"/>
    <mergeCell ref="P406:R406"/>
    <mergeCell ref="S406:U406"/>
    <mergeCell ref="P400:R400"/>
    <mergeCell ref="S400:U400"/>
    <mergeCell ref="V400:X400"/>
    <mergeCell ref="AH401:AJ401"/>
    <mergeCell ref="AK401:AM401"/>
    <mergeCell ref="AK400:AM400"/>
    <mergeCell ref="AH402:AJ402"/>
    <mergeCell ref="G400:I400"/>
    <mergeCell ref="AH403:AJ403"/>
    <mergeCell ref="AK403:AM403"/>
    <mergeCell ref="M253:O253"/>
    <mergeCell ref="P253:R253"/>
    <mergeCell ref="S253:U253"/>
    <mergeCell ref="AH253:AJ253"/>
    <mergeCell ref="AE253:AG253"/>
    <mergeCell ref="Y253:AA253"/>
    <mergeCell ref="AB253:AD253"/>
    <mergeCell ref="P398:R398"/>
    <mergeCell ref="S398:U398"/>
    <mergeCell ref="V398:X398"/>
    <mergeCell ref="Y398:AA398"/>
    <mergeCell ref="AE392:AG392"/>
    <mergeCell ref="AH392:AJ392"/>
    <mergeCell ref="M394:O394"/>
    <mergeCell ref="P394:R394"/>
    <mergeCell ref="AE393:AG393"/>
    <mergeCell ref="AH393:AJ393"/>
    <mergeCell ref="AB393:AD393"/>
    <mergeCell ref="M393:O393"/>
    <mergeCell ref="P393:R393"/>
    <mergeCell ref="S393:U393"/>
    <mergeCell ref="S392:U392"/>
    <mergeCell ref="V392:X392"/>
    <mergeCell ref="Y384:AL384"/>
    <mergeCell ref="P383:R383"/>
    <mergeCell ref="Y383:AL383"/>
    <mergeCell ref="AE354:AG354"/>
    <mergeCell ref="AH354:AJ354"/>
    <mergeCell ref="AK355:AM355"/>
    <mergeCell ref="M358:O358"/>
    <mergeCell ref="AK393:AM393"/>
    <mergeCell ref="AK392:AM392"/>
    <mergeCell ref="AK244:AM244"/>
    <mergeCell ref="AK243:AM243"/>
    <mergeCell ref="AH243:AJ243"/>
    <mergeCell ref="AE242:AG242"/>
    <mergeCell ref="AE243:AG243"/>
    <mergeCell ref="AH242:AJ242"/>
    <mergeCell ref="AK242:AM242"/>
    <mergeCell ref="AE244:AG244"/>
    <mergeCell ref="AK397:AM397"/>
    <mergeCell ref="AK396:AM396"/>
    <mergeCell ref="AH244:AJ244"/>
    <mergeCell ref="AB243:AD243"/>
    <mergeCell ref="S244:U244"/>
    <mergeCell ref="V244:X244"/>
    <mergeCell ref="Y244:AA244"/>
    <mergeCell ref="AB244:AD244"/>
    <mergeCell ref="AE247:AG247"/>
    <mergeCell ref="AE245:AG245"/>
    <mergeCell ref="AH394:AJ394"/>
    <mergeCell ref="AK395:AM395"/>
    <mergeCell ref="AK394:AM394"/>
    <mergeCell ref="AB395:AD395"/>
    <mergeCell ref="AE395:AG395"/>
    <mergeCell ref="AH395:AJ395"/>
    <mergeCell ref="V393:X393"/>
    <mergeCell ref="Y393:AA393"/>
    <mergeCell ref="S394:U394"/>
    <mergeCell ref="V394:X394"/>
    <mergeCell ref="Y394:AA394"/>
    <mergeCell ref="AB394:AD394"/>
    <mergeCell ref="AB245:AD245"/>
    <mergeCell ref="Y245:AA245"/>
    <mergeCell ref="W1:AM2"/>
    <mergeCell ref="AB398:AD398"/>
    <mergeCell ref="AE398:AG398"/>
    <mergeCell ref="AH398:AJ398"/>
    <mergeCell ref="AK398:AM398"/>
    <mergeCell ref="AB397:AD397"/>
    <mergeCell ref="M398:O398"/>
    <mergeCell ref="B397:C397"/>
    <mergeCell ref="D397:F397"/>
    <mergeCell ref="G397:I397"/>
    <mergeCell ref="J397:L397"/>
    <mergeCell ref="M397:O397"/>
    <mergeCell ref="AB396:AD396"/>
    <mergeCell ref="AE396:AG396"/>
    <mergeCell ref="AH396:AJ396"/>
    <mergeCell ref="Y396:AA396"/>
    <mergeCell ref="P397:R397"/>
    <mergeCell ref="S397:U397"/>
    <mergeCell ref="V397:X397"/>
    <mergeCell ref="Y397:AA397"/>
    <mergeCell ref="AE397:AG397"/>
    <mergeCell ref="AH397:AJ397"/>
    <mergeCell ref="M395:O395"/>
    <mergeCell ref="P395:R395"/>
    <mergeCell ref="S395:U395"/>
    <mergeCell ref="V395:X395"/>
    <mergeCell ref="Y395:AA395"/>
    <mergeCell ref="M396:O396"/>
    <mergeCell ref="P396:R396"/>
    <mergeCell ref="S396:U396"/>
    <mergeCell ref="V396:X396"/>
    <mergeCell ref="AE394:AG394"/>
    <mergeCell ref="B393:C393"/>
    <mergeCell ref="D393:F393"/>
    <mergeCell ref="G393:I393"/>
    <mergeCell ref="J393:L393"/>
    <mergeCell ref="Y392:AA392"/>
    <mergeCell ref="AB392:AD392"/>
    <mergeCell ref="AB391:AD391"/>
    <mergeCell ref="AE391:AG391"/>
    <mergeCell ref="AH391:AJ391"/>
    <mergeCell ref="AK391:AM391"/>
    <mergeCell ref="B392:C392"/>
    <mergeCell ref="D392:F392"/>
    <mergeCell ref="G392:I392"/>
    <mergeCell ref="J392:L392"/>
    <mergeCell ref="M392:O392"/>
    <mergeCell ref="P392:R392"/>
    <mergeCell ref="AK390:AM390"/>
    <mergeCell ref="B391:C391"/>
    <mergeCell ref="D391:F391"/>
    <mergeCell ref="G391:I391"/>
    <mergeCell ref="J391:L391"/>
    <mergeCell ref="M391:O391"/>
    <mergeCell ref="P391:R391"/>
    <mergeCell ref="S391:U391"/>
    <mergeCell ref="V391:X391"/>
    <mergeCell ref="Y391:AA391"/>
    <mergeCell ref="S390:U390"/>
    <mergeCell ref="V390:X390"/>
    <mergeCell ref="Y390:AA390"/>
    <mergeCell ref="AB390:AD390"/>
    <mergeCell ref="AE390:AG390"/>
    <mergeCell ref="AH390:AJ390"/>
    <mergeCell ref="B390:C390"/>
    <mergeCell ref="D390:F390"/>
    <mergeCell ref="G390:I390"/>
    <mergeCell ref="J390:L390"/>
    <mergeCell ref="M390:O390"/>
    <mergeCell ref="P390:R390"/>
    <mergeCell ref="AN257:AP257"/>
    <mergeCell ref="AN258:AP258"/>
    <mergeCell ref="AN263:AP263"/>
    <mergeCell ref="AN259:AP259"/>
    <mergeCell ref="AN260:AP260"/>
    <mergeCell ref="AN261:AP261"/>
    <mergeCell ref="AN262:AP262"/>
    <mergeCell ref="C26:D26"/>
    <mergeCell ref="AD106:AG106"/>
    <mergeCell ref="Z106:AC106"/>
    <mergeCell ref="Z104:AG104"/>
    <mergeCell ref="Z97:AC97"/>
    <mergeCell ref="C59:H59"/>
    <mergeCell ref="I56:J56"/>
    <mergeCell ref="C56:D56"/>
    <mergeCell ref="AC38:AF38"/>
    <mergeCell ref="AC32:AF32"/>
    <mergeCell ref="J258:L258"/>
    <mergeCell ref="G260:I260"/>
    <mergeCell ref="J260:L260"/>
    <mergeCell ref="AK263:AM263"/>
    <mergeCell ref="AK262:AM262"/>
    <mergeCell ref="P261:R261"/>
    <mergeCell ref="G262:I262"/>
    <mergeCell ref="S262:U262"/>
    <mergeCell ref="M261:O261"/>
    <mergeCell ref="G261:I261"/>
    <mergeCell ref="S261:U261"/>
    <mergeCell ref="AH262:AJ262"/>
    <mergeCell ref="AB261:AD261"/>
    <mergeCell ref="AB242:AD242"/>
    <mergeCell ref="M242:O242"/>
    <mergeCell ref="B351:C351"/>
    <mergeCell ref="D351:G351"/>
    <mergeCell ref="D346:F346"/>
    <mergeCell ref="G346:I346"/>
    <mergeCell ref="D349:F349"/>
    <mergeCell ref="G349:I349"/>
    <mergeCell ref="AB349:AD349"/>
    <mergeCell ref="AE349:AG349"/>
    <mergeCell ref="AH349:AJ349"/>
    <mergeCell ref="Y348:AA348"/>
    <mergeCell ref="AB348:AD348"/>
    <mergeCell ref="AE341:AG341"/>
    <mergeCell ref="AH341:AJ341"/>
    <mergeCell ref="Y318:AA318"/>
    <mergeCell ref="AB318:AD318"/>
    <mergeCell ref="Y337:AA337"/>
    <mergeCell ref="AB337:AD337"/>
    <mergeCell ref="AE337:AG337"/>
    <mergeCell ref="AH337:AJ337"/>
    <mergeCell ref="P310:R310"/>
    <mergeCell ref="S310:U310"/>
    <mergeCell ref="V310:X310"/>
    <mergeCell ref="Y310:AA310"/>
    <mergeCell ref="D309:F309"/>
    <mergeCell ref="AE313:AG313"/>
    <mergeCell ref="E269:F269"/>
    <mergeCell ref="D363:F363"/>
    <mergeCell ref="G363:I363"/>
    <mergeCell ref="AQ347:AT347"/>
    <mergeCell ref="D348:F348"/>
    <mergeCell ref="G348:I348"/>
    <mergeCell ref="J348:L348"/>
    <mergeCell ref="M348:O348"/>
    <mergeCell ref="P348:R348"/>
    <mergeCell ref="S348:U348"/>
    <mergeCell ref="V348:X348"/>
    <mergeCell ref="AE348:AG348"/>
    <mergeCell ref="AH348:AJ348"/>
    <mergeCell ref="AE347:AG347"/>
    <mergeCell ref="AH347:AJ347"/>
    <mergeCell ref="AK347:AM347"/>
    <mergeCell ref="AN347:AP347"/>
    <mergeCell ref="AK348:AM348"/>
    <mergeCell ref="AN348:AP348"/>
    <mergeCell ref="AN355:AP355"/>
    <mergeCell ref="AK354:AM354"/>
    <mergeCell ref="D355:F355"/>
    <mergeCell ref="G355:I355"/>
    <mergeCell ref="AN356:AP356"/>
    <mergeCell ref="D356:F356"/>
    <mergeCell ref="G356:I356"/>
    <mergeCell ref="J356:L356"/>
    <mergeCell ref="M356:O356"/>
    <mergeCell ref="P356:R356"/>
    <mergeCell ref="AK357:AM357"/>
    <mergeCell ref="AN357:AP357"/>
    <mergeCell ref="AQ356:AT356"/>
    <mergeCell ref="D357:F357"/>
    <mergeCell ref="AQ346:AT346"/>
    <mergeCell ref="D347:F347"/>
    <mergeCell ref="G347:I347"/>
    <mergeCell ref="J347:L347"/>
    <mergeCell ref="M347:O347"/>
    <mergeCell ref="P347:R347"/>
    <mergeCell ref="S347:U347"/>
    <mergeCell ref="V347:X347"/>
    <mergeCell ref="Y347:AA347"/>
    <mergeCell ref="AB347:AD347"/>
    <mergeCell ref="AH346:AJ346"/>
    <mergeCell ref="AK346:AM346"/>
    <mergeCell ref="Y346:AA346"/>
    <mergeCell ref="AB346:AD346"/>
    <mergeCell ref="AE346:AG346"/>
    <mergeCell ref="J346:L346"/>
    <mergeCell ref="J355:L355"/>
    <mergeCell ref="M355:O355"/>
    <mergeCell ref="P355:R355"/>
    <mergeCell ref="Y355:AA355"/>
    <mergeCell ref="AB355:AD355"/>
    <mergeCell ref="AK349:AM349"/>
    <mergeCell ref="J349:L349"/>
    <mergeCell ref="M349:O349"/>
    <mergeCell ref="P349:R349"/>
    <mergeCell ref="S349:U349"/>
    <mergeCell ref="V349:X349"/>
    <mergeCell ref="Y349:AA349"/>
    <mergeCell ref="M346:O346"/>
    <mergeCell ref="P346:R346"/>
    <mergeCell ref="S346:U346"/>
    <mergeCell ref="AQ355:AT355"/>
    <mergeCell ref="AQ343:AT343"/>
    <mergeCell ref="AE343:AG343"/>
    <mergeCell ref="AH343:AJ343"/>
    <mergeCell ref="AK343:AM343"/>
    <mergeCell ref="AN343:AP343"/>
    <mergeCell ref="AK342:AM342"/>
    <mergeCell ref="AN342:AP342"/>
    <mergeCell ref="AQ342:AT342"/>
    <mergeCell ref="D343:F343"/>
    <mergeCell ref="G343:I343"/>
    <mergeCell ref="J343:L343"/>
    <mergeCell ref="M343:O343"/>
    <mergeCell ref="P343:R343"/>
    <mergeCell ref="S343:U343"/>
    <mergeCell ref="V343:X343"/>
    <mergeCell ref="S342:U342"/>
    <mergeCell ref="V342:X342"/>
    <mergeCell ref="Y342:AA342"/>
    <mergeCell ref="AB342:AD342"/>
    <mergeCell ref="AE342:AG342"/>
    <mergeCell ref="AH342:AJ342"/>
    <mergeCell ref="Y343:AA343"/>
    <mergeCell ref="AB343:AD343"/>
    <mergeCell ref="AQ341:AT341"/>
    <mergeCell ref="D342:F342"/>
    <mergeCell ref="G342:I342"/>
    <mergeCell ref="J342:L342"/>
    <mergeCell ref="M342:O342"/>
    <mergeCell ref="P342:R342"/>
    <mergeCell ref="AQ340:AT340"/>
    <mergeCell ref="D341:F341"/>
    <mergeCell ref="G341:I341"/>
    <mergeCell ref="J341:L341"/>
    <mergeCell ref="M341:O341"/>
    <mergeCell ref="P341:R341"/>
    <mergeCell ref="S341:U341"/>
    <mergeCell ref="V341:X341"/>
    <mergeCell ref="Y341:AA341"/>
    <mergeCell ref="AB341:AD341"/>
    <mergeCell ref="Y340:AA340"/>
    <mergeCell ref="AB340:AD340"/>
    <mergeCell ref="AE340:AG340"/>
    <mergeCell ref="AH340:AJ340"/>
    <mergeCell ref="AK340:AM340"/>
    <mergeCell ref="AN340:AP340"/>
    <mergeCell ref="AQ339:AT339"/>
    <mergeCell ref="D340:F340"/>
    <mergeCell ref="G340:I340"/>
    <mergeCell ref="J340:L340"/>
    <mergeCell ref="M340:O340"/>
    <mergeCell ref="P340:R340"/>
    <mergeCell ref="S340:U340"/>
    <mergeCell ref="V340:X340"/>
    <mergeCell ref="S339:U339"/>
    <mergeCell ref="V339:X339"/>
    <mergeCell ref="Y339:AA339"/>
    <mergeCell ref="AB339:AD339"/>
    <mergeCell ref="AE339:AG339"/>
    <mergeCell ref="AH339:AJ339"/>
    <mergeCell ref="AN338:AP338"/>
    <mergeCell ref="AQ338:AT338"/>
    <mergeCell ref="D339:F339"/>
    <mergeCell ref="G339:I339"/>
    <mergeCell ref="J339:L339"/>
    <mergeCell ref="M339:O339"/>
    <mergeCell ref="P339:R339"/>
    <mergeCell ref="AK339:AM339"/>
    <mergeCell ref="AN339:AP339"/>
    <mergeCell ref="D324:F324"/>
    <mergeCell ref="G324:I324"/>
    <mergeCell ref="AK337:AM337"/>
    <mergeCell ref="D338:F338"/>
    <mergeCell ref="G338:I338"/>
    <mergeCell ref="J338:L338"/>
    <mergeCell ref="M338:O338"/>
    <mergeCell ref="P338:R338"/>
    <mergeCell ref="S338:U338"/>
    <mergeCell ref="V338:X338"/>
    <mergeCell ref="Y338:AA338"/>
    <mergeCell ref="AB338:AD338"/>
    <mergeCell ref="P337:R337"/>
    <mergeCell ref="S337:U337"/>
    <mergeCell ref="AE338:AG338"/>
    <mergeCell ref="AH338:AJ338"/>
    <mergeCell ref="AK338:AM338"/>
    <mergeCell ref="AB334:AD334"/>
    <mergeCell ref="AE326:AG326"/>
    <mergeCell ref="AH326:AJ326"/>
    <mergeCell ref="Y326:AA326"/>
    <mergeCell ref="AB326:AD326"/>
    <mergeCell ref="AK327:AM327"/>
    <mergeCell ref="P327:R327"/>
    <mergeCell ref="S327:U327"/>
    <mergeCell ref="V327:X327"/>
    <mergeCell ref="Y327:AA327"/>
    <mergeCell ref="AK328:AM328"/>
    <mergeCell ref="AK325:AM325"/>
    <mergeCell ref="P325:R325"/>
    <mergeCell ref="S325:U325"/>
    <mergeCell ref="V325:X325"/>
    <mergeCell ref="M317:O317"/>
    <mergeCell ref="J317:L317"/>
    <mergeCell ref="D316:F316"/>
    <mergeCell ref="G316:I316"/>
    <mergeCell ref="D317:F317"/>
    <mergeCell ref="G317:I317"/>
    <mergeCell ref="P318:R318"/>
    <mergeCell ref="S318:U318"/>
    <mergeCell ref="V318:X318"/>
    <mergeCell ref="V319:X319"/>
    <mergeCell ref="P319:R319"/>
    <mergeCell ref="S319:U319"/>
    <mergeCell ref="AE323:AG323"/>
    <mergeCell ref="AE317:AG317"/>
    <mergeCell ref="AH317:AJ317"/>
    <mergeCell ref="AE316:AG316"/>
    <mergeCell ref="AH316:AJ316"/>
    <mergeCell ref="AB317:AD317"/>
    <mergeCell ref="Y316:AA316"/>
    <mergeCell ref="AB316:AD316"/>
    <mergeCell ref="Y317:AA317"/>
    <mergeCell ref="AE318:AG318"/>
    <mergeCell ref="AH318:AJ318"/>
    <mergeCell ref="P316:R316"/>
    <mergeCell ref="S316:U316"/>
    <mergeCell ref="P317:R317"/>
    <mergeCell ref="D319:F319"/>
    <mergeCell ref="G319:I319"/>
    <mergeCell ref="B270:D270"/>
    <mergeCell ref="E270:F270"/>
    <mergeCell ref="E271:F271"/>
    <mergeCell ref="V311:X311"/>
    <mergeCell ref="Y311:AA311"/>
    <mergeCell ref="V309:X309"/>
    <mergeCell ref="G309:I309"/>
    <mergeCell ref="J309:L309"/>
    <mergeCell ref="M309:O309"/>
    <mergeCell ref="P309:R309"/>
    <mergeCell ref="S309:U309"/>
    <mergeCell ref="Y313:AA313"/>
    <mergeCell ref="AB313:AD313"/>
    <mergeCell ref="B307:C307"/>
    <mergeCell ref="D307:F307"/>
    <mergeCell ref="B272:D272"/>
    <mergeCell ref="B273:D273"/>
    <mergeCell ref="B276:D276"/>
    <mergeCell ref="B277:D277"/>
    <mergeCell ref="AB310:AD310"/>
    <mergeCell ref="AB309:AD309"/>
    <mergeCell ref="AB308:AD308"/>
    <mergeCell ref="Y309:AA309"/>
    <mergeCell ref="D311:F311"/>
    <mergeCell ref="G311:I311"/>
    <mergeCell ref="D312:F312"/>
    <mergeCell ref="G312:I312"/>
    <mergeCell ref="B278:D278"/>
    <mergeCell ref="B275:D275"/>
    <mergeCell ref="E276:F276"/>
    <mergeCell ref="E280:F280"/>
    <mergeCell ref="G284:I284"/>
    <mergeCell ref="G275:I275"/>
    <mergeCell ref="G276:I276"/>
    <mergeCell ref="G278:I278"/>
    <mergeCell ref="B279:D279"/>
    <mergeCell ref="B280:D280"/>
    <mergeCell ref="B284:D284"/>
    <mergeCell ref="E284:F284"/>
    <mergeCell ref="E279:F279"/>
    <mergeCell ref="E277:F277"/>
    <mergeCell ref="E275:F275"/>
    <mergeCell ref="B285:D285"/>
    <mergeCell ref="B286:D286"/>
    <mergeCell ref="E278:F278"/>
    <mergeCell ref="E285:F285"/>
    <mergeCell ref="E286:F286"/>
    <mergeCell ref="B287:D287"/>
    <mergeCell ref="G287:I287"/>
    <mergeCell ref="B291:D291"/>
    <mergeCell ref="E291:F291"/>
    <mergeCell ref="G291:I291"/>
    <mergeCell ref="B297:C297"/>
    <mergeCell ref="D297:F297"/>
    <mergeCell ref="G297:I297"/>
    <mergeCell ref="B299:C299"/>
    <mergeCell ref="B271:D271"/>
    <mergeCell ref="E272:F272"/>
    <mergeCell ref="E273:F273"/>
    <mergeCell ref="B269:D269"/>
    <mergeCell ref="B260:C260"/>
    <mergeCell ref="B261:C261"/>
    <mergeCell ref="D264:F264"/>
    <mergeCell ref="D250:F250"/>
    <mergeCell ref="D253:F253"/>
    <mergeCell ref="D259:F259"/>
    <mergeCell ref="D256:F256"/>
    <mergeCell ref="D257:F257"/>
    <mergeCell ref="D252:F252"/>
    <mergeCell ref="D251:F251"/>
    <mergeCell ref="E268:F268"/>
    <mergeCell ref="B268:D268"/>
    <mergeCell ref="D265:F265"/>
    <mergeCell ref="B263:C263"/>
    <mergeCell ref="B262:C262"/>
    <mergeCell ref="D260:F260"/>
    <mergeCell ref="B256:C256"/>
    <mergeCell ref="B257:C257"/>
    <mergeCell ref="B258:C258"/>
    <mergeCell ref="B259:C259"/>
    <mergeCell ref="D263:F263"/>
    <mergeCell ref="D262:F262"/>
    <mergeCell ref="D261:F261"/>
    <mergeCell ref="B252:C252"/>
    <mergeCell ref="G265:I265"/>
    <mergeCell ref="D258:F258"/>
    <mergeCell ref="G241:I241"/>
    <mergeCell ref="D248:F248"/>
    <mergeCell ref="D244:F244"/>
    <mergeCell ref="G242:I242"/>
    <mergeCell ref="D249:F249"/>
    <mergeCell ref="G251:I251"/>
    <mergeCell ref="G257:I257"/>
    <mergeCell ref="G245:I245"/>
    <mergeCell ref="G246:I246"/>
    <mergeCell ref="AQ277:AS277"/>
    <mergeCell ref="AE264:AG264"/>
    <mergeCell ref="P263:R263"/>
    <mergeCell ref="S264:U264"/>
    <mergeCell ref="V263:X263"/>
    <mergeCell ref="Y263:AA263"/>
    <mergeCell ref="J263:L263"/>
    <mergeCell ref="M263:O263"/>
    <mergeCell ref="AE261:AG261"/>
    <mergeCell ref="AH261:AJ261"/>
    <mergeCell ref="AE262:AG262"/>
    <mergeCell ref="AB262:AD262"/>
    <mergeCell ref="S260:U260"/>
    <mergeCell ref="V260:X260"/>
    <mergeCell ref="AB260:AD260"/>
    <mergeCell ref="S259:U259"/>
    <mergeCell ref="V259:X259"/>
    <mergeCell ref="Y259:AA259"/>
    <mergeCell ref="AU276:AW276"/>
    <mergeCell ref="AU277:AW277"/>
    <mergeCell ref="AU278:AW278"/>
    <mergeCell ref="AO276:AP276"/>
    <mergeCell ref="AQ278:AS278"/>
    <mergeCell ref="K280:M280"/>
    <mergeCell ref="T275:V275"/>
    <mergeCell ref="T276:V276"/>
    <mergeCell ref="T277:V277"/>
    <mergeCell ref="T278:V278"/>
    <mergeCell ref="T279:V279"/>
    <mergeCell ref="T280:V280"/>
    <mergeCell ref="K276:M276"/>
    <mergeCell ref="AQ279:AS279"/>
    <mergeCell ref="AQ275:AS275"/>
    <mergeCell ref="AO278:AP278"/>
    <mergeCell ref="G252:I252"/>
    <mergeCell ref="G256:I256"/>
    <mergeCell ref="G258:I258"/>
    <mergeCell ref="G268:I268"/>
    <mergeCell ref="G264:I264"/>
    <mergeCell ref="G263:I263"/>
    <mergeCell ref="G259:I259"/>
    <mergeCell ref="K277:M277"/>
    <mergeCell ref="AN264:AP264"/>
    <mergeCell ref="AL271:AN271"/>
    <mergeCell ref="AK264:AM264"/>
    <mergeCell ref="P268:R268"/>
    <mergeCell ref="AK265:AM265"/>
    <mergeCell ref="P264:R264"/>
    <mergeCell ref="T268:V268"/>
    <mergeCell ref="Y268:AA268"/>
    <mergeCell ref="AU268:AW268"/>
    <mergeCell ref="AU269:AW269"/>
    <mergeCell ref="AU270:AW270"/>
    <mergeCell ref="AU271:AW271"/>
    <mergeCell ref="P269:R269"/>
    <mergeCell ref="AF272:AG272"/>
    <mergeCell ref="AZ280:BB280"/>
    <mergeCell ref="AU280:AW280"/>
    <mergeCell ref="AC270:AE270"/>
    <mergeCell ref="AC272:AE272"/>
    <mergeCell ref="AH273:AJ273"/>
    <mergeCell ref="AO279:AP279"/>
    <mergeCell ref="AH277:AJ277"/>
    <mergeCell ref="AH278:AJ278"/>
    <mergeCell ref="AO277:AP277"/>
    <mergeCell ref="AC280:AE280"/>
    <mergeCell ref="AU279:AW279"/>
    <mergeCell ref="AZ276:BB276"/>
    <mergeCell ref="AQ276:AS276"/>
    <mergeCell ref="AZ279:BB279"/>
    <mergeCell ref="AZ277:BB277"/>
    <mergeCell ref="AZ278:BB278"/>
    <mergeCell ref="AX279:AY279"/>
    <mergeCell ref="AX278:AY278"/>
    <mergeCell ref="AX276:AY276"/>
    <mergeCell ref="AX277:AY277"/>
    <mergeCell ref="AQ280:AS280"/>
    <mergeCell ref="AQ272:AS272"/>
    <mergeCell ref="AO272:AP272"/>
    <mergeCell ref="AL268:AN268"/>
    <mergeCell ref="AL269:AN269"/>
    <mergeCell ref="AL270:AN270"/>
    <mergeCell ref="AK259:AM259"/>
    <mergeCell ref="V261:X261"/>
    <mergeCell ref="AE260:AG260"/>
    <mergeCell ref="AK261:AM261"/>
    <mergeCell ref="AH260:AJ260"/>
    <mergeCell ref="AK260:AM260"/>
    <mergeCell ref="Y260:AA260"/>
    <mergeCell ref="AB259:AD259"/>
    <mergeCell ref="AE259:AG259"/>
    <mergeCell ref="Y261:AA261"/>
    <mergeCell ref="AH259:AJ259"/>
    <mergeCell ref="AL279:AN279"/>
    <mergeCell ref="AL280:AN280"/>
    <mergeCell ref="AH279:AJ279"/>
    <mergeCell ref="AF279:AG279"/>
    <mergeCell ref="AH280:AJ280"/>
    <mergeCell ref="AH268:AJ268"/>
    <mergeCell ref="AH264:AJ264"/>
    <mergeCell ref="V264:X264"/>
    <mergeCell ref="Y264:AA264"/>
    <mergeCell ref="AE265:AG265"/>
    <mergeCell ref="AH263:AJ263"/>
    <mergeCell ref="AC277:AE277"/>
    <mergeCell ref="AC279:AE279"/>
    <mergeCell ref="Y277:AA277"/>
    <mergeCell ref="S263:U263"/>
    <mergeCell ref="AE263:AG263"/>
    <mergeCell ref="J297:L297"/>
    <mergeCell ref="M300:O300"/>
    <mergeCell ref="P300:R300"/>
    <mergeCell ref="S300:U300"/>
    <mergeCell ref="M383:O383"/>
    <mergeCell ref="K271:M271"/>
    <mergeCell ref="N271:O271"/>
    <mergeCell ref="K272:M272"/>
    <mergeCell ref="J316:L316"/>
    <mergeCell ref="M316:O316"/>
    <mergeCell ref="J383:L383"/>
    <mergeCell ref="J318:L318"/>
    <mergeCell ref="M318:O318"/>
    <mergeCell ref="M337:O337"/>
    <mergeCell ref="P260:R260"/>
    <mergeCell ref="J323:L323"/>
    <mergeCell ref="J382:W382"/>
    <mergeCell ref="P277:R277"/>
    <mergeCell ref="P324:R324"/>
    <mergeCell ref="J324:L324"/>
    <mergeCell ref="J319:L319"/>
    <mergeCell ref="M319:O319"/>
    <mergeCell ref="M324:O324"/>
    <mergeCell ref="M264:O264"/>
    <mergeCell ref="J265:L265"/>
    <mergeCell ref="J264:L264"/>
    <mergeCell ref="M265:O265"/>
    <mergeCell ref="M307:O307"/>
    <mergeCell ref="P307:R307"/>
    <mergeCell ref="S307:U307"/>
    <mergeCell ref="P280:R280"/>
    <mergeCell ref="K278:M278"/>
    <mergeCell ref="N285:O285"/>
    <mergeCell ref="G286:I286"/>
    <mergeCell ref="K286:M286"/>
    <mergeCell ref="S256:U256"/>
    <mergeCell ref="P257:R257"/>
    <mergeCell ref="J257:L257"/>
    <mergeCell ref="M257:O257"/>
    <mergeCell ref="AH272:AJ272"/>
    <mergeCell ref="P270:R270"/>
    <mergeCell ref="T273:V273"/>
    <mergeCell ref="P271:R271"/>
    <mergeCell ref="T272:V272"/>
    <mergeCell ref="Y272:AA272"/>
    <mergeCell ref="G269:I269"/>
    <mergeCell ref="G272:I272"/>
    <mergeCell ref="G270:I270"/>
    <mergeCell ref="K270:M270"/>
    <mergeCell ref="G271:I271"/>
    <mergeCell ref="K269:M269"/>
    <mergeCell ref="K273:M273"/>
    <mergeCell ref="K275:M275"/>
    <mergeCell ref="G273:I273"/>
    <mergeCell ref="K279:M279"/>
    <mergeCell ref="K284:M284"/>
    <mergeCell ref="G277:I277"/>
    <mergeCell ref="G279:I279"/>
    <mergeCell ref="G280:I280"/>
    <mergeCell ref="Y271:AA271"/>
    <mergeCell ref="Y270:AA270"/>
    <mergeCell ref="AC278:AE278"/>
    <mergeCell ref="AB248:AD248"/>
    <mergeCell ref="S251:U251"/>
    <mergeCell ref="AK251:AM251"/>
    <mergeCell ref="AE251:AG251"/>
    <mergeCell ref="AK253:AM253"/>
    <mergeCell ref="AH251:AJ251"/>
    <mergeCell ref="AH248:AJ248"/>
    <mergeCell ref="AB249:AD249"/>
    <mergeCell ref="AE249:AG249"/>
    <mergeCell ref="AB250:AD250"/>
    <mergeCell ref="AE248:AG248"/>
    <mergeCell ref="J253:L253"/>
    <mergeCell ref="M258:O258"/>
    <mergeCell ref="M260:O260"/>
    <mergeCell ref="N278:O278"/>
    <mergeCell ref="N279:O279"/>
    <mergeCell ref="N277:O277"/>
    <mergeCell ref="N270:O270"/>
    <mergeCell ref="N272:O272"/>
    <mergeCell ref="J256:L256"/>
    <mergeCell ref="M256:O256"/>
    <mergeCell ref="N276:O276"/>
    <mergeCell ref="Y278:AA278"/>
    <mergeCell ref="AH258:AJ258"/>
    <mergeCell ref="AK258:AM258"/>
    <mergeCell ref="P258:R258"/>
    <mergeCell ref="S258:U258"/>
    <mergeCell ref="AB258:AD258"/>
    <mergeCell ref="AE258:AG258"/>
    <mergeCell ref="Y258:AA258"/>
    <mergeCell ref="AB263:AD263"/>
    <mergeCell ref="AH265:AJ265"/>
    <mergeCell ref="AH245:AJ245"/>
    <mergeCell ref="AK245:AM245"/>
    <mergeCell ref="AH250:AJ250"/>
    <mergeCell ref="AK247:AM247"/>
    <mergeCell ref="AK248:AM248"/>
    <mergeCell ref="AE250:AG250"/>
    <mergeCell ref="V248:X248"/>
    <mergeCell ref="V250:X250"/>
    <mergeCell ref="AB251:AD251"/>
    <mergeCell ref="P251:R251"/>
    <mergeCell ref="AK250:AM250"/>
    <mergeCell ref="P248:R248"/>
    <mergeCell ref="V249:X249"/>
    <mergeCell ref="Y249:AA249"/>
    <mergeCell ref="S249:U249"/>
    <mergeCell ref="P250:R250"/>
    <mergeCell ref="Y257:AA257"/>
    <mergeCell ref="Y256:AA256"/>
    <mergeCell ref="AB256:AD256"/>
    <mergeCell ref="Y251:AA251"/>
    <mergeCell ref="AB257:AD257"/>
    <mergeCell ref="S257:U257"/>
    <mergeCell ref="AH249:AJ249"/>
    <mergeCell ref="AH247:AJ247"/>
    <mergeCell ref="AK249:AM249"/>
    <mergeCell ref="AK256:AM256"/>
    <mergeCell ref="AK257:AM257"/>
    <mergeCell ref="AE252:AG252"/>
    <mergeCell ref="AH257:AJ257"/>
    <mergeCell ref="AE257:AG257"/>
    <mergeCell ref="AE256:AG256"/>
    <mergeCell ref="AH256:AJ256"/>
    <mergeCell ref="G250:I250"/>
    <mergeCell ref="J250:L250"/>
    <mergeCell ref="M250:O250"/>
    <mergeCell ref="V251:X251"/>
    <mergeCell ref="G225:J225"/>
    <mergeCell ref="G226:J226"/>
    <mergeCell ref="G238:I238"/>
    <mergeCell ref="G237:I237"/>
    <mergeCell ref="G236:I236"/>
    <mergeCell ref="G232:I232"/>
    <mergeCell ref="G233:I233"/>
    <mergeCell ref="G249:I249"/>
    <mergeCell ref="M237:O237"/>
    <mergeCell ref="Q199:T199"/>
    <mergeCell ref="Q202:T202"/>
    <mergeCell ref="G204:J204"/>
    <mergeCell ref="Q204:T204"/>
    <mergeCell ref="L204:O204"/>
    <mergeCell ref="G203:J203"/>
    <mergeCell ref="J249:L249"/>
    <mergeCell ref="M251:O251"/>
    <mergeCell ref="M249:O249"/>
    <mergeCell ref="J251:L251"/>
    <mergeCell ref="J248:L248"/>
    <mergeCell ref="M246:O246"/>
    <mergeCell ref="M248:O248"/>
    <mergeCell ref="S246:U246"/>
    <mergeCell ref="P249:R249"/>
    <mergeCell ref="S250:U250"/>
    <mergeCell ref="M245:O245"/>
    <mergeCell ref="G248:I248"/>
    <mergeCell ref="V205:Y205"/>
    <mergeCell ref="D247:F247"/>
    <mergeCell ref="G247:I247"/>
    <mergeCell ref="J247:L247"/>
    <mergeCell ref="J246:L246"/>
    <mergeCell ref="J245:L245"/>
    <mergeCell ref="G244:I244"/>
    <mergeCell ref="J242:L242"/>
    <mergeCell ref="J244:L244"/>
    <mergeCell ref="J243:L243"/>
    <mergeCell ref="S248:U248"/>
    <mergeCell ref="P245:R245"/>
    <mergeCell ref="M247:O247"/>
    <mergeCell ref="P247:R247"/>
    <mergeCell ref="P246:R246"/>
    <mergeCell ref="G201:J201"/>
    <mergeCell ref="P242:R242"/>
    <mergeCell ref="Q213:T213"/>
    <mergeCell ref="Q212:T212"/>
    <mergeCell ref="Q209:T209"/>
    <mergeCell ref="D245:F245"/>
    <mergeCell ref="D246:F246"/>
    <mergeCell ref="P231:R231"/>
    <mergeCell ref="S236:U236"/>
    <mergeCell ref="P234:R234"/>
    <mergeCell ref="L215:O215"/>
    <mergeCell ref="Q215:T215"/>
    <mergeCell ref="L221:O221"/>
    <mergeCell ref="Q221:T221"/>
    <mergeCell ref="L226:O226"/>
    <mergeCell ref="Q226:T226"/>
    <mergeCell ref="L205:O205"/>
    <mergeCell ref="Q207:T207"/>
    <mergeCell ref="Q203:T203"/>
    <mergeCell ref="Q206:T206"/>
    <mergeCell ref="Q205:T205"/>
    <mergeCell ref="L207:O207"/>
    <mergeCell ref="V203:Y203"/>
    <mergeCell ref="V206:Y206"/>
    <mergeCell ref="M244:O244"/>
    <mergeCell ref="M243:O243"/>
    <mergeCell ref="H186:J186"/>
    <mergeCell ref="L188:M188"/>
    <mergeCell ref="L202:O202"/>
    <mergeCell ref="G227:J227"/>
    <mergeCell ref="J234:L234"/>
    <mergeCell ref="G193:J193"/>
    <mergeCell ref="Q192:T192"/>
    <mergeCell ref="Q195:T195"/>
    <mergeCell ref="G197:J197"/>
    <mergeCell ref="L196:O196"/>
    <mergeCell ref="G199:J199"/>
    <mergeCell ref="Q194:T194"/>
    <mergeCell ref="G195:J195"/>
    <mergeCell ref="L195:O195"/>
    <mergeCell ref="G194:J194"/>
    <mergeCell ref="L203:O203"/>
    <mergeCell ref="G205:J205"/>
    <mergeCell ref="V201:Y201"/>
    <mergeCell ref="P237:R237"/>
    <mergeCell ref="S231:U231"/>
    <mergeCell ref="P236:R236"/>
    <mergeCell ref="Q201:T201"/>
    <mergeCell ref="G200:J200"/>
    <mergeCell ref="Q196:T196"/>
    <mergeCell ref="B242:C242"/>
    <mergeCell ref="D242:F242"/>
    <mergeCell ref="B216:D216"/>
    <mergeCell ref="B209:D209"/>
    <mergeCell ref="B206:D206"/>
    <mergeCell ref="B202:D202"/>
    <mergeCell ref="B204:D204"/>
    <mergeCell ref="B205:D205"/>
    <mergeCell ref="B203:D203"/>
    <mergeCell ref="C190:E190"/>
    <mergeCell ref="B194:D194"/>
    <mergeCell ref="C189:E189"/>
    <mergeCell ref="B235:C235"/>
    <mergeCell ref="B233:C233"/>
    <mergeCell ref="B238:C238"/>
    <mergeCell ref="B240:C240"/>
    <mergeCell ref="B239:C239"/>
    <mergeCell ref="B237:C237"/>
    <mergeCell ref="D237:F237"/>
    <mergeCell ref="B200:D200"/>
    <mergeCell ref="B243:C243"/>
    <mergeCell ref="B244:C244"/>
    <mergeCell ref="B246:C246"/>
    <mergeCell ref="B247:C247"/>
    <mergeCell ref="B245:C245"/>
    <mergeCell ref="B251:C251"/>
    <mergeCell ref="B249:C249"/>
    <mergeCell ref="B250:C250"/>
    <mergeCell ref="B248:C248"/>
    <mergeCell ref="B210:D210"/>
    <mergeCell ref="G243:I243"/>
    <mergeCell ref="D243:F243"/>
    <mergeCell ref="B212:D212"/>
    <mergeCell ref="B224:D224"/>
    <mergeCell ref="B225:D225"/>
    <mergeCell ref="B218:D218"/>
    <mergeCell ref="B214:D214"/>
    <mergeCell ref="G234:I234"/>
    <mergeCell ref="G235:I235"/>
    <mergeCell ref="B236:C236"/>
    <mergeCell ref="D236:F236"/>
    <mergeCell ref="D231:F231"/>
    <mergeCell ref="B227:D227"/>
    <mergeCell ref="D239:F239"/>
    <mergeCell ref="D233:F233"/>
    <mergeCell ref="D234:F234"/>
    <mergeCell ref="B234:C234"/>
    <mergeCell ref="B228:D228"/>
    <mergeCell ref="B226:D226"/>
    <mergeCell ref="B241:C241"/>
    <mergeCell ref="B223:D223"/>
    <mergeCell ref="B232:C232"/>
    <mergeCell ref="G202:J202"/>
    <mergeCell ref="Q197:T197"/>
    <mergeCell ref="L199:O199"/>
    <mergeCell ref="G196:J196"/>
    <mergeCell ref="L198:O198"/>
    <mergeCell ref="L197:O197"/>
    <mergeCell ref="H144:K144"/>
    <mergeCell ref="H133:K133"/>
    <mergeCell ref="H134:K134"/>
    <mergeCell ref="L193:O193"/>
    <mergeCell ref="L153:O153"/>
    <mergeCell ref="H153:K153"/>
    <mergeCell ref="L151:O151"/>
    <mergeCell ref="L150:O150"/>
    <mergeCell ref="G192:J192"/>
    <mergeCell ref="H185:J185"/>
    <mergeCell ref="L201:O201"/>
    <mergeCell ref="L194:O194"/>
    <mergeCell ref="C159:F159"/>
    <mergeCell ref="C160:F160"/>
    <mergeCell ref="C162:F162"/>
    <mergeCell ref="C168:F168"/>
    <mergeCell ref="C161:F161"/>
    <mergeCell ref="C163:F163"/>
    <mergeCell ref="C164:F164"/>
    <mergeCell ref="C165:F165"/>
    <mergeCell ref="B219:D219"/>
    <mergeCell ref="B222:D222"/>
    <mergeCell ref="B221:D221"/>
    <mergeCell ref="B211:D211"/>
    <mergeCell ref="C188:E188"/>
    <mergeCell ref="B196:D196"/>
    <mergeCell ref="B197:D197"/>
    <mergeCell ref="B198:D198"/>
    <mergeCell ref="B195:D195"/>
    <mergeCell ref="B193:D193"/>
    <mergeCell ref="B217:D217"/>
    <mergeCell ref="B208:D208"/>
    <mergeCell ref="B207:D207"/>
    <mergeCell ref="B213:D213"/>
    <mergeCell ref="B215:D215"/>
    <mergeCell ref="B220:D220"/>
    <mergeCell ref="C187:E187"/>
    <mergeCell ref="B201:D201"/>
    <mergeCell ref="B199:D199"/>
    <mergeCell ref="C177:F177"/>
    <mergeCell ref="C136:F136"/>
    <mergeCell ref="H136:K136"/>
    <mergeCell ref="C151:F151"/>
    <mergeCell ref="C137:F137"/>
    <mergeCell ref="C148:F148"/>
    <mergeCell ref="H146:K146"/>
    <mergeCell ref="C146:F146"/>
    <mergeCell ref="C149:F149"/>
    <mergeCell ref="H143:K143"/>
    <mergeCell ref="H150:K150"/>
    <mergeCell ref="C152:F152"/>
    <mergeCell ref="H151:K151"/>
    <mergeCell ref="C154:F154"/>
    <mergeCell ref="L192:O192"/>
    <mergeCell ref="S138:V138"/>
    <mergeCell ref="S142:V142"/>
    <mergeCell ref="S143:V143"/>
    <mergeCell ref="P150:S150"/>
    <mergeCell ref="H148:K148"/>
    <mergeCell ref="C186:E186"/>
    <mergeCell ref="C167:F167"/>
    <mergeCell ref="C166:F166"/>
    <mergeCell ref="C170:F170"/>
    <mergeCell ref="C171:F171"/>
    <mergeCell ref="C180:F180"/>
    <mergeCell ref="C172:F172"/>
    <mergeCell ref="C184:E184"/>
    <mergeCell ref="C174:F174"/>
    <mergeCell ref="C178:F178"/>
    <mergeCell ref="C176:F176"/>
    <mergeCell ref="C175:F175"/>
    <mergeCell ref="C173:F173"/>
    <mergeCell ref="C131:F131"/>
    <mergeCell ref="C130:F130"/>
    <mergeCell ref="H130:K130"/>
    <mergeCell ref="H132:K132"/>
    <mergeCell ref="C132:F132"/>
    <mergeCell ref="H131:K131"/>
    <mergeCell ref="C135:F135"/>
    <mergeCell ref="C133:F133"/>
    <mergeCell ref="C134:F134"/>
    <mergeCell ref="C55:D55"/>
    <mergeCell ref="U96:X96"/>
    <mergeCell ref="J96:M96"/>
    <mergeCell ref="C92:D92"/>
    <mergeCell ref="E92:F92"/>
    <mergeCell ref="C94:I94"/>
    <mergeCell ref="R96:S96"/>
    <mergeCell ref="J94:M94"/>
    <mergeCell ref="R55:T55"/>
    <mergeCell ref="K55:L55"/>
    <mergeCell ref="G61:H61"/>
    <mergeCell ref="G62:H62"/>
    <mergeCell ref="C61:F61"/>
    <mergeCell ref="J66:S66"/>
    <mergeCell ref="N65:P65"/>
    <mergeCell ref="Q65:S65"/>
    <mergeCell ref="R105:S105"/>
    <mergeCell ref="U114:X114"/>
    <mergeCell ref="J113:M113"/>
    <mergeCell ref="N105:Q105"/>
    <mergeCell ref="J106:M106"/>
    <mergeCell ref="J114:M114"/>
    <mergeCell ref="J115:M115"/>
    <mergeCell ref="I51:J51"/>
    <mergeCell ref="N113:Q113"/>
    <mergeCell ref="C64:F64"/>
    <mergeCell ref="C65:F65"/>
    <mergeCell ref="N102:P102"/>
    <mergeCell ref="N110:P110"/>
    <mergeCell ref="C110:I110"/>
    <mergeCell ref="J107:M107"/>
    <mergeCell ref="I92:J92"/>
    <mergeCell ref="M74:N74"/>
    <mergeCell ref="J97:M97"/>
    <mergeCell ref="I39:L39"/>
    <mergeCell ref="AF60:AH60"/>
    <mergeCell ref="C58:AK58"/>
    <mergeCell ref="G55:H55"/>
    <mergeCell ref="K56:L56"/>
    <mergeCell ref="M56:N56"/>
    <mergeCell ref="E40:F40"/>
    <mergeCell ref="G40:H40"/>
    <mergeCell ref="G39:H39"/>
    <mergeCell ref="O43:AI43"/>
    <mergeCell ref="G54:H54"/>
    <mergeCell ref="B43:J43"/>
    <mergeCell ref="R54:T54"/>
    <mergeCell ref="C53:P53"/>
    <mergeCell ref="E41:F41"/>
    <mergeCell ref="G41:H41"/>
    <mergeCell ref="M51:N51"/>
    <mergeCell ref="K51:L51"/>
    <mergeCell ref="K43:N43"/>
    <mergeCell ref="B44:AC44"/>
    <mergeCell ref="C62:F62"/>
    <mergeCell ref="AC40:AF40"/>
    <mergeCell ref="U39:X39"/>
    <mergeCell ref="U40:X40"/>
    <mergeCell ref="M38:P38"/>
    <mergeCell ref="U35:X35"/>
    <mergeCell ref="I31:L31"/>
    <mergeCell ref="I38:L38"/>
    <mergeCell ref="U31:X31"/>
    <mergeCell ref="M33:P33"/>
    <mergeCell ref="M32:P32"/>
    <mergeCell ref="M35:P35"/>
    <mergeCell ref="E30:H30"/>
    <mergeCell ref="D33:G34"/>
    <mergeCell ref="I32:L32"/>
    <mergeCell ref="M30:P30"/>
    <mergeCell ref="M31:P31"/>
    <mergeCell ref="E37:H37"/>
    <mergeCell ref="D35:G35"/>
    <mergeCell ref="U33:X33"/>
    <mergeCell ref="D28:D31"/>
    <mergeCell ref="I33:L33"/>
    <mergeCell ref="I35:L35"/>
    <mergeCell ref="E28:H28"/>
    <mergeCell ref="M40:P40"/>
    <mergeCell ref="AC28:AF28"/>
    <mergeCell ref="Y28:AB28"/>
    <mergeCell ref="U30:X30"/>
    <mergeCell ref="Y62:Z62"/>
    <mergeCell ref="Q62:S62"/>
    <mergeCell ref="AF59:AK59"/>
    <mergeCell ref="AI60:AK60"/>
    <mergeCell ref="AF61:AH61"/>
    <mergeCell ref="N61:P61"/>
    <mergeCell ref="N62:P62"/>
    <mergeCell ref="Y61:Z61"/>
    <mergeCell ref="U62:X62"/>
    <mergeCell ref="Q60:S60"/>
    <mergeCell ref="Y60:Z60"/>
    <mergeCell ref="AI62:AK62"/>
    <mergeCell ref="AF62:AH62"/>
    <mergeCell ref="AI61:AK61"/>
    <mergeCell ref="U61:X61"/>
    <mergeCell ref="E26:H26"/>
    <mergeCell ref="I27:L27"/>
    <mergeCell ref="J59:M59"/>
    <mergeCell ref="I28:L28"/>
    <mergeCell ref="E31:H31"/>
    <mergeCell ref="I30:L30"/>
    <mergeCell ref="M28:P28"/>
    <mergeCell ref="C52:P52"/>
    <mergeCell ref="C51:D51"/>
    <mergeCell ref="E51:F51"/>
    <mergeCell ref="G51:H51"/>
    <mergeCell ref="O51:P51"/>
    <mergeCell ref="E38:F38"/>
    <mergeCell ref="G38:H38"/>
    <mergeCell ref="E39:F39"/>
    <mergeCell ref="U38:X38"/>
    <mergeCell ref="I40:L40"/>
    <mergeCell ref="AD18:AE18"/>
    <mergeCell ref="N18:O18"/>
    <mergeCell ref="V18:W18"/>
    <mergeCell ref="C12:J12"/>
    <mergeCell ref="C13:J13"/>
    <mergeCell ref="K13:N13"/>
    <mergeCell ref="B16:AK16"/>
    <mergeCell ref="E25:H25"/>
    <mergeCell ref="E24:H24"/>
    <mergeCell ref="I24:L24"/>
    <mergeCell ref="E23:H23"/>
    <mergeCell ref="I23:L23"/>
    <mergeCell ref="Y13:AC13"/>
    <mergeCell ref="AG30:AJ30"/>
    <mergeCell ref="AG31:AJ31"/>
    <mergeCell ref="AG21:AJ21"/>
    <mergeCell ref="AD21:AE21"/>
    <mergeCell ref="AD22:AE22"/>
    <mergeCell ref="AG23:AJ23"/>
    <mergeCell ref="AC23:AF23"/>
    <mergeCell ref="U28:X28"/>
    <mergeCell ref="AC30:AF30"/>
    <mergeCell ref="M25:P25"/>
    <mergeCell ref="Y14:AC14"/>
    <mergeCell ref="C11:J11"/>
    <mergeCell ref="J21:K21"/>
    <mergeCell ref="J22:K22"/>
    <mergeCell ref="C24:D24"/>
    <mergeCell ref="C54:D54"/>
    <mergeCell ref="M54:N54"/>
    <mergeCell ref="I54:J54"/>
    <mergeCell ref="K54:L54"/>
    <mergeCell ref="E54:F54"/>
    <mergeCell ref="C25:D25"/>
    <mergeCell ref="M27:P27"/>
    <mergeCell ref="I26:L26"/>
    <mergeCell ref="M39:P39"/>
    <mergeCell ref="Q13:V13"/>
    <mergeCell ref="S26:T26"/>
    <mergeCell ref="V21:W21"/>
    <mergeCell ref="N21:O21"/>
    <mergeCell ref="V22:W22"/>
    <mergeCell ref="U24:X24"/>
    <mergeCell ref="Q24:T24"/>
    <mergeCell ref="U23:X23"/>
    <mergeCell ref="Q25:T25"/>
    <mergeCell ref="N22:O22"/>
    <mergeCell ref="M26:P26"/>
    <mergeCell ref="I25:L25"/>
    <mergeCell ref="C14:J14"/>
    <mergeCell ref="K12:N12"/>
    <mergeCell ref="C15:J15"/>
    <mergeCell ref="J18:K18"/>
    <mergeCell ref="K14:N14"/>
    <mergeCell ref="B17:AI17"/>
    <mergeCell ref="Y12:AC12"/>
    <mergeCell ref="AH106:AJ106"/>
    <mergeCell ref="S134:V134"/>
    <mergeCell ref="Y133:AB133"/>
    <mergeCell ref="Y134:AB134"/>
    <mergeCell ref="U41:X41"/>
    <mergeCell ref="B48:AC48"/>
    <mergeCell ref="S132:V132"/>
    <mergeCell ref="S131:V131"/>
    <mergeCell ref="Y131:AB131"/>
    <mergeCell ref="Z123:AB123"/>
    <mergeCell ref="AD115:AG115"/>
    <mergeCell ref="AH114:AJ114"/>
    <mergeCell ref="Z105:AC105"/>
    <mergeCell ref="S133:V133"/>
    <mergeCell ref="Y132:AB132"/>
    <mergeCell ref="AF132:AI132"/>
    <mergeCell ref="R114:S114"/>
    <mergeCell ref="R112:S112"/>
    <mergeCell ref="Z112:AG112"/>
    <mergeCell ref="I41:L41"/>
    <mergeCell ref="M41:P41"/>
    <mergeCell ref="M55:N55"/>
    <mergeCell ref="C60:F60"/>
    <mergeCell ref="N60:P60"/>
    <mergeCell ref="G60:H60"/>
    <mergeCell ref="E55:F55"/>
    <mergeCell ref="E56:F56"/>
    <mergeCell ref="C57:P57"/>
    <mergeCell ref="G56:H56"/>
    <mergeCell ref="I55:J55"/>
    <mergeCell ref="O56:P56"/>
    <mergeCell ref="AD107:AG107"/>
    <mergeCell ref="Z110:AG110"/>
    <mergeCell ref="Z107:AC107"/>
    <mergeCell ref="T107:X107"/>
    <mergeCell ref="U113:X113"/>
    <mergeCell ref="AC35:AF35"/>
    <mergeCell ref="AC31:AF31"/>
    <mergeCell ref="AC123:AM123"/>
    <mergeCell ref="AF131:AI131"/>
    <mergeCell ref="AG24:AJ24"/>
    <mergeCell ref="AC26:AF26"/>
    <mergeCell ref="AC24:AF24"/>
    <mergeCell ref="AG25:AJ25"/>
    <mergeCell ref="AI26:AJ26"/>
    <mergeCell ref="AG26:AH26"/>
    <mergeCell ref="AC25:AF25"/>
    <mergeCell ref="AC39:AF39"/>
    <mergeCell ref="Q57:AK57"/>
    <mergeCell ref="U54:W54"/>
    <mergeCell ref="U26:X26"/>
    <mergeCell ref="AC27:AF27"/>
    <mergeCell ref="R113:S113"/>
    <mergeCell ref="U105:X105"/>
    <mergeCell ref="R106:S106"/>
    <mergeCell ref="U106:X106"/>
    <mergeCell ref="AB66:AK66"/>
    <mergeCell ref="U63:X63"/>
    <mergeCell ref="X55:Z55"/>
    <mergeCell ref="N59:S59"/>
    <mergeCell ref="Q61:S61"/>
    <mergeCell ref="AB59:AE59"/>
    <mergeCell ref="AD55:AE55"/>
    <mergeCell ref="U59:Z59"/>
    <mergeCell ref="Y143:AB143"/>
    <mergeCell ref="Y141:AB141"/>
    <mergeCell ref="Z114:AC114"/>
    <mergeCell ref="Y142:AB142"/>
    <mergeCell ref="AF134:AI134"/>
    <mergeCell ref="AF136:AL136"/>
    <mergeCell ref="S136:V136"/>
    <mergeCell ref="S135:V135"/>
    <mergeCell ref="S137:V137"/>
    <mergeCell ref="Y135:AB135"/>
    <mergeCell ref="Y137:AB137"/>
    <mergeCell ref="AH183:AJ183"/>
    <mergeCell ref="AB183:AD183"/>
    <mergeCell ref="AE183:AG183"/>
    <mergeCell ref="T150:W150"/>
    <mergeCell ref="AE151:AF151"/>
    <mergeCell ref="AD114:AG114"/>
    <mergeCell ref="AJ141:AM141"/>
    <mergeCell ref="S140:V140"/>
    <mergeCell ref="Y138:AB138"/>
    <mergeCell ref="Y140:AB140"/>
    <mergeCell ref="Y139:AB139"/>
    <mergeCell ref="T115:X115"/>
    <mergeCell ref="J112:M112"/>
    <mergeCell ref="J105:M105"/>
    <mergeCell ref="C109:P109"/>
    <mergeCell ref="J110:M110"/>
    <mergeCell ref="AD105:AG105"/>
    <mergeCell ref="AC19:AF19"/>
    <mergeCell ref="AD20:AE20"/>
    <mergeCell ref="U25:X25"/>
    <mergeCell ref="U19:X19"/>
    <mergeCell ref="U32:X32"/>
    <mergeCell ref="AC41:AF41"/>
    <mergeCell ref="AC33:AF33"/>
    <mergeCell ref="AA55:AC55"/>
    <mergeCell ref="O54:P54"/>
    <mergeCell ref="O55:P55"/>
    <mergeCell ref="AH52:AJ52"/>
    <mergeCell ref="X54:Z54"/>
    <mergeCell ref="AF55:AH55"/>
    <mergeCell ref="AC52:AG52"/>
    <mergeCell ref="U55:W55"/>
    <mergeCell ref="Q52:AB52"/>
    <mergeCell ref="AA54:AC54"/>
    <mergeCell ref="U27:X27"/>
    <mergeCell ref="I19:L19"/>
    <mergeCell ref="M19:P19"/>
    <mergeCell ref="J20:K20"/>
    <mergeCell ref="V20:W20"/>
    <mergeCell ref="N20:O20"/>
    <mergeCell ref="AJ44:AM44"/>
    <mergeCell ref="AD44:AI44"/>
    <mergeCell ref="M23:P23"/>
    <mergeCell ref="M24:P24"/>
    <mergeCell ref="J104:M104"/>
    <mergeCell ref="O74:U74"/>
    <mergeCell ref="U65:X65"/>
    <mergeCell ref="V75:W75"/>
    <mergeCell ref="B88:AC88"/>
    <mergeCell ref="U97:X97"/>
    <mergeCell ref="T99:X99"/>
    <mergeCell ref="Y75:AL75"/>
    <mergeCell ref="Y65:Z65"/>
    <mergeCell ref="K92:L92"/>
    <mergeCell ref="Q64:S64"/>
    <mergeCell ref="C73:N73"/>
    <mergeCell ref="G64:H64"/>
    <mergeCell ref="O75:U75"/>
    <mergeCell ref="O72:R72"/>
    <mergeCell ref="J102:M102"/>
    <mergeCell ref="B89:AM89"/>
    <mergeCell ref="AD97:AG97"/>
    <mergeCell ref="AD98:AG98"/>
    <mergeCell ref="J99:M99"/>
    <mergeCell ref="N94:P94"/>
    <mergeCell ref="H80:AD80"/>
    <mergeCell ref="Q63:S63"/>
    <mergeCell ref="C101:P101"/>
    <mergeCell ref="C102:I102"/>
    <mergeCell ref="M75:N75"/>
    <mergeCell ref="U60:X60"/>
    <mergeCell ref="T151:W151"/>
    <mergeCell ref="T153:W153"/>
    <mergeCell ref="C155:F155"/>
    <mergeCell ref="C157:F157"/>
    <mergeCell ref="P153:S153"/>
    <mergeCell ref="AH185:AJ185"/>
    <mergeCell ref="AE185:AG185"/>
    <mergeCell ref="AB185:AD185"/>
    <mergeCell ref="Q198:T198"/>
    <mergeCell ref="AH186:AJ186"/>
    <mergeCell ref="V197:Y197"/>
    <mergeCell ref="V194:Y194"/>
    <mergeCell ref="Q193:T193"/>
    <mergeCell ref="V198:Y198"/>
    <mergeCell ref="C179:F179"/>
    <mergeCell ref="N97:Q97"/>
    <mergeCell ref="R97:S97"/>
    <mergeCell ref="U98:X98"/>
    <mergeCell ref="R98:S98"/>
    <mergeCell ref="AH98:AJ98"/>
    <mergeCell ref="Z96:AG96"/>
    <mergeCell ref="Z98:AC98"/>
    <mergeCell ref="U112:X112"/>
    <mergeCell ref="R104:S104"/>
    <mergeCell ref="U104:X104"/>
    <mergeCell ref="G78:AD78"/>
    <mergeCell ref="Z99:AC99"/>
    <mergeCell ref="V200:Y200"/>
    <mergeCell ref="AB189:AD189"/>
    <mergeCell ref="AE189:AG189"/>
    <mergeCell ref="AH189:AJ189"/>
    <mergeCell ref="AB190:AD190"/>
    <mergeCell ref="AE190:AG190"/>
    <mergeCell ref="AH190:AJ190"/>
    <mergeCell ref="AB188:AD188"/>
    <mergeCell ref="AE188:AG188"/>
    <mergeCell ref="AH188:AJ188"/>
    <mergeCell ref="AH184:AJ184"/>
    <mergeCell ref="AE184:AG184"/>
    <mergeCell ref="AB184:AD184"/>
    <mergeCell ref="C185:E185"/>
    <mergeCell ref="Q200:T200"/>
    <mergeCell ref="G198:J198"/>
    <mergeCell ref="C181:F181"/>
    <mergeCell ref="L200:O200"/>
    <mergeCell ref="H184:J184"/>
    <mergeCell ref="P244:R244"/>
    <mergeCell ref="P243:R243"/>
    <mergeCell ref="AH240:AJ240"/>
    <mergeCell ref="Y382:AL382"/>
    <mergeCell ref="AL380:AM380"/>
    <mergeCell ref="S247:U247"/>
    <mergeCell ref="AH246:AJ246"/>
    <mergeCell ref="Y250:AA250"/>
    <mergeCell ref="AB246:AD246"/>
    <mergeCell ref="AE246:AG246"/>
    <mergeCell ref="AB247:AD247"/>
    <mergeCell ref="V240:X240"/>
    <mergeCell ref="AL273:AN273"/>
    <mergeCell ref="AL272:AN272"/>
    <mergeCell ref="AL276:AN276"/>
    <mergeCell ref="AL275:AN275"/>
    <mergeCell ref="AH276:AJ276"/>
    <mergeCell ref="Y276:AA276"/>
    <mergeCell ref="AF276:AG276"/>
    <mergeCell ref="AC275:AE275"/>
    <mergeCell ref="P276:R276"/>
    <mergeCell ref="P279:R279"/>
    <mergeCell ref="AL278:AN278"/>
    <mergeCell ref="AL277:AN277"/>
    <mergeCell ref="AF277:AG277"/>
    <mergeCell ref="AF278:AG278"/>
    <mergeCell ref="AE240:AG240"/>
    <mergeCell ref="AB240:AD240"/>
    <mergeCell ref="S240:U240"/>
    <mergeCell ref="Y240:AA240"/>
    <mergeCell ref="T271:V271"/>
    <mergeCell ref="AK246:AM246"/>
    <mergeCell ref="Q210:T210"/>
    <mergeCell ref="V209:Y209"/>
    <mergeCell ref="L206:O206"/>
    <mergeCell ref="G207:J207"/>
    <mergeCell ref="L209:O209"/>
    <mergeCell ref="L208:O208"/>
    <mergeCell ref="Q211:T211"/>
    <mergeCell ref="Q208:T208"/>
    <mergeCell ref="G206:J206"/>
    <mergeCell ref="G212:J212"/>
    <mergeCell ref="L212:O212"/>
    <mergeCell ref="G208:J208"/>
    <mergeCell ref="G211:J211"/>
    <mergeCell ref="L211:O211"/>
    <mergeCell ref="G210:J210"/>
    <mergeCell ref="L210:O210"/>
    <mergeCell ref="G209:J209"/>
    <mergeCell ref="V207:Y207"/>
    <mergeCell ref="V212:Y212"/>
    <mergeCell ref="V208:Y208"/>
    <mergeCell ref="G213:J213"/>
    <mergeCell ref="V215:Y215"/>
    <mergeCell ref="G214:J214"/>
    <mergeCell ref="L214:O214"/>
    <mergeCell ref="Q214:T214"/>
    <mergeCell ref="G215:J215"/>
    <mergeCell ref="V214:Y214"/>
    <mergeCell ref="L213:O213"/>
    <mergeCell ref="L217:O217"/>
    <mergeCell ref="Q217:T217"/>
    <mergeCell ref="V217:Y217"/>
    <mergeCell ref="G216:J216"/>
    <mergeCell ref="L216:O216"/>
    <mergeCell ref="Q216:T216"/>
    <mergeCell ref="G217:J217"/>
    <mergeCell ref="V216:Y216"/>
    <mergeCell ref="L219:O219"/>
    <mergeCell ref="Q219:T219"/>
    <mergeCell ref="V219:Y219"/>
    <mergeCell ref="G218:J218"/>
    <mergeCell ref="L218:O218"/>
    <mergeCell ref="Q218:T218"/>
    <mergeCell ref="G219:J219"/>
    <mergeCell ref="V218:Y218"/>
    <mergeCell ref="V213:Y213"/>
    <mergeCell ref="V221:Y221"/>
    <mergeCell ref="G220:J220"/>
    <mergeCell ref="L220:O220"/>
    <mergeCell ref="Q220:T220"/>
    <mergeCell ref="G221:J221"/>
    <mergeCell ref="V220:Y220"/>
    <mergeCell ref="V223:Y223"/>
    <mergeCell ref="G222:J222"/>
    <mergeCell ref="L222:O222"/>
    <mergeCell ref="Q222:T222"/>
    <mergeCell ref="G223:J223"/>
    <mergeCell ref="V222:Y222"/>
    <mergeCell ref="G224:J224"/>
    <mergeCell ref="L224:O224"/>
    <mergeCell ref="Q224:T224"/>
    <mergeCell ref="L225:O225"/>
    <mergeCell ref="Q225:T225"/>
    <mergeCell ref="L223:O223"/>
    <mergeCell ref="Q223:T223"/>
    <mergeCell ref="V224:Y224"/>
    <mergeCell ref="V225:Y225"/>
    <mergeCell ref="V227:Y227"/>
    <mergeCell ref="V226:Y226"/>
    <mergeCell ref="AK231:AM231"/>
    <mergeCell ref="AB231:AD231"/>
    <mergeCell ref="AE231:AG231"/>
    <mergeCell ref="AH231:AJ231"/>
    <mergeCell ref="L227:O227"/>
    <mergeCell ref="Q227:T227"/>
    <mergeCell ref="Q228:T228"/>
    <mergeCell ref="M231:O231"/>
    <mergeCell ref="AB233:AD233"/>
    <mergeCell ref="AE234:AG234"/>
    <mergeCell ref="AK233:AM233"/>
    <mergeCell ref="AE236:AG236"/>
    <mergeCell ref="AK236:AM236"/>
    <mergeCell ref="AK234:AM234"/>
    <mergeCell ref="AH233:AJ233"/>
    <mergeCell ref="AH234:AJ234"/>
    <mergeCell ref="AH236:AJ236"/>
    <mergeCell ref="L228:O228"/>
    <mergeCell ref="J233:L233"/>
    <mergeCell ref="G228:J228"/>
    <mergeCell ref="G231:I231"/>
    <mergeCell ref="AB236:AD236"/>
    <mergeCell ref="M236:O236"/>
    <mergeCell ref="J231:L231"/>
    <mergeCell ref="J236:L236"/>
    <mergeCell ref="M233:O233"/>
    <mergeCell ref="M234:O234"/>
    <mergeCell ref="P233:R233"/>
    <mergeCell ref="AK237:AM237"/>
    <mergeCell ref="AE233:AG233"/>
    <mergeCell ref="AB234:AD234"/>
    <mergeCell ref="S233:U233"/>
    <mergeCell ref="S234:U234"/>
    <mergeCell ref="V234:X234"/>
    <mergeCell ref="Y234:AA234"/>
    <mergeCell ref="Y233:AA233"/>
    <mergeCell ref="AH237:AJ237"/>
    <mergeCell ref="V239:X239"/>
    <mergeCell ref="D240:F240"/>
    <mergeCell ref="J239:L239"/>
    <mergeCell ref="M239:O239"/>
    <mergeCell ref="AB237:AD237"/>
    <mergeCell ref="P240:R240"/>
    <mergeCell ref="G240:I240"/>
    <mergeCell ref="J240:L240"/>
    <mergeCell ref="M240:O240"/>
    <mergeCell ref="AK239:AM239"/>
    <mergeCell ref="Y239:AA239"/>
    <mergeCell ref="P239:R239"/>
    <mergeCell ref="S239:U239"/>
    <mergeCell ref="G239:I239"/>
    <mergeCell ref="AK240:AM240"/>
    <mergeCell ref="J237:L237"/>
    <mergeCell ref="AN237:AP237"/>
    <mergeCell ref="AN239:AP239"/>
    <mergeCell ref="AN242:AP242"/>
    <mergeCell ref="AH239:AJ239"/>
    <mergeCell ref="S237:U237"/>
    <mergeCell ref="V237:X237"/>
    <mergeCell ref="Y237:AA237"/>
    <mergeCell ref="AB239:AD239"/>
    <mergeCell ref="AE239:AG239"/>
    <mergeCell ref="AE237:AG237"/>
    <mergeCell ref="AN245:AP245"/>
    <mergeCell ref="AN248:AP248"/>
    <mergeCell ref="AN251:AP251"/>
    <mergeCell ref="AN246:AP246"/>
    <mergeCell ref="AN249:AP249"/>
    <mergeCell ref="AN233:AP233"/>
    <mergeCell ref="AN236:AP236"/>
    <mergeCell ref="AN240:AP240"/>
    <mergeCell ref="AN243:AP243"/>
    <mergeCell ref="AN234:AP234"/>
    <mergeCell ref="V245:X245"/>
    <mergeCell ref="Y242:AA242"/>
    <mergeCell ref="Y248:AA248"/>
    <mergeCell ref="Y243:AA243"/>
    <mergeCell ref="V247:X247"/>
    <mergeCell ref="Y247:AA247"/>
    <mergeCell ref="S242:U242"/>
    <mergeCell ref="S243:U243"/>
    <mergeCell ref="Y246:AA246"/>
    <mergeCell ref="V243:X243"/>
    <mergeCell ref="S245:U245"/>
    <mergeCell ref="V246:X246"/>
    <mergeCell ref="AN252:AP252"/>
    <mergeCell ref="J252:L252"/>
    <mergeCell ref="M252:O252"/>
    <mergeCell ref="P252:R252"/>
    <mergeCell ref="S252:U252"/>
    <mergeCell ref="AK252:AM252"/>
    <mergeCell ref="V252:X252"/>
    <mergeCell ref="AH252:AJ252"/>
    <mergeCell ref="Y252:AA252"/>
    <mergeCell ref="AB252:AD252"/>
    <mergeCell ref="J259:L259"/>
    <mergeCell ref="M259:O259"/>
    <mergeCell ref="P259:R259"/>
    <mergeCell ref="N269:O269"/>
    <mergeCell ref="J262:L262"/>
    <mergeCell ref="M262:O262"/>
    <mergeCell ref="P262:R262"/>
    <mergeCell ref="J261:L261"/>
    <mergeCell ref="P265:R265"/>
    <mergeCell ref="K268:M268"/>
    <mergeCell ref="S265:U265"/>
    <mergeCell ref="V265:X265"/>
    <mergeCell ref="Y265:AA265"/>
    <mergeCell ref="AF269:AG269"/>
    <mergeCell ref="AC269:AE269"/>
    <mergeCell ref="AB265:AD265"/>
    <mergeCell ref="AC268:AE268"/>
    <mergeCell ref="V253:X253"/>
    <mergeCell ref="P256:R256"/>
    <mergeCell ref="AB264:AD264"/>
    <mergeCell ref="AN255:AP255"/>
    <mergeCell ref="AN256:AP256"/>
    <mergeCell ref="AZ272:BB272"/>
    <mergeCell ref="AH275:AJ275"/>
    <mergeCell ref="AX272:AY272"/>
    <mergeCell ref="AU272:AW272"/>
    <mergeCell ref="AU275:AW275"/>
    <mergeCell ref="AQ273:AS273"/>
    <mergeCell ref="AU273:AW273"/>
    <mergeCell ref="AQ268:AS268"/>
    <mergeCell ref="AC273:AE273"/>
    <mergeCell ref="P278:R278"/>
    <mergeCell ref="W277:X277"/>
    <mergeCell ref="W278:X278"/>
    <mergeCell ref="W276:X276"/>
    <mergeCell ref="Y273:AA273"/>
    <mergeCell ref="AC276:AE276"/>
    <mergeCell ref="P273:R273"/>
    <mergeCell ref="Y275:AA275"/>
    <mergeCell ref="AZ269:BB269"/>
    <mergeCell ref="AZ270:BB270"/>
    <mergeCell ref="AZ271:BB271"/>
    <mergeCell ref="AH269:AJ269"/>
    <mergeCell ref="AH270:AJ270"/>
    <mergeCell ref="AH271:AJ271"/>
    <mergeCell ref="AQ271:AS271"/>
    <mergeCell ref="AF271:AG271"/>
    <mergeCell ref="AF270:AG270"/>
    <mergeCell ref="AC271:AE271"/>
    <mergeCell ref="T269:V269"/>
    <mergeCell ref="T270:V270"/>
    <mergeCell ref="W269:X269"/>
    <mergeCell ref="Y269:AA269"/>
    <mergeCell ref="W271:X271"/>
    <mergeCell ref="AQ284:AS284"/>
    <mergeCell ref="AZ268:BB268"/>
    <mergeCell ref="AO269:AP269"/>
    <mergeCell ref="AO270:AP270"/>
    <mergeCell ref="AO271:AP271"/>
    <mergeCell ref="AQ269:AS269"/>
    <mergeCell ref="AQ270:AS270"/>
    <mergeCell ref="AX269:AY269"/>
    <mergeCell ref="AX270:AY270"/>
    <mergeCell ref="AX271:AY271"/>
    <mergeCell ref="T285:V285"/>
    <mergeCell ref="W285:X285"/>
    <mergeCell ref="Y285:AA285"/>
    <mergeCell ref="AH284:AJ284"/>
    <mergeCell ref="AU284:AW284"/>
    <mergeCell ref="P284:R284"/>
    <mergeCell ref="T284:V284"/>
    <mergeCell ref="Y284:AA284"/>
    <mergeCell ref="AC284:AE284"/>
    <mergeCell ref="AL284:AN284"/>
    <mergeCell ref="AC285:AE285"/>
    <mergeCell ref="AF285:AG285"/>
    <mergeCell ref="AH285:AJ285"/>
    <mergeCell ref="AL285:AN285"/>
    <mergeCell ref="AZ284:BB284"/>
    <mergeCell ref="P285:R285"/>
    <mergeCell ref="P272:R272"/>
    <mergeCell ref="W272:X272"/>
    <mergeCell ref="W270:X270"/>
    <mergeCell ref="P275:R275"/>
    <mergeCell ref="AZ275:BB275"/>
    <mergeCell ref="AZ273:BB273"/>
    <mergeCell ref="AZ290:BB290"/>
    <mergeCell ref="E287:F287"/>
    <mergeCell ref="N286:O286"/>
    <mergeCell ref="P286:R286"/>
    <mergeCell ref="T286:V286"/>
    <mergeCell ref="AX286:AY286"/>
    <mergeCell ref="AC286:AE286"/>
    <mergeCell ref="AF286:AG286"/>
    <mergeCell ref="AH286:AJ286"/>
    <mergeCell ref="AL286:AN286"/>
    <mergeCell ref="AZ285:BB285"/>
    <mergeCell ref="AO285:AP285"/>
    <mergeCell ref="AQ285:AS285"/>
    <mergeCell ref="AU285:AW285"/>
    <mergeCell ref="AX285:AY285"/>
    <mergeCell ref="T287:V287"/>
    <mergeCell ref="W287:X287"/>
    <mergeCell ref="Y287:AA287"/>
    <mergeCell ref="AO286:AP286"/>
    <mergeCell ref="AQ286:AS286"/>
    <mergeCell ref="AU286:AW286"/>
    <mergeCell ref="W286:X286"/>
    <mergeCell ref="Y286:AA286"/>
    <mergeCell ref="AO287:AP287"/>
    <mergeCell ref="AQ287:AS287"/>
    <mergeCell ref="AU287:AW287"/>
    <mergeCell ref="AX287:AY287"/>
    <mergeCell ref="AZ286:BB286"/>
    <mergeCell ref="AH287:AJ287"/>
    <mergeCell ref="AL287:AN287"/>
    <mergeCell ref="G285:I285"/>
    <mergeCell ref="K285:M285"/>
    <mergeCell ref="AX291:AY291"/>
    <mergeCell ref="AO291:AP291"/>
    <mergeCell ref="AQ291:AS291"/>
    <mergeCell ref="AU291:AW291"/>
    <mergeCell ref="AC291:AE291"/>
    <mergeCell ref="AF291:AG291"/>
    <mergeCell ref="AH291:AJ291"/>
    <mergeCell ref="AZ292:BB292"/>
    <mergeCell ref="K287:M287"/>
    <mergeCell ref="N287:O287"/>
    <mergeCell ref="P287:R287"/>
    <mergeCell ref="AZ287:BB287"/>
    <mergeCell ref="B288:D288"/>
    <mergeCell ref="G288:I288"/>
    <mergeCell ref="K288:M288"/>
    <mergeCell ref="P288:R288"/>
    <mergeCell ref="T288:V288"/>
    <mergeCell ref="Y288:AA288"/>
    <mergeCell ref="AC288:AE288"/>
    <mergeCell ref="AH288:AJ288"/>
    <mergeCell ref="AL288:AN288"/>
    <mergeCell ref="AQ290:AS290"/>
    <mergeCell ref="AQ288:AS288"/>
    <mergeCell ref="AU288:AW288"/>
    <mergeCell ref="AZ288:BB288"/>
    <mergeCell ref="B290:D290"/>
    <mergeCell ref="E290:F290"/>
    <mergeCell ref="G290:I290"/>
    <mergeCell ref="K290:M290"/>
    <mergeCell ref="P290:R290"/>
    <mergeCell ref="T290:V290"/>
    <mergeCell ref="AU290:AW290"/>
    <mergeCell ref="AZ291:BB291"/>
    <mergeCell ref="B293:D293"/>
    <mergeCell ref="E293:F293"/>
    <mergeCell ref="G293:I293"/>
    <mergeCell ref="K293:M293"/>
    <mergeCell ref="N293:O293"/>
    <mergeCell ref="AC292:AE292"/>
    <mergeCell ref="B294:D294"/>
    <mergeCell ref="G294:I294"/>
    <mergeCell ref="K294:M294"/>
    <mergeCell ref="P294:R294"/>
    <mergeCell ref="AO293:AP293"/>
    <mergeCell ref="AQ293:AS293"/>
    <mergeCell ref="AF293:AG293"/>
    <mergeCell ref="AH293:AJ293"/>
    <mergeCell ref="AQ294:AS294"/>
    <mergeCell ref="K291:M291"/>
    <mergeCell ref="N291:O291"/>
    <mergeCell ref="P291:R291"/>
    <mergeCell ref="T291:V291"/>
    <mergeCell ref="W291:X291"/>
    <mergeCell ref="B292:D292"/>
    <mergeCell ref="E292:F292"/>
    <mergeCell ref="G292:I292"/>
    <mergeCell ref="K292:M292"/>
    <mergeCell ref="N292:O292"/>
    <mergeCell ref="P292:R292"/>
    <mergeCell ref="T292:V292"/>
    <mergeCell ref="W292:X292"/>
    <mergeCell ref="AL291:AN291"/>
    <mergeCell ref="Y294:AA294"/>
    <mergeCell ref="AC294:AE294"/>
    <mergeCell ref="AU294:AW294"/>
    <mergeCell ref="AO292:AP292"/>
    <mergeCell ref="AQ292:AS292"/>
    <mergeCell ref="AU292:AW292"/>
    <mergeCell ref="AZ294:BB294"/>
    <mergeCell ref="AX293:AY293"/>
    <mergeCell ref="AZ293:BB293"/>
    <mergeCell ref="AU293:AW293"/>
    <mergeCell ref="AX292:AY292"/>
    <mergeCell ref="Y297:AA297"/>
    <mergeCell ref="Y299:AA299"/>
    <mergeCell ref="AF287:AG287"/>
    <mergeCell ref="M297:O297"/>
    <mergeCell ref="P297:R297"/>
    <mergeCell ref="S297:U297"/>
    <mergeCell ref="V297:X297"/>
    <mergeCell ref="AB297:AD297"/>
    <mergeCell ref="AE297:AG297"/>
    <mergeCell ref="AF292:AG292"/>
    <mergeCell ref="AC290:AE290"/>
    <mergeCell ref="AL292:AN292"/>
    <mergeCell ref="AL294:AN294"/>
    <mergeCell ref="Y293:AA293"/>
    <mergeCell ref="AC293:AE293"/>
    <mergeCell ref="AC287:AE287"/>
    <mergeCell ref="AH292:AJ292"/>
    <mergeCell ref="AH290:AJ290"/>
    <mergeCell ref="AL290:AN290"/>
    <mergeCell ref="Y290:AA290"/>
    <mergeCell ref="P293:R293"/>
    <mergeCell ref="T293:V293"/>
    <mergeCell ref="W293:X293"/>
    <mergeCell ref="AL293:AN293"/>
    <mergeCell ref="AH297:AJ297"/>
    <mergeCell ref="AK297:AM297"/>
    <mergeCell ref="M298:O298"/>
    <mergeCell ref="P298:R298"/>
    <mergeCell ref="S298:U298"/>
    <mergeCell ref="Y298:AA298"/>
    <mergeCell ref="AB298:AD298"/>
    <mergeCell ref="AE298:AG298"/>
    <mergeCell ref="AH298:AJ298"/>
    <mergeCell ref="AK298:AM298"/>
    <mergeCell ref="D299:F299"/>
    <mergeCell ref="G299:I299"/>
    <mergeCell ref="J299:L299"/>
    <mergeCell ref="Y301:AA301"/>
    <mergeCell ref="B298:C298"/>
    <mergeCell ref="D298:F298"/>
    <mergeCell ref="G298:I298"/>
    <mergeCell ref="J298:L298"/>
    <mergeCell ref="AB299:AD299"/>
    <mergeCell ref="AE299:AG299"/>
    <mergeCell ref="AH299:AJ299"/>
    <mergeCell ref="M299:O299"/>
    <mergeCell ref="P299:R299"/>
    <mergeCell ref="S299:U299"/>
    <mergeCell ref="V299:X299"/>
    <mergeCell ref="AK299:AM299"/>
    <mergeCell ref="AH294:AJ294"/>
    <mergeCell ref="AK300:AM300"/>
    <mergeCell ref="Y300:AA300"/>
    <mergeCell ref="AB300:AD300"/>
    <mergeCell ref="AE300:AG300"/>
    <mergeCell ref="V303:X303"/>
    <mergeCell ref="P302:R302"/>
    <mergeCell ref="S302:U302"/>
    <mergeCell ref="V302:X302"/>
    <mergeCell ref="AH300:AJ300"/>
    <mergeCell ref="AK302:AM302"/>
    <mergeCell ref="AH302:AJ302"/>
    <mergeCell ref="B303:C303"/>
    <mergeCell ref="D303:F303"/>
    <mergeCell ref="G303:I303"/>
    <mergeCell ref="J303:L303"/>
    <mergeCell ref="AE304:AG304"/>
    <mergeCell ref="B301:C301"/>
    <mergeCell ref="D301:F301"/>
    <mergeCell ref="G301:I301"/>
    <mergeCell ref="J301:L301"/>
    <mergeCell ref="B300:C300"/>
    <mergeCell ref="D300:F300"/>
    <mergeCell ref="G300:I300"/>
    <mergeCell ref="J300:L300"/>
    <mergeCell ref="AB301:AD301"/>
    <mergeCell ref="AE301:AG301"/>
    <mergeCell ref="AH301:AJ301"/>
    <mergeCell ref="AH303:AJ303"/>
    <mergeCell ref="M301:O301"/>
    <mergeCell ref="P301:R301"/>
    <mergeCell ref="S301:U301"/>
    <mergeCell ref="V301:X301"/>
    <mergeCell ref="AK301:AM301"/>
    <mergeCell ref="AK303:AM303"/>
    <mergeCell ref="AK305:AM305"/>
    <mergeCell ref="AK304:AM304"/>
    <mergeCell ref="AH304:AJ304"/>
    <mergeCell ref="AB302:AD302"/>
    <mergeCell ref="AE302:AG302"/>
    <mergeCell ref="AE303:AG303"/>
    <mergeCell ref="AB303:AD303"/>
    <mergeCell ref="B304:C304"/>
    <mergeCell ref="D304:F304"/>
    <mergeCell ref="G304:I304"/>
    <mergeCell ref="AK307:AM307"/>
    <mergeCell ref="AK308:AM308"/>
    <mergeCell ref="J307:L307"/>
    <mergeCell ref="G307:I307"/>
    <mergeCell ref="AE309:AG309"/>
    <mergeCell ref="AH309:AJ309"/>
    <mergeCell ref="D305:F305"/>
    <mergeCell ref="G305:I305"/>
    <mergeCell ref="J305:L305"/>
    <mergeCell ref="M305:O305"/>
    <mergeCell ref="P305:R305"/>
    <mergeCell ref="S305:U305"/>
    <mergeCell ref="V305:X305"/>
    <mergeCell ref="Y305:AA305"/>
    <mergeCell ref="B302:C302"/>
    <mergeCell ref="D302:F302"/>
    <mergeCell ref="G302:I302"/>
    <mergeCell ref="J302:L302"/>
    <mergeCell ref="M302:O302"/>
    <mergeCell ref="M303:O303"/>
    <mergeCell ref="P303:R303"/>
    <mergeCell ref="S303:U303"/>
    <mergeCell ref="AH308:AJ308"/>
    <mergeCell ref="AE305:AG305"/>
    <mergeCell ref="AB305:AD305"/>
    <mergeCell ref="M304:O304"/>
    <mergeCell ref="P304:R304"/>
    <mergeCell ref="S304:U304"/>
    <mergeCell ref="Y304:AA304"/>
    <mergeCell ref="M310:O310"/>
    <mergeCell ref="J304:L304"/>
    <mergeCell ref="AB307:AD307"/>
    <mergeCell ref="AE307:AG307"/>
    <mergeCell ref="D308:F308"/>
    <mergeCell ref="G308:I308"/>
    <mergeCell ref="J308:L308"/>
    <mergeCell ref="M308:O308"/>
    <mergeCell ref="P308:R308"/>
    <mergeCell ref="S308:U308"/>
    <mergeCell ref="V308:X308"/>
    <mergeCell ref="Y308:AA308"/>
    <mergeCell ref="Y307:AA307"/>
    <mergeCell ref="AH307:AJ307"/>
    <mergeCell ref="AH305:AJ305"/>
    <mergeCell ref="D313:F313"/>
    <mergeCell ref="G313:I313"/>
    <mergeCell ref="J313:L313"/>
    <mergeCell ref="AH312:AJ312"/>
    <mergeCell ref="AB312:AD312"/>
    <mergeCell ref="Y312:AA312"/>
    <mergeCell ref="M313:O313"/>
    <mergeCell ref="P313:R313"/>
    <mergeCell ref="AE312:AG312"/>
    <mergeCell ref="P312:R312"/>
    <mergeCell ref="S312:U312"/>
    <mergeCell ref="V312:X312"/>
    <mergeCell ref="S313:U313"/>
    <mergeCell ref="D310:F310"/>
    <mergeCell ref="G310:I310"/>
    <mergeCell ref="J310:L310"/>
    <mergeCell ref="AH310:AJ310"/>
    <mergeCell ref="AE310:AG310"/>
    <mergeCell ref="B323:C323"/>
    <mergeCell ref="D323:F323"/>
    <mergeCell ref="G323:I323"/>
    <mergeCell ref="B321:C321"/>
    <mergeCell ref="M323:O323"/>
    <mergeCell ref="P323:R323"/>
    <mergeCell ref="S323:U323"/>
    <mergeCell ref="D321:G321"/>
    <mergeCell ref="AQ316:AT316"/>
    <mergeCell ref="AQ317:AT317"/>
    <mergeCell ref="AN317:AP317"/>
    <mergeCell ref="Y323:AA323"/>
    <mergeCell ref="AH323:AJ323"/>
    <mergeCell ref="AK323:AM323"/>
    <mergeCell ref="Y319:AA319"/>
    <mergeCell ref="AB319:AD319"/>
    <mergeCell ref="AN311:AP311"/>
    <mergeCell ref="J312:L312"/>
    <mergeCell ref="M312:O312"/>
    <mergeCell ref="J311:L311"/>
    <mergeCell ref="AH311:AJ311"/>
    <mergeCell ref="M311:O311"/>
    <mergeCell ref="P311:R311"/>
    <mergeCell ref="S311:U311"/>
    <mergeCell ref="AB311:AD311"/>
    <mergeCell ref="AE311:AG311"/>
    <mergeCell ref="S317:U317"/>
    <mergeCell ref="V317:X317"/>
    <mergeCell ref="D318:F318"/>
    <mergeCell ref="G318:I318"/>
    <mergeCell ref="AK317:AM317"/>
    <mergeCell ref="V313:X313"/>
    <mergeCell ref="AQ308:AT308"/>
    <mergeCell ref="AQ309:AT309"/>
    <mergeCell ref="AQ310:AT310"/>
    <mergeCell ref="AQ311:AT311"/>
    <mergeCell ref="AN313:AP313"/>
    <mergeCell ref="AN316:AP316"/>
    <mergeCell ref="AQ312:AT312"/>
    <mergeCell ref="AQ313:AT313"/>
    <mergeCell ref="AN309:AP309"/>
    <mergeCell ref="AN310:AP310"/>
    <mergeCell ref="AK316:AM316"/>
    <mergeCell ref="AK311:AM311"/>
    <mergeCell ref="AK309:AM309"/>
    <mergeCell ref="AK310:AM310"/>
    <mergeCell ref="AK312:AM312"/>
    <mergeCell ref="AN318:AP318"/>
    <mergeCell ref="Y324:AA324"/>
    <mergeCell ref="AB324:AD324"/>
    <mergeCell ref="AE324:AG324"/>
    <mergeCell ref="AK318:AM318"/>
    <mergeCell ref="AK324:AM324"/>
    <mergeCell ref="AH324:AJ324"/>
    <mergeCell ref="AH319:AJ319"/>
    <mergeCell ref="AE319:AG319"/>
    <mergeCell ref="AB323:AD323"/>
    <mergeCell ref="AN324:AP324"/>
    <mergeCell ref="AK319:AM319"/>
    <mergeCell ref="AN312:AP312"/>
    <mergeCell ref="AN308:AP308"/>
    <mergeCell ref="AK313:AM313"/>
    <mergeCell ref="AH313:AJ313"/>
    <mergeCell ref="AE308:AG308"/>
    <mergeCell ref="Y325:AA325"/>
    <mergeCell ref="AK326:AM326"/>
    <mergeCell ref="AN326:AP326"/>
    <mergeCell ref="AN325:AP325"/>
    <mergeCell ref="D326:F326"/>
    <mergeCell ref="G326:I326"/>
    <mergeCell ref="J326:L326"/>
    <mergeCell ref="M326:O326"/>
    <mergeCell ref="P326:R326"/>
    <mergeCell ref="S326:U326"/>
    <mergeCell ref="V326:X326"/>
    <mergeCell ref="D325:F325"/>
    <mergeCell ref="G325:I325"/>
    <mergeCell ref="J325:L325"/>
    <mergeCell ref="M325:O325"/>
    <mergeCell ref="AB325:AD325"/>
    <mergeCell ref="AE325:AG325"/>
    <mergeCell ref="AH325:AJ325"/>
    <mergeCell ref="AN328:AP328"/>
    <mergeCell ref="AN327:AP327"/>
    <mergeCell ref="D328:F328"/>
    <mergeCell ref="G328:I328"/>
    <mergeCell ref="J328:L328"/>
    <mergeCell ref="M328:O328"/>
    <mergeCell ref="P328:R328"/>
    <mergeCell ref="S328:U328"/>
    <mergeCell ref="V328:X328"/>
    <mergeCell ref="D329:F329"/>
    <mergeCell ref="G329:I329"/>
    <mergeCell ref="J329:L329"/>
    <mergeCell ref="M329:O329"/>
    <mergeCell ref="AE328:AG328"/>
    <mergeCell ref="AH328:AJ328"/>
    <mergeCell ref="Y328:AA328"/>
    <mergeCell ref="AB328:AD328"/>
    <mergeCell ref="AB329:AD329"/>
    <mergeCell ref="AE329:AG329"/>
    <mergeCell ref="AH329:AJ329"/>
    <mergeCell ref="AK329:AM329"/>
    <mergeCell ref="P329:R329"/>
    <mergeCell ref="S329:U329"/>
    <mergeCell ref="V329:X329"/>
    <mergeCell ref="Y329:AA329"/>
    <mergeCell ref="D327:F327"/>
    <mergeCell ref="G327:I327"/>
    <mergeCell ref="J327:L327"/>
    <mergeCell ref="M327:O327"/>
    <mergeCell ref="AB327:AD327"/>
    <mergeCell ref="AE327:AG327"/>
    <mergeCell ref="AH327:AJ327"/>
    <mergeCell ref="AK330:AM330"/>
    <mergeCell ref="AN330:AP330"/>
    <mergeCell ref="AN329:AP329"/>
    <mergeCell ref="D330:F330"/>
    <mergeCell ref="G330:I330"/>
    <mergeCell ref="J330:L330"/>
    <mergeCell ref="M330:O330"/>
    <mergeCell ref="P330:R330"/>
    <mergeCell ref="S330:U330"/>
    <mergeCell ref="V330:X330"/>
    <mergeCell ref="D331:F331"/>
    <mergeCell ref="G331:I331"/>
    <mergeCell ref="J331:L331"/>
    <mergeCell ref="M331:O331"/>
    <mergeCell ref="AE330:AG330"/>
    <mergeCell ref="AH330:AJ330"/>
    <mergeCell ref="Y330:AA330"/>
    <mergeCell ref="AB330:AD330"/>
    <mergeCell ref="AB331:AD331"/>
    <mergeCell ref="AE331:AG331"/>
    <mergeCell ref="AH331:AJ331"/>
    <mergeCell ref="AK331:AM331"/>
    <mergeCell ref="P331:R331"/>
    <mergeCell ref="S331:U331"/>
    <mergeCell ref="V331:X331"/>
    <mergeCell ref="Y331:AA331"/>
    <mergeCell ref="AN332:AP332"/>
    <mergeCell ref="AN331:AP331"/>
    <mergeCell ref="D332:F332"/>
    <mergeCell ref="G332:I332"/>
    <mergeCell ref="J332:L332"/>
    <mergeCell ref="M332:O332"/>
    <mergeCell ref="P332:R332"/>
    <mergeCell ref="S332:U332"/>
    <mergeCell ref="V332:X332"/>
    <mergeCell ref="D333:F333"/>
    <mergeCell ref="G333:I333"/>
    <mergeCell ref="J333:L333"/>
    <mergeCell ref="M333:O333"/>
    <mergeCell ref="AE332:AG332"/>
    <mergeCell ref="AH332:AJ332"/>
    <mergeCell ref="Y332:AA332"/>
    <mergeCell ref="AB332:AD332"/>
    <mergeCell ref="AB333:AD333"/>
    <mergeCell ref="AE333:AG333"/>
    <mergeCell ref="AH333:AJ333"/>
    <mergeCell ref="AK333:AM333"/>
    <mergeCell ref="P333:R333"/>
    <mergeCell ref="S333:U333"/>
    <mergeCell ref="V333:X333"/>
    <mergeCell ref="Y333:AA333"/>
    <mergeCell ref="B354:C354"/>
    <mergeCell ref="D354:F354"/>
    <mergeCell ref="G354:I354"/>
    <mergeCell ref="J354:L354"/>
    <mergeCell ref="S335:U335"/>
    <mergeCell ref="V335:X335"/>
    <mergeCell ref="B337:C337"/>
    <mergeCell ref="D337:F337"/>
    <mergeCell ref="G337:I337"/>
    <mergeCell ref="J337:L337"/>
    <mergeCell ref="AB354:AD354"/>
    <mergeCell ref="M354:O354"/>
    <mergeCell ref="P354:R354"/>
    <mergeCell ref="S354:U354"/>
    <mergeCell ref="Y354:AA354"/>
    <mergeCell ref="V354:X354"/>
    <mergeCell ref="AK332:AM332"/>
    <mergeCell ref="AK341:AM341"/>
    <mergeCell ref="AH334:AJ334"/>
    <mergeCell ref="AK334:AM334"/>
    <mergeCell ref="AE335:AG335"/>
    <mergeCell ref="V357:X357"/>
    <mergeCell ref="S355:U355"/>
    <mergeCell ref="V355:X355"/>
    <mergeCell ref="S356:U356"/>
    <mergeCell ref="V356:X356"/>
    <mergeCell ref="Y356:AA356"/>
    <mergeCell ref="AB356:AD356"/>
    <mergeCell ref="AE355:AG355"/>
    <mergeCell ref="AH355:AJ355"/>
    <mergeCell ref="AE356:AG356"/>
    <mergeCell ref="AH356:AJ356"/>
    <mergeCell ref="AK356:AM356"/>
    <mergeCell ref="AN334:AP334"/>
    <mergeCell ref="AN333:AP333"/>
    <mergeCell ref="D334:F334"/>
    <mergeCell ref="G334:I334"/>
    <mergeCell ref="J334:L334"/>
    <mergeCell ref="M334:O334"/>
    <mergeCell ref="P334:R334"/>
    <mergeCell ref="S334:U334"/>
    <mergeCell ref="V334:X334"/>
    <mergeCell ref="Y334:AA334"/>
    <mergeCell ref="Y335:AA335"/>
    <mergeCell ref="D335:F335"/>
    <mergeCell ref="G335:I335"/>
    <mergeCell ref="J335:L335"/>
    <mergeCell ref="M335:O335"/>
    <mergeCell ref="P335:R335"/>
    <mergeCell ref="AN341:AP341"/>
    <mergeCell ref="AH335:AJ335"/>
    <mergeCell ref="AK335:AM335"/>
    <mergeCell ref="AE334:AG334"/>
    <mergeCell ref="S358:U358"/>
    <mergeCell ref="V358:X358"/>
    <mergeCell ref="Y358:AA358"/>
    <mergeCell ref="AB358:AD358"/>
    <mergeCell ref="AE357:AG357"/>
    <mergeCell ref="AH357:AJ357"/>
    <mergeCell ref="Y357:AA357"/>
    <mergeCell ref="AB357:AD357"/>
    <mergeCell ref="AE358:AG358"/>
    <mergeCell ref="AH358:AJ358"/>
    <mergeCell ref="AK358:AM358"/>
    <mergeCell ref="AN358:AP358"/>
    <mergeCell ref="AQ357:AT357"/>
    <mergeCell ref="D358:F358"/>
    <mergeCell ref="G358:I358"/>
    <mergeCell ref="J358:L358"/>
    <mergeCell ref="AN359:AP359"/>
    <mergeCell ref="AQ358:AT358"/>
    <mergeCell ref="D359:F359"/>
    <mergeCell ref="G359:I359"/>
    <mergeCell ref="J359:L359"/>
    <mergeCell ref="M359:O359"/>
    <mergeCell ref="P359:R359"/>
    <mergeCell ref="S359:U359"/>
    <mergeCell ref="V359:X359"/>
    <mergeCell ref="P358:R358"/>
    <mergeCell ref="AK359:AM359"/>
    <mergeCell ref="G357:I357"/>
    <mergeCell ref="J357:L357"/>
    <mergeCell ref="M357:O357"/>
    <mergeCell ref="P357:R357"/>
    <mergeCell ref="S357:U357"/>
    <mergeCell ref="S360:U360"/>
    <mergeCell ref="V360:X360"/>
    <mergeCell ref="Y360:AA360"/>
    <mergeCell ref="AB360:AD360"/>
    <mergeCell ref="AE359:AG359"/>
    <mergeCell ref="AH359:AJ359"/>
    <mergeCell ref="Y359:AA359"/>
    <mergeCell ref="AB359:AD359"/>
    <mergeCell ref="AE360:AG360"/>
    <mergeCell ref="AH360:AJ360"/>
    <mergeCell ref="AK360:AM360"/>
    <mergeCell ref="AN360:AP360"/>
    <mergeCell ref="AQ359:AT359"/>
    <mergeCell ref="D360:F360"/>
    <mergeCell ref="G360:I360"/>
    <mergeCell ref="J360:L360"/>
    <mergeCell ref="M360:O360"/>
    <mergeCell ref="P360:R360"/>
    <mergeCell ref="AQ360:AT360"/>
    <mergeCell ref="J363:L363"/>
    <mergeCell ref="M363:O363"/>
    <mergeCell ref="P363:R363"/>
    <mergeCell ref="S363:U363"/>
    <mergeCell ref="V363:X363"/>
    <mergeCell ref="Y363:AA363"/>
    <mergeCell ref="S365:U365"/>
    <mergeCell ref="P365:R365"/>
    <mergeCell ref="M367:O367"/>
    <mergeCell ref="P367:R367"/>
    <mergeCell ref="S367:U367"/>
    <mergeCell ref="AQ363:AT363"/>
    <mergeCell ref="AH364:AJ364"/>
    <mergeCell ref="AK364:AM364"/>
    <mergeCell ref="Y367:AA367"/>
    <mergeCell ref="AB367:AD367"/>
    <mergeCell ref="AE367:AG367"/>
    <mergeCell ref="AH367:AJ367"/>
    <mergeCell ref="V364:X364"/>
    <mergeCell ref="Y364:AA364"/>
    <mergeCell ref="V367:X367"/>
    <mergeCell ref="AK367:AM367"/>
    <mergeCell ref="AB363:AD363"/>
    <mergeCell ref="AE363:AG363"/>
    <mergeCell ref="AH363:AJ363"/>
    <mergeCell ref="AK363:AM363"/>
    <mergeCell ref="AB364:AD364"/>
    <mergeCell ref="AE364:AG364"/>
    <mergeCell ref="AE365:AG365"/>
    <mergeCell ref="AH365:AJ365"/>
    <mergeCell ref="AK365:AM365"/>
    <mergeCell ref="P368:R368"/>
    <mergeCell ref="S368:U368"/>
    <mergeCell ref="V368:X368"/>
    <mergeCell ref="Y368:AA368"/>
    <mergeCell ref="AK369:AM369"/>
    <mergeCell ref="D364:F364"/>
    <mergeCell ref="G364:I364"/>
    <mergeCell ref="J364:L364"/>
    <mergeCell ref="M364:O364"/>
    <mergeCell ref="P364:R364"/>
    <mergeCell ref="S364:U364"/>
    <mergeCell ref="AN370:AP370"/>
    <mergeCell ref="B367:C367"/>
    <mergeCell ref="D367:F367"/>
    <mergeCell ref="G367:I367"/>
    <mergeCell ref="J367:L367"/>
    <mergeCell ref="AN364:AP364"/>
    <mergeCell ref="AB365:AD365"/>
    <mergeCell ref="D365:F365"/>
    <mergeCell ref="G365:I365"/>
    <mergeCell ref="J365:L365"/>
    <mergeCell ref="M365:O365"/>
    <mergeCell ref="V365:X365"/>
    <mergeCell ref="Y365:AA365"/>
    <mergeCell ref="AN371:AP371"/>
    <mergeCell ref="AN368:AP368"/>
    <mergeCell ref="AN369:AP369"/>
    <mergeCell ref="D369:F369"/>
    <mergeCell ref="G369:I369"/>
    <mergeCell ref="J369:L369"/>
    <mergeCell ref="M369:O369"/>
    <mergeCell ref="P369:R369"/>
    <mergeCell ref="S369:U369"/>
    <mergeCell ref="V369:X369"/>
    <mergeCell ref="AH369:AJ369"/>
    <mergeCell ref="S370:U370"/>
    <mergeCell ref="V370:X370"/>
    <mergeCell ref="Y370:AA370"/>
    <mergeCell ref="D370:F370"/>
    <mergeCell ref="G370:I370"/>
    <mergeCell ref="J370:L370"/>
    <mergeCell ref="M370:O370"/>
    <mergeCell ref="Y369:AA369"/>
    <mergeCell ref="D368:F368"/>
    <mergeCell ref="G368:I368"/>
    <mergeCell ref="J368:L368"/>
    <mergeCell ref="M368:O368"/>
    <mergeCell ref="D371:F371"/>
    <mergeCell ref="G371:I371"/>
    <mergeCell ref="J371:L371"/>
    <mergeCell ref="AE369:AG369"/>
    <mergeCell ref="AB368:AD368"/>
    <mergeCell ref="AE368:AG368"/>
    <mergeCell ref="AH368:AJ368"/>
    <mergeCell ref="AB369:AD369"/>
    <mergeCell ref="AK368:AM368"/>
    <mergeCell ref="S372:U372"/>
    <mergeCell ref="V372:X372"/>
    <mergeCell ref="AH372:AJ372"/>
    <mergeCell ref="Y372:AA372"/>
    <mergeCell ref="AB373:AD373"/>
    <mergeCell ref="AE373:AG373"/>
    <mergeCell ref="AH373:AJ373"/>
    <mergeCell ref="AK372:AM372"/>
    <mergeCell ref="M373:O373"/>
    <mergeCell ref="P373:R373"/>
    <mergeCell ref="S373:U373"/>
    <mergeCell ref="V373:X373"/>
    <mergeCell ref="Y373:AA373"/>
    <mergeCell ref="AB372:AD372"/>
    <mergeCell ref="AK371:AM371"/>
    <mergeCell ref="AB371:AD371"/>
    <mergeCell ref="P370:R370"/>
    <mergeCell ref="AB370:AD370"/>
    <mergeCell ref="AE370:AG370"/>
    <mergeCell ref="AH370:AJ370"/>
    <mergeCell ref="M371:O371"/>
    <mergeCell ref="AK370:AM370"/>
    <mergeCell ref="P371:R371"/>
    <mergeCell ref="S371:U371"/>
    <mergeCell ref="V371:X371"/>
    <mergeCell ref="Y371:AA371"/>
    <mergeCell ref="AE371:AG371"/>
    <mergeCell ref="AH371:AJ371"/>
    <mergeCell ref="AE372:AG372"/>
    <mergeCell ref="Y377:AA377"/>
    <mergeCell ref="D377:F377"/>
    <mergeCell ref="G377:I377"/>
    <mergeCell ref="J377:L377"/>
    <mergeCell ref="M377:O377"/>
    <mergeCell ref="P377:R377"/>
    <mergeCell ref="S377:U377"/>
    <mergeCell ref="V377:X377"/>
    <mergeCell ref="P378:R378"/>
    <mergeCell ref="S378:U378"/>
    <mergeCell ref="V378:X378"/>
    <mergeCell ref="Y378:AA378"/>
    <mergeCell ref="D378:F378"/>
    <mergeCell ref="G378:I378"/>
    <mergeCell ref="J378:L378"/>
    <mergeCell ref="M378:O378"/>
    <mergeCell ref="D374:F374"/>
    <mergeCell ref="G374:I374"/>
    <mergeCell ref="J374:L374"/>
    <mergeCell ref="M374:O374"/>
    <mergeCell ref="V375:X375"/>
    <mergeCell ref="Y375:AA375"/>
    <mergeCell ref="V376:X376"/>
    <mergeCell ref="Y376:AA376"/>
    <mergeCell ref="P374:R374"/>
    <mergeCell ref="S374:U374"/>
    <mergeCell ref="V374:X374"/>
    <mergeCell ref="Y374:AA374"/>
    <mergeCell ref="P375:R375"/>
    <mergeCell ref="S375:U375"/>
    <mergeCell ref="D375:F375"/>
    <mergeCell ref="G375:I375"/>
    <mergeCell ref="AN377:AP377"/>
    <mergeCell ref="AB378:AD378"/>
    <mergeCell ref="AE378:AG378"/>
    <mergeCell ref="AH378:AJ378"/>
    <mergeCell ref="AK378:AM378"/>
    <mergeCell ref="AB377:AD377"/>
    <mergeCell ref="AE377:AG377"/>
    <mergeCell ref="AH377:AJ377"/>
    <mergeCell ref="AK377:AM377"/>
    <mergeCell ref="AH376:AJ376"/>
    <mergeCell ref="AK376:AM376"/>
    <mergeCell ref="AK374:AM374"/>
    <mergeCell ref="AE375:AG375"/>
    <mergeCell ref="AH375:AJ375"/>
    <mergeCell ref="AK375:AM375"/>
    <mergeCell ref="AH374:AJ374"/>
    <mergeCell ref="AE374:AG374"/>
    <mergeCell ref="AB375:AD375"/>
    <mergeCell ref="AB376:AD376"/>
    <mergeCell ref="AE376:AG376"/>
    <mergeCell ref="AB374:AD374"/>
    <mergeCell ref="AN376:AP376"/>
    <mergeCell ref="K11:N11"/>
    <mergeCell ref="Q11:T11"/>
    <mergeCell ref="AH13:AK13"/>
    <mergeCell ref="AH14:AK14"/>
    <mergeCell ref="AD14:AE14"/>
    <mergeCell ref="AH12:AK12"/>
    <mergeCell ref="AD13:AE13"/>
    <mergeCell ref="AH11:AK11"/>
    <mergeCell ref="U12:V12"/>
    <mergeCell ref="Q14:V14"/>
    <mergeCell ref="Y291:AA291"/>
    <mergeCell ref="V199:Y199"/>
    <mergeCell ref="AH187:AJ187"/>
    <mergeCell ref="V192:Y192"/>
    <mergeCell ref="AE186:AG186"/>
    <mergeCell ref="AB187:AD187"/>
    <mergeCell ref="V196:Y196"/>
    <mergeCell ref="V195:Y195"/>
    <mergeCell ref="V193:Y193"/>
    <mergeCell ref="V257:X257"/>
    <mergeCell ref="V256:X256"/>
    <mergeCell ref="Y236:AA236"/>
    <mergeCell ref="AD99:AG99"/>
    <mergeCell ref="AE187:AG187"/>
    <mergeCell ref="AB186:AD186"/>
    <mergeCell ref="AF64:AH64"/>
    <mergeCell ref="AF65:AH65"/>
    <mergeCell ref="Z94:AG94"/>
    <mergeCell ref="Z84:AB84"/>
    <mergeCell ref="B90:AM90"/>
    <mergeCell ref="H81:AD81"/>
    <mergeCell ref="AC84:AM84"/>
    <mergeCell ref="C6:J6"/>
    <mergeCell ref="C10:J10"/>
    <mergeCell ref="Y9:AC9"/>
    <mergeCell ref="AD12:AE12"/>
    <mergeCell ref="AD11:AE11"/>
    <mergeCell ref="Y11:AC11"/>
    <mergeCell ref="Y10:AC10"/>
    <mergeCell ref="U11:V11"/>
    <mergeCell ref="Q12:T12"/>
    <mergeCell ref="K10:N10"/>
    <mergeCell ref="C9:J9"/>
    <mergeCell ref="K9:N9"/>
    <mergeCell ref="B3:V3"/>
    <mergeCell ref="C7:J7"/>
    <mergeCell ref="C8:J8"/>
    <mergeCell ref="K6:N6"/>
    <mergeCell ref="K8:N8"/>
    <mergeCell ref="Q6:V6"/>
    <mergeCell ref="B5:AK5"/>
    <mergeCell ref="AD7:AE7"/>
    <mergeCell ref="K7:N7"/>
    <mergeCell ref="Y8:AC8"/>
    <mergeCell ref="AD8:AE8"/>
    <mergeCell ref="Y6:AC6"/>
    <mergeCell ref="U8:V8"/>
    <mergeCell ref="AH8:AK8"/>
    <mergeCell ref="AH7:AK7"/>
    <mergeCell ref="Q8:T8"/>
    <mergeCell ref="Q10:T10"/>
    <mergeCell ref="U9:V9"/>
    <mergeCell ref="U10:V10"/>
    <mergeCell ref="Q9:T9"/>
    <mergeCell ref="AD6:AE6"/>
    <mergeCell ref="Y7:AC7"/>
    <mergeCell ref="AD9:AE9"/>
    <mergeCell ref="AD10:AE10"/>
    <mergeCell ref="AH9:AK9"/>
    <mergeCell ref="AH10:AK10"/>
    <mergeCell ref="V346:X346"/>
    <mergeCell ref="V337:X337"/>
    <mergeCell ref="V323:X323"/>
    <mergeCell ref="Y136:AB136"/>
    <mergeCell ref="S141:V141"/>
    <mergeCell ref="AB304:AD304"/>
    <mergeCell ref="S139:V139"/>
    <mergeCell ref="V202:Y202"/>
    <mergeCell ref="V204:Y204"/>
    <mergeCell ref="V242:X242"/>
    <mergeCell ref="V210:Y210"/>
    <mergeCell ref="Y231:AA231"/>
    <mergeCell ref="V236:X236"/>
    <mergeCell ref="V228:Y228"/>
    <mergeCell ref="V233:X233"/>
    <mergeCell ref="V231:X231"/>
    <mergeCell ref="V211:Y211"/>
    <mergeCell ref="Y303:AA303"/>
    <mergeCell ref="Y302:AA302"/>
    <mergeCell ref="W279:X279"/>
    <mergeCell ref="V258:X258"/>
    <mergeCell ref="Y280:AA280"/>
    <mergeCell ref="Y279:AA279"/>
    <mergeCell ref="Y262:AA262"/>
    <mergeCell ref="V262:X262"/>
    <mergeCell ref="Y292:AA292"/>
    <mergeCell ref="S324:U324"/>
    <mergeCell ref="V324:X324"/>
    <mergeCell ref="V316:X316"/>
    <mergeCell ref="AN374:AP374"/>
    <mergeCell ref="AN375:AP375"/>
    <mergeCell ref="AN363:AP363"/>
    <mergeCell ref="AN346:AP346"/>
    <mergeCell ref="AB335:AD335"/>
    <mergeCell ref="D376:F376"/>
    <mergeCell ref="G376:I376"/>
    <mergeCell ref="J376:L376"/>
    <mergeCell ref="T294:V294"/>
    <mergeCell ref="V307:X307"/>
    <mergeCell ref="V300:X300"/>
    <mergeCell ref="V298:X298"/>
    <mergeCell ref="V304:X304"/>
    <mergeCell ref="P376:R376"/>
    <mergeCell ref="S376:U376"/>
    <mergeCell ref="M376:O376"/>
    <mergeCell ref="AK373:AM373"/>
    <mergeCell ref="AN372:AP372"/>
    <mergeCell ref="AN373:AP373"/>
    <mergeCell ref="D373:F373"/>
    <mergeCell ref="G373:I373"/>
    <mergeCell ref="J373:L373"/>
    <mergeCell ref="J375:L375"/>
    <mergeCell ref="M375:O375"/>
    <mergeCell ref="D372:F372"/>
    <mergeCell ref="G372:I372"/>
    <mergeCell ref="J372:L372"/>
    <mergeCell ref="M372:O372"/>
    <mergeCell ref="P372:R372"/>
    <mergeCell ref="B401:C401"/>
    <mergeCell ref="D401:F401"/>
    <mergeCell ref="G401:I401"/>
    <mergeCell ref="J401:L401"/>
    <mergeCell ref="M401:O401"/>
    <mergeCell ref="P401:R401"/>
    <mergeCell ref="S401:U401"/>
    <mergeCell ref="B402:C402"/>
    <mergeCell ref="D402:F402"/>
    <mergeCell ref="G402:I402"/>
    <mergeCell ref="J402:L402"/>
    <mergeCell ref="AB401:AD401"/>
    <mergeCell ref="AE401:AG401"/>
    <mergeCell ref="V401:X401"/>
    <mergeCell ref="Y401:AA401"/>
    <mergeCell ref="Y402:AA402"/>
    <mergeCell ref="AB402:AD402"/>
    <mergeCell ref="AE402:AG402"/>
    <mergeCell ref="M402:O402"/>
    <mergeCell ref="P402:R402"/>
    <mergeCell ref="S402:U402"/>
    <mergeCell ref="V402:X402"/>
    <mergeCell ref="AK402:AM402"/>
    <mergeCell ref="B403:C403"/>
    <mergeCell ref="D403:F403"/>
    <mergeCell ref="G403:I403"/>
    <mergeCell ref="J403:L403"/>
    <mergeCell ref="M403:O403"/>
    <mergeCell ref="P403:R403"/>
    <mergeCell ref="S403:U403"/>
    <mergeCell ref="B404:C404"/>
    <mergeCell ref="D404:F404"/>
    <mergeCell ref="G404:I404"/>
    <mergeCell ref="J404:L404"/>
    <mergeCell ref="AB403:AD403"/>
    <mergeCell ref="AE403:AG403"/>
    <mergeCell ref="V403:X403"/>
    <mergeCell ref="Y403:AA403"/>
    <mergeCell ref="Y404:AA404"/>
    <mergeCell ref="AB404:AD404"/>
    <mergeCell ref="AE404:AG404"/>
    <mergeCell ref="AH404:AJ404"/>
    <mergeCell ref="M404:O404"/>
    <mergeCell ref="P404:R404"/>
    <mergeCell ref="S404:U404"/>
    <mergeCell ref="V404:X404"/>
    <mergeCell ref="AK404:AM404"/>
    <mergeCell ref="B405:C405"/>
    <mergeCell ref="G405:I405"/>
    <mergeCell ref="J405:L405"/>
    <mergeCell ref="M405:O405"/>
    <mergeCell ref="P405:R405"/>
    <mergeCell ref="S405:U405"/>
    <mergeCell ref="V405:X405"/>
    <mergeCell ref="Y405:AA405"/>
    <mergeCell ref="AB405:AD405"/>
    <mergeCell ref="AH407:AJ407"/>
    <mergeCell ref="AK407:AM407"/>
    <mergeCell ref="AE405:AG405"/>
    <mergeCell ref="AH405:AJ405"/>
    <mergeCell ref="AK405:AM405"/>
    <mergeCell ref="B407:C407"/>
    <mergeCell ref="G407:I407"/>
    <mergeCell ref="J407:L407"/>
    <mergeCell ref="M407:O407"/>
    <mergeCell ref="P407:R407"/>
    <mergeCell ref="V406:X406"/>
    <mergeCell ref="Y406:AA406"/>
    <mergeCell ref="AE406:AG406"/>
    <mergeCell ref="AH406:AJ406"/>
    <mergeCell ref="Y407:AA407"/>
    <mergeCell ref="B409:C409"/>
    <mergeCell ref="D409:F409"/>
    <mergeCell ref="G409:I409"/>
    <mergeCell ref="J409:L409"/>
    <mergeCell ref="AB407:AD407"/>
    <mergeCell ref="AE407:AG407"/>
    <mergeCell ref="S407:U407"/>
    <mergeCell ref="V407:X407"/>
    <mergeCell ref="AE409:AG409"/>
    <mergeCell ref="AH409:AJ409"/>
    <mergeCell ref="M409:O409"/>
    <mergeCell ref="P409:R409"/>
    <mergeCell ref="S409:U409"/>
    <mergeCell ref="V409:X409"/>
    <mergeCell ref="P410:R410"/>
    <mergeCell ref="S410:U410"/>
    <mergeCell ref="V410:X410"/>
    <mergeCell ref="Y410:AA410"/>
    <mergeCell ref="Y409:AA409"/>
    <mergeCell ref="AB409:AD409"/>
    <mergeCell ref="AB410:AD410"/>
    <mergeCell ref="AE410:AG410"/>
    <mergeCell ref="AH410:AJ410"/>
    <mergeCell ref="AK410:AM410"/>
    <mergeCell ref="AK409:AM409"/>
    <mergeCell ref="B410:C410"/>
    <mergeCell ref="D410:F410"/>
    <mergeCell ref="G410:I410"/>
    <mergeCell ref="J410:L410"/>
    <mergeCell ref="M410:O410"/>
    <mergeCell ref="M411:O411"/>
    <mergeCell ref="P411:R411"/>
    <mergeCell ref="S411:U411"/>
    <mergeCell ref="V411:X411"/>
    <mergeCell ref="B411:C411"/>
    <mergeCell ref="D411:F411"/>
    <mergeCell ref="G411:I411"/>
    <mergeCell ref="J411:L411"/>
    <mergeCell ref="S412:U412"/>
    <mergeCell ref="V412:X412"/>
    <mergeCell ref="Y412:AA412"/>
    <mergeCell ref="Y411:AA411"/>
    <mergeCell ref="AB411:AD411"/>
    <mergeCell ref="AE411:AG411"/>
    <mergeCell ref="AE412:AG412"/>
    <mergeCell ref="AB412:AD412"/>
    <mergeCell ref="AH412:AJ412"/>
    <mergeCell ref="AK412:AM412"/>
    <mergeCell ref="AK411:AM411"/>
    <mergeCell ref="AH411:AJ411"/>
    <mergeCell ref="B412:C412"/>
    <mergeCell ref="D412:F412"/>
    <mergeCell ref="G412:I412"/>
    <mergeCell ref="J412:L412"/>
    <mergeCell ref="M412:O412"/>
    <mergeCell ref="P412:R412"/>
    <mergeCell ref="M413:O413"/>
    <mergeCell ref="P413:R413"/>
    <mergeCell ref="S413:U413"/>
    <mergeCell ref="V413:X413"/>
    <mergeCell ref="B413:C413"/>
    <mergeCell ref="D413:F413"/>
    <mergeCell ref="G413:I413"/>
    <mergeCell ref="J413:L413"/>
    <mergeCell ref="Y413:AA413"/>
    <mergeCell ref="AB413:AD413"/>
    <mergeCell ref="AH413:AJ413"/>
    <mergeCell ref="AH414:AJ414"/>
    <mergeCell ref="AB414:AD414"/>
    <mergeCell ref="AE414:AG414"/>
    <mergeCell ref="AE413:AG413"/>
    <mergeCell ref="AK414:AM414"/>
    <mergeCell ref="AK413:AM413"/>
    <mergeCell ref="B414:C414"/>
    <mergeCell ref="G414:I414"/>
    <mergeCell ref="J414:L414"/>
    <mergeCell ref="M414:O414"/>
    <mergeCell ref="P414:R414"/>
    <mergeCell ref="S414:U414"/>
    <mergeCell ref="V414:X414"/>
    <mergeCell ref="Y414:AA414"/>
    <mergeCell ref="B416:C416"/>
    <mergeCell ref="G416:I416"/>
    <mergeCell ref="J416:L416"/>
    <mergeCell ref="AH416:AJ416"/>
    <mergeCell ref="M416:O416"/>
    <mergeCell ref="P416:R416"/>
    <mergeCell ref="S416:U416"/>
    <mergeCell ref="V416:X416"/>
    <mergeCell ref="Y416:AA416"/>
    <mergeCell ref="AB416:AD416"/>
    <mergeCell ref="AK416:AM416"/>
    <mergeCell ref="E417:F417"/>
    <mergeCell ref="H417:I417"/>
    <mergeCell ref="K417:L417"/>
    <mergeCell ref="N417:O417"/>
    <mergeCell ref="Q417:R417"/>
    <mergeCell ref="T417:U417"/>
    <mergeCell ref="W417:X417"/>
    <mergeCell ref="Z417:AA417"/>
    <mergeCell ref="AI417:AJ417"/>
    <mergeCell ref="AL417:AM417"/>
    <mergeCell ref="AC417:AD417"/>
    <mergeCell ref="AF417:AG417"/>
    <mergeCell ref="AE416:AG416"/>
    <mergeCell ref="B418:C418"/>
    <mergeCell ref="D418:F418"/>
    <mergeCell ref="G418:I418"/>
    <mergeCell ref="J418:L418"/>
    <mergeCell ref="M418:O418"/>
    <mergeCell ref="P418:R418"/>
    <mergeCell ref="S418:U418"/>
    <mergeCell ref="AK418:AM418"/>
    <mergeCell ref="AH418:AJ418"/>
    <mergeCell ref="M419:O419"/>
    <mergeCell ref="P419:R419"/>
    <mergeCell ref="S419:U419"/>
    <mergeCell ref="Y418:AA418"/>
    <mergeCell ref="B419:C419"/>
    <mergeCell ref="D419:F419"/>
    <mergeCell ref="G419:I419"/>
    <mergeCell ref="J419:L419"/>
    <mergeCell ref="AH419:AJ419"/>
    <mergeCell ref="AK419:AM419"/>
    <mergeCell ref="Q426:R426"/>
    <mergeCell ref="T426:U426"/>
    <mergeCell ref="W426:X426"/>
    <mergeCell ref="Z426:AA426"/>
    <mergeCell ref="B422:C422"/>
    <mergeCell ref="D422:F422"/>
    <mergeCell ref="G422:I422"/>
    <mergeCell ref="J422:L422"/>
    <mergeCell ref="AK424:AM424"/>
    <mergeCell ref="P424:R424"/>
    <mergeCell ref="S424:U424"/>
    <mergeCell ref="V424:X424"/>
    <mergeCell ref="Y424:AA424"/>
    <mergeCell ref="P421:R421"/>
    <mergeCell ref="S421:U421"/>
    <mergeCell ref="Y422:AA422"/>
    <mergeCell ref="AB422:AD422"/>
    <mergeCell ref="AB423:AD423"/>
    <mergeCell ref="M422:O422"/>
    <mergeCell ref="P422:R422"/>
    <mergeCell ref="S422:U422"/>
    <mergeCell ref="V422:X422"/>
    <mergeCell ref="M423:O423"/>
    <mergeCell ref="P423:R423"/>
    <mergeCell ref="S423:U423"/>
    <mergeCell ref="AE423:AG423"/>
    <mergeCell ref="V423:X423"/>
    <mergeCell ref="Y423:AA423"/>
    <mergeCell ref="V421:X421"/>
    <mergeCell ref="AK421:AM421"/>
    <mergeCell ref="Y421:AA421"/>
    <mergeCell ref="AH421:AJ421"/>
    <mergeCell ref="AE422:AG422"/>
    <mergeCell ref="AB421:AD421"/>
    <mergeCell ref="AE421:AG421"/>
    <mergeCell ref="B425:C425"/>
    <mergeCell ref="G425:I425"/>
    <mergeCell ref="J425:L425"/>
    <mergeCell ref="M425:O425"/>
    <mergeCell ref="AK423:AM423"/>
    <mergeCell ref="AK422:AM422"/>
    <mergeCell ref="AH422:AJ422"/>
    <mergeCell ref="B423:C423"/>
    <mergeCell ref="G423:I423"/>
    <mergeCell ref="J423:L423"/>
    <mergeCell ref="P425:R425"/>
    <mergeCell ref="S425:U425"/>
    <mergeCell ref="V425:X425"/>
    <mergeCell ref="AK420:AM420"/>
    <mergeCell ref="B420:C420"/>
    <mergeCell ref="D420:F420"/>
    <mergeCell ref="G420:I420"/>
    <mergeCell ref="J420:L420"/>
    <mergeCell ref="M420:O420"/>
    <mergeCell ref="P420:R420"/>
    <mergeCell ref="S420:U420"/>
    <mergeCell ref="V420:X420"/>
    <mergeCell ref="B421:C421"/>
    <mergeCell ref="D421:F421"/>
    <mergeCell ref="G421:I421"/>
    <mergeCell ref="J421:L421"/>
    <mergeCell ref="G424:I424"/>
    <mergeCell ref="J424:L424"/>
    <mergeCell ref="M424:O424"/>
    <mergeCell ref="Y63:Z63"/>
    <mergeCell ref="N63:P63"/>
    <mergeCell ref="G65:H65"/>
    <mergeCell ref="Z69:AL69"/>
    <mergeCell ref="B415:C415"/>
    <mergeCell ref="B424:C424"/>
    <mergeCell ref="AI426:AJ426"/>
    <mergeCell ref="AB425:AD425"/>
    <mergeCell ref="AE425:AG425"/>
    <mergeCell ref="AH423:AJ423"/>
    <mergeCell ref="AB424:AD424"/>
    <mergeCell ref="AE424:AG424"/>
    <mergeCell ref="AH424:AJ424"/>
    <mergeCell ref="AK425:AM425"/>
    <mergeCell ref="AH425:AJ425"/>
    <mergeCell ref="E426:F426"/>
    <mergeCell ref="H426:I426"/>
    <mergeCell ref="K426:L426"/>
    <mergeCell ref="N426:O426"/>
    <mergeCell ref="AF426:AG426"/>
    <mergeCell ref="AC426:AD426"/>
    <mergeCell ref="AL426:AM426"/>
    <mergeCell ref="Y425:AA425"/>
    <mergeCell ref="AB418:AD418"/>
    <mergeCell ref="AE418:AG418"/>
    <mergeCell ref="AH420:AJ420"/>
    <mergeCell ref="Y420:AA420"/>
    <mergeCell ref="Y419:AA419"/>
    <mergeCell ref="AB419:AD419"/>
    <mergeCell ref="AB420:AD420"/>
    <mergeCell ref="AE420:AG420"/>
    <mergeCell ref="AE419:AG419"/>
    <mergeCell ref="AI63:AK63"/>
    <mergeCell ref="Y74:AL74"/>
    <mergeCell ref="AI64:AK64"/>
    <mergeCell ref="T73:Y73"/>
    <mergeCell ref="Z113:AC113"/>
    <mergeCell ref="AD113:AG113"/>
    <mergeCell ref="C158:F158"/>
    <mergeCell ref="P151:S151"/>
    <mergeCell ref="E454:H454"/>
    <mergeCell ref="B91:AM91"/>
    <mergeCell ref="G92:H92"/>
    <mergeCell ref="M92:N92"/>
    <mergeCell ref="O92:P92"/>
    <mergeCell ref="C93:P93"/>
    <mergeCell ref="J98:M98"/>
    <mergeCell ref="Z102:AG102"/>
    <mergeCell ref="Z115:AC115"/>
    <mergeCell ref="O73:R73"/>
    <mergeCell ref="AI65:AK65"/>
    <mergeCell ref="C63:F63"/>
    <mergeCell ref="G79:AD79"/>
    <mergeCell ref="C75:L75"/>
    <mergeCell ref="C74:L74"/>
    <mergeCell ref="V74:W74"/>
    <mergeCell ref="U64:X64"/>
    <mergeCell ref="Y64:Z64"/>
    <mergeCell ref="N64:P64"/>
    <mergeCell ref="AF63:AH63"/>
    <mergeCell ref="B69:Y69"/>
    <mergeCell ref="C72:N72"/>
    <mergeCell ref="G63:H63"/>
    <mergeCell ref="T72:X72"/>
  </mergeCells>
  <phoneticPr fontId="4" type="noConversion"/>
  <conditionalFormatting sqref="E24:H24">
    <cfRule type="expression" dxfId="5627" priority="1" stopIfTrue="1">
      <formula>ISERROR(E$24)</formula>
    </cfRule>
  </conditionalFormatting>
  <conditionalFormatting sqref="Q8:T12">
    <cfRule type="expression" dxfId="5626" priority="2" stopIfTrue="1">
      <formula>$U8=""</formula>
    </cfRule>
  </conditionalFormatting>
  <conditionalFormatting sqref="I26 AC26 M26:P26 U26:X26">
    <cfRule type="expression" dxfId="5625" priority="3" stopIfTrue="1">
      <formula>ISERROR(I$26)</formula>
    </cfRule>
    <cfRule type="cellIs" dxfId="5624" priority="4" stopIfTrue="1" operator="equal">
      <formula>0</formula>
    </cfRule>
  </conditionalFormatting>
  <conditionalFormatting sqref="J21:K21 N21:O21 V21:W21 AD21:AE21">
    <cfRule type="expression" dxfId="5623" priority="5" stopIfTrue="1">
      <formula>AND(J$20&gt;0,J$21="")</formula>
    </cfRule>
  </conditionalFormatting>
  <conditionalFormatting sqref="J20:K20 N20:O20 V20:W20 AD20:AE20">
    <cfRule type="expression" dxfId="5622" priority="6" stopIfTrue="1">
      <formula>AND(J$21&gt;0,J$20="")</formula>
    </cfRule>
  </conditionalFormatting>
  <conditionalFormatting sqref="C55:O55">
    <cfRule type="expression" dxfId="5621" priority="7" stopIfTrue="1">
      <formula>ISBLANK(C$55)</formula>
    </cfRule>
  </conditionalFormatting>
  <conditionalFormatting sqref="C54:O54">
    <cfRule type="expression" dxfId="5620" priority="8" stopIfTrue="1">
      <formula>ISBLANK(C$55)</formula>
    </cfRule>
  </conditionalFormatting>
  <conditionalFormatting sqref="Z114:AG114">
    <cfRule type="expression" dxfId="5619" priority="9" stopIfTrue="1">
      <formula>$Z$115&gt;$AD$115</formula>
    </cfRule>
    <cfRule type="expression" dxfId="5618" priority="10" stopIfTrue="1">
      <formula>OR($Z$110&lt;&gt;"",$Z94&lt;&gt;"")</formula>
    </cfRule>
  </conditionalFormatting>
  <conditionalFormatting sqref="J110:M110">
    <cfRule type="expression" dxfId="5617" priority="11" stopIfTrue="1">
      <formula>OR($Z$110&lt;&gt;"",$Z94&lt;&gt;"")</formula>
    </cfRule>
  </conditionalFormatting>
  <conditionalFormatting sqref="U60:X65 C60:F65">
    <cfRule type="expression" dxfId="5616" priority="12" stopIfTrue="1">
      <formula>G60=0</formula>
    </cfRule>
  </conditionalFormatting>
  <conditionalFormatting sqref="AC24 I24:P24 U24:X24">
    <cfRule type="expression" dxfId="5615" priority="13" stopIfTrue="1">
      <formula>ISERROR(I$24)</formula>
    </cfRule>
    <cfRule type="cellIs" dxfId="5614" priority="14" stopIfTrue="1" operator="equal">
      <formula>0</formula>
    </cfRule>
  </conditionalFormatting>
  <conditionalFormatting sqref="AC25 I25:P25 U25:X25">
    <cfRule type="expression" dxfId="5613" priority="15" stopIfTrue="1">
      <formula>ISERROR(I$25)</formula>
    </cfRule>
    <cfRule type="cellIs" dxfId="5612" priority="16" stopIfTrue="1" operator="equal">
      <formula>0</formula>
    </cfRule>
  </conditionalFormatting>
  <conditionalFormatting sqref="E25:H25">
    <cfRule type="expression" dxfId="5611" priority="17" stopIfTrue="1">
      <formula>$E25=""</formula>
    </cfRule>
  </conditionalFormatting>
  <conditionalFormatting sqref="T115:X115 T107:X107 T99:X99">
    <cfRule type="expression" dxfId="5610" priority="18" stopIfTrue="1">
      <formula>$AH98&lt;&gt;$H$382</formula>
    </cfRule>
  </conditionalFormatting>
  <conditionalFormatting sqref="I28:P28 U28:X28 I30:P30 U30:X30 AC28:AF28 AC30:AF30">
    <cfRule type="cellIs" dxfId="5609" priority="19" stopIfTrue="1" operator="equal">
      <formula>0</formula>
    </cfRule>
    <cfRule type="expression" dxfId="5608" priority="20" stopIfTrue="1">
      <formula>I$33=$C$146</formula>
    </cfRule>
  </conditionalFormatting>
  <conditionalFormatting sqref="U31:X31 I31:P31 AC31:AF31">
    <cfRule type="expression" dxfId="5607" priority="21" stopIfTrue="1">
      <formula>AND(I$31=0,I$30=0)</formula>
    </cfRule>
    <cfRule type="expression" dxfId="5606" priority="22" stopIfTrue="1">
      <formula>I$33=$C$146</formula>
    </cfRule>
  </conditionalFormatting>
  <conditionalFormatting sqref="I27:P27 U27:X27 AC27:AF27">
    <cfRule type="expression" dxfId="5605" priority="23" stopIfTrue="1">
      <formula>I$27=$C$152</formula>
    </cfRule>
  </conditionalFormatting>
  <conditionalFormatting sqref="AK70">
    <cfRule type="expression" dxfId="5604" priority="24" stopIfTrue="1">
      <formula>Z69=""</formula>
    </cfRule>
  </conditionalFormatting>
  <conditionalFormatting sqref="AL70">
    <cfRule type="expression" dxfId="5603" priority="25" stopIfTrue="1">
      <formula>Z69=""</formula>
    </cfRule>
  </conditionalFormatting>
  <conditionalFormatting sqref="AG41:AJ41">
    <cfRule type="expression" dxfId="5602" priority="26" stopIfTrue="1">
      <formula>SUM($H46:$AI46)=0</formula>
    </cfRule>
    <cfRule type="expression" dxfId="5601" priority="27" stopIfTrue="1">
      <formula>$AM$138=$C$152</formula>
    </cfRule>
  </conditionalFormatting>
  <conditionalFormatting sqref="AG40:AJ40">
    <cfRule type="expression" dxfId="5600" priority="28" stopIfTrue="1">
      <formula>SUM($H45:$W45)=0</formula>
    </cfRule>
    <cfRule type="expression" dxfId="5599" priority="29" stopIfTrue="1">
      <formula>$AM$138=$C$152</formula>
    </cfRule>
  </conditionalFormatting>
  <conditionalFormatting sqref="AH39:AJ39">
    <cfRule type="expression" dxfId="5598" priority="30" stopIfTrue="1">
      <formula>SUM($I41:$AF41)=0</formula>
    </cfRule>
    <cfRule type="expression" dxfId="5597" priority="31" stopIfTrue="1">
      <formula>$AM$138=$C$152</formula>
    </cfRule>
  </conditionalFormatting>
  <conditionalFormatting sqref="E37">
    <cfRule type="expression" dxfId="5596" priority="32" stopIfTrue="1">
      <formula>SUM($I41:$AF41)=0</formula>
    </cfRule>
    <cfRule type="expression" dxfId="5595" priority="33" stopIfTrue="1">
      <formula>$AM$138=$C$152</formula>
    </cfRule>
  </conditionalFormatting>
  <conditionalFormatting sqref="D33:G34">
    <cfRule type="expression" dxfId="5594" priority="34" stopIfTrue="1">
      <formula>H35=0</formula>
    </cfRule>
    <cfRule type="expression" dxfId="5593" priority="35" stopIfTrue="1">
      <formula>$B$32&lt;&gt;""</formula>
    </cfRule>
  </conditionalFormatting>
  <conditionalFormatting sqref="T100 T108 T116">
    <cfRule type="expression" dxfId="5592" priority="36" stopIfTrue="1">
      <formula>$J94=""</formula>
    </cfRule>
    <cfRule type="expression" dxfId="5591" priority="37" stopIfTrue="1">
      <formula>$N94=$C$146</formula>
    </cfRule>
  </conditionalFormatting>
  <conditionalFormatting sqref="AA193:AA228">
    <cfRule type="expression" dxfId="5590" priority="38" stopIfTrue="1">
      <formula>COUNTIF($AB193:$AE193,0)&gt;0</formula>
    </cfRule>
  </conditionalFormatting>
  <conditionalFormatting sqref="Y346:AP347 Y316:AP317 Y368:AP376 D324:V333 D368:V376 Y363:AP363 Y324:AP333 D363:V363 D346:V347 Y355:AP360 D355:V360 Y338:AP343 D338:V343 Y308:AP313 D308:V313 D316:V317">
    <cfRule type="cellIs" dxfId="5589" priority="39" stopIfTrue="1" operator="equal">
      <formula>0</formula>
    </cfRule>
  </conditionalFormatting>
  <conditionalFormatting sqref="C18 AJ43:AM43 B68 AD4:AM4 B47 AL48:AM49 AD48:AK48 B2 AL16:AM16 AM69:AM70 B70">
    <cfRule type="expression" dxfId="5588" priority="40" stopIfTrue="1">
      <formula>$AL$380=TRUE</formula>
    </cfRule>
  </conditionalFormatting>
  <conditionalFormatting sqref="AG25:AJ25">
    <cfRule type="expression" dxfId="5587" priority="41" stopIfTrue="1">
      <formula>ISBLANK($AG$25)</formula>
    </cfRule>
    <cfRule type="expression" dxfId="5586" priority="42" stopIfTrue="1">
      <formula>$AG$25=$C$154</formula>
    </cfRule>
  </conditionalFormatting>
  <conditionalFormatting sqref="AG26:AH26">
    <cfRule type="expression" dxfId="5585" priority="43" stopIfTrue="1">
      <formula>ISBLANK($AG$25)</formula>
    </cfRule>
    <cfRule type="expression" dxfId="5584" priority="44" stopIfTrue="1">
      <formula>$AG$25=$C$154</formula>
    </cfRule>
  </conditionalFormatting>
  <conditionalFormatting sqref="AI26:AJ26">
    <cfRule type="expression" dxfId="5583" priority="45" stopIfTrue="1">
      <formula>ISBLANK($AG$25)</formula>
    </cfRule>
    <cfRule type="expression" dxfId="5582" priority="46" stopIfTrue="1">
      <formula>$AG$25=$C$154</formula>
    </cfRule>
  </conditionalFormatting>
  <conditionalFormatting sqref="Y38:AB41 E38:H41 Q38:T41">
    <cfRule type="expression" dxfId="5581" priority="47" stopIfTrue="1">
      <formula>SUM($I$41:$AF$41)=0</formula>
    </cfRule>
  </conditionalFormatting>
  <conditionalFormatting sqref="Y25:AB25">
    <cfRule type="expression" dxfId="5580" priority="48" stopIfTrue="1">
      <formula>ISBLANK($Y$25)</formula>
    </cfRule>
    <cfRule type="expression" dxfId="5579" priority="49" stopIfTrue="1">
      <formula>$Y$25=$C$154</formula>
    </cfRule>
  </conditionalFormatting>
  <conditionalFormatting sqref="Y26:Z26">
    <cfRule type="expression" dxfId="5578" priority="50" stopIfTrue="1">
      <formula>ISBLANK($Y$25)</formula>
    </cfRule>
    <cfRule type="expression" dxfId="5577" priority="51" stopIfTrue="1">
      <formula>$Y$25=$C$154</formula>
    </cfRule>
  </conditionalFormatting>
  <conditionalFormatting sqref="AA26:AB26">
    <cfRule type="expression" dxfId="5576" priority="52" stopIfTrue="1">
      <formula>ISBLANK($Y$25)</formula>
    </cfRule>
    <cfRule type="expression" dxfId="5575" priority="53" stopIfTrue="1">
      <formula>$Y$25=$C$154</formula>
    </cfRule>
  </conditionalFormatting>
  <conditionalFormatting sqref="Q25:T25">
    <cfRule type="expression" dxfId="5574" priority="54" stopIfTrue="1">
      <formula>ISBLANK($Q$25)</formula>
    </cfRule>
    <cfRule type="expression" dxfId="5573" priority="55" stopIfTrue="1">
      <formula>$Q$25=$C$154</formula>
    </cfRule>
  </conditionalFormatting>
  <conditionalFormatting sqref="Q26:R26">
    <cfRule type="expression" dxfId="5572" priority="56" stopIfTrue="1">
      <formula>ISBLANK($Q$25)</formula>
    </cfRule>
    <cfRule type="expression" dxfId="5571" priority="57" stopIfTrue="1">
      <formula>$Q$25=$C$154</formula>
    </cfRule>
  </conditionalFormatting>
  <conditionalFormatting sqref="S26:T26">
    <cfRule type="expression" dxfId="5570" priority="58" stopIfTrue="1">
      <formula>ISBLANK($Q$25)</formula>
    </cfRule>
    <cfRule type="expression" dxfId="5569" priority="59" stopIfTrue="1">
      <formula>$Q$25=$C$154</formula>
    </cfRule>
  </conditionalFormatting>
  <conditionalFormatting sqref="B324:B333 Y60:Z65 B339:B346 B356:B363 B368:B376 AF138:AL138 AF141:AI143 AF145:AI145 B309:B317 AF139:AJ140 AK140:AO140 G60:H65 AF147:AI147 D417:F417 D408:F408 G401:AM408 D401:F404 G410:AM417 D410:F413 G419:AM426 D419:F422 D426:F426">
    <cfRule type="cellIs" dxfId="5568" priority="60" stopIfTrue="1" operator="equal">
      <formula>0</formula>
    </cfRule>
  </conditionalFormatting>
  <conditionalFormatting sqref="O184:Z186 AI148 AG193:AJ228 AB193:AE228">
    <cfRule type="cellIs" dxfId="5567" priority="61" stopIfTrue="1" operator="equal">
      <formula>0</formula>
    </cfRule>
  </conditionalFormatting>
  <conditionalFormatting sqref="H150:W150 O187:Z189">
    <cfRule type="cellIs" dxfId="5566" priority="62" stopIfTrue="1" operator="equal">
      <formula>1</formula>
    </cfRule>
  </conditionalFormatting>
  <conditionalFormatting sqref="R97:S97">
    <cfRule type="expression" dxfId="5565" priority="63" stopIfTrue="1">
      <formula>AND($U$97="",$T$96&gt;0)</formula>
    </cfRule>
  </conditionalFormatting>
  <conditionalFormatting sqref="R96:S96">
    <cfRule type="expression" dxfId="5564" priority="64" stopIfTrue="1">
      <formula>AND($T$97&gt;0,$U$96="")</formula>
    </cfRule>
  </conditionalFormatting>
  <conditionalFormatting sqref="T96">
    <cfRule type="expression" dxfId="5563" priority="65" stopIfTrue="1">
      <formula>AND($T$97&gt;0,$U$96="")</formula>
    </cfRule>
  </conditionalFormatting>
  <conditionalFormatting sqref="T104">
    <cfRule type="expression" dxfId="5562" priority="66" stopIfTrue="1">
      <formula>AND($T$105&gt;0,$U$104="")</formula>
    </cfRule>
  </conditionalFormatting>
  <conditionalFormatting sqref="T97">
    <cfRule type="expression" dxfId="5561" priority="67" stopIfTrue="1">
      <formula>AND($U$97="",$T$96&gt;0)</formula>
    </cfRule>
  </conditionalFormatting>
  <conditionalFormatting sqref="T112">
    <cfRule type="expression" dxfId="5560" priority="68" stopIfTrue="1">
      <formula>AND($T$113&gt;0,$U$112="")</formula>
    </cfRule>
  </conditionalFormatting>
  <conditionalFormatting sqref="T113">
    <cfRule type="expression" dxfId="5559" priority="69" stopIfTrue="1">
      <formula>AND($U$113="",$T$112&gt;0)</formula>
    </cfRule>
  </conditionalFormatting>
  <conditionalFormatting sqref="U96:U98">
    <cfRule type="expression" dxfId="5558" priority="70" stopIfTrue="1">
      <formula>$J$94=""</formula>
    </cfRule>
    <cfRule type="cellIs" dxfId="5557" priority="71" stopIfTrue="1" operator="equal">
      <formula>0</formula>
    </cfRule>
  </conditionalFormatting>
  <conditionalFormatting sqref="U104:U106">
    <cfRule type="expression" dxfId="5556" priority="72" stopIfTrue="1">
      <formula>$J$102=""</formula>
    </cfRule>
    <cfRule type="cellIs" dxfId="5555" priority="73" stopIfTrue="1" operator="equal">
      <formula>0</formula>
    </cfRule>
  </conditionalFormatting>
  <conditionalFormatting sqref="U112:U114">
    <cfRule type="expression" dxfId="5554" priority="74" stopIfTrue="1">
      <formula>$J$110=""</formula>
    </cfRule>
    <cfRule type="cellIs" dxfId="5553" priority="75" stopIfTrue="1" operator="equal">
      <formula>0</formula>
    </cfRule>
  </conditionalFormatting>
  <conditionalFormatting sqref="R104:S104">
    <cfRule type="expression" dxfId="5552" priority="76" stopIfTrue="1">
      <formula>AND($T$105&gt;0,$U$104="")</formula>
    </cfRule>
  </conditionalFormatting>
  <conditionalFormatting sqref="R112:S112">
    <cfRule type="expression" dxfId="5551" priority="77" stopIfTrue="1">
      <formula>AND($T$113&gt;0,$U$112="")</formula>
    </cfRule>
  </conditionalFormatting>
  <conditionalFormatting sqref="R113:S113">
    <cfRule type="expression" dxfId="5550" priority="78" stopIfTrue="1">
      <formula>AND($U$113="",$T$112&gt;0)</formula>
    </cfRule>
  </conditionalFormatting>
  <conditionalFormatting sqref="R105:S105">
    <cfRule type="expression" dxfId="5549" priority="79" stopIfTrue="1">
      <formula>AND($U$105="",$T$104&gt;0)</formula>
    </cfRule>
  </conditionalFormatting>
  <conditionalFormatting sqref="Z106:AG106">
    <cfRule type="expression" dxfId="5548" priority="80" stopIfTrue="1">
      <formula>$Z$107&gt;$AD$107</formula>
    </cfRule>
    <cfRule type="expression" dxfId="5547" priority="81" stopIfTrue="1">
      <formula>OR($Z$102&lt;&gt;"",$Z$110&lt;&gt;"")</formula>
    </cfRule>
  </conditionalFormatting>
  <conditionalFormatting sqref="Z98:AG98">
    <cfRule type="expression" dxfId="5546" priority="82" stopIfTrue="1">
      <formula>$Z$99&gt;$AD$99</formula>
    </cfRule>
    <cfRule type="expression" dxfId="5545" priority="83" stopIfTrue="1">
      <formula>OR($Z$94&lt;&gt;"",$Z$102&lt;&gt;"")</formula>
    </cfRule>
  </conditionalFormatting>
  <conditionalFormatting sqref="J102:M102">
    <cfRule type="expression" dxfId="5544" priority="84" stopIfTrue="1">
      <formula>OR($Z$102&lt;&gt;"",$Z$110&lt;&gt;"")</formula>
    </cfRule>
  </conditionalFormatting>
  <conditionalFormatting sqref="J94:M94">
    <cfRule type="expression" dxfId="5543" priority="85" stopIfTrue="1">
      <formula>OR($Z$94&lt;&gt;"",$Z$102&lt;&gt;"")</formula>
    </cfRule>
  </conditionalFormatting>
  <conditionalFormatting sqref="J96:M98">
    <cfRule type="expression" dxfId="5542" priority="86" stopIfTrue="1">
      <formula>ISBLANK($J$94)</formula>
    </cfRule>
    <cfRule type="cellIs" dxfId="5541" priority="87" stopIfTrue="1" operator="equal">
      <formula>0</formula>
    </cfRule>
    <cfRule type="expression" dxfId="5540" priority="88" stopIfTrue="1">
      <formula>$AH$98=$H$382</formula>
    </cfRule>
  </conditionalFormatting>
  <conditionalFormatting sqref="J99:M99">
    <cfRule type="expression" dxfId="5539" priority="89" stopIfTrue="1">
      <formula>ISBLANK($J$94)</formula>
    </cfRule>
    <cfRule type="expression" dxfId="5538" priority="90" stopIfTrue="1">
      <formula>$AH$98=$H$382</formula>
    </cfRule>
  </conditionalFormatting>
  <conditionalFormatting sqref="J107:M107">
    <cfRule type="expression" dxfId="5537" priority="91" stopIfTrue="1">
      <formula>ISBLANK($J$102)</formula>
    </cfRule>
    <cfRule type="expression" dxfId="5536" priority="92" stopIfTrue="1">
      <formula>$AH$106=$H$382</formula>
    </cfRule>
  </conditionalFormatting>
  <conditionalFormatting sqref="J115:M115">
    <cfRule type="expression" dxfId="5535" priority="93" stopIfTrue="1">
      <formula>ISBLANK($J$110)</formula>
    </cfRule>
    <cfRule type="expression" dxfId="5534" priority="94" stopIfTrue="1">
      <formula>$AH$114=$H$382</formula>
    </cfRule>
  </conditionalFormatting>
  <conditionalFormatting sqref="N113">
    <cfRule type="expression" dxfId="5533" priority="95" stopIfTrue="1">
      <formula>$AH$114=$H$382</formula>
    </cfRule>
  </conditionalFormatting>
  <conditionalFormatting sqref="N105">
    <cfRule type="expression" dxfId="5532" priority="96" stopIfTrue="1">
      <formula>$AH$106=$H$382</formula>
    </cfRule>
  </conditionalFormatting>
  <conditionalFormatting sqref="N97">
    <cfRule type="expression" dxfId="5531" priority="97" stopIfTrue="1">
      <formula>$AH$98=$H$382</formula>
    </cfRule>
  </conditionalFormatting>
  <conditionalFormatting sqref="V75 C75:O75 T73 C73:O73">
    <cfRule type="expression" dxfId="5530" priority="98" stopIfTrue="1">
      <formula>$Z$69=""</formula>
    </cfRule>
  </conditionalFormatting>
  <conditionalFormatting sqref="J60:M65 AB60:AE65">
    <cfRule type="cellIs" dxfId="5529" priority="99" stopIfTrue="1" operator="greaterThan">
      <formula>0</formula>
    </cfRule>
  </conditionalFormatting>
  <conditionalFormatting sqref="J104:M106">
    <cfRule type="expression" dxfId="5528" priority="100" stopIfTrue="1">
      <formula>ISBLANK($J$102)</formula>
    </cfRule>
    <cfRule type="cellIs" dxfId="5527" priority="101" stopIfTrue="1" operator="equal">
      <formula>0</formula>
    </cfRule>
    <cfRule type="expression" dxfId="5526" priority="102" stopIfTrue="1">
      <formula>$AH$106=$H$382</formula>
    </cfRule>
  </conditionalFormatting>
  <conditionalFormatting sqref="J112:M114">
    <cfRule type="expression" dxfId="5525" priority="103" stopIfTrue="1">
      <formula>ISBLANK($J$110)</formula>
    </cfRule>
    <cfRule type="cellIs" dxfId="5524" priority="104" stopIfTrue="1" operator="equal">
      <formula>0</formula>
    </cfRule>
    <cfRule type="expression" dxfId="5523" priority="105" stopIfTrue="1">
      <formula>$AH$114=$H$382</formula>
    </cfRule>
  </conditionalFormatting>
  <conditionalFormatting sqref="G80:G81">
    <cfRule type="expression" dxfId="5522" priority="106" stopIfTrue="1">
      <formula>OR(ISBLANK($C$75),ISBLANK($O$75))</formula>
    </cfRule>
  </conditionalFormatting>
  <conditionalFormatting sqref="G78:AD78 H80:AD80">
    <cfRule type="expression" dxfId="5521" priority="107" stopIfTrue="1">
      <formula>OR(ISBLANK($C$73),ISBLANK($O$73))</formula>
    </cfRule>
  </conditionalFormatting>
  <conditionalFormatting sqref="G79:AD79 H81:AD81">
    <cfRule type="expression" dxfId="5520" priority="108" stopIfTrue="1">
      <formula>OR(ISBLANK($C$73),ISBLANK($O$73))</formula>
    </cfRule>
  </conditionalFormatting>
  <conditionalFormatting sqref="O43:AI43 B43:B44 C43:K43">
    <cfRule type="expression" dxfId="5519" priority="109" stopIfTrue="1">
      <formula>$Y$151&gt;0</formula>
    </cfRule>
  </conditionalFormatting>
  <conditionalFormatting sqref="AJ44:AM44">
    <cfRule type="expression" dxfId="5518" priority="110" stopIfTrue="1">
      <formula>$AL$380=TRUE</formula>
    </cfRule>
    <cfRule type="expression" dxfId="5517" priority="111" stopIfTrue="1">
      <formula>$AM$138=$C$152</formula>
    </cfRule>
  </conditionalFormatting>
  <conditionalFormatting sqref="D391:AM397">
    <cfRule type="cellIs" dxfId="5516" priority="112" stopIfTrue="1" operator="equal">
      <formula>0</formula>
    </cfRule>
    <cfRule type="expression" dxfId="5515" priority="113" stopIfTrue="1">
      <formula>ISERROR(D391)</formula>
    </cfRule>
  </conditionalFormatting>
  <conditionalFormatting sqref="Q28:T28 Y28:AB28 D250:AM250 D247:AM247 D253:AM253">
    <cfRule type="cellIs" dxfId="5514" priority="114" stopIfTrue="1" operator="equal">
      <formula>0</formula>
    </cfRule>
  </conditionalFormatting>
  <conditionalFormatting sqref="B16:B17 B49:B50">
    <cfRule type="expression" dxfId="5513" priority="115" stopIfTrue="1">
      <formula>$AL$372=TRUE</formula>
    </cfRule>
  </conditionalFormatting>
  <conditionalFormatting sqref="T105">
    <cfRule type="expression" dxfId="5512" priority="116" stopIfTrue="1">
      <formula>AND($U$105="",$T$104&gt;0)</formula>
    </cfRule>
  </conditionalFormatting>
  <conditionalFormatting sqref="C24:D26">
    <cfRule type="expression" dxfId="5511" priority="117" stopIfTrue="1">
      <formula>$AD$44=$AF$131</formula>
    </cfRule>
  </conditionalFormatting>
  <conditionalFormatting sqref="C19:F19">
    <cfRule type="expression" dxfId="5510" priority="118" stopIfTrue="1">
      <formula>$AJ$44=""</formula>
    </cfRule>
  </conditionalFormatting>
  <conditionalFormatting sqref="D28:D32">
    <cfRule type="expression" dxfId="5509" priority="119" stopIfTrue="1">
      <formula>$AD$44=$AF$131</formula>
    </cfRule>
  </conditionalFormatting>
  <conditionalFormatting sqref="AH52:AJ52">
    <cfRule type="expression" dxfId="5508" priority="120" stopIfTrue="1">
      <formula>$AL$380=TRUE</formula>
    </cfRule>
    <cfRule type="expression" dxfId="5507" priority="121" stopIfTrue="1">
      <formula>$AH$52=""</formula>
    </cfRule>
  </conditionalFormatting>
  <conditionalFormatting sqref="AC52:AG52">
    <cfRule type="expression" dxfId="5506" priority="122" stopIfTrue="1">
      <formula>$AL$380=TRUE</formula>
    </cfRule>
    <cfRule type="expression" dxfId="5505" priority="123" stopIfTrue="1">
      <formula>$AH$52=""</formula>
    </cfRule>
  </conditionalFormatting>
  <conditionalFormatting sqref="B87 AD88:AM88 B4">
    <cfRule type="expression" dxfId="5504" priority="124" stopIfTrue="1">
      <formula>$AL$403=TRUE</formula>
    </cfRule>
  </conditionalFormatting>
  <conditionalFormatting sqref="AH98:AJ98 AH106:AJ106 AH114:AJ114">
    <cfRule type="expression" dxfId="5503" priority="125" stopIfTrue="1">
      <formula>AH98=$C$152</formula>
    </cfRule>
  </conditionalFormatting>
  <conditionalFormatting sqref="D35:G35">
    <cfRule type="expression" dxfId="5502" priority="126" stopIfTrue="1">
      <formula>$B$32&lt;&gt;""</formula>
    </cfRule>
  </conditionalFormatting>
  <conditionalFormatting sqref="AC38:AF41 U38:X41 I38:P41">
    <cfRule type="expression" dxfId="5501" priority="127" stopIfTrue="1">
      <formula>SUM($I$41:$AF$41)=0</formula>
    </cfRule>
    <cfRule type="expression" dxfId="5500" priority="128" stopIfTrue="1">
      <formula>I$33=$C$146</formula>
    </cfRule>
    <cfRule type="expression" dxfId="5499" priority="129" stopIfTrue="1">
      <formula>I$35=$H$146</formula>
    </cfRule>
  </conditionalFormatting>
  <conditionalFormatting sqref="AD44:AI44">
    <cfRule type="expression" dxfId="5498" priority="130" stopIfTrue="1">
      <formula>$AD44=$AF$132</formula>
    </cfRule>
  </conditionalFormatting>
  <dataValidations count="28">
    <dataValidation type="list" allowBlank="1" showInputMessage="1" showErrorMessage="1" sqref="J65:M65 J63:M63">
      <formula1>$G160:$AK160</formula1>
    </dataValidation>
    <dataValidation type="list" allowBlank="1" showInputMessage="1" showErrorMessage="1" sqref="AB64:AE64 AB62:AE62">
      <formula1>$G165:$AK165</formula1>
    </dataValidation>
    <dataValidation type="list" allowBlank="1" showInputMessage="1" showErrorMessage="1" sqref="J61:M61">
      <formula1>$G158:$AJ158</formula1>
    </dataValidation>
    <dataValidation type="list" allowBlank="1" showInputMessage="1" showErrorMessage="1" sqref="Q65:S65 Q63:S63 N63 N65">
      <formula1>$H173:$AK173</formula1>
    </dataValidation>
    <dataValidation type="list" allowBlank="1" showInputMessage="1" showErrorMessage="1" sqref="AF64:AK64 AF62:AK62">
      <formula1>$H178:$AK178</formula1>
    </dataValidation>
    <dataValidation type="list" allowBlank="1" showInputMessage="1" showErrorMessage="1" sqref="Q62:S62 Q60:S60 N60 N62 N64 Q64:S64">
      <formula1>$H170:$AL170</formula1>
    </dataValidation>
    <dataValidation type="list" allowBlank="1" showInputMessage="1" showErrorMessage="1" sqref="AF60:AK61 AF63:AK63 AF65:AK65">
      <formula1>$H176:$AL176</formula1>
    </dataValidation>
    <dataValidation type="list" allowBlank="1" showInputMessage="1" showErrorMessage="1" sqref="N61 Q61:S61">
      <formula1>$H171:$AJ171</formula1>
    </dataValidation>
    <dataValidation type="list" allowBlank="1" showInputMessage="1" showErrorMessage="1" sqref="AB65:AE65 AB63:AE63 AB60:AE61">
      <formula1>$G163:$AL163</formula1>
    </dataValidation>
    <dataValidation type="list" allowBlank="1" showInputMessage="1" showErrorMessage="1" sqref="J64:M64 J62:M62 J60:M60">
      <formula1>$G157:$AL157</formula1>
    </dataValidation>
    <dataValidation type="list" allowBlank="1" showInputMessage="1" showErrorMessage="1" sqref="AG25:AJ25 Q25:T25 Y25:AB25">
      <formula1>$C$154:$C$156</formula1>
    </dataValidation>
    <dataValidation type="list" allowBlank="1" showInputMessage="1" showErrorMessage="1" sqref="J20:K20 N20:O20 V20:W20 AD20:AE20">
      <formula1>$O$7:$O$14</formula1>
    </dataValidation>
    <dataValidation type="list" allowBlank="1" showInputMessage="1" showErrorMessage="1" sqref="J21:K21 AD21:AE21 V21:W21 N21:O21">
      <formula1>$AC$130:$AC$143</formula1>
    </dataValidation>
    <dataValidation type="list" allowBlank="1" showInputMessage="1" showErrorMessage="1" sqref="J22:K22 N22:O22 V22:W22 AD22:AE22">
      <formula1>$AL$7:$AL$14</formula1>
    </dataValidation>
    <dataValidation type="list" allowBlank="1" showInputMessage="1" showErrorMessage="1" sqref="T112 T96 T104">
      <formula1>$O$8:$O$15</formula1>
    </dataValidation>
    <dataValidation type="list" allowBlank="1" showInputMessage="1" showErrorMessage="1" sqref="T114 T98 T106">
      <formula1>$AL$8:$AL$15</formula1>
    </dataValidation>
    <dataValidation type="textLength" operator="equal" allowBlank="1" showInputMessage="1" showErrorMessage="1" sqref="O73">
      <formula1>11</formula1>
    </dataValidation>
    <dataValidation type="list" allowBlank="1" showInputMessage="1" showErrorMessage="1" sqref="C55:O55">
      <formula1>$M$133:$M$134</formula1>
    </dataValidation>
    <dataValidation type="list" allowBlank="1" showInputMessage="1" showErrorMessage="1" sqref="J94:M94 J110:M110 J102:M102">
      <formula1>$C$183:$C$187</formula1>
    </dataValidation>
    <dataValidation type="list" allowBlank="1" showInputMessage="1" showErrorMessage="1" sqref="T97 T113 T105">
      <formula1>$AC$131:$AC$144</formula1>
    </dataValidation>
    <dataValidation type="list" allowBlank="1" showInputMessage="1" showErrorMessage="1" sqref="Z98:AG98 Z114:AG114 Z106:AG106">
      <formula1>$C$158:$C$168</formula1>
    </dataValidation>
    <dataValidation type="list" allowBlank="1" showInputMessage="1" showErrorMessage="1" sqref="Y14:AB14 Y8:Y13 Z9:AB13">
      <formula1>$C$131:$C$135</formula1>
    </dataValidation>
    <dataValidation type="decimal" allowBlank="1" showInputMessage="1" showErrorMessage="1" sqref="U8:V12">
      <formula1>0</formula1>
      <formula2>100</formula2>
    </dataValidation>
    <dataValidation type="list" allowBlank="1" showInputMessage="1" showErrorMessage="1" sqref="Q8:T12">
      <formula1>$C$136:$C$137</formula1>
    </dataValidation>
    <dataValidation type="list" allowBlank="1" showInputMessage="1" showErrorMessage="1" sqref="E25:H25">
      <formula1>$C$148:$C$150</formula1>
    </dataValidation>
    <dataValidation type="list" allowBlank="1" showInputMessage="1" showErrorMessage="1" sqref="I33:P33 AC33:AF33 U33:X33">
      <formula1>$C$146:$C$147</formula1>
    </dataValidation>
    <dataValidation type="list" allowBlank="1" showInputMessage="1" showErrorMessage="1" sqref="I35:P35 AC35:AF35 U35:X35">
      <formula1>$H$146:$H$147</formula1>
    </dataValidation>
    <dataValidation type="list" allowBlank="1" showInputMessage="1" showErrorMessage="1" sqref="D35:G35">
      <formula1>$H$142:$H$144</formula1>
    </dataValidation>
  </dataValidations>
  <hyperlinks>
    <hyperlink ref="J447:Q447" r:id="rId1" display="Qui vai al Download per i file .xlsm"/>
    <hyperlink ref="AL70" location="Presentazione!K83" display="QUI"/>
    <hyperlink ref="W441" r:id="rId2"/>
    <hyperlink ref="W433" r:id="rId3"/>
  </hyperlinks>
  <printOptions horizontalCentered="1"/>
  <pageMargins left="0" right="0" top="0.39370078740157483" bottom="0.19685039370078741" header="0" footer="0"/>
  <pageSetup paperSize="9" scale="72" orientation="landscape" r:id="rId4"/>
  <headerFooter alignWithMargins="0"/>
  <rowBreaks count="2" manualBreakCount="2">
    <brk id="46" max="16383" man="1"/>
    <brk id="86" max="16383" man="1"/>
  </rowBreaks>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293"/>
  <sheetViews>
    <sheetView showGridLines="0" showRowColHeaders="0" workbookViewId="0"/>
  </sheetViews>
  <sheetFormatPr defaultRowHeight="12.75" x14ac:dyDescent="0.2"/>
  <sheetData>
    <row r="1" spans="1:67" x14ac:dyDescent="0.2">
      <c r="A1" s="487"/>
      <c r="B1" s="32"/>
      <c r="C1" s="32"/>
      <c r="D1" s="32"/>
      <c r="E1" s="32"/>
      <c r="F1" s="32"/>
      <c r="G1" s="32"/>
      <c r="H1" s="32"/>
      <c r="I1" s="32"/>
      <c r="J1" s="32"/>
      <c r="K1" s="32"/>
      <c r="L1" s="32"/>
      <c r="M1" s="32"/>
      <c r="N1" s="32"/>
      <c r="O1" s="32"/>
      <c r="P1" s="1375"/>
      <c r="Q1" s="1373"/>
      <c r="R1" s="1373"/>
      <c r="U1" s="1373"/>
      <c r="V1" s="1373"/>
      <c r="W1" s="1373"/>
      <c r="X1" s="1373"/>
      <c r="Y1" s="1373"/>
      <c r="Z1" s="1373"/>
      <c r="AA1" s="1373"/>
      <c r="AB1" s="1373"/>
      <c r="AC1" s="1373"/>
      <c r="AD1" s="1373"/>
      <c r="AE1" s="1373"/>
      <c r="AF1" s="1373"/>
      <c r="AG1" s="1373"/>
      <c r="AH1" s="1373"/>
      <c r="AI1" s="1373"/>
      <c r="AJ1" s="1373"/>
      <c r="AK1" s="1373"/>
      <c r="AL1" s="1373"/>
      <c r="AM1" s="1373"/>
      <c r="AN1" s="1373"/>
      <c r="AO1" s="1373"/>
      <c r="AP1" s="1373"/>
      <c r="AQ1" s="1373"/>
      <c r="AR1" s="1373"/>
      <c r="AS1" s="1373"/>
      <c r="AT1" s="1373"/>
      <c r="AU1" s="1373"/>
      <c r="AV1" s="1373"/>
      <c r="AW1" s="1373"/>
      <c r="AX1" s="1373"/>
      <c r="AY1" s="1373"/>
      <c r="AZ1" s="1373"/>
      <c r="BA1" s="1373"/>
      <c r="BB1" s="1373"/>
      <c r="BC1" s="1373"/>
      <c r="BD1" s="1373"/>
      <c r="BE1" s="1373"/>
      <c r="BF1" s="1373"/>
      <c r="BG1" s="1373"/>
      <c r="BH1" s="1373"/>
      <c r="BI1" s="1373"/>
      <c r="BJ1" s="1373"/>
      <c r="BK1" s="1373"/>
      <c r="BL1" s="1373"/>
      <c r="BM1" s="1373"/>
      <c r="BN1" s="1373"/>
      <c r="BO1" s="1373"/>
    </row>
    <row r="2" spans="1:67" s="80" customFormat="1" ht="14.25" x14ac:dyDescent="0.2">
      <c r="A2" s="643"/>
      <c r="B2" s="1376" t="s">
        <v>157</v>
      </c>
      <c r="C2" s="48"/>
      <c r="D2" s="48"/>
      <c r="E2" s="48"/>
      <c r="F2" s="48"/>
      <c r="G2" s="48"/>
      <c r="H2" s="48"/>
      <c r="I2" s="48"/>
      <c r="J2" s="48"/>
      <c r="K2" s="48"/>
      <c r="L2" s="48"/>
      <c r="M2" s="48"/>
      <c r="N2" s="48"/>
      <c r="O2" s="1377" t="str">
        <f>Presentazione!$G$35</f>
        <v>Registro dei Corrispettivi 5.2.4 3txt - per EXCEL .xlsm</v>
      </c>
      <c r="P2" s="48"/>
      <c r="R2" s="481"/>
      <c r="U2" s="481"/>
      <c r="V2" s="481"/>
      <c r="W2" s="481"/>
      <c r="X2" s="481"/>
      <c r="Y2" s="481"/>
      <c r="Z2" s="481"/>
      <c r="AA2" s="481"/>
      <c r="AB2" s="481"/>
      <c r="AC2" s="481"/>
      <c r="AD2" s="481"/>
      <c r="AE2" s="481"/>
      <c r="AF2" s="481"/>
      <c r="AG2" s="481"/>
      <c r="AH2" s="481"/>
      <c r="AI2" s="481"/>
      <c r="AJ2" s="481"/>
      <c r="AK2" s="481"/>
      <c r="AL2" s="481"/>
      <c r="AM2" s="481"/>
      <c r="AN2" s="481"/>
      <c r="AO2" s="481"/>
      <c r="AP2" s="481"/>
      <c r="AQ2" s="481"/>
      <c r="AR2" s="481"/>
      <c r="AS2" s="481"/>
      <c r="AT2" s="481"/>
      <c r="AU2" s="481"/>
      <c r="AV2" s="481"/>
      <c r="AW2" s="481"/>
      <c r="AX2" s="481"/>
      <c r="AY2" s="481"/>
      <c r="AZ2" s="481"/>
      <c r="BA2" s="481"/>
      <c r="BB2" s="481"/>
      <c r="BC2" s="481"/>
      <c r="BD2" s="481"/>
      <c r="BE2" s="481"/>
      <c r="BF2" s="481"/>
      <c r="BG2" s="481"/>
      <c r="BH2" s="481"/>
      <c r="BI2" s="481"/>
      <c r="BJ2" s="481"/>
      <c r="BK2" s="481"/>
      <c r="BL2" s="481"/>
      <c r="BM2" s="481"/>
      <c r="BN2" s="481"/>
      <c r="BO2" s="481"/>
    </row>
    <row r="3" spans="1:67" s="80" customFormat="1" ht="14.25" x14ac:dyDescent="0.2">
      <c r="A3" s="643"/>
      <c r="B3" s="1374" t="s">
        <v>155</v>
      </c>
      <c r="C3" s="48"/>
      <c r="D3" s="48"/>
      <c r="E3" s="48"/>
      <c r="F3" s="48"/>
      <c r="G3" s="48"/>
      <c r="H3" s="48"/>
      <c r="I3" s="48"/>
      <c r="J3" s="48"/>
      <c r="K3" s="48"/>
      <c r="L3" s="48"/>
      <c r="M3" s="48"/>
      <c r="N3" s="48"/>
      <c r="O3" s="636" t="s">
        <v>253</v>
      </c>
      <c r="P3" s="48"/>
      <c r="Q3" s="481"/>
      <c r="R3" s="481"/>
      <c r="T3" s="481"/>
      <c r="U3" s="481"/>
      <c r="V3" s="481"/>
      <c r="W3" s="481"/>
      <c r="X3" s="481"/>
      <c r="Y3" s="481"/>
      <c r="Z3" s="481"/>
      <c r="AA3" s="481"/>
      <c r="AB3" s="481"/>
      <c r="AC3" s="481"/>
      <c r="AD3" s="481"/>
      <c r="AE3" s="481"/>
      <c r="AF3" s="481"/>
      <c r="AG3" s="481"/>
      <c r="AH3" s="481"/>
      <c r="AI3" s="481"/>
      <c r="AJ3" s="481"/>
      <c r="AK3" s="481"/>
      <c r="AL3" s="481"/>
      <c r="AM3" s="481"/>
      <c r="AN3" s="481"/>
      <c r="AO3" s="481"/>
      <c r="AP3" s="481"/>
      <c r="AQ3" s="481"/>
      <c r="AR3" s="481"/>
      <c r="AS3" s="481"/>
      <c r="AT3" s="481"/>
      <c r="AU3" s="481"/>
      <c r="AV3" s="481"/>
      <c r="AW3" s="481"/>
      <c r="AX3" s="481"/>
      <c r="AY3" s="481"/>
      <c r="AZ3" s="481"/>
      <c r="BA3" s="481"/>
      <c r="BB3" s="481"/>
      <c r="BC3" s="481"/>
      <c r="BD3" s="481"/>
      <c r="BE3" s="481"/>
      <c r="BF3" s="481"/>
      <c r="BG3" s="481"/>
      <c r="BH3" s="481"/>
      <c r="BI3" s="481"/>
      <c r="BJ3" s="481"/>
      <c r="BK3" s="481"/>
      <c r="BL3" s="481"/>
      <c r="BM3" s="481"/>
      <c r="BN3" s="481"/>
      <c r="BO3" s="481"/>
    </row>
    <row r="4" spans="1:67" s="80" customFormat="1" x14ac:dyDescent="0.2">
      <c r="A4" s="643"/>
      <c r="B4" s="48"/>
      <c r="C4" s="48"/>
      <c r="D4" s="48"/>
      <c r="E4" s="48"/>
      <c r="F4" s="48"/>
      <c r="G4" s="48"/>
      <c r="H4" s="48"/>
      <c r="I4" s="48"/>
      <c r="J4" s="48"/>
      <c r="K4" s="48"/>
      <c r="L4" s="48"/>
      <c r="M4" s="48"/>
      <c r="N4" s="48"/>
      <c r="O4" s="48"/>
      <c r="P4" s="48"/>
      <c r="Q4" s="481"/>
      <c r="R4" s="481"/>
      <c r="S4" s="481"/>
      <c r="T4" s="481"/>
      <c r="U4" s="481"/>
      <c r="V4" s="481"/>
      <c r="W4" s="481"/>
      <c r="X4" s="481"/>
      <c r="Y4" s="481"/>
      <c r="Z4" s="481"/>
      <c r="AA4" s="481"/>
      <c r="AB4" s="481"/>
      <c r="AC4" s="481"/>
      <c r="AD4" s="481"/>
      <c r="AE4" s="481"/>
      <c r="AF4" s="481"/>
      <c r="AG4" s="481"/>
      <c r="AH4" s="481"/>
      <c r="AI4" s="481"/>
      <c r="AJ4" s="481"/>
      <c r="AK4" s="481"/>
      <c r="AL4" s="481"/>
      <c r="AM4" s="481"/>
      <c r="AN4" s="481"/>
      <c r="AO4" s="481"/>
      <c r="AP4" s="481"/>
      <c r="AQ4" s="481"/>
      <c r="AR4" s="481"/>
      <c r="AS4" s="481"/>
      <c r="AT4" s="481"/>
      <c r="AU4" s="481"/>
      <c r="AV4" s="481"/>
      <c r="AW4" s="481"/>
      <c r="AX4" s="481"/>
      <c r="AY4" s="481"/>
      <c r="AZ4" s="481"/>
      <c r="BA4" s="481"/>
      <c r="BB4" s="481"/>
      <c r="BC4" s="481"/>
      <c r="BD4" s="481"/>
      <c r="BE4" s="481"/>
      <c r="BF4" s="481"/>
      <c r="BG4" s="481"/>
      <c r="BH4" s="481"/>
      <c r="BI4" s="481"/>
      <c r="BJ4" s="481"/>
      <c r="BK4" s="481"/>
      <c r="BL4" s="481"/>
      <c r="BM4" s="481"/>
      <c r="BN4" s="481"/>
      <c r="BO4" s="481"/>
    </row>
    <row r="5" spans="1:67" x14ac:dyDescent="0.2">
      <c r="A5" s="487"/>
      <c r="B5" s="32"/>
      <c r="C5" s="32"/>
      <c r="D5" s="32"/>
      <c r="E5" s="32"/>
      <c r="F5" s="32"/>
      <c r="G5" s="32"/>
      <c r="H5" s="32"/>
      <c r="I5" s="32"/>
      <c r="J5" s="32"/>
      <c r="K5" s="32"/>
      <c r="L5" s="32"/>
      <c r="M5" s="32"/>
      <c r="N5" s="32"/>
      <c r="O5" s="32"/>
      <c r="P5" s="1375"/>
    </row>
    <row r="6" spans="1:67" x14ac:dyDescent="0.2">
      <c r="A6" s="487"/>
      <c r="B6" s="32"/>
      <c r="C6" s="32"/>
      <c r="D6" s="32"/>
      <c r="E6" s="32"/>
      <c r="F6" s="32"/>
      <c r="G6" s="32"/>
      <c r="H6" s="32"/>
      <c r="I6" s="32"/>
      <c r="J6" s="32"/>
      <c r="K6" s="32"/>
      <c r="L6" s="32"/>
      <c r="M6" s="32"/>
      <c r="N6" s="32"/>
      <c r="O6" s="32"/>
      <c r="P6" s="1375"/>
    </row>
    <row r="7" spans="1:67" x14ac:dyDescent="0.2">
      <c r="A7" s="487"/>
      <c r="B7" s="32"/>
      <c r="C7" s="32"/>
      <c r="D7" s="32"/>
      <c r="E7" s="32"/>
      <c r="F7" s="32"/>
      <c r="G7" s="32"/>
      <c r="H7" s="32"/>
      <c r="I7" s="32"/>
      <c r="J7" s="32"/>
      <c r="K7" s="32"/>
      <c r="L7" s="32"/>
      <c r="M7" s="32"/>
      <c r="N7" s="32"/>
      <c r="O7" s="32"/>
      <c r="P7" s="1375"/>
    </row>
    <row r="8" spans="1:67" x14ac:dyDescent="0.2">
      <c r="A8" s="487"/>
      <c r="B8" s="32"/>
      <c r="C8" s="32"/>
      <c r="D8" s="32"/>
      <c r="E8" s="32"/>
      <c r="F8" s="32"/>
      <c r="G8" s="32"/>
      <c r="H8" s="32"/>
      <c r="I8" s="32"/>
      <c r="J8" s="32"/>
      <c r="K8" s="32"/>
      <c r="L8" s="32"/>
      <c r="M8" s="32"/>
      <c r="N8" s="32"/>
      <c r="O8" s="32"/>
      <c r="P8" s="1375"/>
    </row>
    <row r="9" spans="1:67" x14ac:dyDescent="0.2">
      <c r="A9" s="487"/>
      <c r="B9" s="32"/>
      <c r="C9" s="32"/>
      <c r="D9" s="32"/>
      <c r="E9" s="32"/>
      <c r="F9" s="32"/>
      <c r="G9" s="32"/>
      <c r="H9" s="32"/>
      <c r="I9" s="32"/>
      <c r="J9" s="32"/>
      <c r="K9" s="32"/>
      <c r="L9" s="32"/>
      <c r="M9" s="32"/>
      <c r="N9" s="32"/>
      <c r="O9" s="32"/>
      <c r="P9" s="1375"/>
    </row>
    <row r="10" spans="1:67" x14ac:dyDescent="0.2">
      <c r="A10" s="487"/>
      <c r="B10" s="32"/>
      <c r="C10" s="32"/>
      <c r="D10" s="32"/>
      <c r="E10" s="32"/>
      <c r="F10" s="32"/>
      <c r="G10" s="32"/>
      <c r="H10" s="32"/>
      <c r="I10" s="32"/>
      <c r="J10" s="32"/>
      <c r="K10" s="32"/>
      <c r="L10" s="32"/>
      <c r="M10" s="32"/>
      <c r="N10" s="32"/>
      <c r="O10" s="32"/>
      <c r="P10" s="1375"/>
    </row>
    <row r="11" spans="1:67" x14ac:dyDescent="0.2">
      <c r="A11" s="487"/>
      <c r="B11" s="32"/>
      <c r="C11" s="32"/>
      <c r="D11" s="32"/>
      <c r="E11" s="32"/>
      <c r="F11" s="32"/>
      <c r="G11" s="32"/>
      <c r="H11" s="32"/>
      <c r="I11" s="32"/>
      <c r="J11" s="32"/>
      <c r="K11" s="32"/>
      <c r="L11" s="32"/>
      <c r="M11" s="32"/>
      <c r="N11" s="32"/>
      <c r="O11" s="32"/>
      <c r="P11" s="1375"/>
    </row>
    <row r="12" spans="1:67" x14ac:dyDescent="0.2">
      <c r="A12" s="487"/>
      <c r="B12" s="32"/>
      <c r="C12" s="32"/>
      <c r="D12" s="32"/>
      <c r="E12" s="32"/>
      <c r="F12" s="32"/>
      <c r="G12" s="32"/>
      <c r="H12" s="32"/>
      <c r="I12" s="32"/>
      <c r="J12" s="32"/>
      <c r="K12" s="32"/>
      <c r="L12" s="32"/>
      <c r="M12" s="32"/>
      <c r="N12" s="32"/>
      <c r="O12" s="32"/>
      <c r="P12" s="1375"/>
    </row>
    <row r="13" spans="1:67" x14ac:dyDescent="0.2">
      <c r="A13" s="487"/>
      <c r="B13" s="32"/>
      <c r="C13" s="32"/>
      <c r="D13" s="32"/>
      <c r="E13" s="32"/>
      <c r="F13" s="32"/>
      <c r="G13" s="32"/>
      <c r="H13" s="32"/>
      <c r="I13" s="32"/>
      <c r="J13" s="32"/>
      <c r="K13" s="32"/>
      <c r="L13" s="32"/>
      <c r="M13" s="32"/>
      <c r="N13" s="32"/>
      <c r="O13" s="32"/>
      <c r="P13" s="1375"/>
    </row>
    <row r="14" spans="1:67" x14ac:dyDescent="0.2">
      <c r="A14" s="487"/>
      <c r="B14" s="32"/>
      <c r="C14" s="32"/>
      <c r="D14" s="32"/>
      <c r="E14" s="32"/>
      <c r="F14" s="32"/>
      <c r="G14" s="32"/>
      <c r="H14" s="32"/>
      <c r="I14" s="32"/>
      <c r="J14" s="32"/>
      <c r="K14" s="32"/>
      <c r="L14" s="32"/>
      <c r="M14" s="32"/>
      <c r="N14" s="32"/>
      <c r="O14" s="32"/>
      <c r="P14" s="1375"/>
    </row>
    <row r="15" spans="1:67" x14ac:dyDescent="0.2">
      <c r="A15" s="487"/>
      <c r="B15" s="32"/>
      <c r="C15" s="32"/>
      <c r="D15" s="32"/>
      <c r="E15" s="32"/>
      <c r="F15" s="32"/>
      <c r="G15" s="32"/>
      <c r="H15" s="32"/>
      <c r="I15" s="32"/>
      <c r="J15" s="32"/>
      <c r="K15" s="32"/>
      <c r="L15" s="32"/>
      <c r="M15" s="32"/>
      <c r="N15" s="32"/>
      <c r="O15" s="32"/>
      <c r="P15" s="1375"/>
    </row>
    <row r="16" spans="1:67" x14ac:dyDescent="0.2">
      <c r="A16" s="487"/>
      <c r="B16" s="32"/>
      <c r="C16" s="32"/>
      <c r="D16" s="32"/>
      <c r="E16" s="32"/>
      <c r="F16" s="32"/>
      <c r="G16" s="32"/>
      <c r="H16" s="32"/>
      <c r="I16" s="32"/>
      <c r="J16" s="32"/>
      <c r="K16" s="32"/>
      <c r="L16" s="32"/>
      <c r="M16" s="32"/>
      <c r="N16" s="32"/>
      <c r="O16" s="32"/>
      <c r="P16" s="1375"/>
    </row>
    <row r="17" spans="1:16" x14ac:dyDescent="0.2">
      <c r="A17" s="487"/>
      <c r="B17" s="32"/>
      <c r="C17" s="32"/>
      <c r="D17" s="32"/>
      <c r="E17" s="32"/>
      <c r="F17" s="32"/>
      <c r="G17" s="32"/>
      <c r="H17" s="32"/>
      <c r="I17" s="32"/>
      <c r="J17" s="32"/>
      <c r="K17" s="32"/>
      <c r="L17" s="32"/>
      <c r="M17" s="32"/>
      <c r="N17" s="32"/>
      <c r="O17" s="32"/>
      <c r="P17" s="1375"/>
    </row>
    <row r="18" spans="1:16" x14ac:dyDescent="0.2">
      <c r="A18" s="487"/>
      <c r="B18" s="32"/>
      <c r="C18" s="32"/>
      <c r="D18" s="32"/>
      <c r="E18" s="32"/>
      <c r="F18" s="32"/>
      <c r="G18" s="32"/>
      <c r="H18" s="32"/>
      <c r="I18" s="32"/>
      <c r="J18" s="32"/>
      <c r="K18" s="32"/>
      <c r="L18" s="32"/>
      <c r="M18" s="32"/>
      <c r="N18" s="32"/>
      <c r="O18" s="32"/>
      <c r="P18" s="1375"/>
    </row>
    <row r="19" spans="1:16" x14ac:dyDescent="0.2">
      <c r="A19" s="487"/>
      <c r="B19" s="32"/>
      <c r="C19" s="32"/>
      <c r="D19" s="32"/>
      <c r="E19" s="32"/>
      <c r="F19" s="32"/>
      <c r="G19" s="32"/>
      <c r="H19" s="32"/>
      <c r="I19" s="32"/>
      <c r="J19" s="32"/>
      <c r="K19" s="32"/>
      <c r="L19" s="32"/>
      <c r="M19" s="32"/>
      <c r="N19" s="32"/>
      <c r="O19" s="32"/>
      <c r="P19" s="1375"/>
    </row>
    <row r="20" spans="1:16" x14ac:dyDescent="0.2">
      <c r="A20" s="487"/>
      <c r="B20" s="32"/>
      <c r="C20" s="32"/>
      <c r="D20" s="32"/>
      <c r="E20" s="32"/>
      <c r="F20" s="32"/>
      <c r="G20" s="32"/>
      <c r="H20" s="32"/>
      <c r="I20" s="32"/>
      <c r="J20" s="32"/>
      <c r="K20" s="32"/>
      <c r="L20" s="32"/>
      <c r="M20" s="32"/>
      <c r="N20" s="32"/>
      <c r="O20" s="32"/>
      <c r="P20" s="1375"/>
    </row>
    <row r="21" spans="1:16" x14ac:dyDescent="0.2">
      <c r="A21" s="487"/>
      <c r="B21" s="32"/>
      <c r="C21" s="32"/>
      <c r="D21" s="32"/>
      <c r="E21" s="32"/>
      <c r="F21" s="32"/>
      <c r="G21" s="32"/>
      <c r="H21" s="32"/>
      <c r="I21" s="32"/>
      <c r="J21" s="32"/>
      <c r="K21" s="32"/>
      <c r="L21" s="32"/>
      <c r="M21" s="32"/>
      <c r="N21" s="32"/>
      <c r="O21" s="32"/>
      <c r="P21" s="1375"/>
    </row>
    <row r="22" spans="1:16" x14ac:dyDescent="0.2">
      <c r="A22" s="487"/>
      <c r="B22" s="32"/>
      <c r="C22" s="32"/>
      <c r="D22" s="32"/>
      <c r="E22" s="32"/>
      <c r="F22" s="32"/>
      <c r="G22" s="32"/>
      <c r="H22" s="32"/>
      <c r="I22" s="32"/>
      <c r="J22" s="32"/>
      <c r="K22" s="32"/>
      <c r="L22" s="32"/>
      <c r="M22" s="32"/>
      <c r="N22" s="32"/>
      <c r="O22" s="32"/>
      <c r="P22" s="1375"/>
    </row>
    <row r="23" spans="1:16" x14ac:dyDescent="0.2">
      <c r="A23" s="487"/>
      <c r="B23" s="32"/>
      <c r="C23" s="32"/>
      <c r="D23" s="32"/>
      <c r="E23" s="32"/>
      <c r="F23" s="32"/>
      <c r="G23" s="32"/>
      <c r="H23" s="32"/>
      <c r="I23" s="32"/>
      <c r="J23" s="32"/>
      <c r="K23" s="32"/>
      <c r="L23" s="32"/>
      <c r="M23" s="32"/>
      <c r="N23" s="32"/>
      <c r="O23" s="32"/>
      <c r="P23" s="1375"/>
    </row>
    <row r="24" spans="1:16" x14ac:dyDescent="0.2">
      <c r="A24" s="487"/>
      <c r="B24" s="32"/>
      <c r="C24" s="32"/>
      <c r="D24" s="32"/>
      <c r="E24" s="32"/>
      <c r="F24" s="32"/>
      <c r="G24" s="32"/>
      <c r="H24" s="32"/>
      <c r="I24" s="32"/>
      <c r="J24" s="32"/>
      <c r="K24" s="32"/>
      <c r="L24" s="32"/>
      <c r="M24" s="32"/>
      <c r="N24" s="32"/>
      <c r="O24" s="32"/>
      <c r="P24" s="1375"/>
    </row>
    <row r="25" spans="1:16" x14ac:dyDescent="0.2">
      <c r="A25" s="487"/>
      <c r="B25" s="32"/>
      <c r="C25" s="32"/>
      <c r="D25" s="32"/>
      <c r="E25" s="32"/>
      <c r="F25" s="32"/>
      <c r="G25" s="32"/>
      <c r="H25" s="32"/>
      <c r="I25" s="32"/>
      <c r="J25" s="32"/>
      <c r="K25" s="32"/>
      <c r="L25" s="32"/>
      <c r="M25" s="32"/>
      <c r="N25" s="32"/>
      <c r="O25" s="32"/>
      <c r="P25" s="1375"/>
    </row>
    <row r="26" spans="1:16" x14ac:dyDescent="0.2">
      <c r="A26" s="487"/>
      <c r="B26" s="32"/>
      <c r="C26" s="32"/>
      <c r="D26" s="32"/>
      <c r="E26" s="32"/>
      <c r="F26" s="32"/>
      <c r="G26" s="32"/>
      <c r="H26" s="32"/>
      <c r="I26" s="32"/>
      <c r="J26" s="32"/>
      <c r="K26" s="32"/>
      <c r="L26" s="32"/>
      <c r="M26" s="32"/>
      <c r="N26" s="32"/>
      <c r="O26" s="32"/>
      <c r="P26" s="1375"/>
    </row>
    <row r="27" spans="1:16" x14ac:dyDescent="0.2">
      <c r="A27" s="487"/>
      <c r="B27" s="32"/>
      <c r="C27" s="32"/>
      <c r="D27" s="32"/>
      <c r="E27" s="32"/>
      <c r="F27" s="32"/>
      <c r="G27" s="32"/>
      <c r="H27" s="32"/>
      <c r="I27" s="32"/>
      <c r="J27" s="32"/>
      <c r="K27" s="32"/>
      <c r="L27" s="32"/>
      <c r="M27" s="32"/>
      <c r="N27" s="32"/>
      <c r="O27" s="32"/>
      <c r="P27" s="1375"/>
    </row>
    <row r="28" spans="1:16" x14ac:dyDescent="0.2">
      <c r="A28" s="487"/>
      <c r="B28" s="32"/>
      <c r="C28" s="32"/>
      <c r="D28" s="32"/>
      <c r="E28" s="32"/>
      <c r="F28" s="32"/>
      <c r="G28" s="32"/>
      <c r="H28" s="32"/>
      <c r="I28" s="32"/>
      <c r="J28" s="32"/>
      <c r="K28" s="32"/>
      <c r="L28" s="32"/>
      <c r="M28" s="32"/>
      <c r="N28" s="32"/>
      <c r="O28" s="32"/>
      <c r="P28" s="1375"/>
    </row>
    <row r="29" spans="1:16" x14ac:dyDescent="0.2">
      <c r="A29" s="487"/>
      <c r="B29" s="32"/>
      <c r="C29" s="32"/>
      <c r="D29" s="32"/>
      <c r="E29" s="32"/>
      <c r="F29" s="32"/>
      <c r="G29" s="32"/>
      <c r="H29" s="32"/>
      <c r="I29" s="32"/>
      <c r="J29" s="32"/>
      <c r="K29" s="32"/>
      <c r="L29" s="32"/>
      <c r="M29" s="32"/>
      <c r="N29" s="32"/>
      <c r="O29" s="32"/>
      <c r="P29" s="1375"/>
    </row>
    <row r="30" spans="1:16" x14ac:dyDescent="0.2">
      <c r="A30" s="487"/>
      <c r="B30" s="32"/>
      <c r="C30" s="32"/>
      <c r="D30" s="32"/>
      <c r="E30" s="32"/>
      <c r="F30" s="32"/>
      <c r="G30" s="32"/>
      <c r="H30" s="32"/>
      <c r="I30" s="32"/>
      <c r="J30" s="32"/>
      <c r="K30" s="32"/>
      <c r="L30" s="32"/>
      <c r="M30" s="32"/>
      <c r="N30" s="32"/>
      <c r="O30" s="32"/>
      <c r="P30" s="1375"/>
    </row>
    <row r="31" spans="1:16" x14ac:dyDescent="0.2">
      <c r="A31" s="487"/>
      <c r="B31" s="32"/>
      <c r="C31" s="32"/>
      <c r="D31" s="32"/>
      <c r="E31" s="32"/>
      <c r="F31" s="32"/>
      <c r="G31" s="32"/>
      <c r="H31" s="32"/>
      <c r="I31" s="32"/>
      <c r="J31" s="32"/>
      <c r="K31" s="32"/>
      <c r="L31" s="32"/>
      <c r="M31" s="32"/>
      <c r="N31" s="32"/>
      <c r="O31" s="32"/>
      <c r="P31" s="1375"/>
    </row>
    <row r="32" spans="1:16" x14ac:dyDescent="0.2">
      <c r="A32" s="487"/>
      <c r="B32" s="32"/>
      <c r="C32" s="32"/>
      <c r="D32" s="32"/>
      <c r="E32" s="32"/>
      <c r="F32" s="32"/>
      <c r="G32" s="32"/>
      <c r="H32" s="32"/>
      <c r="I32" s="32"/>
      <c r="J32" s="32"/>
      <c r="K32" s="32"/>
      <c r="L32" s="32"/>
      <c r="M32" s="32"/>
      <c r="N32" s="32"/>
      <c r="O32" s="32"/>
      <c r="P32" s="1375"/>
    </row>
    <row r="33" spans="1:16" x14ac:dyDescent="0.2">
      <c r="A33" s="487"/>
      <c r="B33" s="32"/>
      <c r="C33" s="32"/>
      <c r="D33" s="32"/>
      <c r="E33" s="32"/>
      <c r="F33" s="32"/>
      <c r="G33" s="32"/>
      <c r="H33" s="32"/>
      <c r="I33" s="32"/>
      <c r="J33" s="32"/>
      <c r="K33" s="32"/>
      <c r="L33" s="32"/>
      <c r="M33" s="32"/>
      <c r="N33" s="32"/>
      <c r="O33" s="32"/>
      <c r="P33" s="1375"/>
    </row>
    <row r="34" spans="1:16" x14ac:dyDescent="0.2">
      <c r="A34" s="487"/>
      <c r="B34" s="32"/>
      <c r="C34" s="32"/>
      <c r="D34" s="32"/>
      <c r="E34" s="32"/>
      <c r="F34" s="32"/>
      <c r="G34" s="32"/>
      <c r="H34" s="32"/>
      <c r="I34" s="32"/>
      <c r="J34" s="32"/>
      <c r="K34" s="32"/>
      <c r="L34" s="32"/>
      <c r="M34" s="32"/>
      <c r="N34" s="32"/>
      <c r="O34" s="32"/>
      <c r="P34" s="1375"/>
    </row>
    <row r="35" spans="1:16" x14ac:dyDescent="0.2">
      <c r="A35" s="487"/>
      <c r="B35" s="32"/>
      <c r="C35" s="32"/>
      <c r="D35" s="32"/>
      <c r="E35" s="32"/>
      <c r="F35" s="32"/>
      <c r="G35" s="32"/>
      <c r="H35" s="32"/>
      <c r="I35" s="32"/>
      <c r="J35" s="32"/>
      <c r="K35" s="32"/>
      <c r="L35" s="32"/>
      <c r="M35" s="32"/>
      <c r="N35" s="32"/>
      <c r="O35" s="32"/>
      <c r="P35" s="1375"/>
    </row>
    <row r="36" spans="1:16" x14ac:dyDescent="0.2">
      <c r="A36" s="487"/>
      <c r="B36" s="32"/>
      <c r="C36" s="32"/>
      <c r="D36" s="32"/>
      <c r="E36" s="32"/>
      <c r="F36" s="32"/>
      <c r="G36" s="32"/>
      <c r="H36" s="32"/>
      <c r="I36" s="32"/>
      <c r="J36" s="32"/>
      <c r="K36" s="32"/>
      <c r="L36" s="32"/>
      <c r="M36" s="32"/>
      <c r="N36" s="32"/>
      <c r="O36" s="32"/>
      <c r="P36" s="1375"/>
    </row>
    <row r="37" spans="1:16" x14ac:dyDescent="0.2">
      <c r="A37" s="487"/>
      <c r="B37" s="32"/>
      <c r="C37" s="32"/>
      <c r="D37" s="32"/>
      <c r="E37" s="32"/>
      <c r="F37" s="32"/>
      <c r="G37" s="32"/>
      <c r="H37" s="32"/>
      <c r="I37" s="32"/>
      <c r="J37" s="32"/>
      <c r="K37" s="32"/>
      <c r="L37" s="32"/>
      <c r="M37" s="32"/>
      <c r="N37" s="32"/>
      <c r="O37" s="32"/>
      <c r="P37" s="1375"/>
    </row>
    <row r="38" spans="1:16" x14ac:dyDescent="0.2">
      <c r="A38" s="487"/>
      <c r="B38" s="32"/>
      <c r="C38" s="32"/>
      <c r="D38" s="32"/>
      <c r="E38" s="32"/>
      <c r="F38" s="32"/>
      <c r="G38" s="32"/>
      <c r="H38" s="32"/>
      <c r="I38" s="32"/>
      <c r="J38" s="32"/>
      <c r="K38" s="32"/>
      <c r="L38" s="32"/>
      <c r="M38" s="32"/>
      <c r="N38" s="32"/>
      <c r="O38" s="32"/>
      <c r="P38" s="1375"/>
    </row>
    <row r="39" spans="1:16" x14ac:dyDescent="0.2">
      <c r="A39" s="487"/>
      <c r="B39" s="32"/>
      <c r="C39" s="32"/>
      <c r="D39" s="32"/>
      <c r="E39" s="32"/>
      <c r="F39" s="32"/>
      <c r="G39" s="32"/>
      <c r="H39" s="32"/>
      <c r="I39" s="32"/>
      <c r="J39" s="32"/>
      <c r="K39" s="32"/>
      <c r="L39" s="32"/>
      <c r="M39" s="32"/>
      <c r="N39" s="32"/>
      <c r="O39" s="32"/>
      <c r="P39" s="1375"/>
    </row>
    <row r="40" spans="1:16" x14ac:dyDescent="0.2">
      <c r="A40" s="487"/>
      <c r="B40" s="32"/>
      <c r="C40" s="32"/>
      <c r="D40" s="32"/>
      <c r="E40" s="32"/>
      <c r="F40" s="32"/>
      <c r="G40" s="32"/>
      <c r="H40" s="32"/>
      <c r="I40" s="32"/>
      <c r="J40" s="32"/>
      <c r="K40" s="32"/>
      <c r="L40" s="32"/>
      <c r="M40" s="32"/>
      <c r="N40" s="32"/>
      <c r="O40" s="32"/>
      <c r="P40" s="1375"/>
    </row>
    <row r="41" spans="1:16" x14ac:dyDescent="0.2">
      <c r="A41" s="487"/>
      <c r="B41" s="32"/>
      <c r="C41" s="32"/>
      <c r="D41" s="32"/>
      <c r="E41" s="32"/>
      <c r="F41" s="32"/>
      <c r="G41" s="32"/>
      <c r="H41" s="32"/>
      <c r="I41" s="32"/>
      <c r="J41" s="32"/>
      <c r="K41" s="32"/>
      <c r="L41" s="32"/>
      <c r="M41" s="32"/>
      <c r="N41" s="32"/>
      <c r="O41" s="32"/>
      <c r="P41" s="1375"/>
    </row>
    <row r="42" spans="1:16" x14ac:dyDescent="0.2">
      <c r="A42" s="487"/>
      <c r="B42" s="32"/>
      <c r="C42" s="32"/>
      <c r="D42" s="32"/>
      <c r="E42" s="32"/>
      <c r="F42" s="32"/>
      <c r="G42" s="32"/>
      <c r="H42" s="32"/>
      <c r="I42" s="32"/>
      <c r="J42" s="32"/>
      <c r="K42" s="32"/>
      <c r="L42" s="32"/>
      <c r="M42" s="32"/>
      <c r="N42" s="32"/>
      <c r="O42" s="32"/>
      <c r="P42" s="1375"/>
    </row>
    <row r="43" spans="1:16" x14ac:dyDescent="0.2">
      <c r="A43" s="487"/>
      <c r="B43" s="32"/>
      <c r="C43" s="32"/>
      <c r="D43" s="32"/>
      <c r="E43" s="32"/>
      <c r="F43" s="32"/>
      <c r="G43" s="32"/>
      <c r="H43" s="32"/>
      <c r="I43" s="32"/>
      <c r="J43" s="32"/>
      <c r="K43" s="32"/>
      <c r="L43" s="32"/>
      <c r="M43" s="32"/>
      <c r="N43" s="32"/>
      <c r="O43" s="32"/>
      <c r="P43" s="1375"/>
    </row>
    <row r="44" spans="1:16" x14ac:dyDescent="0.2">
      <c r="A44" s="487"/>
      <c r="B44" s="32"/>
      <c r="C44" s="32"/>
      <c r="D44" s="32"/>
      <c r="E44" s="32"/>
      <c r="F44" s="32"/>
      <c r="G44" s="32"/>
      <c r="H44" s="32"/>
      <c r="I44" s="32"/>
      <c r="J44" s="32"/>
      <c r="K44" s="32"/>
      <c r="L44" s="32"/>
      <c r="M44" s="32"/>
      <c r="N44" s="32"/>
      <c r="O44" s="32"/>
      <c r="P44" s="1375"/>
    </row>
    <row r="45" spans="1:16" x14ac:dyDescent="0.2">
      <c r="A45" s="487"/>
      <c r="B45" s="32"/>
      <c r="C45" s="32"/>
      <c r="D45" s="32"/>
      <c r="E45" s="32"/>
      <c r="F45" s="32"/>
      <c r="G45" s="32"/>
      <c r="H45" s="32"/>
      <c r="I45" s="32"/>
      <c r="J45" s="32"/>
      <c r="K45" s="32"/>
      <c r="L45" s="32"/>
      <c r="M45" s="32"/>
      <c r="N45" s="32"/>
      <c r="O45" s="32"/>
      <c r="P45" s="1375"/>
    </row>
    <row r="46" spans="1:16" x14ac:dyDescent="0.2">
      <c r="A46" s="487"/>
      <c r="B46" s="32"/>
      <c r="C46" s="32"/>
      <c r="D46" s="32"/>
      <c r="E46" s="32"/>
      <c r="F46" s="32"/>
      <c r="G46" s="32"/>
      <c r="H46" s="32"/>
      <c r="I46" s="32"/>
      <c r="J46" s="32"/>
      <c r="K46" s="32"/>
      <c r="L46" s="32"/>
      <c r="M46" s="32"/>
      <c r="N46" s="32"/>
      <c r="O46" s="32"/>
      <c r="P46" s="1375"/>
    </row>
    <row r="47" spans="1:16" x14ac:dyDescent="0.2">
      <c r="A47" s="487"/>
      <c r="B47" s="32"/>
      <c r="C47" s="32"/>
      <c r="D47" s="32"/>
      <c r="E47" s="32"/>
      <c r="F47" s="32"/>
      <c r="G47" s="32"/>
      <c r="H47" s="32"/>
      <c r="I47" s="32"/>
      <c r="J47" s="32"/>
      <c r="K47" s="32"/>
      <c r="L47" s="32"/>
      <c r="M47" s="32"/>
      <c r="N47" s="32"/>
      <c r="O47" s="32"/>
      <c r="P47" s="1375"/>
    </row>
    <row r="48" spans="1:16" x14ac:dyDescent="0.2">
      <c r="A48" s="487"/>
      <c r="B48" s="32"/>
      <c r="C48" s="32"/>
      <c r="D48" s="32"/>
      <c r="E48" s="32"/>
      <c r="F48" s="32"/>
      <c r="G48" s="32"/>
      <c r="H48" s="32"/>
      <c r="I48" s="32"/>
      <c r="J48" s="32"/>
      <c r="K48" s="32"/>
      <c r="L48" s="32"/>
      <c r="M48" s="32"/>
      <c r="N48" s="32"/>
      <c r="O48" s="32"/>
      <c r="P48" s="1375"/>
    </row>
    <row r="49" spans="1:16" x14ac:dyDescent="0.2">
      <c r="A49" s="487"/>
      <c r="B49" s="32"/>
      <c r="C49" s="32"/>
      <c r="D49" s="32"/>
      <c r="E49" s="32"/>
      <c r="F49" s="32"/>
      <c r="G49" s="32"/>
      <c r="H49" s="32"/>
      <c r="I49" s="32"/>
      <c r="J49" s="32"/>
      <c r="K49" s="32"/>
      <c r="L49" s="32"/>
      <c r="M49" s="32"/>
      <c r="N49" s="32"/>
      <c r="O49" s="32"/>
      <c r="P49" s="1375"/>
    </row>
    <row r="50" spans="1:16" x14ac:dyDescent="0.2">
      <c r="A50" s="487"/>
      <c r="B50" s="32"/>
      <c r="C50" s="32"/>
      <c r="D50" s="32"/>
      <c r="E50" s="32"/>
      <c r="F50" s="32"/>
      <c r="G50" s="32"/>
      <c r="H50" s="32"/>
      <c r="I50" s="32"/>
      <c r="J50" s="32"/>
      <c r="K50" s="32"/>
      <c r="L50" s="32"/>
      <c r="M50" s="32"/>
      <c r="N50" s="32"/>
      <c r="O50" s="32"/>
      <c r="P50" s="1375"/>
    </row>
    <row r="51" spans="1:16" x14ac:dyDescent="0.2">
      <c r="A51" s="487"/>
      <c r="B51" s="32"/>
      <c r="C51" s="32"/>
      <c r="D51" s="32"/>
      <c r="E51" s="32"/>
      <c r="F51" s="32"/>
      <c r="G51" s="32"/>
      <c r="H51" s="32"/>
      <c r="I51" s="32"/>
      <c r="J51" s="32"/>
      <c r="K51" s="32"/>
      <c r="L51" s="32"/>
      <c r="M51" s="32"/>
      <c r="N51" s="32"/>
      <c r="O51" s="32"/>
      <c r="P51" s="1375"/>
    </row>
    <row r="52" spans="1:16" x14ac:dyDescent="0.2">
      <c r="A52" s="487"/>
      <c r="B52" s="32"/>
      <c r="C52" s="32"/>
      <c r="D52" s="32"/>
      <c r="E52" s="32"/>
      <c r="F52" s="32"/>
      <c r="G52" s="32"/>
      <c r="H52" s="32"/>
      <c r="I52" s="32"/>
      <c r="J52" s="32"/>
      <c r="K52" s="32"/>
      <c r="L52" s="32"/>
      <c r="M52" s="32"/>
      <c r="N52" s="32"/>
      <c r="O52" s="32"/>
      <c r="P52" s="1375"/>
    </row>
    <row r="53" spans="1:16" x14ac:dyDescent="0.2">
      <c r="A53" s="487"/>
      <c r="B53" s="32"/>
      <c r="C53" s="32"/>
      <c r="D53" s="32"/>
      <c r="E53" s="32"/>
      <c r="F53" s="32"/>
      <c r="G53" s="32"/>
      <c r="H53" s="32"/>
      <c r="I53" s="32"/>
      <c r="J53" s="32"/>
      <c r="K53" s="32"/>
      <c r="L53" s="32"/>
      <c r="M53" s="32"/>
      <c r="N53" s="32"/>
      <c r="O53" s="32"/>
      <c r="P53" s="1375"/>
    </row>
    <row r="54" spans="1:16" x14ac:dyDescent="0.2">
      <c r="A54" s="487"/>
      <c r="B54" s="32"/>
      <c r="C54" s="32"/>
      <c r="D54" s="32"/>
      <c r="E54" s="32"/>
      <c r="F54" s="32"/>
      <c r="G54" s="32"/>
      <c r="H54" s="32"/>
      <c r="I54" s="32"/>
      <c r="J54" s="32"/>
      <c r="K54" s="32"/>
      <c r="L54" s="32"/>
      <c r="M54" s="32"/>
      <c r="N54" s="32"/>
      <c r="O54" s="32"/>
      <c r="P54" s="1375"/>
    </row>
    <row r="55" spans="1:16" x14ac:dyDescent="0.2">
      <c r="A55" s="487"/>
      <c r="B55" s="32"/>
      <c r="C55" s="32"/>
      <c r="D55" s="32"/>
      <c r="E55" s="32"/>
      <c r="F55" s="32"/>
      <c r="G55" s="32"/>
      <c r="H55" s="32"/>
      <c r="I55" s="32"/>
      <c r="J55" s="32"/>
      <c r="K55" s="32"/>
      <c r="L55" s="32"/>
      <c r="M55" s="32"/>
      <c r="N55" s="32"/>
      <c r="O55" s="32"/>
      <c r="P55" s="1375"/>
    </row>
    <row r="56" spans="1:16" x14ac:dyDescent="0.2">
      <c r="A56" s="487"/>
      <c r="B56" s="32"/>
      <c r="C56" s="32"/>
      <c r="D56" s="32"/>
      <c r="E56" s="32"/>
      <c r="F56" s="32"/>
      <c r="G56" s="32"/>
      <c r="H56" s="32"/>
      <c r="I56" s="32"/>
      <c r="J56" s="32"/>
      <c r="K56" s="32"/>
      <c r="L56" s="32"/>
      <c r="M56" s="32"/>
      <c r="N56" s="32"/>
      <c r="O56" s="32"/>
      <c r="P56" s="1375"/>
    </row>
    <row r="57" spans="1:16" x14ac:dyDescent="0.2">
      <c r="A57" s="487"/>
      <c r="B57" s="32"/>
      <c r="C57" s="32"/>
      <c r="D57" s="32"/>
      <c r="E57" s="32"/>
      <c r="F57" s="32"/>
      <c r="G57" s="32"/>
      <c r="H57" s="32"/>
      <c r="I57" s="32"/>
      <c r="J57" s="32"/>
      <c r="K57" s="32"/>
      <c r="L57" s="32"/>
      <c r="M57" s="32"/>
      <c r="N57" s="32"/>
      <c r="O57" s="32"/>
      <c r="P57" s="1375"/>
    </row>
    <row r="58" spans="1:16" x14ac:dyDescent="0.2">
      <c r="A58" s="487"/>
      <c r="B58" s="32"/>
      <c r="C58" s="32"/>
      <c r="D58" s="32"/>
      <c r="E58" s="32"/>
      <c r="F58" s="32"/>
      <c r="G58" s="32"/>
      <c r="H58" s="32"/>
      <c r="I58" s="32"/>
      <c r="J58" s="32"/>
      <c r="K58" s="32"/>
      <c r="L58" s="32"/>
      <c r="M58" s="32"/>
      <c r="N58" s="32"/>
      <c r="O58" s="32"/>
      <c r="P58" s="1375"/>
    </row>
    <row r="59" spans="1:16" x14ac:dyDescent="0.2">
      <c r="A59" s="487"/>
      <c r="B59" s="32"/>
      <c r="C59" s="32"/>
      <c r="D59" s="32"/>
      <c r="E59" s="32"/>
      <c r="F59" s="32"/>
      <c r="G59" s="32"/>
      <c r="H59" s="32"/>
      <c r="I59" s="32"/>
      <c r="J59" s="32"/>
      <c r="K59" s="32"/>
      <c r="L59" s="32"/>
      <c r="M59" s="32"/>
      <c r="N59" s="32"/>
      <c r="O59" s="32"/>
      <c r="P59" s="1375"/>
    </row>
    <row r="60" spans="1:16" x14ac:dyDescent="0.2">
      <c r="A60" s="487"/>
      <c r="B60" s="32"/>
      <c r="C60" s="32"/>
      <c r="D60" s="32"/>
      <c r="E60" s="32"/>
      <c r="F60" s="32"/>
      <c r="G60" s="32"/>
      <c r="H60" s="32"/>
      <c r="I60" s="32"/>
      <c r="J60" s="32"/>
      <c r="K60" s="32"/>
      <c r="L60" s="32"/>
      <c r="M60" s="32"/>
      <c r="N60" s="32"/>
      <c r="O60" s="32"/>
      <c r="P60" s="1375"/>
    </row>
    <row r="61" spans="1:16" x14ac:dyDescent="0.2">
      <c r="A61" s="487"/>
      <c r="B61" s="32"/>
      <c r="C61" s="32"/>
      <c r="D61" s="32"/>
      <c r="E61" s="32"/>
      <c r="F61" s="32"/>
      <c r="G61" s="32"/>
      <c r="H61" s="32"/>
      <c r="I61" s="32"/>
      <c r="J61" s="32"/>
      <c r="K61" s="32"/>
      <c r="L61" s="32"/>
      <c r="M61" s="32"/>
      <c r="N61" s="32"/>
      <c r="O61" s="32"/>
      <c r="P61" s="1375"/>
    </row>
    <row r="62" spans="1:16" x14ac:dyDescent="0.2">
      <c r="A62" s="487"/>
      <c r="B62" s="32"/>
      <c r="C62" s="32"/>
      <c r="D62" s="32"/>
      <c r="E62" s="32"/>
      <c r="F62" s="32"/>
      <c r="G62" s="32"/>
      <c r="H62" s="32"/>
      <c r="I62" s="32"/>
      <c r="J62" s="32"/>
      <c r="K62" s="32"/>
      <c r="L62" s="32"/>
      <c r="M62" s="32"/>
      <c r="N62" s="32"/>
      <c r="O62" s="32"/>
      <c r="P62" s="1375"/>
    </row>
    <row r="63" spans="1:16" x14ac:dyDescent="0.2">
      <c r="A63" s="487"/>
      <c r="B63" s="32"/>
      <c r="C63" s="32"/>
      <c r="D63" s="32"/>
      <c r="E63" s="32"/>
      <c r="F63" s="32"/>
      <c r="G63" s="32"/>
      <c r="H63" s="32"/>
      <c r="I63" s="32"/>
      <c r="J63" s="32"/>
      <c r="K63" s="32"/>
      <c r="L63" s="32"/>
      <c r="M63" s="32"/>
      <c r="N63" s="32"/>
      <c r="O63" s="32"/>
      <c r="P63" s="1375"/>
    </row>
    <row r="64" spans="1:16" x14ac:dyDescent="0.2">
      <c r="A64" s="487"/>
      <c r="B64" s="32"/>
      <c r="C64" s="32"/>
      <c r="D64" s="32"/>
      <c r="E64" s="32"/>
      <c r="F64" s="32"/>
      <c r="G64" s="32"/>
      <c r="H64" s="32"/>
      <c r="I64" s="32"/>
      <c r="J64" s="32"/>
      <c r="K64" s="32"/>
      <c r="L64" s="32"/>
      <c r="M64" s="32"/>
      <c r="N64" s="32"/>
      <c r="O64" s="32"/>
      <c r="P64" s="1375"/>
    </row>
    <row r="65" spans="1:16" x14ac:dyDescent="0.2">
      <c r="A65" s="487"/>
      <c r="B65" s="32"/>
      <c r="C65" s="32"/>
      <c r="D65" s="32"/>
      <c r="E65" s="32"/>
      <c r="F65" s="32"/>
      <c r="G65" s="32"/>
      <c r="H65" s="32"/>
      <c r="I65" s="32"/>
      <c r="J65" s="32"/>
      <c r="K65" s="32"/>
      <c r="L65" s="32"/>
      <c r="M65" s="32"/>
      <c r="N65" s="32"/>
      <c r="O65" s="32"/>
      <c r="P65" s="1375"/>
    </row>
    <row r="66" spans="1:16" x14ac:dyDescent="0.2">
      <c r="A66" s="487"/>
      <c r="B66" s="32"/>
      <c r="C66" s="32"/>
      <c r="D66" s="32"/>
      <c r="E66" s="32"/>
      <c r="F66" s="32"/>
      <c r="G66" s="32"/>
      <c r="H66" s="32"/>
      <c r="I66" s="32"/>
      <c r="J66" s="32"/>
      <c r="K66" s="32"/>
      <c r="L66" s="32"/>
      <c r="M66" s="32"/>
      <c r="N66" s="32"/>
      <c r="O66" s="32"/>
      <c r="P66" s="1375"/>
    </row>
    <row r="67" spans="1:16" x14ac:dyDescent="0.2">
      <c r="A67" s="487"/>
      <c r="B67" s="32"/>
      <c r="C67" s="32"/>
      <c r="D67" s="32"/>
      <c r="E67" s="32"/>
      <c r="F67" s="32"/>
      <c r="G67" s="32"/>
      <c r="H67" s="32"/>
      <c r="I67" s="32"/>
      <c r="J67" s="32"/>
      <c r="K67" s="32"/>
      <c r="L67" s="32"/>
      <c r="M67" s="32"/>
      <c r="N67" s="32"/>
      <c r="O67" s="32"/>
      <c r="P67" s="1375"/>
    </row>
    <row r="68" spans="1:16" x14ac:dyDescent="0.2">
      <c r="A68" s="487"/>
      <c r="B68" s="32"/>
      <c r="C68" s="32"/>
      <c r="D68" s="32"/>
      <c r="E68" s="32"/>
      <c r="F68" s="32"/>
      <c r="G68" s="32"/>
      <c r="H68" s="32"/>
      <c r="I68" s="32"/>
      <c r="J68" s="32"/>
      <c r="K68" s="32"/>
      <c r="L68" s="32"/>
      <c r="M68" s="32"/>
      <c r="N68" s="32"/>
      <c r="O68" s="32"/>
      <c r="P68" s="1375"/>
    </row>
    <row r="69" spans="1:16" x14ac:dyDescent="0.2">
      <c r="A69" s="487"/>
      <c r="B69" s="32"/>
      <c r="C69" s="32"/>
      <c r="D69" s="32"/>
      <c r="E69" s="32"/>
      <c r="F69" s="32"/>
      <c r="G69" s="32"/>
      <c r="H69" s="32"/>
      <c r="I69" s="32"/>
      <c r="J69" s="32"/>
      <c r="K69" s="32"/>
      <c r="L69" s="32"/>
      <c r="M69" s="32"/>
      <c r="N69" s="32"/>
      <c r="O69" s="32"/>
      <c r="P69" s="1375"/>
    </row>
    <row r="70" spans="1:16" x14ac:dyDescent="0.2">
      <c r="A70" s="487"/>
      <c r="B70" s="32"/>
      <c r="C70" s="32"/>
      <c r="D70" s="32"/>
      <c r="E70" s="32"/>
      <c r="F70" s="32"/>
      <c r="G70" s="32"/>
      <c r="H70" s="32"/>
      <c r="I70" s="32"/>
      <c r="J70" s="32"/>
      <c r="K70" s="32"/>
      <c r="L70" s="32"/>
      <c r="M70" s="32"/>
      <c r="N70" s="32"/>
      <c r="O70" s="32"/>
      <c r="P70" s="1375"/>
    </row>
    <row r="71" spans="1:16" x14ac:dyDescent="0.2">
      <c r="A71" s="487"/>
      <c r="B71" s="32"/>
      <c r="C71" s="32"/>
      <c r="D71" s="32"/>
      <c r="E71" s="32"/>
      <c r="F71" s="32"/>
      <c r="G71" s="32"/>
      <c r="H71" s="32"/>
      <c r="I71" s="32"/>
      <c r="J71" s="32"/>
      <c r="K71" s="32"/>
      <c r="L71" s="32"/>
      <c r="M71" s="32"/>
      <c r="N71" s="32"/>
      <c r="O71" s="32"/>
      <c r="P71" s="1375"/>
    </row>
    <row r="72" spans="1:16" x14ac:dyDescent="0.2">
      <c r="A72" s="487"/>
      <c r="B72" s="32"/>
      <c r="C72" s="32"/>
      <c r="D72" s="32"/>
      <c r="E72" s="32"/>
      <c r="F72" s="32"/>
      <c r="G72" s="32"/>
      <c r="H72" s="32"/>
      <c r="I72" s="32"/>
      <c r="J72" s="32"/>
      <c r="K72" s="32"/>
      <c r="L72" s="32"/>
      <c r="M72" s="32"/>
      <c r="N72" s="32"/>
      <c r="O72" s="32"/>
      <c r="P72" s="1375"/>
    </row>
    <row r="73" spans="1:16" x14ac:dyDescent="0.2">
      <c r="A73" s="487"/>
      <c r="B73" s="32"/>
      <c r="C73" s="32"/>
      <c r="D73" s="32"/>
      <c r="E73" s="32"/>
      <c r="F73" s="32"/>
      <c r="G73" s="32"/>
      <c r="H73" s="32"/>
      <c r="I73" s="32"/>
      <c r="J73" s="32"/>
      <c r="K73" s="32"/>
      <c r="L73" s="32"/>
      <c r="M73" s="32"/>
      <c r="N73" s="32"/>
      <c r="O73" s="32"/>
      <c r="P73" s="1375"/>
    </row>
    <row r="74" spans="1:16" x14ac:dyDescent="0.2">
      <c r="A74" s="487"/>
      <c r="B74" s="32"/>
      <c r="C74" s="32"/>
      <c r="D74" s="32"/>
      <c r="E74" s="32"/>
      <c r="F74" s="32"/>
      <c r="G74" s="32"/>
      <c r="H74" s="32"/>
      <c r="I74" s="32"/>
      <c r="J74" s="32"/>
      <c r="K74" s="32"/>
      <c r="L74" s="32"/>
      <c r="M74" s="32"/>
      <c r="N74" s="32"/>
      <c r="O74" s="32"/>
      <c r="P74" s="1375"/>
    </row>
    <row r="75" spans="1:16" x14ac:dyDescent="0.2">
      <c r="A75" s="487"/>
      <c r="B75" s="32"/>
      <c r="C75" s="32"/>
      <c r="D75" s="32"/>
      <c r="E75" s="32"/>
      <c r="F75" s="32"/>
      <c r="G75" s="32"/>
      <c r="H75" s="32"/>
      <c r="I75" s="32"/>
      <c r="J75" s="32"/>
      <c r="K75" s="32"/>
      <c r="L75" s="32"/>
      <c r="M75" s="32"/>
      <c r="N75" s="32"/>
      <c r="O75" s="32"/>
      <c r="P75" s="1375"/>
    </row>
    <row r="76" spans="1:16" x14ac:dyDescent="0.2">
      <c r="A76" s="487"/>
      <c r="B76" s="32"/>
      <c r="C76" s="32"/>
      <c r="D76" s="32"/>
      <c r="E76" s="32"/>
      <c r="F76" s="32"/>
      <c r="G76" s="32"/>
      <c r="H76" s="32"/>
      <c r="I76" s="32"/>
      <c r="J76" s="32"/>
      <c r="K76" s="32"/>
      <c r="L76" s="32"/>
      <c r="M76" s="32"/>
      <c r="N76" s="32"/>
      <c r="O76" s="32"/>
      <c r="P76" s="1375"/>
    </row>
    <row r="77" spans="1:16" x14ac:dyDescent="0.2">
      <c r="A77" s="487"/>
      <c r="B77" s="32"/>
      <c r="C77" s="32"/>
      <c r="D77" s="32"/>
      <c r="E77" s="32"/>
      <c r="F77" s="32"/>
      <c r="G77" s="32"/>
      <c r="H77" s="32"/>
      <c r="I77" s="32"/>
      <c r="J77" s="32"/>
      <c r="K77" s="32"/>
      <c r="L77" s="32"/>
      <c r="M77" s="32"/>
      <c r="N77" s="32"/>
      <c r="O77" s="32"/>
      <c r="P77" s="1375"/>
    </row>
    <row r="78" spans="1:16" x14ac:dyDescent="0.2">
      <c r="A78" s="487"/>
      <c r="B78" s="32"/>
      <c r="C78" s="32"/>
      <c r="D78" s="32"/>
      <c r="E78" s="32"/>
      <c r="F78" s="32"/>
      <c r="G78" s="32"/>
      <c r="H78" s="32"/>
      <c r="I78" s="32"/>
      <c r="J78" s="32"/>
      <c r="K78" s="32"/>
      <c r="L78" s="32"/>
      <c r="M78" s="32"/>
      <c r="N78" s="32"/>
      <c r="O78" s="32"/>
      <c r="P78" s="1375"/>
    </row>
    <row r="79" spans="1:16" x14ac:dyDescent="0.2">
      <c r="A79" s="487"/>
      <c r="B79" s="32"/>
      <c r="C79" s="32"/>
      <c r="D79" s="32"/>
      <c r="E79" s="32"/>
      <c r="F79" s="32"/>
      <c r="G79" s="32"/>
      <c r="H79" s="32"/>
      <c r="I79" s="32"/>
      <c r="J79" s="32"/>
      <c r="K79" s="32"/>
      <c r="L79" s="32"/>
      <c r="M79" s="32"/>
      <c r="N79" s="32"/>
      <c r="O79" s="32"/>
      <c r="P79" s="1375"/>
    </row>
    <row r="80" spans="1:16" x14ac:dyDescent="0.2">
      <c r="A80" s="487"/>
      <c r="B80" s="32"/>
      <c r="C80" s="32"/>
      <c r="D80" s="32"/>
      <c r="E80" s="32"/>
      <c r="F80" s="32"/>
      <c r="G80" s="32"/>
      <c r="H80" s="32"/>
      <c r="I80" s="32"/>
      <c r="J80" s="32"/>
      <c r="K80" s="32"/>
      <c r="L80" s="32"/>
      <c r="M80" s="32"/>
      <c r="N80" s="32"/>
      <c r="O80" s="32"/>
      <c r="P80" s="1375"/>
    </row>
    <row r="81" spans="1:16" x14ac:dyDescent="0.2">
      <c r="A81" s="487"/>
      <c r="B81" s="32"/>
      <c r="C81" s="32"/>
      <c r="D81" s="32"/>
      <c r="E81" s="32"/>
      <c r="F81" s="32"/>
      <c r="G81" s="32"/>
      <c r="H81" s="32"/>
      <c r="I81" s="32"/>
      <c r="J81" s="32"/>
      <c r="K81" s="32"/>
      <c r="L81" s="32"/>
      <c r="M81" s="32"/>
      <c r="N81" s="32"/>
      <c r="O81" s="32"/>
      <c r="P81" s="1375"/>
    </row>
    <row r="82" spans="1:16" x14ac:dyDescent="0.2">
      <c r="A82" s="487"/>
      <c r="B82" s="32"/>
      <c r="C82" s="32"/>
      <c r="D82" s="32"/>
      <c r="E82" s="32"/>
      <c r="F82" s="32"/>
      <c r="G82" s="32"/>
      <c r="H82" s="32"/>
      <c r="I82" s="32"/>
      <c r="J82" s="32"/>
      <c r="K82" s="32"/>
      <c r="L82" s="32"/>
      <c r="M82" s="32"/>
      <c r="N82" s="32"/>
      <c r="O82" s="32"/>
      <c r="P82" s="1375"/>
    </row>
    <row r="83" spans="1:16" x14ac:dyDescent="0.2">
      <c r="A83" s="487"/>
      <c r="B83" s="32"/>
      <c r="C83" s="32"/>
      <c r="D83" s="32"/>
      <c r="E83" s="32"/>
      <c r="F83" s="32"/>
      <c r="G83" s="32"/>
      <c r="H83" s="32"/>
      <c r="I83" s="32"/>
      <c r="J83" s="32"/>
      <c r="K83" s="32"/>
      <c r="L83" s="32"/>
      <c r="M83" s="32"/>
      <c r="N83" s="32"/>
      <c r="O83" s="32"/>
      <c r="P83" s="1375"/>
    </row>
    <row r="84" spans="1:16" x14ac:dyDescent="0.2">
      <c r="A84" s="487"/>
      <c r="B84" s="32"/>
      <c r="C84" s="32"/>
      <c r="D84" s="32"/>
      <c r="E84" s="32"/>
      <c r="F84" s="32"/>
      <c r="G84" s="32"/>
      <c r="H84" s="32"/>
      <c r="I84" s="32"/>
      <c r="J84" s="32"/>
      <c r="K84" s="32"/>
      <c r="L84" s="32"/>
      <c r="M84" s="32"/>
      <c r="N84" s="32"/>
      <c r="O84" s="32"/>
      <c r="P84" s="1375"/>
    </row>
    <row r="85" spans="1:16" x14ac:dyDescent="0.2">
      <c r="A85" s="487"/>
      <c r="B85" s="32"/>
      <c r="C85" s="32"/>
      <c r="D85" s="32"/>
      <c r="E85" s="32"/>
      <c r="F85" s="32"/>
      <c r="G85" s="32"/>
      <c r="H85" s="32"/>
      <c r="I85" s="32"/>
      <c r="J85" s="32"/>
      <c r="K85" s="32"/>
      <c r="L85" s="32"/>
      <c r="M85" s="32"/>
      <c r="N85" s="32"/>
      <c r="O85" s="32"/>
      <c r="P85" s="1375"/>
    </row>
    <row r="86" spans="1:16" x14ac:dyDescent="0.2">
      <c r="A86" s="487"/>
      <c r="B86" s="32"/>
      <c r="C86" s="32"/>
      <c r="D86" s="32"/>
      <c r="E86" s="32"/>
      <c r="F86" s="32"/>
      <c r="G86" s="32"/>
      <c r="H86" s="32"/>
      <c r="I86" s="32"/>
      <c r="J86" s="32"/>
      <c r="K86" s="32"/>
      <c r="L86" s="32"/>
      <c r="M86" s="32"/>
      <c r="N86" s="32"/>
      <c r="O86" s="32"/>
      <c r="P86" s="1375"/>
    </row>
    <row r="87" spans="1:16" x14ac:dyDescent="0.2">
      <c r="A87" s="487"/>
      <c r="B87" s="32"/>
      <c r="C87" s="32"/>
      <c r="D87" s="32"/>
      <c r="E87" s="32"/>
      <c r="F87" s="32"/>
      <c r="G87" s="32"/>
      <c r="H87" s="32"/>
      <c r="I87" s="32"/>
      <c r="J87" s="32"/>
      <c r="K87" s="32"/>
      <c r="L87" s="32"/>
      <c r="M87" s="32"/>
      <c r="N87" s="32"/>
      <c r="O87" s="32"/>
      <c r="P87" s="1375"/>
    </row>
    <row r="88" spans="1:16" x14ac:dyDescent="0.2">
      <c r="A88" s="487"/>
      <c r="B88" s="32"/>
      <c r="C88" s="32"/>
      <c r="D88" s="32"/>
      <c r="E88" s="32"/>
      <c r="F88" s="32"/>
      <c r="G88" s="32"/>
      <c r="H88" s="32"/>
      <c r="I88" s="32"/>
      <c r="J88" s="32"/>
      <c r="K88" s="32"/>
      <c r="L88" s="32"/>
      <c r="M88" s="32"/>
      <c r="N88" s="32"/>
      <c r="O88" s="32"/>
      <c r="P88" s="1375"/>
    </row>
    <row r="89" spans="1:16" x14ac:dyDescent="0.2">
      <c r="A89" s="487"/>
      <c r="B89" s="32"/>
      <c r="C89" s="32"/>
      <c r="D89" s="32"/>
      <c r="E89" s="32"/>
      <c r="F89" s="32"/>
      <c r="G89" s="32"/>
      <c r="H89" s="32"/>
      <c r="I89" s="32"/>
      <c r="J89" s="32"/>
      <c r="K89" s="32"/>
      <c r="L89" s="32"/>
      <c r="M89" s="32"/>
      <c r="N89" s="32"/>
      <c r="O89" s="32"/>
      <c r="P89" s="1375"/>
    </row>
    <row r="90" spans="1:16" x14ac:dyDescent="0.2">
      <c r="A90" s="487"/>
      <c r="B90" s="32"/>
      <c r="C90" s="32"/>
      <c r="D90" s="32"/>
      <c r="E90" s="32"/>
      <c r="F90" s="32"/>
      <c r="G90" s="32"/>
      <c r="H90" s="32"/>
      <c r="I90" s="32"/>
      <c r="J90" s="32"/>
      <c r="K90" s="32"/>
      <c r="L90" s="32"/>
      <c r="M90" s="32"/>
      <c r="N90" s="32"/>
      <c r="O90" s="32"/>
      <c r="P90" s="1375"/>
    </row>
    <row r="91" spans="1:16" x14ac:dyDescent="0.2">
      <c r="A91" s="487"/>
      <c r="B91" s="32"/>
      <c r="C91" s="32"/>
      <c r="D91" s="32"/>
      <c r="E91" s="32"/>
      <c r="F91" s="32"/>
      <c r="G91" s="32"/>
      <c r="H91" s="32"/>
      <c r="I91" s="32"/>
      <c r="J91" s="32"/>
      <c r="K91" s="32"/>
      <c r="L91" s="32"/>
      <c r="M91" s="32"/>
      <c r="N91" s="32"/>
      <c r="O91" s="32"/>
      <c r="P91" s="1375"/>
    </row>
    <row r="92" spans="1:16" x14ac:dyDescent="0.2">
      <c r="A92" s="487"/>
      <c r="B92" s="32"/>
      <c r="C92" s="32"/>
      <c r="D92" s="32"/>
      <c r="E92" s="32"/>
      <c r="F92" s="32"/>
      <c r="G92" s="32"/>
      <c r="H92" s="32"/>
      <c r="I92" s="32"/>
      <c r="J92" s="32"/>
      <c r="K92" s="32"/>
      <c r="L92" s="32"/>
      <c r="M92" s="32"/>
      <c r="N92" s="32"/>
      <c r="O92" s="32"/>
      <c r="P92" s="1375"/>
    </row>
    <row r="93" spans="1:16" x14ac:dyDescent="0.2">
      <c r="A93" s="487"/>
      <c r="B93" s="32"/>
      <c r="C93" s="32"/>
      <c r="D93" s="32"/>
      <c r="E93" s="32"/>
      <c r="F93" s="32"/>
      <c r="G93" s="32"/>
      <c r="H93" s="32"/>
      <c r="I93" s="32"/>
      <c r="J93" s="32"/>
      <c r="K93" s="32"/>
      <c r="L93" s="32"/>
      <c r="M93" s="32"/>
      <c r="N93" s="32"/>
      <c r="O93" s="32"/>
      <c r="P93" s="1375"/>
    </row>
    <row r="94" spans="1:16" x14ac:dyDescent="0.2">
      <c r="A94" s="487"/>
      <c r="B94" s="32"/>
      <c r="C94" s="32"/>
      <c r="D94" s="32"/>
      <c r="E94" s="32"/>
      <c r="F94" s="32"/>
      <c r="G94" s="32"/>
      <c r="H94" s="32"/>
      <c r="I94" s="32"/>
      <c r="J94" s="32"/>
      <c r="K94" s="32"/>
      <c r="L94" s="32"/>
      <c r="M94" s="32"/>
      <c r="N94" s="32"/>
      <c r="O94" s="32"/>
      <c r="P94" s="1375"/>
    </row>
    <row r="95" spans="1:16" x14ac:dyDescent="0.2">
      <c r="A95" s="487"/>
      <c r="B95" s="32"/>
      <c r="C95" s="32"/>
      <c r="D95" s="32"/>
      <c r="E95" s="32"/>
      <c r="F95" s="32"/>
      <c r="G95" s="32"/>
      <c r="H95" s="32"/>
      <c r="I95" s="32"/>
      <c r="J95" s="32"/>
      <c r="K95" s="32"/>
      <c r="L95" s="32"/>
      <c r="M95" s="32"/>
      <c r="N95" s="32"/>
      <c r="O95" s="32"/>
      <c r="P95" s="1375"/>
    </row>
    <row r="96" spans="1:16" x14ac:dyDescent="0.2">
      <c r="A96" s="487"/>
      <c r="B96" s="32"/>
      <c r="C96" s="32"/>
      <c r="D96" s="32"/>
      <c r="E96" s="32"/>
      <c r="F96" s="32"/>
      <c r="G96" s="32"/>
      <c r="H96" s="32"/>
      <c r="I96" s="32"/>
      <c r="J96" s="32"/>
      <c r="K96" s="32"/>
      <c r="L96" s="32"/>
      <c r="M96" s="32"/>
      <c r="N96" s="32"/>
      <c r="O96" s="32"/>
      <c r="P96" s="1375"/>
    </row>
    <row r="97" spans="1:16" x14ac:dyDescent="0.2">
      <c r="A97" s="487"/>
      <c r="B97" s="32"/>
      <c r="C97" s="32"/>
      <c r="D97" s="32"/>
      <c r="E97" s="32"/>
      <c r="F97" s="32"/>
      <c r="G97" s="32"/>
      <c r="H97" s="32"/>
      <c r="I97" s="32"/>
      <c r="J97" s="32"/>
      <c r="K97" s="32"/>
      <c r="L97" s="32"/>
      <c r="M97" s="32"/>
      <c r="N97" s="32"/>
      <c r="O97" s="32"/>
      <c r="P97" s="1375"/>
    </row>
    <row r="98" spans="1:16" x14ac:dyDescent="0.2">
      <c r="A98" s="487"/>
      <c r="B98" s="32"/>
      <c r="C98" s="32"/>
      <c r="D98" s="32"/>
      <c r="E98" s="32"/>
      <c r="F98" s="32"/>
      <c r="G98" s="32"/>
      <c r="H98" s="32"/>
      <c r="I98" s="32"/>
      <c r="J98" s="32"/>
      <c r="K98" s="32"/>
      <c r="L98" s="32"/>
      <c r="M98" s="32"/>
      <c r="N98" s="32"/>
      <c r="O98" s="32"/>
      <c r="P98" s="1375"/>
    </row>
    <row r="99" spans="1:16" x14ac:dyDescent="0.2">
      <c r="A99" s="487"/>
      <c r="B99" s="32"/>
      <c r="C99" s="32"/>
      <c r="D99" s="32"/>
      <c r="E99" s="32"/>
      <c r="F99" s="32"/>
      <c r="G99" s="32"/>
      <c r="H99" s="32"/>
      <c r="I99" s="32"/>
      <c r="J99" s="32"/>
      <c r="K99" s="32"/>
      <c r="L99" s="32"/>
      <c r="M99" s="32"/>
      <c r="N99" s="32"/>
      <c r="O99" s="32"/>
      <c r="P99" s="1375"/>
    </row>
    <row r="100" spans="1:16" x14ac:dyDescent="0.2">
      <c r="A100" s="487"/>
      <c r="B100" s="32"/>
      <c r="C100" s="32"/>
      <c r="D100" s="32"/>
      <c r="E100" s="32"/>
      <c r="F100" s="32"/>
      <c r="G100" s="32"/>
      <c r="H100" s="32"/>
      <c r="I100" s="32"/>
      <c r="J100" s="32"/>
      <c r="K100" s="32"/>
      <c r="L100" s="32"/>
      <c r="M100" s="32"/>
      <c r="N100" s="32"/>
      <c r="O100" s="32"/>
      <c r="P100" s="1375"/>
    </row>
    <row r="101" spans="1:16" x14ac:dyDescent="0.2">
      <c r="A101" s="487"/>
      <c r="B101" s="32"/>
      <c r="C101" s="32"/>
      <c r="D101" s="32"/>
      <c r="E101" s="32"/>
      <c r="F101" s="32"/>
      <c r="G101" s="32"/>
      <c r="H101" s="32"/>
      <c r="I101" s="32"/>
      <c r="J101" s="32"/>
      <c r="K101" s="32"/>
      <c r="L101" s="32"/>
      <c r="M101" s="32"/>
      <c r="N101" s="32"/>
      <c r="O101" s="32"/>
      <c r="P101" s="1375"/>
    </row>
    <row r="102" spans="1:16" x14ac:dyDescent="0.2">
      <c r="A102" s="487"/>
      <c r="B102" s="32"/>
      <c r="C102" s="32"/>
      <c r="D102" s="32"/>
      <c r="E102" s="32"/>
      <c r="F102" s="32"/>
      <c r="G102" s="32"/>
      <c r="H102" s="32"/>
      <c r="I102" s="32"/>
      <c r="J102" s="32"/>
      <c r="K102" s="32"/>
      <c r="L102" s="32"/>
      <c r="M102" s="32"/>
      <c r="N102" s="32"/>
      <c r="O102" s="32"/>
      <c r="P102" s="1375"/>
    </row>
    <row r="103" spans="1:16" x14ac:dyDescent="0.2">
      <c r="A103" s="487"/>
      <c r="B103" s="32"/>
      <c r="C103" s="32"/>
      <c r="D103" s="32"/>
      <c r="E103" s="32"/>
      <c r="F103" s="32"/>
      <c r="G103" s="32"/>
      <c r="H103" s="32"/>
      <c r="I103" s="32"/>
      <c r="J103" s="32"/>
      <c r="K103" s="32"/>
      <c r="L103" s="32"/>
      <c r="M103" s="32"/>
      <c r="N103" s="32"/>
      <c r="O103" s="32"/>
      <c r="P103" s="1375"/>
    </row>
    <row r="104" spans="1:16" x14ac:dyDescent="0.2">
      <c r="A104" s="487"/>
      <c r="B104" s="32"/>
      <c r="C104" s="32"/>
      <c r="D104" s="32"/>
      <c r="E104" s="32"/>
      <c r="F104" s="32"/>
      <c r="G104" s="32"/>
      <c r="H104" s="32"/>
      <c r="I104" s="32"/>
      <c r="J104" s="32"/>
      <c r="K104" s="32"/>
      <c r="L104" s="32"/>
      <c r="M104" s="32"/>
      <c r="N104" s="32"/>
      <c r="O104" s="32"/>
      <c r="P104" s="1375"/>
    </row>
    <row r="105" spans="1:16" x14ac:dyDescent="0.2">
      <c r="A105" s="487"/>
      <c r="B105" s="32"/>
      <c r="C105" s="32"/>
      <c r="D105" s="32"/>
      <c r="E105" s="32"/>
      <c r="F105" s="32"/>
      <c r="G105" s="32"/>
      <c r="H105" s="32"/>
      <c r="I105" s="32"/>
      <c r="J105" s="32"/>
      <c r="K105" s="32"/>
      <c r="L105" s="32"/>
      <c r="M105" s="32"/>
      <c r="N105" s="32"/>
      <c r="O105" s="32"/>
      <c r="P105" s="1375"/>
    </row>
    <row r="106" spans="1:16" x14ac:dyDescent="0.2">
      <c r="A106" s="487"/>
      <c r="B106" s="32"/>
      <c r="C106" s="32"/>
      <c r="D106" s="32"/>
      <c r="E106" s="32"/>
      <c r="F106" s="32"/>
      <c r="G106" s="32"/>
      <c r="H106" s="32"/>
      <c r="I106" s="32"/>
      <c r="J106" s="32"/>
      <c r="K106" s="32"/>
      <c r="L106" s="32"/>
      <c r="M106" s="32"/>
      <c r="N106" s="32"/>
      <c r="O106" s="32"/>
      <c r="P106" s="1375"/>
    </row>
    <row r="107" spans="1:16" x14ac:dyDescent="0.2">
      <c r="A107" s="487"/>
      <c r="B107" s="32"/>
      <c r="C107" s="32"/>
      <c r="D107" s="32"/>
      <c r="E107" s="32"/>
      <c r="F107" s="32"/>
      <c r="G107" s="32"/>
      <c r="H107" s="32"/>
      <c r="I107" s="32"/>
      <c r="J107" s="32"/>
      <c r="K107" s="32"/>
      <c r="L107" s="32"/>
      <c r="M107" s="32"/>
      <c r="N107" s="32"/>
      <c r="O107" s="32"/>
      <c r="P107" s="1375"/>
    </row>
    <row r="108" spans="1:16" x14ac:dyDescent="0.2">
      <c r="A108" s="487"/>
      <c r="B108" s="32"/>
      <c r="C108" s="32"/>
      <c r="D108" s="32"/>
      <c r="E108" s="32"/>
      <c r="F108" s="32"/>
      <c r="G108" s="32"/>
      <c r="H108" s="32"/>
      <c r="I108" s="32"/>
      <c r="J108" s="32"/>
      <c r="K108" s="32"/>
      <c r="L108" s="32"/>
      <c r="M108" s="32"/>
      <c r="N108" s="32"/>
      <c r="O108" s="32"/>
      <c r="P108" s="1375"/>
    </row>
    <row r="109" spans="1:16" x14ac:dyDescent="0.2">
      <c r="A109" s="487"/>
      <c r="B109" s="32"/>
      <c r="C109" s="32"/>
      <c r="D109" s="32"/>
      <c r="E109" s="32"/>
      <c r="F109" s="32"/>
      <c r="G109" s="32"/>
      <c r="H109" s="32"/>
      <c r="I109" s="32"/>
      <c r="J109" s="32"/>
      <c r="K109" s="32"/>
      <c r="L109" s="32"/>
      <c r="M109" s="32"/>
      <c r="N109" s="32"/>
      <c r="O109" s="32"/>
      <c r="P109" s="1375"/>
    </row>
    <row r="110" spans="1:16" x14ac:dyDescent="0.2">
      <c r="A110" s="487"/>
      <c r="B110" s="32"/>
      <c r="C110" s="32"/>
      <c r="D110" s="32"/>
      <c r="E110" s="32"/>
      <c r="F110" s="32"/>
      <c r="G110" s="32"/>
      <c r="H110" s="32"/>
      <c r="I110" s="32"/>
      <c r="J110" s="32"/>
      <c r="K110" s="32"/>
      <c r="L110" s="32"/>
      <c r="M110" s="32"/>
      <c r="N110" s="32"/>
      <c r="O110" s="32"/>
      <c r="P110" s="1375"/>
    </row>
    <row r="111" spans="1:16" x14ac:dyDescent="0.2">
      <c r="A111" s="487"/>
      <c r="B111" s="32"/>
      <c r="C111" s="32"/>
      <c r="D111" s="32"/>
      <c r="E111" s="32"/>
      <c r="F111" s="32"/>
      <c r="G111" s="32"/>
      <c r="H111" s="32"/>
      <c r="I111" s="32"/>
      <c r="J111" s="32"/>
      <c r="K111" s="32"/>
      <c r="L111" s="32"/>
      <c r="M111" s="32"/>
      <c r="N111" s="32"/>
      <c r="O111" s="32"/>
      <c r="P111" s="1375"/>
    </row>
    <row r="112" spans="1:16" x14ac:dyDescent="0.2">
      <c r="A112" s="487"/>
      <c r="B112" s="32"/>
      <c r="C112" s="32"/>
      <c r="D112" s="32"/>
      <c r="E112" s="32"/>
      <c r="F112" s="32"/>
      <c r="G112" s="32"/>
      <c r="H112" s="32"/>
      <c r="I112" s="32"/>
      <c r="J112" s="32"/>
      <c r="K112" s="32"/>
      <c r="L112" s="32"/>
      <c r="M112" s="32"/>
      <c r="N112" s="32"/>
      <c r="O112" s="32"/>
      <c r="P112" s="1375"/>
    </row>
    <row r="113" spans="1:16" x14ac:dyDescent="0.2">
      <c r="A113" s="487"/>
      <c r="B113" s="32"/>
      <c r="C113" s="32"/>
      <c r="D113" s="32"/>
      <c r="E113" s="32"/>
      <c r="F113" s="32"/>
      <c r="G113" s="32"/>
      <c r="H113" s="32"/>
      <c r="I113" s="32"/>
      <c r="J113" s="32"/>
      <c r="K113" s="32"/>
      <c r="L113" s="32"/>
      <c r="M113" s="32"/>
      <c r="N113" s="32"/>
      <c r="O113" s="32"/>
      <c r="P113" s="1375"/>
    </row>
    <row r="114" spans="1:16" x14ac:dyDescent="0.2">
      <c r="A114" s="487"/>
      <c r="B114" s="32"/>
      <c r="C114" s="32"/>
      <c r="D114" s="32"/>
      <c r="E114" s="32"/>
      <c r="F114" s="32"/>
      <c r="G114" s="32"/>
      <c r="H114" s="32"/>
      <c r="I114" s="32"/>
      <c r="J114" s="32"/>
      <c r="K114" s="32"/>
      <c r="L114" s="32"/>
      <c r="M114" s="32"/>
      <c r="N114" s="32"/>
      <c r="O114" s="32"/>
      <c r="P114" s="1375"/>
    </row>
    <row r="115" spans="1:16" x14ac:dyDescent="0.2">
      <c r="A115" s="487"/>
      <c r="B115" s="32"/>
      <c r="C115" s="32"/>
      <c r="D115" s="32"/>
      <c r="E115" s="32"/>
      <c r="F115" s="32"/>
      <c r="G115" s="32"/>
      <c r="H115" s="32"/>
      <c r="I115" s="32"/>
      <c r="J115" s="32"/>
      <c r="K115" s="32"/>
      <c r="L115" s="32"/>
      <c r="M115" s="32"/>
      <c r="N115" s="32"/>
      <c r="O115" s="32"/>
      <c r="P115" s="1375"/>
    </row>
    <row r="116" spans="1:16" x14ac:dyDescent="0.2">
      <c r="A116" s="487"/>
      <c r="B116" s="32"/>
      <c r="C116" s="32"/>
      <c r="D116" s="32"/>
      <c r="E116" s="32"/>
      <c r="F116" s="32"/>
      <c r="G116" s="32"/>
      <c r="H116" s="32"/>
      <c r="I116" s="32"/>
      <c r="J116" s="32"/>
      <c r="K116" s="32"/>
      <c r="L116" s="32"/>
      <c r="M116" s="32"/>
      <c r="N116" s="32"/>
      <c r="O116" s="32"/>
      <c r="P116" s="1375"/>
    </row>
    <row r="117" spans="1:16" x14ac:dyDescent="0.2">
      <c r="A117" s="487"/>
      <c r="B117" s="32"/>
      <c r="C117" s="32"/>
      <c r="D117" s="32"/>
      <c r="E117" s="32"/>
      <c r="F117" s="32"/>
      <c r="G117" s="32"/>
      <c r="H117" s="32"/>
      <c r="I117" s="32"/>
      <c r="J117" s="32"/>
      <c r="K117" s="32"/>
      <c r="L117" s="32"/>
      <c r="M117" s="32"/>
      <c r="N117" s="32"/>
      <c r="O117" s="32"/>
      <c r="P117" s="1375"/>
    </row>
    <row r="118" spans="1:16" x14ac:dyDescent="0.2">
      <c r="A118" s="487"/>
      <c r="B118" s="32"/>
      <c r="C118" s="32"/>
      <c r="D118" s="32"/>
      <c r="E118" s="32"/>
      <c r="F118" s="32"/>
      <c r="G118" s="32"/>
      <c r="H118" s="32"/>
      <c r="I118" s="32"/>
      <c r="J118" s="32"/>
      <c r="K118" s="32"/>
      <c r="L118" s="32"/>
      <c r="M118" s="32"/>
      <c r="N118" s="32"/>
      <c r="O118" s="32"/>
      <c r="P118" s="1375"/>
    </row>
    <row r="119" spans="1:16" x14ac:dyDescent="0.2">
      <c r="A119" s="487"/>
      <c r="B119" s="32"/>
      <c r="C119" s="32"/>
      <c r="D119" s="32"/>
      <c r="E119" s="32"/>
      <c r="F119" s="32"/>
      <c r="G119" s="32"/>
      <c r="H119" s="32"/>
      <c r="I119" s="32"/>
      <c r="J119" s="32"/>
      <c r="K119" s="32"/>
      <c r="L119" s="32"/>
      <c r="M119" s="32"/>
      <c r="N119" s="32"/>
      <c r="O119" s="32"/>
      <c r="P119" s="1375"/>
    </row>
    <row r="120" spans="1:16" x14ac:dyDescent="0.2">
      <c r="A120" s="487"/>
      <c r="B120" s="32"/>
      <c r="C120" s="32"/>
      <c r="D120" s="32"/>
      <c r="E120" s="32"/>
      <c r="F120" s="32"/>
      <c r="G120" s="32"/>
      <c r="H120" s="32"/>
      <c r="I120" s="32"/>
      <c r="J120" s="32"/>
      <c r="K120" s="32"/>
      <c r="L120" s="32"/>
      <c r="M120" s="32"/>
      <c r="N120" s="32"/>
      <c r="O120" s="32"/>
      <c r="P120" s="1375"/>
    </row>
    <row r="121" spans="1:16" x14ac:dyDescent="0.2">
      <c r="A121" s="487"/>
      <c r="B121" s="32"/>
      <c r="C121" s="32"/>
      <c r="D121" s="32"/>
      <c r="E121" s="32"/>
      <c r="F121" s="32"/>
      <c r="G121" s="32"/>
      <c r="H121" s="32"/>
      <c r="I121" s="32"/>
      <c r="J121" s="32"/>
      <c r="K121" s="32"/>
      <c r="L121" s="32"/>
      <c r="M121" s="32"/>
      <c r="N121" s="32"/>
      <c r="O121" s="32"/>
      <c r="P121" s="1375"/>
    </row>
    <row r="122" spans="1:16" x14ac:dyDescent="0.2">
      <c r="A122" s="487"/>
      <c r="B122" s="32"/>
      <c r="C122" s="32"/>
      <c r="D122" s="32"/>
      <c r="E122" s="32"/>
      <c r="F122" s="32"/>
      <c r="G122" s="32"/>
      <c r="H122" s="32"/>
      <c r="I122" s="32"/>
      <c r="J122" s="32"/>
      <c r="K122" s="32"/>
      <c r="L122" s="32"/>
      <c r="M122" s="32"/>
      <c r="N122" s="32"/>
      <c r="O122" s="32"/>
      <c r="P122" s="1375"/>
    </row>
    <row r="123" spans="1:16" x14ac:dyDescent="0.2">
      <c r="A123" s="487"/>
      <c r="B123" s="32"/>
      <c r="C123" s="32"/>
      <c r="D123" s="32"/>
      <c r="E123" s="32"/>
      <c r="F123" s="32"/>
      <c r="G123" s="32"/>
      <c r="H123" s="32"/>
      <c r="I123" s="32"/>
      <c r="J123" s="32"/>
      <c r="K123" s="32"/>
      <c r="L123" s="32"/>
      <c r="M123" s="32"/>
      <c r="N123" s="32"/>
      <c r="O123" s="32"/>
      <c r="P123" s="1375"/>
    </row>
    <row r="124" spans="1:16" x14ac:dyDescent="0.2">
      <c r="A124" s="487"/>
      <c r="B124" s="32"/>
      <c r="C124" s="32"/>
      <c r="D124" s="32"/>
      <c r="E124" s="32"/>
      <c r="F124" s="32"/>
      <c r="G124" s="32"/>
      <c r="H124" s="32"/>
      <c r="I124" s="32"/>
      <c r="J124" s="32"/>
      <c r="K124" s="32"/>
      <c r="L124" s="32"/>
      <c r="M124" s="32"/>
      <c r="N124" s="32"/>
      <c r="O124" s="32"/>
      <c r="P124" s="1375"/>
    </row>
    <row r="125" spans="1:16" x14ac:dyDescent="0.2">
      <c r="A125" s="487"/>
      <c r="B125" s="32"/>
      <c r="C125" s="32"/>
      <c r="D125" s="32"/>
      <c r="E125" s="32"/>
      <c r="F125" s="32"/>
      <c r="G125" s="32"/>
      <c r="H125" s="32"/>
      <c r="I125" s="32"/>
      <c r="J125" s="32"/>
      <c r="K125" s="32"/>
      <c r="L125" s="32"/>
      <c r="M125" s="32"/>
      <c r="N125" s="32"/>
      <c r="O125" s="32"/>
      <c r="P125" s="1375"/>
    </row>
    <row r="126" spans="1:16" x14ac:dyDescent="0.2">
      <c r="A126" s="487"/>
      <c r="B126" s="32"/>
      <c r="C126" s="32"/>
      <c r="D126" s="32"/>
      <c r="E126" s="32"/>
      <c r="F126" s="32"/>
      <c r="G126" s="32"/>
      <c r="H126" s="32"/>
      <c r="I126" s="32"/>
      <c r="J126" s="32"/>
      <c r="K126" s="32"/>
      <c r="L126" s="32"/>
      <c r="M126" s="32"/>
      <c r="N126" s="32"/>
      <c r="O126" s="32"/>
      <c r="P126" s="1375"/>
    </row>
    <row r="127" spans="1:16" x14ac:dyDescent="0.2">
      <c r="A127" s="487"/>
      <c r="B127" s="32"/>
      <c r="C127" s="32"/>
      <c r="D127" s="32"/>
      <c r="E127" s="32"/>
      <c r="F127" s="32"/>
      <c r="G127" s="32"/>
      <c r="H127" s="32"/>
      <c r="I127" s="32"/>
      <c r="J127" s="32"/>
      <c r="K127" s="32"/>
      <c r="L127" s="32"/>
      <c r="M127" s="32"/>
      <c r="N127" s="32"/>
      <c r="O127" s="32"/>
      <c r="P127" s="1375"/>
    </row>
    <row r="128" spans="1:16" x14ac:dyDescent="0.2">
      <c r="A128" s="487"/>
      <c r="B128" s="32"/>
      <c r="C128" s="32"/>
      <c r="D128" s="32"/>
      <c r="E128" s="32"/>
      <c r="F128" s="32"/>
      <c r="G128" s="32"/>
      <c r="H128" s="32"/>
      <c r="I128" s="32"/>
      <c r="J128" s="32"/>
      <c r="K128" s="32"/>
      <c r="L128" s="32"/>
      <c r="M128" s="32"/>
      <c r="N128" s="32"/>
      <c r="O128" s="32"/>
      <c r="P128" s="1375"/>
    </row>
    <row r="129" spans="1:16" x14ac:dyDescent="0.2">
      <c r="A129" s="487"/>
      <c r="B129" s="32"/>
      <c r="C129" s="32"/>
      <c r="D129" s="32"/>
      <c r="E129" s="32"/>
      <c r="F129" s="32"/>
      <c r="G129" s="32"/>
      <c r="H129" s="32"/>
      <c r="I129" s="32"/>
      <c r="J129" s="32"/>
      <c r="K129" s="32"/>
      <c r="L129" s="32"/>
      <c r="M129" s="32"/>
      <c r="N129" s="32"/>
      <c r="O129" s="32"/>
      <c r="P129" s="1375"/>
    </row>
    <row r="130" spans="1:16" x14ac:dyDescent="0.2">
      <c r="A130" s="487"/>
      <c r="B130" s="32"/>
      <c r="C130" s="32"/>
      <c r="D130" s="32"/>
      <c r="E130" s="32"/>
      <c r="F130" s="32"/>
      <c r="G130" s="32"/>
      <c r="H130" s="32"/>
      <c r="I130" s="32"/>
      <c r="J130" s="32"/>
      <c r="K130" s="32"/>
      <c r="L130" s="32"/>
      <c r="M130" s="32"/>
      <c r="N130" s="32"/>
      <c r="O130" s="32"/>
      <c r="P130" s="1375"/>
    </row>
    <row r="131" spans="1:16" x14ac:dyDescent="0.2">
      <c r="A131" s="487"/>
      <c r="B131" s="32"/>
      <c r="C131" s="32"/>
      <c r="D131" s="32"/>
      <c r="E131" s="32"/>
      <c r="F131" s="32"/>
      <c r="G131" s="32"/>
      <c r="H131" s="32"/>
      <c r="I131" s="32"/>
      <c r="J131" s="32"/>
      <c r="K131" s="32"/>
      <c r="L131" s="32"/>
      <c r="M131" s="32"/>
      <c r="N131" s="32"/>
      <c r="O131" s="32"/>
      <c r="P131" s="1375"/>
    </row>
    <row r="132" spans="1:16" x14ac:dyDescent="0.2">
      <c r="A132" s="487"/>
      <c r="B132" s="32"/>
      <c r="C132" s="32"/>
      <c r="D132" s="32"/>
      <c r="E132" s="32"/>
      <c r="F132" s="32"/>
      <c r="G132" s="32"/>
      <c r="H132" s="32"/>
      <c r="I132" s="32"/>
      <c r="J132" s="32"/>
      <c r="K132" s="32"/>
      <c r="L132" s="32"/>
      <c r="M132" s="32"/>
      <c r="N132" s="32"/>
      <c r="O132" s="32"/>
      <c r="P132" s="1375"/>
    </row>
    <row r="133" spans="1:16" x14ac:dyDescent="0.2">
      <c r="A133" s="487"/>
      <c r="B133" s="32"/>
      <c r="C133" s="32"/>
      <c r="D133" s="32"/>
      <c r="E133" s="32"/>
      <c r="F133" s="32"/>
      <c r="G133" s="32"/>
      <c r="H133" s="32"/>
      <c r="I133" s="32"/>
      <c r="J133" s="32"/>
      <c r="K133" s="32"/>
      <c r="L133" s="32"/>
      <c r="M133" s="32"/>
      <c r="N133" s="32"/>
      <c r="O133" s="32"/>
      <c r="P133" s="1375"/>
    </row>
    <row r="134" spans="1:16" x14ac:dyDescent="0.2">
      <c r="A134" s="487"/>
      <c r="B134" s="32"/>
      <c r="C134" s="32"/>
      <c r="D134" s="32"/>
      <c r="E134" s="32"/>
      <c r="F134" s="32"/>
      <c r="G134" s="32"/>
      <c r="H134" s="32"/>
      <c r="I134" s="32"/>
      <c r="J134" s="32"/>
      <c r="K134" s="32"/>
      <c r="L134" s="32"/>
      <c r="M134" s="32"/>
      <c r="N134" s="32"/>
      <c r="O134" s="32"/>
      <c r="P134" s="1375"/>
    </row>
    <row r="135" spans="1:16" x14ac:dyDescent="0.2">
      <c r="A135" s="487"/>
      <c r="B135" s="32"/>
      <c r="C135" s="32"/>
      <c r="D135" s="32"/>
      <c r="E135" s="32"/>
      <c r="F135" s="32"/>
      <c r="G135" s="32"/>
      <c r="H135" s="32"/>
      <c r="I135" s="32"/>
      <c r="J135" s="32"/>
      <c r="K135" s="32"/>
      <c r="L135" s="32"/>
      <c r="M135" s="32"/>
      <c r="N135" s="32"/>
      <c r="O135" s="32"/>
      <c r="P135" s="1375"/>
    </row>
    <row r="136" spans="1:16" x14ac:dyDescent="0.2">
      <c r="A136" s="487"/>
      <c r="B136" s="32"/>
      <c r="C136" s="32"/>
      <c r="D136" s="32"/>
      <c r="E136" s="32"/>
      <c r="F136" s="32"/>
      <c r="G136" s="32"/>
      <c r="H136" s="32"/>
      <c r="I136" s="32"/>
      <c r="J136" s="32"/>
      <c r="K136" s="32"/>
      <c r="L136" s="32"/>
      <c r="M136" s="32"/>
      <c r="N136" s="32"/>
      <c r="O136" s="32"/>
      <c r="P136" s="1375"/>
    </row>
    <row r="137" spans="1:16" x14ac:dyDescent="0.2">
      <c r="A137" s="487"/>
      <c r="B137" s="32"/>
      <c r="C137" s="32"/>
      <c r="D137" s="32"/>
      <c r="E137" s="32"/>
      <c r="F137" s="32"/>
      <c r="G137" s="32"/>
      <c r="H137" s="32"/>
      <c r="I137" s="32"/>
      <c r="J137" s="32"/>
      <c r="K137" s="32"/>
      <c r="L137" s="32"/>
      <c r="M137" s="32"/>
      <c r="N137" s="32"/>
      <c r="O137" s="32"/>
      <c r="P137" s="1375"/>
    </row>
    <row r="138" spans="1:16" x14ac:dyDescent="0.2">
      <c r="A138" s="487"/>
      <c r="B138" s="32"/>
      <c r="C138" s="32"/>
      <c r="D138" s="32"/>
      <c r="E138" s="32"/>
      <c r="F138" s="32"/>
      <c r="G138" s="32"/>
      <c r="H138" s="32"/>
      <c r="I138" s="32"/>
      <c r="J138" s="32"/>
      <c r="K138" s="32"/>
      <c r="L138" s="32"/>
      <c r="M138" s="32"/>
      <c r="N138" s="32"/>
      <c r="O138" s="32"/>
      <c r="P138" s="1375"/>
    </row>
    <row r="139" spans="1:16" x14ac:dyDescent="0.2">
      <c r="A139" s="487"/>
      <c r="B139" s="32"/>
      <c r="C139" s="32"/>
      <c r="D139" s="32"/>
      <c r="E139" s="32"/>
      <c r="F139" s="32"/>
      <c r="G139" s="32"/>
      <c r="H139" s="32"/>
      <c r="I139" s="32"/>
      <c r="J139" s="32"/>
      <c r="K139" s="32"/>
      <c r="L139" s="32"/>
      <c r="M139" s="32"/>
      <c r="N139" s="32"/>
      <c r="O139" s="32"/>
      <c r="P139" s="1375"/>
    </row>
    <row r="140" spans="1:16" x14ac:dyDescent="0.2">
      <c r="A140" s="487"/>
      <c r="B140" s="32"/>
      <c r="C140" s="32"/>
      <c r="D140" s="32"/>
      <c r="E140" s="32"/>
      <c r="F140" s="32"/>
      <c r="G140" s="32"/>
      <c r="H140" s="32"/>
      <c r="I140" s="32"/>
      <c r="J140" s="32"/>
      <c r="K140" s="32"/>
      <c r="L140" s="32"/>
      <c r="M140" s="32"/>
      <c r="N140" s="32"/>
      <c r="O140" s="32"/>
      <c r="P140" s="1375"/>
    </row>
    <row r="141" spans="1:16" x14ac:dyDescent="0.2">
      <c r="A141" s="487"/>
      <c r="B141" s="32"/>
      <c r="C141" s="32"/>
      <c r="D141" s="32"/>
      <c r="E141" s="32"/>
      <c r="F141" s="32"/>
      <c r="G141" s="32"/>
      <c r="H141" s="32"/>
      <c r="I141" s="32"/>
      <c r="J141" s="32"/>
      <c r="K141" s="32"/>
      <c r="L141" s="32"/>
      <c r="M141" s="32"/>
      <c r="N141" s="32"/>
      <c r="O141" s="32"/>
      <c r="P141" s="1375"/>
    </row>
    <row r="142" spans="1:16" x14ac:dyDescent="0.2">
      <c r="A142" s="487"/>
      <c r="B142" s="32"/>
      <c r="C142" s="32"/>
      <c r="D142" s="32"/>
      <c r="E142" s="32"/>
      <c r="F142" s="32"/>
      <c r="G142" s="32"/>
      <c r="H142" s="32"/>
      <c r="I142" s="32"/>
      <c r="J142" s="32"/>
      <c r="K142" s="32"/>
      <c r="L142" s="32"/>
      <c r="M142" s="32"/>
      <c r="N142" s="32"/>
      <c r="O142" s="32"/>
      <c r="P142" s="1375"/>
    </row>
    <row r="143" spans="1:16" x14ac:dyDescent="0.2">
      <c r="A143" s="487"/>
      <c r="B143" s="32"/>
      <c r="C143" s="32"/>
      <c r="D143" s="32"/>
      <c r="E143" s="32"/>
      <c r="F143" s="32"/>
      <c r="G143" s="32"/>
      <c r="H143" s="32"/>
      <c r="I143" s="32"/>
      <c r="J143" s="32"/>
      <c r="K143" s="32"/>
      <c r="L143" s="32"/>
      <c r="M143" s="32"/>
      <c r="N143" s="32"/>
      <c r="O143" s="32"/>
      <c r="P143" s="1375"/>
    </row>
    <row r="144" spans="1:16" x14ac:dyDescent="0.2">
      <c r="A144" s="487"/>
      <c r="B144" s="32"/>
      <c r="C144" s="32"/>
      <c r="D144" s="32"/>
      <c r="E144" s="32"/>
      <c r="F144" s="32"/>
      <c r="G144" s="32"/>
      <c r="H144" s="32"/>
      <c r="I144" s="32"/>
      <c r="J144" s="32"/>
      <c r="K144" s="32"/>
      <c r="L144" s="32"/>
      <c r="M144" s="32"/>
      <c r="N144" s="32"/>
      <c r="O144" s="32"/>
      <c r="P144" s="1375"/>
    </row>
    <row r="145" spans="1:16" x14ac:dyDescent="0.2">
      <c r="A145" s="487"/>
      <c r="B145" s="32"/>
      <c r="C145" s="32"/>
      <c r="D145" s="32"/>
      <c r="E145" s="32"/>
      <c r="F145" s="32"/>
      <c r="G145" s="32"/>
      <c r="H145" s="32"/>
      <c r="I145" s="32"/>
      <c r="J145" s="32"/>
      <c r="K145" s="32"/>
      <c r="L145" s="32"/>
      <c r="M145" s="32"/>
      <c r="N145" s="32"/>
      <c r="O145" s="32"/>
      <c r="P145" s="1375"/>
    </row>
    <row r="146" spans="1:16" x14ac:dyDescent="0.2">
      <c r="A146" s="487"/>
      <c r="B146" s="32"/>
      <c r="C146" s="32"/>
      <c r="D146" s="32"/>
      <c r="E146" s="32"/>
      <c r="F146" s="32"/>
      <c r="G146" s="32"/>
      <c r="H146" s="32"/>
      <c r="I146" s="32"/>
      <c r="J146" s="32"/>
      <c r="K146" s="32"/>
      <c r="L146" s="32"/>
      <c r="M146" s="32"/>
      <c r="N146" s="32"/>
      <c r="O146" s="32"/>
      <c r="P146" s="1375"/>
    </row>
    <row r="147" spans="1:16" x14ac:dyDescent="0.2">
      <c r="A147" s="487"/>
      <c r="B147" s="32"/>
      <c r="C147" s="32"/>
      <c r="D147" s="32"/>
      <c r="E147" s="32"/>
      <c r="F147" s="32"/>
      <c r="G147" s="32"/>
      <c r="H147" s="32"/>
      <c r="I147" s="32"/>
      <c r="J147" s="32"/>
      <c r="K147" s="32"/>
      <c r="L147" s="32"/>
      <c r="M147" s="32"/>
      <c r="N147" s="32"/>
      <c r="O147" s="32"/>
      <c r="P147" s="1375"/>
    </row>
    <row r="148" spans="1:16" x14ac:dyDescent="0.2">
      <c r="A148" s="487"/>
      <c r="B148" s="32"/>
      <c r="C148" s="32"/>
      <c r="D148" s="32"/>
      <c r="E148" s="32"/>
      <c r="F148" s="32"/>
      <c r="G148" s="32"/>
      <c r="H148" s="32"/>
      <c r="I148" s="32"/>
      <c r="J148" s="32"/>
      <c r="K148" s="32"/>
      <c r="L148" s="32"/>
      <c r="M148" s="32"/>
      <c r="N148" s="32"/>
      <c r="O148" s="32"/>
      <c r="P148" s="1375"/>
    </row>
    <row r="149" spans="1:16" x14ac:dyDescent="0.2">
      <c r="A149" s="487"/>
      <c r="B149" s="32"/>
      <c r="C149" s="32"/>
      <c r="D149" s="32"/>
      <c r="E149" s="32"/>
      <c r="F149" s="32"/>
      <c r="G149" s="32"/>
      <c r="H149" s="32"/>
      <c r="I149" s="32"/>
      <c r="J149" s="32"/>
      <c r="K149" s="32"/>
      <c r="L149" s="32"/>
      <c r="M149" s="32"/>
      <c r="N149" s="32"/>
      <c r="O149" s="32"/>
      <c r="P149" s="1375"/>
    </row>
    <row r="150" spans="1:16" x14ac:dyDescent="0.2">
      <c r="A150" s="487"/>
      <c r="B150" s="32"/>
      <c r="C150" s="32"/>
      <c r="D150" s="32"/>
      <c r="E150" s="32"/>
      <c r="F150" s="32"/>
      <c r="G150" s="32"/>
      <c r="H150" s="32"/>
      <c r="I150" s="32"/>
      <c r="J150" s="32"/>
      <c r="K150" s="32"/>
      <c r="L150" s="32"/>
      <c r="M150" s="32"/>
      <c r="N150" s="32"/>
      <c r="O150" s="32"/>
      <c r="P150" s="1375"/>
    </row>
    <row r="151" spans="1:16" x14ac:dyDescent="0.2">
      <c r="A151" s="487"/>
      <c r="B151" s="32"/>
      <c r="C151" s="32"/>
      <c r="D151" s="32"/>
      <c r="E151" s="32"/>
      <c r="F151" s="32"/>
      <c r="G151" s="32"/>
      <c r="H151" s="32"/>
      <c r="I151" s="32"/>
      <c r="J151" s="32"/>
      <c r="K151" s="32"/>
      <c r="L151" s="32"/>
      <c r="M151" s="32"/>
      <c r="N151" s="32"/>
      <c r="O151" s="32"/>
      <c r="P151" s="1375"/>
    </row>
    <row r="152" spans="1:16" x14ac:dyDescent="0.2">
      <c r="A152" s="487"/>
      <c r="B152" s="32"/>
      <c r="C152" s="32"/>
      <c r="D152" s="32"/>
      <c r="E152" s="32"/>
      <c r="F152" s="32"/>
      <c r="G152" s="32"/>
      <c r="H152" s="32"/>
      <c r="I152" s="32"/>
      <c r="J152" s="32"/>
      <c r="K152" s="32"/>
      <c r="L152" s="32"/>
      <c r="M152" s="32"/>
      <c r="N152" s="32"/>
      <c r="O152" s="32"/>
      <c r="P152" s="1375"/>
    </row>
    <row r="153" spans="1:16" x14ac:dyDescent="0.2">
      <c r="A153" s="487"/>
      <c r="B153" s="32"/>
      <c r="C153" s="32"/>
      <c r="D153" s="32"/>
      <c r="E153" s="32"/>
      <c r="F153" s="32"/>
      <c r="G153" s="32"/>
      <c r="H153" s="32"/>
      <c r="I153" s="32"/>
      <c r="J153" s="32"/>
      <c r="K153" s="32"/>
      <c r="L153" s="32"/>
      <c r="M153" s="32"/>
      <c r="N153" s="32"/>
      <c r="O153" s="32"/>
      <c r="P153" s="1375"/>
    </row>
    <row r="154" spans="1:16" x14ac:dyDescent="0.2">
      <c r="A154" s="487"/>
      <c r="B154" s="32"/>
      <c r="C154" s="32"/>
      <c r="D154" s="32"/>
      <c r="E154" s="32"/>
      <c r="F154" s="32"/>
      <c r="G154" s="32"/>
      <c r="H154" s="32"/>
      <c r="I154" s="32"/>
      <c r="J154" s="32"/>
      <c r="K154" s="32"/>
      <c r="L154" s="32"/>
      <c r="M154" s="32"/>
      <c r="N154" s="32"/>
      <c r="O154" s="32"/>
      <c r="P154" s="1375"/>
    </row>
    <row r="155" spans="1:16" x14ac:dyDescent="0.2">
      <c r="A155" s="487"/>
      <c r="B155" s="32"/>
      <c r="C155" s="32"/>
      <c r="D155" s="32"/>
      <c r="E155" s="32"/>
      <c r="F155" s="32"/>
      <c r="G155" s="32"/>
      <c r="H155" s="32"/>
      <c r="I155" s="32"/>
      <c r="J155" s="32"/>
      <c r="K155" s="32"/>
      <c r="L155" s="32"/>
      <c r="M155" s="32"/>
      <c r="N155" s="32"/>
      <c r="O155" s="32"/>
      <c r="P155" s="1375"/>
    </row>
    <row r="156" spans="1:16" x14ac:dyDescent="0.2">
      <c r="A156" s="487"/>
      <c r="B156" s="32"/>
      <c r="C156" s="32"/>
      <c r="D156" s="32"/>
      <c r="E156" s="32"/>
      <c r="F156" s="32"/>
      <c r="G156" s="32"/>
      <c r="H156" s="32"/>
      <c r="I156" s="32"/>
      <c r="J156" s="32"/>
      <c r="K156" s="32"/>
      <c r="L156" s="32"/>
      <c r="M156" s="32"/>
      <c r="N156" s="32"/>
      <c r="O156" s="32"/>
      <c r="P156" s="1375"/>
    </row>
    <row r="157" spans="1:16" x14ac:dyDescent="0.2">
      <c r="A157" s="487"/>
      <c r="B157" s="32"/>
      <c r="C157" s="32"/>
      <c r="D157" s="32"/>
      <c r="E157" s="32"/>
      <c r="F157" s="32"/>
      <c r="G157" s="32"/>
      <c r="H157" s="32"/>
      <c r="I157" s="32"/>
      <c r="J157" s="32"/>
      <c r="K157" s="32"/>
      <c r="L157" s="32"/>
      <c r="M157" s="32"/>
      <c r="N157" s="32"/>
      <c r="O157" s="32"/>
      <c r="P157" s="1375"/>
    </row>
    <row r="158" spans="1:16" x14ac:dyDescent="0.2">
      <c r="A158" s="487"/>
      <c r="B158" s="32"/>
      <c r="C158" s="32"/>
      <c r="D158" s="32"/>
      <c r="E158" s="32"/>
      <c r="F158" s="32"/>
      <c r="G158" s="32"/>
      <c r="H158" s="32"/>
      <c r="I158" s="32"/>
      <c r="J158" s="32"/>
      <c r="K158" s="32"/>
      <c r="L158" s="32"/>
      <c r="M158" s="32"/>
      <c r="N158" s="32"/>
      <c r="O158" s="32"/>
      <c r="P158" s="1375"/>
    </row>
    <row r="159" spans="1:16" x14ac:dyDescent="0.2">
      <c r="A159" s="487"/>
      <c r="B159" s="32"/>
      <c r="C159" s="32"/>
      <c r="D159" s="32"/>
      <c r="E159" s="32"/>
      <c r="F159" s="32"/>
      <c r="G159" s="32"/>
      <c r="H159" s="32"/>
      <c r="I159" s="32"/>
      <c r="J159" s="32"/>
      <c r="K159" s="32"/>
      <c r="L159" s="32"/>
      <c r="M159" s="32"/>
      <c r="N159" s="32"/>
      <c r="O159" s="32"/>
      <c r="P159" s="1375"/>
    </row>
    <row r="160" spans="1:16" x14ac:dyDescent="0.2">
      <c r="A160" s="487"/>
      <c r="B160" s="32"/>
      <c r="C160" s="32"/>
      <c r="D160" s="32"/>
      <c r="E160" s="32"/>
      <c r="F160" s="32"/>
      <c r="G160" s="32"/>
      <c r="H160" s="32"/>
      <c r="I160" s="32"/>
      <c r="J160" s="32"/>
      <c r="K160" s="32"/>
      <c r="L160" s="32"/>
      <c r="M160" s="32"/>
      <c r="N160" s="32"/>
      <c r="O160" s="32"/>
      <c r="P160" s="1375"/>
    </row>
    <row r="161" spans="1:16" x14ac:dyDescent="0.2">
      <c r="A161" s="487"/>
      <c r="B161" s="32"/>
      <c r="C161" s="32"/>
      <c r="D161" s="32"/>
      <c r="E161" s="32"/>
      <c r="F161" s="32"/>
      <c r="G161" s="32"/>
      <c r="H161" s="32"/>
      <c r="I161" s="32"/>
      <c r="J161" s="32"/>
      <c r="K161" s="32"/>
      <c r="L161" s="32"/>
      <c r="M161" s="32"/>
      <c r="N161" s="32"/>
      <c r="O161" s="32"/>
      <c r="P161" s="1375"/>
    </row>
    <row r="162" spans="1:16" x14ac:dyDescent="0.2">
      <c r="A162" s="487"/>
      <c r="B162" s="32"/>
      <c r="C162" s="32"/>
      <c r="D162" s="32"/>
      <c r="E162" s="32"/>
      <c r="F162" s="32"/>
      <c r="G162" s="32"/>
      <c r="H162" s="32"/>
      <c r="I162" s="32"/>
      <c r="J162" s="32"/>
      <c r="K162" s="32"/>
      <c r="L162" s="32"/>
      <c r="M162" s="32"/>
      <c r="N162" s="32"/>
      <c r="O162" s="32"/>
      <c r="P162" s="1375"/>
    </row>
    <row r="163" spans="1:16" x14ac:dyDescent="0.2">
      <c r="A163" s="487"/>
      <c r="B163" s="32"/>
      <c r="C163" s="32"/>
      <c r="D163" s="32"/>
      <c r="E163" s="32"/>
      <c r="F163" s="32"/>
      <c r="G163" s="32"/>
      <c r="H163" s="32"/>
      <c r="I163" s="32"/>
      <c r="J163" s="32"/>
      <c r="K163" s="32"/>
      <c r="L163" s="32"/>
      <c r="M163" s="32"/>
      <c r="N163" s="32"/>
      <c r="O163" s="32"/>
      <c r="P163" s="1375"/>
    </row>
    <row r="164" spans="1:16" x14ac:dyDescent="0.2">
      <c r="A164" s="487"/>
      <c r="B164" s="32"/>
      <c r="C164" s="32"/>
      <c r="D164" s="32"/>
      <c r="E164" s="32"/>
      <c r="F164" s="32"/>
      <c r="G164" s="32"/>
      <c r="H164" s="32"/>
      <c r="I164" s="32"/>
      <c r="J164" s="32"/>
      <c r="K164" s="32"/>
      <c r="L164" s="32"/>
      <c r="M164" s="32"/>
      <c r="N164" s="32"/>
      <c r="O164" s="32"/>
      <c r="P164" s="1375"/>
    </row>
    <row r="165" spans="1:16" x14ac:dyDescent="0.2">
      <c r="A165" s="487"/>
      <c r="B165" s="32"/>
      <c r="C165" s="32"/>
      <c r="D165" s="32"/>
      <c r="E165" s="32"/>
      <c r="F165" s="32"/>
      <c r="G165" s="32"/>
      <c r="H165" s="32"/>
      <c r="I165" s="32"/>
      <c r="J165" s="32"/>
      <c r="K165" s="32"/>
      <c r="L165" s="32"/>
      <c r="M165" s="32"/>
      <c r="N165" s="32"/>
      <c r="O165" s="32"/>
      <c r="P165" s="1375"/>
    </row>
    <row r="166" spans="1:16" x14ac:dyDescent="0.2">
      <c r="A166" s="487"/>
      <c r="B166" s="32"/>
      <c r="C166" s="32"/>
      <c r="D166" s="32"/>
      <c r="E166" s="32"/>
      <c r="F166" s="32"/>
      <c r="G166" s="32"/>
      <c r="H166" s="32"/>
      <c r="I166" s="32"/>
      <c r="J166" s="32"/>
      <c r="K166" s="32"/>
      <c r="L166" s="32"/>
      <c r="M166" s="32"/>
      <c r="N166" s="32"/>
      <c r="O166" s="32"/>
      <c r="P166" s="1375"/>
    </row>
    <row r="167" spans="1:16" x14ac:dyDescent="0.2">
      <c r="A167" s="487"/>
      <c r="B167" s="32"/>
      <c r="C167" s="32"/>
      <c r="D167" s="32"/>
      <c r="E167" s="32"/>
      <c r="F167" s="32"/>
      <c r="G167" s="32"/>
      <c r="H167" s="32"/>
      <c r="I167" s="32"/>
      <c r="J167" s="32"/>
      <c r="K167" s="32"/>
      <c r="L167" s="32"/>
      <c r="M167" s="32"/>
      <c r="N167" s="32"/>
      <c r="O167" s="32"/>
      <c r="P167" s="1375"/>
    </row>
    <row r="168" spans="1:16" x14ac:dyDescent="0.2">
      <c r="A168" s="487"/>
      <c r="B168" s="32"/>
      <c r="C168" s="32"/>
      <c r="D168" s="32"/>
      <c r="E168" s="32"/>
      <c r="F168" s="32"/>
      <c r="G168" s="32"/>
      <c r="H168" s="32"/>
      <c r="I168" s="32"/>
      <c r="J168" s="32"/>
      <c r="K168" s="32"/>
      <c r="L168" s="32"/>
      <c r="M168" s="32"/>
      <c r="N168" s="32"/>
      <c r="O168" s="32"/>
      <c r="P168" s="1375"/>
    </row>
    <row r="169" spans="1:16" x14ac:dyDescent="0.2">
      <c r="A169" s="487"/>
      <c r="B169" s="32"/>
      <c r="C169" s="32"/>
      <c r="D169" s="32"/>
      <c r="E169" s="32"/>
      <c r="F169" s="32"/>
      <c r="G169" s="32"/>
      <c r="H169" s="32"/>
      <c r="I169" s="32"/>
      <c r="J169" s="32"/>
      <c r="K169" s="32"/>
      <c r="L169" s="32"/>
      <c r="M169" s="32"/>
      <c r="N169" s="32"/>
      <c r="O169" s="32"/>
      <c r="P169" s="1375"/>
    </row>
    <row r="170" spans="1:16" x14ac:dyDescent="0.2">
      <c r="A170" s="487"/>
      <c r="B170" s="32"/>
      <c r="C170" s="32"/>
      <c r="D170" s="32"/>
      <c r="E170" s="32"/>
      <c r="F170" s="32"/>
      <c r="G170" s="32"/>
      <c r="H170" s="32"/>
      <c r="I170" s="32"/>
      <c r="J170" s="32"/>
      <c r="K170" s="32"/>
      <c r="L170" s="32"/>
      <c r="M170" s="32"/>
      <c r="N170" s="32"/>
      <c r="O170" s="32"/>
      <c r="P170" s="1375"/>
    </row>
    <row r="171" spans="1:16" x14ac:dyDescent="0.2">
      <c r="A171" s="487"/>
      <c r="B171" s="32"/>
      <c r="C171" s="32"/>
      <c r="D171" s="32"/>
      <c r="E171" s="32"/>
      <c r="F171" s="32"/>
      <c r="G171" s="32"/>
      <c r="H171" s="32"/>
      <c r="I171" s="32"/>
      <c r="J171" s="32"/>
      <c r="K171" s="32"/>
      <c r="L171" s="32"/>
      <c r="M171" s="32"/>
      <c r="N171" s="32"/>
      <c r="O171" s="32"/>
      <c r="P171" s="1375"/>
    </row>
    <row r="172" spans="1:16" x14ac:dyDescent="0.2">
      <c r="A172" s="487"/>
      <c r="B172" s="32"/>
      <c r="C172" s="32"/>
      <c r="D172" s="32"/>
      <c r="E172" s="32"/>
      <c r="F172" s="32"/>
      <c r="G172" s="32"/>
      <c r="H172" s="32"/>
      <c r="I172" s="32"/>
      <c r="J172" s="32"/>
      <c r="K172" s="32"/>
      <c r="L172" s="32"/>
      <c r="M172" s="32"/>
      <c r="N172" s="32"/>
      <c r="O172" s="32"/>
      <c r="P172" s="1375"/>
    </row>
    <row r="173" spans="1:16" x14ac:dyDescent="0.2">
      <c r="A173" s="487"/>
      <c r="B173" s="32"/>
      <c r="C173" s="32"/>
      <c r="D173" s="32"/>
      <c r="E173" s="32"/>
      <c r="F173" s="32"/>
      <c r="G173" s="32"/>
      <c r="H173" s="32"/>
      <c r="I173" s="32"/>
      <c r="J173" s="32"/>
      <c r="K173" s="32"/>
      <c r="L173" s="32"/>
      <c r="M173" s="32"/>
      <c r="N173" s="32"/>
      <c r="O173" s="32"/>
      <c r="P173" s="1375"/>
    </row>
    <row r="174" spans="1:16" x14ac:dyDescent="0.2">
      <c r="A174" s="487"/>
      <c r="B174" s="32"/>
      <c r="C174" s="32"/>
      <c r="D174" s="32"/>
      <c r="E174" s="32"/>
      <c r="F174" s="32"/>
      <c r="G174" s="32"/>
      <c r="H174" s="32"/>
      <c r="I174" s="32"/>
      <c r="J174" s="32"/>
      <c r="K174" s="32"/>
      <c r="L174" s="32"/>
      <c r="M174" s="32"/>
      <c r="N174" s="32"/>
      <c r="O174" s="32"/>
      <c r="P174" s="1375"/>
    </row>
    <row r="175" spans="1:16" x14ac:dyDescent="0.2">
      <c r="A175" s="487"/>
      <c r="B175" s="32"/>
      <c r="C175" s="32"/>
      <c r="D175" s="32"/>
      <c r="E175" s="32"/>
      <c r="F175" s="32"/>
      <c r="G175" s="32"/>
      <c r="H175" s="32"/>
      <c r="I175" s="32"/>
      <c r="J175" s="32"/>
      <c r="K175" s="32"/>
      <c r="L175" s="32"/>
      <c r="M175" s="32"/>
      <c r="N175" s="32"/>
      <c r="O175" s="32"/>
      <c r="P175" s="1375"/>
    </row>
    <row r="176" spans="1:16" x14ac:dyDescent="0.2">
      <c r="A176" s="487"/>
      <c r="B176" s="32"/>
      <c r="C176" s="32"/>
      <c r="D176" s="32"/>
      <c r="E176" s="32"/>
      <c r="F176" s="32"/>
      <c r="G176" s="32"/>
      <c r="H176" s="32"/>
      <c r="I176" s="32"/>
      <c r="J176" s="32"/>
      <c r="K176" s="32"/>
      <c r="L176" s="32"/>
      <c r="M176" s="32"/>
      <c r="N176" s="32"/>
      <c r="O176" s="32"/>
      <c r="P176" s="1375"/>
    </row>
    <row r="177" spans="1:16" x14ac:dyDescent="0.2">
      <c r="A177" s="487"/>
      <c r="B177" s="32"/>
      <c r="C177" s="32"/>
      <c r="D177" s="32"/>
      <c r="E177" s="32"/>
      <c r="F177" s="32"/>
      <c r="G177" s="32"/>
      <c r="H177" s="32"/>
      <c r="I177" s="32"/>
      <c r="J177" s="32"/>
      <c r="K177" s="32"/>
      <c r="L177" s="32"/>
      <c r="M177" s="32"/>
      <c r="N177" s="32"/>
      <c r="O177" s="32"/>
      <c r="P177" s="1375"/>
    </row>
    <row r="178" spans="1:16" x14ac:dyDescent="0.2">
      <c r="A178" s="487"/>
      <c r="B178" s="32"/>
      <c r="C178" s="32"/>
      <c r="D178" s="32"/>
      <c r="E178" s="32"/>
      <c r="F178" s="32"/>
      <c r="G178" s="32"/>
      <c r="H178" s="32"/>
      <c r="I178" s="32"/>
      <c r="J178" s="32"/>
      <c r="K178" s="32"/>
      <c r="L178" s="32"/>
      <c r="M178" s="32"/>
      <c r="N178" s="32"/>
      <c r="O178" s="32"/>
      <c r="P178" s="1375"/>
    </row>
    <row r="179" spans="1:16" x14ac:dyDescent="0.2">
      <c r="A179" s="487"/>
      <c r="B179" s="32"/>
      <c r="C179" s="32"/>
      <c r="D179" s="32"/>
      <c r="E179" s="32"/>
      <c r="F179" s="32"/>
      <c r="G179" s="32"/>
      <c r="H179" s="32"/>
      <c r="I179" s="32"/>
      <c r="J179" s="32"/>
      <c r="K179" s="32"/>
      <c r="L179" s="32"/>
      <c r="M179" s="32"/>
      <c r="N179" s="32"/>
      <c r="O179" s="32"/>
      <c r="P179" s="1375"/>
    </row>
    <row r="180" spans="1:16" x14ac:dyDescent="0.2">
      <c r="A180" s="487"/>
      <c r="B180" s="32"/>
      <c r="C180" s="32"/>
      <c r="D180" s="32"/>
      <c r="E180" s="32"/>
      <c r="F180" s="32"/>
      <c r="G180" s="32"/>
      <c r="H180" s="32"/>
      <c r="I180" s="32"/>
      <c r="J180" s="32"/>
      <c r="K180" s="32"/>
      <c r="L180" s="32"/>
      <c r="M180" s="32"/>
      <c r="N180" s="32"/>
      <c r="O180" s="32"/>
      <c r="P180" s="1375"/>
    </row>
    <row r="181" spans="1:16" x14ac:dyDescent="0.2">
      <c r="A181" s="487"/>
      <c r="B181" s="32"/>
      <c r="C181" s="32"/>
      <c r="D181" s="32"/>
      <c r="E181" s="32"/>
      <c r="F181" s="32"/>
      <c r="G181" s="32"/>
      <c r="H181" s="32"/>
      <c r="I181" s="32"/>
      <c r="J181" s="32"/>
      <c r="K181" s="32"/>
      <c r="L181" s="32"/>
      <c r="M181" s="32"/>
      <c r="N181" s="32"/>
      <c r="O181" s="32"/>
      <c r="P181" s="1375"/>
    </row>
    <row r="182" spans="1:16" x14ac:dyDescent="0.2">
      <c r="A182" s="487"/>
      <c r="B182" s="32"/>
      <c r="C182" s="32"/>
      <c r="D182" s="32"/>
      <c r="E182" s="32"/>
      <c r="F182" s="32"/>
      <c r="G182" s="32"/>
      <c r="H182" s="32"/>
      <c r="I182" s="32"/>
      <c r="J182" s="32"/>
      <c r="K182" s="32"/>
      <c r="L182" s="32"/>
      <c r="M182" s="32"/>
      <c r="N182" s="32"/>
      <c r="O182" s="32"/>
      <c r="P182" s="1375"/>
    </row>
    <row r="183" spans="1:16" x14ac:dyDescent="0.2">
      <c r="A183" s="487"/>
      <c r="B183" s="32"/>
      <c r="C183" s="32"/>
      <c r="D183" s="32"/>
      <c r="E183" s="32"/>
      <c r="F183" s="32"/>
      <c r="G183" s="32"/>
      <c r="H183" s="32"/>
      <c r="I183" s="32"/>
      <c r="J183" s="32"/>
      <c r="K183" s="32"/>
      <c r="L183" s="32"/>
      <c r="M183" s="32"/>
      <c r="N183" s="32"/>
      <c r="O183" s="32"/>
      <c r="P183" s="1375"/>
    </row>
    <row r="184" spans="1:16" x14ac:dyDescent="0.2">
      <c r="A184" s="487"/>
      <c r="B184" s="32"/>
      <c r="C184" s="32"/>
      <c r="D184" s="32"/>
      <c r="E184" s="32"/>
      <c r="F184" s="32"/>
      <c r="G184" s="32"/>
      <c r="H184" s="32"/>
      <c r="I184" s="32"/>
      <c r="J184" s="32"/>
      <c r="K184" s="32"/>
      <c r="L184" s="32"/>
      <c r="M184" s="32"/>
      <c r="N184" s="32"/>
      <c r="O184" s="32"/>
      <c r="P184" s="1375"/>
    </row>
    <row r="185" spans="1:16" x14ac:dyDescent="0.2">
      <c r="A185" s="487"/>
      <c r="B185" s="32"/>
      <c r="C185" s="32"/>
      <c r="D185" s="32"/>
      <c r="E185" s="32"/>
      <c r="F185" s="32"/>
      <c r="G185" s="32"/>
      <c r="H185" s="32"/>
      <c r="I185" s="32"/>
      <c r="J185" s="32"/>
      <c r="K185" s="32"/>
      <c r="L185" s="32"/>
      <c r="M185" s="32"/>
      <c r="N185" s="32"/>
      <c r="O185" s="32"/>
      <c r="P185" s="1375"/>
    </row>
    <row r="186" spans="1:16" x14ac:dyDescent="0.2">
      <c r="A186" s="487"/>
      <c r="B186" s="32"/>
      <c r="C186" s="32"/>
      <c r="D186" s="32"/>
      <c r="E186" s="32"/>
      <c r="F186" s="32"/>
      <c r="G186" s="32"/>
      <c r="H186" s="32"/>
      <c r="I186" s="32"/>
      <c r="J186" s="32"/>
      <c r="K186" s="32"/>
      <c r="L186" s="32"/>
      <c r="M186" s="32"/>
      <c r="N186" s="32"/>
      <c r="O186" s="32"/>
      <c r="P186" s="1375"/>
    </row>
    <row r="187" spans="1:16" x14ac:dyDescent="0.2">
      <c r="A187" s="487"/>
      <c r="B187" s="32"/>
      <c r="C187" s="32"/>
      <c r="D187" s="32"/>
      <c r="E187" s="32"/>
      <c r="F187" s="32"/>
      <c r="G187" s="32"/>
      <c r="H187" s="32"/>
      <c r="I187" s="32"/>
      <c r="J187" s="32"/>
      <c r="K187" s="32"/>
      <c r="L187" s="32"/>
      <c r="M187" s="32"/>
      <c r="N187" s="32"/>
      <c r="O187" s="32"/>
      <c r="P187" s="1375"/>
    </row>
    <row r="188" spans="1:16" x14ac:dyDescent="0.2">
      <c r="A188" s="487"/>
      <c r="B188" s="32"/>
      <c r="C188" s="32"/>
      <c r="D188" s="32"/>
      <c r="E188" s="32"/>
      <c r="F188" s="32"/>
      <c r="G188" s="32"/>
      <c r="H188" s="32"/>
      <c r="I188" s="32"/>
      <c r="J188" s="32"/>
      <c r="K188" s="32"/>
      <c r="L188" s="32"/>
      <c r="M188" s="32"/>
      <c r="N188" s="32"/>
      <c r="O188" s="32"/>
      <c r="P188" s="1375"/>
    </row>
    <row r="189" spans="1:16" x14ac:dyDescent="0.2">
      <c r="A189" s="487"/>
      <c r="B189" s="32"/>
      <c r="C189" s="32"/>
      <c r="D189" s="32"/>
      <c r="E189" s="32"/>
      <c r="F189" s="32"/>
      <c r="G189" s="32"/>
      <c r="H189" s="32"/>
      <c r="I189" s="32"/>
      <c r="J189" s="32"/>
      <c r="K189" s="32"/>
      <c r="L189" s="32"/>
      <c r="M189" s="32"/>
      <c r="N189" s="32"/>
      <c r="O189" s="32"/>
      <c r="P189" s="1375"/>
    </row>
    <row r="190" spans="1:16" x14ac:dyDescent="0.2">
      <c r="A190" s="487"/>
      <c r="B190" s="32"/>
      <c r="C190" s="32"/>
      <c r="D190" s="32"/>
      <c r="E190" s="32"/>
      <c r="F190" s="32"/>
      <c r="G190" s="32"/>
      <c r="H190" s="32"/>
      <c r="I190" s="32"/>
      <c r="J190" s="32"/>
      <c r="K190" s="32"/>
      <c r="L190" s="32"/>
      <c r="M190" s="32"/>
      <c r="N190" s="32"/>
      <c r="O190" s="32"/>
      <c r="P190" s="1375"/>
    </row>
    <row r="191" spans="1:16" x14ac:dyDescent="0.2">
      <c r="A191" s="487"/>
      <c r="B191" s="32"/>
      <c r="C191" s="32"/>
      <c r="D191" s="32"/>
      <c r="E191" s="32"/>
      <c r="F191" s="32"/>
      <c r="G191" s="32"/>
      <c r="H191" s="32"/>
      <c r="I191" s="32"/>
      <c r="J191" s="32"/>
      <c r="K191" s="32"/>
      <c r="L191" s="32"/>
      <c r="M191" s="32"/>
      <c r="N191" s="32"/>
      <c r="O191" s="32"/>
      <c r="P191" s="1375"/>
    </row>
    <row r="192" spans="1:16" x14ac:dyDescent="0.2">
      <c r="A192" s="487"/>
      <c r="B192" s="32"/>
      <c r="C192" s="32"/>
      <c r="D192" s="32"/>
      <c r="E192" s="32"/>
      <c r="F192" s="32"/>
      <c r="G192" s="32"/>
      <c r="H192" s="32"/>
      <c r="I192" s="32"/>
      <c r="J192" s="32"/>
      <c r="K192" s="32"/>
      <c r="L192" s="32"/>
      <c r="M192" s="32"/>
      <c r="N192" s="32"/>
      <c r="O192" s="32"/>
      <c r="P192" s="1375"/>
    </row>
    <row r="193" spans="1:16" x14ac:dyDescent="0.2">
      <c r="A193" s="487"/>
      <c r="B193" s="32"/>
      <c r="C193" s="32"/>
      <c r="D193" s="32"/>
      <c r="E193" s="32"/>
      <c r="F193" s="32"/>
      <c r="G193" s="32"/>
      <c r="H193" s="32"/>
      <c r="I193" s="32"/>
      <c r="J193" s="32"/>
      <c r="K193" s="32"/>
      <c r="L193" s="32"/>
      <c r="M193" s="32"/>
      <c r="N193" s="32"/>
      <c r="O193" s="32"/>
      <c r="P193" s="1375"/>
    </row>
    <row r="194" spans="1:16" x14ac:dyDescent="0.2">
      <c r="A194" s="487"/>
      <c r="B194" s="32"/>
      <c r="C194" s="32"/>
      <c r="D194" s="32"/>
      <c r="E194" s="32"/>
      <c r="F194" s="32"/>
      <c r="G194" s="32"/>
      <c r="H194" s="32"/>
      <c r="I194" s="32"/>
      <c r="J194" s="32"/>
      <c r="K194" s="32"/>
      <c r="L194" s="32"/>
      <c r="M194" s="32"/>
      <c r="N194" s="32"/>
      <c r="O194" s="32"/>
      <c r="P194" s="1375"/>
    </row>
    <row r="195" spans="1:16" x14ac:dyDescent="0.2">
      <c r="A195" s="487"/>
      <c r="B195" s="32"/>
      <c r="C195" s="32"/>
      <c r="D195" s="32"/>
      <c r="E195" s="32"/>
      <c r="F195" s="32"/>
      <c r="G195" s="32"/>
      <c r="H195" s="32"/>
      <c r="I195" s="32"/>
      <c r="J195" s="32"/>
      <c r="K195" s="32"/>
      <c r="L195" s="32"/>
      <c r="M195" s="32"/>
      <c r="N195" s="32"/>
      <c r="O195" s="32"/>
      <c r="P195" s="1375"/>
    </row>
    <row r="196" spans="1:16" x14ac:dyDescent="0.2">
      <c r="A196" s="487"/>
      <c r="B196" s="32"/>
      <c r="C196" s="32"/>
      <c r="D196" s="32"/>
      <c r="E196" s="32"/>
      <c r="F196" s="32"/>
      <c r="G196" s="32"/>
      <c r="H196" s="32"/>
      <c r="I196" s="32"/>
      <c r="J196" s="32"/>
      <c r="K196" s="32"/>
      <c r="L196" s="32"/>
      <c r="M196" s="32"/>
      <c r="N196" s="32"/>
      <c r="O196" s="32"/>
      <c r="P196" s="1375"/>
    </row>
    <row r="197" spans="1:16" x14ac:dyDescent="0.2">
      <c r="A197" s="487"/>
      <c r="B197" s="32"/>
      <c r="C197" s="32"/>
      <c r="D197" s="32"/>
      <c r="E197" s="32"/>
      <c r="F197" s="32"/>
      <c r="G197" s="32"/>
      <c r="H197" s="32"/>
      <c r="I197" s="32"/>
      <c r="J197" s="32"/>
      <c r="K197" s="32"/>
      <c r="L197" s="32"/>
      <c r="M197" s="32"/>
      <c r="N197" s="32"/>
      <c r="O197" s="32"/>
      <c r="P197" s="1375"/>
    </row>
    <row r="198" spans="1:16" x14ac:dyDescent="0.2">
      <c r="A198" s="487"/>
      <c r="B198" s="32"/>
      <c r="C198" s="32"/>
      <c r="D198" s="32"/>
      <c r="E198" s="32"/>
      <c r="F198" s="32"/>
      <c r="G198" s="32"/>
      <c r="H198" s="32"/>
      <c r="I198" s="32"/>
      <c r="J198" s="32"/>
      <c r="K198" s="32"/>
      <c r="L198" s="32"/>
      <c r="M198" s="32"/>
      <c r="N198" s="32"/>
      <c r="O198" s="32"/>
      <c r="P198" s="1375"/>
    </row>
    <row r="199" spans="1:16" x14ac:dyDescent="0.2">
      <c r="A199" s="487"/>
      <c r="B199" s="32"/>
      <c r="C199" s="32"/>
      <c r="D199" s="32"/>
      <c r="E199" s="32"/>
      <c r="F199" s="32"/>
      <c r="G199" s="32"/>
      <c r="H199" s="32"/>
      <c r="I199" s="32"/>
      <c r="J199" s="32"/>
      <c r="K199" s="32"/>
      <c r="L199" s="32"/>
      <c r="M199" s="32"/>
      <c r="N199" s="32"/>
      <c r="O199" s="32"/>
      <c r="P199" s="1375"/>
    </row>
    <row r="200" spans="1:16" x14ac:dyDescent="0.2">
      <c r="A200" s="487"/>
      <c r="B200" s="32"/>
      <c r="C200" s="32"/>
      <c r="D200" s="32"/>
      <c r="E200" s="32"/>
      <c r="F200" s="32"/>
      <c r="G200" s="32"/>
      <c r="H200" s="32"/>
      <c r="I200" s="32"/>
      <c r="J200" s="32"/>
      <c r="K200" s="32"/>
      <c r="L200" s="32"/>
      <c r="M200" s="32"/>
      <c r="N200" s="32"/>
      <c r="O200" s="32"/>
      <c r="P200" s="1375"/>
    </row>
    <row r="201" spans="1:16" x14ac:dyDescent="0.2">
      <c r="A201" s="487"/>
      <c r="B201" s="32"/>
      <c r="C201" s="32"/>
      <c r="D201" s="32"/>
      <c r="E201" s="32"/>
      <c r="F201" s="32"/>
      <c r="G201" s="32"/>
      <c r="H201" s="32"/>
      <c r="I201" s="32"/>
      <c r="J201" s="32"/>
      <c r="K201" s="32"/>
      <c r="L201" s="32"/>
      <c r="M201" s="32"/>
      <c r="N201" s="32"/>
      <c r="O201" s="32"/>
      <c r="P201" s="1375"/>
    </row>
    <row r="202" spans="1:16" x14ac:dyDescent="0.2">
      <c r="A202" s="487"/>
      <c r="B202" s="32"/>
      <c r="C202" s="32"/>
      <c r="D202" s="32"/>
      <c r="E202" s="32"/>
      <c r="F202" s="32"/>
      <c r="G202" s="32"/>
      <c r="H202" s="32"/>
      <c r="I202" s="32"/>
      <c r="J202" s="32"/>
      <c r="K202" s="32"/>
      <c r="L202" s="32"/>
      <c r="M202" s="32"/>
      <c r="N202" s="32"/>
      <c r="O202" s="32"/>
      <c r="P202" s="1375"/>
    </row>
    <row r="203" spans="1:16" x14ac:dyDescent="0.2">
      <c r="A203" s="487"/>
      <c r="B203" s="32"/>
      <c r="C203" s="32"/>
      <c r="D203" s="32"/>
      <c r="E203" s="32"/>
      <c r="F203" s="32"/>
      <c r="G203" s="32"/>
      <c r="H203" s="32"/>
      <c r="I203" s="32"/>
      <c r="J203" s="32"/>
      <c r="K203" s="32"/>
      <c r="L203" s="32"/>
      <c r="M203" s="32"/>
      <c r="N203" s="32"/>
      <c r="O203" s="32"/>
      <c r="P203" s="1375"/>
    </row>
    <row r="204" spans="1:16" x14ac:dyDescent="0.2">
      <c r="A204" s="487"/>
      <c r="B204" s="32"/>
      <c r="C204" s="32"/>
      <c r="D204" s="32"/>
      <c r="E204" s="32"/>
      <c r="F204" s="32"/>
      <c r="G204" s="32"/>
      <c r="H204" s="32"/>
      <c r="I204" s="32"/>
      <c r="J204" s="32"/>
      <c r="K204" s="32"/>
      <c r="L204" s="32"/>
      <c r="M204" s="32"/>
      <c r="N204" s="32"/>
      <c r="O204" s="32"/>
      <c r="P204" s="1375"/>
    </row>
    <row r="205" spans="1:16" x14ac:dyDescent="0.2">
      <c r="A205" s="487"/>
      <c r="B205" s="32"/>
      <c r="C205" s="32"/>
      <c r="D205" s="32"/>
      <c r="E205" s="32"/>
      <c r="F205" s="32"/>
      <c r="G205" s="32"/>
      <c r="H205" s="32"/>
      <c r="I205" s="32"/>
      <c r="J205" s="32"/>
      <c r="K205" s="32"/>
      <c r="L205" s="32"/>
      <c r="M205" s="32"/>
      <c r="N205" s="32"/>
      <c r="O205" s="32"/>
      <c r="P205" s="1375"/>
    </row>
    <row r="206" spans="1:16" x14ac:dyDescent="0.2">
      <c r="A206" s="487"/>
      <c r="B206" s="32"/>
      <c r="C206" s="32"/>
      <c r="D206" s="32"/>
      <c r="E206" s="32"/>
      <c r="F206" s="32"/>
      <c r="G206" s="32"/>
      <c r="H206" s="32"/>
      <c r="I206" s="32"/>
      <c r="J206" s="32"/>
      <c r="K206" s="32"/>
      <c r="L206" s="32"/>
      <c r="M206" s="32"/>
      <c r="N206" s="32"/>
      <c r="O206" s="32"/>
      <c r="P206" s="1375"/>
    </row>
    <row r="207" spans="1:16" x14ac:dyDescent="0.2">
      <c r="A207" s="487"/>
      <c r="B207" s="32"/>
      <c r="C207" s="32"/>
      <c r="D207" s="32"/>
      <c r="E207" s="32"/>
      <c r="F207" s="32"/>
      <c r="G207" s="32"/>
      <c r="H207" s="32"/>
      <c r="I207" s="32"/>
      <c r="J207" s="32"/>
      <c r="K207" s="32"/>
      <c r="L207" s="32"/>
      <c r="M207" s="32"/>
      <c r="N207" s="32"/>
      <c r="O207" s="32"/>
      <c r="P207" s="1375"/>
    </row>
    <row r="208" spans="1:16" x14ac:dyDescent="0.2">
      <c r="A208" s="487"/>
      <c r="B208" s="32"/>
      <c r="C208" s="32"/>
      <c r="D208" s="32"/>
      <c r="E208" s="32"/>
      <c r="F208" s="32"/>
      <c r="G208" s="32"/>
      <c r="H208" s="32"/>
      <c r="I208" s="32"/>
      <c r="J208" s="32"/>
      <c r="K208" s="32"/>
      <c r="L208" s="32"/>
      <c r="M208" s="32"/>
      <c r="N208" s="32"/>
      <c r="O208" s="32"/>
      <c r="P208" s="1375"/>
    </row>
    <row r="209" spans="1:16" x14ac:dyDescent="0.2">
      <c r="A209" s="487"/>
      <c r="B209" s="32"/>
      <c r="C209" s="32"/>
      <c r="D209" s="32"/>
      <c r="E209" s="32"/>
      <c r="F209" s="32"/>
      <c r="G209" s="32"/>
      <c r="H209" s="32"/>
      <c r="I209" s="32"/>
      <c r="J209" s="32"/>
      <c r="K209" s="32"/>
      <c r="L209" s="32"/>
      <c r="M209" s="32"/>
      <c r="N209" s="32"/>
      <c r="O209" s="32"/>
      <c r="P209" s="1375"/>
    </row>
    <row r="210" spans="1:16" x14ac:dyDescent="0.2">
      <c r="A210" s="487"/>
      <c r="B210" s="32"/>
      <c r="C210" s="32"/>
      <c r="D210" s="32"/>
      <c r="E210" s="32"/>
      <c r="F210" s="32"/>
      <c r="G210" s="32"/>
      <c r="H210" s="32"/>
      <c r="I210" s="32"/>
      <c r="J210" s="32"/>
      <c r="K210" s="32"/>
      <c r="L210" s="32"/>
      <c r="M210" s="32"/>
      <c r="N210" s="32"/>
      <c r="O210" s="32"/>
      <c r="P210" s="1375"/>
    </row>
    <row r="211" spans="1:16" x14ac:dyDescent="0.2">
      <c r="A211" s="487"/>
      <c r="B211" s="32"/>
      <c r="C211" s="32"/>
      <c r="D211" s="32"/>
      <c r="E211" s="32"/>
      <c r="F211" s="32"/>
      <c r="G211" s="32"/>
      <c r="H211" s="32"/>
      <c r="I211" s="32"/>
      <c r="J211" s="32"/>
      <c r="K211" s="32"/>
      <c r="L211" s="32"/>
      <c r="M211" s="32"/>
      <c r="N211" s="32"/>
      <c r="O211" s="32"/>
      <c r="P211" s="1375"/>
    </row>
    <row r="212" spans="1:16" x14ac:dyDescent="0.2">
      <c r="A212" s="487"/>
      <c r="B212" s="32"/>
      <c r="C212" s="32"/>
      <c r="D212" s="32"/>
      <c r="E212" s="32"/>
      <c r="F212" s="32"/>
      <c r="G212" s="32"/>
      <c r="H212" s="32"/>
      <c r="I212" s="32"/>
      <c r="J212" s="32"/>
      <c r="K212" s="32"/>
      <c r="L212" s="32"/>
      <c r="M212" s="32"/>
      <c r="N212" s="32"/>
      <c r="O212" s="32"/>
      <c r="P212" s="1375"/>
    </row>
    <row r="213" spans="1:16" x14ac:dyDescent="0.2">
      <c r="A213" s="487"/>
      <c r="B213" s="32"/>
      <c r="C213" s="32"/>
      <c r="D213" s="32"/>
      <c r="E213" s="32"/>
      <c r="F213" s="32"/>
      <c r="G213" s="32"/>
      <c r="H213" s="32"/>
      <c r="I213" s="32"/>
      <c r="J213" s="32"/>
      <c r="K213" s="32"/>
      <c r="L213" s="32"/>
      <c r="M213" s="32"/>
      <c r="N213" s="32"/>
      <c r="O213" s="32"/>
      <c r="P213" s="1375"/>
    </row>
    <row r="214" spans="1:16" x14ac:dyDescent="0.2">
      <c r="A214" s="487"/>
      <c r="B214" s="32"/>
      <c r="C214" s="32"/>
      <c r="D214" s="32"/>
      <c r="E214" s="32"/>
      <c r="F214" s="32"/>
      <c r="G214" s="32"/>
      <c r="H214" s="32"/>
      <c r="I214" s="32"/>
      <c r="J214" s="32"/>
      <c r="K214" s="32"/>
      <c r="L214" s="32"/>
      <c r="M214" s="32"/>
      <c r="N214" s="32"/>
      <c r="O214" s="32"/>
      <c r="P214" s="1375"/>
    </row>
    <row r="215" spans="1:16" x14ac:dyDescent="0.2">
      <c r="A215" s="487"/>
      <c r="B215" s="32"/>
      <c r="C215" s="32"/>
      <c r="D215" s="32"/>
      <c r="E215" s="32"/>
      <c r="F215" s="32"/>
      <c r="G215" s="32"/>
      <c r="H215" s="32"/>
      <c r="I215" s="32"/>
      <c r="J215" s="32"/>
      <c r="K215" s="32"/>
      <c r="L215" s="32"/>
      <c r="M215" s="32"/>
      <c r="N215" s="32"/>
      <c r="O215" s="32"/>
      <c r="P215" s="1375"/>
    </row>
    <row r="216" spans="1:16" x14ac:dyDescent="0.2">
      <c r="A216" s="487"/>
      <c r="B216" s="32"/>
      <c r="C216" s="32"/>
      <c r="D216" s="32"/>
      <c r="E216" s="32"/>
      <c r="F216" s="32"/>
      <c r="G216" s="32"/>
      <c r="H216" s="32"/>
      <c r="I216" s="32"/>
      <c r="J216" s="32"/>
      <c r="K216" s="32"/>
      <c r="L216" s="32"/>
      <c r="M216" s="32"/>
      <c r="N216" s="32"/>
      <c r="O216" s="32"/>
      <c r="P216" s="1375"/>
    </row>
    <row r="217" spans="1:16" x14ac:dyDescent="0.2">
      <c r="A217" s="487"/>
      <c r="B217" s="32"/>
      <c r="C217" s="32"/>
      <c r="D217" s="32"/>
      <c r="E217" s="32"/>
      <c r="F217" s="32"/>
      <c r="G217" s="32"/>
      <c r="H217" s="32"/>
      <c r="I217" s="32"/>
      <c r="J217" s="32"/>
      <c r="K217" s="32"/>
      <c r="L217" s="32"/>
      <c r="M217" s="32"/>
      <c r="N217" s="32"/>
      <c r="O217" s="32"/>
      <c r="P217" s="1375"/>
    </row>
    <row r="218" spans="1:16" x14ac:dyDescent="0.2">
      <c r="A218" s="487"/>
      <c r="B218" s="32"/>
      <c r="C218" s="32"/>
      <c r="D218" s="32"/>
      <c r="E218" s="32"/>
      <c r="F218" s="32"/>
      <c r="G218" s="32"/>
      <c r="H218" s="32"/>
      <c r="I218" s="32"/>
      <c r="J218" s="32"/>
      <c r="K218" s="32"/>
      <c r="L218" s="32"/>
      <c r="M218" s="32"/>
      <c r="N218" s="32"/>
      <c r="O218" s="32"/>
      <c r="P218" s="1375"/>
    </row>
    <row r="219" spans="1:16" x14ac:dyDescent="0.2">
      <c r="A219" s="487"/>
      <c r="B219" s="32"/>
      <c r="C219" s="32"/>
      <c r="D219" s="32"/>
      <c r="E219" s="32"/>
      <c r="F219" s="32"/>
      <c r="G219" s="32"/>
      <c r="H219" s="32"/>
      <c r="I219" s="32"/>
      <c r="J219" s="32"/>
      <c r="K219" s="32"/>
      <c r="L219" s="32"/>
      <c r="M219" s="32"/>
      <c r="N219" s="32"/>
      <c r="O219" s="32"/>
      <c r="P219" s="1375"/>
    </row>
    <row r="220" spans="1:16" x14ac:dyDescent="0.2">
      <c r="A220" s="487"/>
      <c r="B220" s="32"/>
      <c r="C220" s="32"/>
      <c r="D220" s="32"/>
      <c r="E220" s="32"/>
      <c r="F220" s="32"/>
      <c r="G220" s="32"/>
      <c r="H220" s="32"/>
      <c r="I220" s="32"/>
      <c r="J220" s="32"/>
      <c r="K220" s="32"/>
      <c r="L220" s="32"/>
      <c r="M220" s="32"/>
      <c r="N220" s="32"/>
      <c r="O220" s="32"/>
      <c r="P220" s="1375"/>
    </row>
    <row r="221" spans="1:16" x14ac:dyDescent="0.2">
      <c r="A221" s="487"/>
      <c r="B221" s="32"/>
      <c r="C221" s="32"/>
      <c r="D221" s="32"/>
      <c r="E221" s="32"/>
      <c r="F221" s="32"/>
      <c r="G221" s="32"/>
      <c r="H221" s="32"/>
      <c r="I221" s="32"/>
      <c r="J221" s="32"/>
      <c r="K221" s="32"/>
      <c r="L221" s="32"/>
      <c r="M221" s="32"/>
      <c r="N221" s="32"/>
      <c r="O221" s="32"/>
      <c r="P221" s="1375"/>
    </row>
    <row r="222" spans="1:16" x14ac:dyDescent="0.2">
      <c r="A222" s="487"/>
      <c r="B222" s="32"/>
      <c r="C222" s="32"/>
      <c r="D222" s="32"/>
      <c r="E222" s="32"/>
      <c r="F222" s="32"/>
      <c r="G222" s="32"/>
      <c r="H222" s="32"/>
      <c r="I222" s="32"/>
      <c r="J222" s="32"/>
      <c r="K222" s="32"/>
      <c r="L222" s="32"/>
      <c r="M222" s="32"/>
      <c r="N222" s="32"/>
      <c r="O222" s="32"/>
      <c r="P222" s="1375"/>
    </row>
    <row r="223" spans="1:16" x14ac:dyDescent="0.2">
      <c r="A223" s="487"/>
      <c r="B223" s="32"/>
      <c r="C223" s="32"/>
      <c r="D223" s="32"/>
      <c r="E223" s="32"/>
      <c r="F223" s="32"/>
      <c r="G223" s="32"/>
      <c r="H223" s="32"/>
      <c r="I223" s="32"/>
      <c r="J223" s="32"/>
      <c r="K223" s="32"/>
      <c r="L223" s="32"/>
      <c r="M223" s="32"/>
      <c r="N223" s="32"/>
      <c r="O223" s="32"/>
      <c r="P223" s="1375"/>
    </row>
    <row r="224" spans="1:16" x14ac:dyDescent="0.2">
      <c r="A224" s="487"/>
      <c r="B224" s="32"/>
      <c r="C224" s="32"/>
      <c r="D224" s="32"/>
      <c r="E224" s="32"/>
      <c r="F224" s="32"/>
      <c r="G224" s="32"/>
      <c r="H224" s="32"/>
      <c r="I224" s="32"/>
      <c r="J224" s="32"/>
      <c r="K224" s="32"/>
      <c r="L224" s="32"/>
      <c r="M224" s="32"/>
      <c r="N224" s="32"/>
      <c r="O224" s="32"/>
      <c r="P224" s="1375"/>
    </row>
    <row r="225" spans="1:16" x14ac:dyDescent="0.2">
      <c r="A225" s="487"/>
      <c r="B225" s="32"/>
      <c r="C225" s="32"/>
      <c r="D225" s="32"/>
      <c r="E225" s="32"/>
      <c r="F225" s="32"/>
      <c r="G225" s="32"/>
      <c r="H225" s="32"/>
      <c r="I225" s="32"/>
      <c r="J225" s="32"/>
      <c r="K225" s="32"/>
      <c r="L225" s="32"/>
      <c r="M225" s="32"/>
      <c r="N225" s="32"/>
      <c r="O225" s="32"/>
      <c r="P225" s="1375"/>
    </row>
    <row r="226" spans="1:16" x14ac:dyDescent="0.2">
      <c r="A226" s="487"/>
      <c r="B226" s="32"/>
      <c r="C226" s="32"/>
      <c r="D226" s="32"/>
      <c r="E226" s="32"/>
      <c r="F226" s="32"/>
      <c r="G226" s="32"/>
      <c r="H226" s="32"/>
      <c r="I226" s="32"/>
      <c r="J226" s="32"/>
      <c r="K226" s="32"/>
      <c r="L226" s="32"/>
      <c r="M226" s="32"/>
      <c r="N226" s="32"/>
      <c r="O226" s="32"/>
      <c r="P226" s="1375"/>
    </row>
    <row r="227" spans="1:16" x14ac:dyDescent="0.2">
      <c r="A227" s="487"/>
      <c r="B227" s="32"/>
      <c r="C227" s="32"/>
      <c r="D227" s="32"/>
      <c r="E227" s="32"/>
      <c r="F227" s="32"/>
      <c r="G227" s="32"/>
      <c r="H227" s="32"/>
      <c r="I227" s="32"/>
      <c r="J227" s="32"/>
      <c r="K227" s="32"/>
      <c r="L227" s="32"/>
      <c r="M227" s="32"/>
      <c r="N227" s="32"/>
      <c r="O227" s="32"/>
      <c r="P227" s="1375"/>
    </row>
    <row r="228" spans="1:16" x14ac:dyDescent="0.2">
      <c r="A228" s="487"/>
      <c r="B228" s="32"/>
      <c r="C228" s="32"/>
      <c r="D228" s="32"/>
      <c r="E228" s="32"/>
      <c r="F228" s="32"/>
      <c r="G228" s="32"/>
      <c r="H228" s="32"/>
      <c r="I228" s="32"/>
      <c r="J228" s="32"/>
      <c r="K228" s="32"/>
      <c r="L228" s="32"/>
      <c r="M228" s="32"/>
      <c r="N228" s="32"/>
      <c r="O228" s="32"/>
      <c r="P228" s="1375"/>
    </row>
    <row r="229" spans="1:16" x14ac:dyDescent="0.2">
      <c r="A229" s="487"/>
      <c r="B229" s="32"/>
      <c r="C229" s="32"/>
      <c r="D229" s="32"/>
      <c r="E229" s="32"/>
      <c r="F229" s="32"/>
      <c r="G229" s="32"/>
      <c r="H229" s="32"/>
      <c r="I229" s="32"/>
      <c r="J229" s="32"/>
      <c r="K229" s="32"/>
      <c r="L229" s="32"/>
      <c r="M229" s="32"/>
      <c r="N229" s="32"/>
      <c r="O229" s="32"/>
      <c r="P229" s="1375"/>
    </row>
    <row r="230" spans="1:16" x14ac:dyDescent="0.2">
      <c r="A230" s="487"/>
      <c r="B230" s="32"/>
      <c r="C230" s="32"/>
      <c r="D230" s="32"/>
      <c r="E230" s="32"/>
      <c r="F230" s="32"/>
      <c r="G230" s="32"/>
      <c r="H230" s="32"/>
      <c r="I230" s="32"/>
      <c r="J230" s="32"/>
      <c r="K230" s="32"/>
      <c r="L230" s="32"/>
      <c r="M230" s="32"/>
      <c r="N230" s="32"/>
      <c r="O230" s="32"/>
      <c r="P230" s="1375"/>
    </row>
    <row r="231" spans="1:16" x14ac:dyDescent="0.2">
      <c r="A231" s="487"/>
      <c r="B231" s="32"/>
      <c r="C231" s="32"/>
      <c r="D231" s="32"/>
      <c r="E231" s="32"/>
      <c r="F231" s="32"/>
      <c r="G231" s="32"/>
      <c r="H231" s="32"/>
      <c r="I231" s="32"/>
      <c r="J231" s="32"/>
      <c r="K231" s="32"/>
      <c r="L231" s="32"/>
      <c r="M231" s="32"/>
      <c r="N231" s="32"/>
      <c r="O231" s="32"/>
      <c r="P231" s="1375"/>
    </row>
    <row r="232" spans="1:16" x14ac:dyDescent="0.2">
      <c r="A232" s="487"/>
      <c r="B232" s="32"/>
      <c r="C232" s="32"/>
      <c r="D232" s="32"/>
      <c r="E232" s="32"/>
      <c r="F232" s="32"/>
      <c r="G232" s="32"/>
      <c r="H232" s="32"/>
      <c r="I232" s="32"/>
      <c r="J232" s="32"/>
      <c r="K232" s="32"/>
      <c r="L232" s="32"/>
      <c r="M232" s="32"/>
      <c r="N232" s="32"/>
      <c r="O232" s="32"/>
      <c r="P232" s="1375"/>
    </row>
    <row r="233" spans="1:16" x14ac:dyDescent="0.2">
      <c r="A233" s="487"/>
      <c r="B233" s="32"/>
      <c r="C233" s="32"/>
      <c r="D233" s="32"/>
      <c r="E233" s="32"/>
      <c r="F233" s="32"/>
      <c r="G233" s="32"/>
      <c r="H233" s="32"/>
      <c r="I233" s="32"/>
      <c r="J233" s="32"/>
      <c r="K233" s="32"/>
      <c r="L233" s="32"/>
      <c r="M233" s="32"/>
      <c r="N233" s="32"/>
      <c r="O233" s="32"/>
      <c r="P233" s="1375"/>
    </row>
    <row r="234" spans="1:16" x14ac:dyDescent="0.2">
      <c r="A234" s="487"/>
      <c r="B234" s="32"/>
      <c r="C234" s="32"/>
      <c r="D234" s="32"/>
      <c r="E234" s="32"/>
      <c r="F234" s="32"/>
      <c r="G234" s="32"/>
      <c r="H234" s="32"/>
      <c r="I234" s="32"/>
      <c r="J234" s="32"/>
      <c r="K234" s="32"/>
      <c r="L234" s="32"/>
      <c r="M234" s="32"/>
      <c r="N234" s="32"/>
      <c r="O234" s="32"/>
      <c r="P234" s="1375"/>
    </row>
    <row r="235" spans="1:16" x14ac:dyDescent="0.2">
      <c r="A235" s="487"/>
      <c r="B235" s="32"/>
      <c r="C235" s="32"/>
      <c r="D235" s="32"/>
      <c r="E235" s="32"/>
      <c r="F235" s="32"/>
      <c r="G235" s="32"/>
      <c r="H235" s="32"/>
      <c r="I235" s="32"/>
      <c r="J235" s="32"/>
      <c r="K235" s="32"/>
      <c r="L235" s="32"/>
      <c r="M235" s="32"/>
      <c r="N235" s="32"/>
      <c r="O235" s="32"/>
      <c r="P235" s="1375"/>
    </row>
    <row r="236" spans="1:16" x14ac:dyDescent="0.2">
      <c r="A236" s="487"/>
      <c r="B236" s="32"/>
      <c r="C236" s="32"/>
      <c r="D236" s="32"/>
      <c r="E236" s="32"/>
      <c r="F236" s="32"/>
      <c r="G236" s="32"/>
      <c r="H236" s="32"/>
      <c r="I236" s="32"/>
      <c r="J236" s="32"/>
      <c r="K236" s="32"/>
      <c r="L236" s="32"/>
      <c r="M236" s="32"/>
      <c r="N236" s="32"/>
      <c r="O236" s="32"/>
      <c r="P236" s="1375"/>
    </row>
    <row r="237" spans="1:16" x14ac:dyDescent="0.2">
      <c r="A237" s="487"/>
      <c r="B237" s="32"/>
      <c r="C237" s="32"/>
      <c r="D237" s="32"/>
      <c r="E237" s="32"/>
      <c r="F237" s="32"/>
      <c r="G237" s="32"/>
      <c r="H237" s="32"/>
      <c r="I237" s="32"/>
      <c r="J237" s="32"/>
      <c r="K237" s="32"/>
      <c r="L237" s="32"/>
      <c r="M237" s="32"/>
      <c r="N237" s="32"/>
      <c r="O237" s="32"/>
      <c r="P237" s="1375"/>
    </row>
    <row r="238" spans="1:16" x14ac:dyDescent="0.2">
      <c r="A238" s="487"/>
      <c r="B238" s="32"/>
      <c r="C238" s="32"/>
      <c r="D238" s="32"/>
      <c r="E238" s="32"/>
      <c r="F238" s="32"/>
      <c r="G238" s="32"/>
      <c r="H238" s="32"/>
      <c r="I238" s="32"/>
      <c r="J238" s="32"/>
      <c r="K238" s="32"/>
      <c r="L238" s="32"/>
      <c r="M238" s="32"/>
      <c r="N238" s="32"/>
      <c r="O238" s="32"/>
      <c r="P238" s="1375"/>
    </row>
    <row r="239" spans="1:16" x14ac:dyDescent="0.2">
      <c r="A239" s="487"/>
      <c r="B239" s="32"/>
      <c r="C239" s="32"/>
      <c r="D239" s="32"/>
      <c r="E239" s="32"/>
      <c r="F239" s="32"/>
      <c r="G239" s="32"/>
      <c r="H239" s="32"/>
      <c r="I239" s="32"/>
      <c r="J239" s="32"/>
      <c r="K239" s="32"/>
      <c r="L239" s="32"/>
      <c r="M239" s="32"/>
      <c r="N239" s="32"/>
      <c r="O239" s="32"/>
      <c r="P239" s="1375"/>
    </row>
    <row r="240" spans="1:16" x14ac:dyDescent="0.2">
      <c r="A240" s="487"/>
      <c r="B240" s="32"/>
      <c r="C240" s="32"/>
      <c r="D240" s="32"/>
      <c r="E240" s="32"/>
      <c r="F240" s="32"/>
      <c r="G240" s="32"/>
      <c r="H240" s="32"/>
      <c r="I240" s="32"/>
      <c r="J240" s="32"/>
      <c r="K240" s="32"/>
      <c r="L240" s="32"/>
      <c r="M240" s="32"/>
      <c r="N240" s="32"/>
      <c r="O240" s="32"/>
      <c r="P240" s="1375"/>
    </row>
    <row r="241" spans="1:16" x14ac:dyDescent="0.2">
      <c r="A241" s="487"/>
      <c r="B241" s="32"/>
      <c r="C241" s="32"/>
      <c r="D241" s="32"/>
      <c r="E241" s="32"/>
      <c r="F241" s="32"/>
      <c r="G241" s="32"/>
      <c r="H241" s="32"/>
      <c r="I241" s="32"/>
      <c r="J241" s="32"/>
      <c r="K241" s="32"/>
      <c r="L241" s="32"/>
      <c r="M241" s="32"/>
      <c r="N241" s="32"/>
      <c r="O241" s="32"/>
      <c r="P241" s="1375"/>
    </row>
    <row r="242" spans="1:16" x14ac:dyDescent="0.2">
      <c r="A242" s="487"/>
      <c r="B242" s="32"/>
      <c r="C242" s="32"/>
      <c r="D242" s="32"/>
      <c r="E242" s="32"/>
      <c r="F242" s="32"/>
      <c r="G242" s="32"/>
      <c r="H242" s="32"/>
      <c r="I242" s="32"/>
      <c r="J242" s="32"/>
      <c r="K242" s="32"/>
      <c r="L242" s="32"/>
      <c r="M242" s="32"/>
      <c r="N242" s="32"/>
      <c r="O242" s="32"/>
      <c r="P242" s="1375"/>
    </row>
    <row r="243" spans="1:16" x14ac:dyDescent="0.2">
      <c r="A243" s="487"/>
      <c r="B243" s="32"/>
      <c r="C243" s="32"/>
      <c r="D243" s="32"/>
      <c r="E243" s="32"/>
      <c r="F243" s="32"/>
      <c r="G243" s="32"/>
      <c r="H243" s="32"/>
      <c r="I243" s="32"/>
      <c r="J243" s="32"/>
      <c r="K243" s="32"/>
      <c r="L243" s="32"/>
      <c r="M243" s="32"/>
      <c r="N243" s="32"/>
      <c r="O243" s="32"/>
      <c r="P243" s="1375"/>
    </row>
    <row r="244" spans="1:16" x14ac:dyDescent="0.2">
      <c r="A244" s="487"/>
      <c r="B244" s="32"/>
      <c r="C244" s="32"/>
      <c r="D244" s="32"/>
      <c r="E244" s="32"/>
      <c r="F244" s="32"/>
      <c r="G244" s="32"/>
      <c r="H244" s="32"/>
      <c r="I244" s="32"/>
      <c r="J244" s="32"/>
      <c r="K244" s="32"/>
      <c r="L244" s="32"/>
      <c r="M244" s="32"/>
      <c r="N244" s="32"/>
      <c r="O244" s="32"/>
      <c r="P244" s="1375"/>
    </row>
    <row r="245" spans="1:16" x14ac:dyDescent="0.2">
      <c r="A245" s="487"/>
      <c r="B245" s="32"/>
      <c r="C245" s="32"/>
      <c r="D245" s="32"/>
      <c r="E245" s="32"/>
      <c r="F245" s="32"/>
      <c r="G245" s="32"/>
      <c r="H245" s="32"/>
      <c r="I245" s="32"/>
      <c r="J245" s="32"/>
      <c r="K245" s="32"/>
      <c r="L245" s="32"/>
      <c r="M245" s="32"/>
      <c r="N245" s="32"/>
      <c r="O245" s="32"/>
      <c r="P245" s="1375"/>
    </row>
    <row r="246" spans="1:16" x14ac:dyDescent="0.2">
      <c r="A246" s="487"/>
      <c r="B246" s="32"/>
      <c r="C246" s="32"/>
      <c r="D246" s="32"/>
      <c r="E246" s="32"/>
      <c r="F246" s="32"/>
      <c r="G246" s="32"/>
      <c r="H246" s="32"/>
      <c r="I246" s="32"/>
      <c r="J246" s="32"/>
      <c r="K246" s="32"/>
      <c r="L246" s="32"/>
      <c r="M246" s="32"/>
      <c r="N246" s="32"/>
      <c r="O246" s="32"/>
      <c r="P246" s="1375"/>
    </row>
    <row r="247" spans="1:16" x14ac:dyDescent="0.2">
      <c r="A247" s="487"/>
      <c r="B247" s="32"/>
      <c r="C247" s="32"/>
      <c r="D247" s="32"/>
      <c r="E247" s="32"/>
      <c r="F247" s="32"/>
      <c r="G247" s="32"/>
      <c r="H247" s="32"/>
      <c r="I247" s="32"/>
      <c r="J247" s="32"/>
      <c r="K247" s="32"/>
      <c r="L247" s="32"/>
      <c r="M247" s="32"/>
      <c r="N247" s="32"/>
      <c r="O247" s="32"/>
      <c r="P247" s="1375"/>
    </row>
    <row r="248" spans="1:16" x14ac:dyDescent="0.2">
      <c r="A248" s="487"/>
      <c r="B248" s="32"/>
      <c r="C248" s="32"/>
      <c r="D248" s="32"/>
      <c r="E248" s="32"/>
      <c r="F248" s="32"/>
      <c r="G248" s="32"/>
      <c r="H248" s="32"/>
      <c r="I248" s="32"/>
      <c r="J248" s="32"/>
      <c r="K248" s="32"/>
      <c r="L248" s="32"/>
      <c r="M248" s="32"/>
      <c r="N248" s="32"/>
      <c r="O248" s="32"/>
      <c r="P248" s="1375"/>
    </row>
    <row r="249" spans="1:16" x14ac:dyDescent="0.2">
      <c r="A249" s="487"/>
      <c r="B249" s="32"/>
      <c r="C249" s="32"/>
      <c r="D249" s="32"/>
      <c r="E249" s="32"/>
      <c r="F249" s="32"/>
      <c r="G249" s="32"/>
      <c r="H249" s="32"/>
      <c r="I249" s="32"/>
      <c r="J249" s="32"/>
      <c r="K249" s="32"/>
      <c r="L249" s="32"/>
      <c r="M249" s="32"/>
      <c r="N249" s="32"/>
      <c r="O249" s="32"/>
      <c r="P249" s="1375"/>
    </row>
    <row r="250" spans="1:16" x14ac:dyDescent="0.2">
      <c r="A250" s="487"/>
      <c r="B250" s="32"/>
      <c r="C250" s="32"/>
      <c r="D250" s="32"/>
      <c r="E250" s="32"/>
      <c r="F250" s="32"/>
      <c r="G250" s="32"/>
      <c r="H250" s="32"/>
      <c r="I250" s="32"/>
      <c r="J250" s="32"/>
      <c r="K250" s="32"/>
      <c r="L250" s="32"/>
      <c r="M250" s="32"/>
      <c r="N250" s="32"/>
      <c r="O250" s="32"/>
      <c r="P250" s="1375"/>
    </row>
    <row r="251" spans="1:16" x14ac:dyDescent="0.2">
      <c r="A251" s="487"/>
      <c r="B251" s="32"/>
      <c r="C251" s="32"/>
      <c r="D251" s="32"/>
      <c r="E251" s="32"/>
      <c r="F251" s="32"/>
      <c r="G251" s="32"/>
      <c r="H251" s="32"/>
      <c r="I251" s="32"/>
      <c r="J251" s="32"/>
      <c r="K251" s="32"/>
      <c r="L251" s="32"/>
      <c r="M251" s="32"/>
      <c r="N251" s="32"/>
      <c r="O251" s="32"/>
      <c r="P251" s="1375"/>
    </row>
    <row r="252" spans="1:16" x14ac:dyDescent="0.2">
      <c r="A252" s="487"/>
      <c r="B252" s="32"/>
      <c r="C252" s="32"/>
      <c r="D252" s="32"/>
      <c r="E252" s="32"/>
      <c r="F252" s="32"/>
      <c r="G252" s="32"/>
      <c r="H252" s="32"/>
      <c r="I252" s="32"/>
      <c r="J252" s="32"/>
      <c r="K252" s="32"/>
      <c r="L252" s="32"/>
      <c r="M252" s="32"/>
      <c r="N252" s="32"/>
      <c r="O252" s="32"/>
      <c r="P252" s="1375"/>
    </row>
    <row r="253" spans="1:16" x14ac:dyDescent="0.2">
      <c r="A253" s="487"/>
      <c r="B253" s="32"/>
      <c r="C253" s="32"/>
      <c r="D253" s="32"/>
      <c r="E253" s="32"/>
      <c r="F253" s="32"/>
      <c r="G253" s="32"/>
      <c r="H253" s="32"/>
      <c r="I253" s="32"/>
      <c r="J253" s="32"/>
      <c r="K253" s="32"/>
      <c r="L253" s="32"/>
      <c r="M253" s="32"/>
      <c r="N253" s="32"/>
      <c r="O253" s="32"/>
      <c r="P253" s="1375"/>
    </row>
    <row r="254" spans="1:16" x14ac:dyDescent="0.2">
      <c r="A254" s="487"/>
      <c r="B254" s="32"/>
      <c r="C254" s="32"/>
      <c r="D254" s="32"/>
      <c r="E254" s="32"/>
      <c r="F254" s="32"/>
      <c r="G254" s="32"/>
      <c r="H254" s="32"/>
      <c r="I254" s="32"/>
      <c r="J254" s="32"/>
      <c r="K254" s="32"/>
      <c r="L254" s="32"/>
      <c r="M254" s="32"/>
      <c r="N254" s="32"/>
      <c r="O254" s="32"/>
      <c r="P254" s="1375"/>
    </row>
    <row r="255" spans="1:16" x14ac:dyDescent="0.2">
      <c r="A255" s="487"/>
      <c r="B255" s="32"/>
      <c r="C255" s="32"/>
      <c r="D255" s="32"/>
      <c r="E255" s="32"/>
      <c r="F255" s="32"/>
      <c r="G255" s="32"/>
      <c r="H255" s="32"/>
      <c r="I255" s="32"/>
      <c r="J255" s="32"/>
      <c r="K255" s="32"/>
      <c r="L255" s="32"/>
      <c r="M255" s="32"/>
      <c r="N255" s="32"/>
      <c r="O255" s="32"/>
      <c r="P255" s="1375"/>
    </row>
    <row r="256" spans="1:16" x14ac:dyDescent="0.2">
      <c r="A256" s="487"/>
      <c r="B256" s="32"/>
      <c r="C256" s="32"/>
      <c r="D256" s="32"/>
      <c r="E256" s="32"/>
      <c r="F256" s="32"/>
      <c r="G256" s="32"/>
      <c r="H256" s="32"/>
      <c r="I256" s="32"/>
      <c r="J256" s="32"/>
      <c r="K256" s="32"/>
      <c r="L256" s="32"/>
      <c r="M256" s="32"/>
      <c r="N256" s="32"/>
      <c r="O256" s="32"/>
      <c r="P256" s="1375"/>
    </row>
    <row r="257" spans="1:16" x14ac:dyDescent="0.2">
      <c r="A257" s="487"/>
      <c r="B257" s="32"/>
      <c r="C257" s="32"/>
      <c r="D257" s="32"/>
      <c r="E257" s="32"/>
      <c r="F257" s="32"/>
      <c r="G257" s="32"/>
      <c r="H257" s="32"/>
      <c r="I257" s="32"/>
      <c r="J257" s="32"/>
      <c r="K257" s="32"/>
      <c r="L257" s="32"/>
      <c r="M257" s="32"/>
      <c r="N257" s="32"/>
      <c r="O257" s="32"/>
      <c r="P257" s="1375"/>
    </row>
    <row r="258" spans="1:16" x14ac:dyDescent="0.2">
      <c r="A258" s="487"/>
      <c r="B258" s="32"/>
      <c r="C258" s="32"/>
      <c r="D258" s="32"/>
      <c r="E258" s="32"/>
      <c r="F258" s="32"/>
      <c r="G258" s="32"/>
      <c r="H258" s="32"/>
      <c r="I258" s="32"/>
      <c r="J258" s="32"/>
      <c r="K258" s="32"/>
      <c r="L258" s="32"/>
      <c r="M258" s="32"/>
      <c r="N258" s="32"/>
      <c r="O258" s="32"/>
      <c r="P258" s="1375"/>
    </row>
    <row r="259" spans="1:16" x14ac:dyDescent="0.2">
      <c r="A259" s="487"/>
      <c r="B259" s="32"/>
      <c r="C259" s="32"/>
      <c r="D259" s="32"/>
      <c r="E259" s="32"/>
      <c r="F259" s="32"/>
      <c r="G259" s="32"/>
      <c r="H259" s="32"/>
      <c r="I259" s="32"/>
      <c r="J259" s="32"/>
      <c r="K259" s="32"/>
      <c r="L259" s="32"/>
      <c r="M259" s="32"/>
      <c r="N259" s="32"/>
      <c r="O259" s="32"/>
      <c r="P259" s="1375"/>
    </row>
    <row r="260" spans="1:16" x14ac:dyDescent="0.2">
      <c r="A260" s="487"/>
      <c r="B260" s="32"/>
      <c r="C260" s="32"/>
      <c r="D260" s="32"/>
      <c r="E260" s="32"/>
      <c r="F260" s="32"/>
      <c r="G260" s="32"/>
      <c r="H260" s="32"/>
      <c r="I260" s="32"/>
      <c r="J260" s="32"/>
      <c r="K260" s="32"/>
      <c r="L260" s="32"/>
      <c r="M260" s="32"/>
      <c r="N260" s="32"/>
      <c r="O260" s="32"/>
      <c r="P260" s="1375"/>
    </row>
    <row r="261" spans="1:16" x14ac:dyDescent="0.2">
      <c r="A261" s="487"/>
      <c r="B261" s="32"/>
      <c r="C261" s="32"/>
      <c r="D261" s="32"/>
      <c r="E261" s="32"/>
      <c r="F261" s="32"/>
      <c r="G261" s="32"/>
      <c r="H261" s="32"/>
      <c r="I261" s="32"/>
      <c r="J261" s="32"/>
      <c r="K261" s="32"/>
      <c r="L261" s="32"/>
      <c r="M261" s="32"/>
      <c r="N261" s="32"/>
      <c r="O261" s="32"/>
      <c r="P261" s="1375"/>
    </row>
    <row r="262" spans="1:16" x14ac:dyDescent="0.2">
      <c r="A262" s="487"/>
      <c r="B262" s="32"/>
      <c r="C262" s="32"/>
      <c r="D262" s="32"/>
      <c r="E262" s="32"/>
      <c r="F262" s="32"/>
      <c r="G262" s="32"/>
      <c r="H262" s="32"/>
      <c r="I262" s="32"/>
      <c r="J262" s="32"/>
      <c r="K262" s="32"/>
      <c r="L262" s="32"/>
      <c r="M262" s="32"/>
      <c r="N262" s="32"/>
      <c r="O262" s="32"/>
      <c r="P262" s="1375"/>
    </row>
    <row r="263" spans="1:16" x14ac:dyDescent="0.2">
      <c r="A263" s="487"/>
      <c r="B263" s="32"/>
      <c r="C263" s="32"/>
      <c r="D263" s="32"/>
      <c r="E263" s="32"/>
      <c r="F263" s="32"/>
      <c r="G263" s="32"/>
      <c r="H263" s="32"/>
      <c r="I263" s="32"/>
      <c r="J263" s="32"/>
      <c r="K263" s="32"/>
      <c r="L263" s="32"/>
      <c r="M263" s="32"/>
      <c r="N263" s="32"/>
      <c r="O263" s="32"/>
      <c r="P263" s="1375"/>
    </row>
    <row r="264" spans="1:16" x14ac:dyDescent="0.2">
      <c r="A264" s="487"/>
      <c r="B264" s="32"/>
      <c r="C264" s="32"/>
      <c r="D264" s="32"/>
      <c r="E264" s="32"/>
      <c r="F264" s="32"/>
      <c r="G264" s="32"/>
      <c r="H264" s="32"/>
      <c r="I264" s="32"/>
      <c r="J264" s="32"/>
      <c r="K264" s="32"/>
      <c r="L264" s="32"/>
      <c r="M264" s="32"/>
      <c r="N264" s="32"/>
      <c r="O264" s="32"/>
      <c r="P264" s="1375"/>
    </row>
    <row r="265" spans="1:16" x14ac:dyDescent="0.2">
      <c r="A265" s="487"/>
      <c r="B265" s="32"/>
      <c r="C265" s="32"/>
      <c r="D265" s="32"/>
      <c r="E265" s="32"/>
      <c r="F265" s="32"/>
      <c r="G265" s="32"/>
      <c r="H265" s="32"/>
      <c r="I265" s="32"/>
      <c r="J265" s="32"/>
      <c r="K265" s="32"/>
      <c r="L265" s="32"/>
      <c r="M265" s="32"/>
      <c r="N265" s="32"/>
      <c r="O265" s="32"/>
      <c r="P265" s="1375"/>
    </row>
    <row r="266" spans="1:16" x14ac:dyDescent="0.2">
      <c r="A266" s="487"/>
      <c r="B266" s="32"/>
      <c r="C266" s="32"/>
      <c r="D266" s="32"/>
      <c r="E266" s="32"/>
      <c r="F266" s="32"/>
      <c r="G266" s="32"/>
      <c r="H266" s="32"/>
      <c r="I266" s="32"/>
      <c r="J266" s="32"/>
      <c r="K266" s="32"/>
      <c r="L266" s="32"/>
      <c r="M266" s="32"/>
      <c r="N266" s="32"/>
      <c r="O266" s="32"/>
      <c r="P266" s="1375"/>
    </row>
    <row r="267" spans="1:16" x14ac:dyDescent="0.2">
      <c r="A267" s="487"/>
      <c r="B267" s="32"/>
      <c r="C267" s="32"/>
      <c r="D267" s="32"/>
      <c r="E267" s="32"/>
      <c r="F267" s="32"/>
      <c r="G267" s="32"/>
      <c r="H267" s="32"/>
      <c r="I267" s="32"/>
      <c r="J267" s="32"/>
      <c r="K267" s="32"/>
      <c r="L267" s="32"/>
      <c r="M267" s="32"/>
      <c r="N267" s="32"/>
      <c r="O267" s="32"/>
      <c r="P267" s="1375"/>
    </row>
    <row r="268" spans="1:16" x14ac:dyDescent="0.2">
      <c r="A268" s="487"/>
      <c r="B268" s="32"/>
      <c r="C268" s="32"/>
      <c r="D268" s="32"/>
      <c r="E268" s="32"/>
      <c r="F268" s="32"/>
      <c r="G268" s="32"/>
      <c r="H268" s="32"/>
      <c r="I268" s="32"/>
      <c r="J268" s="32"/>
      <c r="K268" s="32"/>
      <c r="L268" s="32"/>
      <c r="M268" s="32"/>
      <c r="N268" s="32"/>
      <c r="O268" s="32"/>
      <c r="P268" s="1375"/>
    </row>
    <row r="269" spans="1:16" x14ac:dyDescent="0.2">
      <c r="A269" s="487"/>
      <c r="B269" s="32"/>
      <c r="C269" s="32"/>
      <c r="D269" s="32"/>
      <c r="E269" s="32"/>
      <c r="F269" s="32"/>
      <c r="G269" s="32"/>
      <c r="H269" s="32"/>
      <c r="I269" s="32"/>
      <c r="J269" s="32"/>
      <c r="K269" s="32"/>
      <c r="L269" s="32"/>
      <c r="M269" s="32"/>
      <c r="N269" s="32"/>
      <c r="O269" s="32"/>
      <c r="P269" s="1375"/>
    </row>
    <row r="270" spans="1:16" x14ac:dyDescent="0.2">
      <c r="A270" s="487"/>
      <c r="B270" s="32"/>
      <c r="C270" s="32"/>
      <c r="D270" s="32"/>
      <c r="E270" s="32"/>
      <c r="F270" s="32"/>
      <c r="G270" s="32"/>
      <c r="H270" s="32"/>
      <c r="I270" s="32"/>
      <c r="J270" s="32"/>
      <c r="K270" s="32"/>
      <c r="L270" s="32"/>
      <c r="M270" s="32"/>
      <c r="N270" s="32"/>
      <c r="O270" s="32"/>
      <c r="P270" s="1375"/>
    </row>
    <row r="271" spans="1:16" x14ac:dyDescent="0.2">
      <c r="A271" s="487"/>
      <c r="B271" s="32"/>
      <c r="C271" s="32"/>
      <c r="D271" s="32"/>
      <c r="E271" s="32"/>
      <c r="F271" s="32"/>
      <c r="G271" s="32"/>
      <c r="H271" s="32"/>
      <c r="I271" s="32"/>
      <c r="J271" s="32"/>
      <c r="K271" s="32"/>
      <c r="L271" s="32"/>
      <c r="M271" s="32"/>
      <c r="N271" s="32"/>
      <c r="O271" s="32"/>
      <c r="P271" s="1375"/>
    </row>
    <row r="272" spans="1:16" x14ac:dyDescent="0.2">
      <c r="A272" s="487"/>
      <c r="B272" s="32"/>
      <c r="C272" s="32"/>
      <c r="D272" s="32"/>
      <c r="E272" s="32"/>
      <c r="F272" s="32"/>
      <c r="G272" s="32"/>
      <c r="H272" s="32"/>
      <c r="I272" s="32"/>
      <c r="J272" s="32"/>
      <c r="K272" s="32"/>
      <c r="L272" s="32"/>
      <c r="M272" s="32"/>
      <c r="N272" s="32"/>
      <c r="O272" s="32"/>
      <c r="P272" s="1375"/>
    </row>
    <row r="273" spans="1:16" x14ac:dyDescent="0.2">
      <c r="A273" s="487"/>
      <c r="B273" s="32"/>
      <c r="C273" s="32"/>
      <c r="D273" s="32"/>
      <c r="E273" s="32"/>
      <c r="F273" s="32"/>
      <c r="G273" s="32"/>
      <c r="H273" s="32"/>
      <c r="I273" s="32"/>
      <c r="J273" s="32"/>
      <c r="K273" s="32"/>
      <c r="L273" s="32"/>
      <c r="M273" s="32"/>
      <c r="N273" s="32"/>
      <c r="O273" s="32"/>
      <c r="P273" s="1375"/>
    </row>
    <row r="274" spans="1:16" x14ac:dyDescent="0.2">
      <c r="A274" s="487"/>
      <c r="B274" s="32"/>
      <c r="C274" s="32"/>
      <c r="D274" s="32"/>
      <c r="E274" s="32"/>
      <c r="F274" s="32"/>
      <c r="G274" s="32"/>
      <c r="H274" s="32"/>
      <c r="I274" s="32"/>
      <c r="J274" s="32"/>
      <c r="K274" s="32"/>
      <c r="L274" s="32"/>
      <c r="M274" s="32"/>
      <c r="N274" s="32"/>
      <c r="O274" s="32"/>
      <c r="P274" s="1375"/>
    </row>
    <row r="275" spans="1:16" x14ac:dyDescent="0.2">
      <c r="A275" s="487"/>
      <c r="B275" s="32"/>
      <c r="C275" s="32"/>
      <c r="D275" s="32"/>
      <c r="E275" s="32"/>
      <c r="F275" s="32"/>
      <c r="G275" s="32"/>
      <c r="H275" s="32"/>
      <c r="I275" s="32"/>
      <c r="J275" s="32"/>
      <c r="K275" s="32"/>
      <c r="L275" s="32"/>
      <c r="M275" s="32"/>
      <c r="N275" s="32"/>
      <c r="O275" s="32"/>
      <c r="P275" s="1375"/>
    </row>
    <row r="276" spans="1:16" x14ac:dyDescent="0.2">
      <c r="A276" s="487"/>
      <c r="B276" s="32"/>
      <c r="C276" s="32"/>
      <c r="D276" s="32"/>
      <c r="E276" s="32"/>
      <c r="F276" s="32"/>
      <c r="G276" s="32"/>
      <c r="H276" s="32"/>
      <c r="I276" s="32"/>
      <c r="J276" s="32"/>
      <c r="K276" s="32"/>
      <c r="L276" s="32"/>
      <c r="M276" s="32"/>
      <c r="N276" s="32"/>
      <c r="O276" s="32"/>
      <c r="P276" s="1375"/>
    </row>
    <row r="277" spans="1:16" x14ac:dyDescent="0.2">
      <c r="A277" s="487"/>
      <c r="B277" s="32"/>
      <c r="C277" s="32"/>
      <c r="D277" s="32"/>
      <c r="E277" s="32"/>
      <c r="F277" s="32"/>
      <c r="G277" s="32"/>
      <c r="H277" s="32"/>
      <c r="I277" s="32"/>
      <c r="J277" s="32"/>
      <c r="K277" s="32"/>
      <c r="L277" s="32"/>
      <c r="M277" s="32"/>
      <c r="N277" s="32"/>
      <c r="O277" s="32"/>
      <c r="P277" s="1375"/>
    </row>
    <row r="278" spans="1:16" x14ac:dyDescent="0.2">
      <c r="A278" s="487"/>
      <c r="B278" s="32"/>
      <c r="C278" s="32"/>
      <c r="D278" s="32"/>
      <c r="E278" s="32"/>
      <c r="F278" s="32"/>
      <c r="G278" s="32"/>
      <c r="H278" s="32"/>
      <c r="I278" s="32"/>
      <c r="J278" s="32"/>
      <c r="K278" s="32"/>
      <c r="L278" s="32"/>
      <c r="M278" s="32"/>
      <c r="N278" s="32"/>
      <c r="O278" s="32"/>
      <c r="P278" s="1375"/>
    </row>
    <row r="279" spans="1:16" x14ac:dyDescent="0.2">
      <c r="A279" s="487"/>
      <c r="B279" s="32"/>
      <c r="C279" s="32"/>
      <c r="D279" s="32"/>
      <c r="E279" s="32"/>
      <c r="F279" s="32"/>
      <c r="G279" s="32"/>
      <c r="H279" s="32"/>
      <c r="I279" s="32"/>
      <c r="J279" s="32"/>
      <c r="K279" s="32"/>
      <c r="L279" s="32"/>
      <c r="M279" s="32"/>
      <c r="N279" s="32"/>
      <c r="O279" s="32"/>
      <c r="P279" s="1375"/>
    </row>
    <row r="280" spans="1:16" x14ac:dyDescent="0.2">
      <c r="A280" s="487"/>
      <c r="B280" s="32"/>
      <c r="C280" s="32"/>
      <c r="D280" s="32"/>
      <c r="E280" s="32"/>
      <c r="F280" s="32"/>
      <c r="G280" s="32"/>
      <c r="H280" s="32"/>
      <c r="I280" s="32"/>
      <c r="J280" s="32"/>
      <c r="K280" s="32"/>
      <c r="L280" s="32"/>
      <c r="M280" s="32"/>
      <c r="N280" s="32"/>
      <c r="O280" s="32"/>
      <c r="P280" s="1375"/>
    </row>
    <row r="281" spans="1:16" x14ac:dyDescent="0.2">
      <c r="A281" s="487"/>
      <c r="B281" s="32"/>
      <c r="C281" s="32"/>
      <c r="D281" s="32"/>
      <c r="E281" s="32"/>
      <c r="F281" s="32"/>
      <c r="G281" s="32"/>
      <c r="H281" s="32"/>
      <c r="I281" s="32"/>
      <c r="J281" s="32"/>
      <c r="K281" s="32"/>
      <c r="L281" s="32"/>
      <c r="M281" s="32"/>
      <c r="N281" s="32"/>
      <c r="O281" s="32"/>
      <c r="P281" s="1375"/>
    </row>
    <row r="282" spans="1:16" x14ac:dyDescent="0.2">
      <c r="A282" s="487"/>
      <c r="B282" s="32"/>
      <c r="C282" s="32"/>
      <c r="D282" s="32"/>
      <c r="E282" s="32"/>
      <c r="F282" s="32"/>
      <c r="G282" s="32"/>
      <c r="H282" s="32"/>
      <c r="I282" s="32"/>
      <c r="J282" s="32"/>
      <c r="K282" s="32"/>
      <c r="L282" s="32"/>
      <c r="M282" s="32"/>
      <c r="N282" s="32"/>
      <c r="O282" s="32"/>
      <c r="P282" s="1375"/>
    </row>
    <row r="283" spans="1:16" x14ac:dyDescent="0.2">
      <c r="A283" s="487"/>
      <c r="B283" s="32"/>
      <c r="C283" s="32"/>
      <c r="D283" s="32"/>
      <c r="E283" s="32"/>
      <c r="F283" s="32"/>
      <c r="G283" s="32"/>
      <c r="H283" s="32"/>
      <c r="I283" s="32"/>
      <c r="J283" s="32"/>
      <c r="K283" s="32"/>
      <c r="L283" s="32"/>
      <c r="M283" s="32"/>
      <c r="N283" s="32"/>
      <c r="O283" s="32"/>
      <c r="P283" s="1375"/>
    </row>
    <row r="284" spans="1:16" x14ac:dyDescent="0.2">
      <c r="A284" s="487"/>
      <c r="B284" s="32"/>
      <c r="C284" s="32"/>
      <c r="D284" s="32"/>
      <c r="E284" s="32"/>
      <c r="F284" s="32"/>
      <c r="G284" s="32"/>
      <c r="H284" s="32"/>
      <c r="I284" s="32"/>
      <c r="J284" s="32"/>
      <c r="K284" s="32"/>
      <c r="L284" s="32"/>
      <c r="M284" s="32"/>
      <c r="N284" s="32"/>
      <c r="O284" s="32"/>
      <c r="P284" s="1375"/>
    </row>
    <row r="285" spans="1:16" x14ac:dyDescent="0.2">
      <c r="A285" s="487"/>
      <c r="B285" s="32"/>
      <c r="C285" s="32"/>
      <c r="D285" s="32"/>
      <c r="E285" s="32"/>
      <c r="F285" s="32"/>
      <c r="G285" s="32"/>
      <c r="H285" s="32"/>
      <c r="I285" s="32"/>
      <c r="J285" s="32"/>
      <c r="K285" s="32"/>
      <c r="L285" s="32"/>
      <c r="M285" s="32"/>
      <c r="N285" s="32"/>
      <c r="O285" s="32"/>
      <c r="P285" s="1375"/>
    </row>
    <row r="286" spans="1:16" x14ac:dyDescent="0.2">
      <c r="A286" s="487"/>
      <c r="B286" s="32"/>
      <c r="C286" s="32"/>
      <c r="D286" s="32"/>
      <c r="E286" s="32"/>
      <c r="F286" s="32"/>
      <c r="G286" s="32"/>
      <c r="H286" s="32"/>
      <c r="I286" s="32"/>
      <c r="J286" s="32"/>
      <c r="K286" s="32"/>
      <c r="L286" s="32"/>
      <c r="M286" s="32"/>
      <c r="N286" s="32"/>
      <c r="O286" s="32"/>
      <c r="P286" s="1375"/>
    </row>
    <row r="287" spans="1:16" x14ac:dyDescent="0.2">
      <c r="A287" s="487"/>
      <c r="B287" s="32"/>
      <c r="C287" s="32"/>
      <c r="D287" s="32"/>
      <c r="E287" s="32"/>
      <c r="F287" s="32"/>
      <c r="G287" s="32"/>
      <c r="H287" s="32"/>
      <c r="I287" s="32"/>
      <c r="J287" s="32"/>
      <c r="K287" s="32"/>
      <c r="L287" s="32"/>
      <c r="M287" s="32"/>
      <c r="N287" s="32"/>
      <c r="O287" s="32"/>
      <c r="P287" s="1375"/>
    </row>
    <row r="288" spans="1:16" x14ac:dyDescent="0.2">
      <c r="A288" s="487"/>
      <c r="B288" s="32"/>
      <c r="C288" s="32"/>
      <c r="D288" s="32"/>
      <c r="E288" s="32"/>
      <c r="F288" s="32"/>
      <c r="G288" s="32"/>
      <c r="H288" s="32"/>
      <c r="I288" s="32"/>
      <c r="J288" s="32"/>
      <c r="K288" s="32"/>
      <c r="L288" s="32"/>
      <c r="M288" s="32"/>
      <c r="N288" s="32"/>
      <c r="O288" s="32"/>
      <c r="P288" s="1375"/>
    </row>
    <row r="289" spans="1:16" x14ac:dyDescent="0.2">
      <c r="A289" s="487"/>
      <c r="B289" s="32"/>
      <c r="C289" s="32"/>
      <c r="D289" s="32"/>
      <c r="E289" s="32"/>
      <c r="F289" s="32"/>
      <c r="G289" s="32"/>
      <c r="H289" s="32"/>
      <c r="I289" s="32"/>
      <c r="J289" s="32"/>
      <c r="K289" s="32"/>
      <c r="L289" s="32"/>
      <c r="M289" s="32"/>
      <c r="N289" s="32"/>
      <c r="O289" s="32"/>
      <c r="P289" s="1375"/>
    </row>
    <row r="290" spans="1:16" x14ac:dyDescent="0.2">
      <c r="A290" s="487"/>
      <c r="B290" s="32"/>
      <c r="C290" s="32"/>
      <c r="D290" s="32"/>
      <c r="E290" s="32"/>
      <c r="F290" s="32"/>
      <c r="G290" s="32"/>
      <c r="H290" s="32"/>
      <c r="I290" s="32"/>
      <c r="J290" s="32"/>
      <c r="K290" s="32"/>
      <c r="L290" s="32"/>
      <c r="M290" s="32"/>
      <c r="N290" s="32"/>
      <c r="O290" s="32"/>
      <c r="P290" s="1375"/>
    </row>
    <row r="291" spans="1:16" x14ac:dyDescent="0.2">
      <c r="A291" s="487"/>
      <c r="B291" s="32"/>
      <c r="C291" s="32"/>
      <c r="D291" s="32"/>
      <c r="E291" s="32"/>
      <c r="F291" s="32"/>
      <c r="G291" s="32"/>
      <c r="H291" s="32"/>
      <c r="I291" s="32"/>
      <c r="J291" s="32"/>
      <c r="K291" s="32"/>
      <c r="L291" s="32"/>
      <c r="M291" s="32"/>
      <c r="N291" s="32"/>
      <c r="O291" s="32"/>
      <c r="P291" s="1375"/>
    </row>
    <row r="292" spans="1:16" x14ac:dyDescent="0.2">
      <c r="A292" s="487"/>
      <c r="B292" s="32"/>
      <c r="C292" s="32"/>
      <c r="D292" s="32"/>
      <c r="E292" s="32"/>
      <c r="F292" s="32"/>
      <c r="G292" s="32"/>
      <c r="H292" s="32"/>
      <c r="I292" s="32"/>
      <c r="J292" s="32"/>
      <c r="K292" s="32"/>
      <c r="L292" s="32"/>
      <c r="M292" s="2761" t="s">
        <v>158</v>
      </c>
      <c r="N292" s="2761"/>
      <c r="O292" s="2761"/>
      <c r="P292" s="1375"/>
    </row>
    <row r="293" spans="1:16" x14ac:dyDescent="0.2">
      <c r="A293" s="487"/>
      <c r="B293" s="32"/>
      <c r="C293" s="32"/>
      <c r="D293" s="32"/>
      <c r="E293" s="32"/>
      <c r="F293" s="32"/>
      <c r="G293" s="32"/>
      <c r="H293" s="32"/>
      <c r="I293" s="32"/>
      <c r="J293" s="32"/>
      <c r="K293" s="32"/>
      <c r="L293" s="1375"/>
      <c r="M293" s="1375"/>
      <c r="N293" s="1375"/>
      <c r="O293" s="1375"/>
      <c r="P293" s="1375"/>
    </row>
  </sheetData>
  <sheetProtection algorithmName="SHA-512" hashValue="ntBa3cJqfNraH4ua65Qc7q+duw5MLuCq2V6YhU8BhM7anInCpXlkAhdJRYTmqFicmDL5g4atNOIkXV0o033HNg==" saltValue="pOdmjOZ5UbGij+7Fmy+QNw==" spinCount="100000" sheet="1" objects="1" scenarios="1" selectLockedCells="1"/>
  <mergeCells count="1">
    <mergeCell ref="M292:O292"/>
  </mergeCells>
  <phoneticPr fontId="4" type="noConversion"/>
  <hyperlinks>
    <hyperlink ref="M292:O292" location="CASSA!A1" display="Torna al foglio CASSA"/>
  </hyperlinks>
  <printOptions horizontalCentered="1"/>
  <pageMargins left="0.19685039370078741" right="0" top="0.39370078740157483" bottom="0.39370078740157483" header="0.51181102362204722" footer="0.51181102362204722"/>
  <pageSetup paperSize="9" scale="75" orientation="portrait" r:id="rId1"/>
  <headerFooter alignWithMargins="0"/>
  <rowBreaks count="3" manualBreakCount="3">
    <brk id="70" max="16383" man="1"/>
    <brk id="150" max="16383" man="1"/>
    <brk id="227"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
    <pageSetUpPr autoPageBreaks="0"/>
  </sheetPr>
  <dimension ref="A1:BB231"/>
  <sheetViews>
    <sheetView showGridLines="0" showRowColHeaders="0" topLeftCell="A2" zoomScaleNormal="100" workbookViewId="0">
      <selection activeCell="G8" sqref="G8"/>
    </sheetView>
  </sheetViews>
  <sheetFormatPr defaultRowHeight="12.75" x14ac:dyDescent="0.2"/>
  <cols>
    <col min="1" max="2" width="2.85546875" style="4" customWidth="1"/>
    <col min="3" max="4" width="5" style="4" customWidth="1"/>
    <col min="5" max="5" width="15.7109375" style="4" customWidth="1"/>
    <col min="6" max="6" width="1.42578125" style="4" customWidth="1"/>
    <col min="7" max="8" width="15.7109375" style="4" customWidth="1"/>
    <col min="9" max="10" width="7.85546875" style="4" customWidth="1"/>
    <col min="11" max="11" width="15.7109375" style="4" customWidth="1"/>
    <col min="12" max="13" width="7.85546875" style="4" customWidth="1"/>
    <col min="14" max="14" width="15.7109375" style="4" customWidth="1"/>
    <col min="15" max="16" width="7.85546875" style="4" customWidth="1"/>
    <col min="17" max="17" width="2.140625" style="4" customWidth="1"/>
    <col min="18" max="31" width="11" style="4" hidden="1" customWidth="1"/>
    <col min="32" max="32" width="6.42578125" style="4" hidden="1" customWidth="1"/>
    <col min="33" max="37" width="11" style="4" hidden="1" customWidth="1"/>
    <col min="38" max="38" width="6.42578125" style="4" hidden="1" customWidth="1"/>
    <col min="39" max="43" width="11" style="4" hidden="1" customWidth="1"/>
    <col min="44" max="44" width="6.42578125" style="4" hidden="1" customWidth="1"/>
    <col min="45" max="49" width="11" style="4" hidden="1" customWidth="1"/>
    <col min="50" max="50" width="6.42578125" style="4" hidden="1" customWidth="1"/>
    <col min="51" max="51" width="11" style="4" hidden="1" customWidth="1"/>
    <col min="52" max="52" width="35.7109375" style="4" customWidth="1"/>
    <col min="53" max="16384" width="9.140625" style="4"/>
  </cols>
  <sheetData>
    <row r="1" spans="1:53" ht="15" hidden="1" customHeight="1" x14ac:dyDescent="0.2">
      <c r="A1" s="540"/>
      <c r="B1" s="2"/>
      <c r="C1" s="2"/>
      <c r="D1" s="2"/>
      <c r="E1" s="2"/>
      <c r="F1" s="2"/>
      <c r="G1" s="251" t="str">
        <f>CONCATENATE(IMPOSTAZIONI!F193,"-",IMPOSTAZIONI!F194,"-",IMPOSTAZIONI!F195)</f>
        <v>--</v>
      </c>
      <c r="H1" s="251" t="str">
        <f>CONCATENATE(IMPOSTAZIONI!K193,"-",IMPOSTAZIONI!K194,"-",IMPOSTAZIONI!K195)</f>
        <v>--</v>
      </c>
      <c r="I1" s="251"/>
      <c r="J1" s="251"/>
      <c r="K1" s="251" t="str">
        <f>CONCATENATE(IMPOSTAZIONI!P193,"-",IMPOSTAZIONI!P194,"-",IMPOSTAZIONI!P195)</f>
        <v>--</v>
      </c>
      <c r="L1" s="251"/>
      <c r="M1" s="251"/>
      <c r="N1" s="251" t="str">
        <f>CONCATENATE(IMPOSTAZIONI!U193,"-",IMPOSTAZIONI!U194,"-",IMPOSTAZIONI!U195)</f>
        <v>--</v>
      </c>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591"/>
    </row>
    <row r="2" spans="1:53" ht="18" customHeight="1" x14ac:dyDescent="0.2">
      <c r="A2" s="540"/>
      <c r="B2" s="2"/>
      <c r="C2" s="2057" t="str">
        <f>CONCATENATE(IMPOSTAZIONI!C73," - P.I. ",IMPOSTAZIONI!O73)</f>
        <v>Inserisci la tua Ragione Sociale - P.I. 01234567891</v>
      </c>
      <c r="D2" s="2057"/>
      <c r="E2" s="2057"/>
      <c r="F2" s="2057"/>
      <c r="G2" s="2057"/>
      <c r="H2" s="2057"/>
      <c r="I2" s="2057"/>
      <c r="J2" s="2058" t="str">
        <f>CONCATENATE(IMPOSTAZIONI!C75," - ",IMPOSTAZIONI!M75," - ",IMPOSTAZIONI!O75," - ",IMPOSTAZIONI!V75)</f>
        <v xml:space="preserve">Indirizzo per esteso -  -  - </v>
      </c>
      <c r="K2" s="2058"/>
      <c r="L2" s="2058"/>
      <c r="M2" s="2058"/>
      <c r="N2" s="2058"/>
      <c r="O2" s="2058"/>
      <c r="P2" s="2058"/>
      <c r="Q2" s="3"/>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row>
    <row r="3" spans="1:53" ht="24.75" customHeight="1" x14ac:dyDescent="0.2">
      <c r="A3" s="2"/>
      <c r="B3" s="5"/>
      <c r="C3" s="2222" t="s">
        <v>98</v>
      </c>
      <c r="D3" s="2222"/>
      <c r="E3" s="2223" t="s">
        <v>192</v>
      </c>
      <c r="F3" s="2223"/>
      <c r="G3" s="2223"/>
      <c r="H3" s="2073" t="str">
        <f>IF(I163=0,IMPOSTAZIONI!Y384,"")</f>
        <v>Devi convalidare il foglio IMPOSTAZIONI</v>
      </c>
      <c r="I3" s="2073"/>
      <c r="J3" s="2073"/>
      <c r="K3" s="2073"/>
      <c r="L3" s="2073"/>
      <c r="M3" s="2072" t="s">
        <v>543</v>
      </c>
      <c r="N3" s="2072"/>
      <c r="O3" s="2072"/>
      <c r="P3" s="2072"/>
      <c r="Q3" s="3"/>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row>
    <row r="4" spans="1:53" ht="18" customHeight="1" x14ac:dyDescent="0.2">
      <c r="A4" s="2"/>
      <c r="B4" s="2"/>
      <c r="C4" s="2147" t="s">
        <v>175</v>
      </c>
      <c r="D4" s="2148"/>
      <c r="E4" s="2170" t="str">
        <f>IMPOSTAZIONI!E24</f>
        <v>TOTALE</v>
      </c>
      <c r="F4" s="2171"/>
      <c r="G4" s="291" t="str">
        <f>IF($I$163=0,"",IMPOSTAZIONI!G193)</f>
        <v/>
      </c>
      <c r="H4" s="291" t="str">
        <f>IF($I$163=0,"",IMPOSTAZIONI!L193)</f>
        <v/>
      </c>
      <c r="I4" s="2164">
        <f>IMPOSTAZIONI!Q25</f>
        <v>0</v>
      </c>
      <c r="J4" s="2165"/>
      <c r="K4" s="291" t="str">
        <f>IF($I$163=0,"",IMPOSTAZIONI!Q193)</f>
        <v/>
      </c>
      <c r="L4" s="2164">
        <f>IMPOSTAZIONI!Y25</f>
        <v>0</v>
      </c>
      <c r="M4" s="2165"/>
      <c r="N4" s="291" t="str">
        <f>IF($I$163=0,"",IMPOSTAZIONI!V193)</f>
        <v/>
      </c>
      <c r="O4" s="2164">
        <f>IMPOSTAZIONI!AG25</f>
        <v>0</v>
      </c>
      <c r="P4" s="2165"/>
      <c r="Q4" s="83"/>
      <c r="R4" s="2"/>
      <c r="S4" s="2"/>
      <c r="T4" s="2"/>
      <c r="U4" s="2"/>
      <c r="V4" s="251" t="str">
        <f>CONCATENATE(L131,"  ")</f>
        <v xml:space="preserve">attiva trim.  </v>
      </c>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row>
    <row r="5" spans="1:53" ht="18" customHeight="1" x14ac:dyDescent="0.2">
      <c r="A5" s="2"/>
      <c r="B5" s="2"/>
      <c r="C5" s="2149"/>
      <c r="D5" s="2150"/>
      <c r="E5" s="2172"/>
      <c r="F5" s="2173"/>
      <c r="G5" s="292" t="str">
        <f>IF($I$163=0,"",IMPOSTAZIONI!G194)</f>
        <v/>
      </c>
      <c r="H5" s="292" t="str">
        <f>IF($I$163=0,"",IMPOSTAZIONI!L194)</f>
        <v/>
      </c>
      <c r="I5" s="2166"/>
      <c r="J5" s="2167"/>
      <c r="K5" s="292" t="str">
        <f>IF($I$163=0,"",IMPOSTAZIONI!Q194)</f>
        <v/>
      </c>
      <c r="L5" s="2166"/>
      <c r="M5" s="2167"/>
      <c r="N5" s="292" t="str">
        <f>IF($I$163=0,"",IMPOSTAZIONI!V194)</f>
        <v/>
      </c>
      <c r="O5" s="2166"/>
      <c r="P5" s="2167"/>
      <c r="Q5" s="83"/>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row>
    <row r="6" spans="1:53" ht="18" customHeight="1" x14ac:dyDescent="0.2">
      <c r="A6" s="2"/>
      <c r="B6" s="2"/>
      <c r="C6" s="2151">
        <f>IMPOSTAZIONI!$AH$52</f>
        <v>2024</v>
      </c>
      <c r="D6" s="2152"/>
      <c r="E6" s="2153">
        <f>IMPOSTAZIONI!E25</f>
        <v>0</v>
      </c>
      <c r="F6" s="2154"/>
      <c r="G6" s="55" t="str">
        <f>IF($I$163=0,"",IMPOSTAZIONI!G195)</f>
        <v/>
      </c>
      <c r="H6" s="55" t="str">
        <f>IF($I$163=0,"",IMPOSTAZIONI!L195)</f>
        <v/>
      </c>
      <c r="I6" s="834" t="str">
        <f>IMPOSTAZIONI!Q26</f>
        <v>DAL</v>
      </c>
      <c r="J6" s="835" t="str">
        <f>IMPOSTAZIONI!S26</f>
        <v>AL</v>
      </c>
      <c r="K6" s="55" t="str">
        <f>IF($I$163=0,"",IMPOSTAZIONI!Q195)</f>
        <v/>
      </c>
      <c r="L6" s="834" t="str">
        <f>IMPOSTAZIONI!Y26</f>
        <v>DAL</v>
      </c>
      <c r="M6" s="835" t="str">
        <f>IMPOSTAZIONI!AA26</f>
        <v>AL</v>
      </c>
      <c r="N6" s="55" t="str">
        <f>IF($I$163=0,"",IMPOSTAZIONI!V195)</f>
        <v/>
      </c>
      <c r="O6" s="834" t="str">
        <f>IMPOSTAZIONI!AG26</f>
        <v>DAL</v>
      </c>
      <c r="P6" s="835" t="str">
        <f>IMPOSTAZIONI!AI26</f>
        <v>AL</v>
      </c>
      <c r="Q6" s="83"/>
      <c r="R6" s="2"/>
      <c r="S6" s="2"/>
      <c r="T6" s="2"/>
      <c r="U6" s="2"/>
      <c r="V6" s="2"/>
      <c r="W6" s="2"/>
      <c r="X6" s="2"/>
      <c r="Y6" s="501" t="str">
        <f>CASSA!W484</f>
        <v>F</v>
      </c>
      <c r="Z6" s="502" t="str">
        <f>CASSA!W485</f>
        <v>C</v>
      </c>
      <c r="AA6" s="2"/>
      <c r="AB6" s="2"/>
      <c r="AC6" s="2"/>
      <c r="AD6" s="2"/>
      <c r="AE6" s="2"/>
      <c r="AF6" s="2"/>
      <c r="AG6" s="148">
        <f>IF(SUM(G152:J152)&gt;0,1,0)</f>
        <v>0</v>
      </c>
      <c r="AH6" s="1096" t="str">
        <f>$C101</f>
        <v>Aliquota 22 %</v>
      </c>
      <c r="AI6" s="1096" t="str">
        <f>$C102</f>
        <v>Aliquota 10 %</v>
      </c>
      <c r="AJ6" s="1096" t="str">
        <f>$C103</f>
        <v>Aliquota 4 %</v>
      </c>
      <c r="AK6" s="1096" t="str">
        <f>$C104</f>
        <v/>
      </c>
      <c r="AL6" s="2"/>
      <c r="AM6" s="1097" t="s">
        <v>537</v>
      </c>
      <c r="AN6" s="2204" t="s">
        <v>782</v>
      </c>
      <c r="AO6" s="2204"/>
      <c r="AP6" s="2204"/>
      <c r="AQ6" s="2204"/>
      <c r="AR6" s="2"/>
      <c r="AS6" s="148"/>
      <c r="AT6" s="1096" t="str">
        <f>$C101</f>
        <v>Aliquota 22 %</v>
      </c>
      <c r="AU6" s="1096" t="str">
        <f>$C102</f>
        <v>Aliquota 10 %</v>
      </c>
      <c r="AV6" s="1096" t="str">
        <f>$C103</f>
        <v>Aliquota 4 %</v>
      </c>
      <c r="AW6" s="1096" t="str">
        <f>$C104</f>
        <v/>
      </c>
      <c r="AX6" s="2"/>
      <c r="AY6" s="1097" t="s">
        <v>537</v>
      </c>
      <c r="AZ6" s="1382" t="s">
        <v>14</v>
      </c>
      <c r="BA6" s="2"/>
    </row>
    <row r="7" spans="1:53" ht="20.25" customHeight="1" x14ac:dyDescent="0.2">
      <c r="A7" s="2"/>
      <c r="B7" s="2"/>
      <c r="C7" s="2155"/>
      <c r="D7" s="2156"/>
      <c r="E7" s="2175"/>
      <c r="F7" s="2176"/>
      <c r="G7" s="1441"/>
      <c r="H7" s="1441"/>
      <c r="I7" s="832"/>
      <c r="J7" s="833"/>
      <c r="K7" s="1441"/>
      <c r="L7" s="832"/>
      <c r="M7" s="833"/>
      <c r="N7" s="1441"/>
      <c r="O7" s="832"/>
      <c r="P7" s="833"/>
      <c r="Q7" s="83"/>
      <c r="R7" s="552" t="s">
        <v>195</v>
      </c>
      <c r="S7" s="552"/>
      <c r="T7" s="552"/>
      <c r="U7" s="552"/>
      <c r="V7" s="507">
        <f>V8</f>
        <v>45292</v>
      </c>
      <c r="W7" s="2"/>
      <c r="X7" s="2"/>
      <c r="Y7" s="2"/>
      <c r="Z7" s="2"/>
      <c r="AA7" s="2"/>
      <c r="AB7" s="2021" t="s">
        <v>739</v>
      </c>
      <c r="AC7" s="2021"/>
      <c r="AD7" s="2021"/>
      <c r="AE7" s="2021"/>
      <c r="AF7" s="2"/>
      <c r="AG7" s="2021" t="s">
        <v>781</v>
      </c>
      <c r="AH7" s="2021"/>
      <c r="AI7" s="2021"/>
      <c r="AJ7" s="2021"/>
      <c r="AK7" s="2021"/>
      <c r="AL7" s="2"/>
      <c r="AM7" s="2"/>
      <c r="AN7" s="2"/>
      <c r="AO7" s="2"/>
      <c r="AP7" s="2"/>
      <c r="AQ7" s="2"/>
      <c r="AR7" s="2"/>
      <c r="AS7" s="2021" t="s">
        <v>784</v>
      </c>
      <c r="AT7" s="2021"/>
      <c r="AU7" s="2021"/>
      <c r="AV7" s="2021"/>
      <c r="AW7" s="2021"/>
      <c r="AX7" s="2"/>
      <c r="AY7" s="1097" t="s">
        <v>739</v>
      </c>
      <c r="AZ7" s="1383"/>
      <c r="BA7" s="2"/>
    </row>
    <row r="8" spans="1:53" ht="20.25" customHeight="1" x14ac:dyDescent="0.2">
      <c r="A8" s="2"/>
      <c r="B8" s="18">
        <v>1</v>
      </c>
      <c r="C8" s="234">
        <f>B8</f>
        <v>1</v>
      </c>
      <c r="D8" s="235">
        <v>1</v>
      </c>
      <c r="E8" s="2168">
        <f t="shared" ref="E8:E38" si="0">IF(AND(L$163=0,OR(V8&lt;B$162,V8&gt;B$163)),CONCATENATE(L$131,"  "),IF(AND((SUM(G8:H8)+K8+N8)&lt;&gt;0,AA8=Z$6),E$163,IF(AND((SUM(G8:H8)+K8+N8)=0,AA8=Z$6),E$162,IF(ISERROR($H$163),0,SUM(G8:H8)+K8+N8-SUMIF(G$42:N$42,K$134,G8:N8)))))</f>
        <v>1000</v>
      </c>
      <c r="F8" s="2169"/>
      <c r="G8" s="304">
        <v>1000</v>
      </c>
      <c r="H8" s="304"/>
      <c r="I8" s="830"/>
      <c r="J8" s="831"/>
      <c r="K8" s="304"/>
      <c r="L8" s="830"/>
      <c r="M8" s="831"/>
      <c r="N8" s="304"/>
      <c r="O8" s="830"/>
      <c r="P8" s="831"/>
      <c r="Q8" s="83"/>
      <c r="R8" s="1050">
        <f>IF(G$62=$L$134,0,IF(AND($L$163=0,$V8&gt;$B$163),0,IF(G$155="X",0,ROUND((G8*G$155)/(100+G$155),2))))</f>
        <v>0</v>
      </c>
      <c r="S8" s="1051">
        <f t="shared" ref="S8:S38" si="1">IF(H$62=$L$134,0,IF(AND($L$163=0,$V8&gt;$B$163),0,IF(H$155="X",0,ROUND((H8*H$155)/(100+H$155),2))))</f>
        <v>0</v>
      </c>
      <c r="T8" s="1051">
        <f>IF(K$62=$L$134,0,IF(AND($L$163=0,$V8&gt;$B$163),0,IF(I$155="X",0,ROUND((K8*I$155)/(100+I$155),2))))</f>
        <v>0</v>
      </c>
      <c r="U8" s="1052">
        <f>IF(N$62=$L$134,0,IF(AND($L$163=0,$V8&gt;$B$163),0,IF(J$155="X",0,ROUND((N8*J$155)/(100+J$155),2))))</f>
        <v>0</v>
      </c>
      <c r="V8" s="231">
        <f>IMPOSTAZIONI!H170</f>
        <v>45292</v>
      </c>
      <c r="W8" s="1050">
        <f t="shared" ref="W8:W38" si="2">IF(AND($L$163=0,$V8&gt;$B$163),0,G8-R8)</f>
        <v>1000</v>
      </c>
      <c r="X8" s="1051">
        <f t="shared" ref="X8:X38" si="3">IF(AND($L$163=0,$V8&gt;$B$163),0,H8-S8)</f>
        <v>0</v>
      </c>
      <c r="Y8" s="1051">
        <f t="shared" ref="Y8:Y38" si="4">IF(AND($L$163=0,$V8&gt;$B$163),0,K8-T8)</f>
        <v>0</v>
      </c>
      <c r="Z8" s="1052">
        <f t="shared" ref="Z8:Z38" si="5">IF(AND($L$163=0,$V8&gt;$B$163),0,N8-U8)</f>
        <v>0</v>
      </c>
      <c r="AA8" s="822">
        <f>VLOOKUP(V8,CASSA!$B$114:$C$479,2,FALSE)</f>
        <v>0</v>
      </c>
      <c r="AB8" s="1050">
        <f>IF(AND(G$62=$L$134,$L$78&lt;&gt;0),$L$78/$G$65*G8,0)</f>
        <v>0</v>
      </c>
      <c r="AC8" s="1051">
        <f>IF(AND(H$62=$L$134,$L$78&lt;&gt;0),$L$78/$G$65*H8,0)</f>
        <v>0</v>
      </c>
      <c r="AD8" s="1051">
        <f>IF(AND(K$62=$L$134,$L$78&lt;&gt;0),$L$78/$G$65*K8,0)</f>
        <v>0</v>
      </c>
      <c r="AE8" s="1052">
        <f>IF(AND(N$62=$L$134,$L$78&lt;&gt;0),$L$78/$G$65*N8,0)</f>
        <v>0</v>
      </c>
      <c r="AF8" s="2"/>
      <c r="AG8" s="1087">
        <f>SUMIF($G$152:$J$152,1,W8:Z8)-SUM(AH8:AK8)</f>
        <v>0</v>
      </c>
      <c r="AH8" s="1088">
        <f>IF(AND($AG$6=1,$R$101&lt;&gt;0),$R$101/$R$96*SUMIF($G$152:$J$152,1,$W8:$Z8),0)</f>
        <v>0</v>
      </c>
      <c r="AI8" s="1051">
        <f>IF(AND($AG$6=1,$R$102&lt;&gt;0),$R$102/$R$96*SUMIF($G$152:$J$152,1,$W8:$Z8),0)</f>
        <v>0</v>
      </c>
      <c r="AJ8" s="1051">
        <f>IF(AND($AG$6=1,$R$103&lt;&gt;0),$R$103/$R$96*SUMIF($G$152:$J$152,1,$W8:$Z8),0)</f>
        <v>0</v>
      </c>
      <c r="AK8" s="1089">
        <f t="shared" ref="AK8:AK38" si="6">IF(AND($AG$6=1,$R$104&lt;&gt;0),$R$104/$R$96*SUMIF($G$152:$J$152,1,$W8:$Z8),0)</f>
        <v>0</v>
      </c>
      <c r="AL8" s="2"/>
      <c r="AM8" s="1087">
        <f t="shared" ref="AM8:AM38" si="7">SUMIF($G$42:$N$42,$K$134,$G8:$N8)</f>
        <v>0</v>
      </c>
      <c r="AN8" s="1104">
        <f>IF(G$42=$K$134,R8,0)</f>
        <v>0</v>
      </c>
      <c r="AO8" s="1051">
        <f>IF(H$42=$K$134,S8,0)</f>
        <v>0</v>
      </c>
      <c r="AP8" s="1051">
        <f>IF(K$42=$K$134,T8,0)</f>
        <v>0</v>
      </c>
      <c r="AQ8" s="1089">
        <f>IF(N$42=$K$134,U8,0)</f>
        <v>0</v>
      </c>
      <c r="AR8" s="2"/>
      <c r="AS8" s="1087">
        <f>IF(AG8&lt;&gt;0,AG8*$T$97/100,0)</f>
        <v>0</v>
      </c>
      <c r="AT8" s="1088">
        <f>IF(AH8&lt;&gt;0,AH8*$T$101/100,0)</f>
        <v>0</v>
      </c>
      <c r="AU8" s="1051">
        <f>IF(AI8&lt;&gt;0,AI8*$T$102/100,0)</f>
        <v>0</v>
      </c>
      <c r="AV8" s="1051">
        <f>IF(AJ8&lt;&gt;0,AJ8*$T$103/100,0)</f>
        <v>0</v>
      </c>
      <c r="AW8" s="1089">
        <f>IF(AK8&lt;&gt;0,AK8*$T$104/100,0)</f>
        <v>0</v>
      </c>
      <c r="AX8" s="2"/>
      <c r="AY8" s="1087">
        <f>IF(SUM(AB8:AE8)=0,0,SUM(AB8:AE8)*U$90/100)</f>
        <v>0</v>
      </c>
      <c r="AZ8" s="1384" t="s">
        <v>850</v>
      </c>
      <c r="BA8" s="2"/>
    </row>
    <row r="9" spans="1:53" ht="20.25" customHeight="1" x14ac:dyDescent="0.2">
      <c r="A9" s="2"/>
      <c r="B9" s="18">
        <v>2</v>
      </c>
      <c r="C9" s="234">
        <f>IF(D9="--","--",C8+1)</f>
        <v>2</v>
      </c>
      <c r="D9" s="235">
        <f t="shared" ref="D9:D38" si="8">IF(MONTH(V9)=D$8,D8,"--")</f>
        <v>1</v>
      </c>
      <c r="E9" s="2159">
        <f t="shared" si="0"/>
        <v>0</v>
      </c>
      <c r="F9" s="2160"/>
      <c r="G9" s="237"/>
      <c r="H9" s="237"/>
      <c r="I9" s="828"/>
      <c r="J9" s="829"/>
      <c r="K9" s="237"/>
      <c r="L9" s="828"/>
      <c r="M9" s="829"/>
      <c r="N9" s="237"/>
      <c r="O9" s="828"/>
      <c r="P9" s="829"/>
      <c r="Q9" s="83"/>
      <c r="R9" s="1053">
        <f t="shared" ref="R9:R38" si="9">IF(G$62=$L$134,0,IF(AND($L$163=0,$V9&gt;$B$163),0,IF(G$155="X",0,ROUND((G9*G$155)/(100+G$155),2))))</f>
        <v>0</v>
      </c>
      <c r="S9" s="1054">
        <f t="shared" si="1"/>
        <v>0</v>
      </c>
      <c r="T9" s="1054">
        <f t="shared" ref="T9:T38" si="10">IF(K$62=$L$134,0,IF(AND($L$163=0,$V9&gt;$B$163),0,IF(I$155="X",0,ROUND((K9*I$155)/(100+I$155),2))))</f>
        <v>0</v>
      </c>
      <c r="U9" s="1055">
        <f t="shared" ref="U9:U38" si="11">IF(N$62=$L$134,0,IF(AND($L$163=0,$V9&gt;$B$163),0,IF(J$155="X",0,ROUND((N9*J$155)/(100+J$155),2))))</f>
        <v>0</v>
      </c>
      <c r="V9" s="231">
        <f>V8+1</f>
        <v>45293</v>
      </c>
      <c r="W9" s="1053">
        <f t="shared" si="2"/>
        <v>0</v>
      </c>
      <c r="X9" s="1054">
        <f t="shared" si="3"/>
        <v>0</v>
      </c>
      <c r="Y9" s="1054">
        <f t="shared" si="4"/>
        <v>0</v>
      </c>
      <c r="Z9" s="1055">
        <f t="shared" si="5"/>
        <v>0</v>
      </c>
      <c r="AA9" s="822">
        <f>VLOOKUP(V9,CASSA!$B$114:$C$479,2,FALSE)</f>
        <v>0</v>
      </c>
      <c r="AB9" s="1053">
        <f t="shared" ref="AB9:AB38" si="12">IF(AND(G$62=$L$134,$L$78&lt;&gt;0),$L$78/$G$65*G9,0)</f>
        <v>0</v>
      </c>
      <c r="AC9" s="1054">
        <f t="shared" ref="AC9:AC38" si="13">IF(AND(H$62=$L$134,$L$78&lt;&gt;0),$L$78/$G$65*H9,0)</f>
        <v>0</v>
      </c>
      <c r="AD9" s="1054">
        <f t="shared" ref="AD9:AD38" si="14">IF(AND(K$62=$L$134,$L$78&lt;&gt;0),$L$78/$G$65*K9,0)</f>
        <v>0</v>
      </c>
      <c r="AE9" s="1055">
        <f t="shared" ref="AE9:AE38" si="15">IF(AND(N$62=$L$134,$L$78&lt;&gt;0),$L$78/$G$65*N9,0)</f>
        <v>0</v>
      </c>
      <c r="AF9" s="2"/>
      <c r="AG9" s="1090">
        <f t="shared" ref="AG9:AG38" si="16">SUMIF($G$152:$J$152,1,W9:Z9)-SUM(AH9:AK9)</f>
        <v>0</v>
      </c>
      <c r="AH9" s="1091">
        <f t="shared" ref="AH9:AH38" si="17">IF(AND($AG$6=1,$R$101&lt;&gt;0),$R$101/$R$96*SUMIF($G$152:$J$152,1,$W9:$Z9),0)</f>
        <v>0</v>
      </c>
      <c r="AI9" s="1054">
        <f t="shared" ref="AI9:AI38" si="18">IF(AND($AG$6=1,$R$102&lt;&gt;0),$R$102/$R$96*SUMIF($G$152:$J$152,1,$W9:$Z9),0)</f>
        <v>0</v>
      </c>
      <c r="AJ9" s="1054">
        <f t="shared" ref="AJ9:AJ38" si="19">IF(AND($AG$6=1,$R$103&lt;&gt;0),$R$103/$R$96*SUMIF($G$152:$J$152,1,$W9:$Z9),0)</f>
        <v>0</v>
      </c>
      <c r="AK9" s="1092">
        <f t="shared" si="6"/>
        <v>0</v>
      </c>
      <c r="AL9" s="2"/>
      <c r="AM9" s="1090">
        <f t="shared" si="7"/>
        <v>0</v>
      </c>
      <c r="AN9" s="1105">
        <f t="shared" ref="AN9:AN38" si="20">IF(G$42=$K$134,R9,0)</f>
        <v>0</v>
      </c>
      <c r="AO9" s="1054">
        <f t="shared" ref="AO9:AO38" si="21">IF(H$42=$K$134,S9,0)</f>
        <v>0</v>
      </c>
      <c r="AP9" s="1054">
        <f t="shared" ref="AP9:AP38" si="22">IF(K$42=$K$134,T9,0)</f>
        <v>0</v>
      </c>
      <c r="AQ9" s="1092">
        <f t="shared" ref="AQ9:AQ38" si="23">IF(N$42=$K$134,U9,0)</f>
        <v>0</v>
      </c>
      <c r="AR9" s="2"/>
      <c r="AS9" s="1090">
        <f t="shared" ref="AS9:AS38" si="24">IF(AG9&lt;&gt;0,AG9*$T$97/100,0)</f>
        <v>0</v>
      </c>
      <c r="AT9" s="1091">
        <f t="shared" ref="AT9:AT38" si="25">IF(AH9&lt;&gt;0,AH9*$T$101/100,0)</f>
        <v>0</v>
      </c>
      <c r="AU9" s="1054">
        <f t="shared" ref="AU9:AU38" si="26">IF(AI9&lt;&gt;0,AI9*$T$102/100,0)</f>
        <v>0</v>
      </c>
      <c r="AV9" s="1054">
        <f t="shared" ref="AV9:AV38" si="27">IF(AJ9&lt;&gt;0,AJ9*$T$103/100,0)</f>
        <v>0</v>
      </c>
      <c r="AW9" s="1092">
        <f t="shared" ref="AW9:AW38" si="28">IF(AK9&lt;&gt;0,AK9*$T$104/100,0)</f>
        <v>0</v>
      </c>
      <c r="AX9" s="2"/>
      <c r="AY9" s="1090">
        <f t="shared" ref="AY9:AY38" si="29">IF(SUM(AB9:AE9)=0,0,SUM(AB9:AE9)*U$90/100)</f>
        <v>0</v>
      </c>
      <c r="AZ9" s="1385" t="s">
        <v>851</v>
      </c>
      <c r="BA9" s="2"/>
    </row>
    <row r="10" spans="1:53" ht="20.25" customHeight="1" x14ac:dyDescent="0.2">
      <c r="A10" s="2"/>
      <c r="B10" s="18">
        <v>3</v>
      </c>
      <c r="C10" s="234">
        <f t="shared" ref="C10:C38" si="30">IF(D10="--","--",C9+1)</f>
        <v>3</v>
      </c>
      <c r="D10" s="235">
        <f t="shared" si="8"/>
        <v>1</v>
      </c>
      <c r="E10" s="2159">
        <f t="shared" si="0"/>
        <v>0</v>
      </c>
      <c r="F10" s="2160"/>
      <c r="G10" s="237"/>
      <c r="H10" s="237"/>
      <c r="I10" s="828"/>
      <c r="J10" s="829"/>
      <c r="K10" s="237"/>
      <c r="L10" s="828"/>
      <c r="M10" s="829"/>
      <c r="N10" s="237"/>
      <c r="O10" s="828"/>
      <c r="P10" s="829"/>
      <c r="Q10" s="83"/>
      <c r="R10" s="1053">
        <f t="shared" si="9"/>
        <v>0</v>
      </c>
      <c r="S10" s="1054">
        <f t="shared" si="1"/>
        <v>0</v>
      </c>
      <c r="T10" s="1054">
        <f t="shared" si="10"/>
        <v>0</v>
      </c>
      <c r="U10" s="1055">
        <f t="shared" si="11"/>
        <v>0</v>
      </c>
      <c r="V10" s="231">
        <f t="shared" ref="V10:V38" si="31">V9+1</f>
        <v>45294</v>
      </c>
      <c r="W10" s="1053">
        <f t="shared" si="2"/>
        <v>0</v>
      </c>
      <c r="X10" s="1054">
        <f t="shared" si="3"/>
        <v>0</v>
      </c>
      <c r="Y10" s="1054">
        <f t="shared" si="4"/>
        <v>0</v>
      </c>
      <c r="Z10" s="1055">
        <f t="shared" si="5"/>
        <v>0</v>
      </c>
      <c r="AA10" s="822">
        <f>VLOOKUP(V10,CASSA!$B$114:$C$479,2,FALSE)</f>
        <v>0</v>
      </c>
      <c r="AB10" s="1053">
        <f t="shared" si="12"/>
        <v>0</v>
      </c>
      <c r="AC10" s="1054">
        <f t="shared" si="13"/>
        <v>0</v>
      </c>
      <c r="AD10" s="1054">
        <f t="shared" si="14"/>
        <v>0</v>
      </c>
      <c r="AE10" s="1055">
        <f t="shared" si="15"/>
        <v>0</v>
      </c>
      <c r="AF10" s="2"/>
      <c r="AG10" s="1090">
        <f t="shared" si="16"/>
        <v>0</v>
      </c>
      <c r="AH10" s="1091">
        <f t="shared" si="17"/>
        <v>0</v>
      </c>
      <c r="AI10" s="1054">
        <f t="shared" si="18"/>
        <v>0</v>
      </c>
      <c r="AJ10" s="1054">
        <f t="shared" si="19"/>
        <v>0</v>
      </c>
      <c r="AK10" s="1092">
        <f t="shared" si="6"/>
        <v>0</v>
      </c>
      <c r="AL10" s="2"/>
      <c r="AM10" s="1090">
        <f t="shared" si="7"/>
        <v>0</v>
      </c>
      <c r="AN10" s="1105">
        <f t="shared" si="20"/>
        <v>0</v>
      </c>
      <c r="AO10" s="1054">
        <f t="shared" si="21"/>
        <v>0</v>
      </c>
      <c r="AP10" s="1054">
        <f t="shared" si="22"/>
        <v>0</v>
      </c>
      <c r="AQ10" s="1092">
        <f t="shared" si="23"/>
        <v>0</v>
      </c>
      <c r="AR10" s="2"/>
      <c r="AS10" s="1090">
        <f t="shared" si="24"/>
        <v>0</v>
      </c>
      <c r="AT10" s="1091">
        <f t="shared" si="25"/>
        <v>0</v>
      </c>
      <c r="AU10" s="1054">
        <f t="shared" si="26"/>
        <v>0</v>
      </c>
      <c r="AV10" s="1054">
        <f t="shared" si="27"/>
        <v>0</v>
      </c>
      <c r="AW10" s="1092">
        <f t="shared" si="28"/>
        <v>0</v>
      </c>
      <c r="AX10" s="2"/>
      <c r="AY10" s="1090">
        <f t="shared" si="29"/>
        <v>0</v>
      </c>
      <c r="AZ10" s="1385" t="s">
        <v>852</v>
      </c>
      <c r="BA10" s="2"/>
    </row>
    <row r="11" spans="1:53" ht="20.25" customHeight="1" x14ac:dyDescent="0.2">
      <c r="A11" s="2"/>
      <c r="B11" s="18">
        <v>4</v>
      </c>
      <c r="C11" s="234">
        <f t="shared" si="30"/>
        <v>4</v>
      </c>
      <c r="D11" s="235">
        <f t="shared" si="8"/>
        <v>1</v>
      </c>
      <c r="E11" s="2159">
        <f t="shared" si="0"/>
        <v>0</v>
      </c>
      <c r="F11" s="2160"/>
      <c r="G11" s="237"/>
      <c r="H11" s="237"/>
      <c r="I11" s="828"/>
      <c r="J11" s="829"/>
      <c r="K11" s="237"/>
      <c r="L11" s="828"/>
      <c r="M11" s="829"/>
      <c r="N11" s="237"/>
      <c r="O11" s="828"/>
      <c r="P11" s="829"/>
      <c r="Q11" s="6"/>
      <c r="R11" s="1053">
        <f t="shared" si="9"/>
        <v>0</v>
      </c>
      <c r="S11" s="1054">
        <f t="shared" si="1"/>
        <v>0</v>
      </c>
      <c r="T11" s="1054">
        <f t="shared" si="10"/>
        <v>0</v>
      </c>
      <c r="U11" s="1055">
        <f t="shared" si="11"/>
        <v>0</v>
      </c>
      <c r="V11" s="231">
        <f t="shared" si="31"/>
        <v>45295</v>
      </c>
      <c r="W11" s="1053">
        <f t="shared" si="2"/>
        <v>0</v>
      </c>
      <c r="X11" s="1054">
        <f t="shared" si="3"/>
        <v>0</v>
      </c>
      <c r="Y11" s="1054">
        <f t="shared" si="4"/>
        <v>0</v>
      </c>
      <c r="Z11" s="1055">
        <f t="shared" si="5"/>
        <v>0</v>
      </c>
      <c r="AA11" s="822">
        <f>VLOOKUP(V11,CASSA!$B$114:$C$479,2,FALSE)</f>
        <v>0</v>
      </c>
      <c r="AB11" s="1053">
        <f t="shared" si="12"/>
        <v>0</v>
      </c>
      <c r="AC11" s="1054">
        <f t="shared" si="13"/>
        <v>0</v>
      </c>
      <c r="AD11" s="1054">
        <f t="shared" si="14"/>
        <v>0</v>
      </c>
      <c r="AE11" s="1055">
        <f t="shared" si="15"/>
        <v>0</v>
      </c>
      <c r="AF11" s="2"/>
      <c r="AG11" s="1090">
        <f t="shared" si="16"/>
        <v>0</v>
      </c>
      <c r="AH11" s="1091">
        <f t="shared" si="17"/>
        <v>0</v>
      </c>
      <c r="AI11" s="1054">
        <f t="shared" si="18"/>
        <v>0</v>
      </c>
      <c r="AJ11" s="1054">
        <f t="shared" si="19"/>
        <v>0</v>
      </c>
      <c r="AK11" s="1092">
        <f t="shared" si="6"/>
        <v>0</v>
      </c>
      <c r="AL11" s="2"/>
      <c r="AM11" s="1090">
        <f t="shared" si="7"/>
        <v>0</v>
      </c>
      <c r="AN11" s="1105">
        <f t="shared" si="20"/>
        <v>0</v>
      </c>
      <c r="AO11" s="1054">
        <f t="shared" si="21"/>
        <v>0</v>
      </c>
      <c r="AP11" s="1054">
        <f t="shared" si="22"/>
        <v>0</v>
      </c>
      <c r="AQ11" s="1092">
        <f t="shared" si="23"/>
        <v>0</v>
      </c>
      <c r="AR11" s="2"/>
      <c r="AS11" s="1090">
        <f t="shared" si="24"/>
        <v>0</v>
      </c>
      <c r="AT11" s="1091">
        <f t="shared" si="25"/>
        <v>0</v>
      </c>
      <c r="AU11" s="1054">
        <f t="shared" si="26"/>
        <v>0</v>
      </c>
      <c r="AV11" s="1054">
        <f t="shared" si="27"/>
        <v>0</v>
      </c>
      <c r="AW11" s="1092">
        <f t="shared" si="28"/>
        <v>0</v>
      </c>
      <c r="AX11" s="2"/>
      <c r="AY11" s="1090">
        <f t="shared" si="29"/>
        <v>0</v>
      </c>
      <c r="AZ11" s="1385" t="s">
        <v>853</v>
      </c>
      <c r="BA11" s="2"/>
    </row>
    <row r="12" spans="1:53" ht="20.25" customHeight="1" x14ac:dyDescent="0.2">
      <c r="A12" s="2"/>
      <c r="B12" s="18">
        <v>5</v>
      </c>
      <c r="C12" s="234">
        <f t="shared" si="30"/>
        <v>5</v>
      </c>
      <c r="D12" s="235">
        <f t="shared" si="8"/>
        <v>1</v>
      </c>
      <c r="E12" s="2159">
        <f t="shared" si="0"/>
        <v>0</v>
      </c>
      <c r="F12" s="2160"/>
      <c r="G12" s="237"/>
      <c r="H12" s="237"/>
      <c r="I12" s="828"/>
      <c r="J12" s="829"/>
      <c r="K12" s="237"/>
      <c r="L12" s="828"/>
      <c r="M12" s="829"/>
      <c r="N12" s="237"/>
      <c r="O12" s="828"/>
      <c r="P12" s="829"/>
      <c r="Q12" s="6"/>
      <c r="R12" s="1053">
        <f t="shared" si="9"/>
        <v>0</v>
      </c>
      <c r="S12" s="1054">
        <f t="shared" si="1"/>
        <v>0</v>
      </c>
      <c r="T12" s="1054">
        <f t="shared" si="10"/>
        <v>0</v>
      </c>
      <c r="U12" s="1055">
        <f t="shared" si="11"/>
        <v>0</v>
      </c>
      <c r="V12" s="231">
        <f t="shared" si="31"/>
        <v>45296</v>
      </c>
      <c r="W12" s="1053">
        <f t="shared" si="2"/>
        <v>0</v>
      </c>
      <c r="X12" s="1054">
        <f t="shared" si="3"/>
        <v>0</v>
      </c>
      <c r="Y12" s="1054">
        <f t="shared" si="4"/>
        <v>0</v>
      </c>
      <c r="Z12" s="1055">
        <f t="shared" si="5"/>
        <v>0</v>
      </c>
      <c r="AA12" s="822">
        <f>VLOOKUP(V12,CASSA!$B$114:$C$479,2,FALSE)</f>
        <v>0</v>
      </c>
      <c r="AB12" s="1053">
        <f t="shared" si="12"/>
        <v>0</v>
      </c>
      <c r="AC12" s="1054">
        <f t="shared" si="13"/>
        <v>0</v>
      </c>
      <c r="AD12" s="1054">
        <f t="shared" si="14"/>
        <v>0</v>
      </c>
      <c r="AE12" s="1055">
        <f t="shared" si="15"/>
        <v>0</v>
      </c>
      <c r="AF12" s="2"/>
      <c r="AG12" s="1090">
        <f t="shared" si="16"/>
        <v>0</v>
      </c>
      <c r="AH12" s="1091">
        <f t="shared" si="17"/>
        <v>0</v>
      </c>
      <c r="AI12" s="1054">
        <f t="shared" si="18"/>
        <v>0</v>
      </c>
      <c r="AJ12" s="1054">
        <f t="shared" si="19"/>
        <v>0</v>
      </c>
      <c r="AK12" s="1092">
        <f t="shared" si="6"/>
        <v>0</v>
      </c>
      <c r="AL12" s="2"/>
      <c r="AM12" s="1090">
        <f t="shared" si="7"/>
        <v>0</v>
      </c>
      <c r="AN12" s="1105">
        <f t="shared" si="20"/>
        <v>0</v>
      </c>
      <c r="AO12" s="1054">
        <f t="shared" si="21"/>
        <v>0</v>
      </c>
      <c r="AP12" s="1054">
        <f t="shared" si="22"/>
        <v>0</v>
      </c>
      <c r="AQ12" s="1092">
        <f t="shared" si="23"/>
        <v>0</v>
      </c>
      <c r="AR12" s="2"/>
      <c r="AS12" s="1090">
        <f t="shared" si="24"/>
        <v>0</v>
      </c>
      <c r="AT12" s="1091">
        <f t="shared" si="25"/>
        <v>0</v>
      </c>
      <c r="AU12" s="1054">
        <f t="shared" si="26"/>
        <v>0</v>
      </c>
      <c r="AV12" s="1054">
        <f t="shared" si="27"/>
        <v>0</v>
      </c>
      <c r="AW12" s="1092">
        <f t="shared" si="28"/>
        <v>0</v>
      </c>
      <c r="AX12" s="2"/>
      <c r="AY12" s="1090">
        <f t="shared" si="29"/>
        <v>0</v>
      </c>
      <c r="AZ12" s="1385"/>
      <c r="BA12" s="2"/>
    </row>
    <row r="13" spans="1:53" ht="20.25" customHeight="1" x14ac:dyDescent="0.2">
      <c r="A13" s="2"/>
      <c r="B13" s="18">
        <v>6</v>
      </c>
      <c r="C13" s="234">
        <f t="shared" si="30"/>
        <v>6</v>
      </c>
      <c r="D13" s="235">
        <f t="shared" si="8"/>
        <v>1</v>
      </c>
      <c r="E13" s="2159">
        <f t="shared" si="0"/>
        <v>0</v>
      </c>
      <c r="F13" s="2160"/>
      <c r="G13" s="237"/>
      <c r="H13" s="237"/>
      <c r="I13" s="828"/>
      <c r="J13" s="829"/>
      <c r="K13" s="237"/>
      <c r="L13" s="828"/>
      <c r="M13" s="829"/>
      <c r="N13" s="237"/>
      <c r="O13" s="828"/>
      <c r="P13" s="829"/>
      <c r="Q13" s="6"/>
      <c r="R13" s="1053">
        <f t="shared" si="9"/>
        <v>0</v>
      </c>
      <c r="S13" s="1054">
        <f t="shared" si="1"/>
        <v>0</v>
      </c>
      <c r="T13" s="1054">
        <f t="shared" si="10"/>
        <v>0</v>
      </c>
      <c r="U13" s="1055">
        <f t="shared" si="11"/>
        <v>0</v>
      </c>
      <c r="V13" s="231">
        <f t="shared" si="31"/>
        <v>45297</v>
      </c>
      <c r="W13" s="1053">
        <f t="shared" si="2"/>
        <v>0</v>
      </c>
      <c r="X13" s="1054">
        <f t="shared" si="3"/>
        <v>0</v>
      </c>
      <c r="Y13" s="1054">
        <f t="shared" si="4"/>
        <v>0</v>
      </c>
      <c r="Z13" s="1055">
        <f t="shared" si="5"/>
        <v>0</v>
      </c>
      <c r="AA13" s="822">
        <f>VLOOKUP(V13,CASSA!$B$114:$C$479,2,FALSE)</f>
        <v>0</v>
      </c>
      <c r="AB13" s="1053">
        <f t="shared" si="12"/>
        <v>0</v>
      </c>
      <c r="AC13" s="1054">
        <f t="shared" si="13"/>
        <v>0</v>
      </c>
      <c r="AD13" s="1054">
        <f t="shared" si="14"/>
        <v>0</v>
      </c>
      <c r="AE13" s="1055">
        <f t="shared" si="15"/>
        <v>0</v>
      </c>
      <c r="AF13" s="2"/>
      <c r="AG13" s="1090">
        <f t="shared" si="16"/>
        <v>0</v>
      </c>
      <c r="AH13" s="1091">
        <f t="shared" si="17"/>
        <v>0</v>
      </c>
      <c r="AI13" s="1054">
        <f t="shared" si="18"/>
        <v>0</v>
      </c>
      <c r="AJ13" s="1054">
        <f t="shared" si="19"/>
        <v>0</v>
      </c>
      <c r="AK13" s="1092">
        <f t="shared" si="6"/>
        <v>0</v>
      </c>
      <c r="AL13" s="2"/>
      <c r="AM13" s="1090">
        <f t="shared" si="7"/>
        <v>0</v>
      </c>
      <c r="AN13" s="1105">
        <f t="shared" si="20"/>
        <v>0</v>
      </c>
      <c r="AO13" s="1054">
        <f t="shared" si="21"/>
        <v>0</v>
      </c>
      <c r="AP13" s="1054">
        <f t="shared" si="22"/>
        <v>0</v>
      </c>
      <c r="AQ13" s="1092">
        <f t="shared" si="23"/>
        <v>0</v>
      </c>
      <c r="AR13" s="2"/>
      <c r="AS13" s="1090">
        <f t="shared" si="24"/>
        <v>0</v>
      </c>
      <c r="AT13" s="1091">
        <f t="shared" si="25"/>
        <v>0</v>
      </c>
      <c r="AU13" s="1054">
        <f t="shared" si="26"/>
        <v>0</v>
      </c>
      <c r="AV13" s="1054">
        <f t="shared" si="27"/>
        <v>0</v>
      </c>
      <c r="AW13" s="1092">
        <f t="shared" si="28"/>
        <v>0</v>
      </c>
      <c r="AX13" s="2"/>
      <c r="AY13" s="1090">
        <f t="shared" si="29"/>
        <v>0</v>
      </c>
      <c r="AZ13" s="1385"/>
      <c r="BA13" s="2"/>
    </row>
    <row r="14" spans="1:53" ht="20.25" customHeight="1" x14ac:dyDescent="0.2">
      <c r="A14" s="2"/>
      <c r="B14" s="18">
        <v>7</v>
      </c>
      <c r="C14" s="234">
        <f t="shared" si="30"/>
        <v>7</v>
      </c>
      <c r="D14" s="235">
        <f t="shared" si="8"/>
        <v>1</v>
      </c>
      <c r="E14" s="2159">
        <f t="shared" si="0"/>
        <v>0</v>
      </c>
      <c r="F14" s="2160"/>
      <c r="G14" s="237"/>
      <c r="H14" s="237"/>
      <c r="I14" s="828"/>
      <c r="J14" s="829"/>
      <c r="K14" s="237"/>
      <c r="L14" s="828"/>
      <c r="M14" s="829"/>
      <c r="N14" s="237"/>
      <c r="O14" s="828"/>
      <c r="P14" s="829"/>
      <c r="Q14" s="6"/>
      <c r="R14" s="1053">
        <f t="shared" si="9"/>
        <v>0</v>
      </c>
      <c r="S14" s="1054">
        <f t="shared" si="1"/>
        <v>0</v>
      </c>
      <c r="T14" s="1054">
        <f t="shared" si="10"/>
        <v>0</v>
      </c>
      <c r="U14" s="1055">
        <f t="shared" si="11"/>
        <v>0</v>
      </c>
      <c r="V14" s="231">
        <f t="shared" si="31"/>
        <v>45298</v>
      </c>
      <c r="W14" s="1053">
        <f t="shared" si="2"/>
        <v>0</v>
      </c>
      <c r="X14" s="1054">
        <f t="shared" si="3"/>
        <v>0</v>
      </c>
      <c r="Y14" s="1054">
        <f t="shared" si="4"/>
        <v>0</v>
      </c>
      <c r="Z14" s="1055">
        <f t="shared" si="5"/>
        <v>0</v>
      </c>
      <c r="AA14" s="822">
        <f>VLOOKUP(V14,CASSA!$B$114:$C$479,2,FALSE)</f>
        <v>0</v>
      </c>
      <c r="AB14" s="1053">
        <f t="shared" si="12"/>
        <v>0</v>
      </c>
      <c r="AC14" s="1054">
        <f t="shared" si="13"/>
        <v>0</v>
      </c>
      <c r="AD14" s="1054">
        <f t="shared" si="14"/>
        <v>0</v>
      </c>
      <c r="AE14" s="1055">
        <f t="shared" si="15"/>
        <v>0</v>
      </c>
      <c r="AF14" s="2"/>
      <c r="AG14" s="1090">
        <f t="shared" si="16"/>
        <v>0</v>
      </c>
      <c r="AH14" s="1091">
        <f t="shared" si="17"/>
        <v>0</v>
      </c>
      <c r="AI14" s="1054">
        <f t="shared" si="18"/>
        <v>0</v>
      </c>
      <c r="AJ14" s="1054">
        <f t="shared" si="19"/>
        <v>0</v>
      </c>
      <c r="AK14" s="1092">
        <f t="shared" si="6"/>
        <v>0</v>
      </c>
      <c r="AL14" s="2"/>
      <c r="AM14" s="1090">
        <f t="shared" si="7"/>
        <v>0</v>
      </c>
      <c r="AN14" s="1105">
        <f t="shared" si="20"/>
        <v>0</v>
      </c>
      <c r="AO14" s="1054">
        <f t="shared" si="21"/>
        <v>0</v>
      </c>
      <c r="AP14" s="1054">
        <f t="shared" si="22"/>
        <v>0</v>
      </c>
      <c r="AQ14" s="1092">
        <f t="shared" si="23"/>
        <v>0</v>
      </c>
      <c r="AR14" s="2"/>
      <c r="AS14" s="1090">
        <f t="shared" si="24"/>
        <v>0</v>
      </c>
      <c r="AT14" s="1091">
        <f t="shared" si="25"/>
        <v>0</v>
      </c>
      <c r="AU14" s="1054">
        <f t="shared" si="26"/>
        <v>0</v>
      </c>
      <c r="AV14" s="1054">
        <f t="shared" si="27"/>
        <v>0</v>
      </c>
      <c r="AW14" s="1092">
        <f t="shared" si="28"/>
        <v>0</v>
      </c>
      <c r="AX14" s="2"/>
      <c r="AY14" s="1090">
        <f t="shared" si="29"/>
        <v>0</v>
      </c>
      <c r="AZ14" s="1385"/>
      <c r="BA14" s="2"/>
    </row>
    <row r="15" spans="1:53" ht="20.25" customHeight="1" x14ac:dyDescent="0.2">
      <c r="A15" s="2"/>
      <c r="B15" s="18">
        <v>8</v>
      </c>
      <c r="C15" s="234">
        <f t="shared" si="30"/>
        <v>8</v>
      </c>
      <c r="D15" s="235">
        <f t="shared" si="8"/>
        <v>1</v>
      </c>
      <c r="E15" s="2159">
        <f t="shared" si="0"/>
        <v>0</v>
      </c>
      <c r="F15" s="2160"/>
      <c r="G15" s="237"/>
      <c r="H15" s="237"/>
      <c r="I15" s="828"/>
      <c r="J15" s="829"/>
      <c r="K15" s="237"/>
      <c r="L15" s="828"/>
      <c r="M15" s="829"/>
      <c r="N15" s="237"/>
      <c r="O15" s="828"/>
      <c r="P15" s="829"/>
      <c r="Q15" s="6"/>
      <c r="R15" s="1053">
        <f t="shared" si="9"/>
        <v>0</v>
      </c>
      <c r="S15" s="1054">
        <f t="shared" si="1"/>
        <v>0</v>
      </c>
      <c r="T15" s="1054">
        <f t="shared" si="10"/>
        <v>0</v>
      </c>
      <c r="U15" s="1055">
        <f t="shared" si="11"/>
        <v>0</v>
      </c>
      <c r="V15" s="231">
        <f t="shared" si="31"/>
        <v>45299</v>
      </c>
      <c r="W15" s="1053">
        <f t="shared" si="2"/>
        <v>0</v>
      </c>
      <c r="X15" s="1054">
        <f t="shared" si="3"/>
        <v>0</v>
      </c>
      <c r="Y15" s="1054">
        <f t="shared" si="4"/>
        <v>0</v>
      </c>
      <c r="Z15" s="1055">
        <f t="shared" si="5"/>
        <v>0</v>
      </c>
      <c r="AA15" s="822">
        <f>VLOOKUP(V15,CASSA!$B$114:$C$479,2,FALSE)</f>
        <v>0</v>
      </c>
      <c r="AB15" s="1053">
        <f t="shared" si="12"/>
        <v>0</v>
      </c>
      <c r="AC15" s="1054">
        <f t="shared" si="13"/>
        <v>0</v>
      </c>
      <c r="AD15" s="1054">
        <f t="shared" si="14"/>
        <v>0</v>
      </c>
      <c r="AE15" s="1055">
        <f t="shared" si="15"/>
        <v>0</v>
      </c>
      <c r="AF15" s="2"/>
      <c r="AG15" s="1090">
        <f t="shared" si="16"/>
        <v>0</v>
      </c>
      <c r="AH15" s="1091">
        <f t="shared" si="17"/>
        <v>0</v>
      </c>
      <c r="AI15" s="1054">
        <f t="shared" si="18"/>
        <v>0</v>
      </c>
      <c r="AJ15" s="1054">
        <f t="shared" si="19"/>
        <v>0</v>
      </c>
      <c r="AK15" s="1092">
        <f t="shared" si="6"/>
        <v>0</v>
      </c>
      <c r="AL15" s="2"/>
      <c r="AM15" s="1090">
        <f t="shared" si="7"/>
        <v>0</v>
      </c>
      <c r="AN15" s="1105">
        <f t="shared" si="20"/>
        <v>0</v>
      </c>
      <c r="AO15" s="1054">
        <f t="shared" si="21"/>
        <v>0</v>
      </c>
      <c r="AP15" s="1054">
        <f t="shared" si="22"/>
        <v>0</v>
      </c>
      <c r="AQ15" s="1092">
        <f t="shared" si="23"/>
        <v>0</v>
      </c>
      <c r="AR15" s="2"/>
      <c r="AS15" s="1090">
        <f t="shared" si="24"/>
        <v>0</v>
      </c>
      <c r="AT15" s="1091">
        <f t="shared" si="25"/>
        <v>0</v>
      </c>
      <c r="AU15" s="1054">
        <f t="shared" si="26"/>
        <v>0</v>
      </c>
      <c r="AV15" s="1054">
        <f t="shared" si="27"/>
        <v>0</v>
      </c>
      <c r="AW15" s="1092">
        <f t="shared" si="28"/>
        <v>0</v>
      </c>
      <c r="AX15" s="2"/>
      <c r="AY15" s="1090">
        <f t="shared" si="29"/>
        <v>0</v>
      </c>
      <c r="AZ15" s="1385"/>
      <c r="BA15" s="2"/>
    </row>
    <row r="16" spans="1:53" ht="20.25" customHeight="1" x14ac:dyDescent="0.2">
      <c r="A16" s="2"/>
      <c r="B16" s="18">
        <v>9</v>
      </c>
      <c r="C16" s="234">
        <f t="shared" si="30"/>
        <v>9</v>
      </c>
      <c r="D16" s="235">
        <f t="shared" si="8"/>
        <v>1</v>
      </c>
      <c r="E16" s="2159">
        <f t="shared" si="0"/>
        <v>0</v>
      </c>
      <c r="F16" s="2160"/>
      <c r="G16" s="237"/>
      <c r="H16" s="237"/>
      <c r="I16" s="828"/>
      <c r="J16" s="829"/>
      <c r="K16" s="237"/>
      <c r="L16" s="828"/>
      <c r="M16" s="829"/>
      <c r="N16" s="237"/>
      <c r="O16" s="828"/>
      <c r="P16" s="829"/>
      <c r="Q16" s="6"/>
      <c r="R16" s="1053">
        <f t="shared" si="9"/>
        <v>0</v>
      </c>
      <c r="S16" s="1054">
        <f t="shared" si="1"/>
        <v>0</v>
      </c>
      <c r="T16" s="1054">
        <f t="shared" si="10"/>
        <v>0</v>
      </c>
      <c r="U16" s="1055">
        <f t="shared" si="11"/>
        <v>0</v>
      </c>
      <c r="V16" s="231">
        <f t="shared" si="31"/>
        <v>45300</v>
      </c>
      <c r="W16" s="1053">
        <f t="shared" si="2"/>
        <v>0</v>
      </c>
      <c r="X16" s="1054">
        <f t="shared" si="3"/>
        <v>0</v>
      </c>
      <c r="Y16" s="1054">
        <f t="shared" si="4"/>
        <v>0</v>
      </c>
      <c r="Z16" s="1055">
        <f t="shared" si="5"/>
        <v>0</v>
      </c>
      <c r="AA16" s="822">
        <f>VLOOKUP(V16,CASSA!$B$114:$C$479,2,FALSE)</f>
        <v>0</v>
      </c>
      <c r="AB16" s="1053">
        <f t="shared" si="12"/>
        <v>0</v>
      </c>
      <c r="AC16" s="1054">
        <f t="shared" si="13"/>
        <v>0</v>
      </c>
      <c r="AD16" s="1054">
        <f t="shared" si="14"/>
        <v>0</v>
      </c>
      <c r="AE16" s="1055">
        <f t="shared" si="15"/>
        <v>0</v>
      </c>
      <c r="AF16" s="2"/>
      <c r="AG16" s="1090">
        <f t="shared" si="16"/>
        <v>0</v>
      </c>
      <c r="AH16" s="1091">
        <f t="shared" si="17"/>
        <v>0</v>
      </c>
      <c r="AI16" s="1054">
        <f t="shared" si="18"/>
        <v>0</v>
      </c>
      <c r="AJ16" s="1054">
        <f t="shared" si="19"/>
        <v>0</v>
      </c>
      <c r="AK16" s="1092">
        <f t="shared" si="6"/>
        <v>0</v>
      </c>
      <c r="AL16" s="2"/>
      <c r="AM16" s="1090">
        <f t="shared" si="7"/>
        <v>0</v>
      </c>
      <c r="AN16" s="1105">
        <f t="shared" si="20"/>
        <v>0</v>
      </c>
      <c r="AO16" s="1054">
        <f t="shared" si="21"/>
        <v>0</v>
      </c>
      <c r="AP16" s="1054">
        <f t="shared" si="22"/>
        <v>0</v>
      </c>
      <c r="AQ16" s="1092">
        <f t="shared" si="23"/>
        <v>0</v>
      </c>
      <c r="AR16" s="2"/>
      <c r="AS16" s="1090">
        <f t="shared" si="24"/>
        <v>0</v>
      </c>
      <c r="AT16" s="1091">
        <f t="shared" si="25"/>
        <v>0</v>
      </c>
      <c r="AU16" s="1054">
        <f t="shared" si="26"/>
        <v>0</v>
      </c>
      <c r="AV16" s="1054">
        <f t="shared" si="27"/>
        <v>0</v>
      </c>
      <c r="AW16" s="1092">
        <f t="shared" si="28"/>
        <v>0</v>
      </c>
      <c r="AX16" s="2"/>
      <c r="AY16" s="1090">
        <f t="shared" si="29"/>
        <v>0</v>
      </c>
      <c r="AZ16" s="1385"/>
      <c r="BA16" s="2"/>
    </row>
    <row r="17" spans="1:53" ht="20.25" customHeight="1" x14ac:dyDescent="0.2">
      <c r="A17" s="2"/>
      <c r="B17" s="18">
        <v>10</v>
      </c>
      <c r="C17" s="234">
        <f t="shared" si="30"/>
        <v>10</v>
      </c>
      <c r="D17" s="235">
        <f t="shared" si="8"/>
        <v>1</v>
      </c>
      <c r="E17" s="2159">
        <f t="shared" si="0"/>
        <v>0</v>
      </c>
      <c r="F17" s="2160"/>
      <c r="G17" s="237"/>
      <c r="H17" s="237"/>
      <c r="I17" s="828"/>
      <c r="J17" s="829"/>
      <c r="K17" s="237"/>
      <c r="L17" s="828"/>
      <c r="M17" s="829"/>
      <c r="N17" s="237"/>
      <c r="O17" s="828"/>
      <c r="P17" s="829"/>
      <c r="Q17" s="6"/>
      <c r="R17" s="1053">
        <f t="shared" si="9"/>
        <v>0</v>
      </c>
      <c r="S17" s="1054">
        <f t="shared" si="1"/>
        <v>0</v>
      </c>
      <c r="T17" s="1054">
        <f t="shared" si="10"/>
        <v>0</v>
      </c>
      <c r="U17" s="1055">
        <f t="shared" si="11"/>
        <v>0</v>
      </c>
      <c r="V17" s="231">
        <f t="shared" si="31"/>
        <v>45301</v>
      </c>
      <c r="W17" s="1053">
        <f t="shared" si="2"/>
        <v>0</v>
      </c>
      <c r="X17" s="1054">
        <f t="shared" si="3"/>
        <v>0</v>
      </c>
      <c r="Y17" s="1054">
        <f t="shared" si="4"/>
        <v>0</v>
      </c>
      <c r="Z17" s="1055">
        <f t="shared" si="5"/>
        <v>0</v>
      </c>
      <c r="AA17" s="822">
        <f>VLOOKUP(V17,CASSA!$B$114:$C$479,2,FALSE)</f>
        <v>0</v>
      </c>
      <c r="AB17" s="1053">
        <f t="shared" si="12"/>
        <v>0</v>
      </c>
      <c r="AC17" s="1054">
        <f t="shared" si="13"/>
        <v>0</v>
      </c>
      <c r="AD17" s="1054">
        <f t="shared" si="14"/>
        <v>0</v>
      </c>
      <c r="AE17" s="1055">
        <f t="shared" si="15"/>
        <v>0</v>
      </c>
      <c r="AF17" s="2"/>
      <c r="AG17" s="1090">
        <f t="shared" si="16"/>
        <v>0</v>
      </c>
      <c r="AH17" s="1091">
        <f t="shared" si="17"/>
        <v>0</v>
      </c>
      <c r="AI17" s="1054">
        <f t="shared" si="18"/>
        <v>0</v>
      </c>
      <c r="AJ17" s="1054">
        <f t="shared" si="19"/>
        <v>0</v>
      </c>
      <c r="AK17" s="1092">
        <f t="shared" si="6"/>
        <v>0</v>
      </c>
      <c r="AL17" s="2"/>
      <c r="AM17" s="1090">
        <f t="shared" si="7"/>
        <v>0</v>
      </c>
      <c r="AN17" s="1105">
        <f t="shared" si="20"/>
        <v>0</v>
      </c>
      <c r="AO17" s="1054">
        <f t="shared" si="21"/>
        <v>0</v>
      </c>
      <c r="AP17" s="1054">
        <f t="shared" si="22"/>
        <v>0</v>
      </c>
      <c r="AQ17" s="1092">
        <f t="shared" si="23"/>
        <v>0</v>
      </c>
      <c r="AR17" s="2"/>
      <c r="AS17" s="1090">
        <f t="shared" si="24"/>
        <v>0</v>
      </c>
      <c r="AT17" s="1091">
        <f t="shared" si="25"/>
        <v>0</v>
      </c>
      <c r="AU17" s="1054">
        <f t="shared" si="26"/>
        <v>0</v>
      </c>
      <c r="AV17" s="1054">
        <f t="shared" si="27"/>
        <v>0</v>
      </c>
      <c r="AW17" s="1092">
        <f t="shared" si="28"/>
        <v>0</v>
      </c>
      <c r="AX17" s="2"/>
      <c r="AY17" s="1090">
        <f t="shared" si="29"/>
        <v>0</v>
      </c>
      <c r="AZ17" s="1385"/>
      <c r="BA17" s="2"/>
    </row>
    <row r="18" spans="1:53" ht="20.25" customHeight="1" x14ac:dyDescent="0.2">
      <c r="A18" s="2"/>
      <c r="B18" s="18">
        <v>11</v>
      </c>
      <c r="C18" s="234">
        <f t="shared" si="30"/>
        <v>11</v>
      </c>
      <c r="D18" s="235">
        <f t="shared" si="8"/>
        <v>1</v>
      </c>
      <c r="E18" s="2159">
        <f t="shared" si="0"/>
        <v>0</v>
      </c>
      <c r="F18" s="2160"/>
      <c r="G18" s="237"/>
      <c r="H18" s="237"/>
      <c r="I18" s="828"/>
      <c r="J18" s="829"/>
      <c r="K18" s="237"/>
      <c r="L18" s="828"/>
      <c r="M18" s="829"/>
      <c r="N18" s="237"/>
      <c r="O18" s="828"/>
      <c r="P18" s="829"/>
      <c r="Q18" s="6"/>
      <c r="R18" s="1053">
        <f t="shared" si="9"/>
        <v>0</v>
      </c>
      <c r="S18" s="1054">
        <f t="shared" si="1"/>
        <v>0</v>
      </c>
      <c r="T18" s="1054">
        <f t="shared" si="10"/>
        <v>0</v>
      </c>
      <c r="U18" s="1055">
        <f t="shared" si="11"/>
        <v>0</v>
      </c>
      <c r="V18" s="231">
        <f t="shared" si="31"/>
        <v>45302</v>
      </c>
      <c r="W18" s="1053">
        <f t="shared" si="2"/>
        <v>0</v>
      </c>
      <c r="X18" s="1054">
        <f t="shared" si="3"/>
        <v>0</v>
      </c>
      <c r="Y18" s="1054">
        <f t="shared" si="4"/>
        <v>0</v>
      </c>
      <c r="Z18" s="1055">
        <f t="shared" si="5"/>
        <v>0</v>
      </c>
      <c r="AA18" s="822">
        <f>VLOOKUP(V18,CASSA!$B$114:$C$479,2,FALSE)</f>
        <v>0</v>
      </c>
      <c r="AB18" s="1053">
        <f t="shared" si="12"/>
        <v>0</v>
      </c>
      <c r="AC18" s="1054">
        <f t="shared" si="13"/>
        <v>0</v>
      </c>
      <c r="AD18" s="1054">
        <f t="shared" si="14"/>
        <v>0</v>
      </c>
      <c r="AE18" s="1055">
        <f t="shared" si="15"/>
        <v>0</v>
      </c>
      <c r="AF18" s="2"/>
      <c r="AG18" s="1090">
        <f t="shared" si="16"/>
        <v>0</v>
      </c>
      <c r="AH18" s="1091">
        <f t="shared" si="17"/>
        <v>0</v>
      </c>
      <c r="AI18" s="1054">
        <f t="shared" si="18"/>
        <v>0</v>
      </c>
      <c r="AJ18" s="1054">
        <f t="shared" si="19"/>
        <v>0</v>
      </c>
      <c r="AK18" s="1092">
        <f t="shared" si="6"/>
        <v>0</v>
      </c>
      <c r="AL18" s="2"/>
      <c r="AM18" s="1090">
        <f t="shared" si="7"/>
        <v>0</v>
      </c>
      <c r="AN18" s="1105">
        <f t="shared" si="20"/>
        <v>0</v>
      </c>
      <c r="AO18" s="1054">
        <f t="shared" si="21"/>
        <v>0</v>
      </c>
      <c r="AP18" s="1054">
        <f t="shared" si="22"/>
        <v>0</v>
      </c>
      <c r="AQ18" s="1092">
        <f t="shared" si="23"/>
        <v>0</v>
      </c>
      <c r="AR18" s="2"/>
      <c r="AS18" s="1090">
        <f t="shared" si="24"/>
        <v>0</v>
      </c>
      <c r="AT18" s="1091">
        <f t="shared" si="25"/>
        <v>0</v>
      </c>
      <c r="AU18" s="1054">
        <f t="shared" si="26"/>
        <v>0</v>
      </c>
      <c r="AV18" s="1054">
        <f t="shared" si="27"/>
        <v>0</v>
      </c>
      <c r="AW18" s="1092">
        <f t="shared" si="28"/>
        <v>0</v>
      </c>
      <c r="AX18" s="2"/>
      <c r="AY18" s="1090">
        <f t="shared" si="29"/>
        <v>0</v>
      </c>
      <c r="AZ18" s="1385"/>
      <c r="BA18" s="2"/>
    </row>
    <row r="19" spans="1:53" ht="20.25" customHeight="1" x14ac:dyDescent="0.2">
      <c r="A19" s="2"/>
      <c r="B19" s="18">
        <v>12</v>
      </c>
      <c r="C19" s="234">
        <f t="shared" si="30"/>
        <v>12</v>
      </c>
      <c r="D19" s="235">
        <f t="shared" si="8"/>
        <v>1</v>
      </c>
      <c r="E19" s="2159">
        <f t="shared" si="0"/>
        <v>0</v>
      </c>
      <c r="F19" s="2160"/>
      <c r="G19" s="237"/>
      <c r="H19" s="237"/>
      <c r="I19" s="828"/>
      <c r="J19" s="829"/>
      <c r="K19" s="237"/>
      <c r="L19" s="828"/>
      <c r="M19" s="829"/>
      <c r="N19" s="237"/>
      <c r="O19" s="828"/>
      <c r="P19" s="829"/>
      <c r="Q19" s="6"/>
      <c r="R19" s="1053">
        <f t="shared" si="9"/>
        <v>0</v>
      </c>
      <c r="S19" s="1054">
        <f t="shared" si="1"/>
        <v>0</v>
      </c>
      <c r="T19" s="1054">
        <f t="shared" si="10"/>
        <v>0</v>
      </c>
      <c r="U19" s="1055">
        <f t="shared" si="11"/>
        <v>0</v>
      </c>
      <c r="V19" s="231">
        <f t="shared" si="31"/>
        <v>45303</v>
      </c>
      <c r="W19" s="1053">
        <f t="shared" si="2"/>
        <v>0</v>
      </c>
      <c r="X19" s="1054">
        <f t="shared" si="3"/>
        <v>0</v>
      </c>
      <c r="Y19" s="1054">
        <f t="shared" si="4"/>
        <v>0</v>
      </c>
      <c r="Z19" s="1055">
        <f t="shared" si="5"/>
        <v>0</v>
      </c>
      <c r="AA19" s="822">
        <f>VLOOKUP(V19,CASSA!$B$114:$C$479,2,FALSE)</f>
        <v>0</v>
      </c>
      <c r="AB19" s="1053">
        <f t="shared" si="12"/>
        <v>0</v>
      </c>
      <c r="AC19" s="1054">
        <f t="shared" si="13"/>
        <v>0</v>
      </c>
      <c r="AD19" s="1054">
        <f t="shared" si="14"/>
        <v>0</v>
      </c>
      <c r="AE19" s="1055">
        <f t="shared" si="15"/>
        <v>0</v>
      </c>
      <c r="AF19" s="2"/>
      <c r="AG19" s="1090">
        <f t="shared" si="16"/>
        <v>0</v>
      </c>
      <c r="AH19" s="1091">
        <f t="shared" si="17"/>
        <v>0</v>
      </c>
      <c r="AI19" s="1054">
        <f t="shared" si="18"/>
        <v>0</v>
      </c>
      <c r="AJ19" s="1054">
        <f t="shared" si="19"/>
        <v>0</v>
      </c>
      <c r="AK19" s="1092">
        <f t="shared" si="6"/>
        <v>0</v>
      </c>
      <c r="AL19" s="2"/>
      <c r="AM19" s="1090">
        <f t="shared" si="7"/>
        <v>0</v>
      </c>
      <c r="AN19" s="1105">
        <f t="shared" si="20"/>
        <v>0</v>
      </c>
      <c r="AO19" s="1054">
        <f t="shared" si="21"/>
        <v>0</v>
      </c>
      <c r="AP19" s="1054">
        <f t="shared" si="22"/>
        <v>0</v>
      </c>
      <c r="AQ19" s="1092">
        <f t="shared" si="23"/>
        <v>0</v>
      </c>
      <c r="AR19" s="2"/>
      <c r="AS19" s="1090">
        <f t="shared" si="24"/>
        <v>0</v>
      </c>
      <c r="AT19" s="1091">
        <f t="shared" si="25"/>
        <v>0</v>
      </c>
      <c r="AU19" s="1054">
        <f t="shared" si="26"/>
        <v>0</v>
      </c>
      <c r="AV19" s="1054">
        <f t="shared" si="27"/>
        <v>0</v>
      </c>
      <c r="AW19" s="1092">
        <f t="shared" si="28"/>
        <v>0</v>
      </c>
      <c r="AX19" s="2"/>
      <c r="AY19" s="1090">
        <f t="shared" si="29"/>
        <v>0</v>
      </c>
      <c r="AZ19" s="1385"/>
      <c r="BA19" s="2"/>
    </row>
    <row r="20" spans="1:53" ht="20.25" customHeight="1" x14ac:dyDescent="0.2">
      <c r="A20" s="2"/>
      <c r="B20" s="18">
        <v>13</v>
      </c>
      <c r="C20" s="234">
        <f t="shared" si="30"/>
        <v>13</v>
      </c>
      <c r="D20" s="235">
        <f t="shared" si="8"/>
        <v>1</v>
      </c>
      <c r="E20" s="2159">
        <f t="shared" si="0"/>
        <v>0</v>
      </c>
      <c r="F20" s="2160"/>
      <c r="G20" s="237"/>
      <c r="H20" s="237"/>
      <c r="I20" s="828"/>
      <c r="J20" s="829"/>
      <c r="K20" s="237"/>
      <c r="L20" s="828"/>
      <c r="M20" s="829"/>
      <c r="N20" s="237"/>
      <c r="O20" s="828"/>
      <c r="P20" s="829"/>
      <c r="Q20" s="6"/>
      <c r="R20" s="1053">
        <f t="shared" si="9"/>
        <v>0</v>
      </c>
      <c r="S20" s="1054">
        <f t="shared" si="1"/>
        <v>0</v>
      </c>
      <c r="T20" s="1054">
        <f t="shared" si="10"/>
        <v>0</v>
      </c>
      <c r="U20" s="1055">
        <f t="shared" si="11"/>
        <v>0</v>
      </c>
      <c r="V20" s="231">
        <f t="shared" si="31"/>
        <v>45304</v>
      </c>
      <c r="W20" s="1053">
        <f t="shared" si="2"/>
        <v>0</v>
      </c>
      <c r="X20" s="1054">
        <f t="shared" si="3"/>
        <v>0</v>
      </c>
      <c r="Y20" s="1054">
        <f t="shared" si="4"/>
        <v>0</v>
      </c>
      <c r="Z20" s="1055">
        <f t="shared" si="5"/>
        <v>0</v>
      </c>
      <c r="AA20" s="822">
        <f>VLOOKUP(V20,CASSA!$B$114:$C$479,2,FALSE)</f>
        <v>0</v>
      </c>
      <c r="AB20" s="1053">
        <f t="shared" si="12"/>
        <v>0</v>
      </c>
      <c r="AC20" s="1054">
        <f t="shared" si="13"/>
        <v>0</v>
      </c>
      <c r="AD20" s="1054">
        <f t="shared" si="14"/>
        <v>0</v>
      </c>
      <c r="AE20" s="1055">
        <f t="shared" si="15"/>
        <v>0</v>
      </c>
      <c r="AF20" s="2"/>
      <c r="AG20" s="1090">
        <f t="shared" si="16"/>
        <v>0</v>
      </c>
      <c r="AH20" s="1091">
        <f t="shared" si="17"/>
        <v>0</v>
      </c>
      <c r="AI20" s="1054">
        <f t="shared" si="18"/>
        <v>0</v>
      </c>
      <c r="AJ20" s="1054">
        <f t="shared" si="19"/>
        <v>0</v>
      </c>
      <c r="AK20" s="1092">
        <f t="shared" si="6"/>
        <v>0</v>
      </c>
      <c r="AL20" s="2"/>
      <c r="AM20" s="1090">
        <f t="shared" si="7"/>
        <v>0</v>
      </c>
      <c r="AN20" s="1105">
        <f t="shared" si="20"/>
        <v>0</v>
      </c>
      <c r="AO20" s="1054">
        <f t="shared" si="21"/>
        <v>0</v>
      </c>
      <c r="AP20" s="1054">
        <f t="shared" si="22"/>
        <v>0</v>
      </c>
      <c r="AQ20" s="1092">
        <f t="shared" si="23"/>
        <v>0</v>
      </c>
      <c r="AR20" s="2"/>
      <c r="AS20" s="1090">
        <f t="shared" si="24"/>
        <v>0</v>
      </c>
      <c r="AT20" s="1091">
        <f t="shared" si="25"/>
        <v>0</v>
      </c>
      <c r="AU20" s="1054">
        <f t="shared" si="26"/>
        <v>0</v>
      </c>
      <c r="AV20" s="1054">
        <f t="shared" si="27"/>
        <v>0</v>
      </c>
      <c r="AW20" s="1092">
        <f t="shared" si="28"/>
        <v>0</v>
      </c>
      <c r="AX20" s="2"/>
      <c r="AY20" s="1090">
        <f t="shared" si="29"/>
        <v>0</v>
      </c>
      <c r="AZ20" s="1385"/>
      <c r="BA20" s="2"/>
    </row>
    <row r="21" spans="1:53" ht="20.25" customHeight="1" x14ac:dyDescent="0.2">
      <c r="A21" s="2"/>
      <c r="B21" s="18">
        <v>14</v>
      </c>
      <c r="C21" s="234">
        <f t="shared" si="30"/>
        <v>14</v>
      </c>
      <c r="D21" s="235">
        <f t="shared" si="8"/>
        <v>1</v>
      </c>
      <c r="E21" s="2159">
        <f t="shared" si="0"/>
        <v>0</v>
      </c>
      <c r="F21" s="2160"/>
      <c r="G21" s="237"/>
      <c r="H21" s="237"/>
      <c r="I21" s="828"/>
      <c r="J21" s="829"/>
      <c r="K21" s="237"/>
      <c r="L21" s="828"/>
      <c r="M21" s="829"/>
      <c r="N21" s="237"/>
      <c r="O21" s="828"/>
      <c r="P21" s="829"/>
      <c r="Q21" s="6"/>
      <c r="R21" s="1053">
        <f t="shared" si="9"/>
        <v>0</v>
      </c>
      <c r="S21" s="1054">
        <f t="shared" si="1"/>
        <v>0</v>
      </c>
      <c r="T21" s="1054">
        <f t="shared" si="10"/>
        <v>0</v>
      </c>
      <c r="U21" s="1055">
        <f t="shared" si="11"/>
        <v>0</v>
      </c>
      <c r="V21" s="231">
        <f t="shared" si="31"/>
        <v>45305</v>
      </c>
      <c r="W21" s="1053">
        <f t="shared" si="2"/>
        <v>0</v>
      </c>
      <c r="X21" s="1054">
        <f t="shared" si="3"/>
        <v>0</v>
      </c>
      <c r="Y21" s="1054">
        <f t="shared" si="4"/>
        <v>0</v>
      </c>
      <c r="Z21" s="1055">
        <f t="shared" si="5"/>
        <v>0</v>
      </c>
      <c r="AA21" s="822">
        <f>VLOOKUP(V21,CASSA!$B$114:$C$479,2,FALSE)</f>
        <v>0</v>
      </c>
      <c r="AB21" s="1053">
        <f t="shared" si="12"/>
        <v>0</v>
      </c>
      <c r="AC21" s="1054">
        <f t="shared" si="13"/>
        <v>0</v>
      </c>
      <c r="AD21" s="1054">
        <f t="shared" si="14"/>
        <v>0</v>
      </c>
      <c r="AE21" s="1055">
        <f t="shared" si="15"/>
        <v>0</v>
      </c>
      <c r="AF21" s="2"/>
      <c r="AG21" s="1090">
        <f t="shared" si="16"/>
        <v>0</v>
      </c>
      <c r="AH21" s="1091">
        <f t="shared" si="17"/>
        <v>0</v>
      </c>
      <c r="AI21" s="1054">
        <f t="shared" si="18"/>
        <v>0</v>
      </c>
      <c r="AJ21" s="1054">
        <f t="shared" si="19"/>
        <v>0</v>
      </c>
      <c r="AK21" s="1092">
        <f t="shared" si="6"/>
        <v>0</v>
      </c>
      <c r="AL21" s="2"/>
      <c r="AM21" s="1090">
        <f t="shared" si="7"/>
        <v>0</v>
      </c>
      <c r="AN21" s="1105">
        <f t="shared" si="20"/>
        <v>0</v>
      </c>
      <c r="AO21" s="1054">
        <f t="shared" si="21"/>
        <v>0</v>
      </c>
      <c r="AP21" s="1054">
        <f t="shared" si="22"/>
        <v>0</v>
      </c>
      <c r="AQ21" s="1092">
        <f t="shared" si="23"/>
        <v>0</v>
      </c>
      <c r="AR21" s="2"/>
      <c r="AS21" s="1090">
        <f t="shared" si="24"/>
        <v>0</v>
      </c>
      <c r="AT21" s="1091">
        <f t="shared" si="25"/>
        <v>0</v>
      </c>
      <c r="AU21" s="1054">
        <f t="shared" si="26"/>
        <v>0</v>
      </c>
      <c r="AV21" s="1054">
        <f t="shared" si="27"/>
        <v>0</v>
      </c>
      <c r="AW21" s="1092">
        <f t="shared" si="28"/>
        <v>0</v>
      </c>
      <c r="AX21" s="2"/>
      <c r="AY21" s="1090">
        <f t="shared" si="29"/>
        <v>0</v>
      </c>
      <c r="AZ21" s="1385"/>
      <c r="BA21" s="2"/>
    </row>
    <row r="22" spans="1:53" ht="20.25" customHeight="1" x14ac:dyDescent="0.2">
      <c r="A22" s="2"/>
      <c r="B22" s="18">
        <v>15</v>
      </c>
      <c r="C22" s="234">
        <f t="shared" si="30"/>
        <v>15</v>
      </c>
      <c r="D22" s="235">
        <f t="shared" si="8"/>
        <v>1</v>
      </c>
      <c r="E22" s="2159">
        <f t="shared" si="0"/>
        <v>0</v>
      </c>
      <c r="F22" s="2160"/>
      <c r="G22" s="237"/>
      <c r="H22" s="237"/>
      <c r="I22" s="828"/>
      <c r="J22" s="829"/>
      <c r="K22" s="237"/>
      <c r="L22" s="828"/>
      <c r="M22" s="829"/>
      <c r="N22" s="237"/>
      <c r="O22" s="828"/>
      <c r="P22" s="829"/>
      <c r="Q22" s="6"/>
      <c r="R22" s="1053">
        <f t="shared" si="9"/>
        <v>0</v>
      </c>
      <c r="S22" s="1054">
        <f t="shared" si="1"/>
        <v>0</v>
      </c>
      <c r="T22" s="1054">
        <f t="shared" si="10"/>
        <v>0</v>
      </c>
      <c r="U22" s="1055">
        <f t="shared" si="11"/>
        <v>0</v>
      </c>
      <c r="V22" s="231">
        <f t="shared" si="31"/>
        <v>45306</v>
      </c>
      <c r="W22" s="1053">
        <f t="shared" si="2"/>
        <v>0</v>
      </c>
      <c r="X22" s="1054">
        <f t="shared" si="3"/>
        <v>0</v>
      </c>
      <c r="Y22" s="1054">
        <f t="shared" si="4"/>
        <v>0</v>
      </c>
      <c r="Z22" s="1055">
        <f t="shared" si="5"/>
        <v>0</v>
      </c>
      <c r="AA22" s="822">
        <f>VLOOKUP(V22,CASSA!$B$114:$C$479,2,FALSE)</f>
        <v>0</v>
      </c>
      <c r="AB22" s="1053">
        <f t="shared" si="12"/>
        <v>0</v>
      </c>
      <c r="AC22" s="1054">
        <f t="shared" si="13"/>
        <v>0</v>
      </c>
      <c r="AD22" s="1054">
        <f t="shared" si="14"/>
        <v>0</v>
      </c>
      <c r="AE22" s="1055">
        <f t="shared" si="15"/>
        <v>0</v>
      </c>
      <c r="AF22" s="2"/>
      <c r="AG22" s="1090">
        <f t="shared" si="16"/>
        <v>0</v>
      </c>
      <c r="AH22" s="1091">
        <f t="shared" si="17"/>
        <v>0</v>
      </c>
      <c r="AI22" s="1054">
        <f t="shared" si="18"/>
        <v>0</v>
      </c>
      <c r="AJ22" s="1054">
        <f t="shared" si="19"/>
        <v>0</v>
      </c>
      <c r="AK22" s="1092">
        <f t="shared" si="6"/>
        <v>0</v>
      </c>
      <c r="AL22" s="2"/>
      <c r="AM22" s="1090">
        <f t="shared" si="7"/>
        <v>0</v>
      </c>
      <c r="AN22" s="1105">
        <f t="shared" si="20"/>
        <v>0</v>
      </c>
      <c r="AO22" s="1054">
        <f t="shared" si="21"/>
        <v>0</v>
      </c>
      <c r="AP22" s="1054">
        <f t="shared" si="22"/>
        <v>0</v>
      </c>
      <c r="AQ22" s="1092">
        <f t="shared" si="23"/>
        <v>0</v>
      </c>
      <c r="AR22" s="2"/>
      <c r="AS22" s="1090">
        <f t="shared" si="24"/>
        <v>0</v>
      </c>
      <c r="AT22" s="1091">
        <f t="shared" si="25"/>
        <v>0</v>
      </c>
      <c r="AU22" s="1054">
        <f t="shared" si="26"/>
        <v>0</v>
      </c>
      <c r="AV22" s="1054">
        <f t="shared" si="27"/>
        <v>0</v>
      </c>
      <c r="AW22" s="1092">
        <f t="shared" si="28"/>
        <v>0</v>
      </c>
      <c r="AX22" s="2"/>
      <c r="AY22" s="1090">
        <f t="shared" si="29"/>
        <v>0</v>
      </c>
      <c r="AZ22" s="1385"/>
      <c r="BA22" s="2"/>
    </row>
    <row r="23" spans="1:53" ht="20.25" customHeight="1" x14ac:dyDescent="0.2">
      <c r="A23" s="2"/>
      <c r="B23" s="18">
        <v>16</v>
      </c>
      <c r="C23" s="234">
        <f t="shared" si="30"/>
        <v>16</v>
      </c>
      <c r="D23" s="235">
        <f t="shared" si="8"/>
        <v>1</v>
      </c>
      <c r="E23" s="2159">
        <f t="shared" si="0"/>
        <v>0</v>
      </c>
      <c r="F23" s="2160"/>
      <c r="G23" s="237"/>
      <c r="H23" s="237"/>
      <c r="I23" s="828"/>
      <c r="J23" s="829"/>
      <c r="K23" s="237"/>
      <c r="L23" s="828"/>
      <c r="M23" s="829"/>
      <c r="N23" s="237"/>
      <c r="O23" s="828"/>
      <c r="P23" s="829"/>
      <c r="Q23" s="6"/>
      <c r="R23" s="1053">
        <f t="shared" si="9"/>
        <v>0</v>
      </c>
      <c r="S23" s="1054">
        <f t="shared" si="1"/>
        <v>0</v>
      </c>
      <c r="T23" s="1054">
        <f t="shared" si="10"/>
        <v>0</v>
      </c>
      <c r="U23" s="1055">
        <f t="shared" si="11"/>
        <v>0</v>
      </c>
      <c r="V23" s="231">
        <f t="shared" si="31"/>
        <v>45307</v>
      </c>
      <c r="W23" s="1053">
        <f t="shared" si="2"/>
        <v>0</v>
      </c>
      <c r="X23" s="1054">
        <f t="shared" si="3"/>
        <v>0</v>
      </c>
      <c r="Y23" s="1054">
        <f t="shared" si="4"/>
        <v>0</v>
      </c>
      <c r="Z23" s="1055">
        <f t="shared" si="5"/>
        <v>0</v>
      </c>
      <c r="AA23" s="822">
        <f>VLOOKUP(V23,CASSA!$B$114:$C$479,2,FALSE)</f>
        <v>0</v>
      </c>
      <c r="AB23" s="1053">
        <f t="shared" si="12"/>
        <v>0</v>
      </c>
      <c r="AC23" s="1054">
        <f t="shared" si="13"/>
        <v>0</v>
      </c>
      <c r="AD23" s="1054">
        <f t="shared" si="14"/>
        <v>0</v>
      </c>
      <c r="AE23" s="1055">
        <f t="shared" si="15"/>
        <v>0</v>
      </c>
      <c r="AF23" s="2"/>
      <c r="AG23" s="1090">
        <f t="shared" si="16"/>
        <v>0</v>
      </c>
      <c r="AH23" s="1091">
        <f t="shared" si="17"/>
        <v>0</v>
      </c>
      <c r="AI23" s="1054">
        <f t="shared" si="18"/>
        <v>0</v>
      </c>
      <c r="AJ23" s="1054">
        <f t="shared" si="19"/>
        <v>0</v>
      </c>
      <c r="AK23" s="1092">
        <f t="shared" si="6"/>
        <v>0</v>
      </c>
      <c r="AL23" s="2"/>
      <c r="AM23" s="1090">
        <f t="shared" si="7"/>
        <v>0</v>
      </c>
      <c r="AN23" s="1105">
        <f t="shared" si="20"/>
        <v>0</v>
      </c>
      <c r="AO23" s="1054">
        <f t="shared" si="21"/>
        <v>0</v>
      </c>
      <c r="AP23" s="1054">
        <f t="shared" si="22"/>
        <v>0</v>
      </c>
      <c r="AQ23" s="1092">
        <f t="shared" si="23"/>
        <v>0</v>
      </c>
      <c r="AR23" s="2"/>
      <c r="AS23" s="1090">
        <f t="shared" si="24"/>
        <v>0</v>
      </c>
      <c r="AT23" s="1091">
        <f t="shared" si="25"/>
        <v>0</v>
      </c>
      <c r="AU23" s="1054">
        <f t="shared" si="26"/>
        <v>0</v>
      </c>
      <c r="AV23" s="1054">
        <f t="shared" si="27"/>
        <v>0</v>
      </c>
      <c r="AW23" s="1092">
        <f t="shared" si="28"/>
        <v>0</v>
      </c>
      <c r="AX23" s="2"/>
      <c r="AY23" s="1090">
        <f t="shared" si="29"/>
        <v>0</v>
      </c>
      <c r="AZ23" s="1385"/>
      <c r="BA23" s="2"/>
    </row>
    <row r="24" spans="1:53" ht="20.25" customHeight="1" x14ac:dyDescent="0.2">
      <c r="A24" s="2"/>
      <c r="B24" s="18">
        <v>17</v>
      </c>
      <c r="C24" s="234">
        <f t="shared" si="30"/>
        <v>17</v>
      </c>
      <c r="D24" s="235">
        <f t="shared" si="8"/>
        <v>1</v>
      </c>
      <c r="E24" s="2159">
        <f t="shared" si="0"/>
        <v>0</v>
      </c>
      <c r="F24" s="2160"/>
      <c r="G24" s="237"/>
      <c r="H24" s="237"/>
      <c r="I24" s="828"/>
      <c r="J24" s="829"/>
      <c r="K24" s="237"/>
      <c r="L24" s="828"/>
      <c r="M24" s="829"/>
      <c r="N24" s="237"/>
      <c r="O24" s="828"/>
      <c r="P24" s="829"/>
      <c r="Q24" s="6"/>
      <c r="R24" s="1053">
        <f t="shared" si="9"/>
        <v>0</v>
      </c>
      <c r="S24" s="1054">
        <f t="shared" si="1"/>
        <v>0</v>
      </c>
      <c r="T24" s="1054">
        <f t="shared" si="10"/>
        <v>0</v>
      </c>
      <c r="U24" s="1055">
        <f t="shared" si="11"/>
        <v>0</v>
      </c>
      <c r="V24" s="231">
        <f t="shared" si="31"/>
        <v>45308</v>
      </c>
      <c r="W24" s="1053">
        <f t="shared" si="2"/>
        <v>0</v>
      </c>
      <c r="X24" s="1054">
        <f t="shared" si="3"/>
        <v>0</v>
      </c>
      <c r="Y24" s="1054">
        <f t="shared" si="4"/>
        <v>0</v>
      </c>
      <c r="Z24" s="1055">
        <f t="shared" si="5"/>
        <v>0</v>
      </c>
      <c r="AA24" s="822">
        <f>VLOOKUP(V24,CASSA!$B$114:$C$479,2,FALSE)</f>
        <v>0</v>
      </c>
      <c r="AB24" s="1053">
        <f t="shared" si="12"/>
        <v>0</v>
      </c>
      <c r="AC24" s="1054">
        <f t="shared" si="13"/>
        <v>0</v>
      </c>
      <c r="AD24" s="1054">
        <f t="shared" si="14"/>
        <v>0</v>
      </c>
      <c r="AE24" s="1055">
        <f t="shared" si="15"/>
        <v>0</v>
      </c>
      <c r="AF24" s="2"/>
      <c r="AG24" s="1090">
        <f t="shared" si="16"/>
        <v>0</v>
      </c>
      <c r="AH24" s="1091">
        <f t="shared" si="17"/>
        <v>0</v>
      </c>
      <c r="AI24" s="1054">
        <f t="shared" si="18"/>
        <v>0</v>
      </c>
      <c r="AJ24" s="1054">
        <f t="shared" si="19"/>
        <v>0</v>
      </c>
      <c r="AK24" s="1092">
        <f t="shared" si="6"/>
        <v>0</v>
      </c>
      <c r="AL24" s="2"/>
      <c r="AM24" s="1090">
        <f t="shared" si="7"/>
        <v>0</v>
      </c>
      <c r="AN24" s="1105">
        <f t="shared" si="20"/>
        <v>0</v>
      </c>
      <c r="AO24" s="1054">
        <f t="shared" si="21"/>
        <v>0</v>
      </c>
      <c r="AP24" s="1054">
        <f t="shared" si="22"/>
        <v>0</v>
      </c>
      <c r="AQ24" s="1092">
        <f t="shared" si="23"/>
        <v>0</v>
      </c>
      <c r="AR24" s="2"/>
      <c r="AS24" s="1090">
        <f t="shared" si="24"/>
        <v>0</v>
      </c>
      <c r="AT24" s="1091">
        <f t="shared" si="25"/>
        <v>0</v>
      </c>
      <c r="AU24" s="1054">
        <f t="shared" si="26"/>
        <v>0</v>
      </c>
      <c r="AV24" s="1054">
        <f t="shared" si="27"/>
        <v>0</v>
      </c>
      <c r="AW24" s="1092">
        <f t="shared" si="28"/>
        <v>0</v>
      </c>
      <c r="AX24" s="2"/>
      <c r="AY24" s="1090">
        <f t="shared" si="29"/>
        <v>0</v>
      </c>
      <c r="AZ24" s="1385"/>
      <c r="BA24" s="2"/>
    </row>
    <row r="25" spans="1:53" ht="20.25" customHeight="1" x14ac:dyDescent="0.2">
      <c r="A25" s="2"/>
      <c r="B25" s="18">
        <v>18</v>
      </c>
      <c r="C25" s="234">
        <f t="shared" si="30"/>
        <v>18</v>
      </c>
      <c r="D25" s="235">
        <f t="shared" si="8"/>
        <v>1</v>
      </c>
      <c r="E25" s="2159">
        <f t="shared" si="0"/>
        <v>0</v>
      </c>
      <c r="F25" s="2160"/>
      <c r="G25" s="237"/>
      <c r="H25" s="237"/>
      <c r="I25" s="828"/>
      <c r="J25" s="829"/>
      <c r="K25" s="237"/>
      <c r="L25" s="828"/>
      <c r="M25" s="829"/>
      <c r="N25" s="237"/>
      <c r="O25" s="828"/>
      <c r="P25" s="829"/>
      <c r="Q25" s="6"/>
      <c r="R25" s="1053">
        <f t="shared" si="9"/>
        <v>0</v>
      </c>
      <c r="S25" s="1054">
        <f t="shared" si="1"/>
        <v>0</v>
      </c>
      <c r="T25" s="1054">
        <f t="shared" si="10"/>
        <v>0</v>
      </c>
      <c r="U25" s="1055">
        <f t="shared" si="11"/>
        <v>0</v>
      </c>
      <c r="V25" s="231">
        <f t="shared" si="31"/>
        <v>45309</v>
      </c>
      <c r="W25" s="1053">
        <f t="shared" si="2"/>
        <v>0</v>
      </c>
      <c r="X25" s="1054">
        <f t="shared" si="3"/>
        <v>0</v>
      </c>
      <c r="Y25" s="1054">
        <f t="shared" si="4"/>
        <v>0</v>
      </c>
      <c r="Z25" s="1055">
        <f t="shared" si="5"/>
        <v>0</v>
      </c>
      <c r="AA25" s="822">
        <f>VLOOKUP(V25,CASSA!$B$114:$C$479,2,FALSE)</f>
        <v>0</v>
      </c>
      <c r="AB25" s="1053">
        <f t="shared" si="12"/>
        <v>0</v>
      </c>
      <c r="AC25" s="1054">
        <f t="shared" si="13"/>
        <v>0</v>
      </c>
      <c r="AD25" s="1054">
        <f t="shared" si="14"/>
        <v>0</v>
      </c>
      <c r="AE25" s="1055">
        <f t="shared" si="15"/>
        <v>0</v>
      </c>
      <c r="AF25" s="2"/>
      <c r="AG25" s="1090">
        <f t="shared" si="16"/>
        <v>0</v>
      </c>
      <c r="AH25" s="1091">
        <f t="shared" si="17"/>
        <v>0</v>
      </c>
      <c r="AI25" s="1054">
        <f t="shared" si="18"/>
        <v>0</v>
      </c>
      <c r="AJ25" s="1054">
        <f t="shared" si="19"/>
        <v>0</v>
      </c>
      <c r="AK25" s="1092">
        <f t="shared" si="6"/>
        <v>0</v>
      </c>
      <c r="AL25" s="2"/>
      <c r="AM25" s="1090">
        <f t="shared" si="7"/>
        <v>0</v>
      </c>
      <c r="AN25" s="1105">
        <f t="shared" si="20"/>
        <v>0</v>
      </c>
      <c r="AO25" s="1054">
        <f t="shared" si="21"/>
        <v>0</v>
      </c>
      <c r="AP25" s="1054">
        <f t="shared" si="22"/>
        <v>0</v>
      </c>
      <c r="AQ25" s="1092">
        <f t="shared" si="23"/>
        <v>0</v>
      </c>
      <c r="AR25" s="2"/>
      <c r="AS25" s="1090">
        <f t="shared" si="24"/>
        <v>0</v>
      </c>
      <c r="AT25" s="1091">
        <f t="shared" si="25"/>
        <v>0</v>
      </c>
      <c r="AU25" s="1054">
        <f t="shared" si="26"/>
        <v>0</v>
      </c>
      <c r="AV25" s="1054">
        <f t="shared" si="27"/>
        <v>0</v>
      </c>
      <c r="AW25" s="1092">
        <f t="shared" si="28"/>
        <v>0</v>
      </c>
      <c r="AX25" s="2"/>
      <c r="AY25" s="1090">
        <f t="shared" si="29"/>
        <v>0</v>
      </c>
      <c r="AZ25" s="1385"/>
      <c r="BA25" s="2"/>
    </row>
    <row r="26" spans="1:53" ht="20.25" customHeight="1" x14ac:dyDescent="0.2">
      <c r="A26" s="2"/>
      <c r="B26" s="18">
        <v>19</v>
      </c>
      <c r="C26" s="234">
        <f t="shared" si="30"/>
        <v>19</v>
      </c>
      <c r="D26" s="235">
        <f t="shared" si="8"/>
        <v>1</v>
      </c>
      <c r="E26" s="2159">
        <f t="shared" si="0"/>
        <v>0</v>
      </c>
      <c r="F26" s="2160"/>
      <c r="G26" s="237"/>
      <c r="H26" s="237"/>
      <c r="I26" s="828"/>
      <c r="J26" s="829"/>
      <c r="K26" s="237"/>
      <c r="L26" s="828"/>
      <c r="M26" s="829"/>
      <c r="N26" s="237"/>
      <c r="O26" s="828"/>
      <c r="P26" s="829"/>
      <c r="Q26" s="6"/>
      <c r="R26" s="1053">
        <f t="shared" si="9"/>
        <v>0</v>
      </c>
      <c r="S26" s="1054">
        <f t="shared" si="1"/>
        <v>0</v>
      </c>
      <c r="T26" s="1054">
        <f t="shared" si="10"/>
        <v>0</v>
      </c>
      <c r="U26" s="1055">
        <f t="shared" si="11"/>
        <v>0</v>
      </c>
      <c r="V26" s="231">
        <f t="shared" si="31"/>
        <v>45310</v>
      </c>
      <c r="W26" s="1053">
        <f t="shared" si="2"/>
        <v>0</v>
      </c>
      <c r="X26" s="1054">
        <f t="shared" si="3"/>
        <v>0</v>
      </c>
      <c r="Y26" s="1054">
        <f t="shared" si="4"/>
        <v>0</v>
      </c>
      <c r="Z26" s="1055">
        <f t="shared" si="5"/>
        <v>0</v>
      </c>
      <c r="AA26" s="822">
        <f>VLOOKUP(V26,CASSA!$B$114:$C$479,2,FALSE)</f>
        <v>0</v>
      </c>
      <c r="AB26" s="1053">
        <f t="shared" si="12"/>
        <v>0</v>
      </c>
      <c r="AC26" s="1054">
        <f t="shared" si="13"/>
        <v>0</v>
      </c>
      <c r="AD26" s="1054">
        <f t="shared" si="14"/>
        <v>0</v>
      </c>
      <c r="AE26" s="1055">
        <f t="shared" si="15"/>
        <v>0</v>
      </c>
      <c r="AF26" s="2"/>
      <c r="AG26" s="1090">
        <f t="shared" si="16"/>
        <v>0</v>
      </c>
      <c r="AH26" s="1091">
        <f t="shared" si="17"/>
        <v>0</v>
      </c>
      <c r="AI26" s="1054">
        <f t="shared" si="18"/>
        <v>0</v>
      </c>
      <c r="AJ26" s="1054">
        <f t="shared" si="19"/>
        <v>0</v>
      </c>
      <c r="AK26" s="1092">
        <f t="shared" si="6"/>
        <v>0</v>
      </c>
      <c r="AL26" s="2"/>
      <c r="AM26" s="1090">
        <f t="shared" si="7"/>
        <v>0</v>
      </c>
      <c r="AN26" s="1105">
        <f t="shared" si="20"/>
        <v>0</v>
      </c>
      <c r="AO26" s="1054">
        <f t="shared" si="21"/>
        <v>0</v>
      </c>
      <c r="AP26" s="1054">
        <f t="shared" si="22"/>
        <v>0</v>
      </c>
      <c r="AQ26" s="1092">
        <f t="shared" si="23"/>
        <v>0</v>
      </c>
      <c r="AR26" s="2"/>
      <c r="AS26" s="1090">
        <f t="shared" si="24"/>
        <v>0</v>
      </c>
      <c r="AT26" s="1091">
        <f t="shared" si="25"/>
        <v>0</v>
      </c>
      <c r="AU26" s="1054">
        <f t="shared" si="26"/>
        <v>0</v>
      </c>
      <c r="AV26" s="1054">
        <f t="shared" si="27"/>
        <v>0</v>
      </c>
      <c r="AW26" s="1092">
        <f t="shared" si="28"/>
        <v>0</v>
      </c>
      <c r="AX26" s="2"/>
      <c r="AY26" s="1090">
        <f t="shared" si="29"/>
        <v>0</v>
      </c>
      <c r="AZ26" s="1385"/>
      <c r="BA26" s="2"/>
    </row>
    <row r="27" spans="1:53" ht="20.25" customHeight="1" x14ac:dyDescent="0.2">
      <c r="A27" s="2"/>
      <c r="B27" s="18">
        <v>20</v>
      </c>
      <c r="C27" s="234">
        <f t="shared" si="30"/>
        <v>20</v>
      </c>
      <c r="D27" s="235">
        <f t="shared" si="8"/>
        <v>1</v>
      </c>
      <c r="E27" s="2159">
        <f t="shared" si="0"/>
        <v>0</v>
      </c>
      <c r="F27" s="2160"/>
      <c r="G27" s="237"/>
      <c r="H27" s="237"/>
      <c r="I27" s="828"/>
      <c r="J27" s="829"/>
      <c r="K27" s="237"/>
      <c r="L27" s="828"/>
      <c r="M27" s="829"/>
      <c r="N27" s="237"/>
      <c r="O27" s="828"/>
      <c r="P27" s="829"/>
      <c r="Q27" s="6"/>
      <c r="R27" s="1053">
        <f t="shared" si="9"/>
        <v>0</v>
      </c>
      <c r="S27" s="1054">
        <f t="shared" si="1"/>
        <v>0</v>
      </c>
      <c r="T27" s="1054">
        <f t="shared" si="10"/>
        <v>0</v>
      </c>
      <c r="U27" s="1055">
        <f t="shared" si="11"/>
        <v>0</v>
      </c>
      <c r="V27" s="231">
        <f t="shared" si="31"/>
        <v>45311</v>
      </c>
      <c r="W27" s="1053">
        <f t="shared" si="2"/>
        <v>0</v>
      </c>
      <c r="X27" s="1054">
        <f t="shared" si="3"/>
        <v>0</v>
      </c>
      <c r="Y27" s="1054">
        <f t="shared" si="4"/>
        <v>0</v>
      </c>
      <c r="Z27" s="1055">
        <f t="shared" si="5"/>
        <v>0</v>
      </c>
      <c r="AA27" s="822">
        <f>VLOOKUP(V27,CASSA!$B$114:$C$479,2,FALSE)</f>
        <v>0</v>
      </c>
      <c r="AB27" s="1053">
        <f t="shared" si="12"/>
        <v>0</v>
      </c>
      <c r="AC27" s="1054">
        <f t="shared" si="13"/>
        <v>0</v>
      </c>
      <c r="AD27" s="1054">
        <f t="shared" si="14"/>
        <v>0</v>
      </c>
      <c r="AE27" s="1055">
        <f t="shared" si="15"/>
        <v>0</v>
      </c>
      <c r="AF27" s="2"/>
      <c r="AG27" s="1090">
        <f t="shared" si="16"/>
        <v>0</v>
      </c>
      <c r="AH27" s="1091">
        <f t="shared" si="17"/>
        <v>0</v>
      </c>
      <c r="AI27" s="1054">
        <f t="shared" si="18"/>
        <v>0</v>
      </c>
      <c r="AJ27" s="1054">
        <f t="shared" si="19"/>
        <v>0</v>
      </c>
      <c r="AK27" s="1092">
        <f t="shared" si="6"/>
        <v>0</v>
      </c>
      <c r="AL27" s="2"/>
      <c r="AM27" s="1090">
        <f t="shared" si="7"/>
        <v>0</v>
      </c>
      <c r="AN27" s="1105">
        <f t="shared" si="20"/>
        <v>0</v>
      </c>
      <c r="AO27" s="1054">
        <f t="shared" si="21"/>
        <v>0</v>
      </c>
      <c r="AP27" s="1054">
        <f t="shared" si="22"/>
        <v>0</v>
      </c>
      <c r="AQ27" s="1092">
        <f t="shared" si="23"/>
        <v>0</v>
      </c>
      <c r="AR27" s="2"/>
      <c r="AS27" s="1090">
        <f t="shared" si="24"/>
        <v>0</v>
      </c>
      <c r="AT27" s="1091">
        <f t="shared" si="25"/>
        <v>0</v>
      </c>
      <c r="AU27" s="1054">
        <f t="shared" si="26"/>
        <v>0</v>
      </c>
      <c r="AV27" s="1054">
        <f t="shared" si="27"/>
        <v>0</v>
      </c>
      <c r="AW27" s="1092">
        <f t="shared" si="28"/>
        <v>0</v>
      </c>
      <c r="AX27" s="2"/>
      <c r="AY27" s="1090">
        <f t="shared" si="29"/>
        <v>0</v>
      </c>
      <c r="AZ27" s="1385"/>
      <c r="BA27" s="2"/>
    </row>
    <row r="28" spans="1:53" ht="20.25" customHeight="1" x14ac:dyDescent="0.2">
      <c r="A28" s="2"/>
      <c r="B28" s="18">
        <v>21</v>
      </c>
      <c r="C28" s="234">
        <f t="shared" si="30"/>
        <v>21</v>
      </c>
      <c r="D28" s="235">
        <f t="shared" si="8"/>
        <v>1</v>
      </c>
      <c r="E28" s="2159">
        <f t="shared" si="0"/>
        <v>0</v>
      </c>
      <c r="F28" s="2160"/>
      <c r="G28" s="237"/>
      <c r="H28" s="237"/>
      <c r="I28" s="828"/>
      <c r="J28" s="829"/>
      <c r="K28" s="237"/>
      <c r="L28" s="828"/>
      <c r="M28" s="829"/>
      <c r="N28" s="237"/>
      <c r="O28" s="828"/>
      <c r="P28" s="829"/>
      <c r="Q28" s="6"/>
      <c r="R28" s="1053">
        <f t="shared" si="9"/>
        <v>0</v>
      </c>
      <c r="S28" s="1054">
        <f t="shared" si="1"/>
        <v>0</v>
      </c>
      <c r="T28" s="1054">
        <f t="shared" si="10"/>
        <v>0</v>
      </c>
      <c r="U28" s="1055">
        <f t="shared" si="11"/>
        <v>0</v>
      </c>
      <c r="V28" s="231">
        <f t="shared" si="31"/>
        <v>45312</v>
      </c>
      <c r="W28" s="1053">
        <f t="shared" si="2"/>
        <v>0</v>
      </c>
      <c r="X28" s="1054">
        <f t="shared" si="3"/>
        <v>0</v>
      </c>
      <c r="Y28" s="1054">
        <f t="shared" si="4"/>
        <v>0</v>
      </c>
      <c r="Z28" s="1055">
        <f t="shared" si="5"/>
        <v>0</v>
      </c>
      <c r="AA28" s="822">
        <f>VLOOKUP(V28,CASSA!$B$114:$C$479,2,FALSE)</f>
        <v>0</v>
      </c>
      <c r="AB28" s="1053">
        <f t="shared" si="12"/>
        <v>0</v>
      </c>
      <c r="AC28" s="1054">
        <f t="shared" si="13"/>
        <v>0</v>
      </c>
      <c r="AD28" s="1054">
        <f t="shared" si="14"/>
        <v>0</v>
      </c>
      <c r="AE28" s="1055">
        <f t="shared" si="15"/>
        <v>0</v>
      </c>
      <c r="AF28" s="2"/>
      <c r="AG28" s="1090">
        <f t="shared" si="16"/>
        <v>0</v>
      </c>
      <c r="AH28" s="1091">
        <f t="shared" si="17"/>
        <v>0</v>
      </c>
      <c r="AI28" s="1054">
        <f t="shared" si="18"/>
        <v>0</v>
      </c>
      <c r="AJ28" s="1054">
        <f t="shared" si="19"/>
        <v>0</v>
      </c>
      <c r="AK28" s="1092">
        <f t="shared" si="6"/>
        <v>0</v>
      </c>
      <c r="AL28" s="2"/>
      <c r="AM28" s="1090">
        <f t="shared" si="7"/>
        <v>0</v>
      </c>
      <c r="AN28" s="1105">
        <f t="shared" si="20"/>
        <v>0</v>
      </c>
      <c r="AO28" s="1054">
        <f t="shared" si="21"/>
        <v>0</v>
      </c>
      <c r="AP28" s="1054">
        <f t="shared" si="22"/>
        <v>0</v>
      </c>
      <c r="AQ28" s="1092">
        <f t="shared" si="23"/>
        <v>0</v>
      </c>
      <c r="AR28" s="2"/>
      <c r="AS28" s="1090">
        <f t="shared" si="24"/>
        <v>0</v>
      </c>
      <c r="AT28" s="1091">
        <f t="shared" si="25"/>
        <v>0</v>
      </c>
      <c r="AU28" s="1054">
        <f t="shared" si="26"/>
        <v>0</v>
      </c>
      <c r="AV28" s="1054">
        <f t="shared" si="27"/>
        <v>0</v>
      </c>
      <c r="AW28" s="1092">
        <f t="shared" si="28"/>
        <v>0</v>
      </c>
      <c r="AX28" s="2"/>
      <c r="AY28" s="1090">
        <f t="shared" si="29"/>
        <v>0</v>
      </c>
      <c r="AZ28" s="1385"/>
      <c r="BA28" s="2"/>
    </row>
    <row r="29" spans="1:53" ht="20.25" customHeight="1" x14ac:dyDescent="0.2">
      <c r="A29" s="2"/>
      <c r="B29" s="18">
        <v>22</v>
      </c>
      <c r="C29" s="234">
        <f t="shared" si="30"/>
        <v>22</v>
      </c>
      <c r="D29" s="235">
        <f t="shared" si="8"/>
        <v>1</v>
      </c>
      <c r="E29" s="2159">
        <f t="shared" si="0"/>
        <v>0</v>
      </c>
      <c r="F29" s="2160"/>
      <c r="G29" s="237"/>
      <c r="H29" s="237"/>
      <c r="I29" s="828"/>
      <c r="J29" s="829"/>
      <c r="K29" s="237"/>
      <c r="L29" s="828"/>
      <c r="M29" s="829"/>
      <c r="N29" s="237"/>
      <c r="O29" s="828"/>
      <c r="P29" s="829"/>
      <c r="Q29" s="6"/>
      <c r="R29" s="1053">
        <f t="shared" si="9"/>
        <v>0</v>
      </c>
      <c r="S29" s="1054">
        <f t="shared" si="1"/>
        <v>0</v>
      </c>
      <c r="T29" s="1054">
        <f t="shared" si="10"/>
        <v>0</v>
      </c>
      <c r="U29" s="1055">
        <f t="shared" si="11"/>
        <v>0</v>
      </c>
      <c r="V29" s="231">
        <f t="shared" si="31"/>
        <v>45313</v>
      </c>
      <c r="W29" s="1053">
        <f t="shared" si="2"/>
        <v>0</v>
      </c>
      <c r="X29" s="1054">
        <f t="shared" si="3"/>
        <v>0</v>
      </c>
      <c r="Y29" s="1054">
        <f t="shared" si="4"/>
        <v>0</v>
      </c>
      <c r="Z29" s="1055">
        <f t="shared" si="5"/>
        <v>0</v>
      </c>
      <c r="AA29" s="822">
        <f>VLOOKUP(V29,CASSA!$B$114:$C$479,2,FALSE)</f>
        <v>0</v>
      </c>
      <c r="AB29" s="1053">
        <f t="shared" si="12"/>
        <v>0</v>
      </c>
      <c r="AC29" s="1054">
        <f t="shared" si="13"/>
        <v>0</v>
      </c>
      <c r="AD29" s="1054">
        <f t="shared" si="14"/>
        <v>0</v>
      </c>
      <c r="AE29" s="1055">
        <f t="shared" si="15"/>
        <v>0</v>
      </c>
      <c r="AF29" s="2"/>
      <c r="AG29" s="1090">
        <f t="shared" si="16"/>
        <v>0</v>
      </c>
      <c r="AH29" s="1091">
        <f t="shared" si="17"/>
        <v>0</v>
      </c>
      <c r="AI29" s="1054">
        <f t="shared" si="18"/>
        <v>0</v>
      </c>
      <c r="AJ29" s="1054">
        <f t="shared" si="19"/>
        <v>0</v>
      </c>
      <c r="AK29" s="1092">
        <f t="shared" si="6"/>
        <v>0</v>
      </c>
      <c r="AL29" s="2"/>
      <c r="AM29" s="1090">
        <f t="shared" si="7"/>
        <v>0</v>
      </c>
      <c r="AN29" s="1105">
        <f t="shared" si="20"/>
        <v>0</v>
      </c>
      <c r="AO29" s="1054">
        <f t="shared" si="21"/>
        <v>0</v>
      </c>
      <c r="AP29" s="1054">
        <f t="shared" si="22"/>
        <v>0</v>
      </c>
      <c r="AQ29" s="1092">
        <f t="shared" si="23"/>
        <v>0</v>
      </c>
      <c r="AR29" s="2"/>
      <c r="AS29" s="1090">
        <f t="shared" si="24"/>
        <v>0</v>
      </c>
      <c r="AT29" s="1091">
        <f t="shared" si="25"/>
        <v>0</v>
      </c>
      <c r="AU29" s="1054">
        <f t="shared" si="26"/>
        <v>0</v>
      </c>
      <c r="AV29" s="1054">
        <f t="shared" si="27"/>
        <v>0</v>
      </c>
      <c r="AW29" s="1092">
        <f t="shared" si="28"/>
        <v>0</v>
      </c>
      <c r="AX29" s="2"/>
      <c r="AY29" s="1090">
        <f t="shared" si="29"/>
        <v>0</v>
      </c>
      <c r="AZ29" s="1385"/>
      <c r="BA29" s="2"/>
    </row>
    <row r="30" spans="1:53" ht="20.25" customHeight="1" x14ac:dyDescent="0.2">
      <c r="A30" s="2"/>
      <c r="B30" s="18">
        <v>23</v>
      </c>
      <c r="C30" s="234">
        <f t="shared" si="30"/>
        <v>23</v>
      </c>
      <c r="D30" s="235">
        <f t="shared" si="8"/>
        <v>1</v>
      </c>
      <c r="E30" s="2159">
        <f t="shared" si="0"/>
        <v>0</v>
      </c>
      <c r="F30" s="2160"/>
      <c r="G30" s="237"/>
      <c r="H30" s="237"/>
      <c r="I30" s="828"/>
      <c r="J30" s="829"/>
      <c r="K30" s="237"/>
      <c r="L30" s="828"/>
      <c r="M30" s="829"/>
      <c r="N30" s="237"/>
      <c r="O30" s="828"/>
      <c r="P30" s="829"/>
      <c r="Q30" s="6"/>
      <c r="R30" s="1053">
        <f t="shared" si="9"/>
        <v>0</v>
      </c>
      <c r="S30" s="1054">
        <f t="shared" si="1"/>
        <v>0</v>
      </c>
      <c r="T30" s="1054">
        <f t="shared" si="10"/>
        <v>0</v>
      </c>
      <c r="U30" s="1055">
        <f t="shared" si="11"/>
        <v>0</v>
      </c>
      <c r="V30" s="231">
        <f t="shared" si="31"/>
        <v>45314</v>
      </c>
      <c r="W30" s="1053">
        <f t="shared" si="2"/>
        <v>0</v>
      </c>
      <c r="X30" s="1054">
        <f t="shared" si="3"/>
        <v>0</v>
      </c>
      <c r="Y30" s="1054">
        <f t="shared" si="4"/>
        <v>0</v>
      </c>
      <c r="Z30" s="1055">
        <f t="shared" si="5"/>
        <v>0</v>
      </c>
      <c r="AA30" s="822">
        <f>VLOOKUP(V30,CASSA!$B$114:$C$479,2,FALSE)</f>
        <v>0</v>
      </c>
      <c r="AB30" s="1053">
        <f t="shared" si="12"/>
        <v>0</v>
      </c>
      <c r="AC30" s="1054">
        <f t="shared" si="13"/>
        <v>0</v>
      </c>
      <c r="AD30" s="1054">
        <f t="shared" si="14"/>
        <v>0</v>
      </c>
      <c r="AE30" s="1055">
        <f t="shared" si="15"/>
        <v>0</v>
      </c>
      <c r="AF30" s="2"/>
      <c r="AG30" s="1090">
        <f t="shared" si="16"/>
        <v>0</v>
      </c>
      <c r="AH30" s="1091">
        <f t="shared" si="17"/>
        <v>0</v>
      </c>
      <c r="AI30" s="1054">
        <f t="shared" si="18"/>
        <v>0</v>
      </c>
      <c r="AJ30" s="1054">
        <f t="shared" si="19"/>
        <v>0</v>
      </c>
      <c r="AK30" s="1092">
        <f t="shared" si="6"/>
        <v>0</v>
      </c>
      <c r="AL30" s="2"/>
      <c r="AM30" s="1090">
        <f t="shared" si="7"/>
        <v>0</v>
      </c>
      <c r="AN30" s="1105">
        <f t="shared" si="20"/>
        <v>0</v>
      </c>
      <c r="AO30" s="1054">
        <f t="shared" si="21"/>
        <v>0</v>
      </c>
      <c r="AP30" s="1054">
        <f t="shared" si="22"/>
        <v>0</v>
      </c>
      <c r="AQ30" s="1092">
        <f t="shared" si="23"/>
        <v>0</v>
      </c>
      <c r="AR30" s="2"/>
      <c r="AS30" s="1090">
        <f t="shared" si="24"/>
        <v>0</v>
      </c>
      <c r="AT30" s="1091">
        <f t="shared" si="25"/>
        <v>0</v>
      </c>
      <c r="AU30" s="1054">
        <f t="shared" si="26"/>
        <v>0</v>
      </c>
      <c r="AV30" s="1054">
        <f t="shared" si="27"/>
        <v>0</v>
      </c>
      <c r="AW30" s="1092">
        <f t="shared" si="28"/>
        <v>0</v>
      </c>
      <c r="AX30" s="2"/>
      <c r="AY30" s="1090">
        <f t="shared" si="29"/>
        <v>0</v>
      </c>
      <c r="AZ30" s="1385"/>
      <c r="BA30" s="2"/>
    </row>
    <row r="31" spans="1:53" ht="20.25" customHeight="1" x14ac:dyDescent="0.2">
      <c r="A31" s="2"/>
      <c r="B31" s="18">
        <v>24</v>
      </c>
      <c r="C31" s="234">
        <f t="shared" si="30"/>
        <v>24</v>
      </c>
      <c r="D31" s="235">
        <f t="shared" si="8"/>
        <v>1</v>
      </c>
      <c r="E31" s="2159">
        <f t="shared" si="0"/>
        <v>0</v>
      </c>
      <c r="F31" s="2160"/>
      <c r="G31" s="237"/>
      <c r="H31" s="237"/>
      <c r="I31" s="828"/>
      <c r="J31" s="829"/>
      <c r="K31" s="237"/>
      <c r="L31" s="828"/>
      <c r="M31" s="829"/>
      <c r="N31" s="237"/>
      <c r="O31" s="828"/>
      <c r="P31" s="829"/>
      <c r="Q31" s="6"/>
      <c r="R31" s="1053">
        <f t="shared" si="9"/>
        <v>0</v>
      </c>
      <c r="S31" s="1054">
        <f t="shared" si="1"/>
        <v>0</v>
      </c>
      <c r="T31" s="1054">
        <f t="shared" si="10"/>
        <v>0</v>
      </c>
      <c r="U31" s="1055">
        <f t="shared" si="11"/>
        <v>0</v>
      </c>
      <c r="V31" s="231">
        <f t="shared" si="31"/>
        <v>45315</v>
      </c>
      <c r="W31" s="1053">
        <f t="shared" si="2"/>
        <v>0</v>
      </c>
      <c r="X31" s="1054">
        <f t="shared" si="3"/>
        <v>0</v>
      </c>
      <c r="Y31" s="1054">
        <f t="shared" si="4"/>
        <v>0</v>
      </c>
      <c r="Z31" s="1055">
        <f t="shared" si="5"/>
        <v>0</v>
      </c>
      <c r="AA31" s="822">
        <f>VLOOKUP(V31,CASSA!$B$114:$C$479,2,FALSE)</f>
        <v>0</v>
      </c>
      <c r="AB31" s="1053">
        <f t="shared" si="12"/>
        <v>0</v>
      </c>
      <c r="AC31" s="1054">
        <f t="shared" si="13"/>
        <v>0</v>
      </c>
      <c r="AD31" s="1054">
        <f t="shared" si="14"/>
        <v>0</v>
      </c>
      <c r="AE31" s="1055">
        <f t="shared" si="15"/>
        <v>0</v>
      </c>
      <c r="AF31" s="2"/>
      <c r="AG31" s="1090">
        <f t="shared" si="16"/>
        <v>0</v>
      </c>
      <c r="AH31" s="1091">
        <f t="shared" si="17"/>
        <v>0</v>
      </c>
      <c r="AI31" s="1054">
        <f t="shared" si="18"/>
        <v>0</v>
      </c>
      <c r="AJ31" s="1054">
        <f t="shared" si="19"/>
        <v>0</v>
      </c>
      <c r="AK31" s="1092">
        <f t="shared" si="6"/>
        <v>0</v>
      </c>
      <c r="AL31" s="2"/>
      <c r="AM31" s="1090">
        <f t="shared" si="7"/>
        <v>0</v>
      </c>
      <c r="AN31" s="1105">
        <f t="shared" si="20"/>
        <v>0</v>
      </c>
      <c r="AO31" s="1054">
        <f t="shared" si="21"/>
        <v>0</v>
      </c>
      <c r="AP31" s="1054">
        <f t="shared" si="22"/>
        <v>0</v>
      </c>
      <c r="AQ31" s="1092">
        <f t="shared" si="23"/>
        <v>0</v>
      </c>
      <c r="AR31" s="2"/>
      <c r="AS31" s="1090">
        <f t="shared" si="24"/>
        <v>0</v>
      </c>
      <c r="AT31" s="1091">
        <f t="shared" si="25"/>
        <v>0</v>
      </c>
      <c r="AU31" s="1054">
        <f t="shared" si="26"/>
        <v>0</v>
      </c>
      <c r="AV31" s="1054">
        <f t="shared" si="27"/>
        <v>0</v>
      </c>
      <c r="AW31" s="1092">
        <f t="shared" si="28"/>
        <v>0</v>
      </c>
      <c r="AX31" s="2"/>
      <c r="AY31" s="1090">
        <f t="shared" si="29"/>
        <v>0</v>
      </c>
      <c r="AZ31" s="1385"/>
      <c r="BA31" s="2"/>
    </row>
    <row r="32" spans="1:53" ht="20.25" customHeight="1" x14ac:dyDescent="0.2">
      <c r="A32" s="2"/>
      <c r="B32" s="18">
        <v>25</v>
      </c>
      <c r="C32" s="234">
        <f t="shared" si="30"/>
        <v>25</v>
      </c>
      <c r="D32" s="235">
        <f t="shared" si="8"/>
        <v>1</v>
      </c>
      <c r="E32" s="2159">
        <f t="shared" si="0"/>
        <v>0</v>
      </c>
      <c r="F32" s="2160"/>
      <c r="G32" s="237"/>
      <c r="H32" s="237"/>
      <c r="I32" s="828"/>
      <c r="J32" s="829"/>
      <c r="K32" s="237"/>
      <c r="L32" s="828"/>
      <c r="M32" s="829"/>
      <c r="N32" s="237"/>
      <c r="O32" s="828"/>
      <c r="P32" s="829"/>
      <c r="Q32" s="6"/>
      <c r="R32" s="1053">
        <f t="shared" si="9"/>
        <v>0</v>
      </c>
      <c r="S32" s="1054">
        <f t="shared" si="1"/>
        <v>0</v>
      </c>
      <c r="T32" s="1054">
        <f t="shared" si="10"/>
        <v>0</v>
      </c>
      <c r="U32" s="1055">
        <f t="shared" si="11"/>
        <v>0</v>
      </c>
      <c r="V32" s="231">
        <f t="shared" si="31"/>
        <v>45316</v>
      </c>
      <c r="W32" s="1053">
        <f t="shared" si="2"/>
        <v>0</v>
      </c>
      <c r="X32" s="1054">
        <f t="shared" si="3"/>
        <v>0</v>
      </c>
      <c r="Y32" s="1054">
        <f t="shared" si="4"/>
        <v>0</v>
      </c>
      <c r="Z32" s="1055">
        <f t="shared" si="5"/>
        <v>0</v>
      </c>
      <c r="AA32" s="822">
        <f>VLOOKUP(V32,CASSA!$B$114:$C$479,2,FALSE)</f>
        <v>0</v>
      </c>
      <c r="AB32" s="1053">
        <f t="shared" si="12"/>
        <v>0</v>
      </c>
      <c r="AC32" s="1054">
        <f t="shared" si="13"/>
        <v>0</v>
      </c>
      <c r="AD32" s="1054">
        <f t="shared" si="14"/>
        <v>0</v>
      </c>
      <c r="AE32" s="1055">
        <f t="shared" si="15"/>
        <v>0</v>
      </c>
      <c r="AF32" s="2"/>
      <c r="AG32" s="1090">
        <f t="shared" si="16"/>
        <v>0</v>
      </c>
      <c r="AH32" s="1091">
        <f t="shared" si="17"/>
        <v>0</v>
      </c>
      <c r="AI32" s="1054">
        <f t="shared" si="18"/>
        <v>0</v>
      </c>
      <c r="AJ32" s="1054">
        <f t="shared" si="19"/>
        <v>0</v>
      </c>
      <c r="AK32" s="1092">
        <f t="shared" si="6"/>
        <v>0</v>
      </c>
      <c r="AL32" s="2"/>
      <c r="AM32" s="1090">
        <f t="shared" si="7"/>
        <v>0</v>
      </c>
      <c r="AN32" s="1105">
        <f t="shared" si="20"/>
        <v>0</v>
      </c>
      <c r="AO32" s="1054">
        <f t="shared" si="21"/>
        <v>0</v>
      </c>
      <c r="AP32" s="1054">
        <f t="shared" si="22"/>
        <v>0</v>
      </c>
      <c r="AQ32" s="1092">
        <f t="shared" si="23"/>
        <v>0</v>
      </c>
      <c r="AR32" s="2"/>
      <c r="AS32" s="1090">
        <f t="shared" si="24"/>
        <v>0</v>
      </c>
      <c r="AT32" s="1091">
        <f t="shared" si="25"/>
        <v>0</v>
      </c>
      <c r="AU32" s="1054">
        <f t="shared" si="26"/>
        <v>0</v>
      </c>
      <c r="AV32" s="1054">
        <f t="shared" si="27"/>
        <v>0</v>
      </c>
      <c r="AW32" s="1092">
        <f t="shared" si="28"/>
        <v>0</v>
      </c>
      <c r="AX32" s="2"/>
      <c r="AY32" s="1090">
        <f t="shared" si="29"/>
        <v>0</v>
      </c>
      <c r="AZ32" s="1385"/>
      <c r="BA32" s="2"/>
    </row>
    <row r="33" spans="1:54" ht="20.25" customHeight="1" x14ac:dyDescent="0.2">
      <c r="A33" s="2"/>
      <c r="B33" s="18">
        <v>26</v>
      </c>
      <c r="C33" s="234">
        <f t="shared" si="30"/>
        <v>26</v>
      </c>
      <c r="D33" s="235">
        <f t="shared" si="8"/>
        <v>1</v>
      </c>
      <c r="E33" s="2159">
        <f t="shared" si="0"/>
        <v>0</v>
      </c>
      <c r="F33" s="2160"/>
      <c r="G33" s="237"/>
      <c r="H33" s="237"/>
      <c r="I33" s="828"/>
      <c r="J33" s="829"/>
      <c r="K33" s="237"/>
      <c r="L33" s="828"/>
      <c r="M33" s="829"/>
      <c r="N33" s="237"/>
      <c r="O33" s="828"/>
      <c r="P33" s="829"/>
      <c r="Q33" s="6"/>
      <c r="R33" s="1053">
        <f t="shared" si="9"/>
        <v>0</v>
      </c>
      <c r="S33" s="1054">
        <f t="shared" si="1"/>
        <v>0</v>
      </c>
      <c r="T33" s="1054">
        <f t="shared" si="10"/>
        <v>0</v>
      </c>
      <c r="U33" s="1055">
        <f t="shared" si="11"/>
        <v>0</v>
      </c>
      <c r="V33" s="231">
        <f t="shared" si="31"/>
        <v>45317</v>
      </c>
      <c r="W33" s="1053">
        <f t="shared" si="2"/>
        <v>0</v>
      </c>
      <c r="X33" s="1054">
        <f t="shared" si="3"/>
        <v>0</v>
      </c>
      <c r="Y33" s="1054">
        <f t="shared" si="4"/>
        <v>0</v>
      </c>
      <c r="Z33" s="1055">
        <f t="shared" si="5"/>
        <v>0</v>
      </c>
      <c r="AA33" s="822">
        <f>VLOOKUP(V33,CASSA!$B$114:$C$479,2,FALSE)</f>
        <v>0</v>
      </c>
      <c r="AB33" s="1053">
        <f t="shared" si="12"/>
        <v>0</v>
      </c>
      <c r="AC33" s="1054">
        <f t="shared" si="13"/>
        <v>0</v>
      </c>
      <c r="AD33" s="1054">
        <f t="shared" si="14"/>
        <v>0</v>
      </c>
      <c r="AE33" s="1055">
        <f t="shared" si="15"/>
        <v>0</v>
      </c>
      <c r="AF33" s="2"/>
      <c r="AG33" s="1090">
        <f t="shared" si="16"/>
        <v>0</v>
      </c>
      <c r="AH33" s="1091">
        <f t="shared" si="17"/>
        <v>0</v>
      </c>
      <c r="AI33" s="1054">
        <f t="shared" si="18"/>
        <v>0</v>
      </c>
      <c r="AJ33" s="1054">
        <f t="shared" si="19"/>
        <v>0</v>
      </c>
      <c r="AK33" s="1092">
        <f t="shared" si="6"/>
        <v>0</v>
      </c>
      <c r="AL33" s="2"/>
      <c r="AM33" s="1090">
        <f t="shared" si="7"/>
        <v>0</v>
      </c>
      <c r="AN33" s="1105">
        <f t="shared" si="20"/>
        <v>0</v>
      </c>
      <c r="AO33" s="1054">
        <f t="shared" si="21"/>
        <v>0</v>
      </c>
      <c r="AP33" s="1054">
        <f t="shared" si="22"/>
        <v>0</v>
      </c>
      <c r="AQ33" s="1092">
        <f t="shared" si="23"/>
        <v>0</v>
      </c>
      <c r="AR33" s="2"/>
      <c r="AS33" s="1090">
        <f t="shared" si="24"/>
        <v>0</v>
      </c>
      <c r="AT33" s="1091">
        <f t="shared" si="25"/>
        <v>0</v>
      </c>
      <c r="AU33" s="1054">
        <f t="shared" si="26"/>
        <v>0</v>
      </c>
      <c r="AV33" s="1054">
        <f t="shared" si="27"/>
        <v>0</v>
      </c>
      <c r="AW33" s="1092">
        <f t="shared" si="28"/>
        <v>0</v>
      </c>
      <c r="AX33" s="2"/>
      <c r="AY33" s="1090">
        <f t="shared" si="29"/>
        <v>0</v>
      </c>
      <c r="AZ33" s="1385"/>
      <c r="BA33" s="2"/>
    </row>
    <row r="34" spans="1:54" ht="20.25" customHeight="1" x14ac:dyDescent="0.2">
      <c r="A34" s="2"/>
      <c r="B34" s="18">
        <v>27</v>
      </c>
      <c r="C34" s="234">
        <f t="shared" si="30"/>
        <v>27</v>
      </c>
      <c r="D34" s="235">
        <f t="shared" si="8"/>
        <v>1</v>
      </c>
      <c r="E34" s="2159">
        <f t="shared" si="0"/>
        <v>0</v>
      </c>
      <c r="F34" s="2160"/>
      <c r="G34" s="237"/>
      <c r="H34" s="237"/>
      <c r="I34" s="828"/>
      <c r="J34" s="829"/>
      <c r="K34" s="237"/>
      <c r="L34" s="828"/>
      <c r="M34" s="829"/>
      <c r="N34" s="237"/>
      <c r="O34" s="828"/>
      <c r="P34" s="829"/>
      <c r="Q34" s="6"/>
      <c r="R34" s="1053">
        <f t="shared" si="9"/>
        <v>0</v>
      </c>
      <c r="S34" s="1054">
        <f t="shared" si="1"/>
        <v>0</v>
      </c>
      <c r="T34" s="1054">
        <f t="shared" si="10"/>
        <v>0</v>
      </c>
      <c r="U34" s="1055">
        <f t="shared" si="11"/>
        <v>0</v>
      </c>
      <c r="V34" s="231">
        <f t="shared" si="31"/>
        <v>45318</v>
      </c>
      <c r="W34" s="1053">
        <f t="shared" si="2"/>
        <v>0</v>
      </c>
      <c r="X34" s="1054">
        <f t="shared" si="3"/>
        <v>0</v>
      </c>
      <c r="Y34" s="1054">
        <f t="shared" si="4"/>
        <v>0</v>
      </c>
      <c r="Z34" s="1055">
        <f t="shared" si="5"/>
        <v>0</v>
      </c>
      <c r="AA34" s="822">
        <f>VLOOKUP(V34,CASSA!$B$114:$C$479,2,FALSE)</f>
        <v>0</v>
      </c>
      <c r="AB34" s="1053">
        <f t="shared" si="12"/>
        <v>0</v>
      </c>
      <c r="AC34" s="1054">
        <f t="shared" si="13"/>
        <v>0</v>
      </c>
      <c r="AD34" s="1054">
        <f t="shared" si="14"/>
        <v>0</v>
      </c>
      <c r="AE34" s="1055">
        <f t="shared" si="15"/>
        <v>0</v>
      </c>
      <c r="AF34" s="2"/>
      <c r="AG34" s="1090">
        <f t="shared" si="16"/>
        <v>0</v>
      </c>
      <c r="AH34" s="1091">
        <f t="shared" si="17"/>
        <v>0</v>
      </c>
      <c r="AI34" s="1054">
        <f t="shared" si="18"/>
        <v>0</v>
      </c>
      <c r="AJ34" s="1054">
        <f t="shared" si="19"/>
        <v>0</v>
      </c>
      <c r="AK34" s="1092">
        <f t="shared" si="6"/>
        <v>0</v>
      </c>
      <c r="AL34" s="2"/>
      <c r="AM34" s="1090">
        <f t="shared" si="7"/>
        <v>0</v>
      </c>
      <c r="AN34" s="1105">
        <f t="shared" si="20"/>
        <v>0</v>
      </c>
      <c r="AO34" s="1054">
        <f t="shared" si="21"/>
        <v>0</v>
      </c>
      <c r="AP34" s="1054">
        <f t="shared" si="22"/>
        <v>0</v>
      </c>
      <c r="AQ34" s="1092">
        <f t="shared" si="23"/>
        <v>0</v>
      </c>
      <c r="AR34" s="2"/>
      <c r="AS34" s="1090">
        <f t="shared" si="24"/>
        <v>0</v>
      </c>
      <c r="AT34" s="1091">
        <f t="shared" si="25"/>
        <v>0</v>
      </c>
      <c r="AU34" s="1054">
        <f t="shared" si="26"/>
        <v>0</v>
      </c>
      <c r="AV34" s="1054">
        <f t="shared" si="27"/>
        <v>0</v>
      </c>
      <c r="AW34" s="1092">
        <f t="shared" si="28"/>
        <v>0</v>
      </c>
      <c r="AX34" s="2"/>
      <c r="AY34" s="1090">
        <f t="shared" si="29"/>
        <v>0</v>
      </c>
      <c r="AZ34" s="1385"/>
      <c r="BA34" s="2"/>
    </row>
    <row r="35" spans="1:54" ht="20.25" customHeight="1" x14ac:dyDescent="0.2">
      <c r="A35" s="2"/>
      <c r="B35" s="18">
        <v>28</v>
      </c>
      <c r="C35" s="234">
        <f t="shared" si="30"/>
        <v>28</v>
      </c>
      <c r="D35" s="235">
        <f t="shared" si="8"/>
        <v>1</v>
      </c>
      <c r="E35" s="2159">
        <f t="shared" si="0"/>
        <v>0</v>
      </c>
      <c r="F35" s="2160"/>
      <c r="G35" s="237"/>
      <c r="H35" s="237"/>
      <c r="I35" s="828"/>
      <c r="J35" s="829"/>
      <c r="K35" s="237"/>
      <c r="L35" s="828"/>
      <c r="M35" s="829"/>
      <c r="N35" s="237"/>
      <c r="O35" s="828"/>
      <c r="P35" s="829"/>
      <c r="Q35" s="6"/>
      <c r="R35" s="1053">
        <f t="shared" si="9"/>
        <v>0</v>
      </c>
      <c r="S35" s="1054">
        <f t="shared" si="1"/>
        <v>0</v>
      </c>
      <c r="T35" s="1054">
        <f t="shared" si="10"/>
        <v>0</v>
      </c>
      <c r="U35" s="1055">
        <f t="shared" si="11"/>
        <v>0</v>
      </c>
      <c r="V35" s="231">
        <f t="shared" si="31"/>
        <v>45319</v>
      </c>
      <c r="W35" s="1053">
        <f t="shared" si="2"/>
        <v>0</v>
      </c>
      <c r="X35" s="1054">
        <f t="shared" si="3"/>
        <v>0</v>
      </c>
      <c r="Y35" s="1054">
        <f t="shared" si="4"/>
        <v>0</v>
      </c>
      <c r="Z35" s="1055">
        <f t="shared" si="5"/>
        <v>0</v>
      </c>
      <c r="AA35" s="822">
        <f>VLOOKUP(V35,CASSA!$B$114:$C$479,2,FALSE)</f>
        <v>0</v>
      </c>
      <c r="AB35" s="1053">
        <f t="shared" si="12"/>
        <v>0</v>
      </c>
      <c r="AC35" s="1054">
        <f t="shared" si="13"/>
        <v>0</v>
      </c>
      <c r="AD35" s="1054">
        <f t="shared" si="14"/>
        <v>0</v>
      </c>
      <c r="AE35" s="1055">
        <f t="shared" si="15"/>
        <v>0</v>
      </c>
      <c r="AF35" s="2"/>
      <c r="AG35" s="1090">
        <f t="shared" si="16"/>
        <v>0</v>
      </c>
      <c r="AH35" s="1091">
        <f t="shared" si="17"/>
        <v>0</v>
      </c>
      <c r="AI35" s="1054">
        <f t="shared" si="18"/>
        <v>0</v>
      </c>
      <c r="AJ35" s="1054">
        <f t="shared" si="19"/>
        <v>0</v>
      </c>
      <c r="AK35" s="1092">
        <f t="shared" si="6"/>
        <v>0</v>
      </c>
      <c r="AL35" s="2"/>
      <c r="AM35" s="1090">
        <f t="shared" si="7"/>
        <v>0</v>
      </c>
      <c r="AN35" s="1105">
        <f t="shared" si="20"/>
        <v>0</v>
      </c>
      <c r="AO35" s="1054">
        <f t="shared" si="21"/>
        <v>0</v>
      </c>
      <c r="AP35" s="1054">
        <f t="shared" si="22"/>
        <v>0</v>
      </c>
      <c r="AQ35" s="1092">
        <f t="shared" si="23"/>
        <v>0</v>
      </c>
      <c r="AR35" s="2"/>
      <c r="AS35" s="1090">
        <f t="shared" si="24"/>
        <v>0</v>
      </c>
      <c r="AT35" s="1091">
        <f t="shared" si="25"/>
        <v>0</v>
      </c>
      <c r="AU35" s="1054">
        <f t="shared" si="26"/>
        <v>0</v>
      </c>
      <c r="AV35" s="1054">
        <f t="shared" si="27"/>
        <v>0</v>
      </c>
      <c r="AW35" s="1092">
        <f t="shared" si="28"/>
        <v>0</v>
      </c>
      <c r="AX35" s="2"/>
      <c r="AY35" s="1090">
        <f t="shared" si="29"/>
        <v>0</v>
      </c>
      <c r="AZ35" s="1385"/>
      <c r="BA35" s="2"/>
    </row>
    <row r="36" spans="1:54" ht="20.25" customHeight="1" x14ac:dyDescent="0.2">
      <c r="A36" s="2"/>
      <c r="B36" s="18">
        <v>29</v>
      </c>
      <c r="C36" s="234">
        <f t="shared" si="30"/>
        <v>29</v>
      </c>
      <c r="D36" s="235">
        <f t="shared" si="8"/>
        <v>1</v>
      </c>
      <c r="E36" s="2159">
        <f t="shared" si="0"/>
        <v>0</v>
      </c>
      <c r="F36" s="2160"/>
      <c r="G36" s="237"/>
      <c r="H36" s="237"/>
      <c r="I36" s="828"/>
      <c r="J36" s="829"/>
      <c r="K36" s="237"/>
      <c r="L36" s="828"/>
      <c r="M36" s="829"/>
      <c r="N36" s="237"/>
      <c r="O36" s="828"/>
      <c r="P36" s="829"/>
      <c r="Q36" s="6"/>
      <c r="R36" s="1053">
        <f t="shared" si="9"/>
        <v>0</v>
      </c>
      <c r="S36" s="1054">
        <f t="shared" si="1"/>
        <v>0</v>
      </c>
      <c r="T36" s="1054">
        <f t="shared" si="10"/>
        <v>0</v>
      </c>
      <c r="U36" s="1055">
        <f t="shared" si="11"/>
        <v>0</v>
      </c>
      <c r="V36" s="231">
        <f t="shared" si="31"/>
        <v>45320</v>
      </c>
      <c r="W36" s="1053">
        <f t="shared" si="2"/>
        <v>0</v>
      </c>
      <c r="X36" s="1054">
        <f t="shared" si="3"/>
        <v>0</v>
      </c>
      <c r="Y36" s="1054">
        <f t="shared" si="4"/>
        <v>0</v>
      </c>
      <c r="Z36" s="1055">
        <f t="shared" si="5"/>
        <v>0</v>
      </c>
      <c r="AA36" s="822">
        <f>VLOOKUP(V36,CASSA!$B$114:$C$479,2,FALSE)</f>
        <v>0</v>
      </c>
      <c r="AB36" s="1053">
        <f t="shared" si="12"/>
        <v>0</v>
      </c>
      <c r="AC36" s="1054">
        <f t="shared" si="13"/>
        <v>0</v>
      </c>
      <c r="AD36" s="1054">
        <f t="shared" si="14"/>
        <v>0</v>
      </c>
      <c r="AE36" s="1055">
        <f t="shared" si="15"/>
        <v>0</v>
      </c>
      <c r="AF36" s="2"/>
      <c r="AG36" s="1090">
        <f t="shared" si="16"/>
        <v>0</v>
      </c>
      <c r="AH36" s="1091">
        <f t="shared" si="17"/>
        <v>0</v>
      </c>
      <c r="AI36" s="1054">
        <f t="shared" si="18"/>
        <v>0</v>
      </c>
      <c r="AJ36" s="1054">
        <f t="shared" si="19"/>
        <v>0</v>
      </c>
      <c r="AK36" s="1092">
        <f t="shared" si="6"/>
        <v>0</v>
      </c>
      <c r="AL36" s="2"/>
      <c r="AM36" s="1090">
        <f t="shared" si="7"/>
        <v>0</v>
      </c>
      <c r="AN36" s="1105">
        <f t="shared" si="20"/>
        <v>0</v>
      </c>
      <c r="AO36" s="1054">
        <f t="shared" si="21"/>
        <v>0</v>
      </c>
      <c r="AP36" s="1054">
        <f t="shared" si="22"/>
        <v>0</v>
      </c>
      <c r="AQ36" s="1092">
        <f t="shared" si="23"/>
        <v>0</v>
      </c>
      <c r="AR36" s="2"/>
      <c r="AS36" s="1090">
        <f t="shared" si="24"/>
        <v>0</v>
      </c>
      <c r="AT36" s="1091">
        <f t="shared" si="25"/>
        <v>0</v>
      </c>
      <c r="AU36" s="1054">
        <f t="shared" si="26"/>
        <v>0</v>
      </c>
      <c r="AV36" s="1054">
        <f t="shared" si="27"/>
        <v>0</v>
      </c>
      <c r="AW36" s="1092">
        <f t="shared" si="28"/>
        <v>0</v>
      </c>
      <c r="AX36" s="2"/>
      <c r="AY36" s="1090">
        <f t="shared" si="29"/>
        <v>0</v>
      </c>
      <c r="AZ36" s="1385"/>
      <c r="BA36" s="2"/>
    </row>
    <row r="37" spans="1:54" ht="20.25" customHeight="1" x14ac:dyDescent="0.2">
      <c r="A37" s="2"/>
      <c r="B37" s="18">
        <v>30</v>
      </c>
      <c r="C37" s="234">
        <f t="shared" si="30"/>
        <v>30</v>
      </c>
      <c r="D37" s="235">
        <f t="shared" si="8"/>
        <v>1</v>
      </c>
      <c r="E37" s="2159">
        <f t="shared" si="0"/>
        <v>0</v>
      </c>
      <c r="F37" s="2160"/>
      <c r="G37" s="237"/>
      <c r="H37" s="237"/>
      <c r="I37" s="828"/>
      <c r="J37" s="829"/>
      <c r="K37" s="237"/>
      <c r="L37" s="828"/>
      <c r="M37" s="829"/>
      <c r="N37" s="237"/>
      <c r="O37" s="828"/>
      <c r="P37" s="829"/>
      <c r="Q37" s="6"/>
      <c r="R37" s="1053">
        <f t="shared" si="9"/>
        <v>0</v>
      </c>
      <c r="S37" s="1054">
        <f t="shared" si="1"/>
        <v>0</v>
      </c>
      <c r="T37" s="1054">
        <f t="shared" si="10"/>
        <v>0</v>
      </c>
      <c r="U37" s="1055">
        <f t="shared" si="11"/>
        <v>0</v>
      </c>
      <c r="V37" s="231">
        <f t="shared" si="31"/>
        <v>45321</v>
      </c>
      <c r="W37" s="1053">
        <f t="shared" si="2"/>
        <v>0</v>
      </c>
      <c r="X37" s="1054">
        <f t="shared" si="3"/>
        <v>0</v>
      </c>
      <c r="Y37" s="1054">
        <f t="shared" si="4"/>
        <v>0</v>
      </c>
      <c r="Z37" s="1055">
        <f t="shared" si="5"/>
        <v>0</v>
      </c>
      <c r="AA37" s="822">
        <f>VLOOKUP(V37,CASSA!$B$114:$C$479,2,FALSE)</f>
        <v>0</v>
      </c>
      <c r="AB37" s="1053">
        <f t="shared" si="12"/>
        <v>0</v>
      </c>
      <c r="AC37" s="1054">
        <f t="shared" si="13"/>
        <v>0</v>
      </c>
      <c r="AD37" s="1054">
        <f t="shared" si="14"/>
        <v>0</v>
      </c>
      <c r="AE37" s="1055">
        <f t="shared" si="15"/>
        <v>0</v>
      </c>
      <c r="AF37" s="2"/>
      <c r="AG37" s="1090">
        <f t="shared" si="16"/>
        <v>0</v>
      </c>
      <c r="AH37" s="1091">
        <f t="shared" si="17"/>
        <v>0</v>
      </c>
      <c r="AI37" s="1054">
        <f t="shared" si="18"/>
        <v>0</v>
      </c>
      <c r="AJ37" s="1054">
        <f t="shared" si="19"/>
        <v>0</v>
      </c>
      <c r="AK37" s="1092">
        <f t="shared" si="6"/>
        <v>0</v>
      </c>
      <c r="AL37" s="2"/>
      <c r="AM37" s="1090">
        <f t="shared" si="7"/>
        <v>0</v>
      </c>
      <c r="AN37" s="1105">
        <f t="shared" si="20"/>
        <v>0</v>
      </c>
      <c r="AO37" s="1054">
        <f t="shared" si="21"/>
        <v>0</v>
      </c>
      <c r="AP37" s="1054">
        <f t="shared" si="22"/>
        <v>0</v>
      </c>
      <c r="AQ37" s="1092">
        <f t="shared" si="23"/>
        <v>0</v>
      </c>
      <c r="AR37" s="2"/>
      <c r="AS37" s="1090">
        <f t="shared" si="24"/>
        <v>0</v>
      </c>
      <c r="AT37" s="1091">
        <f t="shared" si="25"/>
        <v>0</v>
      </c>
      <c r="AU37" s="1054">
        <f t="shared" si="26"/>
        <v>0</v>
      </c>
      <c r="AV37" s="1054">
        <f t="shared" si="27"/>
        <v>0</v>
      </c>
      <c r="AW37" s="1092">
        <f t="shared" si="28"/>
        <v>0</v>
      </c>
      <c r="AX37" s="2"/>
      <c r="AY37" s="1090">
        <f t="shared" si="29"/>
        <v>0</v>
      </c>
      <c r="AZ37" s="1385"/>
      <c r="BA37" s="2"/>
    </row>
    <row r="38" spans="1:54" ht="20.25" customHeight="1" x14ac:dyDescent="0.2">
      <c r="A38" s="2"/>
      <c r="B38" s="18">
        <v>31</v>
      </c>
      <c r="C38" s="234">
        <f t="shared" si="30"/>
        <v>31</v>
      </c>
      <c r="D38" s="235">
        <f t="shared" si="8"/>
        <v>1</v>
      </c>
      <c r="E38" s="2162">
        <f t="shared" si="0"/>
        <v>0</v>
      </c>
      <c r="F38" s="2163"/>
      <c r="G38" s="824"/>
      <c r="H38" s="824"/>
      <c r="I38" s="836"/>
      <c r="J38" s="837"/>
      <c r="K38" s="824"/>
      <c r="L38" s="836"/>
      <c r="M38" s="837"/>
      <c r="N38" s="824"/>
      <c r="O38" s="836"/>
      <c r="P38" s="837"/>
      <c r="Q38" s="6"/>
      <c r="R38" s="1056">
        <f t="shared" si="9"/>
        <v>0</v>
      </c>
      <c r="S38" s="1057">
        <f t="shared" si="1"/>
        <v>0</v>
      </c>
      <c r="T38" s="1057">
        <f t="shared" si="10"/>
        <v>0</v>
      </c>
      <c r="U38" s="1058">
        <f t="shared" si="11"/>
        <v>0</v>
      </c>
      <c r="V38" s="231">
        <f t="shared" si="31"/>
        <v>45322</v>
      </c>
      <c r="W38" s="1056">
        <f t="shared" si="2"/>
        <v>0</v>
      </c>
      <c r="X38" s="1057">
        <f t="shared" si="3"/>
        <v>0</v>
      </c>
      <c r="Y38" s="1057">
        <f t="shared" si="4"/>
        <v>0</v>
      </c>
      <c r="Z38" s="1058">
        <f t="shared" si="5"/>
        <v>0</v>
      </c>
      <c r="AA38" s="822">
        <f>VLOOKUP(V38,CASSA!$B$114:$C$479,2,FALSE)</f>
        <v>0</v>
      </c>
      <c r="AB38" s="1056">
        <f t="shared" si="12"/>
        <v>0</v>
      </c>
      <c r="AC38" s="1057">
        <f t="shared" si="13"/>
        <v>0</v>
      </c>
      <c r="AD38" s="1057">
        <f t="shared" si="14"/>
        <v>0</v>
      </c>
      <c r="AE38" s="1058">
        <f t="shared" si="15"/>
        <v>0</v>
      </c>
      <c r="AF38" s="2"/>
      <c r="AG38" s="1093">
        <f t="shared" si="16"/>
        <v>0</v>
      </c>
      <c r="AH38" s="1094">
        <f t="shared" si="17"/>
        <v>0</v>
      </c>
      <c r="AI38" s="1057">
        <f t="shared" si="18"/>
        <v>0</v>
      </c>
      <c r="AJ38" s="1057">
        <f t="shared" si="19"/>
        <v>0</v>
      </c>
      <c r="AK38" s="1095">
        <f t="shared" si="6"/>
        <v>0</v>
      </c>
      <c r="AL38" s="2"/>
      <c r="AM38" s="1093">
        <f t="shared" si="7"/>
        <v>0</v>
      </c>
      <c r="AN38" s="1106">
        <f t="shared" si="20"/>
        <v>0</v>
      </c>
      <c r="AO38" s="1057">
        <f t="shared" si="21"/>
        <v>0</v>
      </c>
      <c r="AP38" s="1057">
        <f t="shared" si="22"/>
        <v>0</v>
      </c>
      <c r="AQ38" s="1095">
        <f t="shared" si="23"/>
        <v>0</v>
      </c>
      <c r="AR38" s="2"/>
      <c r="AS38" s="1093">
        <f t="shared" si="24"/>
        <v>0</v>
      </c>
      <c r="AT38" s="1094">
        <f t="shared" si="25"/>
        <v>0</v>
      </c>
      <c r="AU38" s="1057">
        <f t="shared" si="26"/>
        <v>0</v>
      </c>
      <c r="AV38" s="1057">
        <f t="shared" si="27"/>
        <v>0</v>
      </c>
      <c r="AW38" s="1095">
        <f t="shared" si="28"/>
        <v>0</v>
      </c>
      <c r="AX38" s="2"/>
      <c r="AY38" s="1093">
        <f t="shared" si="29"/>
        <v>0</v>
      </c>
      <c r="AZ38" s="1386"/>
      <c r="BA38" s="2"/>
    </row>
    <row r="39" spans="1:54" ht="20.25" customHeight="1" x14ac:dyDescent="0.2">
      <c r="A39" s="2"/>
      <c r="B39" s="7"/>
      <c r="C39" s="2077" t="s">
        <v>177</v>
      </c>
      <c r="D39" s="2078"/>
      <c r="E39" s="2074">
        <f>IMPOSTAZIONI!D265</f>
        <v>0</v>
      </c>
      <c r="F39" s="2075"/>
      <c r="G39" s="1440">
        <f>IF(ISERROR(G$155),0,SUM(G8:G38)-SUMIF($E8:$E38,$V4,G8:G38))</f>
        <v>1000</v>
      </c>
      <c r="H39" s="1440">
        <f>IF(ISERROR(H$155),0,SUM(H8:H38)-SUMIF($E8:$E38,$V4,H8:H38))</f>
        <v>0</v>
      </c>
      <c r="I39" s="838"/>
      <c r="J39" s="839"/>
      <c r="K39" s="1440">
        <f>IF(ISERROR(I$155),0,SUM(K8:K38)-SUMIF($E8:$E38,$V4,K8:K38))</f>
        <v>0</v>
      </c>
      <c r="L39" s="838"/>
      <c r="M39" s="839"/>
      <c r="N39" s="1440">
        <f>IF(ISERROR(J$155),0,SUM(N8:N38)-SUMIF($E8:$E38,$V4,N8:N38))</f>
        <v>0</v>
      </c>
      <c r="O39" s="838"/>
      <c r="P39" s="839"/>
      <c r="Q39" s="6"/>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1383"/>
      <c r="BA39" s="2"/>
    </row>
    <row r="40" spans="1:54" ht="3" customHeight="1" x14ac:dyDescent="0.2">
      <c r="A40" s="2"/>
      <c r="B40" s="2"/>
      <c r="C40" s="8"/>
      <c r="D40" s="9"/>
      <c r="E40" s="825"/>
      <c r="F40" s="826"/>
      <c r="G40" s="827"/>
      <c r="H40" s="827"/>
      <c r="I40" s="825"/>
      <c r="J40" s="826"/>
      <c r="K40" s="827"/>
      <c r="L40" s="825"/>
      <c r="M40" s="826"/>
      <c r="N40" s="827"/>
      <c r="O40" s="825"/>
      <c r="P40" s="826"/>
      <c r="Q40" s="6"/>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row>
    <row r="41" spans="1:54" ht="6" customHeight="1" x14ac:dyDescent="0.2">
      <c r="A41" s="2"/>
      <c r="B41" s="2"/>
      <c r="C41" s="10"/>
      <c r="D41" s="10"/>
      <c r="E41" s="11"/>
      <c r="F41" s="11"/>
      <c r="G41" s="11"/>
      <c r="H41" s="11"/>
      <c r="I41" s="11"/>
      <c r="J41" s="11"/>
      <c r="K41" s="11"/>
      <c r="L41" s="11"/>
      <c r="M41" s="11"/>
      <c r="N41" s="11"/>
      <c r="O41" s="11"/>
      <c r="P41" s="11"/>
      <c r="Q41" s="1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row>
    <row r="42" spans="1:54" ht="18.75" customHeight="1" x14ac:dyDescent="0.2">
      <c r="A42" s="2"/>
      <c r="B42" s="2"/>
      <c r="C42" s="946" t="s">
        <v>657</v>
      </c>
      <c r="D42" s="14"/>
      <c r="E42" s="12"/>
      <c r="F42" s="12"/>
      <c r="G42" s="957">
        <f>IMPOSTAZIONI!I33</f>
        <v>0</v>
      </c>
      <c r="H42" s="957">
        <f>IMPOSTAZIONI!M33</f>
        <v>0</v>
      </c>
      <c r="I42" s="12"/>
      <c r="J42" s="12"/>
      <c r="K42" s="957">
        <f>IMPOSTAZIONI!U33</f>
        <v>0</v>
      </c>
      <c r="L42" s="12"/>
      <c r="M42" s="12"/>
      <c r="N42" s="957">
        <f>IMPOSTAZIONI!AC33</f>
        <v>0</v>
      </c>
      <c r="O42" s="12"/>
      <c r="P42" s="12"/>
      <c r="Q42" s="12"/>
      <c r="R42" s="2"/>
      <c r="S42" s="591"/>
      <c r="T42" s="591"/>
      <c r="U42" s="591"/>
      <c r="V42" s="591"/>
      <c r="W42" s="591"/>
      <c r="X42" s="591"/>
      <c r="Y42" s="591"/>
      <c r="Z42" s="591"/>
      <c r="AA42" s="591"/>
      <c r="AB42" s="591"/>
      <c r="AC42" s="591"/>
      <c r="AD42" s="591"/>
      <c r="AE42" s="591"/>
      <c r="AF42" s="591"/>
      <c r="AG42" s="591"/>
      <c r="AH42" s="591"/>
      <c r="AI42" s="591"/>
      <c r="AJ42" s="591"/>
      <c r="AK42" s="591"/>
      <c r="AL42" s="591"/>
      <c r="AM42" s="591"/>
      <c r="AN42" s="591"/>
      <c r="AO42" s="591"/>
      <c r="AP42" s="591"/>
      <c r="AQ42" s="591"/>
      <c r="AR42" s="591"/>
      <c r="AS42" s="591"/>
      <c r="AT42" s="591"/>
      <c r="AU42" s="591"/>
      <c r="AV42" s="591"/>
      <c r="AW42" s="591"/>
      <c r="AX42" s="591"/>
      <c r="AY42" s="591"/>
      <c r="AZ42" s="2"/>
      <c r="BA42" s="2"/>
      <c r="BB42" s="591"/>
    </row>
    <row r="43" spans="1:54" ht="18" customHeight="1" x14ac:dyDescent="0.2">
      <c r="A43" s="2"/>
      <c r="B43" s="2"/>
      <c r="C43" s="2161" t="s">
        <v>175</v>
      </c>
      <c r="D43" s="2161"/>
      <c r="E43" s="2076">
        <f>C6</f>
        <v>2024</v>
      </c>
      <c r="F43" s="2076"/>
      <c r="G43" s="888" t="str">
        <f>G6</f>
        <v/>
      </c>
      <c r="H43" s="889" t="str">
        <f>H6</f>
        <v/>
      </c>
      <c r="I43" s="2"/>
      <c r="J43" s="2"/>
      <c r="K43" s="887" t="str">
        <f>K6</f>
        <v/>
      </c>
      <c r="L43" s="2"/>
      <c r="M43" s="2"/>
      <c r="N43" s="887" t="str">
        <f>N6</f>
        <v/>
      </c>
      <c r="O43" s="2"/>
      <c r="P43" s="2"/>
      <c r="Q43" s="12"/>
      <c r="R43" s="2"/>
      <c r="S43" s="591"/>
      <c r="T43" s="591"/>
      <c r="U43" s="591"/>
      <c r="V43" s="591"/>
      <c r="W43" s="591"/>
      <c r="X43" s="591"/>
      <c r="Y43" s="591"/>
      <c r="Z43" s="591"/>
      <c r="AA43" s="591"/>
      <c r="AB43" s="591"/>
      <c r="AC43" s="591"/>
      <c r="AD43" s="591"/>
      <c r="AE43" s="591"/>
      <c r="AF43" s="591"/>
      <c r="AG43" s="591"/>
      <c r="AH43" s="591"/>
      <c r="AI43" s="591"/>
      <c r="AJ43" s="591"/>
      <c r="AK43" s="591"/>
      <c r="AL43" s="591"/>
      <c r="AM43" s="591"/>
      <c r="AN43" s="591"/>
      <c r="AO43" s="591"/>
      <c r="AP43" s="591"/>
      <c r="AQ43" s="591"/>
      <c r="AR43" s="591"/>
      <c r="AS43" s="591"/>
      <c r="AT43" s="591"/>
      <c r="AU43" s="591"/>
      <c r="AV43" s="591"/>
      <c r="AW43" s="591"/>
      <c r="AX43" s="591"/>
      <c r="AY43" s="591"/>
      <c r="AZ43" s="2"/>
      <c r="BA43" s="2"/>
      <c r="BB43" s="591"/>
    </row>
    <row r="44" spans="1:54" ht="22.5" customHeight="1" x14ac:dyDescent="0.2">
      <c r="A44" s="2"/>
      <c r="B44" s="2"/>
      <c r="C44" s="2091" t="s">
        <v>298</v>
      </c>
      <c r="D44" s="2091"/>
      <c r="E44" s="2091"/>
      <c r="F44" s="2091"/>
      <c r="G44" s="57" t="str">
        <f t="shared" ref="G44:K45" si="32">G4</f>
        <v/>
      </c>
      <c r="H44" s="57" t="str">
        <f t="shared" si="32"/>
        <v/>
      </c>
      <c r="I44" s="2034">
        <f>IF(I4=K130,"",I4)</f>
        <v>0</v>
      </c>
      <c r="J44" s="2034"/>
      <c r="K44" s="57" t="str">
        <f t="shared" si="32"/>
        <v/>
      </c>
      <c r="L44" s="2034">
        <f>IF(L4=K130,"",L4)</f>
        <v>0</v>
      </c>
      <c r="M44" s="2034"/>
      <c r="N44" s="57" t="str">
        <f>N4</f>
        <v/>
      </c>
      <c r="O44" s="2034">
        <f>IF(O4=K130,"",O4)</f>
        <v>0</v>
      </c>
      <c r="P44" s="2034"/>
      <c r="Q44" s="12"/>
      <c r="R44" s="2"/>
      <c r="S44" s="591"/>
      <c r="T44" s="591"/>
      <c r="U44" s="591"/>
      <c r="V44" s="591"/>
      <c r="W44" s="591"/>
      <c r="X44" s="591"/>
      <c r="Y44" s="591"/>
      <c r="Z44" s="591"/>
      <c r="AA44" s="591"/>
      <c r="AB44" s="591"/>
      <c r="AC44" s="591"/>
      <c r="AD44" s="591"/>
      <c r="AE44" s="591"/>
      <c r="AF44" s="591"/>
      <c r="AG44" s="591"/>
      <c r="AH44" s="591"/>
      <c r="AI44" s="591"/>
      <c r="AJ44" s="591"/>
      <c r="AK44" s="591"/>
      <c r="AL44" s="591"/>
      <c r="AM44" s="591"/>
      <c r="AN44" s="591"/>
      <c r="AO44" s="591"/>
      <c r="AP44" s="591"/>
      <c r="AQ44" s="591"/>
      <c r="AR44" s="591"/>
      <c r="AS44" s="591"/>
      <c r="AT44" s="591"/>
      <c r="AU44" s="591"/>
      <c r="AV44" s="591"/>
      <c r="AW44" s="591"/>
      <c r="AX44" s="591"/>
      <c r="AY44" s="591"/>
      <c r="AZ44" s="2"/>
      <c r="BA44" s="2"/>
      <c r="BB44" s="591"/>
    </row>
    <row r="45" spans="1:54" ht="22.5" customHeight="1" x14ac:dyDescent="0.2">
      <c r="A45" s="2"/>
      <c r="B45" s="2"/>
      <c r="C45" s="2081" t="s">
        <v>297</v>
      </c>
      <c r="D45" s="2081"/>
      <c r="E45" s="2082"/>
      <c r="F45" s="2082"/>
      <c r="G45" s="58" t="str">
        <f t="shared" si="32"/>
        <v/>
      </c>
      <c r="H45" s="58" t="str">
        <f t="shared" si="32"/>
        <v/>
      </c>
      <c r="I45" s="488" t="str">
        <f>I6</f>
        <v>DAL</v>
      </c>
      <c r="J45" s="489" t="str">
        <f>J6</f>
        <v>AL</v>
      </c>
      <c r="K45" s="58" t="str">
        <f t="shared" si="32"/>
        <v/>
      </c>
      <c r="L45" s="488" t="str">
        <f>L6</f>
        <v>DAL</v>
      </c>
      <c r="M45" s="489" t="str">
        <f>M6</f>
        <v>AL</v>
      </c>
      <c r="N45" s="58" t="str">
        <f>N5</f>
        <v/>
      </c>
      <c r="O45" s="488" t="str">
        <f>O6</f>
        <v>DAL</v>
      </c>
      <c r="P45" s="489" t="str">
        <f>P6</f>
        <v>AL</v>
      </c>
      <c r="Q45" s="12"/>
      <c r="R45" s="2"/>
      <c r="S45" s="591"/>
      <c r="T45" s="591"/>
      <c r="U45" s="591"/>
      <c r="V45" s="591"/>
      <c r="W45" s="591"/>
      <c r="X45" s="591"/>
      <c r="Y45" s="591"/>
      <c r="Z45" s="591"/>
      <c r="AA45" s="591"/>
      <c r="AB45" s="591"/>
      <c r="AC45" s="591"/>
      <c r="AD45" s="591"/>
      <c r="AE45" s="591"/>
      <c r="AF45" s="591"/>
      <c r="AG45" s="591"/>
      <c r="AH45" s="591"/>
      <c r="AI45" s="591"/>
      <c r="AJ45" s="591"/>
      <c r="AK45" s="591"/>
      <c r="AL45" s="591"/>
      <c r="AM45" s="591"/>
      <c r="AN45" s="591"/>
      <c r="AO45" s="591"/>
      <c r="AP45" s="591"/>
      <c r="AQ45" s="591"/>
      <c r="AR45" s="591"/>
      <c r="AS45" s="591"/>
      <c r="AT45" s="591"/>
      <c r="AU45" s="591"/>
      <c r="AV45" s="591"/>
      <c r="AW45" s="591"/>
      <c r="AX45" s="591"/>
      <c r="AY45" s="591"/>
      <c r="AZ45" s="2"/>
      <c r="BA45" s="2"/>
      <c r="BB45" s="591"/>
    </row>
    <row r="46" spans="1:54" ht="21.95" customHeight="1" x14ac:dyDescent="0.2">
      <c r="A46" s="2"/>
      <c r="B46" s="7"/>
      <c r="C46" s="2079" t="s">
        <v>193</v>
      </c>
      <c r="D46" s="2080"/>
      <c r="E46" s="2157">
        <f>IF(E150=1,SUM(E8:E38),SUM(G46:H46)+K46+N46-SUMIF(G42:N42,K134,G46:N46))</f>
        <v>1000</v>
      </c>
      <c r="F46" s="2158"/>
      <c r="G46" s="881">
        <f>IF(ISERROR(G$155),0,SUM(G8:G38)-SUMIF($E8:$E38,$V4,G8:G38)+IF(ISERROR(VLOOKUP(G1,IMPOSTAZIONI!$B$401:$AM$407,$E$149,FALSE)),0,VLOOKUP(G1,IMPOSTAZIONI!$B$401:$AM$407,$E$149,FALSE)))</f>
        <v>1000</v>
      </c>
      <c r="H46" s="882">
        <f>IF(ISERROR(H$155),0,SUM(H8:H38)-SUMIF($E8:$E38,$V4,H8:H38)+IF(ISERROR(VLOOKUP(H1,IMPOSTAZIONI!$B$401:$AM$407,$E$149,FALSE)),0,VLOOKUP(H1,IMPOSTAZIONI!$B$401:$AM$407,$E$149,FALSE)))</f>
        <v>0</v>
      </c>
      <c r="I46" s="884"/>
      <c r="J46" s="883"/>
      <c r="K46" s="297">
        <f>IF(ISERROR(I$155),0,SUM(K8:K38)-SUMIF($E8:$E38,$V4,K8:K38)+IF(ISERROR(VLOOKUP(K1,IMPOSTAZIONI!$B$401:$AM$407,$E$149,FALSE)),0,VLOOKUP(K1,IMPOSTAZIONI!$B$401:$AM$407,$E$149,FALSE)))</f>
        <v>0</v>
      </c>
      <c r="L46" s="884"/>
      <c r="M46" s="883"/>
      <c r="N46" s="297">
        <f>IF(ISERROR(J$155),0,SUM(N8:N38)-SUMIF($E8:$E38,$V4,N8:N38)+IF(ISERROR(VLOOKUP(N1,IMPOSTAZIONI!$B$401:$AM$407,$E$149,FALSE)),0,VLOOKUP(N1,IMPOSTAZIONI!$B$401:$AM$407,$E$149,FALSE)))</f>
        <v>0</v>
      </c>
      <c r="O46" s="885"/>
      <c r="P46" s="886"/>
      <c r="Q46" s="12"/>
      <c r="R46" s="2"/>
      <c r="S46" s="591"/>
      <c r="T46" s="591"/>
      <c r="U46" s="591"/>
      <c r="V46" s="591"/>
      <c r="W46" s="591"/>
      <c r="X46" s="591"/>
      <c r="Y46" s="591"/>
      <c r="Z46" s="591"/>
      <c r="AA46" s="591"/>
      <c r="AB46" s="591"/>
      <c r="AC46" s="591"/>
      <c r="AD46" s="591"/>
      <c r="AE46" s="591"/>
      <c r="AF46" s="591"/>
      <c r="AG46" s="591"/>
      <c r="AH46" s="591"/>
      <c r="AI46" s="591"/>
      <c r="AJ46" s="591"/>
      <c r="AK46" s="591"/>
      <c r="AL46" s="591"/>
      <c r="AM46" s="591"/>
      <c r="AN46" s="591"/>
      <c r="AO46" s="591"/>
      <c r="AP46" s="591"/>
      <c r="AQ46" s="591"/>
      <c r="AR46" s="591"/>
      <c r="AS46" s="591"/>
      <c r="AT46" s="591"/>
      <c r="AU46" s="591"/>
      <c r="AV46" s="591"/>
      <c r="AW46" s="591"/>
      <c r="AX46" s="591"/>
      <c r="AY46" s="591"/>
      <c r="AZ46" s="2"/>
      <c r="BA46" s="2"/>
      <c r="BB46" s="591"/>
    </row>
    <row r="47" spans="1:54" ht="16.5" customHeight="1" x14ac:dyDescent="0.2">
      <c r="A47" s="2"/>
      <c r="B47" s="7"/>
      <c r="C47" s="2179" t="s">
        <v>194</v>
      </c>
      <c r="D47" s="2180"/>
      <c r="E47" s="2177">
        <f>E46-E48</f>
        <v>1000</v>
      </c>
      <c r="F47" s="2178"/>
      <c r="G47" s="238">
        <f>G46-G48</f>
        <v>1000</v>
      </c>
      <c r="H47" s="652">
        <f>H46-H48</f>
        <v>0</v>
      </c>
      <c r="I47" s="2"/>
      <c r="J47" s="2"/>
      <c r="K47" s="654">
        <f>K46-K48</f>
        <v>0</v>
      </c>
      <c r="L47" s="2"/>
      <c r="M47" s="2"/>
      <c r="N47" s="654">
        <f>N46-N48</f>
        <v>0</v>
      </c>
      <c r="O47" s="2"/>
      <c r="P47" s="2"/>
      <c r="Q47" s="12"/>
      <c r="R47" s="2"/>
      <c r="S47" s="591"/>
      <c r="T47" s="591"/>
      <c r="U47" s="591"/>
      <c r="V47" s="591"/>
      <c r="W47" s="591"/>
      <c r="X47" s="591"/>
      <c r="Y47" s="591"/>
      <c r="Z47" s="591"/>
      <c r="AA47" s="591"/>
      <c r="AB47" s="591"/>
      <c r="AC47" s="591"/>
      <c r="AD47" s="591"/>
      <c r="AE47" s="591"/>
      <c r="AF47" s="591"/>
      <c r="AG47" s="591"/>
      <c r="AH47" s="591"/>
      <c r="AI47" s="591"/>
      <c r="AJ47" s="591"/>
      <c r="AK47" s="591"/>
      <c r="AL47" s="591"/>
      <c r="AM47" s="591"/>
      <c r="AN47" s="591"/>
      <c r="AO47" s="591"/>
      <c r="AP47" s="591"/>
      <c r="AQ47" s="591"/>
      <c r="AR47" s="591"/>
      <c r="AS47" s="591"/>
      <c r="AT47" s="591"/>
      <c r="AU47" s="591"/>
      <c r="AV47" s="591"/>
      <c r="AW47" s="591"/>
      <c r="AX47" s="591"/>
      <c r="AY47" s="591"/>
      <c r="AZ47" s="2"/>
      <c r="BA47" s="2"/>
      <c r="BB47" s="591"/>
    </row>
    <row r="48" spans="1:54" ht="16.5" customHeight="1" x14ac:dyDescent="0.2">
      <c r="A48" s="2"/>
      <c r="B48" s="7"/>
      <c r="C48" s="2070" t="s">
        <v>195</v>
      </c>
      <c r="D48" s="2071"/>
      <c r="E48" s="2181">
        <f>IF(I163=0,0,SUM(G48:H48)+K48+N48-SUMIF(G42:N42,K134,G48:N48))</f>
        <v>0</v>
      </c>
      <c r="F48" s="2182"/>
      <c r="G48" s="239">
        <f>IF(AND(C61=1,G63&lt;&gt;0),G87,IF(G152=0,SUM(R8:R38)-SUMIF($E8:$E38,$V4,R8:R38)+VLOOKUP(G1,IMPOSTAZIONI!$B$419:$AK$425,$E$149,FALSE),G98))</f>
        <v>0</v>
      </c>
      <c r="H48" s="653">
        <f>IF(AND(C61=1,H63&lt;&gt;0),H87,IF(H152=0,SUM(S8:S38)-SUMIF($E8:$E38,$V4,S8:S38)+VLOOKUP(H1,IMPOSTAZIONI!$B$419:$AK$425,$E$149,FALSE),H98))</f>
        <v>0</v>
      </c>
      <c r="I48" s="59"/>
      <c r="J48" s="139"/>
      <c r="K48" s="655">
        <f>IF(AND(C61=1,K63&lt;&gt;0),I87,IF(I152=0,SUM(T8:T38)-SUMIF($E8:$E38,$V4,T8:T38)+VLOOKUP(K1,IMPOSTAZIONI!$B$419:$AK$425,$E$149,FALSE),K98))</f>
        <v>0</v>
      </c>
      <c r="L48" s="59"/>
      <c r="M48" s="139"/>
      <c r="N48" s="655">
        <f>IF(AND(C61=1,N63&lt;&gt;0),K87,IF(J152=0,SUM(U8:U38)-SUMIF($E8:$E38,$V4,U8:U38)+VLOOKUP(N1,IMPOSTAZIONI!$B$419:$AK$425,$E$149,FALSE),N98))</f>
        <v>0</v>
      </c>
      <c r="O48" s="2"/>
      <c r="P48" s="2"/>
      <c r="Q48" s="13"/>
      <c r="R48" s="2"/>
      <c r="S48" s="591"/>
      <c r="T48" s="591"/>
      <c r="U48" s="591"/>
      <c r="V48" s="591"/>
      <c r="W48" s="591"/>
      <c r="X48" s="591"/>
      <c r="Y48" s="591"/>
      <c r="Z48" s="591"/>
      <c r="AA48" s="591"/>
      <c r="AB48" s="591"/>
      <c r="AC48" s="591"/>
      <c r="AD48" s="591"/>
      <c r="AE48" s="591"/>
      <c r="AF48" s="591"/>
      <c r="AG48" s="591"/>
      <c r="AH48" s="591"/>
      <c r="AI48" s="591"/>
      <c r="AJ48" s="591"/>
      <c r="AK48" s="591"/>
      <c r="AL48" s="591"/>
      <c r="AM48" s="591"/>
      <c r="AN48" s="591"/>
      <c r="AO48" s="591"/>
      <c r="AP48" s="591"/>
      <c r="AQ48" s="591"/>
      <c r="AR48" s="591"/>
      <c r="AS48" s="591"/>
      <c r="AT48" s="591"/>
      <c r="AU48" s="591"/>
      <c r="AV48" s="591"/>
      <c r="AW48" s="591"/>
      <c r="AX48" s="591"/>
      <c r="AY48" s="591"/>
      <c r="AZ48" s="2"/>
      <c r="BA48" s="2"/>
      <c r="BB48" s="591"/>
    </row>
    <row r="49" spans="1:54" ht="37.5" customHeight="1" x14ac:dyDescent="0.2">
      <c r="A49" s="2"/>
      <c r="B49" s="2"/>
      <c r="C49" s="14"/>
      <c r="D49" s="14"/>
      <c r="E49" s="12"/>
      <c r="F49" s="12"/>
      <c r="G49" s="11"/>
      <c r="H49" s="11"/>
      <c r="I49" s="12"/>
      <c r="J49" s="12"/>
      <c r="K49" s="11"/>
      <c r="L49" s="12"/>
      <c r="M49" s="12"/>
      <c r="N49" s="11"/>
      <c r="O49" s="12"/>
      <c r="P49" s="12"/>
      <c r="Q49" s="12"/>
      <c r="R49" s="12"/>
      <c r="S49" s="1308"/>
      <c r="T49" s="1308"/>
      <c r="U49" s="591"/>
      <c r="V49" s="591"/>
      <c r="W49" s="591"/>
      <c r="X49" s="591"/>
      <c r="Y49" s="591"/>
      <c r="Z49" s="591"/>
      <c r="AA49" s="591"/>
      <c r="AB49" s="591"/>
      <c r="AC49" s="591"/>
      <c r="AD49" s="591"/>
      <c r="AE49" s="591"/>
      <c r="AF49" s="591"/>
      <c r="AG49" s="591"/>
      <c r="AH49" s="591"/>
      <c r="AI49" s="591"/>
      <c r="AJ49" s="591"/>
      <c r="AK49" s="591"/>
      <c r="AL49" s="591"/>
      <c r="AM49" s="591"/>
      <c r="AN49" s="591"/>
      <c r="AO49" s="591"/>
      <c r="AP49" s="591"/>
      <c r="AQ49" s="591"/>
      <c r="AR49" s="591"/>
      <c r="AS49" s="591"/>
      <c r="AT49" s="591"/>
      <c r="AU49" s="591"/>
      <c r="AV49" s="591"/>
      <c r="AW49" s="591"/>
      <c r="AX49" s="591"/>
      <c r="AY49" s="591"/>
      <c r="AZ49" s="2"/>
      <c r="BA49" s="2"/>
      <c r="BB49" s="591"/>
    </row>
    <row r="50" spans="1:54" ht="18.75" customHeight="1" x14ac:dyDescent="0.2">
      <c r="A50" s="2"/>
      <c r="B50" s="2"/>
      <c r="C50" s="2174" t="s">
        <v>196</v>
      </c>
      <c r="D50" s="2174"/>
      <c r="E50" s="2174"/>
      <c r="F50" s="96"/>
      <c r="G50" s="2225" t="s">
        <v>488</v>
      </c>
      <c r="H50" s="2226"/>
      <c r="I50" s="2226"/>
      <c r="J50" s="2226"/>
      <c r="K50" s="2226"/>
      <c r="L50" s="2226"/>
      <c r="M50" s="2227"/>
      <c r="N50" s="656"/>
      <c r="O50" s="656"/>
      <c r="P50" s="14"/>
      <c r="Q50" s="2"/>
      <c r="R50" s="15"/>
      <c r="S50" s="1309"/>
      <c r="T50" s="591"/>
      <c r="U50" s="591"/>
      <c r="V50" s="591"/>
      <c r="W50" s="591"/>
      <c r="X50" s="591"/>
      <c r="Y50" s="591"/>
      <c r="Z50" s="1308"/>
      <c r="AA50" s="1309"/>
      <c r="AB50" s="591"/>
      <c r="AC50" s="591"/>
      <c r="AD50" s="591"/>
      <c r="AE50" s="591"/>
      <c r="AF50" s="591"/>
      <c r="AG50" s="591"/>
      <c r="AH50" s="591"/>
      <c r="AI50" s="591"/>
      <c r="AJ50" s="591"/>
      <c r="AK50" s="591"/>
      <c r="AL50" s="591"/>
      <c r="AM50" s="591"/>
      <c r="AN50" s="591"/>
      <c r="AO50" s="591"/>
      <c r="AP50" s="591"/>
      <c r="AQ50" s="591"/>
      <c r="AR50" s="591"/>
      <c r="AS50" s="591"/>
      <c r="AT50" s="591"/>
      <c r="AU50" s="591"/>
      <c r="AV50" s="591"/>
      <c r="AW50" s="591"/>
      <c r="AX50" s="591"/>
      <c r="AY50" s="591"/>
      <c r="AZ50" s="2"/>
      <c r="BA50" s="2"/>
      <c r="BB50" s="591"/>
    </row>
    <row r="51" spans="1:54" ht="16.5" customHeight="1" x14ac:dyDescent="0.25">
      <c r="A51" s="2"/>
      <c r="B51" s="2"/>
      <c r="C51" s="2126" t="s">
        <v>197</v>
      </c>
      <c r="D51" s="2127"/>
      <c r="E51" s="2128"/>
      <c r="F51" s="554"/>
      <c r="G51" s="293" t="str">
        <f>VLOOKUP(M3,K144:M148,3,FALSE)</f>
        <v>IVA a debito</v>
      </c>
      <c r="H51" s="294" t="str">
        <f>VLOOKUP(M3,K144:O148,5,FALSE)</f>
        <v>IVA a credito</v>
      </c>
      <c r="I51" s="2214" t="s">
        <v>200</v>
      </c>
      <c r="J51" s="2215"/>
      <c r="K51" s="1303" t="s">
        <v>201</v>
      </c>
      <c r="L51" s="2214" t="s">
        <v>71</v>
      </c>
      <c r="M51" s="2215"/>
      <c r="N51" s="14"/>
      <c r="O51" s="14"/>
      <c r="P51" s="14"/>
      <c r="Q51" s="12"/>
      <c r="R51" s="2"/>
      <c r="S51" s="591"/>
      <c r="T51" s="591"/>
      <c r="U51" s="591"/>
      <c r="V51" s="591"/>
      <c r="W51" s="591"/>
      <c r="X51" s="591"/>
      <c r="Y51" s="591"/>
      <c r="Z51" s="591"/>
      <c r="AA51" s="591"/>
      <c r="AB51" s="591"/>
      <c r="AC51" s="591"/>
      <c r="AD51" s="591"/>
      <c r="AE51" s="591"/>
      <c r="AF51" s="591"/>
      <c r="AG51" s="591"/>
      <c r="AH51" s="591"/>
      <c r="AI51" s="591"/>
      <c r="AJ51" s="591"/>
      <c r="AK51" s="591"/>
      <c r="AL51" s="591"/>
      <c r="AM51" s="591"/>
      <c r="AN51" s="591"/>
      <c r="AO51" s="591"/>
      <c r="AP51" s="591"/>
      <c r="AQ51" s="591"/>
      <c r="AR51" s="591"/>
      <c r="AS51" s="591"/>
      <c r="AT51" s="591"/>
      <c r="AU51" s="591"/>
      <c r="AV51" s="591"/>
      <c r="AW51" s="591"/>
      <c r="AX51" s="591"/>
      <c r="AY51" s="591"/>
      <c r="AZ51" s="2"/>
      <c r="BA51" s="2"/>
      <c r="BB51" s="591"/>
    </row>
    <row r="52" spans="1:54" ht="16.5" customHeight="1" x14ac:dyDescent="0.2">
      <c r="A52" s="2"/>
      <c r="B52" s="2"/>
      <c r="C52" s="2129"/>
      <c r="D52" s="2130"/>
      <c r="E52" s="2131"/>
      <c r="F52" s="576"/>
      <c r="G52" s="295" t="str">
        <f>VLOOKUP(M3,K144:N148,4,FALSE)</f>
        <v>corrispettivi</v>
      </c>
      <c r="H52" s="296" t="str">
        <f>VLOOKUP(M3,K144:P148,6,FALSE)</f>
        <v>ACQUISTI</v>
      </c>
      <c r="I52" s="2212" t="s">
        <v>201</v>
      </c>
      <c r="J52" s="2213"/>
      <c r="K52" s="1304" t="s">
        <v>204</v>
      </c>
      <c r="L52" s="2212" t="s">
        <v>205</v>
      </c>
      <c r="M52" s="2213"/>
      <c r="N52" s="14"/>
      <c r="O52" s="14"/>
      <c r="P52" s="14"/>
      <c r="Q52" s="12"/>
      <c r="R52" s="2"/>
      <c r="S52" s="591"/>
      <c r="T52" s="591"/>
      <c r="U52" s="591"/>
      <c r="V52" s="591"/>
      <c r="W52" s="591"/>
      <c r="X52" s="591"/>
      <c r="Y52" s="591"/>
      <c r="Z52" s="591"/>
      <c r="AA52" s="591"/>
      <c r="AB52" s="591"/>
      <c r="AC52" s="591"/>
      <c r="AD52" s="591"/>
      <c r="AE52" s="591"/>
      <c r="AF52" s="591"/>
      <c r="AG52" s="591"/>
      <c r="AH52" s="591"/>
      <c r="AI52" s="591"/>
      <c r="AJ52" s="591"/>
      <c r="AK52" s="591"/>
      <c r="AL52" s="591"/>
      <c r="AM52" s="591"/>
      <c r="AN52" s="591"/>
      <c r="AO52" s="591"/>
      <c r="AP52" s="591"/>
      <c r="AQ52" s="591"/>
      <c r="AR52" s="591"/>
      <c r="AS52" s="591"/>
      <c r="AT52" s="591"/>
      <c r="AU52" s="591"/>
      <c r="AV52" s="591"/>
      <c r="AW52" s="591"/>
      <c r="AX52" s="591"/>
      <c r="AY52" s="591"/>
      <c r="AZ52" s="2"/>
      <c r="BA52" s="2"/>
      <c r="BB52" s="591"/>
    </row>
    <row r="53" spans="1:54" ht="16.5" customHeight="1" x14ac:dyDescent="0.2">
      <c r="A53" s="2"/>
      <c r="B53" s="2"/>
      <c r="C53" s="2132" t="s">
        <v>816</v>
      </c>
      <c r="D53" s="2133"/>
      <c r="E53" s="2134"/>
      <c r="F53" s="554"/>
      <c r="G53" s="2045">
        <f>E48</f>
        <v>0</v>
      </c>
      <c r="H53" s="2047"/>
      <c r="I53" s="2066">
        <f>G53+H53</f>
        <v>0</v>
      </c>
      <c r="J53" s="2067"/>
      <c r="K53" s="2183"/>
      <c r="L53" s="2066">
        <f>I53+K53</f>
        <v>0</v>
      </c>
      <c r="M53" s="2067"/>
      <c r="N53" s="14"/>
      <c r="O53" s="14"/>
      <c r="P53" s="14"/>
      <c r="Q53" s="12"/>
      <c r="R53" s="2"/>
      <c r="S53" s="591"/>
      <c r="T53" s="591"/>
      <c r="U53" s="591"/>
      <c r="V53" s="591"/>
      <c r="W53" s="591"/>
      <c r="X53" s="591"/>
      <c r="Y53" s="591"/>
      <c r="Z53" s="591"/>
      <c r="AA53" s="591"/>
      <c r="AB53" s="591"/>
      <c r="AC53" s="591"/>
      <c r="AD53" s="591"/>
      <c r="AE53" s="591"/>
      <c r="AF53" s="591"/>
      <c r="AG53" s="591"/>
      <c r="AH53" s="591"/>
      <c r="AI53" s="591"/>
      <c r="AJ53" s="591"/>
      <c r="AK53" s="591"/>
      <c r="AL53" s="591"/>
      <c r="AM53" s="591"/>
      <c r="AN53" s="591"/>
      <c r="AO53" s="591"/>
      <c r="AP53" s="591"/>
      <c r="AQ53" s="591"/>
      <c r="AR53" s="591"/>
      <c r="AS53" s="591"/>
      <c r="AT53" s="591"/>
      <c r="AU53" s="591"/>
      <c r="AV53" s="591"/>
      <c r="AW53" s="591"/>
      <c r="AX53" s="591"/>
      <c r="AY53" s="591"/>
      <c r="AZ53" s="2"/>
      <c r="BA53" s="2"/>
      <c r="BB53" s="591"/>
    </row>
    <row r="54" spans="1:54" ht="16.5" customHeight="1" x14ac:dyDescent="0.2">
      <c r="A54" s="2"/>
      <c r="B54" s="2"/>
      <c r="C54" s="2042"/>
      <c r="D54" s="2043"/>
      <c r="E54" s="2044"/>
      <c r="F54" s="577"/>
      <c r="G54" s="2046"/>
      <c r="H54" s="2048"/>
      <c r="I54" s="2068"/>
      <c r="J54" s="2069"/>
      <c r="K54" s="2184"/>
      <c r="L54" s="2068"/>
      <c r="M54" s="2069"/>
      <c r="N54" s="14"/>
      <c r="O54" s="14"/>
      <c r="P54" s="14"/>
      <c r="Q54" s="12"/>
      <c r="R54" s="2"/>
      <c r="S54" s="591"/>
      <c r="T54" s="591"/>
      <c r="U54" s="591"/>
      <c r="V54" s="591"/>
      <c r="W54" s="591"/>
      <c r="X54" s="591"/>
      <c r="Y54" s="591"/>
      <c r="Z54" s="591"/>
      <c r="AA54" s="591"/>
      <c r="AB54" s="591"/>
      <c r="AC54" s="591"/>
      <c r="AD54" s="591"/>
      <c r="AE54" s="591"/>
      <c r="AF54" s="591"/>
      <c r="AG54" s="591"/>
      <c r="AH54" s="591"/>
      <c r="AI54" s="591"/>
      <c r="AJ54" s="591"/>
      <c r="AK54" s="591"/>
      <c r="AL54" s="591"/>
      <c r="AM54" s="591"/>
      <c r="AN54" s="591"/>
      <c r="AO54" s="591"/>
      <c r="AP54" s="591"/>
      <c r="AQ54" s="591"/>
      <c r="AR54" s="591"/>
      <c r="AS54" s="591"/>
      <c r="AT54" s="591"/>
      <c r="AU54" s="591"/>
      <c r="AV54" s="591"/>
      <c r="AW54" s="591"/>
      <c r="AX54" s="591"/>
      <c r="AY54" s="591"/>
      <c r="AZ54" s="2"/>
      <c r="BA54" s="2"/>
      <c r="BB54" s="591"/>
    </row>
    <row r="55" spans="1:54" ht="16.5" customHeight="1" x14ac:dyDescent="0.2">
      <c r="A55" s="2"/>
      <c r="B55" s="2"/>
      <c r="C55" s="2132" t="s">
        <v>815</v>
      </c>
      <c r="D55" s="2133"/>
      <c r="E55" s="2134"/>
      <c r="F55" s="555"/>
      <c r="G55" s="16" t="s">
        <v>206</v>
      </c>
      <c r="H55" s="890" t="s">
        <v>207</v>
      </c>
      <c r="I55" s="2120" t="str">
        <f>VLOOKUP(M3,K144:Q148,7,FALSE)</f>
        <v>DEBITO +</v>
      </c>
      <c r="J55" s="2121"/>
      <c r="K55" s="891" t="s">
        <v>208</v>
      </c>
      <c r="L55" s="2120" t="str">
        <f>VLOOKUP(M3,K144:T148,9,FALSE)</f>
        <v>DEBITO +</v>
      </c>
      <c r="M55" s="2121"/>
      <c r="N55" s="14"/>
      <c r="O55" s="14"/>
      <c r="P55" s="12"/>
      <c r="Q55" s="2"/>
      <c r="R55" s="2"/>
      <c r="S55" s="591"/>
      <c r="T55" s="591"/>
      <c r="U55" s="591"/>
      <c r="V55" s="591"/>
      <c r="W55" s="591"/>
      <c r="X55" s="591"/>
      <c r="Y55" s="591"/>
      <c r="Z55" s="591"/>
      <c r="AA55" s="591"/>
      <c r="AB55" s="591"/>
      <c r="AC55" s="591"/>
      <c r="AD55" s="591"/>
      <c r="AE55" s="591"/>
      <c r="AF55" s="591"/>
      <c r="AG55" s="591"/>
      <c r="AH55" s="591"/>
      <c r="AI55" s="591"/>
      <c r="AJ55" s="591"/>
      <c r="AK55" s="591"/>
      <c r="AL55" s="591"/>
      <c r="AM55" s="591"/>
      <c r="AN55" s="591"/>
      <c r="AO55" s="591"/>
      <c r="AP55" s="591"/>
      <c r="AQ55" s="591"/>
      <c r="AR55" s="591"/>
      <c r="AS55" s="591"/>
      <c r="AT55" s="591"/>
      <c r="AU55" s="591"/>
      <c r="AV55" s="591"/>
      <c r="AW55" s="591"/>
      <c r="AX55" s="591"/>
      <c r="AY55" s="591"/>
      <c r="AZ55" s="2"/>
      <c r="BA55" s="2"/>
      <c r="BB55" s="591"/>
    </row>
    <row r="56" spans="1:54" ht="16.5" customHeight="1" x14ac:dyDescent="0.2">
      <c r="A56" s="2"/>
      <c r="B56" s="2"/>
      <c r="C56" s="2138"/>
      <c r="D56" s="2139"/>
      <c r="E56" s="1215"/>
      <c r="F56" s="514"/>
      <c r="G56" s="97"/>
      <c r="H56" s="14"/>
      <c r="I56" s="2123" t="str">
        <f>VLOOKUP(M3,K144:R148,8,FALSE)</f>
        <v>CREDITO -</v>
      </c>
      <c r="J56" s="2124"/>
      <c r="K56" s="14"/>
      <c r="L56" s="2123" t="str">
        <f>VLOOKUP(M3,K144:T148,10,FALSE)</f>
        <v>CREDITO -</v>
      </c>
      <c r="M56" s="2124"/>
      <c r="N56" s="14"/>
      <c r="O56" s="2122"/>
      <c r="P56" s="2122"/>
      <c r="Q56" s="14"/>
      <c r="R56" s="2"/>
      <c r="S56" s="591"/>
      <c r="T56" s="591"/>
      <c r="U56" s="591"/>
      <c r="V56" s="591"/>
      <c r="W56" s="591"/>
      <c r="X56" s="591"/>
      <c r="Y56" s="591"/>
      <c r="Z56" s="591"/>
      <c r="AA56" s="591"/>
      <c r="AB56" s="591"/>
      <c r="AC56" s="591"/>
      <c r="AD56" s="591"/>
      <c r="AE56" s="591"/>
      <c r="AF56" s="591"/>
      <c r="AG56" s="591"/>
      <c r="AH56" s="591"/>
      <c r="AI56" s="591"/>
      <c r="AJ56" s="591"/>
      <c r="AK56" s="591"/>
      <c r="AL56" s="591"/>
      <c r="AM56" s="591"/>
      <c r="AN56" s="591"/>
      <c r="AO56" s="591"/>
      <c r="AP56" s="591"/>
      <c r="AQ56" s="591"/>
      <c r="AR56" s="591"/>
      <c r="AS56" s="591"/>
      <c r="AT56" s="591"/>
      <c r="AU56" s="591"/>
      <c r="AV56" s="591"/>
      <c r="AW56" s="591"/>
      <c r="AX56" s="591"/>
      <c r="AY56" s="591"/>
      <c r="AZ56" s="2"/>
      <c r="BA56" s="2"/>
      <c r="BB56" s="591"/>
    </row>
    <row r="57" spans="1:54" ht="30" customHeight="1" x14ac:dyDescent="0.2">
      <c r="A57" s="2"/>
      <c r="B57" s="17"/>
      <c r="C57" s="2144" t="s">
        <v>346</v>
      </c>
      <c r="D57" s="2144"/>
      <c r="E57" s="2145"/>
      <c r="F57" s="2145"/>
      <c r="G57" s="892" t="s">
        <v>347</v>
      </c>
      <c r="H57" s="892"/>
      <c r="I57" s="892"/>
      <c r="J57" s="892"/>
      <c r="K57" s="892"/>
      <c r="L57" s="892"/>
      <c r="M57" s="892"/>
      <c r="N57" s="892"/>
      <c r="O57" s="2211" t="s">
        <v>405</v>
      </c>
      <c r="P57" s="2211"/>
      <c r="Q57" s="255"/>
      <c r="R57" s="255"/>
      <c r="S57" s="1307"/>
      <c r="T57" s="1307"/>
      <c r="U57" s="591"/>
      <c r="V57" s="591"/>
      <c r="W57" s="591"/>
      <c r="X57" s="591"/>
      <c r="Y57" s="591"/>
      <c r="Z57" s="591"/>
      <c r="AA57" s="1307"/>
      <c r="AB57" s="1307"/>
      <c r="AC57" s="591"/>
      <c r="AD57" s="591"/>
      <c r="AE57" s="591"/>
      <c r="AF57" s="591"/>
      <c r="AG57" s="591"/>
      <c r="AH57" s="591"/>
      <c r="AI57" s="591"/>
      <c r="AJ57" s="591"/>
      <c r="AK57" s="591"/>
      <c r="AL57" s="591"/>
      <c r="AM57" s="591"/>
      <c r="AN57" s="591"/>
      <c r="AO57" s="591"/>
      <c r="AP57" s="591"/>
      <c r="AQ57" s="591"/>
      <c r="AR57" s="591"/>
      <c r="AS57" s="591"/>
      <c r="AT57" s="591"/>
      <c r="AU57" s="591"/>
      <c r="AV57" s="591"/>
      <c r="AW57" s="591"/>
      <c r="AX57" s="591"/>
      <c r="AY57" s="591"/>
      <c r="AZ57" s="2"/>
      <c r="BA57" s="2"/>
      <c r="BB57" s="591"/>
    </row>
    <row r="58" spans="1:54" ht="24.75" customHeight="1" x14ac:dyDescent="0.2">
      <c r="A58" s="2"/>
      <c r="B58" s="2"/>
      <c r="C58" s="2143">
        <f>IMPOSTAZIONI!T73</f>
        <v>0</v>
      </c>
      <c r="D58" s="2143"/>
      <c r="E58" s="2143"/>
      <c r="F58" s="2143"/>
      <c r="G58" s="893" t="str">
        <f>IMPOSTAZIONI!Y75</f>
        <v>Indirizzo esteso UBICAZIONE dell' Esercizio (facoltativo)</v>
      </c>
      <c r="H58" s="893"/>
      <c r="I58" s="893"/>
      <c r="J58" s="893"/>
      <c r="K58" s="893"/>
      <c r="L58" s="893"/>
      <c r="M58" s="893"/>
      <c r="N58" s="893"/>
      <c r="O58" s="1113" t="s">
        <v>344</v>
      </c>
      <c r="P58" s="2119">
        <v>1</v>
      </c>
      <c r="Q58" s="2119"/>
      <c r="R58" s="14"/>
      <c r="S58" s="591"/>
      <c r="T58" s="591"/>
      <c r="U58" s="591"/>
      <c r="V58" s="591"/>
      <c r="W58" s="591"/>
      <c r="X58" s="591"/>
      <c r="Y58" s="591"/>
      <c r="Z58" s="591"/>
      <c r="AA58" s="591"/>
      <c r="AB58" s="591"/>
      <c r="AC58" s="591"/>
      <c r="AD58" s="591"/>
      <c r="AE58" s="591"/>
      <c r="AF58" s="591"/>
      <c r="AG58" s="591"/>
      <c r="AH58" s="591"/>
      <c r="AI58" s="591"/>
      <c r="AJ58" s="591"/>
      <c r="AK58" s="591"/>
      <c r="AL58" s="591"/>
      <c r="AM58" s="591"/>
      <c r="AN58" s="591"/>
      <c r="AO58" s="591"/>
      <c r="AP58" s="591"/>
      <c r="AQ58" s="591"/>
      <c r="AR58" s="591"/>
      <c r="AS58" s="591"/>
      <c r="AT58" s="591"/>
      <c r="AU58" s="591"/>
      <c r="AV58" s="591"/>
      <c r="AW58" s="591"/>
      <c r="AX58" s="591"/>
      <c r="AY58" s="591"/>
      <c r="AZ58" s="2"/>
      <c r="BA58" s="2"/>
      <c r="BB58" s="591"/>
    </row>
    <row r="59" spans="1:54" ht="15.75" customHeight="1" x14ac:dyDescent="0.2">
      <c r="A59" s="2"/>
      <c r="B59" s="2"/>
      <c r="C59" s="2146" t="s">
        <v>248</v>
      </c>
      <c r="D59" s="2146"/>
      <c r="E59" s="2146"/>
      <c r="F59" s="2"/>
      <c r="G59" s="2"/>
      <c r="H59" s="2"/>
      <c r="I59" s="2"/>
      <c r="J59" s="2"/>
      <c r="K59" s="2"/>
      <c r="L59" s="2"/>
      <c r="M59" s="2"/>
      <c r="N59" s="2"/>
      <c r="O59" s="2"/>
      <c r="P59" s="2"/>
      <c r="Q59" s="2"/>
      <c r="R59" s="2"/>
      <c r="S59" s="591"/>
      <c r="T59" s="591"/>
      <c r="U59" s="591"/>
      <c r="V59" s="591"/>
      <c r="W59" s="591"/>
      <c r="X59" s="591"/>
      <c r="Y59" s="591"/>
      <c r="Z59" s="591"/>
      <c r="AA59" s="591"/>
      <c r="AB59" s="591"/>
      <c r="AC59" s="591"/>
      <c r="AD59" s="591"/>
      <c r="AE59" s="591"/>
      <c r="AF59" s="591"/>
      <c r="AG59" s="591"/>
      <c r="AH59" s="591"/>
      <c r="AI59" s="591"/>
      <c r="AJ59" s="591"/>
      <c r="AK59" s="591"/>
      <c r="AL59" s="591"/>
      <c r="AM59" s="591"/>
      <c r="AN59" s="591"/>
      <c r="AO59" s="591"/>
      <c r="AP59" s="591"/>
      <c r="AQ59" s="591"/>
      <c r="AR59" s="591"/>
      <c r="AS59" s="591"/>
      <c r="AT59" s="591"/>
      <c r="AU59" s="591"/>
      <c r="AV59" s="591"/>
      <c r="AW59" s="591"/>
      <c r="AX59" s="591"/>
      <c r="AY59" s="591"/>
      <c r="AZ59" s="591"/>
      <c r="BA59" s="591"/>
      <c r="BB59" s="591"/>
    </row>
    <row r="60" spans="1:54" ht="15" hidden="1" customHeight="1" x14ac:dyDescent="0.2">
      <c r="A60" s="2"/>
      <c r="B60" s="2"/>
      <c r="C60" s="2"/>
      <c r="D60" s="2"/>
      <c r="E60" s="2"/>
      <c r="F60" s="2"/>
      <c r="G60" s="2"/>
      <c r="H60" s="2"/>
      <c r="I60" s="2"/>
      <c r="J60" s="2"/>
      <c r="K60" s="2"/>
      <c r="L60" s="2"/>
      <c r="M60" s="2"/>
      <c r="N60" s="2"/>
      <c r="O60" s="2"/>
      <c r="P60" s="1012" t="s">
        <v>765</v>
      </c>
      <c r="Q60" s="2"/>
      <c r="R60" s="2"/>
      <c r="S60" s="591"/>
      <c r="T60" s="591"/>
      <c r="U60" s="591"/>
      <c r="V60" s="591"/>
      <c r="W60" s="591"/>
      <c r="X60" s="591"/>
      <c r="Y60" s="591"/>
      <c r="Z60" s="591"/>
      <c r="AA60" s="591"/>
      <c r="AB60" s="591"/>
      <c r="AC60" s="591"/>
      <c r="AD60" s="591"/>
      <c r="AE60" s="591"/>
      <c r="AF60" s="591"/>
      <c r="AG60" s="591"/>
      <c r="AH60" s="591"/>
      <c r="AI60" s="591"/>
      <c r="AJ60" s="591"/>
      <c r="AK60" s="591"/>
      <c r="AL60" s="591"/>
      <c r="AM60" s="591"/>
      <c r="AN60" s="591"/>
      <c r="AO60" s="591"/>
      <c r="AP60" s="591"/>
      <c r="AQ60" s="591"/>
      <c r="AR60" s="591"/>
      <c r="AS60" s="591"/>
      <c r="AT60" s="591"/>
      <c r="AU60" s="591"/>
      <c r="AV60" s="591"/>
      <c r="AW60" s="591"/>
      <c r="AX60" s="591"/>
      <c r="AY60" s="591"/>
      <c r="AZ60" s="591"/>
      <c r="BA60" s="591"/>
      <c r="BB60" s="591"/>
    </row>
    <row r="61" spans="1:54" ht="16.5" hidden="1" customHeight="1" x14ac:dyDescent="0.2">
      <c r="A61" s="2"/>
      <c r="B61" s="2"/>
      <c r="C61" s="1369">
        <f>IF(M3=K147,0,IF(T65=0,0,IF(E8=CONCATENATE(L131,"  "),0,IF(COUNTIF(G62:N62,$L$134)&gt;0,1,0))))</f>
        <v>0</v>
      </c>
      <c r="D61" s="1369">
        <f>IMPOSTAZIONI!H35</f>
        <v>0</v>
      </c>
      <c r="E61" s="2"/>
      <c r="F61" s="2"/>
      <c r="G61" s="1010" t="str">
        <f>IMPOSTAZIONI!$I$19</f>
        <v>Colonna 1</v>
      </c>
      <c r="H61" s="1010" t="str">
        <f>IMPOSTAZIONI!$M$19</f>
        <v>Colonna 2</v>
      </c>
      <c r="I61" s="101"/>
      <c r="J61" s="101"/>
      <c r="K61" s="1010" t="str">
        <f>IMPOSTAZIONI!$U$19</f>
        <v>Colonna 3</v>
      </c>
      <c r="L61" s="101"/>
      <c r="M61" s="101"/>
      <c r="N61" s="1010" t="str">
        <f>IMPOSTAZIONI!$AC$19</f>
        <v>Colonna 4</v>
      </c>
      <c r="O61" s="2"/>
      <c r="P61" s="1013" t="s">
        <v>766</v>
      </c>
      <c r="Q61" s="2"/>
      <c r="R61" s="2"/>
      <c r="S61" s="591"/>
      <c r="T61" s="591"/>
      <c r="U61" s="591"/>
      <c r="V61" s="591"/>
      <c r="W61" s="591"/>
      <c r="X61" s="591"/>
      <c r="Y61" s="591"/>
      <c r="Z61" s="591"/>
      <c r="AA61" s="591"/>
      <c r="AB61" s="591"/>
      <c r="AC61" s="591"/>
      <c r="AD61" s="591"/>
      <c r="AE61" s="591"/>
      <c r="AF61" s="591"/>
      <c r="AG61" s="591"/>
      <c r="AH61" s="591"/>
      <c r="AI61" s="591"/>
      <c r="AJ61" s="591"/>
      <c r="AK61" s="591"/>
      <c r="AL61" s="591"/>
      <c r="AM61" s="591"/>
      <c r="AN61" s="591"/>
      <c r="AO61" s="591"/>
      <c r="AP61" s="591"/>
      <c r="AQ61" s="591"/>
      <c r="AR61" s="591"/>
      <c r="AS61" s="591"/>
      <c r="AT61" s="591"/>
      <c r="AU61" s="591"/>
      <c r="AV61" s="591"/>
      <c r="AW61" s="591"/>
      <c r="AX61" s="591"/>
      <c r="AY61" s="591"/>
      <c r="AZ61" s="591"/>
      <c r="BA61" s="591"/>
      <c r="BB61" s="591"/>
    </row>
    <row r="62" spans="1:54" ht="20.25" hidden="1" customHeight="1" x14ac:dyDescent="0.2">
      <c r="A62" s="2"/>
      <c r="B62" s="2"/>
      <c r="C62" s="2"/>
      <c r="D62" s="2"/>
      <c r="E62" s="2"/>
      <c r="F62" s="2"/>
      <c r="G62" s="1011" t="str">
        <f>IF(IMPOSTAZIONI!$I$35=0,$L$135,IMPOSTAZIONI!$I$35)</f>
        <v>SCORPORO</v>
      </c>
      <c r="H62" s="1011" t="str">
        <f>IF(IMPOSTAZIONI!$M$35=0,$L$135,IMPOSTAZIONI!$M$35)</f>
        <v>SCORPORO</v>
      </c>
      <c r="I62" s="101"/>
      <c r="J62" s="101"/>
      <c r="K62" s="1011" t="str">
        <f>IF(IMPOSTAZIONI!$U$35=0,$L$135,IMPOSTAZIONI!$U$35)</f>
        <v>SCORPORO</v>
      </c>
      <c r="L62" s="101"/>
      <c r="M62" s="101"/>
      <c r="N62" s="1011" t="str">
        <f>IF(IMPOSTAZIONI!$AC$35=0,$L$135,IMPOSTAZIONI!$AC$35)</f>
        <v>SCORPORO</v>
      </c>
      <c r="O62" s="2"/>
      <c r="P62" s="2"/>
      <c r="Q62" s="2"/>
      <c r="R62" s="2"/>
      <c r="S62" s="2"/>
      <c r="T62" s="2"/>
      <c r="U62" s="2"/>
      <c r="V62" s="2"/>
      <c r="W62" s="2"/>
      <c r="X62" s="2"/>
      <c r="Y62" s="2"/>
      <c r="Z62" s="2"/>
      <c r="AA62" s="2"/>
      <c r="AB62" s="591"/>
      <c r="AC62" s="591"/>
      <c r="AD62" s="591"/>
      <c r="AE62" s="591"/>
      <c r="AF62" s="591"/>
      <c r="AG62" s="591"/>
      <c r="AH62" s="591"/>
      <c r="AI62" s="591"/>
      <c r="AJ62" s="591"/>
      <c r="AK62" s="591"/>
      <c r="AL62" s="591"/>
      <c r="AM62" s="591"/>
      <c r="AN62" s="591"/>
      <c r="AO62" s="591"/>
      <c r="AP62" s="591"/>
      <c r="AQ62" s="591"/>
      <c r="AR62" s="591"/>
      <c r="AS62" s="591"/>
      <c r="AT62" s="591"/>
      <c r="AU62" s="591"/>
      <c r="AV62" s="591"/>
      <c r="AW62" s="591"/>
      <c r="AX62" s="591"/>
      <c r="AY62" s="591"/>
      <c r="AZ62" s="591"/>
      <c r="BA62" s="591"/>
      <c r="BB62" s="591"/>
    </row>
    <row r="63" spans="1:54" ht="20.25" hidden="1" customHeight="1" x14ac:dyDescent="0.2">
      <c r="A63" s="2"/>
      <c r="B63" s="2"/>
      <c r="C63" s="2"/>
      <c r="D63" s="2"/>
      <c r="E63" s="2"/>
      <c r="F63" s="966" t="s">
        <v>814</v>
      </c>
      <c r="G63" s="965">
        <f>IF(G62=$L134,ROUND(G46,2),0)</f>
        <v>0</v>
      </c>
      <c r="H63" s="964">
        <f>IF(H62=$L134,ROUND(H46,2),0)</f>
        <v>0</v>
      </c>
      <c r="I63" s="2"/>
      <c r="J63" s="2"/>
      <c r="K63" s="963">
        <f>IF(K62=$L134,ROUND(K46,2),0)</f>
        <v>0</v>
      </c>
      <c r="L63" s="2"/>
      <c r="M63" s="2"/>
      <c r="N63" s="963">
        <f>IF(N62=$L134,ROUND(N46,2),0)</f>
        <v>0</v>
      </c>
      <c r="O63" s="2"/>
      <c r="P63" s="2"/>
      <c r="Q63" s="2"/>
      <c r="R63" s="2"/>
      <c r="S63" s="2"/>
      <c r="T63" s="2"/>
      <c r="U63" s="2"/>
      <c r="V63" s="2"/>
      <c r="W63" s="2"/>
      <c r="X63" s="2"/>
      <c r="Y63" s="2"/>
      <c r="Z63" s="2"/>
      <c r="AA63" s="2"/>
      <c r="AB63" s="591"/>
      <c r="AC63" s="591"/>
      <c r="AD63" s="591"/>
      <c r="AE63" s="591"/>
      <c r="AF63" s="591"/>
      <c r="AG63" s="591"/>
      <c r="AH63" s="591"/>
      <c r="AI63" s="591"/>
      <c r="AJ63" s="591"/>
      <c r="AK63" s="591"/>
      <c r="AL63" s="591"/>
      <c r="AM63" s="591"/>
      <c r="AN63" s="591"/>
      <c r="AO63" s="591"/>
      <c r="AP63" s="591"/>
      <c r="AQ63" s="591"/>
      <c r="AR63" s="591"/>
      <c r="AS63" s="591"/>
      <c r="AT63" s="591"/>
      <c r="AU63" s="591"/>
      <c r="AV63" s="591"/>
      <c r="AW63" s="591"/>
      <c r="AX63" s="591"/>
      <c r="AY63" s="591"/>
      <c r="AZ63" s="591"/>
      <c r="BA63" s="591"/>
      <c r="BB63" s="591"/>
    </row>
    <row r="64" spans="1:54" ht="3.75" hidden="1"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591"/>
      <c r="AC64" s="591"/>
      <c r="AD64" s="591"/>
      <c r="AE64" s="591"/>
      <c r="AF64" s="591"/>
      <c r="AG64" s="591"/>
      <c r="AH64" s="591"/>
      <c r="AI64" s="591"/>
      <c r="AJ64" s="591"/>
      <c r="AK64" s="591"/>
      <c r="AL64" s="591"/>
      <c r="AM64" s="591"/>
      <c r="AN64" s="591"/>
      <c r="AO64" s="591"/>
      <c r="AP64" s="591"/>
      <c r="AQ64" s="591"/>
      <c r="AR64" s="591"/>
      <c r="AS64" s="591"/>
      <c r="AT64" s="591"/>
      <c r="AU64" s="591"/>
      <c r="AV64" s="591"/>
      <c r="AW64" s="591"/>
      <c r="AX64" s="591"/>
      <c r="AY64" s="591"/>
      <c r="AZ64" s="591"/>
      <c r="BA64" s="591"/>
      <c r="BB64" s="591"/>
    </row>
    <row r="65" spans="1:54" ht="20.25" hidden="1" customHeight="1" x14ac:dyDescent="0.2">
      <c r="A65" s="2"/>
      <c r="B65" s="2"/>
      <c r="C65" s="2"/>
      <c r="D65" s="2"/>
      <c r="E65" s="2"/>
      <c r="F65" s="966" t="s">
        <v>744</v>
      </c>
      <c r="G65" s="967">
        <f>G63+H63+K63+N63</f>
        <v>0</v>
      </c>
      <c r="H65" s="1114" t="str">
        <f>IF(M3=K147,"",CONCATENATE("VENTILAZIONE ",IMPOSTAZIONI!D35,IMPOSTAZIONI!B32))</f>
        <v xml:space="preserve">VENTILAZIONE </v>
      </c>
      <c r="I65" s="2"/>
      <c r="J65" s="2"/>
      <c r="K65" s="2"/>
      <c r="L65" s="2"/>
      <c r="M65" s="2"/>
      <c r="N65" s="2"/>
      <c r="O65" s="2"/>
      <c r="P65" s="2"/>
      <c r="Q65" s="2"/>
      <c r="R65" s="2"/>
      <c r="S65" s="1111" t="str">
        <f>IMPOSTAZIONI!H143</f>
        <v>MENSILE</v>
      </c>
      <c r="T65" s="2019">
        <f>IMPOSTAZIONI!D35</f>
        <v>0</v>
      </c>
      <c r="U65" s="1116" t="str">
        <f>$C182</f>
        <v>01/01 - 31/01</v>
      </c>
      <c r="V65" s="1081" t="s">
        <v>790</v>
      </c>
      <c r="W65" s="2"/>
      <c r="X65" s="2"/>
      <c r="Y65" s="1081" t="s">
        <v>792</v>
      </c>
      <c r="Z65" s="2"/>
      <c r="AA65" s="2"/>
      <c r="AB65" s="591"/>
      <c r="AC65" s="591"/>
      <c r="AD65" s="591"/>
      <c r="AE65" s="591"/>
      <c r="AF65" s="591"/>
      <c r="AG65" s="591"/>
      <c r="AH65" s="591"/>
      <c r="AI65" s="591"/>
      <c r="AJ65" s="591"/>
      <c r="AK65" s="591"/>
      <c r="AL65" s="591"/>
      <c r="AM65" s="591"/>
      <c r="AN65" s="591"/>
      <c r="AO65" s="591"/>
      <c r="AP65" s="591"/>
      <c r="AQ65" s="591"/>
      <c r="AR65" s="591"/>
      <c r="AS65" s="591"/>
      <c r="AT65" s="591"/>
      <c r="AU65" s="591"/>
      <c r="AV65" s="591"/>
      <c r="AW65" s="591"/>
      <c r="AX65" s="591"/>
      <c r="AY65" s="591"/>
      <c r="AZ65" s="591"/>
      <c r="BA65" s="591"/>
      <c r="BB65" s="591"/>
    </row>
    <row r="66" spans="1:54" ht="20.25" hidden="1" customHeight="1" x14ac:dyDescent="0.2">
      <c r="A66" s="2"/>
      <c r="B66" s="2"/>
      <c r="C66" s="2"/>
      <c r="D66" s="2"/>
      <c r="E66" s="2"/>
      <c r="F66" s="2"/>
      <c r="G66" s="2"/>
      <c r="H66" s="10"/>
      <c r="I66" s="10"/>
      <c r="J66" s="10"/>
      <c r="K66" s="10"/>
      <c r="L66" s="10"/>
      <c r="M66" s="10"/>
      <c r="N66" s="1008" t="s">
        <v>746</v>
      </c>
      <c r="O66" s="2"/>
      <c r="P66" s="2"/>
      <c r="Q66" s="2"/>
      <c r="R66" s="2"/>
      <c r="S66" s="1112" t="str">
        <f>IMPOSTAZIONI!H144</f>
        <v>TRIMESTRALE</v>
      </c>
      <c r="T66" s="2020"/>
      <c r="U66" s="806" t="str">
        <f>MAR!U65</f>
        <v>01/01 - 31/03</v>
      </c>
      <c r="V66" s="478" t="s">
        <v>791</v>
      </c>
      <c r="W66" s="2"/>
      <c r="X66" s="2"/>
      <c r="Y66" s="478" t="s">
        <v>793</v>
      </c>
      <c r="Z66" s="2"/>
      <c r="AA66" s="2"/>
      <c r="AB66" s="591"/>
      <c r="AC66" s="591"/>
      <c r="AD66" s="591"/>
      <c r="AE66" s="591"/>
      <c r="AF66" s="591"/>
      <c r="AG66" s="591"/>
      <c r="AH66" s="591"/>
      <c r="AI66" s="591"/>
      <c r="AJ66" s="591"/>
      <c r="AK66" s="591"/>
      <c r="AM66" s="591"/>
      <c r="AN66" s="591"/>
      <c r="AO66" s="591"/>
      <c r="AP66" s="591"/>
      <c r="AQ66" s="591"/>
      <c r="AS66" s="591"/>
      <c r="AT66" s="591"/>
      <c r="AU66" s="591"/>
      <c r="AV66" s="591"/>
      <c r="AW66" s="591"/>
      <c r="AY66" s="591"/>
    </row>
    <row r="67" spans="1:54" ht="24" hidden="1" customHeight="1" x14ac:dyDescent="0.2">
      <c r="A67" s="2"/>
      <c r="B67" s="2"/>
      <c r="C67" s="1183" t="s">
        <v>747</v>
      </c>
      <c r="D67" s="1165"/>
      <c r="E67" s="1165"/>
      <c r="F67" s="1165"/>
      <c r="G67" s="1197" t="e">
        <f>VLOOKUP(T65,S65:V66,4,FALSE)</f>
        <v>#N/A</v>
      </c>
      <c r="H67" s="1165"/>
      <c r="I67" s="2136" t="s">
        <v>748</v>
      </c>
      <c r="J67" s="2136"/>
      <c r="K67" s="1167"/>
      <c r="L67" s="14"/>
      <c r="M67" s="14"/>
      <c r="N67" s="1009" t="s">
        <v>749</v>
      </c>
      <c r="O67" s="2"/>
      <c r="P67" s="2"/>
      <c r="Q67" s="2"/>
      <c r="R67" s="2"/>
      <c r="S67" s="1129" t="e">
        <f>VLOOKUP(G67,V65:Y66,4,FALSE)</f>
        <v>#N/A</v>
      </c>
      <c r="T67" s="1115" t="str">
        <f>IF(T65=S66,U66,U65)</f>
        <v>01/01 - 31/01</v>
      </c>
      <c r="U67" s="2"/>
      <c r="V67" s="2"/>
      <c r="W67" s="2"/>
      <c r="X67" s="2"/>
      <c r="Y67" s="2"/>
      <c r="Z67" s="2"/>
      <c r="AA67" s="2"/>
      <c r="AB67" s="591"/>
      <c r="AC67" s="591"/>
      <c r="AD67" s="591"/>
      <c r="AE67" s="591"/>
      <c r="AF67" s="591"/>
      <c r="AG67" s="591"/>
      <c r="AH67" s="591"/>
      <c r="AI67" s="591"/>
      <c r="AJ67" s="591"/>
      <c r="AK67" s="591"/>
      <c r="AM67" s="591"/>
      <c r="AN67" s="591"/>
      <c r="AO67" s="591"/>
      <c r="AP67" s="591"/>
      <c r="AQ67" s="591"/>
      <c r="AS67" s="591"/>
      <c r="AT67" s="591"/>
      <c r="AU67" s="591"/>
      <c r="AV67" s="591"/>
      <c r="AW67" s="591"/>
      <c r="AY67" s="591"/>
    </row>
    <row r="68" spans="1:54" ht="20.25" hidden="1" customHeight="1" x14ac:dyDescent="0.2">
      <c r="A68" s="2"/>
      <c r="B68" s="2"/>
      <c r="C68" s="1169" t="s">
        <v>750</v>
      </c>
      <c r="D68" s="14"/>
      <c r="E68" s="14"/>
      <c r="F68" s="14"/>
      <c r="G68" s="1209" t="str">
        <f>C95</f>
        <v>01/01 - 31/01</v>
      </c>
      <c r="H68" s="971" t="s">
        <v>751</v>
      </c>
      <c r="I68" s="2137" t="str">
        <f>T67</f>
        <v>01/01 - 31/01</v>
      </c>
      <c r="J68" s="2137"/>
      <c r="K68" s="1208" t="s">
        <v>752</v>
      </c>
      <c r="L68" s="2022" t="s">
        <v>195</v>
      </c>
      <c r="M68" s="2022"/>
      <c r="N68" s="972" t="s">
        <v>353</v>
      </c>
      <c r="O68" s="2"/>
      <c r="P68" s="2"/>
      <c r="Q68" s="2"/>
      <c r="R68" s="2"/>
      <c r="S68" s="2"/>
      <c r="T68" s="2"/>
      <c r="U68" s="2"/>
      <c r="V68" s="2"/>
      <c r="W68" s="2"/>
      <c r="X68" s="2"/>
      <c r="Y68" s="2"/>
      <c r="Z68" s="2"/>
      <c r="AA68" s="2"/>
      <c r="AB68" s="591"/>
      <c r="AC68" s="591"/>
      <c r="AD68" s="591"/>
      <c r="AE68" s="591"/>
      <c r="AF68" s="591"/>
      <c r="AG68" s="591"/>
      <c r="AH68" s="591"/>
      <c r="AI68" s="591"/>
      <c r="AJ68" s="591"/>
      <c r="AK68" s="591"/>
      <c r="AM68" s="591"/>
      <c r="AN68" s="591"/>
      <c r="AO68" s="591"/>
      <c r="AP68" s="591"/>
      <c r="AQ68" s="591"/>
      <c r="AS68" s="591"/>
      <c r="AT68" s="591"/>
      <c r="AU68" s="591"/>
      <c r="AV68" s="591"/>
      <c r="AW68" s="591"/>
      <c r="AY68" s="591"/>
    </row>
    <row r="69" spans="1:54" ht="20.25" hidden="1" customHeight="1" x14ac:dyDescent="0.2">
      <c r="A69" s="2"/>
      <c r="B69" s="2"/>
      <c r="C69" s="1198" t="s">
        <v>753</v>
      </c>
      <c r="D69" s="14"/>
      <c r="E69" s="14"/>
      <c r="F69" s="14"/>
      <c r="G69" s="1015"/>
      <c r="H69" s="1202">
        <f>IF(AND(IMPOSTAZIONI!AF$147="",G69&lt;&gt;0),E$163,IMPOSTAZIONI!AF$147)</f>
        <v>22</v>
      </c>
      <c r="I69" s="2024">
        <f>IF($T$65=$S$66,Z69,G69)</f>
        <v>0</v>
      </c>
      <c r="J69" s="2025"/>
      <c r="K69" s="1201">
        <f>IF(I73=0,0,K73-SUM(K70:K72))</f>
        <v>0</v>
      </c>
      <c r="L69" s="2023" t="str">
        <f>CONCATENATE("al ",H69," %")</f>
        <v>al 22 %</v>
      </c>
      <c r="M69" s="2023"/>
      <c r="N69" s="973">
        <f>IF(SUM(I69:J72)=0,0,ROUND(G65-SUM(N70:N72),2))</f>
        <v>0</v>
      </c>
      <c r="O69" s="2"/>
      <c r="P69" s="2"/>
      <c r="Q69" s="2"/>
      <c r="R69" s="2"/>
      <c r="S69" s="974">
        <f>IF(ISERROR(G77),0,G77)</f>
        <v>0</v>
      </c>
      <c r="T69" s="975">
        <f>IF(ISERROR(G78),0,G78)</f>
        <v>0</v>
      </c>
      <c r="U69" s="976">
        <f>IF(ISERROR(G79),0,G79)</f>
        <v>0</v>
      </c>
      <c r="V69" s="2"/>
      <c r="W69" s="1117">
        <f>GEN!$G69</f>
        <v>0</v>
      </c>
      <c r="X69" s="1118">
        <f>FEB!$G69</f>
        <v>0</v>
      </c>
      <c r="Y69" s="1119">
        <f>MAR!$G69</f>
        <v>0</v>
      </c>
      <c r="Z69" s="1120">
        <f>SUM(W69:Y69)</f>
        <v>0</v>
      </c>
      <c r="AA69" s="2"/>
      <c r="AB69" s="591"/>
      <c r="AC69" s="591"/>
      <c r="AD69" s="591"/>
      <c r="AE69" s="591"/>
      <c r="AF69" s="591"/>
      <c r="AG69" s="591"/>
      <c r="AH69" s="591"/>
      <c r="AI69" s="591"/>
      <c r="AJ69" s="591"/>
      <c r="AK69" s="591"/>
      <c r="AM69" s="591"/>
      <c r="AN69" s="591"/>
      <c r="AO69" s="591"/>
      <c r="AP69" s="591"/>
      <c r="AQ69" s="591"/>
      <c r="AS69" s="591"/>
      <c r="AT69" s="591"/>
      <c r="AU69" s="591"/>
      <c r="AV69" s="591"/>
      <c r="AW69" s="591"/>
      <c r="AY69" s="591"/>
    </row>
    <row r="70" spans="1:54" ht="20.25" hidden="1" customHeight="1" x14ac:dyDescent="0.25">
      <c r="A70" s="2"/>
      <c r="B70" s="2"/>
      <c r="C70" s="1199" t="s">
        <v>754</v>
      </c>
      <c r="D70" s="14"/>
      <c r="E70" s="14"/>
      <c r="F70" s="14"/>
      <c r="G70" s="1016"/>
      <c r="H70" s="1202">
        <f>IF(AND(IMPOSTAZIONI!AG$147="",G70&lt;&gt;0),E$163,IMPOSTAZIONI!AG$147)</f>
        <v>10</v>
      </c>
      <c r="I70" s="2026">
        <f>IF($T$65=$S$66,Z70,G70)</f>
        <v>0</v>
      </c>
      <c r="J70" s="2027"/>
      <c r="K70" s="1201">
        <f>IF(I$73=0,0,ROUND(I70/I$73*100,2))</f>
        <v>0</v>
      </c>
      <c r="L70" s="2023" t="str">
        <f>CONCATENATE("al ",H70," %")</f>
        <v>al 10 %</v>
      </c>
      <c r="M70" s="2023"/>
      <c r="N70" s="977">
        <f>ROUND(G$65*K70/100,2)</f>
        <v>0</v>
      </c>
      <c r="O70" s="2"/>
      <c r="P70" s="2"/>
      <c r="Q70" s="2"/>
      <c r="R70" s="2"/>
      <c r="S70" s="978">
        <f>IF(ISERROR(H77),0,H77)</f>
        <v>0</v>
      </c>
      <c r="T70" s="968">
        <f>IF(ISERROR(H78),0,H78)</f>
        <v>0</v>
      </c>
      <c r="U70" s="979">
        <f>IF(ISERROR(H79),0,H79)</f>
        <v>0</v>
      </c>
      <c r="V70" s="2"/>
      <c r="W70" s="1121">
        <f>GEN!$G70</f>
        <v>0</v>
      </c>
      <c r="X70" s="1122">
        <f>FEB!$G70</f>
        <v>0</v>
      </c>
      <c r="Y70" s="1123">
        <f>MAR!$G70</f>
        <v>0</v>
      </c>
      <c r="Z70" s="1124">
        <f>SUM(W70:Y70)</f>
        <v>0</v>
      </c>
      <c r="AA70" s="2"/>
      <c r="AB70" s="591"/>
      <c r="AC70" s="591"/>
      <c r="AD70" s="591"/>
      <c r="AE70" s="591"/>
      <c r="AF70" s="591"/>
      <c r="AG70" s="591"/>
      <c r="AH70" s="591"/>
      <c r="AI70" s="591"/>
      <c r="AJ70" s="591"/>
      <c r="AK70" s="591"/>
      <c r="AM70" s="591"/>
      <c r="AN70" s="591"/>
      <c r="AO70" s="591"/>
      <c r="AP70" s="591"/>
      <c r="AQ70" s="591"/>
      <c r="AS70" s="591"/>
      <c r="AT70" s="591"/>
      <c r="AU70" s="591"/>
      <c r="AV70" s="591"/>
      <c r="AW70" s="591"/>
      <c r="AY70" s="591"/>
    </row>
    <row r="71" spans="1:54" ht="20.25" hidden="1" customHeight="1" x14ac:dyDescent="0.2">
      <c r="A71" s="2"/>
      <c r="B71" s="2"/>
      <c r="C71" s="1200" t="s">
        <v>755</v>
      </c>
      <c r="D71" s="14"/>
      <c r="E71" s="14"/>
      <c r="F71" s="14"/>
      <c r="G71" s="1016"/>
      <c r="H71" s="1202">
        <f>IF(AND(IMPOSTAZIONI!AH$147="",G71&lt;&gt;0),E$163,IMPOSTAZIONI!AH$147)</f>
        <v>4</v>
      </c>
      <c r="I71" s="2026">
        <f>IF($T$65=$S$66,Z71,G71)</f>
        <v>0</v>
      </c>
      <c r="J71" s="2027"/>
      <c r="K71" s="1201">
        <f>IF(I$73=0,0,ROUND(I71/I$73*100,2))</f>
        <v>0</v>
      </c>
      <c r="L71" s="2023" t="str">
        <f>CONCATENATE("al ",H71," %")</f>
        <v>al 4 %</v>
      </c>
      <c r="M71" s="2023"/>
      <c r="N71" s="977">
        <f>ROUND(G$65*K71/100,2)</f>
        <v>0</v>
      </c>
      <c r="O71" s="2"/>
      <c r="P71" s="2"/>
      <c r="Q71" s="2"/>
      <c r="R71" s="2"/>
      <c r="S71" s="978">
        <f>IF(ISERROR(I77),0,I77)</f>
        <v>0</v>
      </c>
      <c r="T71" s="968">
        <f>IF(ISERROR(I78),0,I78)</f>
        <v>0</v>
      </c>
      <c r="U71" s="979">
        <f>IF(ISERROR(I79),0,I79)</f>
        <v>0</v>
      </c>
      <c r="V71" s="2"/>
      <c r="W71" s="1121">
        <f>GEN!$G71</f>
        <v>0</v>
      </c>
      <c r="X71" s="1122">
        <f>FEB!$G71</f>
        <v>0</v>
      </c>
      <c r="Y71" s="1123">
        <f>MAR!$G71</f>
        <v>0</v>
      </c>
      <c r="Z71" s="1124">
        <f>SUM(W71:Y71)</f>
        <v>0</v>
      </c>
      <c r="AA71" s="2"/>
      <c r="AB71" s="591"/>
      <c r="AC71" s="591"/>
      <c r="AD71" s="591"/>
      <c r="AE71" s="591"/>
      <c r="AF71" s="591"/>
      <c r="AG71" s="591"/>
      <c r="AH71" s="591"/>
      <c r="AI71" s="591"/>
      <c r="AJ71" s="591"/>
      <c r="AK71" s="591"/>
      <c r="AM71" s="591"/>
      <c r="AN71" s="591"/>
      <c r="AO71" s="591"/>
      <c r="AP71" s="591"/>
      <c r="AQ71" s="591"/>
      <c r="AS71" s="591"/>
      <c r="AT71" s="591"/>
      <c r="AU71" s="591"/>
      <c r="AV71" s="591"/>
      <c r="AW71" s="591"/>
      <c r="AY71" s="591"/>
    </row>
    <row r="72" spans="1:54" ht="20.25" hidden="1" customHeight="1" x14ac:dyDescent="0.2">
      <c r="A72" s="2"/>
      <c r="B72" s="2"/>
      <c r="C72" s="1171"/>
      <c r="D72" s="14"/>
      <c r="E72" s="14"/>
      <c r="F72" s="14"/>
      <c r="G72" s="1017"/>
      <c r="H72" s="1202" t="str">
        <f>IF(AND(IMPOSTAZIONI!AI$147="",G72&lt;&gt;0),E$163,IMPOSTAZIONI!AI$147)</f>
        <v/>
      </c>
      <c r="I72" s="2039">
        <f>IF($T$65=$S$66,Z72,G72)</f>
        <v>0</v>
      </c>
      <c r="J72" s="2040"/>
      <c r="K72" s="1201">
        <f>IF(I$73=0,0,ROUND(I72/I$73*100,2))</f>
        <v>0</v>
      </c>
      <c r="L72" s="2023" t="str">
        <f>CONCATENATE("al ",H72," %")</f>
        <v>al  %</v>
      </c>
      <c r="M72" s="2023"/>
      <c r="N72" s="980">
        <f>ROUND(G$65*K72/100,2)</f>
        <v>0</v>
      </c>
      <c r="O72" s="2"/>
      <c r="P72" s="2"/>
      <c r="Q72" s="2"/>
      <c r="R72" s="2"/>
      <c r="S72" s="981">
        <f>IF(ISERROR(K77),0,K77)</f>
        <v>0</v>
      </c>
      <c r="T72" s="969">
        <f>IF(ISERROR(K78),0,K78)</f>
        <v>0</v>
      </c>
      <c r="U72" s="982">
        <f>IF(ISERROR(K79),0,K79)</f>
        <v>0</v>
      </c>
      <c r="V72" s="2"/>
      <c r="W72" s="1125">
        <f>GEN!$G72</f>
        <v>0</v>
      </c>
      <c r="X72" s="1126">
        <f>FEB!$G72</f>
        <v>0</v>
      </c>
      <c r="Y72" s="1127">
        <f>MAR!$G72</f>
        <v>0</v>
      </c>
      <c r="Z72" s="1128">
        <f>SUM(W72:Y72)</f>
        <v>0</v>
      </c>
      <c r="AA72" s="2"/>
      <c r="AB72" s="591"/>
      <c r="AC72" s="591"/>
      <c r="AD72" s="591"/>
      <c r="AE72" s="591"/>
      <c r="AF72" s="591"/>
      <c r="AG72" s="591"/>
      <c r="AH72" s="591"/>
      <c r="AI72" s="591"/>
      <c r="AJ72" s="591"/>
      <c r="AK72" s="591"/>
      <c r="AM72" s="591"/>
      <c r="AN72" s="591"/>
      <c r="AO72" s="591"/>
      <c r="AP72" s="591"/>
      <c r="AQ72" s="591"/>
      <c r="AS72" s="591"/>
      <c r="AT72" s="591"/>
      <c r="AU72" s="591"/>
      <c r="AV72" s="591"/>
      <c r="AW72" s="591"/>
      <c r="AY72" s="591"/>
    </row>
    <row r="73" spans="1:54" ht="20.25" hidden="1" customHeight="1" x14ac:dyDescent="0.2">
      <c r="A73" s="2"/>
      <c r="B73" s="2"/>
      <c r="C73" s="1171"/>
      <c r="D73" s="14"/>
      <c r="E73" s="14"/>
      <c r="F73" s="983" t="s">
        <v>105</v>
      </c>
      <c r="G73" s="1014">
        <f>SUM(G69:G72)</f>
        <v>0</v>
      </c>
      <c r="H73" s="866"/>
      <c r="I73" s="2041">
        <f>SUM(I69:I72)</f>
        <v>0</v>
      </c>
      <c r="J73" s="2041"/>
      <c r="K73" s="1196">
        <v>100</v>
      </c>
      <c r="L73" s="2"/>
      <c r="M73" s="2"/>
      <c r="N73" s="967">
        <f>SUM(N69:N72)</f>
        <v>0</v>
      </c>
      <c r="O73" s="503" t="str">
        <f>IF(C61=0,"",IF(G65=N73,"OK",E163))</f>
        <v/>
      </c>
      <c r="P73" s="2"/>
      <c r="Q73" s="2"/>
      <c r="R73" s="2"/>
      <c r="S73" s="2"/>
      <c r="T73" s="2"/>
      <c r="U73" s="2"/>
      <c r="V73" s="2"/>
      <c r="W73" s="2"/>
      <c r="X73" s="2"/>
      <c r="Y73" s="2"/>
      <c r="Z73" s="2"/>
      <c r="AA73" s="2"/>
      <c r="AB73" s="591"/>
      <c r="AC73" s="591"/>
      <c r="AD73" s="591"/>
      <c r="AE73" s="591"/>
      <c r="AF73" s="591"/>
      <c r="AG73" s="591"/>
      <c r="AH73" s="591"/>
      <c r="AI73" s="591"/>
      <c r="AJ73" s="591"/>
      <c r="AK73" s="591"/>
      <c r="AM73" s="591"/>
      <c r="AN73" s="591"/>
      <c r="AO73" s="591"/>
      <c r="AP73" s="591"/>
      <c r="AQ73" s="591"/>
      <c r="AS73" s="591"/>
      <c r="AT73" s="591"/>
      <c r="AU73" s="591"/>
      <c r="AV73" s="591"/>
      <c r="AW73" s="591"/>
      <c r="AY73" s="591"/>
    </row>
    <row r="74" spans="1:54" ht="20.25" hidden="1" customHeight="1" x14ac:dyDescent="0.2">
      <c r="A74" s="2"/>
      <c r="B74" s="2"/>
      <c r="C74" s="1172"/>
      <c r="D74" s="1173"/>
      <c r="E74" s="1173"/>
      <c r="F74" s="1173"/>
      <c r="G74" s="1173"/>
      <c r="H74" s="1173"/>
      <c r="I74" s="2051" t="s">
        <v>756</v>
      </c>
      <c r="J74" s="2051"/>
      <c r="K74" s="2052"/>
      <c r="L74" s="14"/>
      <c r="M74" s="14"/>
      <c r="N74" s="139"/>
      <c r="O74" s="2"/>
      <c r="P74" s="2"/>
      <c r="Q74" s="2"/>
      <c r="R74" s="2"/>
      <c r="S74" s="2"/>
      <c r="T74" s="2"/>
      <c r="U74" s="2"/>
      <c r="V74" s="2"/>
      <c r="W74" s="2"/>
      <c r="X74" s="2"/>
      <c r="Y74" s="2"/>
      <c r="Z74" s="2"/>
      <c r="AA74" s="2"/>
      <c r="AB74" s="591"/>
      <c r="AC74" s="591"/>
      <c r="AD74" s="591"/>
      <c r="AE74" s="591"/>
      <c r="AF74" s="591"/>
      <c r="AG74" s="591"/>
      <c r="AH74" s="591"/>
      <c r="AI74" s="591"/>
      <c r="AJ74" s="591"/>
      <c r="AK74" s="591"/>
      <c r="AM74" s="591"/>
      <c r="AN74" s="591"/>
      <c r="AO74" s="591"/>
      <c r="AP74" s="591"/>
      <c r="AQ74" s="591"/>
      <c r="AS74" s="591"/>
      <c r="AT74" s="591"/>
      <c r="AU74" s="591"/>
      <c r="AV74" s="591"/>
      <c r="AW74" s="591"/>
      <c r="AY74" s="591"/>
    </row>
    <row r="75" spans="1:54" ht="11.25" hidden="1" customHeight="1" x14ac:dyDescent="0.2">
      <c r="A75" s="2"/>
      <c r="B75" s="2"/>
      <c r="C75" s="2"/>
      <c r="D75" s="2"/>
      <c r="E75" s="2"/>
      <c r="F75" s="2"/>
      <c r="G75" s="2"/>
      <c r="H75" s="2"/>
      <c r="I75" s="2"/>
      <c r="J75" s="2"/>
      <c r="K75" s="2"/>
      <c r="L75" s="14"/>
      <c r="M75" s="14"/>
      <c r="N75" s="139"/>
      <c r="O75" s="2"/>
      <c r="P75" s="2"/>
      <c r="Q75" s="2"/>
      <c r="R75" s="2"/>
      <c r="S75" s="2"/>
      <c r="T75" s="2"/>
      <c r="U75" s="2"/>
      <c r="V75" s="2"/>
      <c r="W75" s="2"/>
      <c r="X75" s="2"/>
      <c r="Y75" s="2"/>
      <c r="Z75" s="2"/>
      <c r="AA75" s="2"/>
      <c r="AB75" s="591"/>
      <c r="AC75" s="591"/>
      <c r="AD75" s="591"/>
      <c r="AE75" s="591"/>
      <c r="AF75" s="591"/>
      <c r="AG75" s="591"/>
      <c r="AH75" s="591"/>
      <c r="AI75" s="591"/>
      <c r="AJ75" s="591"/>
      <c r="AK75" s="591"/>
      <c r="AM75" s="591"/>
      <c r="AN75" s="591"/>
      <c r="AO75" s="591"/>
      <c r="AP75" s="591"/>
      <c r="AQ75" s="591"/>
      <c r="AS75" s="591"/>
      <c r="AT75" s="591"/>
      <c r="AU75" s="591"/>
      <c r="AV75" s="591"/>
      <c r="AW75" s="591"/>
      <c r="AY75" s="591"/>
    </row>
    <row r="76" spans="1:54" ht="20.25" hidden="1" customHeight="1" x14ac:dyDescent="0.2">
      <c r="A76" s="2"/>
      <c r="B76" s="2"/>
      <c r="C76" s="2"/>
      <c r="D76" s="2"/>
      <c r="E76" s="20"/>
      <c r="F76" s="984" t="s">
        <v>764</v>
      </c>
      <c r="G76" s="985">
        <f>H69</f>
        <v>22</v>
      </c>
      <c r="H76" s="985">
        <f>H70</f>
        <v>10</v>
      </c>
      <c r="I76" s="2142">
        <f>H71</f>
        <v>4</v>
      </c>
      <c r="J76" s="2142"/>
      <c r="K76" s="1162" t="str">
        <f>H72</f>
        <v/>
      </c>
      <c r="L76" s="2"/>
      <c r="M76" s="2"/>
      <c r="N76" s="986"/>
      <c r="O76" s="2"/>
      <c r="P76" s="2"/>
      <c r="Q76" s="2"/>
      <c r="R76" s="2"/>
      <c r="S76" s="2"/>
      <c r="T76" s="2"/>
      <c r="U76" s="2"/>
      <c r="V76" s="2"/>
      <c r="W76" s="2"/>
      <c r="X76" s="591"/>
      <c r="Y76" s="591"/>
      <c r="AB76" s="591"/>
      <c r="AC76" s="591"/>
      <c r="AD76" s="591"/>
      <c r="AE76" s="591"/>
      <c r="AF76" s="591"/>
      <c r="AG76" s="591"/>
      <c r="AH76" s="591"/>
      <c r="AI76" s="591"/>
      <c r="AJ76" s="591"/>
      <c r="AK76" s="591"/>
      <c r="AM76" s="591"/>
      <c r="AN76" s="591"/>
      <c r="AO76" s="591"/>
      <c r="AP76" s="591"/>
      <c r="AQ76" s="591"/>
      <c r="AS76" s="591"/>
      <c r="AT76" s="591"/>
      <c r="AU76" s="591"/>
      <c r="AV76" s="591"/>
      <c r="AW76" s="591"/>
      <c r="AY76" s="591"/>
    </row>
    <row r="77" spans="1:54" ht="20.25" hidden="1" customHeight="1" x14ac:dyDescent="0.2">
      <c r="A77" s="2"/>
      <c r="B77" s="2"/>
      <c r="C77" s="2"/>
      <c r="D77" s="2"/>
      <c r="E77" s="2"/>
      <c r="F77" s="987" t="s">
        <v>757</v>
      </c>
      <c r="G77" s="988">
        <f>N69-G78</f>
        <v>0</v>
      </c>
      <c r="H77" s="989">
        <f>N70-H78</f>
        <v>0</v>
      </c>
      <c r="I77" s="2037">
        <f>N71-I78</f>
        <v>0</v>
      </c>
      <c r="J77" s="2038"/>
      <c r="K77" s="989">
        <f>N72-K78</f>
        <v>0</v>
      </c>
      <c r="L77" s="2233">
        <f>SUM(S69:S72)</f>
        <v>0</v>
      </c>
      <c r="M77" s="2234"/>
      <c r="N77" s="990" t="s">
        <v>758</v>
      </c>
      <c r="O77" s="2"/>
      <c r="P77" s="2"/>
      <c r="Q77" s="2"/>
      <c r="R77" s="2"/>
      <c r="S77" s="2"/>
      <c r="T77" s="2"/>
      <c r="U77" s="2"/>
      <c r="V77" s="2"/>
      <c r="W77" s="2"/>
      <c r="X77" s="591"/>
      <c r="Y77" s="591"/>
      <c r="AG77" s="591"/>
      <c r="AH77" s="591"/>
      <c r="AI77" s="591"/>
      <c r="AJ77" s="591"/>
      <c r="AK77" s="591"/>
      <c r="AM77" s="591"/>
      <c r="AN77" s="591"/>
      <c r="AO77" s="591"/>
      <c r="AP77" s="591"/>
      <c r="AQ77" s="591"/>
      <c r="AS77" s="591"/>
      <c r="AT77" s="591"/>
      <c r="AU77" s="591"/>
      <c r="AV77" s="591"/>
      <c r="AW77" s="591"/>
      <c r="AY77" s="591"/>
    </row>
    <row r="78" spans="1:54" ht="20.25" hidden="1" customHeight="1" x14ac:dyDescent="0.2">
      <c r="A78" s="2"/>
      <c r="B78" s="2"/>
      <c r="C78" s="2"/>
      <c r="D78" s="2"/>
      <c r="E78" s="2"/>
      <c r="F78" s="991" t="s">
        <v>759</v>
      </c>
      <c r="G78" s="992">
        <f>IF(G76="",0,ROUND(N69*G76/(100+G76),2))</f>
        <v>0</v>
      </c>
      <c r="H78" s="993">
        <f>IF(H76="",0,ROUND(N70*H76/(100+H76),2))</f>
        <v>0</v>
      </c>
      <c r="I78" s="2140">
        <f>IF(I76="",0,ROUND(N71*I76/(100+I76),2))</f>
        <v>0</v>
      </c>
      <c r="J78" s="2141"/>
      <c r="K78" s="993">
        <f>IF(K76="",0,ROUND(N72*K76/(100+K76),2))</f>
        <v>0</v>
      </c>
      <c r="L78" s="2235">
        <f>SUM(T69:T72)</f>
        <v>0</v>
      </c>
      <c r="M78" s="2236"/>
      <c r="N78" s="994" t="s">
        <v>760</v>
      </c>
      <c r="O78" s="2"/>
      <c r="P78" s="2"/>
      <c r="Q78" s="2"/>
      <c r="R78" s="2"/>
      <c r="S78" s="2"/>
      <c r="T78" s="2"/>
      <c r="U78" s="128" t="s">
        <v>783</v>
      </c>
      <c r="V78" s="2"/>
      <c r="W78" s="2"/>
      <c r="X78" s="591"/>
      <c r="Y78" s="591"/>
      <c r="AG78" s="591"/>
      <c r="AH78" s="591"/>
      <c r="AI78" s="591"/>
      <c r="AJ78" s="591"/>
      <c r="AK78" s="591"/>
      <c r="AM78" s="591"/>
      <c r="AN78" s="591"/>
      <c r="AO78" s="591"/>
      <c r="AP78" s="591"/>
      <c r="AQ78" s="591"/>
      <c r="AS78" s="591"/>
      <c r="AT78" s="591"/>
      <c r="AU78" s="591"/>
      <c r="AV78" s="591"/>
      <c r="AW78" s="591"/>
      <c r="AY78" s="591"/>
    </row>
    <row r="79" spans="1:54" ht="20.25" hidden="1" customHeight="1" x14ac:dyDescent="0.2">
      <c r="A79" s="2"/>
      <c r="B79" s="2"/>
      <c r="C79" s="2"/>
      <c r="D79" s="2"/>
      <c r="E79" s="287"/>
      <c r="F79" s="995" t="s">
        <v>105</v>
      </c>
      <c r="G79" s="996">
        <f>G77+G78</f>
        <v>0</v>
      </c>
      <c r="H79" s="996">
        <f>H77+H78</f>
        <v>0</v>
      </c>
      <c r="I79" s="2135">
        <f>I77+I78</f>
        <v>0</v>
      </c>
      <c r="J79" s="2135"/>
      <c r="K79" s="996">
        <f>K77+K78</f>
        <v>0</v>
      </c>
      <c r="L79" s="287"/>
      <c r="M79" s="287"/>
      <c r="N79" s="996">
        <f>SUM(U69:U72)</f>
        <v>0</v>
      </c>
      <c r="O79" s="503" t="str">
        <f>IF(N79=N73,"OK",E163)</f>
        <v>OK</v>
      </c>
      <c r="P79" s="2"/>
      <c r="Q79" s="2"/>
      <c r="R79" s="924" t="str">
        <f>G62</f>
        <v>SCORPORO</v>
      </c>
      <c r="S79" s="997">
        <f>IF(R79=L$134,G$63,0)</f>
        <v>0</v>
      </c>
      <c r="T79" s="92">
        <f>G42</f>
        <v>0</v>
      </c>
      <c r="U79" s="997">
        <f>IF(T79=K$134,S79,0)</f>
        <v>0</v>
      </c>
      <c r="V79" s="2"/>
      <c r="W79" s="2"/>
      <c r="X79" s="591"/>
      <c r="Y79" s="591"/>
      <c r="AG79" s="591"/>
      <c r="AH79" s="591"/>
      <c r="AI79" s="591"/>
      <c r="AJ79" s="591"/>
      <c r="AK79" s="591"/>
      <c r="AM79" s="591"/>
      <c r="AN79" s="591"/>
      <c r="AO79" s="591"/>
      <c r="AP79" s="591"/>
      <c r="AQ79" s="591"/>
      <c r="AS79" s="591"/>
      <c r="AT79" s="591"/>
      <c r="AU79" s="591"/>
      <c r="AV79" s="591"/>
      <c r="AW79" s="591"/>
      <c r="AY79" s="591"/>
    </row>
    <row r="80" spans="1:54" ht="20.25" hidden="1" customHeight="1" x14ac:dyDescent="0.2">
      <c r="A80" s="2"/>
      <c r="B80" s="2"/>
      <c r="C80" s="2"/>
      <c r="D80" s="2"/>
      <c r="E80" s="2"/>
      <c r="F80" s="2"/>
      <c r="G80" s="2"/>
      <c r="H80" s="2"/>
      <c r="I80" s="2"/>
      <c r="J80" s="2"/>
      <c r="K80" s="2"/>
      <c r="L80" s="2"/>
      <c r="M80" s="2"/>
      <c r="N80" s="10"/>
      <c r="O80" s="2"/>
      <c r="P80" s="2"/>
      <c r="Q80" s="2"/>
      <c r="R80" s="924" t="str">
        <f>H62</f>
        <v>SCORPORO</v>
      </c>
      <c r="S80" s="998">
        <f>IF(R80=L$134,H63,0)</f>
        <v>0</v>
      </c>
      <c r="T80" s="92">
        <f>H42</f>
        <v>0</v>
      </c>
      <c r="U80" s="998">
        <f>IF(T80=K$134,S80,0)</f>
        <v>0</v>
      </c>
      <c r="V80" s="2"/>
      <c r="W80" s="2"/>
      <c r="X80" s="591"/>
      <c r="Y80" s="591"/>
      <c r="AG80" s="591"/>
      <c r="AH80" s="591"/>
      <c r="AI80" s="591"/>
      <c r="AJ80" s="591"/>
      <c r="AK80" s="591"/>
      <c r="AM80" s="591"/>
      <c r="AN80" s="591"/>
      <c r="AO80" s="591"/>
      <c r="AP80" s="591"/>
      <c r="AQ80" s="591"/>
      <c r="AS80" s="591"/>
      <c r="AT80" s="591"/>
      <c r="AU80" s="591"/>
      <c r="AV80" s="591"/>
      <c r="AW80" s="591"/>
      <c r="AY80" s="591"/>
    </row>
    <row r="81" spans="1:51" ht="20.25" hidden="1" customHeight="1" x14ac:dyDescent="0.2">
      <c r="A81" s="2"/>
      <c r="B81" s="2"/>
      <c r="C81" s="2"/>
      <c r="D81" s="2"/>
      <c r="E81" s="2"/>
      <c r="F81" s="2"/>
      <c r="G81" s="103" t="str">
        <f>G61</f>
        <v>Colonna 1</v>
      </c>
      <c r="H81" s="103" t="str">
        <f>H61</f>
        <v>Colonna 2</v>
      </c>
      <c r="I81" s="2053" t="str">
        <f>K61</f>
        <v>Colonna 3</v>
      </c>
      <c r="J81" s="2053"/>
      <c r="K81" s="103" t="str">
        <f>N61</f>
        <v>Colonna 4</v>
      </c>
      <c r="L81" s="2"/>
      <c r="M81" s="2"/>
      <c r="N81" s="14"/>
      <c r="O81" s="2"/>
      <c r="P81" s="2"/>
      <c r="Q81" s="2"/>
      <c r="R81" s="924" t="str">
        <f>K62</f>
        <v>SCORPORO</v>
      </c>
      <c r="S81" s="998">
        <f>IF(R81=L$134,K63,0)</f>
        <v>0</v>
      </c>
      <c r="T81" s="92">
        <f>K42</f>
        <v>0</v>
      </c>
      <c r="U81" s="998">
        <f>IF(T81=K$134,S81,0)</f>
        <v>0</v>
      </c>
      <c r="V81" s="2"/>
      <c r="W81" s="2"/>
      <c r="X81" s="591"/>
      <c r="Y81" s="591"/>
      <c r="AG81" s="591"/>
      <c r="AH81" s="591"/>
      <c r="AI81" s="591"/>
      <c r="AJ81" s="591"/>
      <c r="AK81" s="591"/>
      <c r="AM81" s="591"/>
      <c r="AN81" s="591"/>
      <c r="AO81" s="591"/>
      <c r="AP81" s="591"/>
      <c r="AQ81" s="591"/>
      <c r="AS81" s="591"/>
      <c r="AT81" s="591"/>
      <c r="AU81" s="591"/>
      <c r="AV81" s="591"/>
      <c r="AW81" s="591"/>
      <c r="AY81" s="591"/>
    </row>
    <row r="82" spans="1:51" ht="18" hidden="1" customHeight="1" x14ac:dyDescent="0.2">
      <c r="A82" s="2"/>
      <c r="B82" s="2"/>
      <c r="C82" s="2"/>
      <c r="D82" s="2"/>
      <c r="E82" s="2"/>
      <c r="F82" s="2"/>
      <c r="G82" s="1203" t="str">
        <f t="shared" ref="G82:H84" si="33">G43</f>
        <v/>
      </c>
      <c r="H82" s="1204" t="str">
        <f t="shared" si="33"/>
        <v/>
      </c>
      <c r="I82" s="2031" t="str">
        <f>K43</f>
        <v/>
      </c>
      <c r="J82" s="2031"/>
      <c r="K82" s="1205" t="str">
        <f>N43</f>
        <v/>
      </c>
      <c r="L82" s="2"/>
      <c r="M82" s="2"/>
      <c r="N82" s="14"/>
      <c r="O82" s="2"/>
      <c r="P82" s="2"/>
      <c r="Q82" s="2"/>
      <c r="R82" s="924" t="str">
        <f>N62</f>
        <v>SCORPORO</v>
      </c>
      <c r="S82" s="1007">
        <f>IF(R82=L$134,N63,0)</f>
        <v>0</v>
      </c>
      <c r="T82" s="92">
        <f>N42</f>
        <v>0</v>
      </c>
      <c r="U82" s="1007">
        <f>IF(T82=K$134,S82,0)</f>
        <v>0</v>
      </c>
      <c r="V82" s="2"/>
      <c r="W82" s="2"/>
      <c r="X82" s="591"/>
      <c r="Y82" s="591"/>
      <c r="AG82" s="591"/>
      <c r="AH82" s="591"/>
      <c r="AI82" s="591"/>
      <c r="AJ82" s="591"/>
      <c r="AK82" s="591"/>
      <c r="AM82" s="591"/>
      <c r="AN82" s="591"/>
      <c r="AO82" s="591"/>
      <c r="AP82" s="591"/>
      <c r="AQ82" s="591"/>
      <c r="AS82" s="591"/>
      <c r="AT82" s="591"/>
      <c r="AU82" s="591"/>
      <c r="AV82" s="591"/>
      <c r="AW82" s="591"/>
      <c r="AY82" s="591"/>
    </row>
    <row r="83" spans="1:51" ht="18" hidden="1" customHeight="1" x14ac:dyDescent="0.2">
      <c r="A83" s="2"/>
      <c r="B83" s="2"/>
      <c r="C83" s="2"/>
      <c r="D83" s="2"/>
      <c r="E83" s="2"/>
      <c r="F83" s="2"/>
      <c r="G83" s="1000" t="str">
        <f t="shared" si="33"/>
        <v/>
      </c>
      <c r="H83" s="1000" t="str">
        <f t="shared" si="33"/>
        <v/>
      </c>
      <c r="I83" s="2054" t="str">
        <f>K44</f>
        <v/>
      </c>
      <c r="J83" s="2054"/>
      <c r="K83" s="1000" t="str">
        <f>N44</f>
        <v/>
      </c>
      <c r="L83" s="2"/>
      <c r="M83" s="2"/>
      <c r="N83" s="14"/>
      <c r="O83" s="2"/>
      <c r="P83" s="2"/>
      <c r="Q83" s="2"/>
      <c r="R83" s="2"/>
      <c r="S83" s="999"/>
      <c r="T83" s="2"/>
      <c r="U83" s="999"/>
      <c r="V83" s="2"/>
      <c r="W83" s="2"/>
      <c r="X83" s="591"/>
      <c r="Y83" s="591"/>
      <c r="AG83" s="591"/>
      <c r="AH83" s="591"/>
      <c r="AI83" s="591"/>
      <c r="AJ83" s="591"/>
      <c r="AK83" s="591"/>
      <c r="AM83" s="591"/>
      <c r="AN83" s="591"/>
      <c r="AO83" s="591"/>
      <c r="AP83" s="591"/>
      <c r="AQ83" s="591"/>
      <c r="AS83" s="591"/>
      <c r="AT83" s="591"/>
      <c r="AU83" s="591"/>
      <c r="AV83" s="591"/>
      <c r="AW83" s="591"/>
      <c r="AY83" s="591"/>
    </row>
    <row r="84" spans="1:51" ht="18" hidden="1" customHeight="1" x14ac:dyDescent="0.2">
      <c r="A84" s="2"/>
      <c r="B84" s="2"/>
      <c r="C84" s="2"/>
      <c r="D84" s="2"/>
      <c r="E84" s="2"/>
      <c r="F84" s="2"/>
      <c r="G84" s="1001" t="str">
        <f t="shared" si="33"/>
        <v/>
      </c>
      <c r="H84" s="1001" t="str">
        <f t="shared" si="33"/>
        <v/>
      </c>
      <c r="I84" s="2055" t="str">
        <f>K45</f>
        <v/>
      </c>
      <c r="J84" s="2055"/>
      <c r="K84" s="1001" t="str">
        <f>N45</f>
        <v/>
      </c>
      <c r="L84" s="2"/>
      <c r="M84" s="2"/>
      <c r="N84" s="14"/>
      <c r="O84" s="2"/>
      <c r="P84" s="2"/>
      <c r="Q84" s="2"/>
      <c r="R84" s="2"/>
      <c r="S84" s="999"/>
      <c r="T84" s="2"/>
      <c r="U84" s="999"/>
      <c r="V84" s="2"/>
      <c r="W84" s="2"/>
      <c r="X84" s="591"/>
      <c r="Y84" s="591"/>
      <c r="AG84" s="591"/>
      <c r="AH84" s="591"/>
      <c r="AI84" s="591"/>
      <c r="AJ84" s="591"/>
      <c r="AK84" s="591"/>
      <c r="AM84" s="591"/>
      <c r="AN84" s="591"/>
      <c r="AO84" s="591"/>
      <c r="AP84" s="591"/>
      <c r="AQ84" s="591"/>
      <c r="AS84" s="591"/>
      <c r="AT84" s="591"/>
      <c r="AU84" s="591"/>
      <c r="AV84" s="591"/>
      <c r="AW84" s="591"/>
      <c r="AY84" s="591"/>
    </row>
    <row r="85" spans="1:51" ht="18" hidden="1" customHeight="1" x14ac:dyDescent="0.2">
      <c r="A85" s="2"/>
      <c r="B85" s="2"/>
      <c r="C85" s="2"/>
      <c r="D85" s="2"/>
      <c r="E85" s="2"/>
      <c r="F85" s="2"/>
      <c r="G85" s="1011" t="str">
        <f>VLOOKUP(G62,$L$134:$M$135,2,FALSE)</f>
        <v>SCORPORO</v>
      </c>
      <c r="H85" s="1011" t="str">
        <f>VLOOKUP(H62,$L$134:$M$135,2,FALSE)</f>
        <v>SCORPORO</v>
      </c>
      <c r="I85" s="2056" t="str">
        <f>VLOOKUP(K62,$L$134:$M$135,2,FALSE)</f>
        <v>SCORPORO</v>
      </c>
      <c r="J85" s="2056"/>
      <c r="K85" s="1011" t="str">
        <f>VLOOKUP(N62,$L$134:$M$135,2,FALSE)</f>
        <v>SCORPORO</v>
      </c>
      <c r="L85" s="2"/>
      <c r="M85" s="2"/>
      <c r="N85" s="14"/>
      <c r="O85" s="2"/>
      <c r="P85" s="2"/>
      <c r="Q85" s="2"/>
      <c r="R85" s="2"/>
      <c r="S85" s="999"/>
      <c r="T85" s="2"/>
      <c r="U85" s="999"/>
      <c r="V85" s="2"/>
      <c r="W85" s="2"/>
      <c r="X85" s="591"/>
      <c r="Y85" s="591"/>
      <c r="AG85" s="591"/>
      <c r="AH85" s="591"/>
      <c r="AI85" s="591"/>
      <c r="AJ85" s="591"/>
      <c r="AK85" s="591"/>
      <c r="AM85" s="591"/>
      <c r="AN85" s="591"/>
      <c r="AO85" s="591"/>
      <c r="AP85" s="591"/>
      <c r="AQ85" s="591"/>
      <c r="AS85" s="591"/>
      <c r="AT85" s="591"/>
      <c r="AU85" s="591"/>
      <c r="AV85" s="591"/>
      <c r="AW85" s="591"/>
      <c r="AY85" s="591"/>
    </row>
    <row r="86" spans="1:51" ht="20.25" hidden="1" customHeight="1" x14ac:dyDescent="0.2">
      <c r="A86" s="2"/>
      <c r="B86" s="2"/>
      <c r="C86" s="2"/>
      <c r="D86" s="2"/>
      <c r="E86" s="2"/>
      <c r="F86" s="1002" t="s">
        <v>761</v>
      </c>
      <c r="G86" s="1206">
        <f>IF($L77=0,0,$S79-G87)</f>
        <v>0</v>
      </c>
      <c r="H86" s="1206">
        <f>IF($L77=0,0,S80-H87)</f>
        <v>0</v>
      </c>
      <c r="I86" s="2035">
        <f>IF($L77=0,0,S81-I87)</f>
        <v>0</v>
      </c>
      <c r="J86" s="2036"/>
      <c r="K86" s="1206">
        <f>IF($L77=0,0,S82-K87)</f>
        <v>0</v>
      </c>
      <c r="L86" s="2237">
        <f>SUM(G86:K86)</f>
        <v>0</v>
      </c>
      <c r="M86" s="2237"/>
      <c r="N86" s="1003" t="s">
        <v>758</v>
      </c>
      <c r="O86" s="2"/>
      <c r="P86" s="2"/>
      <c r="Q86" s="2"/>
      <c r="R86" s="2"/>
      <c r="S86" s="999"/>
      <c r="T86" s="2"/>
      <c r="U86" s="999"/>
      <c r="V86" s="2"/>
      <c r="W86" s="2"/>
      <c r="X86" s="591"/>
      <c r="Y86" s="591"/>
      <c r="AG86" s="591"/>
      <c r="AH86" s="591"/>
      <c r="AI86" s="591"/>
      <c r="AJ86" s="591"/>
      <c r="AK86" s="591"/>
      <c r="AM86" s="591"/>
      <c r="AN86" s="591"/>
      <c r="AO86" s="591"/>
      <c r="AP86" s="591"/>
      <c r="AQ86" s="591"/>
      <c r="AS86" s="591"/>
      <c r="AT86" s="591"/>
      <c r="AU86" s="591"/>
      <c r="AV86" s="591"/>
      <c r="AW86" s="591"/>
      <c r="AY86" s="591"/>
    </row>
    <row r="87" spans="1:51" ht="20.25" hidden="1" customHeight="1" x14ac:dyDescent="0.2">
      <c r="A87" s="2"/>
      <c r="B87" s="2"/>
      <c r="C87" s="2"/>
      <c r="D87" s="2"/>
      <c r="E87" s="2"/>
      <c r="F87" s="1004" t="s">
        <v>762</v>
      </c>
      <c r="G87" s="1207">
        <f>IF($C$61=0,0,ROUND($L78*G89/100,2))</f>
        <v>0</v>
      </c>
      <c r="H87" s="1207">
        <f>IF($C$61=0,0,ROUND($L78*H89/100,2))</f>
        <v>0</v>
      </c>
      <c r="I87" s="2028">
        <f>IF($C$61=0,0,ROUND($L78*I89/100,2))</f>
        <v>0</v>
      </c>
      <c r="J87" s="2029"/>
      <c r="K87" s="1207">
        <f>IF($C$61=0,0,L78-G87-H87-I87)</f>
        <v>0</v>
      </c>
      <c r="L87" s="2125">
        <f>SUM(G87:K87)</f>
        <v>0</v>
      </c>
      <c r="M87" s="2125"/>
      <c r="N87" s="1005" t="s">
        <v>760</v>
      </c>
      <c r="O87" s="2"/>
      <c r="P87" s="2"/>
      <c r="Q87" s="2"/>
      <c r="R87" s="2"/>
      <c r="S87" s="999"/>
      <c r="T87" s="2"/>
      <c r="U87" s="999"/>
      <c r="V87" s="2"/>
      <c r="W87" s="2"/>
      <c r="X87" s="591"/>
      <c r="Y87" s="591"/>
      <c r="AG87" s="591"/>
      <c r="AH87" s="591"/>
      <c r="AI87" s="591"/>
      <c r="AJ87" s="591"/>
      <c r="AK87" s="591"/>
      <c r="AM87" s="591"/>
      <c r="AN87" s="591"/>
      <c r="AO87" s="591"/>
      <c r="AP87" s="591"/>
      <c r="AQ87" s="591"/>
      <c r="AS87" s="591"/>
      <c r="AT87" s="591"/>
      <c r="AU87" s="591"/>
      <c r="AV87" s="591"/>
      <c r="AW87" s="591"/>
      <c r="AY87" s="591"/>
    </row>
    <row r="88" spans="1:51" ht="20.25" hidden="1" customHeight="1" x14ac:dyDescent="0.2">
      <c r="A88" s="2"/>
      <c r="B88" s="2"/>
      <c r="C88" s="2"/>
      <c r="D88" s="2"/>
      <c r="E88" s="287"/>
      <c r="F88" s="995" t="s">
        <v>105</v>
      </c>
      <c r="G88" s="1020">
        <f>IF(G85=$M135,0,G86+G87)</f>
        <v>0</v>
      </c>
      <c r="H88" s="1020">
        <f>IF(H85=$M135,0,H86+H87)</f>
        <v>0</v>
      </c>
      <c r="I88" s="2216">
        <f>IF(I85=$M135,0,I86+I87)</f>
        <v>0</v>
      </c>
      <c r="J88" s="2216"/>
      <c r="K88" s="1020">
        <f>IF(K85=$M135,0,K86+K87)</f>
        <v>0</v>
      </c>
      <c r="L88" s="287"/>
      <c r="M88" s="287"/>
      <c r="N88" s="996">
        <f>SUM(G88:K88)</f>
        <v>0</v>
      </c>
      <c r="O88" s="503" t="str">
        <f>IF(N88=N79,"OK",E163)</f>
        <v>OK</v>
      </c>
      <c r="P88" s="2"/>
      <c r="Q88" s="2"/>
      <c r="R88" s="2"/>
      <c r="S88" s="1006"/>
      <c r="T88" s="2"/>
      <c r="U88" s="1006"/>
      <c r="V88" s="2"/>
      <c r="W88" s="2"/>
      <c r="X88" s="591"/>
      <c r="Y88" s="591"/>
      <c r="AG88" s="591"/>
      <c r="AH88" s="591"/>
      <c r="AI88" s="591"/>
      <c r="AJ88" s="591"/>
      <c r="AK88" s="591"/>
      <c r="AM88" s="591"/>
      <c r="AN88" s="591"/>
      <c r="AO88" s="591"/>
      <c r="AP88" s="591"/>
      <c r="AQ88" s="591"/>
      <c r="AS88" s="591"/>
      <c r="AT88" s="591"/>
      <c r="AU88" s="591"/>
      <c r="AV88" s="591"/>
      <c r="AW88" s="591"/>
      <c r="AY88" s="591"/>
    </row>
    <row r="89" spans="1:51" ht="20.25" hidden="1" customHeight="1" x14ac:dyDescent="0.2">
      <c r="A89" s="2"/>
      <c r="B89" s="2"/>
      <c r="C89" s="2"/>
      <c r="D89" s="2"/>
      <c r="E89" s="2"/>
      <c r="F89" s="970" t="s">
        <v>763</v>
      </c>
      <c r="G89" s="1021">
        <f>IF($C$61=0,0,IF(S79=0,0,ROUND($S79/$S89*100,10)))</f>
        <v>0</v>
      </c>
      <c r="H89" s="1021">
        <f>IF($C$61=0,0,IF(S80=0,0,ROUND(S80/$S89*100,10)))</f>
        <v>0</v>
      </c>
      <c r="I89" s="2101">
        <f>IF($C$61=0,0,IF(S81=0,0,ROUND(S81/$S89*100,10)))</f>
        <v>0</v>
      </c>
      <c r="J89" s="2101"/>
      <c r="K89" s="1021">
        <f>IF($C$61=0,0,IF(S82=0,0,100-G89-H89-I89))</f>
        <v>0</v>
      </c>
      <c r="L89" s="2"/>
      <c r="M89" s="2"/>
      <c r="N89" s="2"/>
      <c r="O89" s="2"/>
      <c r="P89" s="2"/>
      <c r="Q89" s="2"/>
      <c r="R89" s="2"/>
      <c r="S89" s="1006">
        <f>SUM(S79:S88)</f>
        <v>0</v>
      </c>
      <c r="T89" s="2"/>
      <c r="U89" s="1006">
        <f>SUM(U79:U88)</f>
        <v>0</v>
      </c>
      <c r="V89" s="2"/>
      <c r="W89" s="2"/>
      <c r="X89" s="591"/>
      <c r="Y89" s="591"/>
      <c r="Z89" s="591"/>
      <c r="AA89" s="591"/>
      <c r="AB89" s="591"/>
      <c r="AC89" s="591"/>
      <c r="AG89" s="591"/>
      <c r="AH89" s="591"/>
      <c r="AI89" s="591"/>
      <c r="AJ89" s="591"/>
      <c r="AK89" s="591"/>
      <c r="AM89" s="591"/>
      <c r="AN89" s="591"/>
      <c r="AO89" s="591"/>
      <c r="AP89" s="591"/>
      <c r="AQ89" s="591"/>
      <c r="AS89" s="591"/>
      <c r="AT89" s="591"/>
      <c r="AU89" s="591"/>
      <c r="AV89" s="591"/>
      <c r="AW89" s="591"/>
      <c r="AY89" s="591"/>
    </row>
    <row r="90" spans="1:51" ht="20.25" customHeight="1" x14ac:dyDescent="0.2">
      <c r="A90" s="2"/>
      <c r="B90" s="2"/>
      <c r="C90" s="2"/>
      <c r="D90" s="2"/>
      <c r="E90" s="2"/>
      <c r="F90" s="2"/>
      <c r="G90" s="2"/>
      <c r="H90" s="2"/>
      <c r="I90" s="2"/>
      <c r="J90" s="2"/>
      <c r="K90" s="2"/>
      <c r="L90" s="2"/>
      <c r="M90" s="2"/>
      <c r="N90" s="2"/>
      <c r="O90" s="2"/>
      <c r="P90" s="2"/>
      <c r="Q90" s="2"/>
      <c r="R90" s="2"/>
      <c r="S90" s="2"/>
      <c r="T90" s="2"/>
      <c r="U90" s="1110" t="e">
        <f>U89/S89*100</f>
        <v>#DIV/0!</v>
      </c>
      <c r="V90" s="2"/>
      <c r="W90" s="2"/>
      <c r="X90" s="591"/>
      <c r="Y90" s="591"/>
      <c r="Z90" s="591"/>
      <c r="AA90" s="591"/>
      <c r="AB90" s="591"/>
      <c r="AC90" s="591"/>
      <c r="AG90" s="591"/>
      <c r="AH90" s="591"/>
      <c r="AI90" s="591"/>
      <c r="AJ90" s="591"/>
      <c r="AK90" s="591"/>
      <c r="AM90" s="591"/>
      <c r="AN90" s="591"/>
      <c r="AO90" s="591"/>
      <c r="AP90" s="591"/>
      <c r="AQ90" s="591"/>
      <c r="AS90" s="591"/>
      <c r="AT90" s="591"/>
      <c r="AU90" s="591"/>
      <c r="AV90" s="591"/>
      <c r="AW90" s="591"/>
      <c r="AY90" s="591"/>
    </row>
    <row r="91" spans="1:51" ht="30" customHeight="1" x14ac:dyDescent="0.2">
      <c r="A91" s="2"/>
      <c r="B91" s="2"/>
      <c r="C91" s="2030" t="str">
        <f>IF(SUM(G150:J150)&gt;0,G151,IMPOSTAZIONI!Y383)</f>
        <v>Quest' area si attiva con colonne IVA "Aliquote diverse" - Al momento non c'è nessun importo da scorporare manualmente.</v>
      </c>
      <c r="D91" s="2030"/>
      <c r="E91" s="2030"/>
      <c r="F91" s="2030"/>
      <c r="G91" s="2030"/>
      <c r="H91" s="2030"/>
      <c r="I91" s="2030"/>
      <c r="J91" s="2030"/>
      <c r="K91" s="2030"/>
      <c r="L91" s="2030"/>
      <c r="M91" s="2030"/>
      <c r="N91" s="2030"/>
      <c r="O91" s="2030"/>
      <c r="P91" s="2030"/>
      <c r="Q91" s="98"/>
      <c r="R91" s="98"/>
      <c r="S91" s="98"/>
      <c r="T91" s="2"/>
      <c r="U91" s="2"/>
      <c r="V91" s="2"/>
      <c r="W91" s="2"/>
      <c r="X91" s="591"/>
      <c r="Y91" s="591"/>
      <c r="Z91" s="591"/>
      <c r="AA91" s="591"/>
      <c r="AB91" s="591"/>
      <c r="AC91" s="591"/>
      <c r="AG91" s="591"/>
      <c r="AH91" s="591"/>
      <c r="AI91" s="591"/>
      <c r="AJ91" s="591"/>
      <c r="AK91" s="591"/>
      <c r="AM91" s="591"/>
      <c r="AN91" s="591"/>
      <c r="AO91" s="591"/>
      <c r="AP91" s="591"/>
      <c r="AQ91" s="591"/>
      <c r="AS91" s="591"/>
      <c r="AT91" s="591"/>
      <c r="AU91" s="591"/>
      <c r="AV91" s="591"/>
      <c r="AW91" s="591"/>
      <c r="AY91" s="591"/>
    </row>
    <row r="92" spans="1:51" ht="5.25" customHeight="1" x14ac:dyDescent="0.2">
      <c r="A92" s="2"/>
      <c r="B92" s="2"/>
      <c r="C92" s="2"/>
      <c r="D92" s="2"/>
      <c r="E92" s="2"/>
      <c r="F92" s="2"/>
      <c r="G92" s="2"/>
      <c r="H92" s="2"/>
      <c r="I92" s="2"/>
      <c r="J92" s="2"/>
      <c r="K92" s="2"/>
      <c r="L92" s="2"/>
      <c r="M92" s="2"/>
      <c r="N92" s="2"/>
      <c r="O92" s="2"/>
      <c r="P92" s="2"/>
      <c r="Q92" s="2"/>
      <c r="R92" s="2"/>
      <c r="S92" s="2"/>
      <c r="T92" s="2"/>
      <c r="U92" s="2"/>
      <c r="V92" s="2"/>
      <c r="W92" s="2"/>
      <c r="X92" s="591"/>
      <c r="Y92" s="591"/>
      <c r="Z92" s="591"/>
      <c r="AA92" s="591"/>
      <c r="AB92" s="591"/>
      <c r="AC92" s="591"/>
      <c r="AG92" s="591"/>
      <c r="AH92" s="591"/>
      <c r="AI92" s="591"/>
      <c r="AJ92" s="591"/>
      <c r="AK92" s="591"/>
      <c r="AM92" s="591"/>
      <c r="AN92" s="591"/>
      <c r="AO92" s="591"/>
      <c r="AP92" s="591"/>
      <c r="AQ92" s="591"/>
      <c r="AS92" s="591"/>
      <c r="AT92" s="591"/>
      <c r="AU92" s="591"/>
      <c r="AV92" s="591"/>
      <c r="AW92" s="591"/>
      <c r="AY92" s="591"/>
    </row>
    <row r="93" spans="1:51" ht="18" customHeight="1" x14ac:dyDescent="0.2">
      <c r="A93" s="2"/>
      <c r="B93" s="2"/>
      <c r="C93" s="2111"/>
      <c r="D93" s="2111"/>
      <c r="E93" s="2112"/>
      <c r="F93" s="2113"/>
      <c r="G93" s="298" t="str">
        <f t="shared" ref="G93:H95" si="34">IF(G$155="X",G43,"")</f>
        <v/>
      </c>
      <c r="H93" s="298" t="str">
        <f t="shared" si="34"/>
        <v/>
      </c>
      <c r="I93" s="298"/>
      <c r="J93" s="298"/>
      <c r="K93" s="298" t="str">
        <f>IF(I$155="X",K43,"")</f>
        <v/>
      </c>
      <c r="L93" s="298"/>
      <c r="M93" s="298"/>
      <c r="N93" s="298" t="str">
        <f>IF(J$155="X",N43,"")</f>
        <v/>
      </c>
      <c r="O93" s="2033"/>
      <c r="P93" s="2033"/>
      <c r="Q93" s="12"/>
      <c r="R93" s="2"/>
      <c r="S93" s="2"/>
      <c r="T93" s="2"/>
      <c r="U93" s="2"/>
      <c r="V93" s="2"/>
      <c r="W93" s="2"/>
      <c r="X93" s="591"/>
      <c r="Y93" s="591"/>
      <c r="Z93" s="591"/>
      <c r="AA93" s="591"/>
      <c r="AB93" s="591"/>
      <c r="AC93" s="591"/>
      <c r="AG93" s="591"/>
      <c r="AH93" s="591"/>
      <c r="AI93" s="591"/>
      <c r="AJ93" s="591"/>
      <c r="AK93" s="591"/>
      <c r="AM93" s="591"/>
      <c r="AN93" s="591"/>
      <c r="AO93" s="591"/>
      <c r="AP93" s="591"/>
      <c r="AQ93" s="591"/>
      <c r="AS93" s="591"/>
      <c r="AT93" s="591"/>
      <c r="AU93" s="591"/>
      <c r="AV93" s="591"/>
      <c r="AW93" s="591"/>
      <c r="AY93" s="591"/>
    </row>
    <row r="94" spans="1:51" ht="18" customHeight="1" x14ac:dyDescent="0.2">
      <c r="A94" s="2"/>
      <c r="B94" s="2"/>
      <c r="C94" s="2114" t="str">
        <f>C44</f>
        <v>TOTALI DEL PERIODO:</v>
      </c>
      <c r="D94" s="2091"/>
      <c r="E94" s="2091"/>
      <c r="F94" s="2091"/>
      <c r="G94" s="57" t="str">
        <f t="shared" si="34"/>
        <v/>
      </c>
      <c r="H94" s="57" t="str">
        <f t="shared" si="34"/>
        <v/>
      </c>
      <c r="I94" s="57" t="s">
        <v>288</v>
      </c>
      <c r="J94" s="57"/>
      <c r="K94" s="57" t="str">
        <f>IF(I$155="X",K44,"")</f>
        <v/>
      </c>
      <c r="L94" s="57" t="s">
        <v>288</v>
      </c>
      <c r="M94" s="57"/>
      <c r="N94" s="57" t="str">
        <f>IF(J$155="X",N44,"")</f>
        <v/>
      </c>
      <c r="O94" s="85"/>
      <c r="P94" s="85"/>
      <c r="Q94" s="12"/>
      <c r="R94" s="2"/>
      <c r="S94" s="2"/>
      <c r="T94" s="2"/>
      <c r="U94" s="2"/>
      <c r="V94" s="2"/>
      <c r="W94" s="2"/>
      <c r="X94" s="591"/>
      <c r="Y94" s="591"/>
      <c r="Z94" s="591"/>
      <c r="AA94" s="591"/>
      <c r="AB94" s="591"/>
      <c r="AC94" s="591"/>
      <c r="AG94" s="591"/>
      <c r="AH94" s="591"/>
      <c r="AI94" s="591"/>
      <c r="AJ94" s="591"/>
      <c r="AK94" s="591"/>
      <c r="AM94" s="591"/>
      <c r="AN94" s="591"/>
      <c r="AO94" s="591"/>
      <c r="AP94" s="591"/>
      <c r="AQ94" s="591"/>
      <c r="AS94" s="591"/>
      <c r="AT94" s="591"/>
      <c r="AU94" s="591"/>
      <c r="AV94" s="591"/>
      <c r="AW94" s="591"/>
      <c r="AY94" s="591"/>
    </row>
    <row r="95" spans="1:51" ht="18" customHeight="1" x14ac:dyDescent="0.2">
      <c r="A95" s="2"/>
      <c r="B95" s="2"/>
      <c r="C95" s="2115" t="str">
        <f>C45</f>
        <v>01/01 - 31/01</v>
      </c>
      <c r="D95" s="2115"/>
      <c r="E95" s="2115"/>
      <c r="F95" s="2115"/>
      <c r="G95" s="90" t="str">
        <f t="shared" si="34"/>
        <v/>
      </c>
      <c r="H95" s="90" t="str">
        <f t="shared" si="34"/>
        <v/>
      </c>
      <c r="I95" s="90" t="s">
        <v>288</v>
      </c>
      <c r="J95" s="90"/>
      <c r="K95" s="90" t="str">
        <f>IF(I$155="X",K45,"")</f>
        <v/>
      </c>
      <c r="L95" s="90" t="s">
        <v>288</v>
      </c>
      <c r="M95" s="90"/>
      <c r="N95" s="90" t="str">
        <f>IF(J$155="X",N45,"")</f>
        <v/>
      </c>
      <c r="O95" s="89"/>
      <c r="P95" s="89"/>
      <c r="Q95" s="12"/>
      <c r="R95" s="2"/>
      <c r="S95" s="2"/>
      <c r="T95" s="2"/>
      <c r="U95" s="2"/>
      <c r="V95" s="2"/>
      <c r="W95" s="2"/>
      <c r="X95" s="591"/>
      <c r="Y95" s="591"/>
      <c r="Z95" s="591"/>
      <c r="AA95" s="591"/>
      <c r="AB95" s="591"/>
      <c r="AC95" s="591"/>
      <c r="AG95" s="591"/>
      <c r="AH95" s="591"/>
      <c r="AI95" s="591"/>
      <c r="AJ95" s="591"/>
      <c r="AK95" s="591"/>
      <c r="AM95" s="591"/>
      <c r="AN95" s="591"/>
      <c r="AO95" s="591"/>
      <c r="AP95" s="591"/>
      <c r="AQ95" s="591"/>
      <c r="AS95" s="591"/>
      <c r="AT95" s="591"/>
      <c r="AU95" s="591"/>
      <c r="AV95" s="591"/>
      <c r="AW95" s="591"/>
      <c r="AY95" s="591"/>
    </row>
    <row r="96" spans="1:51" ht="18.75" customHeight="1" x14ac:dyDescent="0.2">
      <c r="A96" s="2"/>
      <c r="B96" s="7"/>
      <c r="C96" s="2110"/>
      <c r="D96" s="2110"/>
      <c r="E96" s="2109"/>
      <c r="F96" s="2109"/>
      <c r="G96" s="297">
        <f>IF(G155="X",G46,0)</f>
        <v>0</v>
      </c>
      <c r="H96" s="297">
        <f>IF(H155="X",H46,0)</f>
        <v>0</v>
      </c>
      <c r="I96" s="657"/>
      <c r="J96" s="657"/>
      <c r="K96" s="297">
        <f>IF(I155="X",K46,0)</f>
        <v>0</v>
      </c>
      <c r="L96" s="657"/>
      <c r="M96" s="657"/>
      <c r="N96" s="297">
        <f>IF(J155="X",N46,0)</f>
        <v>0</v>
      </c>
      <c r="O96" s="2210" t="s">
        <v>353</v>
      </c>
      <c r="P96" s="2210"/>
      <c r="Q96" s="12"/>
      <c r="R96" s="462">
        <f>R97+R98</f>
        <v>0</v>
      </c>
      <c r="S96" s="2"/>
      <c r="T96" s="2"/>
      <c r="U96" s="2"/>
      <c r="V96" s="591"/>
      <c r="W96" s="591"/>
      <c r="X96" s="591"/>
      <c r="Y96" s="591"/>
      <c r="Z96" s="591"/>
      <c r="AA96" s="591"/>
      <c r="AB96" s="591"/>
      <c r="AC96" s="591"/>
      <c r="AG96" s="591"/>
      <c r="AH96" s="591"/>
      <c r="AI96" s="591"/>
      <c r="AJ96" s="591"/>
      <c r="AK96" s="591"/>
      <c r="AM96" s="591"/>
      <c r="AN96" s="591"/>
      <c r="AO96" s="591"/>
      <c r="AP96" s="591"/>
      <c r="AQ96" s="591"/>
      <c r="AS96" s="591"/>
      <c r="AT96" s="591"/>
      <c r="AU96" s="591"/>
      <c r="AV96" s="591"/>
      <c r="AW96" s="591"/>
      <c r="AY96" s="591"/>
    </row>
    <row r="97" spans="1:51" ht="18.75" customHeight="1" x14ac:dyDescent="0.25">
      <c r="A97" s="2"/>
      <c r="B97" s="7"/>
      <c r="C97" s="2032" t="s">
        <v>350</v>
      </c>
      <c r="D97" s="2032"/>
      <c r="E97" s="2032"/>
      <c r="F97" s="2032"/>
      <c r="G97" s="299"/>
      <c r="H97" s="299"/>
      <c r="I97" s="658"/>
      <c r="J97" s="658"/>
      <c r="K97" s="299"/>
      <c r="L97" s="658"/>
      <c r="M97" s="658"/>
      <c r="N97" s="299"/>
      <c r="O97" s="2221" t="s">
        <v>355</v>
      </c>
      <c r="P97" s="2221"/>
      <c r="Q97" s="12"/>
      <c r="R97" s="462">
        <f>SUM(G97:N97)</f>
        <v>0</v>
      </c>
      <c r="S97" s="462">
        <f>SUMIF($G$42:N$42,K$134,$G97:N97)</f>
        <v>0</v>
      </c>
      <c r="T97" s="1110" t="e">
        <f>S97/R97*100</f>
        <v>#DIV/0!</v>
      </c>
      <c r="U97" s="2"/>
      <c r="V97" s="591"/>
      <c r="W97" s="591"/>
      <c r="X97" s="591"/>
      <c r="Y97" s="591"/>
      <c r="Z97" s="591"/>
      <c r="AA97" s="591"/>
      <c r="AB97" s="591"/>
      <c r="AC97" s="591"/>
      <c r="AG97" s="591"/>
      <c r="AH97" s="591"/>
      <c r="AI97" s="591"/>
      <c r="AJ97" s="591"/>
      <c r="AK97" s="591"/>
      <c r="AM97" s="591"/>
      <c r="AN97" s="591"/>
      <c r="AO97" s="591"/>
      <c r="AP97" s="591"/>
      <c r="AQ97" s="591"/>
      <c r="AS97" s="591"/>
      <c r="AT97" s="591"/>
      <c r="AU97" s="591"/>
      <c r="AV97" s="591"/>
      <c r="AW97" s="591"/>
      <c r="AY97" s="591"/>
    </row>
    <row r="98" spans="1:51" ht="18.75" customHeight="1" x14ac:dyDescent="0.2">
      <c r="A98" s="2"/>
      <c r="B98" s="7"/>
      <c r="C98" s="2108" t="s">
        <v>490</v>
      </c>
      <c r="D98" s="2108"/>
      <c r="E98" s="2108"/>
      <c r="F98" s="2108"/>
      <c r="G98" s="300"/>
      <c r="H98" s="660"/>
      <c r="I98" s="659"/>
      <c r="J98" s="659"/>
      <c r="K98" s="660"/>
      <c r="L98" s="659"/>
      <c r="M98" s="659"/>
      <c r="N98" s="660"/>
      <c r="O98" s="2018" t="s">
        <v>349</v>
      </c>
      <c r="P98" s="2018"/>
      <c r="Q98" s="13"/>
      <c r="R98" s="462">
        <f>SUM(G98:N98)</f>
        <v>0</v>
      </c>
      <c r="S98" s="2"/>
      <c r="T98" s="2"/>
      <c r="U98" s="2"/>
      <c r="V98" s="591"/>
      <c r="W98" s="591"/>
      <c r="X98" s="591"/>
      <c r="Y98" s="591"/>
      <c r="Z98" s="591"/>
      <c r="AA98" s="591"/>
      <c r="AB98" s="591"/>
      <c r="AC98" s="591"/>
      <c r="AG98" s="591"/>
      <c r="AH98" s="591"/>
      <c r="AI98" s="591"/>
      <c r="AJ98" s="591"/>
      <c r="AK98" s="591"/>
      <c r="AM98" s="591"/>
      <c r="AN98" s="591"/>
      <c r="AO98" s="591"/>
      <c r="AP98" s="591"/>
      <c r="AQ98" s="591"/>
      <c r="AS98" s="591"/>
      <c r="AT98" s="591"/>
      <c r="AU98" s="591"/>
      <c r="AV98" s="591"/>
      <c r="AW98" s="591"/>
      <c r="AY98" s="591"/>
    </row>
    <row r="99" spans="1:51" ht="15" customHeight="1" x14ac:dyDescent="0.2">
      <c r="A99" s="2"/>
      <c r="B99" s="2"/>
      <c r="C99" s="10"/>
      <c r="D99" s="10"/>
      <c r="E99" s="10"/>
      <c r="F99" s="10"/>
      <c r="G99" s="91" t="str">
        <f>IF(AND(SUM(G97:G98)&lt;&gt;0,G152=0),$L$152,IF(G152=0,"",IF(G97=0,IMPOSTAZIONI!$J$383,IF((G97+G98)&lt;&gt;G96,IMPOSTAZIONI!$M$383,IMPOSTAZIONI!$H$383))))</f>
        <v/>
      </c>
      <c r="H99" s="91" t="str">
        <f>IF(AND(SUM(H97:H98)&lt;&gt;0,H152=0),$L$152,IF(H152=0,"",IF(H97=0,IMPOSTAZIONI!$J$383,IF((H97+H98)&lt;&gt;H96,IMPOSTAZIONI!$M$383,IMPOSTAZIONI!$H$383))))</f>
        <v/>
      </c>
      <c r="I99" s="91"/>
      <c r="J99" s="91"/>
      <c r="K99" s="91" t="str">
        <f>IF(AND(SUM(K97:K98)&lt;&gt;0,I152=0),$L$152,IF(I152=0,"",IF(K97=0,IMPOSTAZIONI!$J$383,IF((K97+K98)&lt;&gt;K96,IMPOSTAZIONI!$M$383,IMPOSTAZIONI!$H$383))))</f>
        <v/>
      </c>
      <c r="L99" s="91"/>
      <c r="M99" s="91"/>
      <c r="N99" s="91" t="str">
        <f>IF(AND(SUM(N97:N98)&lt;&gt;0,J152=0),$L$152,IF(J152=0,"",IF(N97=0,IMPOSTAZIONI!$J$383,IF((N97+N98)&lt;&gt;N96,IMPOSTAZIONI!$M$383,IMPOSTAZIONI!$H$383))))</f>
        <v/>
      </c>
      <c r="O99" s="10"/>
      <c r="P99" s="10"/>
      <c r="Q99" s="2"/>
      <c r="R99" s="2"/>
      <c r="S99" s="2"/>
      <c r="T99" s="2"/>
      <c r="U99" s="2"/>
      <c r="V99" s="591"/>
      <c r="W99" s="591"/>
      <c r="X99" s="591"/>
      <c r="Y99" s="591"/>
      <c r="Z99" s="591"/>
      <c r="AA99" s="591"/>
      <c r="AB99" s="591"/>
      <c r="AC99" s="591"/>
      <c r="AG99" s="591"/>
      <c r="AH99" s="591"/>
      <c r="AI99" s="591"/>
      <c r="AJ99" s="591"/>
      <c r="AK99" s="591"/>
      <c r="AM99" s="591"/>
      <c r="AN99" s="591"/>
      <c r="AO99" s="591"/>
      <c r="AP99" s="591"/>
      <c r="AQ99" s="591"/>
      <c r="AS99" s="591"/>
      <c r="AT99" s="591"/>
      <c r="AU99" s="591"/>
      <c r="AV99" s="591"/>
      <c r="AW99" s="591"/>
      <c r="AY99" s="591"/>
    </row>
    <row r="100" spans="1:51" ht="21" customHeight="1" x14ac:dyDescent="0.2">
      <c r="A100" s="2"/>
      <c r="B100" s="2"/>
      <c r="C100" s="2116" t="s">
        <v>354</v>
      </c>
      <c r="D100" s="2116"/>
      <c r="E100" s="2116"/>
      <c r="F100" s="2116"/>
      <c r="G100" s="2"/>
      <c r="H100" s="2"/>
      <c r="I100" s="2"/>
      <c r="J100" s="2"/>
      <c r="K100" s="2"/>
      <c r="L100" s="2"/>
      <c r="M100" s="2"/>
      <c r="N100" s="2"/>
      <c r="O100" s="2"/>
      <c r="P100" s="2"/>
      <c r="Q100" s="2"/>
      <c r="R100" s="2"/>
      <c r="S100" s="2"/>
      <c r="T100" s="128" t="s">
        <v>783</v>
      </c>
      <c r="U100" s="2"/>
      <c r="V100" s="591"/>
      <c r="W100" s="591"/>
      <c r="X100" s="591"/>
      <c r="Y100" s="591"/>
      <c r="Z100" s="591"/>
      <c r="AA100" s="591"/>
      <c r="AB100" s="591"/>
      <c r="AC100" s="591"/>
      <c r="AG100" s="591"/>
      <c r="AH100" s="591"/>
      <c r="AI100" s="591"/>
      <c r="AJ100" s="591"/>
      <c r="AK100" s="591"/>
      <c r="AM100" s="591"/>
      <c r="AN100" s="591"/>
      <c r="AO100" s="591"/>
      <c r="AP100" s="591"/>
      <c r="AQ100" s="591"/>
      <c r="AS100" s="591"/>
      <c r="AT100" s="591"/>
      <c r="AU100" s="591"/>
      <c r="AV100" s="591"/>
      <c r="AW100" s="591"/>
      <c r="AY100" s="591"/>
    </row>
    <row r="101" spans="1:51" ht="16.5" customHeight="1" x14ac:dyDescent="0.2">
      <c r="A101" s="2"/>
      <c r="B101" s="18" t="e">
        <f>VERIFICA!#REF!</f>
        <v>#REF!</v>
      </c>
      <c r="C101" s="2106" t="str">
        <f>IF(AND(RIEPILOGO!B8="",SUM(G101:N101)&gt;0),"ERROR",RIEPILOGO!B8)</f>
        <v>Aliquota 22 %</v>
      </c>
      <c r="D101" s="2106"/>
      <c r="E101" s="2106"/>
      <c r="F101" s="2106"/>
      <c r="G101" s="236"/>
      <c r="H101" s="236"/>
      <c r="I101" s="658"/>
      <c r="J101" s="658"/>
      <c r="K101" s="236"/>
      <c r="L101" s="658"/>
      <c r="M101" s="658"/>
      <c r="N101" s="236"/>
      <c r="O101" s="2218" t="s">
        <v>349</v>
      </c>
      <c r="P101" s="2218"/>
      <c r="Q101" s="12"/>
      <c r="R101" s="93">
        <f>SUM(G101:N101)</f>
        <v>0</v>
      </c>
      <c r="S101" s="93">
        <f>SUMIF($G$42:N$42,K$134,$G101:N101)</f>
        <v>0</v>
      </c>
      <c r="T101" s="1110" t="e">
        <f>S101/R101*100</f>
        <v>#DIV/0!</v>
      </c>
      <c r="U101" s="2"/>
      <c r="V101" s="591"/>
      <c r="W101" s="591"/>
      <c r="X101" s="591"/>
      <c r="Y101" s="591"/>
      <c r="Z101" s="591"/>
      <c r="AA101" s="591"/>
      <c r="AB101" s="591"/>
      <c r="AC101" s="591"/>
      <c r="AG101" s="591"/>
      <c r="AH101" s="591"/>
      <c r="AI101" s="591"/>
      <c r="AJ101" s="591"/>
      <c r="AK101" s="591"/>
      <c r="AM101" s="591"/>
      <c r="AN101" s="591"/>
      <c r="AO101" s="591"/>
      <c r="AP101" s="591"/>
      <c r="AQ101" s="591"/>
      <c r="AS101" s="591"/>
      <c r="AT101" s="591"/>
      <c r="AU101" s="591"/>
      <c r="AV101" s="591"/>
      <c r="AW101" s="591"/>
      <c r="AY101" s="591"/>
    </row>
    <row r="102" spans="1:51" ht="16.5" customHeight="1" x14ac:dyDescent="0.2">
      <c r="A102" s="2"/>
      <c r="B102" s="18" t="e">
        <f>VERIFICA!#REF!</f>
        <v>#REF!</v>
      </c>
      <c r="C102" s="2106" t="str">
        <f>IF(AND(RIEPILOGO!B9="",SUM(G102:N102)&gt;0),"ERROR",RIEPILOGO!B9)</f>
        <v>Aliquota 10 %</v>
      </c>
      <c r="D102" s="2106"/>
      <c r="E102" s="2106"/>
      <c r="F102" s="2106"/>
      <c r="G102" s="237"/>
      <c r="H102" s="237"/>
      <c r="I102" s="658"/>
      <c r="J102" s="658"/>
      <c r="K102" s="237"/>
      <c r="L102" s="658"/>
      <c r="M102" s="658"/>
      <c r="N102" s="237"/>
      <c r="O102" s="2218" t="s">
        <v>349</v>
      </c>
      <c r="P102" s="2218"/>
      <c r="Q102" s="12"/>
      <c r="R102" s="94">
        <f>SUM(G102:N102)</f>
        <v>0</v>
      </c>
      <c r="S102" s="94">
        <f>SUMIF($G$42:N$42,K$134,$G102:N102)</f>
        <v>0</v>
      </c>
      <c r="T102" s="1110" t="e">
        <f>S102/R102*100</f>
        <v>#DIV/0!</v>
      </c>
      <c r="U102" s="2"/>
      <c r="V102" s="591"/>
      <c r="W102" s="591"/>
      <c r="X102" s="591"/>
      <c r="Y102" s="591"/>
      <c r="Z102" s="591"/>
      <c r="AA102" s="591"/>
      <c r="AB102" s="591"/>
      <c r="AC102" s="591"/>
      <c r="AG102" s="591"/>
      <c r="AH102" s="591"/>
      <c r="AI102" s="591"/>
      <c r="AJ102" s="591"/>
      <c r="AK102" s="591"/>
      <c r="AM102" s="591"/>
      <c r="AN102" s="591"/>
      <c r="AO102" s="591"/>
      <c r="AP102" s="591"/>
      <c r="AQ102" s="591"/>
      <c r="AS102" s="591"/>
      <c r="AT102" s="591"/>
      <c r="AU102" s="591"/>
      <c r="AV102" s="591"/>
      <c r="AW102" s="591"/>
      <c r="AY102" s="591"/>
    </row>
    <row r="103" spans="1:51" ht="16.5" customHeight="1" x14ac:dyDescent="0.2">
      <c r="A103" s="2"/>
      <c r="B103" s="18" t="e">
        <f>VERIFICA!#REF!</f>
        <v>#REF!</v>
      </c>
      <c r="C103" s="2106" t="str">
        <f>IF(AND(RIEPILOGO!B10="",SUM(G103:N103)&gt;0),"ERROR",RIEPILOGO!B10)</f>
        <v>Aliquota 4 %</v>
      </c>
      <c r="D103" s="2106"/>
      <c r="E103" s="2106"/>
      <c r="F103" s="2106"/>
      <c r="G103" s="304"/>
      <c r="H103" s="304"/>
      <c r="I103" s="658"/>
      <c r="J103" s="658"/>
      <c r="K103" s="304"/>
      <c r="L103" s="658"/>
      <c r="M103" s="658"/>
      <c r="N103" s="304"/>
      <c r="O103" s="2218" t="s">
        <v>349</v>
      </c>
      <c r="P103" s="2218"/>
      <c r="Q103" s="12"/>
      <c r="R103" s="94">
        <f>SUM(G103:N103)</f>
        <v>0</v>
      </c>
      <c r="S103" s="94">
        <f>SUMIF($G$42:N$42,K$134,$G103:N103)</f>
        <v>0</v>
      </c>
      <c r="T103" s="1110" t="e">
        <f>S103/R103*100</f>
        <v>#DIV/0!</v>
      </c>
      <c r="U103" s="2"/>
      <c r="V103" s="591"/>
      <c r="W103" s="591"/>
      <c r="X103" s="591"/>
      <c r="Y103" s="591"/>
      <c r="Z103" s="591"/>
      <c r="AA103" s="591"/>
      <c r="AB103" s="591"/>
      <c r="AC103" s="591"/>
      <c r="AG103" s="591"/>
      <c r="AH103" s="591"/>
      <c r="AI103" s="591"/>
      <c r="AJ103" s="591"/>
      <c r="AK103" s="591"/>
      <c r="AM103" s="591"/>
      <c r="AN103" s="591"/>
      <c r="AO103" s="591"/>
      <c r="AP103" s="591"/>
      <c r="AQ103" s="591"/>
      <c r="AS103" s="591"/>
      <c r="AT103" s="591"/>
      <c r="AU103" s="591"/>
      <c r="AV103" s="591"/>
      <c r="AW103" s="591"/>
      <c r="AY103" s="591"/>
    </row>
    <row r="104" spans="1:51" ht="16.5" customHeight="1" x14ac:dyDescent="0.2">
      <c r="A104" s="2"/>
      <c r="B104" s="18" t="e">
        <f>VERIFICA!#REF!</f>
        <v>#REF!</v>
      </c>
      <c r="C104" s="2106" t="str">
        <f>IF(AND(RIEPILOGO!B11="",SUM(G104:N104)&gt;0),"ERROR",RIEPILOGO!B11)</f>
        <v/>
      </c>
      <c r="D104" s="2106"/>
      <c r="E104" s="2106"/>
      <c r="F104" s="2106"/>
      <c r="G104" s="304"/>
      <c r="H104" s="660"/>
      <c r="I104" s="659"/>
      <c r="J104" s="659"/>
      <c r="K104" s="660"/>
      <c r="L104" s="659"/>
      <c r="M104" s="659"/>
      <c r="N104" s="660"/>
      <c r="O104" s="2217" t="s">
        <v>349</v>
      </c>
      <c r="P104" s="2217"/>
      <c r="Q104" s="12"/>
      <c r="R104" s="95">
        <f>SUM(G104:N104)</f>
        <v>0</v>
      </c>
      <c r="S104" s="95">
        <f>SUMIF($G$42:N$42,K$134,$G104:N104)</f>
        <v>0</v>
      </c>
      <c r="T104" s="1110" t="e">
        <f>S104/R104*100</f>
        <v>#DIV/0!</v>
      </c>
      <c r="U104" s="2"/>
      <c r="V104" s="591"/>
      <c r="W104" s="591"/>
      <c r="X104" s="591"/>
      <c r="Y104" s="591"/>
      <c r="Z104" s="591"/>
      <c r="AA104" s="591"/>
      <c r="AB104" s="591"/>
      <c r="AC104" s="591"/>
      <c r="AG104" s="591"/>
      <c r="AH104" s="591"/>
      <c r="AI104" s="591"/>
      <c r="AJ104" s="591"/>
      <c r="AK104" s="591"/>
      <c r="AM104" s="591"/>
      <c r="AN104" s="591"/>
      <c r="AO104" s="591"/>
      <c r="AP104" s="591"/>
      <c r="AQ104" s="591"/>
      <c r="AS104" s="591"/>
      <c r="AT104" s="591"/>
      <c r="AU104" s="591"/>
      <c r="AV104" s="591"/>
      <c r="AW104" s="591"/>
      <c r="AY104" s="591"/>
    </row>
    <row r="105" spans="1:51" ht="15" customHeight="1" x14ac:dyDescent="0.2">
      <c r="A105" s="2"/>
      <c r="B105" s="2"/>
      <c r="C105" s="10"/>
      <c r="D105" s="10"/>
      <c r="E105" s="10"/>
      <c r="F105" s="10"/>
      <c r="G105" s="91" t="str">
        <f>IF(AND(SUM(G101:G104)&lt;&gt;0,G152=0),$L$152,IF(G152=0,"",IF(SUM(G101:G104)&lt;&gt;G98,IMPOSTAZIONI!$J$383,IF(SUM(G101:G104)&lt;&gt;G98,IMPOSTAZIONI!$M$383,IMPOSTAZIONI!$H$383))))</f>
        <v/>
      </c>
      <c r="H105" s="91" t="str">
        <f>IF(AND(SUM(H101:H104)&lt;&gt;0,H152=0),$L$152,IF(H152=0,"",IF(SUM(H101:H104)&lt;&gt;H98,IMPOSTAZIONI!$J$383,IF(SUM(H101:H104)&lt;&gt;H98,IMPOSTAZIONI!$M$383,IMPOSTAZIONI!$H$383))))</f>
        <v/>
      </c>
      <c r="I105" s="91"/>
      <c r="J105" s="91"/>
      <c r="K105" s="91" t="str">
        <f>IF(AND(SUM(K101:K104)&lt;&gt;0,I152=0),$L$152,IF(I152=0,"",IF(SUM(K101:K104)&lt;&gt;K98,IMPOSTAZIONI!$J$383,IF(SUM(K101:K104)&lt;&gt;K98,IMPOSTAZIONI!$M$383,IMPOSTAZIONI!$H$383))))</f>
        <v/>
      </c>
      <c r="L105" s="91"/>
      <c r="M105" s="91"/>
      <c r="N105" s="91" t="str">
        <f>IF(AND(SUM(N101:N104)&lt;&gt;0,J152=0),$L$152,IF(J152=0,"",IF(SUM(N101:N104)&lt;&gt;N98,IMPOSTAZIONI!$J$383,IF(SUM(N101:N104)&lt;&gt;N98,IMPOSTAZIONI!$M$383,IMPOSTAZIONI!$H$383))))</f>
        <v/>
      </c>
      <c r="O105" s="10"/>
      <c r="P105" s="10"/>
      <c r="Q105" s="2"/>
      <c r="R105" s="2"/>
      <c r="S105" s="2"/>
      <c r="T105" s="2"/>
      <c r="U105" s="2"/>
      <c r="V105" s="591"/>
      <c r="W105" s="591"/>
      <c r="X105" s="591"/>
      <c r="Y105" s="591"/>
      <c r="Z105" s="591"/>
      <c r="AA105" s="591"/>
      <c r="AB105" s="591"/>
      <c r="AC105" s="591"/>
      <c r="AG105" s="591"/>
      <c r="AH105" s="591"/>
      <c r="AI105" s="591"/>
      <c r="AJ105" s="591"/>
      <c r="AK105" s="591"/>
      <c r="AM105" s="591"/>
      <c r="AN105" s="591"/>
      <c r="AO105" s="591"/>
      <c r="AP105" s="591"/>
      <c r="AQ105" s="591"/>
      <c r="AS105" s="591"/>
      <c r="AT105" s="591"/>
      <c r="AU105" s="591"/>
      <c r="AV105" s="591"/>
      <c r="AW105" s="591"/>
      <c r="AY105" s="591"/>
    </row>
    <row r="106" spans="1:51" ht="21" customHeight="1" x14ac:dyDescent="0.2">
      <c r="A106" s="2"/>
      <c r="B106" s="2"/>
      <c r="C106" s="14"/>
      <c r="D106" s="14"/>
      <c r="E106" s="14"/>
      <c r="F106" s="14"/>
      <c r="G106" s="14"/>
      <c r="H106" s="14"/>
      <c r="I106" s="14"/>
      <c r="J106" s="14"/>
      <c r="K106" s="14"/>
      <c r="L106" s="14"/>
      <c r="M106" s="14"/>
      <c r="N106" s="14"/>
      <c r="O106" s="14"/>
      <c r="P106" s="14"/>
      <c r="Q106" s="2"/>
      <c r="R106" s="2"/>
      <c r="S106" s="2"/>
      <c r="T106" s="2"/>
      <c r="U106" s="2"/>
      <c r="V106" s="591"/>
      <c r="W106" s="591"/>
      <c r="X106" s="591"/>
      <c r="Y106" s="591"/>
      <c r="Z106" s="591"/>
      <c r="AA106" s="591"/>
      <c r="AB106" s="591"/>
      <c r="AC106" s="591"/>
      <c r="AG106" s="591"/>
      <c r="AH106" s="591"/>
      <c r="AI106" s="591"/>
      <c r="AJ106" s="591"/>
      <c r="AK106" s="591"/>
      <c r="AM106" s="591"/>
      <c r="AN106" s="591"/>
      <c r="AO106" s="591"/>
      <c r="AP106" s="591"/>
      <c r="AQ106" s="591"/>
      <c r="AS106" s="591"/>
      <c r="AT106" s="591"/>
      <c r="AU106" s="591"/>
      <c r="AV106" s="591"/>
      <c r="AW106" s="591"/>
      <c r="AY106" s="591"/>
    </row>
    <row r="107" spans="1:51" ht="21" customHeight="1" x14ac:dyDescent="0.2">
      <c r="A107" s="2"/>
      <c r="B107" s="2"/>
      <c r="C107" s="14"/>
      <c r="D107" s="14"/>
      <c r="E107" s="14"/>
      <c r="F107" s="859"/>
      <c r="G107" s="14"/>
      <c r="H107" s="14"/>
      <c r="I107" s="670"/>
      <c r="J107" s="670"/>
      <c r="K107" s="670"/>
      <c r="L107" s="14"/>
      <c r="M107" s="14"/>
      <c r="N107" s="14"/>
      <c r="O107" s="14"/>
      <c r="P107" s="14"/>
      <c r="Q107" s="2"/>
      <c r="R107" s="2"/>
      <c r="S107" s="2"/>
      <c r="T107" s="2"/>
      <c r="U107" s="2"/>
      <c r="V107" s="591"/>
      <c r="W107" s="591"/>
      <c r="X107" s="591"/>
      <c r="Y107" s="591"/>
      <c r="Z107" s="591"/>
      <c r="AA107" s="591"/>
      <c r="AB107" s="591"/>
      <c r="AC107" s="591"/>
      <c r="AG107" s="591"/>
      <c r="AH107" s="591"/>
      <c r="AI107" s="591"/>
      <c r="AJ107" s="591"/>
      <c r="AK107" s="591"/>
      <c r="AM107" s="591"/>
      <c r="AN107" s="591"/>
      <c r="AO107" s="591"/>
      <c r="AP107" s="591"/>
      <c r="AQ107" s="591"/>
      <c r="AS107" s="591"/>
      <c r="AT107" s="591"/>
      <c r="AU107" s="591"/>
      <c r="AV107" s="591"/>
      <c r="AW107" s="591"/>
      <c r="AY107" s="591"/>
    </row>
    <row r="108" spans="1:51" ht="18.75" customHeight="1" x14ac:dyDescent="0.2">
      <c r="A108" s="2"/>
      <c r="B108" s="2"/>
      <c r="C108" s="14"/>
      <c r="D108" s="14"/>
      <c r="E108" s="14"/>
      <c r="F108" s="2117"/>
      <c r="G108" s="2117"/>
      <c r="H108" s="2117"/>
      <c r="I108" s="2117"/>
      <c r="J108" s="14"/>
      <c r="K108" s="860"/>
      <c r="L108" s="2209"/>
      <c r="M108" s="2209"/>
      <c r="N108" s="861"/>
      <c r="O108" s="14"/>
      <c r="P108" s="14"/>
      <c r="Q108" s="2"/>
      <c r="R108" s="2"/>
      <c r="S108" s="2"/>
      <c r="T108" s="2"/>
      <c r="U108" s="2"/>
      <c r="V108" s="591"/>
      <c r="W108" s="591"/>
      <c r="X108" s="591"/>
      <c r="Y108" s="591"/>
      <c r="Z108" s="591"/>
      <c r="AA108" s="591"/>
      <c r="AB108" s="591"/>
      <c r="AC108" s="591"/>
      <c r="AG108" s="591"/>
      <c r="AH108" s="591"/>
      <c r="AI108" s="591"/>
      <c r="AJ108" s="591"/>
      <c r="AK108" s="591"/>
      <c r="AM108" s="591"/>
      <c r="AN108" s="591"/>
      <c r="AO108" s="591"/>
      <c r="AP108" s="591"/>
      <c r="AQ108" s="591"/>
      <c r="AS108" s="591"/>
      <c r="AT108" s="591"/>
      <c r="AU108" s="591"/>
      <c r="AV108" s="591"/>
      <c r="AW108" s="591"/>
      <c r="AY108" s="591"/>
    </row>
    <row r="109" spans="1:51" ht="18.75" customHeight="1" x14ac:dyDescent="0.2">
      <c r="A109" s="2"/>
      <c r="B109" s="2"/>
      <c r="C109" s="14"/>
      <c r="D109" s="14"/>
      <c r="E109" s="14"/>
      <c r="F109" s="2118"/>
      <c r="G109" s="2118"/>
      <c r="H109" s="2118"/>
      <c r="I109" s="2118"/>
      <c r="J109" s="14"/>
      <c r="K109" s="862"/>
      <c r="L109" s="2209"/>
      <c r="M109" s="2209"/>
      <c r="N109" s="863"/>
      <c r="O109" s="14"/>
      <c r="P109" s="14"/>
      <c r="Q109" s="2"/>
      <c r="R109" s="2"/>
      <c r="S109" s="2"/>
      <c r="T109" s="2"/>
      <c r="U109" s="2"/>
      <c r="V109" s="591"/>
      <c r="W109" s="591"/>
      <c r="X109" s="591"/>
      <c r="Y109" s="591"/>
      <c r="Z109" s="591"/>
      <c r="AA109" s="591"/>
      <c r="AB109" s="591"/>
      <c r="AC109" s="591"/>
      <c r="AG109" s="591"/>
      <c r="AH109" s="591"/>
      <c r="AI109" s="591"/>
      <c r="AJ109" s="591"/>
      <c r="AK109" s="591"/>
      <c r="AM109" s="591"/>
      <c r="AN109" s="591"/>
      <c r="AO109" s="591"/>
      <c r="AP109" s="591"/>
      <c r="AQ109" s="591"/>
      <c r="AS109" s="591"/>
      <c r="AT109" s="591"/>
      <c r="AU109" s="591"/>
      <c r="AV109" s="591"/>
      <c r="AW109" s="591"/>
      <c r="AY109" s="591"/>
    </row>
    <row r="110" spans="1:51" ht="19.5" customHeight="1" x14ac:dyDescent="0.25">
      <c r="A110" s="2"/>
      <c r="B110" s="2"/>
      <c r="C110" s="14"/>
      <c r="D110" s="14"/>
      <c r="E110" s="14"/>
      <c r="F110" s="668"/>
      <c r="G110" s="668"/>
      <c r="H110" s="668"/>
      <c r="I110" s="668"/>
      <c r="J110" s="14"/>
      <c r="K110" s="668"/>
      <c r="L110" s="668"/>
      <c r="M110" s="668"/>
      <c r="N110" s="14"/>
      <c r="O110" s="14"/>
      <c r="P110" s="14"/>
      <c r="Q110" s="2"/>
      <c r="R110" s="2"/>
      <c r="S110" s="2"/>
      <c r="T110" s="2"/>
      <c r="U110" s="2"/>
      <c r="V110" s="591"/>
      <c r="W110" s="591"/>
      <c r="X110" s="591"/>
      <c r="Y110" s="591"/>
      <c r="Z110" s="591"/>
      <c r="AA110" s="591"/>
      <c r="AB110" s="591"/>
      <c r="AC110" s="591"/>
      <c r="AG110" s="591"/>
      <c r="AH110" s="591"/>
      <c r="AI110" s="591"/>
      <c r="AJ110" s="591"/>
      <c r="AK110" s="591"/>
      <c r="AM110" s="591"/>
      <c r="AN110" s="591"/>
      <c r="AO110" s="591"/>
      <c r="AP110" s="591"/>
      <c r="AQ110" s="591"/>
      <c r="AS110" s="591"/>
      <c r="AT110" s="591"/>
      <c r="AU110" s="591"/>
      <c r="AV110" s="591"/>
      <c r="AW110" s="591"/>
      <c r="AY110" s="591"/>
    </row>
    <row r="111" spans="1:51" ht="19.5" customHeight="1" x14ac:dyDescent="0.2">
      <c r="A111" s="2"/>
      <c r="B111" s="2"/>
      <c r="C111" s="14"/>
      <c r="D111" s="14"/>
      <c r="E111" s="14"/>
      <c r="F111" s="669"/>
      <c r="G111" s="669"/>
      <c r="H111" s="669"/>
      <c r="I111" s="669"/>
      <c r="J111" s="14"/>
      <c r="K111" s="669"/>
      <c r="L111" s="669"/>
      <c r="M111" s="669"/>
      <c r="N111" s="14"/>
      <c r="O111" s="14"/>
      <c r="P111" s="14"/>
      <c r="Q111" s="2"/>
      <c r="R111" s="2"/>
      <c r="S111" s="2"/>
      <c r="T111" s="2"/>
      <c r="U111" s="2"/>
      <c r="V111" s="591"/>
      <c r="W111" s="591"/>
      <c r="X111" s="591"/>
      <c r="Y111" s="591"/>
      <c r="Z111" s="591"/>
      <c r="AA111" s="591"/>
      <c r="AB111" s="591"/>
      <c r="AC111" s="591"/>
      <c r="AG111" s="591"/>
      <c r="AH111" s="591"/>
      <c r="AI111" s="591"/>
      <c r="AJ111" s="591"/>
      <c r="AK111" s="591"/>
      <c r="AM111" s="591"/>
      <c r="AN111" s="591"/>
      <c r="AO111" s="591"/>
      <c r="AP111" s="591"/>
      <c r="AQ111" s="591"/>
      <c r="AS111" s="591"/>
      <c r="AT111" s="591"/>
      <c r="AU111" s="591"/>
      <c r="AV111" s="591"/>
      <c r="AW111" s="591"/>
      <c r="AY111" s="591"/>
    </row>
    <row r="112" spans="1:51" ht="21" customHeight="1" x14ac:dyDescent="0.2">
      <c r="A112" s="2"/>
      <c r="B112" s="2"/>
      <c r="C112" s="14"/>
      <c r="D112" s="14"/>
      <c r="E112" s="14"/>
      <c r="F112" s="670"/>
      <c r="G112" s="670"/>
      <c r="H112" s="670"/>
      <c r="I112" s="670"/>
      <c r="J112" s="14"/>
      <c r="K112" s="670"/>
      <c r="L112" s="670"/>
      <c r="M112" s="670"/>
      <c r="N112" s="14"/>
      <c r="O112" s="14"/>
      <c r="P112" s="14"/>
      <c r="Q112" s="2"/>
      <c r="R112" s="2"/>
      <c r="S112" s="2"/>
      <c r="T112" s="2"/>
      <c r="U112" s="2"/>
      <c r="V112" s="591"/>
      <c r="W112" s="591"/>
      <c r="X112" s="591"/>
      <c r="Y112" s="591"/>
      <c r="Z112" s="591"/>
      <c r="AA112" s="591"/>
      <c r="AB112" s="591"/>
      <c r="AC112" s="591"/>
      <c r="AG112" s="591"/>
      <c r="AH112" s="591"/>
      <c r="AI112" s="591"/>
      <c r="AJ112" s="591"/>
      <c r="AK112" s="591"/>
      <c r="AM112" s="591"/>
      <c r="AN112" s="591"/>
      <c r="AO112" s="591"/>
      <c r="AP112" s="591"/>
      <c r="AQ112" s="591"/>
      <c r="AS112" s="591"/>
      <c r="AT112" s="591"/>
      <c r="AU112" s="591"/>
      <c r="AV112" s="591"/>
      <c r="AW112" s="591"/>
      <c r="AY112" s="591"/>
    </row>
    <row r="113" spans="1:51" ht="12" customHeight="1" x14ac:dyDescent="0.2">
      <c r="A113" s="2"/>
      <c r="B113" s="2"/>
      <c r="C113" s="14"/>
      <c r="D113" s="14"/>
      <c r="E113" s="14"/>
      <c r="F113" s="14"/>
      <c r="G113" s="14"/>
      <c r="H113" s="14"/>
      <c r="I113" s="14"/>
      <c r="J113" s="14"/>
      <c r="K113" s="14"/>
      <c r="L113" s="14"/>
      <c r="M113" s="14"/>
      <c r="N113" s="14"/>
      <c r="O113" s="14"/>
      <c r="P113" s="14"/>
      <c r="Q113" s="2"/>
      <c r="R113" s="2"/>
      <c r="S113" s="2"/>
      <c r="T113" s="2"/>
      <c r="U113" s="2"/>
      <c r="V113" s="591"/>
      <c r="W113" s="591"/>
      <c r="X113" s="591"/>
      <c r="Y113" s="591"/>
      <c r="Z113" s="591"/>
      <c r="AA113" s="591"/>
      <c r="AB113" s="591"/>
      <c r="AC113" s="591"/>
      <c r="AG113" s="591"/>
      <c r="AH113" s="591"/>
      <c r="AI113" s="591"/>
      <c r="AJ113" s="591"/>
      <c r="AK113" s="591"/>
      <c r="AM113" s="591"/>
      <c r="AN113" s="591"/>
      <c r="AO113" s="591"/>
      <c r="AP113" s="591"/>
      <c r="AQ113" s="591"/>
      <c r="AS113" s="591"/>
      <c r="AT113" s="591"/>
      <c r="AU113" s="591"/>
      <c r="AV113" s="591"/>
      <c r="AW113" s="591"/>
      <c r="AY113" s="591"/>
    </row>
    <row r="114" spans="1:51" ht="15" hidden="1" customHeight="1" x14ac:dyDescent="0.2">
      <c r="A114" s="2"/>
      <c r="B114" s="2"/>
      <c r="C114" s="2"/>
      <c r="D114" s="2"/>
      <c r="E114" s="2"/>
      <c r="F114" s="2"/>
      <c r="G114" s="103"/>
      <c r="H114" s="103"/>
      <c r="I114" s="2219"/>
      <c r="J114" s="2219"/>
      <c r="K114" s="2"/>
      <c r="L114" s="14"/>
      <c r="M114" s="2"/>
      <c r="N114" s="2"/>
      <c r="O114" s="2"/>
      <c r="P114" s="2"/>
      <c r="Q114" s="2"/>
      <c r="R114" s="2"/>
      <c r="S114" s="2"/>
      <c r="T114" s="2"/>
      <c r="U114" s="2"/>
      <c r="V114" s="591"/>
      <c r="W114" s="591"/>
      <c r="X114" s="591"/>
      <c r="Y114" s="591"/>
      <c r="Z114" s="591"/>
      <c r="AA114" s="591"/>
      <c r="AB114" s="591"/>
      <c r="AC114" s="591"/>
      <c r="AG114" s="591"/>
      <c r="AH114" s="591"/>
      <c r="AI114" s="591"/>
      <c r="AJ114" s="591"/>
      <c r="AK114" s="591"/>
      <c r="AM114" s="591"/>
      <c r="AN114" s="591"/>
      <c r="AO114" s="591"/>
      <c r="AP114" s="591"/>
      <c r="AQ114" s="591"/>
      <c r="AS114" s="591"/>
      <c r="AT114" s="591"/>
      <c r="AU114" s="591"/>
      <c r="AV114" s="591"/>
      <c r="AW114" s="591"/>
      <c r="AY114" s="591"/>
    </row>
    <row r="115" spans="1:51" ht="21" hidden="1" customHeight="1" x14ac:dyDescent="0.2">
      <c r="A115" s="2"/>
      <c r="B115" s="2"/>
      <c r="C115" s="2"/>
      <c r="D115" s="2"/>
      <c r="E115" s="2"/>
      <c r="F115" s="2"/>
      <c r="G115" s="129"/>
      <c r="H115" s="129"/>
      <c r="I115" s="2219"/>
      <c r="J115" s="2219"/>
      <c r="K115" s="2"/>
      <c r="L115" s="14"/>
      <c r="M115" s="2"/>
      <c r="N115" s="2"/>
      <c r="O115" s="2"/>
      <c r="P115" s="2"/>
      <c r="Q115" s="2"/>
      <c r="R115" s="2"/>
      <c r="S115" s="2"/>
      <c r="T115" s="2"/>
      <c r="U115" s="2"/>
      <c r="V115" s="591"/>
      <c r="W115" s="591"/>
      <c r="X115" s="591"/>
      <c r="Y115" s="591"/>
      <c r="Z115" s="591"/>
      <c r="AA115" s="591"/>
      <c r="AB115" s="591"/>
      <c r="AC115" s="591"/>
      <c r="AG115" s="591"/>
      <c r="AH115" s="591"/>
      <c r="AI115" s="591"/>
      <c r="AJ115" s="591"/>
      <c r="AK115" s="591"/>
      <c r="AM115" s="591"/>
      <c r="AN115" s="591"/>
      <c r="AO115" s="591"/>
      <c r="AP115" s="591"/>
      <c r="AQ115" s="591"/>
      <c r="AS115" s="591"/>
      <c r="AT115" s="591"/>
      <c r="AU115" s="591"/>
      <c r="AV115" s="591"/>
      <c r="AW115" s="591"/>
      <c r="AY115" s="591"/>
    </row>
    <row r="116" spans="1:51" ht="18" customHeight="1" x14ac:dyDescent="0.2">
      <c r="A116" s="2"/>
      <c r="B116" s="2"/>
      <c r="C116" s="14"/>
      <c r="D116" s="14"/>
      <c r="E116" s="14"/>
      <c r="F116" s="14"/>
      <c r="G116" s="856"/>
      <c r="H116" s="856"/>
      <c r="I116" s="2220"/>
      <c r="J116" s="2220"/>
      <c r="K116" s="14"/>
      <c r="L116" s="14"/>
      <c r="M116" s="14"/>
      <c r="N116" s="14"/>
      <c r="O116" s="14"/>
      <c r="P116" s="14"/>
      <c r="Q116" s="2"/>
      <c r="R116" s="2"/>
      <c r="S116" s="2"/>
      <c r="T116" s="2"/>
      <c r="U116" s="2"/>
      <c r="V116" s="591"/>
      <c r="W116" s="591"/>
      <c r="X116" s="591"/>
      <c r="Y116" s="591"/>
      <c r="Z116" s="591"/>
      <c r="AA116" s="591"/>
      <c r="AB116" s="591"/>
      <c r="AC116" s="591"/>
      <c r="AG116" s="591"/>
      <c r="AH116" s="591"/>
      <c r="AI116" s="591"/>
      <c r="AJ116" s="591"/>
      <c r="AK116" s="591"/>
      <c r="AM116" s="591"/>
      <c r="AN116" s="591"/>
      <c r="AO116" s="591"/>
      <c r="AP116" s="591"/>
      <c r="AQ116" s="591"/>
      <c r="AS116" s="591"/>
      <c r="AT116" s="591"/>
      <c r="AU116" s="591"/>
      <c r="AV116" s="591"/>
      <c r="AW116" s="591"/>
      <c r="AY116" s="591"/>
    </row>
    <row r="117" spans="1:51" ht="18" customHeight="1" x14ac:dyDescent="0.2">
      <c r="A117" s="2"/>
      <c r="B117" s="2"/>
      <c r="C117" s="14"/>
      <c r="D117" s="14"/>
      <c r="E117" s="14"/>
      <c r="F117" s="14"/>
      <c r="G117" s="857"/>
      <c r="H117" s="857"/>
      <c r="I117" s="2224"/>
      <c r="J117" s="2224"/>
      <c r="K117" s="14"/>
      <c r="L117" s="14"/>
      <c r="M117" s="14"/>
      <c r="N117" s="14"/>
      <c r="O117" s="14"/>
      <c r="P117" s="14"/>
      <c r="Q117" s="2"/>
      <c r="R117" s="2"/>
      <c r="S117" s="2"/>
      <c r="T117" s="2"/>
      <c r="U117" s="2"/>
      <c r="V117" s="591"/>
      <c r="W117" s="591"/>
      <c r="X117" s="591"/>
      <c r="Y117" s="591"/>
      <c r="Z117" s="591"/>
      <c r="AA117" s="591"/>
      <c r="AB117" s="591"/>
      <c r="AC117" s="591"/>
      <c r="AG117" s="591"/>
      <c r="AH117" s="591"/>
      <c r="AI117" s="591"/>
      <c r="AJ117" s="591"/>
      <c r="AK117" s="591"/>
      <c r="AM117" s="591"/>
      <c r="AN117" s="591"/>
      <c r="AO117" s="591"/>
      <c r="AP117" s="591"/>
      <c r="AQ117" s="591"/>
      <c r="AS117" s="591"/>
      <c r="AT117" s="591"/>
      <c r="AU117" s="591"/>
      <c r="AV117" s="591"/>
      <c r="AW117" s="591"/>
      <c r="AY117" s="591"/>
    </row>
    <row r="118" spans="1:51" ht="18" customHeight="1" x14ac:dyDescent="0.2">
      <c r="A118" s="2"/>
      <c r="B118" s="2"/>
      <c r="C118" s="14"/>
      <c r="D118" s="14"/>
      <c r="E118" s="14"/>
      <c r="F118" s="14"/>
      <c r="G118" s="858"/>
      <c r="H118" s="858"/>
      <c r="I118" s="2206"/>
      <c r="J118" s="2206"/>
      <c r="K118" s="14"/>
      <c r="L118" s="14"/>
      <c r="M118" s="14"/>
      <c r="N118" s="14"/>
      <c r="O118" s="14"/>
      <c r="P118" s="14"/>
      <c r="Q118" s="2"/>
      <c r="R118" s="2"/>
      <c r="S118" s="2"/>
      <c r="T118" s="2"/>
      <c r="U118" s="2"/>
      <c r="V118" s="591"/>
      <c r="W118" s="591"/>
      <c r="X118" s="591"/>
      <c r="Y118" s="591"/>
      <c r="Z118" s="591"/>
      <c r="AA118" s="591"/>
      <c r="AB118" s="591"/>
      <c r="AC118" s="591"/>
      <c r="AG118" s="591"/>
      <c r="AH118" s="591"/>
      <c r="AI118" s="591"/>
      <c r="AJ118" s="591"/>
      <c r="AK118" s="591"/>
      <c r="AM118" s="591"/>
      <c r="AN118" s="591"/>
      <c r="AO118" s="591"/>
      <c r="AP118" s="591"/>
      <c r="AQ118" s="591"/>
      <c r="AS118" s="591"/>
      <c r="AT118" s="591"/>
      <c r="AU118" s="591"/>
      <c r="AV118" s="591"/>
      <c r="AW118" s="591"/>
      <c r="AY118" s="591"/>
    </row>
    <row r="119" spans="1:51" ht="21" hidden="1" customHeight="1" x14ac:dyDescent="0.2">
      <c r="A119" s="2"/>
      <c r="B119" s="2"/>
      <c r="C119" s="2"/>
      <c r="D119" s="2"/>
      <c r="E119" s="2"/>
      <c r="F119" s="2"/>
      <c r="G119" s="117"/>
      <c r="H119" s="117"/>
      <c r="I119" s="2207"/>
      <c r="J119" s="2207"/>
      <c r="K119" s="2"/>
      <c r="L119" s="14"/>
      <c r="M119" s="2"/>
      <c r="N119" s="2"/>
      <c r="O119" s="2"/>
      <c r="P119" s="2"/>
      <c r="Q119" s="2"/>
      <c r="R119" s="2"/>
      <c r="S119" s="2"/>
      <c r="T119" s="2"/>
      <c r="U119" s="2"/>
      <c r="V119" s="591"/>
      <c r="W119" s="591"/>
      <c r="X119" s="591"/>
      <c r="Y119" s="591"/>
      <c r="Z119" s="591"/>
      <c r="AA119" s="591"/>
      <c r="AB119" s="591"/>
      <c r="AC119" s="591"/>
      <c r="AG119" s="591"/>
      <c r="AH119" s="591"/>
      <c r="AI119" s="591"/>
      <c r="AJ119" s="591"/>
      <c r="AK119" s="591"/>
      <c r="AM119" s="591"/>
      <c r="AN119" s="591"/>
      <c r="AO119" s="591"/>
      <c r="AP119" s="591"/>
      <c r="AQ119" s="591"/>
      <c r="AS119" s="591"/>
      <c r="AT119" s="591"/>
      <c r="AU119" s="591"/>
      <c r="AV119" s="591"/>
      <c r="AW119" s="591"/>
      <c r="AY119" s="591"/>
    </row>
    <row r="120" spans="1:51" ht="4.5" customHeight="1" x14ac:dyDescent="0.2">
      <c r="A120" s="2"/>
      <c r="B120" s="2"/>
      <c r="C120" s="2"/>
      <c r="D120" s="2"/>
      <c r="E120" s="2"/>
      <c r="F120" s="2"/>
      <c r="G120" s="14"/>
      <c r="H120" s="14"/>
      <c r="I120" s="2202"/>
      <c r="J120" s="2202"/>
      <c r="K120" s="2"/>
      <c r="L120" s="14"/>
      <c r="M120" s="2"/>
      <c r="N120" s="2"/>
      <c r="O120" s="2"/>
      <c r="P120" s="2"/>
      <c r="Q120" s="2"/>
      <c r="R120" s="2"/>
      <c r="S120" s="2"/>
      <c r="T120" s="2"/>
      <c r="U120" s="2"/>
      <c r="V120" s="591"/>
      <c r="W120" s="591"/>
      <c r="X120" s="591"/>
      <c r="Y120" s="591"/>
      <c r="Z120" s="591"/>
      <c r="AA120" s="591"/>
      <c r="AB120" s="591"/>
      <c r="AC120" s="591"/>
      <c r="AG120" s="591"/>
      <c r="AH120" s="591"/>
      <c r="AI120" s="591"/>
      <c r="AJ120" s="591"/>
      <c r="AK120" s="591"/>
      <c r="AM120" s="591"/>
      <c r="AN120" s="591"/>
      <c r="AO120" s="591"/>
      <c r="AP120" s="591"/>
      <c r="AQ120" s="591"/>
      <c r="AS120" s="591"/>
      <c r="AT120" s="591"/>
      <c r="AU120" s="591"/>
      <c r="AV120" s="591"/>
      <c r="AW120" s="591"/>
      <c r="AY120" s="591"/>
    </row>
    <row r="121" spans="1:51" ht="18" customHeight="1" x14ac:dyDescent="0.25">
      <c r="A121" s="2"/>
      <c r="B121" s="2"/>
      <c r="C121" s="14"/>
      <c r="D121" s="14"/>
      <c r="E121" s="14"/>
      <c r="F121" s="864"/>
      <c r="G121" s="867"/>
      <c r="H121" s="867"/>
      <c r="I121" s="2208"/>
      <c r="J121" s="2208"/>
      <c r="K121" s="860"/>
      <c r="L121" s="14"/>
      <c r="M121" s="14"/>
      <c r="N121" s="14"/>
      <c r="O121" s="14"/>
      <c r="P121" s="14"/>
      <c r="Q121" s="2"/>
      <c r="R121" s="2"/>
      <c r="S121" s="2"/>
      <c r="T121" s="2"/>
      <c r="U121" s="2"/>
      <c r="V121" s="591"/>
      <c r="W121" s="591"/>
      <c r="X121" s="591"/>
      <c r="Y121" s="591"/>
      <c r="Z121" s="591"/>
      <c r="AA121" s="591"/>
      <c r="AB121" s="591"/>
      <c r="AC121" s="591"/>
      <c r="AG121" s="591"/>
      <c r="AH121" s="591"/>
      <c r="AI121" s="591"/>
      <c r="AJ121" s="591"/>
      <c r="AK121" s="591"/>
      <c r="AM121" s="591"/>
      <c r="AN121" s="591"/>
      <c r="AO121" s="591"/>
      <c r="AP121" s="591"/>
      <c r="AQ121" s="591"/>
      <c r="AS121" s="591"/>
      <c r="AT121" s="591"/>
      <c r="AU121" s="591"/>
      <c r="AV121" s="591"/>
      <c r="AW121" s="591"/>
      <c r="AY121" s="591"/>
    </row>
    <row r="122" spans="1:51" ht="18" customHeight="1" x14ac:dyDescent="0.2">
      <c r="A122" s="2"/>
      <c r="B122" s="2"/>
      <c r="C122" s="14"/>
      <c r="D122" s="14"/>
      <c r="E122" s="14"/>
      <c r="F122" s="865"/>
      <c r="G122" s="868"/>
      <c r="H122" s="868"/>
      <c r="I122" s="2205"/>
      <c r="J122" s="2205"/>
      <c r="K122" s="862"/>
      <c r="L122" s="14"/>
      <c r="M122" s="14"/>
      <c r="N122" s="14"/>
      <c r="O122" s="14"/>
      <c r="P122" s="14"/>
      <c r="Q122" s="2"/>
      <c r="R122" s="2"/>
      <c r="S122" s="2"/>
      <c r="T122" s="2"/>
      <c r="U122" s="2"/>
      <c r="V122" s="591"/>
      <c r="W122" s="591"/>
      <c r="X122" s="591"/>
      <c r="Y122" s="591"/>
      <c r="Z122" s="591"/>
      <c r="AA122" s="591"/>
      <c r="AB122" s="591"/>
      <c r="AC122" s="591"/>
      <c r="AG122" s="591"/>
      <c r="AH122" s="591"/>
      <c r="AI122" s="591"/>
      <c r="AJ122" s="591"/>
      <c r="AK122" s="591"/>
      <c r="AM122" s="591"/>
      <c r="AN122" s="591"/>
      <c r="AO122" s="591"/>
      <c r="AP122" s="591"/>
      <c r="AQ122" s="591"/>
      <c r="AS122" s="591"/>
      <c r="AT122" s="591"/>
      <c r="AU122" s="591"/>
      <c r="AV122" s="591"/>
      <c r="AW122" s="591"/>
      <c r="AY122" s="591"/>
    </row>
    <row r="123" spans="1:51" ht="21" customHeight="1" x14ac:dyDescent="0.2">
      <c r="A123" s="2"/>
      <c r="B123" s="2"/>
      <c r="C123" s="14"/>
      <c r="D123" s="14"/>
      <c r="E123" s="14"/>
      <c r="F123" s="866"/>
      <c r="G123" s="14"/>
      <c r="H123" s="14"/>
      <c r="I123" s="14"/>
      <c r="J123" s="14"/>
      <c r="K123" s="14"/>
      <c r="L123" s="14"/>
      <c r="M123" s="14"/>
      <c r="N123" s="14"/>
      <c r="O123" s="14"/>
      <c r="P123" s="14"/>
      <c r="Q123" s="2"/>
      <c r="R123" s="2"/>
      <c r="S123" s="2"/>
      <c r="T123" s="2"/>
      <c r="U123" s="2"/>
      <c r="V123" s="591"/>
      <c r="W123" s="591"/>
      <c r="X123" s="591"/>
      <c r="Y123" s="591"/>
      <c r="Z123" s="591"/>
      <c r="AA123" s="591"/>
      <c r="AB123" s="591"/>
      <c r="AC123" s="591"/>
      <c r="AG123" s="591"/>
      <c r="AH123" s="591"/>
      <c r="AI123" s="591"/>
      <c r="AJ123" s="591"/>
      <c r="AK123" s="591"/>
      <c r="AM123" s="591"/>
      <c r="AN123" s="591"/>
      <c r="AO123" s="591"/>
      <c r="AP123" s="591"/>
      <c r="AQ123" s="591"/>
      <c r="AS123" s="591"/>
      <c r="AT123" s="591"/>
      <c r="AU123" s="591"/>
      <c r="AV123" s="591"/>
      <c r="AW123" s="591"/>
      <c r="AY123" s="591"/>
    </row>
    <row r="124" spans="1:51" ht="21" customHeight="1" x14ac:dyDescent="0.2">
      <c r="A124" s="2"/>
      <c r="B124" s="2"/>
      <c r="C124" s="287"/>
      <c r="D124" s="287"/>
      <c r="E124" s="287"/>
      <c r="F124" s="287"/>
      <c r="G124" s="287"/>
      <c r="H124" s="287"/>
      <c r="I124" s="287"/>
      <c r="J124" s="287"/>
      <c r="K124" s="287"/>
      <c r="L124" s="287"/>
      <c r="M124" s="287"/>
      <c r="N124" s="287"/>
      <c r="O124" s="287"/>
      <c r="P124" s="2"/>
      <c r="Q124" s="2"/>
      <c r="R124" s="2"/>
      <c r="S124" s="2"/>
      <c r="T124" s="2"/>
      <c r="U124" s="2"/>
      <c r="V124" s="591"/>
      <c r="W124" s="591"/>
      <c r="X124" s="591"/>
      <c r="Y124" s="591"/>
      <c r="Z124" s="591"/>
      <c r="AA124" s="591"/>
      <c r="AB124" s="591"/>
      <c r="AC124" s="591"/>
      <c r="AG124" s="591"/>
      <c r="AH124" s="591"/>
      <c r="AI124" s="591"/>
      <c r="AJ124" s="591"/>
      <c r="AK124" s="591"/>
      <c r="AM124" s="591"/>
      <c r="AN124" s="591"/>
      <c r="AO124" s="591"/>
      <c r="AP124" s="591"/>
      <c r="AQ124" s="591"/>
      <c r="AS124" s="591"/>
      <c r="AT124" s="591"/>
      <c r="AU124" s="591"/>
      <c r="AV124" s="591"/>
      <c r="AW124" s="591"/>
      <c r="AY124" s="591"/>
    </row>
    <row r="125" spans="1:51" ht="13.5" hidden="1" customHeight="1" x14ac:dyDescent="0.2">
      <c r="A125" s="2"/>
      <c r="B125" s="2"/>
      <c r="C125" s="2"/>
      <c r="D125" s="2"/>
      <c r="E125" s="2"/>
      <c r="F125" s="2"/>
      <c r="G125" s="2"/>
      <c r="H125" s="2"/>
      <c r="I125" s="2"/>
      <c r="J125" s="2"/>
      <c r="K125" s="2"/>
      <c r="L125" s="2"/>
      <c r="M125" s="2"/>
      <c r="N125" s="2"/>
      <c r="O125" s="2"/>
      <c r="P125" s="2"/>
      <c r="Q125" s="2"/>
      <c r="R125" s="2"/>
      <c r="S125" s="2"/>
      <c r="T125" s="2"/>
      <c r="U125" s="2"/>
      <c r="V125" s="591"/>
      <c r="W125" s="591"/>
      <c r="X125" s="591"/>
      <c r="Y125" s="591"/>
      <c r="Z125" s="591"/>
      <c r="AA125" s="591"/>
      <c r="AB125" s="591"/>
      <c r="AC125" s="591"/>
      <c r="AG125" s="591"/>
      <c r="AH125" s="591"/>
      <c r="AI125" s="591"/>
      <c r="AJ125" s="591"/>
      <c r="AK125" s="591"/>
      <c r="AM125" s="591"/>
      <c r="AN125" s="591"/>
      <c r="AO125" s="591"/>
      <c r="AP125" s="591"/>
      <c r="AQ125" s="591"/>
      <c r="AS125" s="591"/>
      <c r="AT125" s="591"/>
      <c r="AU125" s="591"/>
      <c r="AV125" s="591"/>
      <c r="AW125" s="591"/>
      <c r="AY125" s="591"/>
    </row>
    <row r="126" spans="1:51" ht="18.75" customHeight="1" x14ac:dyDescent="0.2">
      <c r="A126" s="2"/>
      <c r="B126" s="2"/>
      <c r="C126" s="2083" t="str">
        <f ca="1">Presentazione!D70</f>
        <v>Questo file risulta al momento completamente funzionante ed il sistema rileva tutti i suoi fogli.</v>
      </c>
      <c r="D126" s="2083"/>
      <c r="E126" s="2083"/>
      <c r="F126" s="2083"/>
      <c r="G126" s="2083"/>
      <c r="H126" s="2083"/>
      <c r="I126" s="2083"/>
      <c r="J126" s="2083"/>
      <c r="K126" s="2083"/>
      <c r="L126" s="2083"/>
      <c r="M126" s="2083"/>
      <c r="N126" s="553"/>
      <c r="O126" s="553"/>
      <c r="P126" s="553"/>
      <c r="Q126" s="2"/>
      <c r="R126" s="2"/>
      <c r="S126" s="2"/>
      <c r="T126" s="2"/>
      <c r="U126" s="2"/>
      <c r="V126" s="591"/>
      <c r="W126" s="591"/>
      <c r="X126" s="591"/>
      <c r="Y126" s="591"/>
      <c r="Z126" s="591"/>
      <c r="AA126" s="591"/>
      <c r="AB126" s="591"/>
      <c r="AC126" s="591"/>
      <c r="AG126" s="591"/>
      <c r="AH126" s="591"/>
      <c r="AI126" s="591"/>
      <c r="AJ126" s="591"/>
      <c r="AK126" s="591"/>
      <c r="AM126" s="591"/>
      <c r="AN126" s="591"/>
      <c r="AO126" s="591"/>
      <c r="AP126" s="591"/>
      <c r="AQ126" s="591"/>
      <c r="AS126" s="591"/>
      <c r="AT126" s="591"/>
      <c r="AU126" s="591"/>
      <c r="AV126" s="591"/>
      <c r="AW126" s="591"/>
      <c r="AY126" s="591"/>
    </row>
    <row r="127" spans="1:51" ht="33" customHeight="1" x14ac:dyDescent="0.25">
      <c r="A127" s="2"/>
      <c r="B127" s="2"/>
      <c r="C127" s="930" t="s">
        <v>716</v>
      </c>
      <c r="D127" s="930"/>
      <c r="E127" s="930"/>
      <c r="F127" s="930"/>
      <c r="G127" s="930"/>
      <c r="H127" s="2"/>
      <c r="I127" s="2"/>
      <c r="J127" s="2"/>
      <c r="K127" s="2"/>
      <c r="L127" s="2"/>
      <c r="M127" s="908" t="s">
        <v>581</v>
      </c>
      <c r="N127" s="2"/>
      <c r="O127" s="2"/>
      <c r="P127" s="2"/>
      <c r="Q127" s="2"/>
      <c r="R127" s="2"/>
      <c r="S127" s="2"/>
      <c r="T127" s="2"/>
      <c r="U127" s="2"/>
      <c r="V127" s="591"/>
      <c r="W127" s="591"/>
      <c r="X127" s="591"/>
      <c r="Y127" s="591"/>
      <c r="Z127" s="591"/>
      <c r="AA127" s="591"/>
      <c r="AB127" s="591"/>
      <c r="AC127" s="591"/>
      <c r="AG127" s="591"/>
      <c r="AH127" s="591"/>
      <c r="AI127" s="591"/>
      <c r="AJ127" s="591"/>
      <c r="AK127" s="591"/>
      <c r="AM127" s="591"/>
      <c r="AN127" s="591"/>
      <c r="AO127" s="591"/>
      <c r="AP127" s="591"/>
      <c r="AQ127" s="591"/>
      <c r="AS127" s="591"/>
      <c r="AT127" s="591"/>
      <c r="AU127" s="591"/>
      <c r="AV127" s="591"/>
      <c r="AW127" s="591"/>
      <c r="AY127" s="591"/>
    </row>
    <row r="128" spans="1:51" ht="21" hidden="1" customHeight="1" x14ac:dyDescent="0.2">
      <c r="A128" s="2"/>
      <c r="B128" s="2"/>
      <c r="C128" s="2"/>
      <c r="D128" s="2"/>
      <c r="E128" s="2"/>
      <c r="F128" s="2"/>
      <c r="G128" s="2"/>
      <c r="H128" s="2"/>
      <c r="I128" s="2"/>
      <c r="J128" s="2"/>
      <c r="K128" s="2"/>
      <c r="L128" s="2"/>
      <c r="M128" s="2"/>
      <c r="N128" s="2"/>
      <c r="O128" s="2"/>
      <c r="P128" s="2"/>
      <c r="Q128" s="2"/>
      <c r="R128" s="2"/>
      <c r="S128" s="2"/>
      <c r="T128" s="2"/>
      <c r="U128" s="2"/>
      <c r="V128" s="591"/>
      <c r="W128" s="591"/>
      <c r="X128" s="591"/>
      <c r="Y128" s="591"/>
      <c r="Z128" s="591"/>
      <c r="AA128" s="591"/>
      <c r="AB128" s="591"/>
      <c r="AC128" s="591"/>
      <c r="AG128" s="591"/>
      <c r="AH128" s="591"/>
      <c r="AI128" s="591"/>
      <c r="AJ128" s="591"/>
      <c r="AK128" s="591"/>
      <c r="AM128" s="591"/>
      <c r="AN128" s="591"/>
      <c r="AO128" s="591"/>
      <c r="AP128" s="591"/>
      <c r="AQ128" s="591"/>
      <c r="AS128" s="591"/>
      <c r="AT128" s="591"/>
      <c r="AU128" s="591"/>
      <c r="AV128" s="591"/>
      <c r="AW128" s="591"/>
      <c r="AY128" s="591"/>
    </row>
    <row r="129" spans="1:51" ht="15.75" hidden="1" customHeight="1" x14ac:dyDescent="0.2">
      <c r="A129" s="2"/>
      <c r="B129" s="2"/>
      <c r="C129" s="2"/>
      <c r="D129" s="2"/>
      <c r="E129" s="2"/>
      <c r="F129" s="2"/>
      <c r="G129" s="257">
        <v>1</v>
      </c>
      <c r="H129" s="257">
        <v>2</v>
      </c>
      <c r="I129" s="257">
        <v>3</v>
      </c>
      <c r="J129" s="2"/>
      <c r="K129" s="2"/>
      <c r="L129" s="2"/>
      <c r="M129" s="2"/>
      <c r="N129" s="2"/>
      <c r="O129" s="2"/>
      <c r="P129" s="2"/>
      <c r="Q129" s="2"/>
      <c r="R129" s="2"/>
      <c r="S129" s="2"/>
      <c r="T129" s="2"/>
      <c r="U129" s="2"/>
      <c r="V129" s="591"/>
      <c r="W129" s="591"/>
      <c r="X129" s="591"/>
      <c r="Y129" s="591"/>
      <c r="Z129" s="591"/>
      <c r="AA129" s="591"/>
      <c r="AB129" s="591"/>
      <c r="AC129" s="591"/>
      <c r="AG129" s="591"/>
      <c r="AH129" s="591"/>
      <c r="AI129" s="591"/>
      <c r="AJ129" s="591"/>
      <c r="AK129" s="591"/>
      <c r="AM129" s="591"/>
      <c r="AN129" s="591"/>
      <c r="AO129" s="591"/>
      <c r="AP129" s="591"/>
      <c r="AQ129" s="591"/>
      <c r="AS129" s="591"/>
      <c r="AT129" s="591"/>
      <c r="AU129" s="591"/>
      <c r="AV129" s="591"/>
      <c r="AW129" s="591"/>
      <c r="AY129" s="591"/>
    </row>
    <row r="130" spans="1:51" ht="15.75" hidden="1" customHeight="1" x14ac:dyDescent="0.2">
      <c r="A130" s="2"/>
      <c r="B130" s="2"/>
      <c r="C130" s="2"/>
      <c r="D130" s="2"/>
      <c r="E130" s="2"/>
      <c r="F130" s="2"/>
      <c r="G130" s="263">
        <f>IF(E$131=1,IMPOSTAZIONI!J94,0)</f>
        <v>0</v>
      </c>
      <c r="H130" s="263">
        <f>IF(E$132=1,IMPOSTAZIONI!J102,0)</f>
        <v>0</v>
      </c>
      <c r="I130" s="263">
        <f>IF(E$133=1,IMPOSTAZIONI!J110,0)</f>
        <v>0</v>
      </c>
      <c r="J130" s="2"/>
      <c r="K130" s="263" t="str">
        <f>IMPOSTAZIONI!C154</f>
        <v>Note</v>
      </c>
      <c r="L130" s="2"/>
      <c r="M130" s="2"/>
      <c r="N130" s="2"/>
      <c r="O130" s="2"/>
      <c r="P130" s="2"/>
      <c r="Q130" s="2"/>
      <c r="R130" s="2"/>
      <c r="S130" s="2"/>
      <c r="T130" s="2"/>
      <c r="U130" s="2"/>
      <c r="V130" s="591"/>
      <c r="W130" s="591"/>
      <c r="X130" s="591"/>
      <c r="Y130" s="591"/>
      <c r="Z130" s="591"/>
      <c r="AA130" s="591"/>
      <c r="AB130" s="591"/>
      <c r="AC130" s="591"/>
      <c r="AG130" s="591"/>
      <c r="AH130" s="591"/>
      <c r="AI130" s="591"/>
      <c r="AJ130" s="591"/>
      <c r="AK130" s="591"/>
      <c r="AM130" s="591"/>
      <c r="AN130" s="591"/>
      <c r="AO130" s="591"/>
      <c r="AP130" s="591"/>
      <c r="AQ130" s="591"/>
      <c r="AS130" s="591"/>
      <c r="AT130" s="591"/>
      <c r="AU130" s="591"/>
      <c r="AV130" s="591"/>
      <c r="AW130" s="591"/>
      <c r="AY130" s="591"/>
    </row>
    <row r="131" spans="1:51" ht="15.75" hidden="1" customHeight="1" x14ac:dyDescent="0.2">
      <c r="A131" s="2"/>
      <c r="B131" s="2"/>
      <c r="C131" s="2"/>
      <c r="D131" s="2"/>
      <c r="E131" s="263">
        <f>IF(IMPOSTAZIONI!O184=0,1,0)</f>
        <v>0</v>
      </c>
      <c r="F131" s="2"/>
      <c r="G131" s="267">
        <f>IF(E$131=1,IMPOSTAZIONI!J96,0)</f>
        <v>0</v>
      </c>
      <c r="H131" s="268">
        <f>IF(E$132=1,IMPOSTAZIONI!J104,0)</f>
        <v>0</v>
      </c>
      <c r="I131" s="269">
        <f>IF(E$133=1,IMPOSTAZIONI!J112,0)</f>
        <v>0</v>
      </c>
      <c r="J131" s="2"/>
      <c r="K131" s="2"/>
      <c r="L131" s="925" t="str">
        <f>Presentazione!$K$150</f>
        <v>attiva trim.</v>
      </c>
      <c r="M131" s="2"/>
      <c r="N131" s="2"/>
      <c r="O131" s="2"/>
      <c r="P131" s="2"/>
      <c r="Q131" s="2"/>
      <c r="R131" s="2"/>
      <c r="S131" s="2"/>
      <c r="T131" s="2"/>
      <c r="U131" s="2"/>
      <c r="V131" s="591"/>
      <c r="W131" s="591"/>
      <c r="X131" s="591"/>
      <c r="Y131" s="591"/>
      <c r="Z131" s="591"/>
      <c r="AA131" s="591"/>
      <c r="AB131" s="591"/>
      <c r="AC131" s="591"/>
      <c r="AG131" s="591"/>
      <c r="AH131" s="591"/>
      <c r="AI131" s="591"/>
      <c r="AJ131" s="591"/>
      <c r="AK131" s="591"/>
      <c r="AM131" s="591"/>
      <c r="AN131" s="591"/>
      <c r="AO131" s="591"/>
      <c r="AP131" s="591"/>
      <c r="AQ131" s="591"/>
      <c r="AS131" s="591"/>
      <c r="AT131" s="591"/>
      <c r="AU131" s="591"/>
      <c r="AV131" s="591"/>
      <c r="AW131" s="591"/>
      <c r="AY131" s="591"/>
    </row>
    <row r="132" spans="1:51" ht="15.75" hidden="1" customHeight="1" x14ac:dyDescent="0.2">
      <c r="A132" s="2"/>
      <c r="B132" s="2"/>
      <c r="C132" s="2"/>
      <c r="D132" s="2"/>
      <c r="E132" s="263">
        <f>IF(IMPOSTAZIONI!O185=0,1,0)</f>
        <v>0</v>
      </c>
      <c r="F132" s="2"/>
      <c r="G132" s="264">
        <f>IF(E$131=1,IMPOSTAZIONI!J97,0)</f>
        <v>0</v>
      </c>
      <c r="H132" s="266">
        <f>IF(E$132=1,IMPOSTAZIONI!J105,0)</f>
        <v>0</v>
      </c>
      <c r="I132" s="265">
        <f>IF(E$133=1,IMPOSTAZIONI!J113,0)</f>
        <v>0</v>
      </c>
      <c r="J132" s="2"/>
      <c r="K132" s="263" t="s">
        <v>356</v>
      </c>
      <c r="L132" s="2"/>
      <c r="M132" s="2"/>
      <c r="N132" s="2"/>
      <c r="O132" s="2"/>
      <c r="P132" s="2"/>
      <c r="Q132" s="2"/>
      <c r="R132" s="2"/>
      <c r="S132" s="2"/>
      <c r="T132" s="2"/>
      <c r="U132" s="2"/>
      <c r="V132" s="591"/>
      <c r="W132" s="591"/>
      <c r="X132" s="591"/>
      <c r="Y132" s="591"/>
      <c r="Z132" s="591"/>
      <c r="AA132" s="591"/>
      <c r="AB132" s="591"/>
      <c r="AC132" s="591"/>
      <c r="AG132" s="591"/>
      <c r="AH132" s="591"/>
      <c r="AI132" s="591"/>
      <c r="AJ132" s="591"/>
      <c r="AK132" s="591"/>
      <c r="AM132" s="591"/>
      <c r="AN132" s="591"/>
      <c r="AO132" s="591"/>
      <c r="AP132" s="591"/>
      <c r="AQ132" s="591"/>
      <c r="AS132" s="591"/>
      <c r="AT132" s="591"/>
      <c r="AU132" s="591"/>
      <c r="AV132" s="591"/>
      <c r="AW132" s="591"/>
      <c r="AY132" s="591"/>
    </row>
    <row r="133" spans="1:51" ht="15.75" hidden="1" customHeight="1" x14ac:dyDescent="0.2">
      <c r="A133" s="2"/>
      <c r="B133" s="2"/>
      <c r="C133" s="2"/>
      <c r="D133" s="2"/>
      <c r="E133" s="263">
        <f>IF(IMPOSTAZIONI!O186=0,1,0)</f>
        <v>0</v>
      </c>
      <c r="F133" s="2"/>
      <c r="G133" s="270">
        <f>IF(E$131=1,IMPOSTAZIONI!J98,0)</f>
        <v>0</v>
      </c>
      <c r="H133" s="271">
        <f>IF(E$132=1,IMPOSTAZIONI!J106,0)</f>
        <v>0</v>
      </c>
      <c r="I133" s="272">
        <f>IF(E$133=1,IMPOSTAZIONI!J114,0)</f>
        <v>0</v>
      </c>
      <c r="J133" s="2"/>
      <c r="K133" s="2"/>
      <c r="L133" s="2"/>
      <c r="M133" s="2"/>
      <c r="N133" s="2"/>
      <c r="O133" s="2"/>
      <c r="P133" s="2"/>
      <c r="Q133" s="2"/>
      <c r="R133" s="2"/>
      <c r="S133" s="2"/>
      <c r="T133" s="2"/>
      <c r="U133" s="2"/>
      <c r="V133" s="591"/>
      <c r="W133" s="591"/>
      <c r="X133" s="591"/>
      <c r="Y133" s="591"/>
      <c r="Z133" s="591"/>
      <c r="AA133" s="591"/>
      <c r="AB133" s="591"/>
      <c r="AC133" s="591"/>
      <c r="AG133" s="591"/>
      <c r="AH133" s="591"/>
      <c r="AI133" s="591"/>
      <c r="AJ133" s="591"/>
      <c r="AK133" s="591"/>
      <c r="AM133" s="591"/>
      <c r="AN133" s="591"/>
      <c r="AO133" s="591"/>
      <c r="AP133" s="591"/>
      <c r="AQ133" s="591"/>
      <c r="AS133" s="591"/>
      <c r="AT133" s="591"/>
      <c r="AU133" s="591"/>
      <c r="AV133" s="591"/>
      <c r="AW133" s="591"/>
      <c r="AY133" s="591"/>
    </row>
    <row r="134" spans="1:51" ht="15.75" hidden="1" customHeight="1" x14ac:dyDescent="0.2">
      <c r="A134" s="2"/>
      <c r="B134" s="2"/>
      <c r="C134" s="2"/>
      <c r="D134" s="2"/>
      <c r="E134" s="129"/>
      <c r="F134" s="2"/>
      <c r="G134" s="108">
        <f>IF(G130=0,0,G129)</f>
        <v>0</v>
      </c>
      <c r="H134" s="108">
        <f>IF(H130=0,0,H129)</f>
        <v>0</v>
      </c>
      <c r="I134" s="108">
        <f>IF(I130=0,0,I129)</f>
        <v>0</v>
      </c>
      <c r="J134" s="2"/>
      <c r="K134" s="263" t="str">
        <f>IMPOSTAZIONI!C146</f>
        <v>ESCLUDI</v>
      </c>
      <c r="L134" s="263" t="str">
        <f>IMPOSTAZIONI!H146</f>
        <v>VENTILAZIONE</v>
      </c>
      <c r="M134" s="306" t="s">
        <v>745</v>
      </c>
      <c r="N134" s="2"/>
      <c r="O134" s="2"/>
      <c r="P134" s="2"/>
      <c r="Q134" s="2"/>
      <c r="R134" s="2"/>
      <c r="S134" s="2"/>
      <c r="T134" s="2"/>
      <c r="U134" s="2"/>
      <c r="V134" s="591"/>
      <c r="W134" s="591"/>
      <c r="X134" s="591"/>
      <c r="Y134" s="591"/>
      <c r="Z134" s="591"/>
      <c r="AA134" s="591"/>
      <c r="AB134" s="591"/>
      <c r="AC134" s="591"/>
      <c r="AG134" s="591"/>
      <c r="AH134" s="591"/>
      <c r="AI134" s="591"/>
      <c r="AJ134" s="591"/>
      <c r="AK134" s="591"/>
      <c r="AM134" s="591"/>
      <c r="AN134" s="591"/>
      <c r="AO134" s="591"/>
      <c r="AP134" s="591"/>
      <c r="AQ134" s="591"/>
      <c r="AS134" s="591"/>
      <c r="AT134" s="591"/>
      <c r="AU134" s="591"/>
      <c r="AV134" s="591"/>
      <c r="AW134" s="591"/>
      <c r="AY134" s="591"/>
    </row>
    <row r="135" spans="1:51" ht="15.75" hidden="1" customHeight="1" x14ac:dyDescent="0.2">
      <c r="A135" s="2"/>
      <c r="B135" s="2"/>
      <c r="C135" s="2"/>
      <c r="D135" s="2"/>
      <c r="E135" s="274">
        <f>COUNTIF(G134:I134,0)</f>
        <v>3</v>
      </c>
      <c r="F135" s="2"/>
      <c r="G135" s="273" t="e">
        <f>SMALL($G134:$I134,$E135+1)</f>
        <v>#NUM!</v>
      </c>
      <c r="H135" s="273" t="e">
        <f>SMALL($G134:$I134,$E135+2)</f>
        <v>#NUM!</v>
      </c>
      <c r="I135" s="273" t="e">
        <f>SMALL($G134:$I134,$E135+3)</f>
        <v>#NUM!</v>
      </c>
      <c r="J135" s="2"/>
      <c r="K135" s="2"/>
      <c r="L135" s="263" t="str">
        <f>IMPOSTAZIONI!H148</f>
        <v>SCORPORO</v>
      </c>
      <c r="M135" s="306" t="s">
        <v>742</v>
      </c>
      <c r="N135" s="2"/>
      <c r="O135" s="2"/>
      <c r="P135" s="2"/>
      <c r="Q135" s="2"/>
      <c r="R135" s="2"/>
      <c r="S135" s="2"/>
      <c r="T135" s="2"/>
      <c r="U135" s="2"/>
      <c r="V135" s="591"/>
      <c r="W135" s="591"/>
      <c r="X135" s="591"/>
      <c r="Y135" s="591"/>
      <c r="Z135" s="591"/>
      <c r="AA135" s="591"/>
      <c r="AB135" s="591"/>
      <c r="AC135" s="591"/>
      <c r="AG135" s="591"/>
      <c r="AH135" s="591"/>
      <c r="AI135" s="591"/>
      <c r="AJ135" s="591"/>
      <c r="AK135" s="591"/>
      <c r="AM135" s="591"/>
      <c r="AN135" s="591"/>
      <c r="AO135" s="591"/>
      <c r="AP135" s="591"/>
      <c r="AQ135" s="591"/>
      <c r="AS135" s="591"/>
      <c r="AT135" s="591"/>
      <c r="AU135" s="591"/>
      <c r="AV135" s="591"/>
      <c r="AW135" s="591"/>
      <c r="AY135" s="591"/>
    </row>
    <row r="136" spans="1:51" ht="15.75" hidden="1" customHeight="1" x14ac:dyDescent="0.2">
      <c r="A136" s="2"/>
      <c r="B136" s="2"/>
      <c r="C136" s="2"/>
      <c r="D136" s="2"/>
      <c r="E136" s="274"/>
      <c r="F136" s="2"/>
      <c r="G136" s="275">
        <f>IF(E$131=1,CONCATENATE(IMPOSTAZIONI!I96,"-",IMPOSTAZIONI!I97,"-",IMPOSTAZIONI!I98),0)</f>
        <v>0</v>
      </c>
      <c r="H136" s="276">
        <f>IF(E$132=1,CONCATENATE(IMPOSTAZIONI!I104,"-",IMPOSTAZIONI!I105,"-",IMPOSTAZIONI!I106),0)</f>
        <v>0</v>
      </c>
      <c r="I136" s="277">
        <f>IF(E$133=1,CONCATENATE(IMPOSTAZIONI!I112,"-",IMPOSTAZIONI!I113,"-",IMPOSTAZIONI!I114),0)</f>
        <v>0</v>
      </c>
      <c r="J136" s="2"/>
      <c r="K136" s="2"/>
      <c r="L136" s="2"/>
      <c r="M136" s="2"/>
      <c r="N136" s="2"/>
      <c r="O136" s="2"/>
      <c r="P136" s="2"/>
      <c r="Q136" s="2"/>
      <c r="R136" s="2"/>
      <c r="S136" s="2"/>
      <c r="T136" s="2"/>
      <c r="U136" s="2"/>
      <c r="V136" s="591"/>
      <c r="W136" s="591"/>
      <c r="X136" s="591"/>
      <c r="Y136" s="591"/>
      <c r="Z136" s="591"/>
      <c r="AA136" s="591"/>
      <c r="AB136" s="591"/>
      <c r="AC136" s="591"/>
      <c r="AG136" s="591"/>
      <c r="AH136" s="591"/>
      <c r="AI136" s="591"/>
      <c r="AJ136" s="591"/>
      <c r="AK136" s="591"/>
      <c r="AM136" s="591"/>
      <c r="AN136" s="591"/>
      <c r="AO136" s="591"/>
      <c r="AP136" s="591"/>
      <c r="AQ136" s="591"/>
      <c r="AS136" s="591"/>
      <c r="AT136" s="591"/>
      <c r="AU136" s="591"/>
      <c r="AV136" s="591"/>
      <c r="AW136" s="591"/>
      <c r="AY136" s="591"/>
    </row>
    <row r="137" spans="1:51" ht="15.75" hidden="1" customHeight="1" x14ac:dyDescent="0.2">
      <c r="A137" s="2"/>
      <c r="B137" s="2"/>
      <c r="C137" s="2"/>
      <c r="D137" s="2"/>
      <c r="E137" s="129"/>
      <c r="F137" s="2"/>
      <c r="G137" s="273"/>
      <c r="H137" s="273"/>
      <c r="I137" s="2"/>
      <c r="J137" s="2"/>
      <c r="K137" s="2"/>
      <c r="L137" s="2"/>
      <c r="M137" s="2"/>
      <c r="N137" s="2"/>
      <c r="O137" s="2"/>
      <c r="P137" s="2"/>
      <c r="Q137" s="2"/>
      <c r="R137" s="2"/>
      <c r="S137" s="2"/>
      <c r="T137" s="2"/>
      <c r="U137" s="2"/>
      <c r="V137" s="591"/>
      <c r="W137" s="591"/>
      <c r="X137" s="591"/>
      <c r="Y137" s="591"/>
      <c r="Z137" s="591"/>
      <c r="AA137" s="591"/>
      <c r="AB137" s="591"/>
      <c r="AC137" s="591"/>
      <c r="AG137" s="591"/>
      <c r="AH137" s="591"/>
      <c r="AI137" s="591"/>
      <c r="AJ137" s="591"/>
      <c r="AK137" s="591"/>
      <c r="AM137" s="591"/>
      <c r="AN137" s="591"/>
      <c r="AO137" s="591"/>
      <c r="AP137" s="591"/>
      <c r="AQ137" s="591"/>
      <c r="AS137" s="591"/>
      <c r="AT137" s="591"/>
      <c r="AU137" s="591"/>
      <c r="AV137" s="591"/>
      <c r="AW137" s="591"/>
      <c r="AY137" s="591"/>
    </row>
    <row r="138" spans="1:51" ht="15.75" hidden="1" customHeight="1" x14ac:dyDescent="0.2">
      <c r="A138" s="2"/>
      <c r="B138" s="2"/>
      <c r="C138" s="2"/>
      <c r="D138" s="2"/>
      <c r="E138" s="129"/>
      <c r="F138" s="2"/>
      <c r="G138" s="273"/>
      <c r="H138" s="273"/>
      <c r="I138" s="273"/>
      <c r="J138" s="148">
        <v>1</v>
      </c>
      <c r="K138" s="148">
        <v>2</v>
      </c>
      <c r="L138" s="148">
        <v>3</v>
      </c>
      <c r="M138" s="2"/>
      <c r="N138" s="2"/>
      <c r="O138" s="2"/>
      <c r="P138" s="2"/>
      <c r="Q138" s="2"/>
      <c r="R138" s="2"/>
      <c r="S138" s="2"/>
      <c r="T138" s="2"/>
      <c r="U138" s="2"/>
      <c r="V138" s="591"/>
      <c r="W138" s="591"/>
      <c r="X138" s="591"/>
      <c r="Y138" s="591"/>
      <c r="Z138" s="591"/>
      <c r="AA138" s="591"/>
      <c r="AB138" s="591"/>
      <c r="AC138" s="591"/>
      <c r="AG138" s="591"/>
      <c r="AH138" s="591"/>
      <c r="AI138" s="591"/>
      <c r="AJ138" s="591"/>
      <c r="AK138" s="591"/>
      <c r="AM138" s="591"/>
      <c r="AN138" s="591"/>
      <c r="AO138" s="591"/>
      <c r="AP138" s="591"/>
      <c r="AQ138" s="591"/>
      <c r="AS138" s="591"/>
      <c r="AT138" s="591"/>
      <c r="AU138" s="591"/>
      <c r="AV138" s="591"/>
      <c r="AW138" s="591"/>
      <c r="AY138" s="591"/>
    </row>
    <row r="139" spans="1:51" ht="15.75" hidden="1" customHeight="1" x14ac:dyDescent="0.2">
      <c r="A139" s="2"/>
      <c r="B139" s="2"/>
      <c r="C139" s="148">
        <v>1</v>
      </c>
      <c r="D139" s="148">
        <f>IF(I139=0,0,1)</f>
        <v>0</v>
      </c>
      <c r="E139" s="263" t="str">
        <f>IMPOSTAZIONI!B298</f>
        <v>--</v>
      </c>
      <c r="F139" s="2"/>
      <c r="G139" s="305">
        <f>VLOOKUP(E139,IMPOSTAZIONI!$B$298:$AK$304,$E$149,FALSE)</f>
        <v>0</v>
      </c>
      <c r="H139" s="306" t="str">
        <f>IF(G139&gt;0,IF(AND(ISERROR(HLOOKUP(E139,G$136:I$136,1,FALSE)),ISERROR(HLOOKUP(E139,G$1:N$1,1,FALSE))),E139,"OK"),"")</f>
        <v/>
      </c>
      <c r="I139" s="307">
        <f>IF(H139="OK",0,IF(H139="",0,1))</f>
        <v>0</v>
      </c>
      <c r="J139" s="263" t="e">
        <f>VLOOKUP(C139,$D$139:$H$148,5,FALSE)</f>
        <v>#N/A</v>
      </c>
      <c r="K139" s="263" t="e">
        <f>VLOOKUP(C140,$D$139:$H$148,5,FALSE)</f>
        <v>#N/A</v>
      </c>
      <c r="L139" s="263" t="e">
        <f>VLOOKUP(C141,$D$139:$H$148,5,FALSE)</f>
        <v>#N/A</v>
      </c>
      <c r="M139" s="2"/>
      <c r="N139" s="2"/>
      <c r="O139" s="2"/>
      <c r="P139" s="2"/>
      <c r="Q139" s="2"/>
      <c r="R139" s="2"/>
      <c r="S139" s="2"/>
      <c r="T139" s="2"/>
      <c r="U139" s="2"/>
      <c r="V139" s="591"/>
      <c r="W139" s="591"/>
      <c r="X139" s="591"/>
      <c r="Y139" s="591"/>
      <c r="Z139" s="591"/>
      <c r="AA139" s="591"/>
      <c r="AB139" s="591"/>
      <c r="AC139" s="591"/>
      <c r="AG139" s="591"/>
      <c r="AH139" s="591"/>
      <c r="AI139" s="591"/>
      <c r="AJ139" s="591"/>
      <c r="AK139" s="591"/>
      <c r="AM139" s="591"/>
      <c r="AN139" s="591"/>
      <c r="AO139" s="591"/>
      <c r="AP139" s="591"/>
      <c r="AQ139" s="591"/>
      <c r="AS139" s="591"/>
      <c r="AT139" s="591"/>
      <c r="AU139" s="591"/>
      <c r="AV139" s="591"/>
      <c r="AW139" s="591"/>
      <c r="AY139" s="591"/>
    </row>
    <row r="140" spans="1:51" ht="15.75" hidden="1" customHeight="1" x14ac:dyDescent="0.2">
      <c r="A140" s="2"/>
      <c r="B140" s="2"/>
      <c r="C140" s="148">
        <v>2</v>
      </c>
      <c r="D140" s="103">
        <f>IF(I140=0,0,COUNTIF(D$139:D139,"&gt;0")+1)</f>
        <v>0</v>
      </c>
      <c r="E140" s="263" t="str">
        <f>IMPOSTAZIONI!B299</f>
        <v>--</v>
      </c>
      <c r="F140" s="2"/>
      <c r="G140" s="305">
        <f>VLOOKUP(E140,IMPOSTAZIONI!$B$298:$AK$304,$E$149,FALSE)</f>
        <v>0</v>
      </c>
      <c r="H140" s="306" t="str">
        <f>IF(G140&gt;0,IF(AND(ISERROR(HLOOKUP(E140,G$136:I$136,1,FALSE)),ISERROR(HLOOKUP(E140,G$1:N$1,1,FALSE))),E140,"OK"),"")</f>
        <v/>
      </c>
      <c r="I140" s="307">
        <f t="shared" ref="I140:I148" si="35">IF(H140="OK",0,IF(H140="",0,1))</f>
        <v>0</v>
      </c>
      <c r="J140" s="267">
        <f>IF(ISERROR(J$139),0,HLOOKUP(J$139,IMPOSTAZIONI!$AB$183:$AH$187,3,FALSE))</f>
        <v>0</v>
      </c>
      <c r="K140" s="267">
        <f>IF(ISERROR(K$139),0,HLOOKUP(K$139,IMPOSTAZIONI!$AB$183:$AH$187,3,FALSE))</f>
        <v>0</v>
      </c>
      <c r="L140" s="268">
        <f>IF(ISERROR(L$139),0,HLOOKUP(L$139,IMPOSTAZIONI!$AB$183:$AH$187,3,FALSE))</f>
        <v>0</v>
      </c>
      <c r="M140" s="2"/>
      <c r="N140" s="2"/>
      <c r="O140" s="2"/>
      <c r="P140" s="2"/>
      <c r="Q140" s="2"/>
      <c r="R140" s="2"/>
      <c r="S140" s="2"/>
      <c r="T140" s="2"/>
      <c r="U140" s="2"/>
      <c r="V140" s="591"/>
      <c r="W140" s="591"/>
      <c r="X140" s="591"/>
      <c r="Y140" s="591"/>
      <c r="Z140" s="591"/>
      <c r="AA140" s="591"/>
      <c r="AB140" s="591"/>
      <c r="AC140" s="591"/>
      <c r="AG140" s="591"/>
      <c r="AH140" s="591"/>
      <c r="AI140" s="591"/>
      <c r="AJ140" s="591"/>
      <c r="AK140" s="591"/>
      <c r="AM140" s="591"/>
      <c r="AN140" s="591"/>
      <c r="AO140" s="591"/>
      <c r="AP140" s="591"/>
      <c r="AQ140" s="591"/>
      <c r="AS140" s="591"/>
      <c r="AT140" s="591"/>
      <c r="AU140" s="591"/>
      <c r="AV140" s="591"/>
      <c r="AW140" s="591"/>
      <c r="AY140" s="591"/>
    </row>
    <row r="141" spans="1:51" ht="15.75" hidden="1" customHeight="1" x14ac:dyDescent="0.2">
      <c r="A141" s="2"/>
      <c r="B141" s="2"/>
      <c r="C141" s="148">
        <v>3</v>
      </c>
      <c r="D141" s="103">
        <f>IF(I141=0,0,COUNTIF(D$139:D140,"&gt;0")+1)</f>
        <v>0</v>
      </c>
      <c r="E141" s="263" t="str">
        <f>IMPOSTAZIONI!B300</f>
        <v>--</v>
      </c>
      <c r="F141" s="2"/>
      <c r="G141" s="305">
        <f>VLOOKUP(E141,IMPOSTAZIONI!$B$298:$AK$304,$E$149,FALSE)</f>
        <v>0</v>
      </c>
      <c r="H141" s="306" t="str">
        <f>IF(G141&gt;0,IF(AND(ISERROR(HLOOKUP(E141,G$136:I$136,1,FALSE)),ISERROR(HLOOKUP(E141,G$1:N$1,1,FALSE))),E141,"OK"),"")</f>
        <v/>
      </c>
      <c r="I141" s="307">
        <f t="shared" si="35"/>
        <v>0</v>
      </c>
      <c r="J141" s="264">
        <f>IF(ISERROR(J$139),0,HLOOKUP(J$139,IMPOSTAZIONI!$AB$183:$AH$187,4,FALSE))</f>
        <v>0</v>
      </c>
      <c r="K141" s="264">
        <f>IF(ISERROR(K$139),0,HLOOKUP(K$139,IMPOSTAZIONI!$AB$183:$AH$187,4,FALSE))</f>
        <v>0</v>
      </c>
      <c r="L141" s="266">
        <f>IF(ISERROR(L$139),0,HLOOKUP(L$139,IMPOSTAZIONI!$AB$183:$AH$187,4,FALSE))</f>
        <v>0</v>
      </c>
      <c r="M141" s="2"/>
      <c r="N141" s="2"/>
      <c r="O141" s="2"/>
      <c r="P141" s="2"/>
      <c r="Q141" s="2"/>
      <c r="R141" s="2"/>
      <c r="S141" s="2"/>
      <c r="T141" s="2"/>
      <c r="U141" s="2"/>
      <c r="V141" s="591"/>
      <c r="W141" s="591"/>
      <c r="X141" s="591"/>
      <c r="Y141" s="591"/>
      <c r="Z141" s="591"/>
      <c r="AA141" s="591"/>
      <c r="AB141" s="591"/>
      <c r="AC141" s="591"/>
      <c r="AG141" s="591"/>
      <c r="AH141" s="591"/>
      <c r="AI141" s="591"/>
      <c r="AJ141" s="591"/>
      <c r="AK141" s="591"/>
      <c r="AM141" s="591"/>
      <c r="AN141" s="591"/>
      <c r="AO141" s="591"/>
      <c r="AP141" s="591"/>
      <c r="AQ141" s="591"/>
      <c r="AS141" s="591"/>
      <c r="AT141" s="591"/>
      <c r="AU141" s="591"/>
      <c r="AV141" s="591"/>
      <c r="AW141" s="591"/>
      <c r="AY141" s="591"/>
    </row>
    <row r="142" spans="1:51" ht="15.75" hidden="1" customHeight="1" x14ac:dyDescent="0.2">
      <c r="A142" s="2"/>
      <c r="B142" s="2"/>
      <c r="C142" s="103"/>
      <c r="D142" s="591"/>
      <c r="E142" s="591"/>
      <c r="F142" s="591"/>
      <c r="G142" s="591"/>
      <c r="H142" s="591"/>
      <c r="I142" s="591"/>
      <c r="J142" s="270">
        <f>IF(ISERROR(J$139),0,HLOOKUP(J$139,IMPOSTAZIONI!$AB$183:$AH$187,5,FALSE))</f>
        <v>0</v>
      </c>
      <c r="K142" s="270">
        <f>IF(ISERROR(K$139),0,HLOOKUP(K$139,IMPOSTAZIONI!$AB$183:$AH$187,5,FALSE))</f>
        <v>0</v>
      </c>
      <c r="L142" s="271">
        <f>IF(ISERROR(L$139),0,HLOOKUP(L$139,IMPOSTAZIONI!$AB$183:$AH$187,5,FALSE))</f>
        <v>0</v>
      </c>
      <c r="M142" s="2"/>
      <c r="N142" s="2"/>
      <c r="O142" s="2"/>
      <c r="P142" s="2"/>
      <c r="Q142" s="2"/>
      <c r="R142" s="2"/>
      <c r="S142" s="2"/>
      <c r="T142" s="2"/>
      <c r="U142" s="2"/>
      <c r="V142" s="591"/>
      <c r="W142" s="591"/>
      <c r="X142" s="591"/>
      <c r="Y142" s="591"/>
      <c r="Z142" s="591"/>
      <c r="AA142" s="591"/>
      <c r="AB142" s="591"/>
      <c r="AC142" s="591"/>
      <c r="AG142" s="591"/>
      <c r="AH142" s="591"/>
      <c r="AI142" s="591"/>
      <c r="AJ142" s="591"/>
      <c r="AK142" s="591"/>
      <c r="AM142" s="591"/>
      <c r="AN142" s="591"/>
      <c r="AO142" s="591"/>
      <c r="AP142" s="591"/>
      <c r="AQ142" s="591"/>
      <c r="AS142" s="591"/>
      <c r="AT142" s="591"/>
      <c r="AU142" s="591"/>
      <c r="AV142" s="591"/>
      <c r="AW142" s="591"/>
      <c r="AY142" s="591"/>
    </row>
    <row r="143" spans="1:51" ht="15.75" hidden="1" customHeight="1" x14ac:dyDescent="0.2">
      <c r="A143" s="2"/>
      <c r="B143" s="2"/>
      <c r="C143" s="103"/>
      <c r="D143" s="591"/>
      <c r="E143" s="591"/>
      <c r="F143" s="591"/>
      <c r="G143" s="591"/>
      <c r="H143" s="591"/>
      <c r="I143" s="591"/>
      <c r="J143" s="2"/>
      <c r="K143" s="2"/>
      <c r="L143" s="2"/>
      <c r="M143" s="2"/>
      <c r="N143" s="2"/>
      <c r="O143" s="2"/>
      <c r="P143" s="2"/>
      <c r="Q143" s="2"/>
      <c r="R143" s="2"/>
      <c r="S143" s="2"/>
      <c r="T143" s="2"/>
      <c r="U143" s="2"/>
      <c r="V143" s="591"/>
      <c r="W143" s="591"/>
      <c r="X143" s="591"/>
      <c r="Y143" s="591"/>
      <c r="Z143" s="591"/>
      <c r="AA143" s="591"/>
      <c r="AB143" s="591"/>
      <c r="AC143" s="591"/>
      <c r="AG143" s="591"/>
      <c r="AH143" s="591"/>
      <c r="AI143" s="591"/>
      <c r="AJ143" s="591"/>
      <c r="AK143" s="591"/>
      <c r="AM143" s="591"/>
      <c r="AN143" s="591"/>
      <c r="AO143" s="591"/>
      <c r="AP143" s="591"/>
      <c r="AQ143" s="591"/>
      <c r="AS143" s="591"/>
      <c r="AT143" s="591"/>
      <c r="AU143" s="591"/>
      <c r="AV143" s="591"/>
      <c r="AW143" s="591"/>
      <c r="AY143" s="591"/>
    </row>
    <row r="144" spans="1:51" ht="15.75" hidden="1" customHeight="1" x14ac:dyDescent="0.2">
      <c r="A144" s="2"/>
      <c r="B144" s="2"/>
      <c r="C144" s="103"/>
      <c r="D144" s="591"/>
      <c r="E144" s="591"/>
      <c r="F144" s="591"/>
      <c r="G144" s="591"/>
      <c r="H144" s="591"/>
      <c r="I144" s="591"/>
      <c r="J144" s="2"/>
      <c r="K144" s="2102" t="s">
        <v>543</v>
      </c>
      <c r="L144" s="2103"/>
      <c r="M144" s="1297" t="s">
        <v>198</v>
      </c>
      <c r="N144" s="1298" t="s">
        <v>202</v>
      </c>
      <c r="O144" s="1297" t="s">
        <v>199</v>
      </c>
      <c r="P144" s="1298" t="s">
        <v>203</v>
      </c>
      <c r="Q144" s="1297" t="s">
        <v>65</v>
      </c>
      <c r="R144" s="1298" t="s">
        <v>66</v>
      </c>
      <c r="S144" s="1297" t="s">
        <v>65</v>
      </c>
      <c r="T144" s="1298" t="s">
        <v>66</v>
      </c>
      <c r="U144" s="2"/>
      <c r="V144" s="591"/>
      <c r="W144" s="591"/>
      <c r="X144" s="591"/>
      <c r="Y144" s="591"/>
      <c r="Z144" s="591"/>
      <c r="AA144" s="591"/>
      <c r="AB144" s="591"/>
      <c r="AC144" s="591"/>
      <c r="AG144" s="591"/>
      <c r="AH144" s="591"/>
      <c r="AI144" s="591"/>
      <c r="AJ144" s="591"/>
      <c r="AK144" s="591"/>
      <c r="AM144" s="591"/>
      <c r="AN144" s="591"/>
      <c r="AO144" s="591"/>
      <c r="AP144" s="591"/>
      <c r="AQ144" s="591"/>
      <c r="AS144" s="591"/>
      <c r="AT144" s="591"/>
      <c r="AU144" s="591"/>
      <c r="AV144" s="591"/>
      <c r="AW144" s="591"/>
      <c r="AY144" s="591"/>
    </row>
    <row r="145" spans="1:51" ht="15.75" hidden="1" customHeight="1" x14ac:dyDescent="0.2">
      <c r="A145" s="2"/>
      <c r="B145" s="2"/>
      <c r="C145" s="103"/>
      <c r="D145" s="103">
        <f>IF(I145=0,0,COUNTIF(D$139:D144,"&gt;0")+1)</f>
        <v>0</v>
      </c>
      <c r="E145" s="263" t="str">
        <f>IMPOSTAZIONI!B301</f>
        <v>--</v>
      </c>
      <c r="F145" s="2"/>
      <c r="G145" s="305">
        <f>VLOOKUP(E145,IMPOSTAZIONI!$B$298:$AK$304,$E$149,FALSE)</f>
        <v>0</v>
      </c>
      <c r="H145" s="306" t="str">
        <f>IF(G145&gt;0,IF(AND(ISERROR(HLOOKUP(E145,G$136:I$136,1,FALSE)),ISERROR(HLOOKUP(E145,G$1:N$1,1,FALSE))),E145,"OK"),"")</f>
        <v/>
      </c>
      <c r="I145" s="307">
        <f t="shared" si="35"/>
        <v>0</v>
      </c>
      <c r="J145" s="2"/>
      <c r="K145" s="2102" t="s">
        <v>58</v>
      </c>
      <c r="L145" s="2103"/>
      <c r="M145" s="100" t="s">
        <v>198</v>
      </c>
      <c r="N145" s="1299" t="s">
        <v>202</v>
      </c>
      <c r="O145" s="100" t="s">
        <v>199</v>
      </c>
      <c r="P145" s="1299" t="s">
        <v>203</v>
      </c>
      <c r="Q145" s="100" t="s">
        <v>65</v>
      </c>
      <c r="R145" s="1299" t="s">
        <v>66</v>
      </c>
      <c r="S145" s="100" t="s">
        <v>65</v>
      </c>
      <c r="T145" s="1299" t="s">
        <v>66</v>
      </c>
      <c r="U145" s="2"/>
      <c r="V145" s="591"/>
      <c r="W145" s="591"/>
      <c r="X145" s="591"/>
      <c r="Y145" s="591"/>
      <c r="Z145" s="591"/>
      <c r="AA145" s="591"/>
      <c r="AB145" s="591"/>
      <c r="AC145" s="591"/>
      <c r="AG145" s="591"/>
      <c r="AH145" s="591"/>
      <c r="AI145" s="591"/>
      <c r="AJ145" s="591"/>
      <c r="AK145" s="591"/>
      <c r="AM145" s="591"/>
      <c r="AN145" s="591"/>
      <c r="AO145" s="591"/>
      <c r="AP145" s="591"/>
      <c r="AQ145" s="591"/>
      <c r="AS145" s="591"/>
      <c r="AT145" s="591"/>
      <c r="AU145" s="591"/>
      <c r="AV145" s="591"/>
      <c r="AW145" s="591"/>
      <c r="AY145" s="591"/>
    </row>
    <row r="146" spans="1:51" ht="15.75" hidden="1" customHeight="1" x14ac:dyDescent="0.2">
      <c r="A146" s="2"/>
      <c r="B146" s="2"/>
      <c r="C146" s="103"/>
      <c r="D146" s="103">
        <f>IF(I146=0,0,COUNTIF(D$139:D145,"&gt;0")+1)</f>
        <v>0</v>
      </c>
      <c r="E146" s="263" t="str">
        <f>IMPOSTAZIONI!B302</f>
        <v/>
      </c>
      <c r="F146" s="2"/>
      <c r="G146" s="305">
        <f>VLOOKUP(E146,IMPOSTAZIONI!$B$298:$AK$304,$E$149,FALSE)</f>
        <v>0</v>
      </c>
      <c r="H146" s="306" t="str">
        <f>IF(G146&gt;0,IF(AND(ISERROR(HLOOKUP(E146,G$136:I$136,1,FALSE)),ISERROR(HLOOKUP(E146,G$1:N$1,1,FALSE))),E146,"OK"),"")</f>
        <v/>
      </c>
      <c r="I146" s="307">
        <f t="shared" si="35"/>
        <v>0</v>
      </c>
      <c r="J146" s="2"/>
      <c r="K146" s="2102" t="s">
        <v>59</v>
      </c>
      <c r="L146" s="2103"/>
      <c r="M146" s="100" t="s">
        <v>198</v>
      </c>
      <c r="N146" s="1299" t="s">
        <v>62</v>
      </c>
      <c r="O146" s="100" t="s">
        <v>199</v>
      </c>
      <c r="P146" s="1299" t="s">
        <v>203</v>
      </c>
      <c r="Q146" s="100" t="s">
        <v>65</v>
      </c>
      <c r="R146" s="1299" t="s">
        <v>66</v>
      </c>
      <c r="S146" s="100" t="s">
        <v>65</v>
      </c>
      <c r="T146" s="1299" t="s">
        <v>66</v>
      </c>
      <c r="U146" s="2"/>
      <c r="V146" s="591"/>
      <c r="W146" s="591"/>
      <c r="X146" s="591"/>
      <c r="Y146" s="591"/>
      <c r="Z146" s="591"/>
      <c r="AA146" s="591"/>
      <c r="AB146" s="591"/>
      <c r="AC146" s="591"/>
      <c r="AG146" s="591"/>
      <c r="AH146" s="591"/>
      <c r="AI146" s="591"/>
      <c r="AJ146" s="591"/>
      <c r="AK146" s="591"/>
      <c r="AM146" s="591"/>
      <c r="AN146" s="591"/>
      <c r="AO146" s="591"/>
      <c r="AP146" s="591"/>
      <c r="AQ146" s="591"/>
      <c r="AS146" s="591"/>
      <c r="AT146" s="591"/>
      <c r="AU146" s="591"/>
      <c r="AV146" s="591"/>
      <c r="AW146" s="591"/>
      <c r="AY146" s="591"/>
    </row>
    <row r="147" spans="1:51" ht="15.75" hidden="1" customHeight="1" x14ac:dyDescent="0.2">
      <c r="A147" s="2"/>
      <c r="B147" s="2"/>
      <c r="C147" s="103"/>
      <c r="D147" s="103">
        <f>IF(I147=0,0,COUNTIF(D$139:D146,"&gt;0")+1)</f>
        <v>0</v>
      </c>
      <c r="E147" s="263" t="str">
        <f>IMPOSTAZIONI!B303</f>
        <v/>
      </c>
      <c r="F147" s="2"/>
      <c r="G147" s="305">
        <f>VLOOKUP(E147,IMPOSTAZIONI!$B$298:$AK$304,$E$149,FALSE)</f>
        <v>0</v>
      </c>
      <c r="H147" s="306" t="str">
        <f>IF(G147&gt;0,IF(AND(ISERROR(HLOOKUP(E147,G$136:I$136,1,FALSE)),ISERROR(HLOOKUP(E147,G$1:N$1,1,FALSE))),E147,"OK"),"")</f>
        <v/>
      </c>
      <c r="I147" s="307">
        <f t="shared" si="35"/>
        <v>0</v>
      </c>
      <c r="J147" s="2"/>
      <c r="K147" s="2102" t="s">
        <v>60</v>
      </c>
      <c r="L147" s="2103"/>
      <c r="M147" s="100" t="s">
        <v>199</v>
      </c>
      <c r="N147" s="1299" t="s">
        <v>203</v>
      </c>
      <c r="O147" s="100" t="s">
        <v>198</v>
      </c>
      <c r="P147" s="1299" t="s">
        <v>63</v>
      </c>
      <c r="Q147" s="100" t="s">
        <v>67</v>
      </c>
      <c r="R147" s="1299" t="s">
        <v>68</v>
      </c>
      <c r="S147" s="100" t="s">
        <v>67</v>
      </c>
      <c r="T147" s="1299" t="s">
        <v>68</v>
      </c>
      <c r="U147" s="2"/>
      <c r="V147" s="591"/>
      <c r="W147" s="591"/>
      <c r="X147" s="591"/>
      <c r="Y147" s="591"/>
      <c r="Z147" s="591"/>
      <c r="AA147" s="591"/>
      <c r="AB147" s="591"/>
      <c r="AC147" s="591"/>
      <c r="AG147" s="591"/>
      <c r="AH147" s="591"/>
      <c r="AI147" s="591"/>
      <c r="AJ147" s="591"/>
      <c r="AK147" s="591"/>
      <c r="AM147" s="591"/>
      <c r="AN147" s="591"/>
      <c r="AO147" s="591"/>
      <c r="AP147" s="591"/>
      <c r="AQ147" s="591"/>
      <c r="AS147" s="591"/>
      <c r="AT147" s="591"/>
      <c r="AU147" s="591"/>
      <c r="AV147" s="591"/>
      <c r="AW147" s="591"/>
      <c r="AY147" s="591"/>
    </row>
    <row r="148" spans="1:51" ht="15.75" hidden="1" customHeight="1" x14ac:dyDescent="0.2">
      <c r="A148" s="2"/>
      <c r="B148" s="2"/>
      <c r="C148" s="103"/>
      <c r="D148" s="103">
        <f>IF(I148=0,0,COUNTIF(D$139:D147,"&gt;0")+1)</f>
        <v>0</v>
      </c>
      <c r="E148" s="263" t="str">
        <f>IMPOSTAZIONI!B304</f>
        <v/>
      </c>
      <c r="F148" s="2"/>
      <c r="G148" s="305">
        <f>VLOOKUP(E148,IMPOSTAZIONI!$B$298:$AK$304,$E$149,FALSE)</f>
        <v>0</v>
      </c>
      <c r="H148" s="306" t="str">
        <f>IF(G148&gt;0,IF(AND(ISERROR(HLOOKUP(E148,G$136:I$136,1,FALSE)),ISERROR(HLOOKUP(E148,G$1:N$1,1,FALSE))),E148,"OK"),"")</f>
        <v/>
      </c>
      <c r="I148" s="307">
        <f t="shared" si="35"/>
        <v>0</v>
      </c>
      <c r="J148" s="2"/>
      <c r="K148" s="2102" t="s">
        <v>61</v>
      </c>
      <c r="L148" s="2103"/>
      <c r="M148" s="100" t="s">
        <v>195</v>
      </c>
      <c r="N148" s="1301" t="s">
        <v>64</v>
      </c>
      <c r="O148" s="1300" t="s">
        <v>195</v>
      </c>
      <c r="P148" s="1301" t="s">
        <v>64</v>
      </c>
      <c r="Q148" s="1300" t="s">
        <v>69</v>
      </c>
      <c r="R148" s="1301"/>
      <c r="S148" s="1300" t="s">
        <v>70</v>
      </c>
      <c r="T148" s="1301"/>
      <c r="U148" s="2"/>
      <c r="V148" s="591"/>
      <c r="W148" s="591"/>
      <c r="X148" s="591"/>
      <c r="Y148" s="591"/>
      <c r="Z148" s="591"/>
      <c r="AA148" s="591"/>
      <c r="AB148" s="591"/>
      <c r="AC148" s="591"/>
      <c r="AG148" s="591"/>
      <c r="AH148" s="591"/>
      <c r="AI148" s="591"/>
      <c r="AJ148" s="591"/>
      <c r="AK148" s="591"/>
      <c r="AM148" s="591"/>
      <c r="AN148" s="591"/>
      <c r="AO148" s="591"/>
      <c r="AP148" s="591"/>
      <c r="AQ148" s="591"/>
      <c r="AS148" s="591"/>
      <c r="AT148" s="591"/>
      <c r="AU148" s="591"/>
      <c r="AV148" s="591"/>
      <c r="AW148" s="591"/>
      <c r="AY148" s="591"/>
    </row>
    <row r="149" spans="1:51" ht="15.75" hidden="1" customHeight="1" x14ac:dyDescent="0.2">
      <c r="A149" s="2"/>
      <c r="B149" s="2"/>
      <c r="C149" s="2"/>
      <c r="D149" s="2"/>
      <c r="E149" s="306">
        <v>3</v>
      </c>
      <c r="F149" s="2"/>
      <c r="G149" s="306" t="str">
        <f>IF(MAX(D139:D148)&gt;C141,K132,"")</f>
        <v/>
      </c>
      <c r="H149" s="308">
        <f>IF((MAX(D139:D148)+3-E135)&gt;3,K132,MAX(D139:D148))</f>
        <v>0</v>
      </c>
      <c r="I149" s="273"/>
      <c r="J149" s="2"/>
      <c r="K149" s="2099"/>
      <c r="L149" s="2099"/>
      <c r="M149" s="1302"/>
      <c r="N149" s="1302"/>
      <c r="O149" s="2"/>
      <c r="P149" s="2"/>
      <c r="Q149" s="2"/>
      <c r="R149" s="2"/>
      <c r="S149" s="2"/>
      <c r="T149" s="2"/>
      <c r="U149" s="2"/>
      <c r="V149" s="591"/>
      <c r="W149" s="591"/>
      <c r="X149" s="591"/>
      <c r="Y149" s="591"/>
      <c r="Z149" s="591"/>
      <c r="AA149" s="591"/>
      <c r="AB149" s="591"/>
      <c r="AC149" s="591"/>
      <c r="AG149" s="591"/>
      <c r="AH149" s="591"/>
      <c r="AI149" s="591"/>
      <c r="AJ149" s="591"/>
      <c r="AK149" s="591"/>
      <c r="AM149" s="591"/>
      <c r="AN149" s="591"/>
      <c r="AO149" s="591"/>
      <c r="AP149" s="591"/>
      <c r="AQ149" s="591"/>
      <c r="AS149" s="591"/>
      <c r="AT149" s="591"/>
      <c r="AU149" s="591"/>
      <c r="AV149" s="591"/>
      <c r="AW149" s="591"/>
      <c r="AY149" s="591"/>
    </row>
    <row r="150" spans="1:51" ht="21" hidden="1" customHeight="1" x14ac:dyDescent="0.2">
      <c r="A150" s="2"/>
      <c r="B150" s="2"/>
      <c r="C150" s="2"/>
      <c r="D150" s="2"/>
      <c r="E150" s="807">
        <f>VLOOKUP(E3,STORICO!C153:AO197,39,FALSE)</f>
        <v>1</v>
      </c>
      <c r="F150" s="2"/>
      <c r="G150" s="1210">
        <f>IF(AND(G152&gt;0,OR(G99&lt;&gt;"OK",G105&lt;&gt;"OK")),1,0)</f>
        <v>0</v>
      </c>
      <c r="H150" s="1210">
        <f>IF(AND(H152&gt;0,OR(H99&lt;&gt;"OK",H105&lt;&gt;"OK")),1,0)</f>
        <v>0</v>
      </c>
      <c r="I150" s="1210">
        <f>IF(AND(I152&gt;0,OR(K99&lt;&gt;"OK",K105&lt;&gt;"OK")),1,0)</f>
        <v>0</v>
      </c>
      <c r="J150" s="1210">
        <f>IF(AND(J152&gt;0,OR(N99&lt;&gt;"OK",N105&lt;&gt;"OK")),1,0)</f>
        <v>0</v>
      </c>
      <c r="K150" s="2"/>
      <c r="L150" s="2"/>
      <c r="M150" s="2"/>
      <c r="N150" s="2"/>
      <c r="O150" s="2"/>
      <c r="P150" s="2"/>
      <c r="Q150" s="2"/>
      <c r="R150" s="2"/>
      <c r="S150" s="2"/>
      <c r="T150" s="2"/>
      <c r="U150" s="2"/>
      <c r="V150" s="591"/>
      <c r="W150" s="591"/>
      <c r="X150" s="591"/>
      <c r="Y150" s="591"/>
      <c r="Z150" s="591"/>
      <c r="AA150" s="591"/>
      <c r="AB150" s="591"/>
      <c r="AC150" s="591"/>
      <c r="AG150" s="591"/>
      <c r="AH150" s="591"/>
      <c r="AI150" s="591"/>
      <c r="AJ150" s="591"/>
      <c r="AK150" s="591"/>
      <c r="AM150" s="591"/>
      <c r="AN150" s="591"/>
      <c r="AO150" s="591"/>
      <c r="AP150" s="591"/>
      <c r="AQ150" s="591"/>
      <c r="AS150" s="591"/>
      <c r="AT150" s="591"/>
      <c r="AU150" s="591"/>
      <c r="AV150" s="591"/>
      <c r="AW150" s="591"/>
      <c r="AY150" s="591"/>
    </row>
    <row r="151" spans="1:51" ht="21" hidden="1" customHeight="1" x14ac:dyDescent="0.2">
      <c r="A151" s="2"/>
      <c r="B151" s="2"/>
      <c r="C151" s="2"/>
      <c r="D151" s="2"/>
      <c r="E151" s="2"/>
      <c r="F151" s="2"/>
      <c r="G151" s="1212" t="str">
        <f>IMPOSTAZIONI!Y382</f>
        <v>Hai delle colonne ALIQUOTE DIVERSE che DEVI SCORPORARE manualmente qui.</v>
      </c>
      <c r="H151" s="1212"/>
      <c r="I151" s="1212"/>
      <c r="J151" s="1212"/>
      <c r="K151" s="1213"/>
      <c r="L151" s="1213"/>
      <c r="M151" s="1213"/>
      <c r="N151" s="1213"/>
      <c r="O151" s="688"/>
      <c r="P151" s="688"/>
      <c r="Q151" s="688"/>
      <c r="R151" s="99"/>
      <c r="S151" s="1306"/>
      <c r="T151" s="591"/>
      <c r="U151" s="591"/>
      <c r="V151" s="591"/>
      <c r="W151" s="591"/>
      <c r="X151" s="591"/>
      <c r="Y151" s="591"/>
      <c r="Z151" s="591"/>
      <c r="AA151" s="591"/>
      <c r="AB151" s="591"/>
      <c r="AC151" s="591"/>
      <c r="AG151" s="591"/>
      <c r="AH151" s="591"/>
      <c r="AI151" s="591"/>
      <c r="AJ151" s="591"/>
      <c r="AK151" s="591"/>
      <c r="AM151" s="591"/>
      <c r="AN151" s="591"/>
      <c r="AO151" s="591"/>
      <c r="AP151" s="591"/>
      <c r="AQ151" s="591"/>
      <c r="AS151" s="591"/>
      <c r="AT151" s="591"/>
      <c r="AU151" s="591"/>
      <c r="AV151" s="591"/>
      <c r="AW151" s="591"/>
      <c r="AY151" s="591"/>
    </row>
    <row r="152" spans="1:51" ht="21" hidden="1" customHeight="1" x14ac:dyDescent="0.2">
      <c r="A152" s="2"/>
      <c r="B152" s="2"/>
      <c r="C152" s="2"/>
      <c r="D152" s="2"/>
      <c r="E152" s="92" t="str">
        <f>IMPOSTAZIONI!J383</f>
        <v>INSERISCI</v>
      </c>
      <c r="F152" s="2"/>
      <c r="G152" s="86">
        <f>IF(G46=0,0,IF(AND(G62&lt;&gt;$L134,G155="X"),1,0))</f>
        <v>0</v>
      </c>
      <c r="H152" s="87">
        <f>IF(H46=0,0,IF(AND(H62&lt;&gt;$L134,H155="X"),1,0))</f>
        <v>0</v>
      </c>
      <c r="I152" s="87">
        <f>IF(K46=0,0,IF(AND(K62&lt;&gt;$L134,I155="X"),1,0))</f>
        <v>0</v>
      </c>
      <c r="J152" s="88">
        <f>IF(N46=0,0,IF(AND(N62&lt;&gt;$L134,J155="X"),1,0))</f>
        <v>0</v>
      </c>
      <c r="K152" s="100" t="str">
        <f>IMPOSTAZIONI!M383</f>
        <v>VERIFICA</v>
      </c>
      <c r="L152" s="92" t="str">
        <f>IMPOSTAZIONI!P383</f>
        <v>CANCELLA</v>
      </c>
      <c r="M152" s="2"/>
      <c r="N152" s="2"/>
      <c r="O152" s="2"/>
      <c r="P152" s="2"/>
      <c r="Q152" s="2"/>
      <c r="R152" s="2"/>
      <c r="S152" s="591"/>
      <c r="T152" s="591"/>
      <c r="U152" s="591"/>
      <c r="V152" s="591"/>
      <c r="W152" s="591"/>
      <c r="X152" s="591"/>
      <c r="Y152" s="591"/>
      <c r="Z152" s="591"/>
      <c r="AA152" s="591"/>
      <c r="AB152" s="591"/>
      <c r="AC152" s="591"/>
      <c r="AG152" s="591"/>
      <c r="AH152" s="591"/>
      <c r="AI152" s="591"/>
      <c r="AJ152" s="591"/>
      <c r="AK152" s="591"/>
      <c r="AM152" s="591"/>
      <c r="AN152" s="591"/>
      <c r="AO152" s="591"/>
      <c r="AP152" s="591"/>
      <c r="AQ152" s="591"/>
      <c r="AS152" s="591"/>
      <c r="AT152" s="591"/>
      <c r="AU152" s="591"/>
      <c r="AV152" s="591"/>
      <c r="AW152" s="591"/>
      <c r="AY152" s="591"/>
    </row>
    <row r="153" spans="1:51" ht="18.75" hidden="1" customHeight="1" x14ac:dyDescent="0.2">
      <c r="A153" s="2"/>
      <c r="B153" s="2"/>
      <c r="C153" s="2"/>
      <c r="D153" s="2"/>
      <c r="E153" s="2"/>
      <c r="F153" s="2"/>
      <c r="G153" s="1019">
        <f>G46</f>
        <v>1000</v>
      </c>
      <c r="H153" s="1019">
        <f>H46</f>
        <v>0</v>
      </c>
      <c r="I153" s="1019">
        <f>K46</f>
        <v>0</v>
      </c>
      <c r="J153" s="1019">
        <f>N46</f>
        <v>0</v>
      </c>
      <c r="K153" s="2"/>
      <c r="L153" s="2"/>
      <c r="M153" s="2"/>
      <c r="N153" s="2"/>
      <c r="O153" s="2"/>
      <c r="P153" s="2"/>
      <c r="Q153" s="2"/>
      <c r="R153" s="2"/>
      <c r="S153" s="591"/>
      <c r="T153" s="591"/>
      <c r="U153" s="591"/>
      <c r="V153" s="591"/>
      <c r="W153" s="591"/>
      <c r="X153" s="591"/>
      <c r="Y153" s="591"/>
      <c r="Z153" s="591"/>
      <c r="AA153" s="591"/>
      <c r="AB153" s="591"/>
      <c r="AC153" s="591"/>
      <c r="AG153" s="591"/>
      <c r="AH153" s="591"/>
      <c r="AI153" s="591"/>
      <c r="AJ153" s="591"/>
      <c r="AK153" s="591"/>
      <c r="AM153" s="591"/>
      <c r="AN153" s="591"/>
      <c r="AO153" s="591"/>
      <c r="AP153" s="591"/>
      <c r="AQ153" s="591"/>
      <c r="AS153" s="591"/>
      <c r="AT153" s="591"/>
      <c r="AU153" s="591"/>
      <c r="AV153" s="591"/>
      <c r="AW153" s="591"/>
      <c r="AY153" s="591"/>
    </row>
    <row r="154" spans="1:51" ht="16.5" hidden="1" customHeight="1" x14ac:dyDescent="0.2">
      <c r="A154" s="2"/>
      <c r="B154" s="2"/>
      <c r="C154" s="2"/>
      <c r="D154" s="2"/>
      <c r="E154" s="2"/>
      <c r="F154" s="2"/>
      <c r="G154" s="756">
        <f>G48</f>
        <v>0</v>
      </c>
      <c r="H154" s="757">
        <f>H48</f>
        <v>0</v>
      </c>
      <c r="I154" s="757">
        <f>K48</f>
        <v>0</v>
      </c>
      <c r="J154" s="758">
        <f>N48</f>
        <v>0</v>
      </c>
      <c r="K154" s="2"/>
      <c r="L154" s="2"/>
      <c r="M154" s="2"/>
      <c r="N154" s="2"/>
      <c r="O154" s="2"/>
      <c r="P154" s="2"/>
      <c r="Q154" s="2"/>
      <c r="R154" s="2"/>
      <c r="S154" s="591"/>
      <c r="T154" s="591"/>
      <c r="U154" s="591"/>
      <c r="V154" s="591"/>
      <c r="W154" s="591"/>
      <c r="X154" s="591"/>
      <c r="Y154" s="591"/>
      <c r="Z154" s="591"/>
      <c r="AA154" s="591"/>
      <c r="AB154" s="591"/>
      <c r="AC154" s="591"/>
      <c r="AG154" s="591"/>
      <c r="AH154" s="591"/>
      <c r="AI154" s="591"/>
      <c r="AJ154" s="591"/>
      <c r="AK154" s="591"/>
      <c r="AM154" s="591"/>
      <c r="AN154" s="591"/>
      <c r="AO154" s="591"/>
      <c r="AP154" s="591"/>
      <c r="AQ154" s="591"/>
      <c r="AS154" s="591"/>
      <c r="AT154" s="591"/>
      <c r="AU154" s="591"/>
      <c r="AV154" s="591"/>
      <c r="AW154" s="591"/>
      <c r="AY154" s="591"/>
    </row>
    <row r="155" spans="1:51" ht="15" hidden="1" customHeight="1" x14ac:dyDescent="0.2">
      <c r="A155" s="2"/>
      <c r="B155" s="2"/>
      <c r="C155" s="2"/>
      <c r="D155" s="2"/>
      <c r="E155" s="2"/>
      <c r="F155" s="2"/>
      <c r="G155" s="753">
        <f>IF(G156="",0,VLOOKUP(G156,IMPOSTAZIONI!$R$131:$AD$145,13,FALSE))</f>
        <v>0</v>
      </c>
      <c r="H155" s="754">
        <f>IF(H156="",0,VLOOKUP(H156,IMPOSTAZIONI!$R$131:$AD$145,13,FALSE))</f>
        <v>0</v>
      </c>
      <c r="I155" s="754">
        <f>IF(I156="",0,VLOOKUP(I156,IMPOSTAZIONI!$R$131:$AD$145,13,FALSE))</f>
        <v>0</v>
      </c>
      <c r="J155" s="755">
        <f>IF(J156="",0,VLOOKUP(J156,IMPOSTAZIONI!$R$131:$AD$145,13,FALSE))</f>
        <v>0</v>
      </c>
      <c r="K155" s="2"/>
      <c r="L155" s="2"/>
      <c r="M155" s="2"/>
      <c r="N155" s="2"/>
      <c r="O155" s="2"/>
      <c r="P155" s="2"/>
      <c r="Q155" s="2"/>
      <c r="R155" s="2"/>
      <c r="S155" s="591"/>
      <c r="T155" s="591"/>
      <c r="U155" s="591"/>
      <c r="V155" s="591"/>
      <c r="W155" s="591"/>
      <c r="X155" s="591"/>
      <c r="Y155" s="591"/>
      <c r="Z155" s="591"/>
      <c r="AA155" s="591"/>
      <c r="AB155" s="591"/>
      <c r="AC155" s="591"/>
      <c r="AG155" s="591"/>
      <c r="AH155" s="591"/>
      <c r="AI155" s="591"/>
      <c r="AJ155" s="591"/>
      <c r="AK155" s="591"/>
      <c r="AM155" s="591"/>
      <c r="AN155" s="591"/>
      <c r="AO155" s="591"/>
      <c r="AP155" s="591"/>
      <c r="AQ155" s="591"/>
      <c r="AS155" s="591"/>
      <c r="AT155" s="591"/>
      <c r="AU155" s="591"/>
      <c r="AV155" s="591"/>
      <c r="AW155" s="591"/>
      <c r="AY155" s="591"/>
    </row>
    <row r="156" spans="1:51" ht="15" hidden="1" customHeight="1" x14ac:dyDescent="0.2">
      <c r="A156" s="2"/>
      <c r="B156" s="2"/>
      <c r="C156" s="2"/>
      <c r="D156" s="2"/>
      <c r="E156" s="2"/>
      <c r="F156" s="56"/>
      <c r="G156" s="752" t="str">
        <f>IMPOSTAZIONI!F194</f>
        <v/>
      </c>
      <c r="H156" s="752" t="str">
        <f>IMPOSTAZIONI!K194</f>
        <v/>
      </c>
      <c r="I156" s="752" t="str">
        <f>IMPOSTAZIONI!P194</f>
        <v/>
      </c>
      <c r="J156" s="752" t="str">
        <f>IMPOSTAZIONI!U194</f>
        <v/>
      </c>
      <c r="K156" s="2100" t="s">
        <v>195</v>
      </c>
      <c r="L156" s="2100"/>
      <c r="M156" s="2"/>
      <c r="N156" s="2"/>
      <c r="O156" s="2"/>
      <c r="P156" s="2"/>
      <c r="Q156" s="2"/>
      <c r="R156" s="2"/>
      <c r="S156" s="591"/>
      <c r="T156" s="591"/>
      <c r="U156" s="591"/>
      <c r="V156" s="591"/>
      <c r="W156" s="591"/>
      <c r="X156" s="591"/>
      <c r="Y156" s="591"/>
      <c r="Z156" s="591"/>
      <c r="AA156" s="591"/>
      <c r="AB156" s="591"/>
      <c r="AC156" s="591"/>
      <c r="AG156" s="591"/>
      <c r="AH156" s="591"/>
      <c r="AI156" s="591"/>
      <c r="AJ156" s="591"/>
      <c r="AK156" s="591"/>
      <c r="AM156" s="591"/>
      <c r="AN156" s="591"/>
      <c r="AO156" s="591"/>
      <c r="AP156" s="591"/>
      <c r="AQ156" s="591"/>
      <c r="AS156" s="591"/>
      <c r="AT156" s="591"/>
      <c r="AU156" s="591"/>
      <c r="AV156" s="591"/>
      <c r="AW156" s="591"/>
      <c r="AY156" s="591"/>
    </row>
    <row r="157" spans="1:51" ht="15" hidden="1" customHeight="1" x14ac:dyDescent="0.2">
      <c r="A157" s="2"/>
      <c r="B157" s="2"/>
      <c r="C157" s="2"/>
      <c r="D157" s="2"/>
      <c r="E157" s="288" t="str">
        <f>IMPOSTAZIONI!B321</f>
        <v>SC</v>
      </c>
      <c r="F157" s="56"/>
      <c r="G157" s="288" t="str">
        <f>IF(MID(G1,7,2)="",$E157,MID(G1,7,2))</f>
        <v>SC</v>
      </c>
      <c r="H157" s="288" t="str">
        <f>IF(MID(H1,7,2)="",$E157,MID(H1,7,2))</f>
        <v>SC</v>
      </c>
      <c r="I157" s="288" t="str">
        <f>IF(MID(K1,7,2)="",$E157,MID(K1,7,2))</f>
        <v>SC</v>
      </c>
      <c r="J157" s="288" t="str">
        <f>IF(MID(N1,7,2)="",$E157,MID(N1,7,2))</f>
        <v>SC</v>
      </c>
      <c r="K157" s="2100" t="str">
        <f>IMPOSTAZIONI!AH7</f>
        <v>Categoria</v>
      </c>
      <c r="L157" s="2100"/>
      <c r="M157" s="2"/>
      <c r="N157" s="2"/>
      <c r="O157" s="2"/>
      <c r="P157" s="2"/>
      <c r="Q157" s="2"/>
      <c r="R157" s="2"/>
      <c r="S157" s="591"/>
      <c r="T157" s="591"/>
      <c r="U157" s="591"/>
      <c r="V157" s="591"/>
      <c r="W157" s="591"/>
      <c r="X157" s="591"/>
      <c r="Y157" s="591"/>
      <c r="Z157" s="591"/>
      <c r="AA157" s="591"/>
      <c r="AB157" s="591"/>
      <c r="AC157" s="591"/>
      <c r="AG157" s="591"/>
      <c r="AH157" s="591"/>
      <c r="AI157" s="591"/>
      <c r="AJ157" s="591"/>
      <c r="AK157" s="591"/>
      <c r="AM157" s="591"/>
      <c r="AN157" s="591"/>
      <c r="AO157" s="591"/>
      <c r="AP157" s="591"/>
      <c r="AQ157" s="591"/>
      <c r="AS157" s="591"/>
      <c r="AT157" s="591"/>
      <c r="AU157" s="591"/>
      <c r="AV157" s="591"/>
      <c r="AW157" s="591"/>
      <c r="AY157" s="591"/>
    </row>
    <row r="158" spans="1:51" ht="15" hidden="1" customHeight="1" x14ac:dyDescent="0.2">
      <c r="A158" s="2"/>
      <c r="B158" s="2"/>
      <c r="C158" s="2"/>
      <c r="D158" s="2"/>
      <c r="E158" s="288" t="str">
        <f>IMPOSTAZIONI!B351</f>
        <v>%</v>
      </c>
      <c r="F158" s="56"/>
      <c r="G158" s="288" t="str">
        <f>IF(OR(G155&gt;0,G155="X"),$E158,IF(G156="","",MID(G1,4,2)))</f>
        <v/>
      </c>
      <c r="H158" s="288" t="str">
        <f>IF(OR(H155&gt;0,H155="X"),$E158,IF(H156="","",MID(H1,4,2)))</f>
        <v/>
      </c>
      <c r="I158" s="288" t="str">
        <f>IF(OR(I155&gt;0,I155="X"),$E158,IF(I156="","",MID(K1,4,2)))</f>
        <v/>
      </c>
      <c r="J158" s="288" t="str">
        <f>IF(OR(J155&gt;0,J155="X"),$E158,IF(J156="","",MID(N1,4,2)))</f>
        <v/>
      </c>
      <c r="K158" s="2100" t="str">
        <f>IMPOSTAZIONI!B337</f>
        <v>NO IVA</v>
      </c>
      <c r="L158" s="2100"/>
      <c r="M158" s="2"/>
      <c r="N158" s="2"/>
      <c r="O158" s="2"/>
      <c r="P158" s="2"/>
      <c r="Q158" s="2"/>
      <c r="R158" s="2"/>
      <c r="S158" s="591"/>
      <c r="T158" s="591"/>
      <c r="U158" s="591"/>
      <c r="V158" s="591"/>
      <c r="W158" s="591"/>
      <c r="X158" s="591"/>
      <c r="Y158" s="591"/>
      <c r="Z158" s="591"/>
      <c r="AA158" s="591"/>
      <c r="AB158" s="591"/>
      <c r="AC158" s="591"/>
      <c r="AG158" s="591"/>
      <c r="AH158" s="591"/>
      <c r="AI158" s="591"/>
      <c r="AJ158" s="591"/>
      <c r="AK158" s="591"/>
      <c r="AM158" s="591"/>
      <c r="AN158" s="591"/>
      <c r="AO158" s="591"/>
      <c r="AP158" s="591"/>
      <c r="AQ158" s="591"/>
      <c r="AS158" s="591"/>
      <c r="AT158" s="591"/>
      <c r="AU158" s="591"/>
      <c r="AV158" s="591"/>
      <c r="AW158" s="591"/>
      <c r="AY158" s="591"/>
    </row>
    <row r="159" spans="1:51" ht="15" hidden="1" customHeight="1" x14ac:dyDescent="0.2">
      <c r="A159" s="2"/>
      <c r="B159" s="2"/>
      <c r="C159" s="2"/>
      <c r="D159" s="2"/>
      <c r="E159" s="2"/>
      <c r="F159" s="56"/>
      <c r="G159" s="376" t="str">
        <f>MID(G1,1,2)</f>
        <v>--</v>
      </c>
      <c r="H159" s="376" t="str">
        <f>MID(H1,1,2)</f>
        <v>--</v>
      </c>
      <c r="I159" s="376" t="str">
        <f>MID(K1,1,2)</f>
        <v>--</v>
      </c>
      <c r="J159" s="376" t="str">
        <f>MID(N1,1,2)</f>
        <v>--</v>
      </c>
      <c r="K159" s="2100" t="str">
        <f>IMPOSTAZIONI!B354</f>
        <v>TIPO</v>
      </c>
      <c r="L159" s="2100"/>
      <c r="M159" s="2"/>
      <c r="N159" s="2"/>
      <c r="O159" s="2"/>
      <c r="P159" s="2"/>
      <c r="Q159" s="2"/>
      <c r="R159" s="2"/>
      <c r="S159" s="591"/>
      <c r="T159" s="591"/>
      <c r="U159" s="591"/>
      <c r="V159" s="591"/>
      <c r="W159" s="591"/>
      <c r="X159" s="591"/>
      <c r="Y159" s="591"/>
      <c r="Z159" s="591"/>
      <c r="AA159" s="591"/>
      <c r="AB159" s="591"/>
      <c r="AC159" s="591"/>
      <c r="AG159" s="591"/>
      <c r="AH159" s="591"/>
      <c r="AI159" s="591"/>
      <c r="AJ159" s="591"/>
      <c r="AK159" s="591"/>
      <c r="AM159" s="591"/>
      <c r="AN159" s="591"/>
      <c r="AO159" s="591"/>
      <c r="AP159" s="591"/>
      <c r="AQ159" s="591"/>
      <c r="AS159" s="591"/>
      <c r="AT159" s="591"/>
      <c r="AU159" s="591"/>
      <c r="AV159" s="591"/>
      <c r="AW159" s="591"/>
      <c r="AY159" s="591"/>
    </row>
    <row r="160" spans="1:51" ht="15" hidden="1" customHeight="1" x14ac:dyDescent="0.2">
      <c r="A160" s="2"/>
      <c r="B160" s="2"/>
      <c r="C160" s="2"/>
      <c r="D160" s="2"/>
      <c r="E160" s="2"/>
      <c r="F160" s="56"/>
      <c r="G160" s="951">
        <f>SUM(G101:G104)</f>
        <v>0</v>
      </c>
      <c r="H160" s="377">
        <f>SUM(H101:H104)</f>
        <v>0</v>
      </c>
      <c r="I160" s="377">
        <f>SUM(K101:K104)</f>
        <v>0</v>
      </c>
      <c r="J160" s="377">
        <f>SUM(N101:N104)</f>
        <v>0</v>
      </c>
      <c r="K160" s="2107" t="s">
        <v>529</v>
      </c>
      <c r="L160" s="2107"/>
      <c r="M160" s="14"/>
      <c r="N160" s="14"/>
      <c r="O160" s="14"/>
      <c r="P160" s="14"/>
      <c r="Q160" s="14"/>
      <c r="R160" s="2"/>
      <c r="S160" s="591"/>
      <c r="T160" s="591"/>
      <c r="U160" s="591"/>
      <c r="V160" s="591"/>
      <c r="W160" s="591"/>
      <c r="X160" s="591"/>
      <c r="Y160" s="591"/>
      <c r="Z160" s="591"/>
      <c r="AA160" s="591"/>
      <c r="AB160" s="591"/>
      <c r="AC160" s="591"/>
      <c r="AG160" s="591"/>
      <c r="AH160" s="591"/>
      <c r="AI160" s="591"/>
      <c r="AJ160" s="591"/>
      <c r="AK160" s="591"/>
      <c r="AM160" s="591"/>
      <c r="AN160" s="591"/>
      <c r="AO160" s="591"/>
      <c r="AP160" s="591"/>
      <c r="AQ160" s="591"/>
      <c r="AS160" s="591"/>
      <c r="AT160" s="591"/>
      <c r="AU160" s="591"/>
      <c r="AV160" s="591"/>
      <c r="AW160" s="591"/>
      <c r="AY160" s="591"/>
    </row>
    <row r="161" spans="1:51" ht="15" hidden="1" customHeight="1" x14ac:dyDescent="0.2">
      <c r="A161" s="2"/>
      <c r="B161" s="2"/>
      <c r="C161" s="2"/>
      <c r="D161" s="2"/>
      <c r="E161" s="72"/>
      <c r="F161" s="2"/>
      <c r="G161" s="950">
        <f>IF(AND(G42=$K134,G62=$L135),G48,0)</f>
        <v>0</v>
      </c>
      <c r="H161" s="950">
        <f>IF(AND(H42=$K134,H62=$L135),H48,0)</f>
        <v>0</v>
      </c>
      <c r="I161" s="950">
        <f>IF(AND(K42=$K134,K62=$L135),K48,0)</f>
        <v>0</v>
      </c>
      <c r="J161" s="950">
        <f>IF(AND(N42=$K134,N62=$L135),N48,0)</f>
        <v>0</v>
      </c>
      <c r="K161" s="211"/>
      <c r="L161" s="211"/>
      <c r="M161" s="211"/>
      <c r="N161" s="211"/>
      <c r="O161" s="211"/>
      <c r="P161" s="211"/>
      <c r="Q161" s="211"/>
      <c r="R161" s="2"/>
      <c r="S161" s="591"/>
      <c r="T161" s="591"/>
      <c r="U161" s="591"/>
      <c r="V161" s="591"/>
      <c r="W161" s="591"/>
      <c r="X161" s="591"/>
      <c r="Y161" s="591"/>
      <c r="Z161" s="591"/>
      <c r="AA161" s="591"/>
      <c r="AB161" s="591"/>
      <c r="AC161" s="591"/>
      <c r="AG161" s="591"/>
      <c r="AH161" s="591"/>
      <c r="AI161" s="591"/>
      <c r="AJ161" s="591"/>
      <c r="AK161" s="591"/>
      <c r="AM161" s="591"/>
      <c r="AN161" s="591"/>
      <c r="AO161" s="591"/>
      <c r="AP161" s="591"/>
      <c r="AQ161" s="591"/>
      <c r="AS161" s="591"/>
      <c r="AT161" s="591"/>
      <c r="AU161" s="591"/>
      <c r="AV161" s="591"/>
      <c r="AW161" s="591"/>
      <c r="AY161" s="591"/>
    </row>
    <row r="162" spans="1:51" hidden="1" x14ac:dyDescent="0.2">
      <c r="A162" s="2"/>
      <c r="B162" s="2086">
        <f>Presentazione!Q13</f>
        <v>45292</v>
      </c>
      <c r="C162" s="2087"/>
      <c r="D162" s="2088"/>
      <c r="E162" s="288" t="str">
        <f>CONCATENATE(CASSA!X485,"    ")</f>
        <v xml:space="preserve">Chiuso    </v>
      </c>
      <c r="F162" s="2"/>
      <c r="G162" s="950">
        <f>IF(G62&lt;&gt;$L134,G48-G161,0)</f>
        <v>0</v>
      </c>
      <c r="H162" s="950">
        <f>IF(H62&lt;&gt;$L134,H48-H161,0)</f>
        <v>0</v>
      </c>
      <c r="I162" s="950">
        <f>IF(K62&lt;&gt;$L134,K48-I161,0)</f>
        <v>0</v>
      </c>
      <c r="J162" s="950">
        <f>IF(N62&lt;&gt;$L134,N48-J161,0)</f>
        <v>0</v>
      </c>
      <c r="K162" s="2"/>
      <c r="L162" s="2"/>
      <c r="M162" s="2"/>
      <c r="N162" s="2"/>
      <c r="O162" s="2"/>
      <c r="P162" s="2"/>
      <c r="Q162" s="2"/>
      <c r="R162" s="2"/>
      <c r="S162" s="591"/>
      <c r="T162" s="591"/>
      <c r="U162" s="591"/>
      <c r="V162" s="591"/>
      <c r="W162" s="591"/>
      <c r="X162" s="591"/>
      <c r="Y162" s="591"/>
      <c r="Z162" s="591"/>
      <c r="AA162" s="591"/>
      <c r="AB162" s="591"/>
      <c r="AC162" s="591"/>
      <c r="AG162" s="591"/>
      <c r="AH162" s="591"/>
      <c r="AI162" s="591"/>
      <c r="AJ162" s="591"/>
      <c r="AK162" s="591"/>
      <c r="AM162" s="591"/>
      <c r="AN162" s="591"/>
      <c r="AO162" s="591"/>
      <c r="AP162" s="591"/>
      <c r="AQ162" s="591"/>
      <c r="AS162" s="591"/>
      <c r="AT162" s="591"/>
      <c r="AU162" s="591"/>
      <c r="AV162" s="591"/>
      <c r="AW162" s="591"/>
      <c r="AY162" s="591"/>
    </row>
    <row r="163" spans="1:51" ht="15" hidden="1" customHeight="1" x14ac:dyDescent="0.2">
      <c r="A163" s="2"/>
      <c r="B163" s="2086">
        <f>Presentazione!R13</f>
        <v>45382</v>
      </c>
      <c r="C163" s="2087"/>
      <c r="D163" s="2088"/>
      <c r="E163" s="288" t="str">
        <f>CONCATENATE(IMPOSTAZIONI!L188,"    ")</f>
        <v xml:space="preserve">ERROR    </v>
      </c>
      <c r="F163" s="232"/>
      <c r="G163" s="233" t="s">
        <v>299</v>
      </c>
      <c r="H163" s="60">
        <f>IMPOSTAZIONI!N387</f>
        <v>18</v>
      </c>
      <c r="I163" s="288">
        <f>IMPOSTAZIONI!Y153</f>
        <v>0</v>
      </c>
      <c r="J163" s="140" t="s">
        <v>463</v>
      </c>
      <c r="K163" s="233" t="s">
        <v>549</v>
      </c>
      <c r="L163" s="60">
        <f>Presentazione!E159</f>
        <v>0</v>
      </c>
      <c r="M163" s="170" t="s">
        <v>398</v>
      </c>
      <c r="N163" s="79">
        <v>1</v>
      </c>
      <c r="O163" s="508">
        <f>IF(OR(COUNTIF(G99:N99,E152)&gt;0,COUNTIF(G99:N99,K152)&gt;0,COUNTIF(G99:N99,L152)&gt;0,COUNTIF(G105:N105,E152)&gt;0,COUNTIF(G105:N105,K152)&gt;0,COUNTIF(G105:N105,L152)&gt;0,COUNTIF(C101:F104,"ERROR")&gt;0,COUNTIF(E8:F38,E163)&gt;0),1,0)</f>
        <v>0</v>
      </c>
      <c r="P163" s="509" t="s">
        <v>550</v>
      </c>
      <c r="Q163" s="2"/>
      <c r="R163" s="2"/>
      <c r="S163" s="591"/>
      <c r="T163" s="591"/>
      <c r="U163" s="591"/>
      <c r="V163" s="591"/>
      <c r="W163" s="591"/>
      <c r="X163" s="591"/>
      <c r="Y163" s="591"/>
      <c r="Z163" s="591"/>
      <c r="AA163" s="591"/>
      <c r="AB163" s="591"/>
      <c r="AC163" s="591"/>
      <c r="AG163" s="591"/>
      <c r="AH163" s="591"/>
      <c r="AI163" s="591"/>
      <c r="AJ163" s="591"/>
      <c r="AK163" s="591"/>
      <c r="AM163" s="591"/>
      <c r="AN163" s="591"/>
      <c r="AO163" s="591"/>
      <c r="AP163" s="591"/>
      <c r="AQ163" s="591"/>
      <c r="AS163" s="591"/>
      <c r="AT163" s="591"/>
      <c r="AU163" s="591"/>
      <c r="AV163" s="591"/>
      <c r="AW163" s="591"/>
      <c r="AY163" s="591"/>
    </row>
    <row r="164" spans="1:51" ht="15" hidden="1" customHeight="1" x14ac:dyDescent="0.2">
      <c r="A164" s="2"/>
      <c r="B164" s="2"/>
      <c r="C164" s="2"/>
      <c r="D164" s="2"/>
      <c r="E164" s="2"/>
      <c r="F164" s="2"/>
      <c r="G164" s="950">
        <f>IF(G42=$K134,0,G87)</f>
        <v>0</v>
      </c>
      <c r="H164" s="950">
        <f>IF(H42=$K134,0,H87)</f>
        <v>0</v>
      </c>
      <c r="I164" s="950">
        <f>IF(K42=$K134,0,I87)</f>
        <v>0</v>
      </c>
      <c r="J164" s="950">
        <f>IF(N42=$K134,0,K87)</f>
        <v>0</v>
      </c>
      <c r="K164" s="2"/>
      <c r="L164" s="2"/>
      <c r="M164" s="2"/>
      <c r="N164" s="2"/>
      <c r="O164" s="2"/>
      <c r="P164" s="2"/>
      <c r="Q164" s="2"/>
      <c r="R164" s="2"/>
      <c r="S164" s="591"/>
      <c r="T164" s="591"/>
      <c r="U164" s="591"/>
      <c r="V164" s="591"/>
      <c r="W164" s="591"/>
      <c r="X164" s="591"/>
      <c r="Y164" s="591"/>
      <c r="Z164" s="591"/>
      <c r="AA164" s="591"/>
      <c r="AB164" s="591"/>
      <c r="AC164" s="591"/>
      <c r="AG164" s="591"/>
      <c r="AH164" s="591"/>
      <c r="AI164" s="591"/>
      <c r="AJ164" s="591"/>
      <c r="AK164" s="591"/>
      <c r="AM164" s="591"/>
      <c r="AN164" s="591"/>
      <c r="AO164" s="591"/>
      <c r="AP164" s="591"/>
      <c r="AQ164" s="591"/>
      <c r="AS164" s="591"/>
      <c r="AT164" s="591"/>
      <c r="AU164" s="591"/>
      <c r="AV164" s="591"/>
      <c r="AW164" s="591"/>
      <c r="AY164" s="591"/>
    </row>
    <row r="165" spans="1:51" hidden="1" x14ac:dyDescent="0.2">
      <c r="A165" s="2"/>
      <c r="B165" s="2"/>
      <c r="C165" s="2"/>
      <c r="D165" s="2"/>
      <c r="E165" s="2"/>
      <c r="F165" s="2"/>
      <c r="G165" s="2"/>
      <c r="H165" s="2"/>
      <c r="I165" s="2"/>
      <c r="J165" s="2"/>
      <c r="K165" s="2"/>
      <c r="L165" s="2"/>
      <c r="M165" s="2"/>
      <c r="N165" s="2"/>
      <c r="O165" s="2"/>
      <c r="P165" s="2"/>
      <c r="Q165" s="2"/>
      <c r="R165" s="2"/>
      <c r="S165" s="591"/>
      <c r="T165" s="591"/>
      <c r="U165" s="591"/>
      <c r="V165" s="591"/>
      <c r="W165" s="591"/>
      <c r="X165" s="591"/>
      <c r="Y165" s="591"/>
      <c r="Z165" s="591"/>
      <c r="AA165" s="591"/>
      <c r="AB165" s="591"/>
      <c r="AC165" s="591"/>
      <c r="AG165" s="591"/>
      <c r="AH165" s="591"/>
      <c r="AI165" s="591"/>
      <c r="AJ165" s="591"/>
      <c r="AK165" s="591"/>
      <c r="AM165" s="591"/>
      <c r="AN165" s="591"/>
      <c r="AO165" s="591"/>
      <c r="AP165" s="591"/>
      <c r="AQ165" s="591"/>
      <c r="AS165" s="591"/>
      <c r="AT165" s="591"/>
      <c r="AU165" s="591"/>
      <c r="AV165" s="591"/>
      <c r="AW165" s="591"/>
      <c r="AY165" s="591"/>
    </row>
    <row r="166" spans="1:51" ht="22.5" customHeight="1" x14ac:dyDescent="0.2">
      <c r="A166" s="2"/>
      <c r="B166" s="2"/>
      <c r="C166" s="2"/>
      <c r="D166" s="2"/>
      <c r="E166" s="2"/>
      <c r="F166" s="2"/>
      <c r="G166" s="624">
        <v>1</v>
      </c>
      <c r="H166" s="624">
        <v>2</v>
      </c>
      <c r="I166" s="2229">
        <v>5</v>
      </c>
      <c r="J166" s="2229"/>
      <c r="K166" s="624">
        <v>8</v>
      </c>
      <c r="L166" s="2"/>
      <c r="M166" s="2228" t="s">
        <v>193</v>
      </c>
      <c r="N166" s="2228"/>
      <c r="O166" s="2"/>
      <c r="P166" s="2"/>
      <c r="Q166" s="2"/>
      <c r="R166" s="591"/>
      <c r="S166" s="591"/>
      <c r="T166" s="591"/>
      <c r="U166" s="591"/>
      <c r="V166" s="591"/>
      <c r="W166" s="591"/>
      <c r="X166" s="591"/>
      <c r="Y166" s="591"/>
      <c r="Z166" s="591"/>
      <c r="AA166" s="591"/>
      <c r="AB166" s="591"/>
      <c r="AC166" s="591"/>
      <c r="AG166" s="591"/>
      <c r="AS166" s="591"/>
    </row>
    <row r="167" spans="1:51" ht="18" customHeight="1" x14ac:dyDescent="0.2">
      <c r="A167" s="2"/>
      <c r="B167" s="2"/>
      <c r="C167" s="2084" t="s">
        <v>175</v>
      </c>
      <c r="D167" s="2084"/>
      <c r="E167" s="2085">
        <f>E43</f>
        <v>2024</v>
      </c>
      <c r="F167" s="2085">
        <f>F43</f>
        <v>0</v>
      </c>
      <c r="G167" s="590" t="str">
        <f>G43</f>
        <v/>
      </c>
      <c r="H167" s="590" t="str">
        <f>H43</f>
        <v/>
      </c>
      <c r="I167" s="2232" t="str">
        <f>K43</f>
        <v/>
      </c>
      <c r="J167" s="2232"/>
      <c r="K167" s="590" t="str">
        <f>N43</f>
        <v/>
      </c>
      <c r="L167" s="2"/>
      <c r="M167" s="908" t="s">
        <v>717</v>
      </c>
      <c r="N167" s="2"/>
      <c r="O167" s="2"/>
      <c r="P167" s="2"/>
      <c r="Q167" s="2"/>
      <c r="R167" s="591"/>
      <c r="S167" s="591"/>
      <c r="T167" s="591"/>
      <c r="U167" s="591"/>
      <c r="V167" s="591"/>
      <c r="W167" s="591"/>
      <c r="X167" s="591"/>
      <c r="Y167" s="591"/>
      <c r="Z167" s="591"/>
      <c r="AA167" s="591"/>
      <c r="AB167" s="591"/>
      <c r="AC167" s="591"/>
      <c r="AG167" s="591"/>
      <c r="AS167" s="591"/>
    </row>
    <row r="168" spans="1:51" ht="22.5" customHeight="1" x14ac:dyDescent="0.2">
      <c r="A168" s="2"/>
      <c r="B168" s="2"/>
      <c r="C168" s="2091" t="s">
        <v>298</v>
      </c>
      <c r="D168" s="2091"/>
      <c r="E168" s="2091"/>
      <c r="F168" s="2091"/>
      <c r="G168" s="57" t="str">
        <f>G44</f>
        <v/>
      </c>
      <c r="H168" s="57" t="str">
        <f>H44</f>
        <v/>
      </c>
      <c r="I168" s="2230" t="str">
        <f>K44</f>
        <v/>
      </c>
      <c r="J168" s="2230"/>
      <c r="K168" s="57" t="str">
        <f>N44</f>
        <v/>
      </c>
      <c r="L168" s="2"/>
      <c r="M168" s="2228" t="s">
        <v>719</v>
      </c>
      <c r="N168" s="2228"/>
      <c r="O168" s="2"/>
      <c r="P168" s="2"/>
      <c r="Q168" s="2"/>
      <c r="R168" s="591"/>
      <c r="S168" s="591"/>
      <c r="T168" s="591"/>
      <c r="U168" s="591"/>
      <c r="V168" s="591"/>
      <c r="W168" s="591"/>
      <c r="X168" s="591"/>
      <c r="Y168" s="591"/>
      <c r="Z168" s="591"/>
      <c r="AA168" s="591"/>
      <c r="AB168" s="591"/>
      <c r="AC168" s="591"/>
      <c r="AG168" s="591"/>
      <c r="AS168" s="591"/>
    </row>
    <row r="169" spans="1:51" ht="19.5" customHeight="1" x14ac:dyDescent="0.2">
      <c r="A169" s="2"/>
      <c r="B169" s="2"/>
      <c r="C169" s="2094" t="str">
        <f>C95</f>
        <v>01/01 - 31/01</v>
      </c>
      <c r="D169" s="2095"/>
      <c r="E169" s="2095"/>
      <c r="F169" s="2095"/>
      <c r="G169" s="90" t="str">
        <f>G45</f>
        <v/>
      </c>
      <c r="H169" s="90" t="str">
        <f>H45</f>
        <v/>
      </c>
      <c r="I169" s="2231" t="str">
        <f>K45</f>
        <v/>
      </c>
      <c r="J169" s="2231"/>
      <c r="K169" s="90" t="str">
        <f>N45</f>
        <v/>
      </c>
      <c r="L169" s="2"/>
      <c r="M169" s="12"/>
      <c r="N169" s="2"/>
      <c r="O169" s="2"/>
      <c r="P169" s="2"/>
      <c r="Q169" s="2"/>
      <c r="R169" s="591"/>
      <c r="S169" s="591"/>
      <c r="T169" s="591"/>
      <c r="U169" s="591"/>
      <c r="V169" s="591"/>
      <c r="W169" s="591"/>
      <c r="X169" s="591"/>
      <c r="Y169" s="591"/>
      <c r="Z169" s="591"/>
      <c r="AA169" s="591"/>
      <c r="AB169" s="591"/>
      <c r="AC169" s="591"/>
      <c r="AG169" s="591"/>
      <c r="AS169" s="591"/>
    </row>
    <row r="170" spans="1:51" ht="7.5" customHeight="1" x14ac:dyDescent="0.2">
      <c r="A170" s="2"/>
      <c r="B170" s="2"/>
      <c r="C170" s="2089"/>
      <c r="D170" s="2090"/>
      <c r="E170" s="484"/>
      <c r="F170" s="2"/>
      <c r="G170" s="597">
        <f>IF(AND(G$180&lt;&gt;0,G$180&gt;0),IF(($E$171*9)&gt;=G$180,0,1),IF(AND(G$180&lt;&gt;0,G$180&lt;0),IF(($E$171*9)&lt;=G$180,0,1),0))</f>
        <v>1</v>
      </c>
      <c r="H170" s="597">
        <f>IF(AND(H$180&lt;&gt;0,H$180&gt;0),IF(($E$171*9)&gt;=H$180,0,1),IF(AND(H$180&lt;&gt;0,H$180&lt;0),IF(($E$171*9)&lt;=H$180,0,1),0))</f>
        <v>0</v>
      </c>
      <c r="I170" s="2104">
        <f>IF(AND(I$180&lt;&gt;0,I$180&gt;0),IF(($E$171*9)&gt;=I$180,0,1),IF(AND(I$180&lt;&gt;0,I$180&lt;0),IF(($E$171*9)&lt;=I$180,0,1),0))</f>
        <v>0</v>
      </c>
      <c r="J170" s="2105"/>
      <c r="K170" s="597">
        <f>IF(AND(K$180&lt;&gt;0,K$180&gt;0),IF(($E$171*9)&gt;=K$180,0,1),IF(AND(K$180&lt;&gt;0,K$180&lt;0),IF(($E$171*9)&lt;=K$180,0,1),0))</f>
        <v>0</v>
      </c>
      <c r="L170" s="2"/>
      <c r="M170" s="2"/>
      <c r="N170" s="2"/>
      <c r="O170" s="2"/>
      <c r="P170" s="2"/>
      <c r="Q170" s="2"/>
      <c r="R170" s="591"/>
      <c r="S170" s="591"/>
      <c r="T170" s="591"/>
      <c r="U170" s="591"/>
      <c r="V170" s="591"/>
      <c r="W170" s="591"/>
      <c r="X170" s="591"/>
      <c r="Y170" s="591"/>
      <c r="Z170" s="591"/>
      <c r="AA170" s="591"/>
      <c r="AB170" s="591"/>
      <c r="AC170" s="591"/>
      <c r="AG170" s="591"/>
      <c r="AS170" s="591"/>
    </row>
    <row r="171" spans="1:51" ht="7.5" customHeight="1" x14ac:dyDescent="0.2">
      <c r="A171" s="2"/>
      <c r="B171" s="2"/>
      <c r="C171" s="2096" t="s">
        <v>587</v>
      </c>
      <c r="D171" s="2096"/>
      <c r="E171" s="2098">
        <f>IF(OR(M166=0,M168=""),0,IF(M168=E220,E221,MAX(G180:K180)/10))</f>
        <v>100</v>
      </c>
      <c r="F171" s="2"/>
      <c r="G171" s="598">
        <f>IF(AND(G$180&lt;&gt;0,G$180&gt;0),IF(($E$171*8)&gt;=G$180,0,1),IF(AND(G$180&lt;&gt;0,G$180&lt;0),IF(($E$171*8)&lt;=G$180,0,1),0))</f>
        <v>1</v>
      </c>
      <c r="H171" s="598">
        <f>IF(AND(H$180&lt;&gt;0,H$180&gt;0),IF(($E$171*8)&gt;=H$180,0,1),IF(AND(H$180&lt;&gt;0,H$180&lt;0),IF(($E$171*8)&lt;=H$180,0,1),0))</f>
        <v>0</v>
      </c>
      <c r="I171" s="2061">
        <f>IF(AND(I$180&lt;&gt;0,I$180&gt;0),IF(($E$171*8)&gt;=I$180,0,1),IF(AND(I$180&lt;&gt;0,I$180&lt;0),IF(($E$171*8)&lt;=I$180,0,1),0))</f>
        <v>0</v>
      </c>
      <c r="J171" s="2062"/>
      <c r="K171" s="598">
        <f>IF(AND(K$180&lt;&gt;0,K$180&gt;0),IF(($E$171*8)&gt;=K$180,0,1),IF(AND(K$180&lt;&gt;0,K$180&lt;0),IF(($E$171*8)&lt;=K$180,0,1),0))</f>
        <v>0</v>
      </c>
      <c r="L171" s="2"/>
      <c r="M171" s="2"/>
      <c r="N171" s="2"/>
      <c r="O171" s="2"/>
      <c r="P171" s="2"/>
      <c r="Q171" s="2"/>
      <c r="R171" s="591"/>
      <c r="S171" s="591"/>
      <c r="T171" s="591"/>
      <c r="U171" s="591"/>
      <c r="V171" s="591"/>
      <c r="W171" s="591"/>
      <c r="X171" s="591"/>
      <c r="AA171" s="591"/>
      <c r="AB171" s="591"/>
      <c r="AC171" s="591"/>
      <c r="AG171" s="591"/>
      <c r="AS171" s="591"/>
    </row>
    <row r="172" spans="1:51" ht="7.5" customHeight="1" x14ac:dyDescent="0.2">
      <c r="A172" s="2"/>
      <c r="B172" s="2"/>
      <c r="C172" s="2097"/>
      <c r="D172" s="2097"/>
      <c r="E172" s="2098"/>
      <c r="F172" s="2"/>
      <c r="G172" s="598">
        <f>IF(AND(G$180&lt;&gt;0,G$180&gt;0),IF(($E$171*7)&gt;=G$180,0,1),IF(AND(G$180&lt;&gt;0,G$180&lt;0),IF(($E$171*7)&lt;=G$180,0,1),0))</f>
        <v>1</v>
      </c>
      <c r="H172" s="598">
        <f>IF(AND(H$180&lt;&gt;0,H$180&gt;0),IF(($E$171*7)&gt;=H$180,0,1),IF(AND(H$180&lt;&gt;0,H$180&lt;0),IF(($E$171*7)&lt;=H$180,0,1),0))</f>
        <v>0</v>
      </c>
      <c r="I172" s="2061">
        <f>IF(AND(I$180&lt;&gt;0,I$180&gt;0),IF(($E$171*7)&gt;=I$180,0,1),IF(AND(I$180&lt;&gt;0,I$180&lt;0),IF(($E$171*7)&lt;=I$180,0,1),0))</f>
        <v>0</v>
      </c>
      <c r="J172" s="2062"/>
      <c r="K172" s="598">
        <f>IF(AND(K$180&lt;&gt;0,K$180&gt;0),IF(($E$171*7)&gt;=K$180,0,1),IF(AND(K$180&lt;&gt;0,K$180&lt;0),IF(($E$171*7)&lt;=K$180,0,1),0))</f>
        <v>0</v>
      </c>
      <c r="L172" s="2"/>
      <c r="M172" s="2"/>
      <c r="N172" s="2"/>
      <c r="O172" s="2"/>
      <c r="P172" s="2"/>
      <c r="Q172" s="2"/>
      <c r="R172" s="591"/>
      <c r="S172" s="591"/>
      <c r="T172" s="591"/>
      <c r="U172" s="591"/>
      <c r="V172" s="591"/>
      <c r="W172" s="591"/>
      <c r="X172" s="591"/>
      <c r="AA172" s="591"/>
      <c r="AB172" s="591"/>
      <c r="AC172" s="591"/>
      <c r="AG172" s="591"/>
      <c r="AS172" s="591"/>
    </row>
    <row r="173" spans="1:51" ht="7.5" customHeight="1" x14ac:dyDescent="0.2">
      <c r="A173" s="2"/>
      <c r="B173" s="2"/>
      <c r="C173" s="2"/>
      <c r="D173" s="2"/>
      <c r="E173" s="2"/>
      <c r="F173" s="2"/>
      <c r="G173" s="598">
        <f>IF(AND(G$180&lt;&gt;0,G$180&gt;0),IF(($E$171*6)&gt;=G$180,0,1),IF(AND(G$180&lt;&gt;0,G$180&lt;0),IF(($E$171*6)&lt;=G$180,0,1),0))</f>
        <v>1</v>
      </c>
      <c r="H173" s="598">
        <f>IF(AND(H$180&lt;&gt;0,H$180&gt;0),IF(($E$171*6)&gt;=H$180,0,1),IF(AND(H$180&lt;&gt;0,H$180&lt;0),IF(($E$171*6)&lt;=H$180,0,1),0))</f>
        <v>0</v>
      </c>
      <c r="I173" s="2061">
        <f>IF(AND(I$180&lt;&gt;0,I$180&gt;0),IF(($E$171*6)&gt;=I$180,0,1),IF(AND(I$180&lt;&gt;0,I$180&lt;0),IF(($E$171*6)&lt;=I$180,0,1),0))</f>
        <v>0</v>
      </c>
      <c r="J173" s="2062"/>
      <c r="K173" s="598">
        <f>IF(AND(K$180&lt;&gt;0,K$180&gt;0),IF(($E$171*6)&gt;=K$180,0,1),IF(AND(K$180&lt;&gt;0,K$180&lt;0),IF(($E$171*6)&lt;=K$180,0,1),0))</f>
        <v>0</v>
      </c>
      <c r="L173" s="2"/>
      <c r="M173" s="2"/>
      <c r="N173" s="2"/>
      <c r="O173" s="2"/>
      <c r="P173" s="2"/>
      <c r="Q173" s="2"/>
      <c r="R173" s="591"/>
      <c r="S173" s="591"/>
      <c r="T173" s="591"/>
      <c r="U173" s="591"/>
      <c r="V173" s="591"/>
      <c r="W173" s="591"/>
      <c r="X173" s="591"/>
      <c r="AA173" s="591"/>
      <c r="AB173" s="591"/>
      <c r="AC173" s="591"/>
      <c r="AG173" s="591"/>
      <c r="AS173" s="591"/>
    </row>
    <row r="174" spans="1:51" ht="7.5" customHeight="1" x14ac:dyDescent="0.2">
      <c r="A174" s="2"/>
      <c r="B174" s="2"/>
      <c r="C174" s="2"/>
      <c r="D174" s="2"/>
      <c r="E174" s="2"/>
      <c r="F174" s="2"/>
      <c r="G174" s="598">
        <f>IF(AND(G$180&lt;&gt;0,G$180&gt;0),IF(($E$171*5)&gt;=G$180,0,1),IF(AND(G$180&lt;&gt;0,G$180&lt;0),IF(($E$171*5)&lt;=G$180,0,1),0))</f>
        <v>1</v>
      </c>
      <c r="H174" s="598">
        <f>IF(AND(H$180&lt;&gt;0,H$180&gt;0),IF(($E$171*5)&gt;=H$180,0,1),IF(AND(H$180&lt;&gt;0,H$180&lt;0),IF(($E$171*5)&lt;=H$180,0,1),0))</f>
        <v>0</v>
      </c>
      <c r="I174" s="2061">
        <f>IF(AND(I$180&lt;&gt;0,I$180&gt;0),IF(($E$171*5)&gt;=I$180,0,1),IF(AND(I$180&lt;&gt;0,I$180&lt;0),IF(($E$171*5)&lt;=I$180,0,1),0))</f>
        <v>0</v>
      </c>
      <c r="J174" s="2062"/>
      <c r="K174" s="598">
        <f>IF(AND(K$180&lt;&gt;0,K$180&gt;0),IF(($E$171*5)&gt;=K$180,0,1),IF(AND(K$180&lt;&gt;0,K$180&lt;0),IF(($E$171*5)&lt;=K$180,0,1),0))</f>
        <v>0</v>
      </c>
      <c r="L174" s="2"/>
      <c r="M174" s="2"/>
      <c r="N174" s="2"/>
      <c r="O174" s="2"/>
      <c r="P174" s="2"/>
      <c r="Q174" s="2"/>
      <c r="R174" s="591"/>
      <c r="S174" s="591"/>
      <c r="T174" s="591"/>
      <c r="U174" s="591"/>
      <c r="V174" s="591"/>
      <c r="W174" s="591"/>
      <c r="X174" s="591"/>
      <c r="AA174" s="591"/>
      <c r="AB174" s="591"/>
      <c r="AC174" s="591"/>
      <c r="AG174" s="591"/>
      <c r="AS174" s="591"/>
    </row>
    <row r="175" spans="1:51" ht="7.5" customHeight="1" x14ac:dyDescent="0.2">
      <c r="A175" s="2"/>
      <c r="B175" s="2"/>
      <c r="C175" s="2"/>
      <c r="D175" s="2"/>
      <c r="E175" s="2"/>
      <c r="F175" s="2"/>
      <c r="G175" s="598">
        <f>IF(AND(G$180&lt;&gt;0,G$180&gt;0),IF(($E$171*4)&gt;=G$180,0,1),IF(AND(G$180&lt;&gt;0,G$180&lt;0),IF(($E$171*4)&lt;=G$180,0,1),0))</f>
        <v>1</v>
      </c>
      <c r="H175" s="598">
        <f>IF(AND(H$180&lt;&gt;0,H$180&gt;0),IF(($E$171*4)&gt;=H$180,0,1),IF(AND(H$180&lt;&gt;0,H$180&lt;0),IF(($E$171*4)&lt;=H$180,0,1),0))</f>
        <v>0</v>
      </c>
      <c r="I175" s="2061">
        <f>IF(AND(I$180&lt;&gt;0,I$180&gt;0),IF(($E$171*4)&gt;=I$180,0,1),IF(AND(I$180&lt;&gt;0,I$180&lt;0),IF(($E$171*4)&lt;=I$180,0,1),0))</f>
        <v>0</v>
      </c>
      <c r="J175" s="2062"/>
      <c r="K175" s="598">
        <f>IF(AND(K$180&lt;&gt;0,K$180&gt;0),IF(($E$171*4)&gt;=K$180,0,1),IF(AND(K$180&lt;&gt;0,K$180&lt;0),IF(($E$171*4)&lt;=K$180,0,1),0))</f>
        <v>0</v>
      </c>
      <c r="L175" s="2"/>
      <c r="M175" s="2"/>
      <c r="N175" s="2"/>
      <c r="O175" s="2"/>
      <c r="P175" s="2"/>
      <c r="Q175" s="2"/>
      <c r="R175" s="591"/>
      <c r="S175" s="591"/>
      <c r="T175" s="591"/>
      <c r="U175" s="591"/>
      <c r="V175" s="591"/>
      <c r="W175" s="591"/>
      <c r="X175" s="591"/>
      <c r="AA175" s="591"/>
      <c r="AB175" s="591"/>
      <c r="AC175" s="591"/>
      <c r="AG175" s="591"/>
      <c r="AS175" s="591"/>
    </row>
    <row r="176" spans="1:51" ht="7.5" customHeight="1" x14ac:dyDescent="0.2">
      <c r="A176" s="2"/>
      <c r="B176" s="2"/>
      <c r="C176" s="2"/>
      <c r="D176" s="2"/>
      <c r="E176" s="2"/>
      <c r="F176" s="2"/>
      <c r="G176" s="598">
        <f>IF(AND(G$180&lt;&gt;0,G$180&gt;0),IF(($E$171*3)&gt;=G$180,0,1),IF(AND(G$180&lt;&gt;0,G$180&lt;0),IF(($E$171*3)&lt;=G$180,0,1),0))</f>
        <v>1</v>
      </c>
      <c r="H176" s="598">
        <f>IF(AND(H$180&lt;&gt;0,H$180&gt;0),IF(($E$171*3)&gt;=H$180,0,1),IF(AND(H$180&lt;&gt;0,H$180&lt;0),IF(($E$171*3)&lt;=H$180,0,1),0))</f>
        <v>0</v>
      </c>
      <c r="I176" s="2061">
        <f>IF(AND(I$180&lt;&gt;0,I$180&gt;0),IF(($E$171*3)&gt;=I$180,0,1),IF(AND(I$180&lt;&gt;0,I$180&lt;0),IF(($E$171*3)&lt;=I$180,0,1),0))</f>
        <v>0</v>
      </c>
      <c r="J176" s="2062"/>
      <c r="K176" s="598">
        <f>IF(AND(K$180&lt;&gt;0,K$180&gt;0),IF(($E$171*3)&gt;=K$180,0,1),IF(AND(K$180&lt;&gt;0,K$180&lt;0),IF(($E$171*3)&lt;=K$180,0,1),0))</f>
        <v>0</v>
      </c>
      <c r="L176" s="2"/>
      <c r="M176" s="2"/>
      <c r="N176" s="2"/>
      <c r="O176" s="2"/>
      <c r="P176" s="2"/>
      <c r="Q176" s="2"/>
      <c r="R176" s="591"/>
      <c r="S176" s="591"/>
      <c r="T176" s="591"/>
      <c r="U176" s="591"/>
      <c r="V176" s="591"/>
      <c r="W176" s="591"/>
      <c r="X176" s="591"/>
      <c r="AA176" s="591"/>
      <c r="AB176" s="591"/>
      <c r="AC176" s="591"/>
      <c r="AG176" s="591"/>
      <c r="AS176" s="591"/>
    </row>
    <row r="177" spans="1:45" ht="7.5" customHeight="1" x14ac:dyDescent="0.2">
      <c r="A177" s="2"/>
      <c r="B177" s="2"/>
      <c r="C177" s="2"/>
      <c r="D177" s="2"/>
      <c r="E177" s="2"/>
      <c r="F177" s="2"/>
      <c r="G177" s="598">
        <f>IF(AND(G$180&lt;&gt;0,G$180&gt;0),IF(($E$171*2)&gt;=G$180,0,1),IF(AND(G$180&lt;&gt;0,G$180&lt;0),IF(($E$171*2)&lt;=G$180,0,1),0))</f>
        <v>1</v>
      </c>
      <c r="H177" s="598">
        <f>IF(AND(H$180&lt;&gt;0,H$180&gt;0),IF(($E$171*2)&gt;=H$180,0,1),IF(AND(H$180&lt;&gt;0,H$180&lt;0),IF(($E$171*2)&lt;=H$180,0,1),0))</f>
        <v>0</v>
      </c>
      <c r="I177" s="2061">
        <f>IF(AND(I$180&lt;&gt;0,I$180&gt;0),IF(($E$171*2)&gt;=I$180,0,1),IF(AND(I$180&lt;&gt;0,I$180&lt;0),IF(($E$171*2)&lt;=I$180,0,1),0))</f>
        <v>0</v>
      </c>
      <c r="J177" s="2062"/>
      <c r="K177" s="598">
        <f>IF(AND(K$180&lt;&gt;0,K$180&gt;0),IF(($E$171*2)&gt;=K$180,0,1),IF(AND(K$180&lt;&gt;0,K$180&lt;0),IF(($E$171*2)&lt;=K$180,0,1),0))</f>
        <v>0</v>
      </c>
      <c r="L177" s="2"/>
      <c r="M177" s="2"/>
      <c r="N177" s="2"/>
      <c r="O177" s="2"/>
      <c r="P177" s="2"/>
      <c r="Q177" s="2"/>
      <c r="R177" s="591"/>
      <c r="S177" s="591"/>
      <c r="T177" s="591"/>
      <c r="U177" s="591"/>
      <c r="V177" s="591"/>
      <c r="W177" s="591"/>
      <c r="X177" s="591"/>
      <c r="AA177" s="591"/>
      <c r="AB177" s="591"/>
      <c r="AC177" s="591"/>
      <c r="AG177" s="591"/>
      <c r="AS177" s="591"/>
    </row>
    <row r="178" spans="1:45" ht="7.5" customHeight="1" x14ac:dyDescent="0.2">
      <c r="A178" s="2"/>
      <c r="B178" s="2"/>
      <c r="C178" s="2"/>
      <c r="D178" s="2"/>
      <c r="E178" s="2"/>
      <c r="F178" s="2"/>
      <c r="G178" s="598">
        <f>IF(AND(G$180&lt;&gt;0,G$180&gt;0),IF(($E$171*1)&gt;=G$180,0,1),IF(AND(G$180&lt;&gt;0,G$180&lt;0),IF(($E$171*1)&lt;=G$180,0,1),0))</f>
        <v>1</v>
      </c>
      <c r="H178" s="598">
        <f>IF(AND(H$180&lt;&gt;0,H$180&gt;0),IF(($E$171*1)&gt;=H$180,0,1),IF(AND(H$180&lt;&gt;0,H$180&lt;0),IF(($E$171*1)&lt;=H$180,0,1),0))</f>
        <v>0</v>
      </c>
      <c r="I178" s="2061">
        <f>IF(AND(I$180&lt;&gt;0,I$180&gt;0),IF(($E$171*1)&gt;=I$180,0,1),IF(AND(I$180&lt;&gt;0,I$180&lt;0),IF(($E$171*1)&lt;=I$180,0,1),0))</f>
        <v>0</v>
      </c>
      <c r="J178" s="2062"/>
      <c r="K178" s="598">
        <f>IF(AND(K$180&lt;&gt;0,K$180&gt;0),IF(($E$171*1)&gt;=K$180,0,1),IF(AND(K$180&lt;&gt;0,K$180&lt;0),IF(($E$171*1)&lt;=K$180,0,1),0))</f>
        <v>0</v>
      </c>
      <c r="L178" s="2"/>
      <c r="M178" s="2"/>
      <c r="N178" s="2"/>
      <c r="O178" s="2"/>
      <c r="P178" s="2"/>
      <c r="Q178" s="2"/>
      <c r="R178" s="591"/>
      <c r="S178" s="591"/>
      <c r="T178" s="591"/>
      <c r="U178" s="591"/>
      <c r="V178" s="591"/>
      <c r="W178" s="591"/>
      <c r="X178" s="591"/>
      <c r="AA178" s="591"/>
      <c r="AB178" s="591"/>
      <c r="AC178" s="591"/>
      <c r="AG178" s="591"/>
      <c r="AS178" s="591"/>
    </row>
    <row r="179" spans="1:45" ht="7.5" customHeight="1" x14ac:dyDescent="0.2">
      <c r="A179" s="2"/>
      <c r="B179" s="2"/>
      <c r="C179" s="2"/>
      <c r="D179" s="2"/>
      <c r="E179" s="2"/>
      <c r="F179" s="2"/>
      <c r="G179" s="599">
        <f>IF(G180&lt;&gt;0,1,0)</f>
        <v>1</v>
      </c>
      <c r="H179" s="599">
        <f>IF(H180&lt;&gt;0,1,0)</f>
        <v>0</v>
      </c>
      <c r="I179" s="2199">
        <f>IF(I180&lt;&gt;0,1,0)</f>
        <v>0</v>
      </c>
      <c r="J179" s="2200"/>
      <c r="K179" s="599">
        <f>IF(K180&lt;&gt;0,1,0)</f>
        <v>0</v>
      </c>
      <c r="L179" s="2"/>
      <c r="M179" s="2"/>
      <c r="N179" s="2"/>
      <c r="O179" s="2"/>
      <c r="P179" s="2"/>
      <c r="Q179" s="2"/>
      <c r="R179" s="591"/>
      <c r="S179" s="591"/>
      <c r="T179" s="591"/>
      <c r="U179" s="591"/>
      <c r="V179" s="591"/>
      <c r="W179" s="591"/>
      <c r="X179" s="591"/>
      <c r="AA179" s="591"/>
      <c r="AB179" s="591"/>
      <c r="AC179" s="591"/>
      <c r="AG179" s="591"/>
      <c r="AS179" s="591"/>
    </row>
    <row r="180" spans="1:45" ht="21.95" customHeight="1" x14ac:dyDescent="0.2">
      <c r="A180" s="2"/>
      <c r="B180" s="7"/>
      <c r="C180" s="2092" t="s">
        <v>582</v>
      </c>
      <c r="D180" s="2092"/>
      <c r="E180" s="2093">
        <f>SUM(G180:K180)</f>
        <v>1000</v>
      </c>
      <c r="F180" s="2093"/>
      <c r="G180" s="623">
        <f>VLOOKUP($M166,$C46:G48,G166+4,FALSE)</f>
        <v>1000</v>
      </c>
      <c r="H180" s="623">
        <f>VLOOKUP($M166,$C46:H48,H166+4,FALSE)</f>
        <v>0</v>
      </c>
      <c r="I180" s="2196">
        <f>VLOOKUP($M166,$C46:K48,I166+4,FALSE)</f>
        <v>0</v>
      </c>
      <c r="J180" s="2196"/>
      <c r="K180" s="623">
        <f>VLOOKUP($M166,$C46:N48,K166+4,FALSE)</f>
        <v>0</v>
      </c>
      <c r="L180" s="2"/>
      <c r="M180" s="12"/>
      <c r="N180" s="2"/>
      <c r="O180" s="2"/>
      <c r="P180" s="2"/>
      <c r="Q180" s="2"/>
      <c r="R180" s="591"/>
      <c r="S180" s="591"/>
      <c r="T180" s="591"/>
      <c r="U180" s="591"/>
      <c r="V180" s="591"/>
      <c r="W180" s="591"/>
      <c r="X180" s="591"/>
      <c r="AA180" s="591"/>
      <c r="AB180" s="591"/>
      <c r="AC180" s="591"/>
      <c r="AG180" s="591"/>
      <c r="AS180" s="591"/>
    </row>
    <row r="181" spans="1:45" ht="11.25" customHeight="1" x14ac:dyDescent="0.2">
      <c r="A181" s="2"/>
      <c r="B181" s="2"/>
      <c r="C181" s="2"/>
      <c r="D181" s="2"/>
      <c r="E181" s="2"/>
      <c r="F181" s="2"/>
      <c r="G181" s="2"/>
      <c r="H181" s="2"/>
      <c r="I181" s="2201"/>
      <c r="J181" s="2201"/>
      <c r="K181" s="2"/>
      <c r="L181" s="2"/>
      <c r="M181" s="2"/>
      <c r="N181" s="2"/>
      <c r="O181" s="2"/>
      <c r="P181" s="2"/>
      <c r="Q181" s="2"/>
      <c r="R181" s="591"/>
      <c r="S181" s="591"/>
      <c r="T181" s="591"/>
      <c r="U181" s="591"/>
      <c r="V181" s="591"/>
      <c r="W181" s="591"/>
      <c r="X181" s="591"/>
      <c r="AA181" s="591"/>
      <c r="AB181" s="591"/>
      <c r="AC181" s="591"/>
      <c r="AG181" s="591"/>
      <c r="AS181" s="591"/>
    </row>
    <row r="182" spans="1:45" ht="19.5" customHeight="1" x14ac:dyDescent="0.2">
      <c r="A182" s="2"/>
      <c r="B182" s="2"/>
      <c r="C182" s="2095" t="str">
        <f>CONCATENATE("01/01 - ",RIGHT(C169,5))</f>
        <v>01/01 - 31/01</v>
      </c>
      <c r="D182" s="2095"/>
      <c r="E182" s="2095"/>
      <c r="F182" s="2095"/>
      <c r="G182" s="2"/>
      <c r="H182" s="2"/>
      <c r="I182" s="2202"/>
      <c r="J182" s="2202"/>
      <c r="K182" s="2"/>
      <c r="L182" s="2"/>
      <c r="M182" s="2"/>
      <c r="N182" s="2"/>
      <c r="O182" s="2"/>
      <c r="P182" s="2"/>
      <c r="Q182" s="2"/>
      <c r="R182" s="591"/>
      <c r="S182" s="591"/>
      <c r="T182" s="591"/>
      <c r="U182" s="591"/>
      <c r="V182" s="591"/>
      <c r="W182" s="591"/>
      <c r="X182" s="591"/>
      <c r="AA182" s="591"/>
      <c r="AB182" s="591"/>
      <c r="AC182" s="591"/>
      <c r="AG182" s="591"/>
      <c r="AS182" s="591"/>
    </row>
    <row r="183" spans="1:45" ht="7.5" customHeight="1" x14ac:dyDescent="0.2">
      <c r="A183" s="2"/>
      <c r="B183" s="2"/>
      <c r="C183" s="2089"/>
      <c r="D183" s="2090"/>
      <c r="E183" s="484"/>
      <c r="F183" s="2"/>
      <c r="G183" s="597">
        <f>IF(AND(G$193&lt;&gt;0,G$193&gt;0),IF(($E$184*9)&gt;=G$193,0,1),IF(AND(G$193&lt;&gt;0,G$193&lt;0),IF(($E$184*9)&lt;=G$193,0,1),0))</f>
        <v>0</v>
      </c>
      <c r="H183" s="597">
        <f>IF(AND(H$193&lt;&gt;0,H$193&gt;0),IF(($E$184*9)&gt;=H$193,0,1),IF(AND(H$193&lt;&gt;0,H$193&lt;0),IF(($E$184*9)&lt;=H$193,0,1),0))</f>
        <v>0</v>
      </c>
      <c r="I183" s="2104">
        <f>IF(AND(I$193&lt;&gt;0,I$193&gt;0),IF(($E$184*9)&gt;=I$193,0,1),IF(AND(I$193&lt;&gt;0,I$193&lt;0),IF(($E$184*9)&lt;=I$193,0,1),0))</f>
        <v>0</v>
      </c>
      <c r="J183" s="2105"/>
      <c r="K183" s="597">
        <f>IF(AND(K$193&lt;&gt;0,K$193&gt;0),IF(($E$184*9)&gt;=K$193,0,1),IF(AND(K$193&lt;&gt;0,K$193&lt;0),IF(($E$184*9)&lt;=K$193,0,1),0))</f>
        <v>0</v>
      </c>
      <c r="L183" s="2"/>
      <c r="M183" s="2"/>
      <c r="N183" s="2"/>
      <c r="O183" s="2"/>
      <c r="P183" s="2"/>
      <c r="Q183" s="2"/>
      <c r="R183" s="591"/>
      <c r="S183" s="591"/>
      <c r="T183" s="591"/>
      <c r="U183" s="591"/>
      <c r="V183" s="591"/>
      <c r="W183" s="591"/>
      <c r="X183" s="591"/>
      <c r="AA183" s="591"/>
      <c r="AB183" s="591"/>
      <c r="AC183" s="591"/>
      <c r="AG183" s="591"/>
      <c r="AS183" s="591"/>
    </row>
    <row r="184" spans="1:45" ht="7.5" customHeight="1" x14ac:dyDescent="0.2">
      <c r="A184" s="2"/>
      <c r="B184" s="2"/>
      <c r="C184" s="2096" t="s">
        <v>587</v>
      </c>
      <c r="D184" s="2096"/>
      <c r="E184" s="2098">
        <f>IF(OR(M166=0,M168=""),0,IF(M168=E220,E221,MAX(G193:K193)/10))</f>
        <v>100</v>
      </c>
      <c r="F184" s="2"/>
      <c r="G184" s="598">
        <f>IF(AND(G$193&lt;&gt;0,G$193&gt;0),IF(($E$184*8)&gt;=G$193,0,1),IF(AND(G$193&lt;&gt;0,G$193&lt;0),IF(($E$184*8)&lt;=G$193,0,1),0))</f>
        <v>0</v>
      </c>
      <c r="H184" s="598">
        <f>IF(AND(H$193&lt;&gt;0,H$193&gt;0),IF(($E$184*8)&gt;=H$193,0,1),IF(AND(H$193&lt;&gt;0,H$193&lt;0),IF(($E$184*8)&lt;=H$193,0,1),0))</f>
        <v>0</v>
      </c>
      <c r="I184" s="2061">
        <f>IF(AND(I$193&lt;&gt;0,I$193&gt;0),IF(($E$184*8)&gt;=I$193,0,1),IF(AND(I$193&lt;&gt;0,I$193&lt;0),IF(($E$184*8)&lt;=I$193,0,1),0))</f>
        <v>0</v>
      </c>
      <c r="J184" s="2062"/>
      <c r="K184" s="598">
        <f>IF(AND(K$193&lt;&gt;0,K$193&gt;0),IF(($E$184*8)&gt;=K$193,0,1),IF(AND(K$193&lt;&gt;0,K$193&lt;0),IF(($E$184*8)&lt;=K$193,0,1),0))</f>
        <v>0</v>
      </c>
      <c r="L184" s="2"/>
      <c r="M184" s="2"/>
      <c r="N184" s="2"/>
      <c r="O184" s="2"/>
      <c r="P184" s="2"/>
      <c r="Q184" s="2"/>
      <c r="R184" s="591"/>
      <c r="S184" s="591"/>
      <c r="T184" s="591"/>
      <c r="U184" s="591"/>
      <c r="V184" s="591"/>
      <c r="W184" s="591"/>
      <c r="X184" s="591"/>
      <c r="AA184" s="591"/>
      <c r="AB184" s="591"/>
      <c r="AC184" s="591"/>
      <c r="AG184" s="591"/>
      <c r="AS184" s="591"/>
    </row>
    <row r="185" spans="1:45" ht="7.5" customHeight="1" x14ac:dyDescent="0.2">
      <c r="A185" s="2"/>
      <c r="B185" s="2"/>
      <c r="C185" s="2097"/>
      <c r="D185" s="2097"/>
      <c r="E185" s="2098"/>
      <c r="F185" s="2"/>
      <c r="G185" s="598">
        <f>IF(AND(G$193&lt;&gt;0,G$193&gt;0),IF(($E$184*7)&gt;=G$193,0,1),IF(AND(G$193&lt;&gt;0,G$193&lt;0),IF(($E$184*7)&lt;=G$193,0,1),0))</f>
        <v>0</v>
      </c>
      <c r="H185" s="598">
        <f>IF(AND(H$193&lt;&gt;0,H$193&gt;0),IF(($E$184*7)&gt;=H$193,0,1),IF(AND(H$193&lt;&gt;0,H$193&lt;0),IF(($E$184*7)&lt;=H$193,0,1),0))</f>
        <v>0</v>
      </c>
      <c r="I185" s="2061">
        <f>IF(AND(I$193&lt;&gt;0,I$193&gt;0),IF(($E$184*7)&gt;=I$193,0,1),IF(AND(I$193&lt;&gt;0,I$193&lt;0),IF(($E$184*7)&lt;=I$193,0,1),0))</f>
        <v>0</v>
      </c>
      <c r="J185" s="2062"/>
      <c r="K185" s="598">
        <f>IF(AND(K$193&lt;&gt;0,K$193&gt;0),IF(($E$184*7)&gt;=K$193,0,1),IF(AND(K$193&lt;&gt;0,K$193&lt;0),IF(($E$184*7)&lt;=K$193,0,1),0))</f>
        <v>0</v>
      </c>
      <c r="L185" s="2"/>
      <c r="M185" s="2"/>
      <c r="N185" s="2"/>
      <c r="O185" s="2"/>
      <c r="P185" s="2"/>
      <c r="Q185" s="2"/>
      <c r="R185" s="591"/>
      <c r="S185" s="591"/>
      <c r="T185" s="591"/>
      <c r="U185" s="591"/>
      <c r="V185" s="591"/>
      <c r="W185" s="591"/>
      <c r="X185" s="591"/>
      <c r="AA185" s="591"/>
      <c r="AB185" s="591"/>
      <c r="AC185" s="591"/>
      <c r="AG185" s="591"/>
      <c r="AS185" s="591"/>
    </row>
    <row r="186" spans="1:45" ht="7.5" customHeight="1" x14ac:dyDescent="0.2">
      <c r="A186" s="2"/>
      <c r="B186" s="2"/>
      <c r="C186" s="2"/>
      <c r="D186" s="2"/>
      <c r="E186" s="2"/>
      <c r="F186" s="2"/>
      <c r="G186" s="598">
        <f>IF(AND(G$193&lt;&gt;0,G$193&gt;0),IF(($E$184*6)&gt;=G$193,0,1),IF(AND(G$193&lt;&gt;0,G$193&lt;0),IF(($E$184*6)&lt;=G$193,0,1),0))</f>
        <v>0</v>
      </c>
      <c r="H186" s="598">
        <f>IF(AND(H$193&lt;&gt;0,H$193&gt;0),IF(($E$184*6)&gt;=H$193,0,1),IF(AND(H$193&lt;&gt;0,H$193&lt;0),IF(($E$184*6)&lt;=H$193,0,1),0))</f>
        <v>0</v>
      </c>
      <c r="I186" s="2061">
        <f>IF(AND(I$193&lt;&gt;0,I$193&gt;0),IF(($E$184*6)&gt;=I$193,0,1),IF(AND(I$193&lt;&gt;0,I$193&lt;0),IF(($E$184*6)&lt;=I$193,0,1),0))</f>
        <v>0</v>
      </c>
      <c r="J186" s="2062"/>
      <c r="K186" s="598">
        <f>IF(AND(K$193&lt;&gt;0,K$193&gt;0),IF(($E$184*6)&gt;=K$193,0,1),IF(AND(K$193&lt;&gt;0,K$193&lt;0),IF(($E$184*6)&lt;=K$193,0,1),0))</f>
        <v>0</v>
      </c>
      <c r="L186" s="2"/>
      <c r="M186" s="2"/>
      <c r="N186" s="2"/>
      <c r="O186" s="2"/>
      <c r="P186" s="2"/>
      <c r="Q186" s="2"/>
      <c r="R186" s="591"/>
      <c r="S186" s="591"/>
      <c r="T186" s="591"/>
      <c r="U186" s="591"/>
      <c r="V186" s="591"/>
      <c r="W186" s="591"/>
      <c r="X186" s="591"/>
      <c r="AA186" s="591"/>
      <c r="AB186" s="591"/>
      <c r="AC186" s="591"/>
      <c r="AG186" s="591"/>
      <c r="AS186" s="591"/>
    </row>
    <row r="187" spans="1:45" ht="7.5" customHeight="1" x14ac:dyDescent="0.2">
      <c r="A187" s="2"/>
      <c r="B187" s="2"/>
      <c r="C187" s="2"/>
      <c r="D187" s="2"/>
      <c r="E187" s="2"/>
      <c r="F187" s="2"/>
      <c r="G187" s="598">
        <f>IF(AND(G$193&lt;&gt;0,G$193&gt;0),IF(($E$184*5)&gt;=G$193,0,1),IF(AND(G$193&lt;&gt;0,G$193&lt;0),IF(($E$184*5)&lt;=G$193,0,1),0))</f>
        <v>0</v>
      </c>
      <c r="H187" s="598">
        <f>IF(AND(H$193&lt;&gt;0,H$193&gt;0),IF(($E$184*5)&gt;=H$193,0,1),IF(AND(H$193&lt;&gt;0,H$193&lt;0),IF(($E$184*5)&lt;=H$193,0,1),0))</f>
        <v>0</v>
      </c>
      <c r="I187" s="2061">
        <f>IF(AND(I$193&lt;&gt;0,I$193&gt;0),IF(($E$184*5)&gt;=I$193,0,1),IF(AND(I$193&lt;&gt;0,I$193&lt;0),IF(($E$184*5)&lt;=I$193,0,1),0))</f>
        <v>0</v>
      </c>
      <c r="J187" s="2062"/>
      <c r="K187" s="598">
        <f>IF(AND(K$193&lt;&gt;0,K$193&gt;0),IF(($E$184*5)&gt;=K$193,0,1),IF(AND(K$193&lt;&gt;0,K$193&lt;0),IF(($E$184*5)&lt;=K$193,0,1),0))</f>
        <v>0</v>
      </c>
      <c r="L187" s="2"/>
      <c r="M187" s="2"/>
      <c r="N187" s="2"/>
      <c r="O187" s="2"/>
      <c r="P187" s="2"/>
      <c r="Q187" s="2"/>
      <c r="R187" s="591"/>
      <c r="S187" s="591"/>
      <c r="T187" s="591"/>
      <c r="U187" s="591"/>
      <c r="V187" s="591"/>
      <c r="W187" s="591"/>
      <c r="X187" s="591"/>
      <c r="AA187" s="591"/>
      <c r="AB187" s="591"/>
      <c r="AC187" s="591"/>
      <c r="AG187" s="591"/>
      <c r="AS187" s="591"/>
    </row>
    <row r="188" spans="1:45" ht="7.5" customHeight="1" x14ac:dyDescent="0.2">
      <c r="A188" s="2"/>
      <c r="B188" s="2"/>
      <c r="C188" s="2"/>
      <c r="D188" s="2"/>
      <c r="E188" s="2"/>
      <c r="F188" s="2"/>
      <c r="G188" s="598">
        <f>IF(AND(G$193&lt;&gt;0,G$193&gt;0),IF(($E$184*4)&gt;=G$193,0,1),IF(AND(G$193&lt;&gt;0,G$193&lt;0),IF(($E$184*4)&lt;=G$193,0,1),0))</f>
        <v>0</v>
      </c>
      <c r="H188" s="598">
        <f>IF(AND(H$193&lt;&gt;0,H$193&gt;0),IF(($E$184*4)&gt;=H$193,0,1),IF(AND(H$193&lt;&gt;0,H$193&lt;0),IF(($E$184*4)&lt;=H$193,0,1),0))</f>
        <v>0</v>
      </c>
      <c r="I188" s="2061">
        <f>IF(AND(I$193&lt;&gt;0,I$193&gt;0),IF(($E$184*4)&gt;=I$193,0,1),IF(AND(I$193&lt;&gt;0,I$193&lt;0),IF(($E$184*4)&lt;=I$193,0,1),0))</f>
        <v>0</v>
      </c>
      <c r="J188" s="2062"/>
      <c r="K188" s="598">
        <f>IF(AND(K$193&lt;&gt;0,K$193&gt;0),IF(($E$184*4)&gt;=K$193,0,1),IF(AND(K$193&lt;&gt;0,K$193&lt;0),IF(($E$184*4)&lt;=K$193,0,1),0))</f>
        <v>0</v>
      </c>
      <c r="L188" s="2"/>
      <c r="M188" s="2"/>
      <c r="N188" s="2"/>
      <c r="O188" s="2"/>
      <c r="P188" s="2"/>
      <c r="Q188" s="2"/>
      <c r="R188" s="591"/>
      <c r="S188" s="591"/>
      <c r="T188" s="591"/>
      <c r="U188" s="591"/>
      <c r="V188" s="591"/>
      <c r="W188" s="591"/>
      <c r="X188" s="591"/>
      <c r="AA188" s="591"/>
      <c r="AB188" s="591"/>
      <c r="AC188" s="591"/>
      <c r="AG188" s="591"/>
      <c r="AS188" s="591"/>
    </row>
    <row r="189" spans="1:45" ht="7.5" customHeight="1" x14ac:dyDescent="0.2">
      <c r="A189" s="2"/>
      <c r="B189" s="2"/>
      <c r="C189" s="2"/>
      <c r="D189" s="2"/>
      <c r="E189" s="2"/>
      <c r="F189" s="2"/>
      <c r="G189" s="598">
        <f>IF(AND(G$193&lt;&gt;0,G$193&gt;0),IF(($E$184*3)&gt;=G$193,0,1),IF(AND(G$193&lt;&gt;0,G$193&lt;0),IF(($E$184*3)&lt;=G$193,0,1),0))</f>
        <v>0</v>
      </c>
      <c r="H189" s="598">
        <f>IF(AND(H$193&lt;&gt;0,H$193&gt;0),IF(($E$184*3)&gt;=H$193,0,1),IF(AND(H$193&lt;&gt;0,H$193&lt;0),IF(($E$184*3)&lt;=H$193,0,1),0))</f>
        <v>0</v>
      </c>
      <c r="I189" s="2061">
        <f>IF(AND(I$193&lt;&gt;0,I$193&gt;0),IF(($E$184*3)&gt;=I$193,0,1),IF(AND(I$193&lt;&gt;0,I$193&lt;0),IF(($E$184*3)&lt;=I$193,0,1),0))</f>
        <v>0</v>
      </c>
      <c r="J189" s="2062"/>
      <c r="K189" s="598">
        <f>IF(AND(K$193&lt;&gt;0,K$193&gt;0),IF(($E$184*3)&gt;=K$193,0,1),IF(AND(K$193&lt;&gt;0,K$193&lt;0),IF(($E$184*3)&lt;=K$193,0,1),0))</f>
        <v>0</v>
      </c>
      <c r="L189" s="2"/>
      <c r="M189" s="2"/>
      <c r="N189" s="2"/>
      <c r="O189" s="2"/>
      <c r="P189" s="2"/>
      <c r="Q189" s="2"/>
      <c r="R189" s="591"/>
      <c r="S189" s="591"/>
      <c r="T189" s="591"/>
      <c r="U189" s="591"/>
      <c r="V189" s="591"/>
      <c r="W189" s="591"/>
      <c r="X189" s="591"/>
      <c r="AA189" s="591"/>
      <c r="AB189" s="591"/>
      <c r="AC189" s="591"/>
      <c r="AG189" s="591"/>
      <c r="AS189" s="591"/>
    </row>
    <row r="190" spans="1:45" ht="7.5" customHeight="1" x14ac:dyDescent="0.2">
      <c r="A190" s="2"/>
      <c r="B190" s="2"/>
      <c r="C190" s="2"/>
      <c r="D190" s="2"/>
      <c r="E190" s="2"/>
      <c r="F190" s="2"/>
      <c r="G190" s="598">
        <f>IF(AND(G$193&lt;&gt;0,G$193&gt;0),IF(($E$184*2)&gt;=G$193,0,1),IF(AND(G$193&lt;&gt;0,G$193&lt;0),IF(($E$184*2)&lt;=G$193,0,1),0))</f>
        <v>0</v>
      </c>
      <c r="H190" s="598">
        <f>IF(AND(H$193&lt;&gt;0,H$193&gt;0),IF(($E$184*2)&gt;=H$193,0,1),IF(AND(H$193&lt;&gt;0,H$193&lt;0),IF(($E$184*2)&lt;=H$193,0,1),0))</f>
        <v>0</v>
      </c>
      <c r="I190" s="2061">
        <f>IF(AND(I$193&lt;&gt;0,I$193&gt;0),IF(($E$184*2)&gt;=I$193,0,1),IF(AND(I$193&lt;&gt;0,I$193&lt;0),IF(($E$184*2)&lt;=I$193,0,1),0))</f>
        <v>0</v>
      </c>
      <c r="J190" s="2062"/>
      <c r="K190" s="598">
        <f>IF(AND(K$193&lt;&gt;0,K$193&gt;0),IF(($E$184*2)&gt;=K$193,0,1),IF(AND(K$193&lt;&gt;0,K$193&lt;0),IF(($E$184*2)&lt;=K$193,0,1),0))</f>
        <v>0</v>
      </c>
      <c r="L190" s="2"/>
      <c r="M190" s="2"/>
      <c r="N190" s="2"/>
      <c r="O190" s="2"/>
      <c r="P190" s="2"/>
      <c r="Q190" s="2"/>
      <c r="R190" s="591"/>
      <c r="S190" s="591"/>
      <c r="T190" s="591"/>
      <c r="U190" s="591"/>
      <c r="V190" s="591"/>
      <c r="W190" s="591"/>
      <c r="X190" s="591"/>
      <c r="AA190" s="591"/>
      <c r="AB190" s="591"/>
      <c r="AC190" s="591"/>
      <c r="AG190" s="591"/>
      <c r="AS190" s="591"/>
    </row>
    <row r="191" spans="1:45" ht="7.5" customHeight="1" x14ac:dyDescent="0.2">
      <c r="A191" s="2"/>
      <c r="B191" s="2"/>
      <c r="C191" s="2"/>
      <c r="D191" s="2"/>
      <c r="E191" s="2"/>
      <c r="F191" s="2"/>
      <c r="G191" s="598">
        <f>IF(AND(G$193&lt;&gt;0,G$193&gt;0),IF(($E$184*1)&gt;=G$193,0,1),IF(AND(G$193&lt;&gt;0,G$193&lt;0),IF(($E$184*1)&lt;=G$193,0,1),0))</f>
        <v>0</v>
      </c>
      <c r="H191" s="598">
        <f>IF(AND(H$193&lt;&gt;0,H$193&gt;0),IF(($E$184*1)&gt;=H$193,0,1),IF(AND(H$193&lt;&gt;0,H$193&lt;0),IF(($E$184*1)&lt;=H$193,0,1),0))</f>
        <v>0</v>
      </c>
      <c r="I191" s="2061">
        <f>IF(AND(I$193&lt;&gt;0,I$193&gt;0),IF(($E$184*1)&gt;=I$193,0,1),IF(AND(I$193&lt;&gt;0,I$193&lt;0),IF(($E$184*1)&lt;=I$193,0,1),0))</f>
        <v>0</v>
      </c>
      <c r="J191" s="2062"/>
      <c r="K191" s="598">
        <f>IF(AND(K$193&lt;&gt;0,K$193&gt;0),IF(($E$184*1)&gt;=K$193,0,1),IF(AND(K$193&lt;&gt;0,K$193&lt;0),IF(($E$184*1)&lt;=K$193,0,1),0))</f>
        <v>0</v>
      </c>
      <c r="L191" s="2"/>
      <c r="M191" s="2"/>
      <c r="N191" s="2"/>
      <c r="O191" s="2"/>
      <c r="P191" s="2"/>
      <c r="Q191" s="2"/>
      <c r="R191" s="591"/>
      <c r="S191" s="591"/>
      <c r="T191" s="591"/>
      <c r="U191" s="591"/>
      <c r="V191" s="591"/>
      <c r="W191" s="591"/>
      <c r="X191" s="591"/>
      <c r="AA191" s="591"/>
      <c r="AB191" s="591"/>
      <c r="AC191" s="591"/>
      <c r="AG191" s="591"/>
      <c r="AS191" s="591"/>
    </row>
    <row r="192" spans="1:45" ht="7.5" customHeight="1" x14ac:dyDescent="0.2">
      <c r="A192" s="2"/>
      <c r="B192" s="2"/>
      <c r="C192" s="2"/>
      <c r="D192" s="2"/>
      <c r="E192" s="2"/>
      <c r="F192" s="2"/>
      <c r="G192" s="599">
        <f>IF(G193&lt;&gt;0,1,0)</f>
        <v>0</v>
      </c>
      <c r="H192" s="599">
        <f>IF(H193&lt;&gt;0,1,0)</f>
        <v>0</v>
      </c>
      <c r="I192" s="2199">
        <f>IF(I193&lt;&gt;0,1,0)</f>
        <v>0</v>
      </c>
      <c r="J192" s="2200"/>
      <c r="K192" s="599">
        <f>IF(K193&lt;&gt;0,1,0)</f>
        <v>0</v>
      </c>
      <c r="L192" s="2"/>
      <c r="M192" s="2"/>
      <c r="N192" s="2"/>
      <c r="O192" s="2"/>
      <c r="P192" s="2"/>
      <c r="Q192" s="2"/>
      <c r="R192" s="591"/>
      <c r="S192" s="591"/>
      <c r="T192" s="591"/>
      <c r="U192" s="591"/>
      <c r="V192" s="591"/>
      <c r="W192" s="591"/>
      <c r="X192" s="591"/>
      <c r="AA192" s="591"/>
      <c r="AB192" s="591"/>
      <c r="AC192" s="591"/>
      <c r="AG192" s="591"/>
      <c r="AS192" s="591"/>
    </row>
    <row r="193" spans="1:45" ht="21.95" customHeight="1" x14ac:dyDescent="0.2">
      <c r="A193" s="2"/>
      <c r="B193" s="7"/>
      <c r="C193" s="2092" t="s">
        <v>582</v>
      </c>
      <c r="D193" s="2092"/>
      <c r="E193" s="2093">
        <f>SUM(G193:K193)</f>
        <v>0</v>
      </c>
      <c r="F193" s="2093"/>
      <c r="G193" s="623">
        <f>VLOOKUP($M166,$C215:G217,G214,FALSE)</f>
        <v>0</v>
      </c>
      <c r="H193" s="623">
        <f>VLOOKUP($M166,$C215:H217,H214,FALSE)</f>
        <v>0</v>
      </c>
      <c r="I193" s="2196">
        <f>VLOOKUP($M166,$C215:I217,I214,FALSE)</f>
        <v>0</v>
      </c>
      <c r="J193" s="2196"/>
      <c r="K193" s="623">
        <f>VLOOKUP($M166,$C215:J217,J214,FALSE)</f>
        <v>0</v>
      </c>
      <c r="L193" s="2"/>
      <c r="M193" s="12"/>
      <c r="N193" s="2"/>
      <c r="O193" s="2"/>
      <c r="P193" s="2"/>
      <c r="Q193" s="2"/>
      <c r="R193" s="591"/>
      <c r="S193" s="591"/>
      <c r="T193" s="591"/>
      <c r="U193" s="591"/>
      <c r="V193" s="591"/>
      <c r="W193" s="591"/>
      <c r="X193" s="591"/>
      <c r="AA193" s="591"/>
      <c r="AB193" s="591"/>
      <c r="AC193" s="591"/>
      <c r="AG193" s="591"/>
      <c r="AS193" s="591"/>
    </row>
    <row r="194" spans="1:45" ht="11.25" customHeight="1" x14ac:dyDescent="0.2">
      <c r="A194" s="2"/>
      <c r="B194" s="2"/>
      <c r="C194" s="2"/>
      <c r="D194" s="2"/>
      <c r="E194" s="2"/>
      <c r="F194" s="2"/>
      <c r="G194" s="2"/>
      <c r="H194" s="2"/>
      <c r="I194" s="2203"/>
      <c r="J194" s="2203"/>
      <c r="K194" s="2"/>
      <c r="L194" s="2"/>
      <c r="M194" s="2"/>
      <c r="N194" s="2"/>
      <c r="O194" s="2"/>
      <c r="P194" s="2"/>
      <c r="Q194" s="2"/>
      <c r="R194" s="591"/>
      <c r="S194" s="591"/>
      <c r="T194" s="591"/>
      <c r="U194" s="591"/>
      <c r="V194" s="591"/>
      <c r="W194" s="591"/>
      <c r="X194" s="591"/>
      <c r="AA194" s="591"/>
      <c r="AB194" s="591"/>
      <c r="AC194" s="591"/>
      <c r="AG194" s="591"/>
      <c r="AS194" s="591"/>
    </row>
    <row r="195" spans="1:45" ht="19.5" customHeight="1" x14ac:dyDescent="0.2">
      <c r="A195" s="2"/>
      <c r="B195" s="2"/>
      <c r="C195" s="2063" t="e">
        <f>VLOOKUP(I207,I220:K229,3,FALSE)</f>
        <v>#N/A</v>
      </c>
      <c r="D195" s="2063"/>
      <c r="E195" s="2063"/>
      <c r="F195" s="2063"/>
      <c r="G195" s="2063"/>
      <c r="H195" s="2063"/>
      <c r="I195" s="2202"/>
      <c r="J195" s="2202"/>
      <c r="K195" s="2"/>
      <c r="L195" s="2"/>
      <c r="M195" s="2"/>
      <c r="N195" s="2"/>
      <c r="O195" s="2"/>
      <c r="P195" s="2"/>
      <c r="Q195" s="2"/>
      <c r="R195" s="591"/>
      <c r="S195" s="591"/>
      <c r="T195" s="591"/>
      <c r="U195" s="591"/>
      <c r="V195" s="591"/>
      <c r="W195" s="591"/>
      <c r="X195" s="591"/>
      <c r="AA195" s="591"/>
      <c r="AB195" s="591"/>
      <c r="AC195" s="591"/>
      <c r="AG195" s="591"/>
      <c r="AS195" s="591"/>
    </row>
    <row r="196" spans="1:45" ht="7.5" customHeight="1" x14ac:dyDescent="0.2">
      <c r="A196" s="2"/>
      <c r="B196" s="2"/>
      <c r="C196" s="2064"/>
      <c r="D196" s="2065"/>
      <c r="E196" s="484"/>
      <c r="F196" s="2"/>
      <c r="G196" s="594" t="e">
        <f>IF(AND(G$206&lt;&gt;0,G$206&gt;0),IF(($E$197*9)&gt;=G$206,0,1),IF(AND(G$206&lt;&gt;0,G$206&lt;0),IF(($E$197*9)&lt;=G$206,0,1),0))</f>
        <v>#N/A</v>
      </c>
      <c r="H196" s="594" t="e">
        <f>IF(AND(H$206&lt;&gt;0,H$206&gt;0),IF(($E$197*9)&gt;=H$206,0,1),IF(AND(H$206&lt;&gt;0,H$206&lt;0),IF(($E$197*9)&lt;=H$206,0,1),0))</f>
        <v>#N/A</v>
      </c>
      <c r="I196" s="2197" t="e">
        <f>IF(AND(I$206&lt;&gt;0,I$206&gt;0),IF(($E$197*9)&gt;=I$206,0,1),IF(AND(I$206&lt;&gt;0,I$206&lt;0),IF(($E$197*9)&lt;=I$206,0,1),0))</f>
        <v>#N/A</v>
      </c>
      <c r="J196" s="2198"/>
      <c r="K196" s="594" t="e">
        <f>IF(AND(K$206&lt;&gt;0,K$206&gt;0),IF(($E$197*9)&gt;=K$206,0,1),IF(AND(K$206&lt;&gt;0,K$206&lt;0),IF(($E$197*9)&lt;=K$206,0,1),0))</f>
        <v>#N/A</v>
      </c>
      <c r="L196" s="2"/>
      <c r="M196" s="2"/>
      <c r="N196" s="2"/>
      <c r="O196" s="2"/>
      <c r="P196" s="2"/>
      <c r="Q196" s="2"/>
      <c r="R196" s="591"/>
      <c r="S196" s="591"/>
      <c r="T196" s="591"/>
      <c r="U196" s="591"/>
      <c r="V196" s="591"/>
      <c r="W196" s="591"/>
      <c r="X196" s="591"/>
      <c r="AA196" s="591"/>
      <c r="AB196" s="591"/>
      <c r="AC196" s="591"/>
      <c r="AG196" s="591"/>
      <c r="AS196" s="591"/>
    </row>
    <row r="197" spans="1:45" ht="7.5" customHeight="1" x14ac:dyDescent="0.2">
      <c r="A197" s="2"/>
      <c r="B197" s="2"/>
      <c r="C197" s="2096" t="s">
        <v>587</v>
      </c>
      <c r="D197" s="2096"/>
      <c r="E197" s="2098">
        <f>IF(OR(M166=0,M168=""),0,IF(M168=E220,E221,MAX(G206:K206)/10))</f>
        <v>100</v>
      </c>
      <c r="F197" s="2"/>
      <c r="G197" s="595" t="e">
        <f>IF(AND(G$206&lt;&gt;0,G$206&gt;0),IF(($E$197*8)&gt;=G$206,0,1),IF(AND(G$206&lt;&gt;0,G$206&lt;0),IF(($E$197*8)&lt;=G$206,0,1),0))</f>
        <v>#N/A</v>
      </c>
      <c r="H197" s="595" t="e">
        <f>IF(AND(H$206&lt;&gt;0,H$206&gt;0),IF(($E$197*8)&gt;=H$206,0,1),IF(AND(H$206&lt;&gt;0,H$206&lt;0),IF(($E$197*8)&lt;=H$206,0,1),0))</f>
        <v>#N/A</v>
      </c>
      <c r="I197" s="2049" t="e">
        <f>IF(AND(I$206&lt;&gt;0,I$206&gt;0),IF(($E$197*8)&gt;=I$206,0,1),IF(AND(I$206&lt;&gt;0,I$206&lt;0),IF(($E$197*8)&lt;=I$206,0,1),0))</f>
        <v>#N/A</v>
      </c>
      <c r="J197" s="2050"/>
      <c r="K197" s="595" t="e">
        <f>IF(AND(K$206&lt;&gt;0,K$206&gt;0),IF(($E$197*8)&gt;=K$206,0,1),IF(AND(K$206&lt;&gt;0,K$206&lt;0),IF(($E$197*8)&lt;=K$206,0,1),0))</f>
        <v>#N/A</v>
      </c>
      <c r="L197" s="2"/>
      <c r="M197" s="2"/>
      <c r="N197" s="2"/>
      <c r="O197" s="2"/>
      <c r="P197" s="2"/>
      <c r="Q197" s="2"/>
      <c r="R197" s="591"/>
      <c r="S197" s="591"/>
      <c r="T197" s="591"/>
      <c r="U197" s="591"/>
      <c r="V197" s="591"/>
      <c r="W197" s="591"/>
      <c r="X197" s="591"/>
      <c r="AA197" s="591"/>
      <c r="AB197" s="591"/>
      <c r="AC197" s="591"/>
      <c r="AG197" s="591"/>
      <c r="AS197" s="591"/>
    </row>
    <row r="198" spans="1:45" ht="7.5" customHeight="1" x14ac:dyDescent="0.2">
      <c r="A198" s="2"/>
      <c r="B198" s="2"/>
      <c r="C198" s="2097"/>
      <c r="D198" s="2097"/>
      <c r="E198" s="2098"/>
      <c r="F198" s="2"/>
      <c r="G198" s="595" t="e">
        <f>IF(AND(G$206&lt;&gt;0,G$206&gt;0),IF(($E$197*7)&gt;=G$206,0,1),IF(AND(G$206&lt;&gt;0,G$206&lt;0),IF(($E$197*7)&lt;=G$206,0,1),0))</f>
        <v>#N/A</v>
      </c>
      <c r="H198" s="595" t="e">
        <f>IF(AND(H$206&lt;&gt;0,H$206&gt;0),IF(($E$197*7)&gt;=H$206,0,1),IF(AND(H$206&lt;&gt;0,H$206&lt;0),IF(($E$197*7)&lt;=H$206,0,1),0))</f>
        <v>#N/A</v>
      </c>
      <c r="I198" s="2049" t="e">
        <f>IF(AND(I$206&lt;&gt;0,I$206&gt;0),IF(($E$197*7)&gt;=I$206,0,1),IF(AND(I$206&lt;&gt;0,I$206&lt;0),IF(($E$197*7)&lt;=I$206,0,1),0))</f>
        <v>#N/A</v>
      </c>
      <c r="J198" s="2050"/>
      <c r="K198" s="595" t="e">
        <f>IF(AND(K$206&lt;&gt;0,K$206&gt;0),IF(($E$197*7)&gt;=K$206,0,1),IF(AND(K$206&lt;&gt;0,K$206&lt;0),IF(($E$197*7)&lt;=K$206,0,1),0))</f>
        <v>#N/A</v>
      </c>
      <c r="L198" s="2"/>
      <c r="M198" s="2"/>
      <c r="N198" s="2"/>
      <c r="O198" s="2"/>
      <c r="P198" s="2"/>
      <c r="Q198" s="2"/>
      <c r="R198" s="591"/>
      <c r="S198" s="591"/>
      <c r="T198" s="591"/>
      <c r="U198" s="591"/>
      <c r="V198" s="591"/>
      <c r="W198" s="591"/>
      <c r="X198" s="591"/>
      <c r="AA198" s="591"/>
      <c r="AB198" s="591"/>
      <c r="AC198" s="591"/>
      <c r="AG198" s="591"/>
      <c r="AS198" s="591"/>
    </row>
    <row r="199" spans="1:45" ht="7.5" customHeight="1" x14ac:dyDescent="0.2">
      <c r="A199" s="2"/>
      <c r="B199" s="2"/>
      <c r="C199" s="2"/>
      <c r="D199" s="2"/>
      <c r="E199" s="2"/>
      <c r="F199" s="2"/>
      <c r="G199" s="595" t="e">
        <f>IF(AND(G$206&lt;&gt;0,G$206&gt;0),IF(($E$197*6)&gt;=G$206,0,1),IF(AND(G$206&lt;&gt;0,G$206&lt;0),IF(($E$197*6)&lt;=G$206,0,1),0))</f>
        <v>#N/A</v>
      </c>
      <c r="H199" s="595" t="e">
        <f>IF(AND(H$206&lt;&gt;0,H$206&gt;0),IF(($E$197*6)&gt;=H$206,0,1),IF(AND(H$206&lt;&gt;0,H$206&lt;0),IF(($E$197*6)&lt;=H$206,0,1),0))</f>
        <v>#N/A</v>
      </c>
      <c r="I199" s="2049" t="e">
        <f>IF(AND(I$206&lt;&gt;0,I$206&gt;0),IF(($E$197*6)&gt;=I$206,0,1),IF(AND(I$206&lt;&gt;0,I$206&lt;0),IF(($E$197*6)&lt;=I$206,0,1),0))</f>
        <v>#N/A</v>
      </c>
      <c r="J199" s="2050"/>
      <c r="K199" s="595" t="e">
        <f>IF(AND(K$206&lt;&gt;0,K$206&gt;0),IF(($E$197*6)&gt;=K$206,0,1),IF(AND(K$206&lt;&gt;0,K$206&lt;0),IF(($E$197*6)&lt;=K$206,0,1),0))</f>
        <v>#N/A</v>
      </c>
      <c r="L199" s="2"/>
      <c r="M199" s="2"/>
      <c r="N199" s="2"/>
      <c r="O199" s="2"/>
      <c r="P199" s="2"/>
      <c r="Q199" s="2"/>
      <c r="R199" s="591"/>
      <c r="S199" s="591"/>
      <c r="T199" s="591"/>
      <c r="U199" s="591"/>
      <c r="V199" s="591"/>
      <c r="W199" s="591"/>
      <c r="X199" s="591"/>
      <c r="AA199" s="591"/>
      <c r="AB199" s="591"/>
      <c r="AC199" s="591"/>
      <c r="AG199" s="591"/>
      <c r="AS199" s="591"/>
    </row>
    <row r="200" spans="1:45" ht="7.5" customHeight="1" x14ac:dyDescent="0.2">
      <c r="A200" s="2"/>
      <c r="B200" s="2"/>
      <c r="C200" s="2"/>
      <c r="D200" s="2"/>
      <c r="E200" s="2"/>
      <c r="F200" s="2"/>
      <c r="G200" s="595" t="e">
        <f>IF(AND(G$206&lt;&gt;0,G$206&gt;0),IF(($E$197*5)&gt;=G$206,0,1),IF(AND(G$206&lt;&gt;0,G$206&lt;0),IF(($E$197*5)&lt;=G$206,0,1),0))</f>
        <v>#N/A</v>
      </c>
      <c r="H200" s="595" t="e">
        <f>IF(AND(H$206&lt;&gt;0,H$206&gt;0),IF(($E$197*5)&gt;=H$206,0,1),IF(AND(H$206&lt;&gt;0,H$206&lt;0),IF(($E$197*5)&lt;=H$206,0,1),0))</f>
        <v>#N/A</v>
      </c>
      <c r="I200" s="2049" t="e">
        <f>IF(AND(I$206&lt;&gt;0,I$206&gt;0),IF(($E$197*5)&gt;=I$206,0,1),IF(AND(I$206&lt;&gt;0,I$206&lt;0),IF(($E$197*5)&lt;=I$206,0,1),0))</f>
        <v>#N/A</v>
      </c>
      <c r="J200" s="2050"/>
      <c r="K200" s="595" t="e">
        <f>IF(AND(K$206&lt;&gt;0,K$206&gt;0),IF(($E$197*5)&gt;=K$206,0,1),IF(AND(K$206&lt;&gt;0,K$206&lt;0),IF(($E$197*5)&lt;=K$206,0,1),0))</f>
        <v>#N/A</v>
      </c>
      <c r="L200" s="2"/>
      <c r="M200" s="2"/>
      <c r="N200" s="2"/>
      <c r="O200" s="2"/>
      <c r="P200" s="2"/>
      <c r="Q200" s="2"/>
      <c r="R200" s="591"/>
      <c r="S200" s="591"/>
      <c r="T200" s="591"/>
      <c r="U200" s="591"/>
      <c r="V200" s="591"/>
      <c r="W200" s="591"/>
      <c r="X200" s="591"/>
      <c r="AA200" s="591"/>
      <c r="AB200" s="591"/>
      <c r="AC200" s="591"/>
      <c r="AG200" s="591"/>
      <c r="AS200" s="591"/>
    </row>
    <row r="201" spans="1:45" ht="7.5" customHeight="1" x14ac:dyDescent="0.2">
      <c r="A201" s="2"/>
      <c r="B201" s="2"/>
      <c r="C201" s="2"/>
      <c r="D201" s="2"/>
      <c r="E201" s="2"/>
      <c r="F201" s="2"/>
      <c r="G201" s="595" t="e">
        <f>IF(AND(G$206&lt;&gt;0,G$206&gt;0),IF(($E$197*4)&gt;=G$206,0,1),IF(AND(G$206&lt;&gt;0,G$206&lt;0),IF(($E$197*4)&lt;=G$206,0,1),0))</f>
        <v>#N/A</v>
      </c>
      <c r="H201" s="595" t="e">
        <f>IF(AND(H$206&lt;&gt;0,H$206&gt;0),IF(($E$197*4)&gt;=H$206,0,1),IF(AND(H$206&lt;&gt;0,H$206&lt;0),IF(($E$197*4)&lt;=H$206,0,1),0))</f>
        <v>#N/A</v>
      </c>
      <c r="I201" s="2049" t="e">
        <f>IF(AND(I$206&lt;&gt;0,I$206&gt;0),IF(($E$197*4)&gt;=I$206,0,1),IF(AND(I$206&lt;&gt;0,I$206&lt;0),IF(($E$197*4)&lt;=I$206,0,1),0))</f>
        <v>#N/A</v>
      </c>
      <c r="J201" s="2050"/>
      <c r="K201" s="595" t="e">
        <f>IF(AND(K$206&lt;&gt;0,K$206&gt;0),IF(($E$197*4)&gt;=K$206,0,1),IF(AND(K$206&lt;&gt;0,K$206&lt;0),IF(($E$197*4)&lt;=K$206,0,1),0))</f>
        <v>#N/A</v>
      </c>
      <c r="L201" s="2"/>
      <c r="M201" s="2"/>
      <c r="N201" s="2"/>
      <c r="O201" s="2"/>
      <c r="P201" s="2"/>
      <c r="Q201" s="2"/>
      <c r="R201" s="591"/>
      <c r="S201" s="591"/>
      <c r="T201" s="591"/>
      <c r="U201" s="591"/>
      <c r="V201" s="591"/>
      <c r="W201" s="591"/>
      <c r="X201" s="591"/>
      <c r="AA201" s="591"/>
      <c r="AB201" s="591"/>
      <c r="AC201" s="591"/>
      <c r="AG201" s="591"/>
      <c r="AS201" s="591"/>
    </row>
    <row r="202" spans="1:45" ht="7.5" customHeight="1" x14ac:dyDescent="0.2">
      <c r="A202" s="2"/>
      <c r="B202" s="2"/>
      <c r="C202" s="2"/>
      <c r="D202" s="2"/>
      <c r="E202" s="2"/>
      <c r="F202" s="2"/>
      <c r="G202" s="595" t="e">
        <f>IF(AND(G$206&lt;&gt;0,G$206&gt;0),IF(($E$197*3)&gt;=G$206,0,1),IF(AND(G$206&lt;&gt;0,G$206&lt;0),IF(($E$197*3)&lt;=G$206,0,1),0))</f>
        <v>#N/A</v>
      </c>
      <c r="H202" s="595" t="e">
        <f>IF(AND(H$206&lt;&gt;0,H$206&gt;0),IF(($E$197*3)&gt;=H$206,0,1),IF(AND(H$206&lt;&gt;0,H$206&lt;0),IF(($E$197*3)&lt;=H$206,0,1),0))</f>
        <v>#N/A</v>
      </c>
      <c r="I202" s="2049" t="e">
        <f>IF(AND(I$206&lt;&gt;0,I$206&gt;0),IF(($E$197*3)&gt;=I$206,0,1),IF(AND(I$206&lt;&gt;0,I$206&lt;0),IF(($E$197*3)&lt;=I$206,0,1),0))</f>
        <v>#N/A</v>
      </c>
      <c r="J202" s="2050"/>
      <c r="K202" s="595" t="e">
        <f>IF(AND(K$206&lt;&gt;0,K$206&gt;0),IF(($E$197*3)&gt;=K$206,0,1),IF(AND(K$206&lt;&gt;0,K$206&lt;0),IF(($E$197*3)&lt;=K$206,0,1),0))</f>
        <v>#N/A</v>
      </c>
      <c r="L202" s="2"/>
      <c r="M202" s="2"/>
      <c r="N202" s="2"/>
      <c r="O202" s="2"/>
      <c r="P202" s="2"/>
      <c r="Q202" s="2"/>
      <c r="R202" s="591"/>
      <c r="S202" s="591"/>
      <c r="T202" s="591"/>
      <c r="U202" s="591"/>
      <c r="V202" s="591"/>
      <c r="W202" s="591"/>
      <c r="X202" s="591"/>
      <c r="AA202" s="591"/>
      <c r="AB202" s="591"/>
      <c r="AC202" s="591"/>
      <c r="AG202" s="591"/>
      <c r="AS202" s="591"/>
    </row>
    <row r="203" spans="1:45" ht="7.5" customHeight="1" x14ac:dyDescent="0.2">
      <c r="A203" s="2"/>
      <c r="B203" s="2"/>
      <c r="C203" s="2"/>
      <c r="D203" s="2"/>
      <c r="E203" s="2"/>
      <c r="F203" s="2"/>
      <c r="G203" s="595" t="e">
        <f>IF(AND(G$206&lt;&gt;0,G$206&gt;0),IF(($E$197*2)&gt;=G$206,0,1),IF(AND(G$206&lt;&gt;0,G$206&lt;0),IF(($E$197*2)&lt;=G$206,0,1),0))</f>
        <v>#N/A</v>
      </c>
      <c r="H203" s="595" t="e">
        <f>IF(AND(H$206&lt;&gt;0,H$206&gt;0),IF(($E$197*2)&gt;=H$206,0,1),IF(AND(H$206&lt;&gt;0,H$206&lt;0),IF(($E$197*2)&lt;=H$206,0,1),0))</f>
        <v>#N/A</v>
      </c>
      <c r="I203" s="2049" t="e">
        <f>IF(AND(I$206&lt;&gt;0,I$206&gt;0),IF(($E$197*2)&gt;=I$206,0,1),IF(AND(I$206&lt;&gt;0,I$206&lt;0),IF(($E$197*2)&lt;=I$206,0,1),0))</f>
        <v>#N/A</v>
      </c>
      <c r="J203" s="2050"/>
      <c r="K203" s="595" t="e">
        <f>IF(AND(K$206&lt;&gt;0,K$206&gt;0),IF(($E$197*2)&gt;=K$206,0,1),IF(AND(K$206&lt;&gt;0,K$206&lt;0),IF(($E$197*2)&lt;=K$206,0,1),0))</f>
        <v>#N/A</v>
      </c>
      <c r="L203" s="2"/>
      <c r="M203" s="2"/>
      <c r="N203" s="2"/>
      <c r="O203" s="2"/>
      <c r="P203" s="2"/>
      <c r="Q203" s="2"/>
      <c r="R203" s="591"/>
      <c r="S203" s="591"/>
      <c r="T203" s="591"/>
      <c r="U203" s="591"/>
      <c r="V203" s="591"/>
      <c r="W203" s="591"/>
      <c r="X203" s="591"/>
      <c r="AA203" s="591"/>
      <c r="AB203" s="591"/>
      <c r="AC203" s="591"/>
      <c r="AG203" s="591"/>
      <c r="AS203" s="591"/>
    </row>
    <row r="204" spans="1:45" ht="7.5" customHeight="1" x14ac:dyDescent="0.2">
      <c r="A204" s="2"/>
      <c r="B204" s="2"/>
      <c r="C204" s="2"/>
      <c r="D204" s="2"/>
      <c r="E204" s="2"/>
      <c r="F204" s="2"/>
      <c r="G204" s="595" t="e">
        <f>IF(AND(G$206&lt;&gt;0,G$206&gt;0),IF(($E$197*1)&gt;=G$206,0,1),IF(AND(G$206&lt;&gt;0,G$206&lt;0),IF(($E$197*1)&lt;=G$206,0,1),0))</f>
        <v>#N/A</v>
      </c>
      <c r="H204" s="595" t="e">
        <f>IF(AND(H$206&lt;&gt;0,H$206&gt;0),IF(($E$197*1)&gt;=H$206,0,1),IF(AND(H$206&lt;&gt;0,H$206&lt;0),IF(($E$197*1)&lt;=H$206,0,1),0))</f>
        <v>#N/A</v>
      </c>
      <c r="I204" s="2049" t="e">
        <f>IF(AND(I$206&lt;&gt;0,I$206&gt;0),IF(($E$197*1)&gt;=I$206,0,1),IF(AND(I$206&lt;&gt;0,I$206&lt;0),IF(($E$197*1)&lt;=I$206,0,1),0))</f>
        <v>#N/A</v>
      </c>
      <c r="J204" s="2050"/>
      <c r="K204" s="595" t="e">
        <f>IF(AND(K$206&lt;&gt;0,K$206&gt;0),IF(($E$197*1)&gt;=K$206,0,1),IF(AND(K$206&lt;&gt;0,K$206&lt;0),IF(($E$197*1)&lt;=K$206,0,1),0))</f>
        <v>#N/A</v>
      </c>
      <c r="L204" s="2"/>
      <c r="M204" s="2"/>
      <c r="N204" s="2"/>
      <c r="O204" s="2"/>
      <c r="P204" s="2"/>
      <c r="Q204" s="2"/>
      <c r="R204" s="591"/>
      <c r="S204" s="591"/>
      <c r="T204" s="591"/>
      <c r="U204" s="591"/>
      <c r="V204" s="591"/>
      <c r="W204" s="591"/>
      <c r="X204" s="591"/>
      <c r="AA204" s="591"/>
      <c r="AB204" s="591"/>
      <c r="AC204" s="591"/>
      <c r="AG204" s="591"/>
      <c r="AS204" s="591"/>
    </row>
    <row r="205" spans="1:45" ht="7.5" customHeight="1" x14ac:dyDescent="0.2">
      <c r="A205" s="2"/>
      <c r="B205" s="2"/>
      <c r="C205" s="2"/>
      <c r="D205" s="2"/>
      <c r="E205" s="2"/>
      <c r="F205" s="2"/>
      <c r="G205" s="596" t="e">
        <f>IF(G206&lt;&gt;0,1,0)</f>
        <v>#N/A</v>
      </c>
      <c r="H205" s="596" t="e">
        <f>IF(H206&lt;&gt;0,1,0)</f>
        <v>#N/A</v>
      </c>
      <c r="I205" s="2194" t="e">
        <f>IF(I206&lt;&gt;0,1,0)</f>
        <v>#N/A</v>
      </c>
      <c r="J205" s="2195"/>
      <c r="K205" s="596" t="e">
        <f>IF(K206&lt;&gt;0,1,0)</f>
        <v>#N/A</v>
      </c>
      <c r="L205" s="2"/>
      <c r="M205" s="2"/>
      <c r="N205" s="2"/>
      <c r="O205" s="2"/>
      <c r="P205" s="2"/>
      <c r="Q205" s="2"/>
      <c r="R205" s="591"/>
      <c r="S205" s="591"/>
      <c r="T205" s="591"/>
      <c r="U205" s="591"/>
      <c r="V205" s="591"/>
      <c r="W205" s="591"/>
      <c r="X205" s="591"/>
      <c r="AA205" s="591"/>
      <c r="AB205" s="591"/>
      <c r="AC205" s="591"/>
      <c r="AG205" s="591"/>
      <c r="AS205" s="591"/>
    </row>
    <row r="206" spans="1:45" ht="21.95" customHeight="1" x14ac:dyDescent="0.2">
      <c r="A206" s="2"/>
      <c r="B206" s="7"/>
      <c r="C206" s="2092" t="s">
        <v>582</v>
      </c>
      <c r="D206" s="2092"/>
      <c r="E206" s="2093" t="e">
        <f>SUM(G206:K206)</f>
        <v>#N/A</v>
      </c>
      <c r="F206" s="2093"/>
      <c r="G206" s="623" t="e">
        <f>HLOOKUP(G1,STORICO!$E$109:$Y$140,VLOOKUP(CONCATENATE($M166,$I207),STORICO!$AP$111:$AQ$140,2,FALSE),FALSE)</f>
        <v>#N/A</v>
      </c>
      <c r="H206" s="623" t="e">
        <f>HLOOKUP(H1,STORICO!$E$109:$Y$140,VLOOKUP(CONCATENATE($M166,$I207),STORICO!$AP$111:$AQ$140,2,FALSE),FALSE)</f>
        <v>#N/A</v>
      </c>
      <c r="I206" s="2196" t="e">
        <f>HLOOKUP(K1,STORICO!$E$109:$Y$140,VLOOKUP(CONCATENATE($M166,$I207),STORICO!$AP$111:$AQ$140,2,FALSE),FALSE)</f>
        <v>#N/A</v>
      </c>
      <c r="J206" s="2196"/>
      <c r="K206" s="623" t="e">
        <f>HLOOKUP(N1,STORICO!$E$109:$Y$140,VLOOKUP(CONCATENATE($M166,$I207),STORICO!$AP$111:$AQ$140,2,FALSE),FALSE)</f>
        <v>#N/A</v>
      </c>
      <c r="L206" s="2"/>
      <c r="M206" s="12"/>
      <c r="N206" s="2"/>
      <c r="O206" s="2"/>
      <c r="P206" s="2"/>
      <c r="Q206" s="2"/>
      <c r="R206" s="591"/>
      <c r="S206" s="591"/>
      <c r="T206" s="591"/>
      <c r="U206" s="591"/>
      <c r="V206" s="591"/>
      <c r="W206" s="591"/>
      <c r="X206" s="591"/>
      <c r="AA206" s="591"/>
      <c r="AB206" s="591"/>
      <c r="AC206" s="591"/>
      <c r="AG206" s="591"/>
      <c r="AS206" s="591"/>
    </row>
    <row r="207" spans="1:45" ht="18.75" customHeight="1" x14ac:dyDescent="0.2">
      <c r="A207" s="2"/>
      <c r="B207" s="2"/>
      <c r="C207" s="2059" t="s">
        <v>563</v>
      </c>
      <c r="D207" s="2059"/>
      <c r="E207" s="2059"/>
      <c r="F207" s="2059"/>
      <c r="G207" s="2059"/>
      <c r="H207" s="2060"/>
      <c r="I207" s="2191"/>
      <c r="J207" s="2192"/>
      <c r="K207" s="2193"/>
      <c r="L207" s="2"/>
      <c r="M207" s="2"/>
      <c r="N207" s="2"/>
      <c r="O207" s="2"/>
      <c r="P207" s="2"/>
      <c r="Q207" s="2"/>
      <c r="R207" s="591"/>
      <c r="S207" s="591"/>
      <c r="T207" s="591"/>
      <c r="U207" s="591"/>
      <c r="V207" s="591"/>
      <c r="W207" s="591"/>
      <c r="X207" s="591"/>
      <c r="AA207" s="591"/>
      <c r="AB207" s="591"/>
      <c r="AC207" s="591"/>
      <c r="AG207" s="591"/>
      <c r="AS207" s="591"/>
    </row>
    <row r="208" spans="1:45" ht="18.75" customHeight="1" x14ac:dyDescent="0.2">
      <c r="A208" s="2"/>
      <c r="B208" s="2"/>
      <c r="C208" s="14"/>
      <c r="D208" s="14"/>
      <c r="E208" s="14"/>
      <c r="F208" s="14"/>
      <c r="G208" s="14"/>
      <c r="H208" s="14"/>
      <c r="I208" s="14"/>
      <c r="J208" s="2"/>
      <c r="K208" s="2"/>
      <c r="L208" s="2"/>
      <c r="M208" s="2"/>
      <c r="N208" s="2"/>
      <c r="O208" s="2"/>
      <c r="P208" s="2"/>
      <c r="Q208" s="2"/>
      <c r="R208" s="591"/>
      <c r="S208" s="591"/>
      <c r="T208" s="591"/>
      <c r="U208" s="591"/>
      <c r="V208" s="591"/>
      <c r="W208" s="591"/>
      <c r="X208" s="591"/>
      <c r="AA208" s="591"/>
      <c r="AB208" s="591"/>
      <c r="AC208" s="591"/>
      <c r="AG208" s="591"/>
      <c r="AS208" s="591"/>
    </row>
    <row r="209" spans="1:45" ht="18.75" customHeight="1" x14ac:dyDescent="0.2">
      <c r="A209" s="2"/>
      <c r="B209" s="2"/>
      <c r="C209" s="2"/>
      <c r="D209" s="2"/>
      <c r="E209" s="2"/>
      <c r="F209" s="2"/>
      <c r="G209" s="2"/>
      <c r="H209" s="2"/>
      <c r="I209" s="2"/>
      <c r="J209" s="2"/>
      <c r="K209" s="638" t="str">
        <f ca="1">Presentazione!$H$13</f>
        <v/>
      </c>
      <c r="L209" s="2"/>
      <c r="M209" s="2"/>
      <c r="N209" s="2"/>
      <c r="O209" s="2"/>
      <c r="P209" s="2"/>
      <c r="Q209" s="2"/>
      <c r="R209" s="591"/>
      <c r="S209" s="591"/>
      <c r="T209" s="591"/>
      <c r="U209" s="591"/>
      <c r="V209" s="591"/>
      <c r="W209" s="591"/>
      <c r="X209" s="591"/>
      <c r="AA209" s="591"/>
      <c r="AB209" s="591"/>
      <c r="AC209" s="591"/>
      <c r="AG209" s="591"/>
      <c r="AS209" s="591"/>
    </row>
    <row r="210" spans="1:45" ht="18.75" customHeight="1" x14ac:dyDescent="0.2">
      <c r="A210" s="2"/>
      <c r="B210" s="2"/>
      <c r="C210" s="2"/>
      <c r="D210" s="2"/>
      <c r="E210" s="2"/>
      <c r="F210" s="2"/>
      <c r="G210" s="2"/>
      <c r="H210" s="2"/>
      <c r="I210" s="2"/>
      <c r="J210" s="2"/>
      <c r="K210" s="639" t="str">
        <f ca="1">IF(Presentazione!$J$165=Presentazione!$K$83,CONCATENATE(Presentazione!$F$77,"   -   ","P.I./C.F ",Presentazione!$K$79),Presentazione!$I$157)</f>
        <v>Sistema parzialmente attivato. Inserisci il tuo CODICE di PROPRIETA' nel foglio Presentazione.</v>
      </c>
      <c r="L210" s="2"/>
      <c r="M210" s="2"/>
      <c r="N210" s="2"/>
      <c r="O210" s="2"/>
      <c r="P210" s="2"/>
      <c r="Q210" s="2"/>
      <c r="R210" s="591"/>
      <c r="S210" s="591"/>
      <c r="T210" s="591"/>
      <c r="U210" s="591"/>
      <c r="V210" s="591"/>
      <c r="W210" s="591"/>
      <c r="X210" s="591"/>
      <c r="AA210" s="591"/>
      <c r="AB210" s="591"/>
      <c r="AC210" s="591"/>
      <c r="AG210" s="591"/>
      <c r="AS210" s="591"/>
    </row>
    <row r="211" spans="1:45" ht="18.75" customHeight="1" x14ac:dyDescent="0.2">
      <c r="A211" s="2"/>
      <c r="B211" s="2"/>
      <c r="C211" s="2"/>
      <c r="D211" s="2"/>
      <c r="E211" s="2"/>
      <c r="F211" s="2"/>
      <c r="G211" s="2"/>
      <c r="H211" s="2"/>
      <c r="I211" s="2"/>
      <c r="J211" s="2"/>
      <c r="K211" s="2"/>
      <c r="L211" s="2"/>
      <c r="M211" s="2"/>
      <c r="N211" s="2"/>
      <c r="O211" s="2"/>
      <c r="P211" s="2"/>
      <c r="Q211" s="2"/>
      <c r="R211" s="591"/>
      <c r="S211" s="591"/>
      <c r="T211" s="591"/>
      <c r="U211" s="591"/>
      <c r="V211" s="591"/>
      <c r="W211" s="591"/>
      <c r="X211" s="591"/>
      <c r="AA211" s="591"/>
      <c r="AB211" s="591"/>
      <c r="AC211" s="591"/>
      <c r="AG211" s="591"/>
      <c r="AS211" s="591"/>
    </row>
    <row r="212" spans="1:45" ht="18.75" customHeight="1" x14ac:dyDescent="0.2">
      <c r="A212" s="2"/>
      <c r="B212" s="2"/>
      <c r="C212" s="637" t="str">
        <f>CASSA!B108</f>
        <v>www.marcopiccoli.it   -   Registro dei Corrispettivi 5.2.4 3txt - per EXCEL .xlsm</v>
      </c>
      <c r="D212" s="2"/>
      <c r="E212" s="2"/>
      <c r="F212" s="2"/>
      <c r="G212" s="2"/>
      <c r="H212" s="2"/>
      <c r="I212" s="2"/>
      <c r="J212" s="2"/>
      <c r="K212" s="2"/>
      <c r="L212" s="2"/>
      <c r="M212" s="2"/>
      <c r="N212" s="2"/>
      <c r="O212" s="2"/>
      <c r="P212" s="2"/>
      <c r="Q212" s="2"/>
      <c r="R212" s="591"/>
      <c r="S212" s="591"/>
      <c r="T212" s="591"/>
      <c r="U212" s="591"/>
      <c r="V212" s="591"/>
      <c r="W212" s="591"/>
      <c r="X212" s="591"/>
      <c r="AA212" s="591"/>
      <c r="AB212" s="591"/>
      <c r="AC212" s="591"/>
      <c r="AG212" s="591"/>
      <c r="AS212" s="591"/>
    </row>
    <row r="213" spans="1:45" ht="18.75" customHeight="1" x14ac:dyDescent="0.2">
      <c r="A213" s="2"/>
      <c r="B213" s="2"/>
      <c r="C213" s="2"/>
      <c r="D213" s="2"/>
      <c r="E213" s="2"/>
      <c r="F213" s="2"/>
      <c r="G213" s="2"/>
      <c r="H213" s="2"/>
      <c r="I213" s="2"/>
      <c r="J213" s="2"/>
      <c r="K213" s="2"/>
      <c r="L213" s="2"/>
      <c r="M213" s="2"/>
      <c r="N213" s="2"/>
      <c r="O213" s="2"/>
      <c r="P213" s="2"/>
      <c r="Q213" s="2"/>
      <c r="R213" s="591"/>
      <c r="S213" s="591"/>
      <c r="T213" s="591"/>
      <c r="U213" s="591"/>
      <c r="V213" s="591"/>
      <c r="W213" s="591"/>
      <c r="X213" s="591"/>
      <c r="AA213" s="591"/>
      <c r="AB213" s="591"/>
      <c r="AC213" s="591"/>
      <c r="AG213" s="591"/>
      <c r="AS213" s="591"/>
    </row>
    <row r="214" spans="1:45" ht="18.75" hidden="1" customHeight="1" x14ac:dyDescent="0.2">
      <c r="A214" s="2"/>
      <c r="B214" s="2"/>
      <c r="C214" s="2"/>
      <c r="D214" s="600">
        <v>3</v>
      </c>
      <c r="E214" s="2"/>
      <c r="F214" s="2"/>
      <c r="G214" s="148">
        <v>5</v>
      </c>
      <c r="H214" s="148">
        <v>6</v>
      </c>
      <c r="I214" s="148">
        <v>7</v>
      </c>
      <c r="J214" s="148">
        <v>8</v>
      </c>
      <c r="K214" s="2"/>
      <c r="L214" s="2"/>
      <c r="M214" s="2"/>
      <c r="N214" s="2"/>
      <c r="O214" s="2"/>
      <c r="P214" s="2"/>
      <c r="Q214" s="2"/>
      <c r="R214" s="591"/>
      <c r="S214" s="591"/>
      <c r="T214" s="591"/>
      <c r="U214" s="591"/>
      <c r="V214" s="591"/>
      <c r="W214" s="591"/>
      <c r="X214" s="591"/>
      <c r="AA214" s="591"/>
      <c r="AB214" s="591"/>
      <c r="AC214" s="591"/>
      <c r="AG214" s="591"/>
      <c r="AS214" s="591"/>
    </row>
    <row r="215" spans="1:45" ht="21.95" hidden="1" customHeight="1" x14ac:dyDescent="0.2">
      <c r="A215" s="2"/>
      <c r="B215" s="7"/>
      <c r="C215" s="2187" t="str">
        <f>C46</f>
        <v>LORDO</v>
      </c>
      <c r="D215" s="2187"/>
      <c r="E215" s="2188">
        <f>SUM(G215:J215)</f>
        <v>0</v>
      </c>
      <c r="F215" s="2188"/>
      <c r="G215" s="602">
        <f>VLOOKUP(G$1,IMPOSTAZIONI!$B$298:$AM$304,$D$214,FALSE)</f>
        <v>0</v>
      </c>
      <c r="H215" s="602">
        <f>VLOOKUP(H$1,IMPOSTAZIONI!$B$298:$AM$304,$D$214,FALSE)</f>
        <v>0</v>
      </c>
      <c r="I215" s="602">
        <f>VLOOKUP(K$1,IMPOSTAZIONI!$B$298:$AM$304,$D$214,FALSE)</f>
        <v>0</v>
      </c>
      <c r="J215" s="602">
        <f>VLOOKUP(N$1,IMPOSTAZIONI!$B$298:$AM$304,$D$214,FALSE)</f>
        <v>0</v>
      </c>
      <c r="K215" s="14"/>
      <c r="L215" s="2"/>
      <c r="M215" s="12"/>
      <c r="N215" s="2"/>
      <c r="O215" s="2"/>
      <c r="P215" s="2"/>
      <c r="Q215" s="2"/>
      <c r="R215" s="591"/>
      <c r="S215" s="591"/>
      <c r="T215" s="591"/>
      <c r="U215" s="591"/>
      <c r="V215" s="591"/>
      <c r="W215" s="591"/>
      <c r="X215" s="591"/>
      <c r="AA215" s="591"/>
      <c r="AB215" s="591"/>
      <c r="AC215" s="591"/>
      <c r="AG215" s="591"/>
      <c r="AS215" s="591"/>
    </row>
    <row r="216" spans="1:45" hidden="1" x14ac:dyDescent="0.2">
      <c r="A216" s="2"/>
      <c r="B216" s="7"/>
      <c r="C216" s="2189" t="str">
        <f>C47</f>
        <v>NETTO</v>
      </c>
      <c r="D216" s="2189"/>
      <c r="E216" s="2190">
        <f>SUM(G216:J216)</f>
        <v>4000</v>
      </c>
      <c r="F216" s="2190"/>
      <c r="G216" s="601">
        <f>VLOOKUP(G$1,IMPOSTAZIONI!$B$391:$AM$397,$D$214,FALSE)</f>
        <v>1000</v>
      </c>
      <c r="H216" s="601">
        <f>VLOOKUP(H$1,IMPOSTAZIONI!$B$391:$AM$397,$D$214,FALSE)</f>
        <v>1000</v>
      </c>
      <c r="I216" s="601">
        <f>VLOOKUP(K$1,IMPOSTAZIONI!$B$391:$AM$397,$D$214,FALSE)</f>
        <v>1000</v>
      </c>
      <c r="J216" s="601">
        <f>VLOOKUP(N$1,IMPOSTAZIONI!$B$391:$AM$397,$D$214,FALSE)</f>
        <v>1000</v>
      </c>
      <c r="K216" s="14"/>
      <c r="L216" s="2"/>
      <c r="M216" s="12"/>
      <c r="N216" s="2"/>
      <c r="O216" s="2"/>
      <c r="P216" s="2"/>
      <c r="Q216" s="2"/>
      <c r="R216" s="591"/>
      <c r="S216" s="591"/>
      <c r="T216" s="591"/>
      <c r="U216" s="591"/>
      <c r="V216" s="591"/>
      <c r="W216" s="591"/>
      <c r="X216" s="591"/>
      <c r="AA216" s="591"/>
      <c r="AB216" s="591"/>
      <c r="AC216" s="591"/>
      <c r="AG216" s="591"/>
      <c r="AS216" s="591"/>
    </row>
    <row r="217" spans="1:45" ht="21.95" hidden="1" customHeight="1" x14ac:dyDescent="0.2">
      <c r="A217" s="2"/>
      <c r="B217" s="7"/>
      <c r="C217" s="2185" t="str">
        <f>C48</f>
        <v>IVA</v>
      </c>
      <c r="D217" s="2185"/>
      <c r="E217" s="2186">
        <f>SUM(G217:J217)</f>
        <v>-4000</v>
      </c>
      <c r="F217" s="2186"/>
      <c r="G217" s="603">
        <f>G215-G216</f>
        <v>-1000</v>
      </c>
      <c r="H217" s="603">
        <f>H215-H216</f>
        <v>-1000</v>
      </c>
      <c r="I217" s="603">
        <f>I215-I216</f>
        <v>-1000</v>
      </c>
      <c r="J217" s="603">
        <f>J215-J216</f>
        <v>-1000</v>
      </c>
      <c r="K217" s="14"/>
      <c r="L217" s="2"/>
      <c r="M217" s="12"/>
      <c r="N217" s="2"/>
      <c r="O217" s="2"/>
      <c r="P217" s="2"/>
      <c r="Q217" s="2"/>
      <c r="R217" s="591"/>
      <c r="S217" s="591"/>
      <c r="T217" s="591"/>
      <c r="U217" s="591"/>
      <c r="V217" s="591"/>
      <c r="W217" s="591"/>
      <c r="X217" s="591"/>
      <c r="AA217" s="591"/>
      <c r="AB217" s="591"/>
      <c r="AC217" s="591"/>
      <c r="AG217" s="591"/>
      <c r="AS217" s="591"/>
    </row>
    <row r="218" spans="1:45" ht="18.75" hidden="1" customHeight="1" x14ac:dyDescent="0.2">
      <c r="A218" s="2"/>
      <c r="B218" s="2"/>
      <c r="C218" s="2"/>
      <c r="D218" s="2"/>
      <c r="E218" s="2"/>
      <c r="F218" s="2"/>
      <c r="G218" s="2"/>
      <c r="H218" s="2"/>
      <c r="I218" s="2"/>
      <c r="J218" s="2"/>
      <c r="K218" s="2"/>
      <c r="L218" s="2"/>
      <c r="M218" s="2"/>
      <c r="N218" s="2"/>
      <c r="O218" s="2"/>
      <c r="P218" s="2"/>
      <c r="Q218" s="2"/>
      <c r="R218" s="591"/>
      <c r="S218" s="591"/>
      <c r="T218" s="591"/>
      <c r="U218" s="591"/>
      <c r="V218" s="591"/>
      <c r="W218" s="591"/>
      <c r="X218" s="591"/>
      <c r="AA218" s="591"/>
      <c r="AB218" s="591"/>
      <c r="AC218" s="591"/>
      <c r="AG218" s="591"/>
      <c r="AS218" s="591"/>
    </row>
    <row r="219" spans="1:45" hidden="1" x14ac:dyDescent="0.2">
      <c r="A219" s="2"/>
      <c r="B219" s="2"/>
      <c r="C219" s="2"/>
      <c r="D219" s="2"/>
      <c r="E219" s="931" t="s">
        <v>718</v>
      </c>
      <c r="F219" s="2"/>
      <c r="G219" s="592" t="s">
        <v>175</v>
      </c>
      <c r="H219" s="2"/>
      <c r="I219" s="2"/>
      <c r="J219" s="2"/>
      <c r="K219" s="2"/>
      <c r="L219" s="2"/>
      <c r="M219" s="2"/>
      <c r="N219" s="2"/>
      <c r="O219" s="2"/>
      <c r="P219" s="2"/>
      <c r="Q219" s="2"/>
      <c r="R219" s="591"/>
      <c r="S219" s="591"/>
      <c r="T219" s="591"/>
      <c r="U219" s="591"/>
      <c r="V219" s="591"/>
      <c r="W219" s="591"/>
      <c r="X219" s="591"/>
      <c r="AA219" s="591"/>
      <c r="AB219" s="591"/>
      <c r="AC219" s="591"/>
      <c r="AG219" s="591"/>
      <c r="AS219" s="591"/>
    </row>
    <row r="220" spans="1:45" ht="14.25" hidden="1" customHeight="1" x14ac:dyDescent="0.2">
      <c r="A220" s="2"/>
      <c r="B220" s="2"/>
      <c r="C220" s="2"/>
      <c r="D220" s="2"/>
      <c r="E220" s="932" t="s">
        <v>719</v>
      </c>
      <c r="F220" s="2"/>
      <c r="G220" s="593">
        <f>STORICO!C16</f>
        <v>2024</v>
      </c>
      <c r="H220" s="2"/>
      <c r="I220" s="592" t="str">
        <f t="shared" ref="I220:I229" si="36">CONCATENATE(G$219,"   ",G220)</f>
        <v>ANNO   2024</v>
      </c>
      <c r="J220" s="2"/>
      <c r="K220" s="592" t="s">
        <v>583</v>
      </c>
      <c r="L220" s="2"/>
      <c r="M220" s="2"/>
      <c r="N220" s="2"/>
      <c r="O220" s="2"/>
      <c r="P220" s="2"/>
      <c r="Q220" s="2"/>
      <c r="R220" s="591"/>
      <c r="S220" s="591"/>
      <c r="T220" s="591"/>
      <c r="U220" s="591"/>
      <c r="V220" s="591"/>
      <c r="W220" s="591"/>
      <c r="X220" s="591"/>
      <c r="AA220" s="591"/>
      <c r="AB220" s="591"/>
      <c r="AC220" s="591"/>
      <c r="AG220" s="591"/>
      <c r="AS220" s="591"/>
    </row>
    <row r="221" spans="1:45" ht="14.25" hidden="1" customHeight="1" x14ac:dyDescent="0.2">
      <c r="A221" s="2"/>
      <c r="B221" s="2"/>
      <c r="C221" s="2"/>
      <c r="D221" s="2"/>
      <c r="E221" s="933">
        <f>IF(ISERROR(G206),MAX(G180:K180,G193:K193)/10,MAX(G180:K180,G193:K193,G206:K206)/10)</f>
        <v>100</v>
      </c>
      <c r="F221" s="2"/>
      <c r="G221" s="593">
        <f>STORICO!C27</f>
        <v>2023</v>
      </c>
      <c r="H221" s="2"/>
      <c r="I221" s="592" t="str">
        <f t="shared" si="36"/>
        <v>ANNO   2023</v>
      </c>
      <c r="J221" s="2"/>
      <c r="K221" s="592" t="s">
        <v>584</v>
      </c>
      <c r="L221" s="2"/>
      <c r="M221" s="2"/>
      <c r="N221" s="2"/>
      <c r="O221" s="2"/>
      <c r="P221" s="2"/>
      <c r="Q221" s="2"/>
      <c r="AA221" s="591"/>
      <c r="AB221" s="591"/>
      <c r="AC221" s="591"/>
      <c r="AG221" s="591"/>
      <c r="AS221" s="591"/>
    </row>
    <row r="222" spans="1:45" ht="14.25" hidden="1" customHeight="1" x14ac:dyDescent="0.2">
      <c r="A222" s="2"/>
      <c r="B222" s="2"/>
      <c r="C222" s="2"/>
      <c r="D222" s="2"/>
      <c r="E222" s="2"/>
      <c r="F222" s="2"/>
      <c r="G222" s="593">
        <f>STORICO!C33</f>
        <v>2022</v>
      </c>
      <c r="H222" s="2"/>
      <c r="I222" s="592" t="str">
        <f t="shared" si="36"/>
        <v>ANNO   2022</v>
      </c>
      <c r="J222" s="2"/>
      <c r="K222" s="592" t="s">
        <v>585</v>
      </c>
      <c r="L222" s="2"/>
      <c r="M222" s="2"/>
      <c r="N222" s="2"/>
      <c r="O222" s="2"/>
      <c r="P222" s="2"/>
      <c r="Q222" s="2"/>
      <c r="AA222" s="591"/>
      <c r="AB222" s="591"/>
      <c r="AC222" s="591"/>
      <c r="AG222" s="591"/>
      <c r="AS222" s="591"/>
    </row>
    <row r="223" spans="1:45" ht="14.25" hidden="1" customHeight="1" x14ac:dyDescent="0.2">
      <c r="A223" s="2"/>
      <c r="B223" s="2"/>
      <c r="C223" s="2"/>
      <c r="D223" s="2"/>
      <c r="E223" s="2"/>
      <c r="F223" s="2"/>
      <c r="G223" s="593">
        <f>STORICO!C39</f>
        <v>2021</v>
      </c>
      <c r="H223" s="2"/>
      <c r="I223" s="592" t="str">
        <f t="shared" si="36"/>
        <v>ANNO   2021</v>
      </c>
      <c r="J223" s="2"/>
      <c r="K223" s="592" t="s">
        <v>586</v>
      </c>
      <c r="L223" s="2"/>
      <c r="M223" s="2"/>
      <c r="N223" s="2"/>
      <c r="O223" s="2"/>
      <c r="P223" s="2"/>
      <c r="Q223" s="2"/>
      <c r="AA223" s="591"/>
      <c r="AB223" s="591"/>
      <c r="AC223" s="591"/>
      <c r="AG223" s="591"/>
      <c r="AS223" s="591"/>
    </row>
    <row r="224" spans="1:45" ht="14.25" hidden="1" customHeight="1" x14ac:dyDescent="0.2">
      <c r="A224" s="2"/>
      <c r="B224" s="2"/>
      <c r="C224" s="2"/>
      <c r="D224" s="2"/>
      <c r="E224" s="934" t="str">
        <f>C215</f>
        <v>LORDO</v>
      </c>
      <c r="F224" s="2"/>
      <c r="G224" s="593" t="str">
        <f>CONCATENATE(G220," + ",G221)</f>
        <v>2024 + 2023</v>
      </c>
      <c r="H224" s="2"/>
      <c r="I224" s="592" t="str">
        <f t="shared" si="36"/>
        <v>ANNO   2024 + 2023</v>
      </c>
      <c r="J224" s="2"/>
      <c r="K224" s="592" t="str">
        <f>CONCATENATE(K220," + ",K221)</f>
        <v>ANNO IN CORSO + ANNO PRECEDENTE 1</v>
      </c>
      <c r="L224" s="2"/>
      <c r="M224" s="2"/>
      <c r="N224" s="2"/>
      <c r="O224" s="2"/>
      <c r="P224" s="2"/>
      <c r="Q224" s="2"/>
      <c r="AA224" s="591"/>
      <c r="AB224" s="591"/>
      <c r="AC224" s="591"/>
      <c r="AG224" s="591"/>
      <c r="AS224" s="591"/>
    </row>
    <row r="225" spans="1:45" ht="14.25" hidden="1" customHeight="1" x14ac:dyDescent="0.2">
      <c r="A225" s="2"/>
      <c r="B225" s="2"/>
      <c r="C225" s="2"/>
      <c r="D225" s="2"/>
      <c r="E225" s="934" t="str">
        <f>C216</f>
        <v>NETTO</v>
      </c>
      <c r="F225" s="2"/>
      <c r="G225" s="593" t="str">
        <f>CONCATENATE(G220," + ",G221," + ",G222)</f>
        <v>2024 + 2023 + 2022</v>
      </c>
      <c r="H225" s="2"/>
      <c r="I225" s="592" t="str">
        <f t="shared" si="36"/>
        <v>ANNO   2024 + 2023 + 2022</v>
      </c>
      <c r="J225" s="2"/>
      <c r="K225" s="592" t="str">
        <f>CONCATENATE(K220," + ",K221," + 2")</f>
        <v>ANNO IN CORSO + ANNO PRECEDENTE 1 + 2</v>
      </c>
      <c r="L225" s="2"/>
      <c r="M225" s="2"/>
      <c r="N225" s="2"/>
      <c r="O225" s="2"/>
      <c r="P225" s="2"/>
      <c r="Q225" s="2"/>
      <c r="AA225" s="591"/>
      <c r="AB225" s="591"/>
      <c r="AC225" s="591"/>
      <c r="AG225" s="591"/>
      <c r="AS225" s="591"/>
    </row>
    <row r="226" spans="1:45" ht="14.25" hidden="1" customHeight="1" x14ac:dyDescent="0.2">
      <c r="A226" s="2"/>
      <c r="B226" s="2"/>
      <c r="C226" s="2"/>
      <c r="D226" s="2"/>
      <c r="E226" s="934" t="str">
        <f>C217</f>
        <v>IVA</v>
      </c>
      <c r="F226" s="2"/>
      <c r="G226" s="593" t="str">
        <f>CONCATENATE(G220," + ",G221," + ",G222," + ",G223)</f>
        <v>2024 + 2023 + 2022 + 2021</v>
      </c>
      <c r="H226" s="2"/>
      <c r="I226" s="592" t="str">
        <f t="shared" si="36"/>
        <v>ANNO   2024 + 2023 + 2022 + 2021</v>
      </c>
      <c r="J226" s="2"/>
      <c r="K226" s="592" t="str">
        <f>CONCATENATE(K220," + ",K221," + 2 + 3")</f>
        <v>ANNO IN CORSO + ANNO PRECEDENTE 1 + 2 + 3</v>
      </c>
      <c r="L226" s="2"/>
      <c r="M226" s="2"/>
      <c r="N226" s="2"/>
      <c r="O226" s="2"/>
      <c r="P226" s="2"/>
      <c r="Q226" s="2"/>
      <c r="AA226" s="591"/>
      <c r="AB226" s="591"/>
      <c r="AC226" s="591"/>
      <c r="AG226" s="591"/>
      <c r="AS226" s="591"/>
    </row>
    <row r="227" spans="1:45" ht="14.25" hidden="1" customHeight="1" x14ac:dyDescent="0.2">
      <c r="A227" s="2"/>
      <c r="B227" s="2"/>
      <c r="C227" s="2"/>
      <c r="D227" s="2"/>
      <c r="E227" s="2"/>
      <c r="F227" s="2"/>
      <c r="G227" s="593" t="str">
        <f>CONCATENATE(G221," + ",G222)</f>
        <v>2023 + 2022</v>
      </c>
      <c r="H227" s="2"/>
      <c r="I227" s="592" t="str">
        <f t="shared" si="36"/>
        <v>ANNO   2023 + 2022</v>
      </c>
      <c r="J227" s="2"/>
      <c r="K227" s="592" t="str">
        <f>CONCATENATE(K221," + 2")</f>
        <v>ANNO PRECEDENTE 1 + 2</v>
      </c>
      <c r="L227" s="2"/>
      <c r="M227" s="2"/>
      <c r="N227" s="2"/>
      <c r="O227" s="2"/>
      <c r="P227" s="2"/>
      <c r="Q227" s="2"/>
      <c r="AA227" s="591"/>
      <c r="AB227" s="591"/>
      <c r="AC227" s="591"/>
      <c r="AG227" s="591"/>
      <c r="AS227" s="591"/>
    </row>
    <row r="228" spans="1:45" ht="14.25" hidden="1" customHeight="1" x14ac:dyDescent="0.2">
      <c r="A228" s="2"/>
      <c r="B228" s="2"/>
      <c r="C228" s="2"/>
      <c r="D228" s="2"/>
      <c r="E228" s="2"/>
      <c r="F228" s="2"/>
      <c r="G228" s="593" t="str">
        <f>CONCATENATE(G221," + ",G222," + ",G223)</f>
        <v>2023 + 2022 + 2021</v>
      </c>
      <c r="H228" s="2"/>
      <c r="I228" s="592" t="str">
        <f t="shared" si="36"/>
        <v>ANNO   2023 + 2022 + 2021</v>
      </c>
      <c r="J228" s="2"/>
      <c r="K228" s="592" t="str">
        <f>CONCATENATE(K221," + 2 + 3")</f>
        <v>ANNO PRECEDENTE 1 + 2 + 3</v>
      </c>
      <c r="L228" s="2"/>
      <c r="M228" s="2"/>
      <c r="N228" s="2"/>
      <c r="O228" s="2"/>
      <c r="P228" s="2"/>
      <c r="Q228" s="2"/>
      <c r="AA228" s="591"/>
      <c r="AB228" s="591"/>
      <c r="AC228" s="591"/>
      <c r="AG228" s="591"/>
      <c r="AS228" s="591"/>
    </row>
    <row r="229" spans="1:45" ht="14.25" hidden="1" customHeight="1" x14ac:dyDescent="0.2">
      <c r="A229" s="2"/>
      <c r="B229" s="2"/>
      <c r="C229" s="2"/>
      <c r="D229" s="2"/>
      <c r="E229" s="2"/>
      <c r="F229" s="2"/>
      <c r="G229" s="593" t="str">
        <f>CONCATENATE(G222," + ",G223)</f>
        <v>2022 + 2021</v>
      </c>
      <c r="H229" s="2"/>
      <c r="I229" s="592" t="str">
        <f t="shared" si="36"/>
        <v>ANNO   2022 + 2021</v>
      </c>
      <c r="J229" s="2"/>
      <c r="K229" s="592" t="str">
        <f>CONCATENATE(K222," + 3")</f>
        <v>ANNO PRECEDENTE 2 + 3</v>
      </c>
      <c r="L229" s="2"/>
      <c r="M229" s="2"/>
      <c r="N229" s="2"/>
      <c r="O229" s="2"/>
      <c r="P229" s="2"/>
      <c r="Q229" s="2"/>
      <c r="AA229" s="591"/>
      <c r="AB229" s="591"/>
      <c r="AC229" s="591"/>
      <c r="AG229" s="591"/>
      <c r="AS229" s="591"/>
    </row>
    <row r="230" spans="1:45" hidden="1" x14ac:dyDescent="0.2">
      <c r="A230" s="2"/>
      <c r="B230" s="2"/>
      <c r="C230" s="2"/>
      <c r="D230" s="2"/>
      <c r="E230" s="2"/>
      <c r="F230" s="2"/>
      <c r="G230" s="2"/>
      <c r="H230" s="2"/>
      <c r="I230" s="2"/>
      <c r="J230" s="2"/>
      <c r="K230" s="2"/>
      <c r="L230" s="2"/>
      <c r="M230" s="2"/>
      <c r="N230" s="2"/>
      <c r="O230" s="2"/>
      <c r="P230" s="2"/>
      <c r="Q230" s="2"/>
      <c r="AA230" s="591"/>
      <c r="AB230" s="591"/>
      <c r="AC230" s="591"/>
      <c r="AG230" s="591"/>
      <c r="AS230" s="591"/>
    </row>
    <row r="231" spans="1:45" x14ac:dyDescent="0.2">
      <c r="A231" s="2"/>
      <c r="B231" s="2"/>
      <c r="C231" s="2"/>
      <c r="D231" s="2"/>
      <c r="E231" s="2"/>
      <c r="F231" s="2"/>
      <c r="G231" s="1433" t="s">
        <v>572</v>
      </c>
      <c r="H231" s="1434" t="s">
        <v>869</v>
      </c>
      <c r="I231" s="2"/>
      <c r="J231" s="2"/>
      <c r="K231" s="2"/>
      <c r="L231" s="1433" t="s">
        <v>572</v>
      </c>
      <c r="M231" s="1434" t="s">
        <v>870</v>
      </c>
      <c r="N231" s="2"/>
      <c r="O231" s="2"/>
      <c r="P231" s="2"/>
      <c r="Q231" s="2"/>
      <c r="AA231" s="591"/>
      <c r="AB231" s="591"/>
      <c r="AC231" s="591"/>
      <c r="AG231" s="591"/>
      <c r="AS231" s="591"/>
    </row>
  </sheetData>
  <sheetProtection algorithmName="SHA-512" hashValue="9PDPCAmN/GWrY/0mL999rZUAS3hhwEsgcWw0T8FoVb5uhBF+aZNgc2nYXKrbYAL6LrL7L+5ZvfLt5JSV7zhmtA==" saltValue="RbqIyDGEbb7JpB6iMqc73A==" spinCount="100000" sheet="1" objects="1" scenarios="1" selectLockedCells="1"/>
  <mergeCells count="244">
    <mergeCell ref="C3:D3"/>
    <mergeCell ref="E3:G3"/>
    <mergeCell ref="I175:J175"/>
    <mergeCell ref="I176:J176"/>
    <mergeCell ref="I117:J117"/>
    <mergeCell ref="I4:J5"/>
    <mergeCell ref="I44:J44"/>
    <mergeCell ref="G50:M50"/>
    <mergeCell ref="M168:N168"/>
    <mergeCell ref="I170:J170"/>
    <mergeCell ref="I166:J166"/>
    <mergeCell ref="I168:J168"/>
    <mergeCell ref="I169:J169"/>
    <mergeCell ref="I167:J167"/>
    <mergeCell ref="M166:N166"/>
    <mergeCell ref="K147:L147"/>
    <mergeCell ref="L70:M70"/>
    <mergeCell ref="K146:L146"/>
    <mergeCell ref="L77:M77"/>
    <mergeCell ref="L78:M78"/>
    <mergeCell ref="L86:M86"/>
    <mergeCell ref="I171:J171"/>
    <mergeCell ref="I172:J172"/>
    <mergeCell ref="I173:J173"/>
    <mergeCell ref="AN6:AQ6"/>
    <mergeCell ref="I122:J122"/>
    <mergeCell ref="I118:J118"/>
    <mergeCell ref="I119:J119"/>
    <mergeCell ref="I120:J120"/>
    <mergeCell ref="I121:J121"/>
    <mergeCell ref="L108:M108"/>
    <mergeCell ref="O96:P96"/>
    <mergeCell ref="O57:P57"/>
    <mergeCell ref="L52:M52"/>
    <mergeCell ref="L51:M51"/>
    <mergeCell ref="I88:J88"/>
    <mergeCell ref="O104:P104"/>
    <mergeCell ref="O103:P103"/>
    <mergeCell ref="O102:P102"/>
    <mergeCell ref="L109:M109"/>
    <mergeCell ref="I51:J51"/>
    <mergeCell ref="I52:J52"/>
    <mergeCell ref="I56:J56"/>
    <mergeCell ref="I114:J114"/>
    <mergeCell ref="I115:J115"/>
    <mergeCell ref="I116:J116"/>
    <mergeCell ref="O97:P97"/>
    <mergeCell ref="O101:P101"/>
    <mergeCell ref="I203:J203"/>
    <mergeCell ref="I207:K207"/>
    <mergeCell ref="I205:J205"/>
    <mergeCell ref="I206:J206"/>
    <mergeCell ref="I196:J196"/>
    <mergeCell ref="I177:J177"/>
    <mergeCell ref="I178:J178"/>
    <mergeCell ref="I179:J179"/>
    <mergeCell ref="I180:J180"/>
    <mergeCell ref="I181:J181"/>
    <mergeCell ref="I182:J182"/>
    <mergeCell ref="I191:J191"/>
    <mergeCell ref="I192:J192"/>
    <mergeCell ref="I195:J195"/>
    <mergeCell ref="I189:J189"/>
    <mergeCell ref="I190:J190"/>
    <mergeCell ref="I184:J184"/>
    <mergeCell ref="I185:J185"/>
    <mergeCell ref="I202:J202"/>
    <mergeCell ref="I193:J193"/>
    <mergeCell ref="I194:J194"/>
    <mergeCell ref="I204:J204"/>
    <mergeCell ref="I199:J199"/>
    <mergeCell ref="I200:J200"/>
    <mergeCell ref="C217:D217"/>
    <mergeCell ref="E217:F217"/>
    <mergeCell ref="C215:D215"/>
    <mergeCell ref="E215:F215"/>
    <mergeCell ref="C216:D216"/>
    <mergeCell ref="E216:F216"/>
    <mergeCell ref="C197:D198"/>
    <mergeCell ref="E197:E198"/>
    <mergeCell ref="E184:E185"/>
    <mergeCell ref="C193:D193"/>
    <mergeCell ref="E193:F193"/>
    <mergeCell ref="C184:D185"/>
    <mergeCell ref="C206:D206"/>
    <mergeCell ref="E206:F206"/>
    <mergeCell ref="O4:P5"/>
    <mergeCell ref="E17:F17"/>
    <mergeCell ref="E10:F10"/>
    <mergeCell ref="E8:F8"/>
    <mergeCell ref="E15:F15"/>
    <mergeCell ref="E9:F9"/>
    <mergeCell ref="E4:F5"/>
    <mergeCell ref="L4:M5"/>
    <mergeCell ref="I55:J55"/>
    <mergeCell ref="C50:E50"/>
    <mergeCell ref="E11:F11"/>
    <mergeCell ref="E7:F7"/>
    <mergeCell ref="E31:F31"/>
    <mergeCell ref="E25:F25"/>
    <mergeCell ref="E26:F26"/>
    <mergeCell ref="E29:F29"/>
    <mergeCell ref="E30:F30"/>
    <mergeCell ref="E47:F47"/>
    <mergeCell ref="L44:M44"/>
    <mergeCell ref="C47:D47"/>
    <mergeCell ref="E48:F48"/>
    <mergeCell ref="K53:K54"/>
    <mergeCell ref="E33:F33"/>
    <mergeCell ref="E35:F35"/>
    <mergeCell ref="C4:D5"/>
    <mergeCell ref="C6:D6"/>
    <mergeCell ref="E6:F6"/>
    <mergeCell ref="C7:D7"/>
    <mergeCell ref="E46:F46"/>
    <mergeCell ref="E28:F28"/>
    <mergeCell ref="E27:F27"/>
    <mergeCell ref="E13:F13"/>
    <mergeCell ref="E22:F22"/>
    <mergeCell ref="E21:F21"/>
    <mergeCell ref="E14:F14"/>
    <mergeCell ref="E18:F18"/>
    <mergeCell ref="E16:F16"/>
    <mergeCell ref="E19:F19"/>
    <mergeCell ref="E20:F20"/>
    <mergeCell ref="E32:F32"/>
    <mergeCell ref="E34:F34"/>
    <mergeCell ref="E36:F36"/>
    <mergeCell ref="E12:F12"/>
    <mergeCell ref="E24:F24"/>
    <mergeCell ref="C43:D43"/>
    <mergeCell ref="E37:F37"/>
    <mergeCell ref="E38:F38"/>
    <mergeCell ref="E23:F23"/>
    <mergeCell ref="C44:F44"/>
    <mergeCell ref="P58:Q58"/>
    <mergeCell ref="L53:M54"/>
    <mergeCell ref="L55:M55"/>
    <mergeCell ref="O56:P56"/>
    <mergeCell ref="L56:M56"/>
    <mergeCell ref="L87:M87"/>
    <mergeCell ref="C51:E51"/>
    <mergeCell ref="C52:E52"/>
    <mergeCell ref="C55:E55"/>
    <mergeCell ref="I79:J79"/>
    <mergeCell ref="I67:J67"/>
    <mergeCell ref="I68:J68"/>
    <mergeCell ref="C56:D56"/>
    <mergeCell ref="I78:J78"/>
    <mergeCell ref="C53:E53"/>
    <mergeCell ref="I76:J76"/>
    <mergeCell ref="C58:F58"/>
    <mergeCell ref="C57:F57"/>
    <mergeCell ref="C59:E59"/>
    <mergeCell ref="I89:J89"/>
    <mergeCell ref="K148:L148"/>
    <mergeCell ref="K144:L144"/>
    <mergeCell ref="C183:D183"/>
    <mergeCell ref="C182:F182"/>
    <mergeCell ref="I183:J183"/>
    <mergeCell ref="C102:F102"/>
    <mergeCell ref="C101:F101"/>
    <mergeCell ref="C103:F103"/>
    <mergeCell ref="K160:L160"/>
    <mergeCell ref="K158:L158"/>
    <mergeCell ref="K156:L156"/>
    <mergeCell ref="K145:L145"/>
    <mergeCell ref="C98:F98"/>
    <mergeCell ref="E96:F96"/>
    <mergeCell ref="C96:D96"/>
    <mergeCell ref="C93:D93"/>
    <mergeCell ref="E93:F93"/>
    <mergeCell ref="C94:F94"/>
    <mergeCell ref="C95:F95"/>
    <mergeCell ref="C100:F100"/>
    <mergeCell ref="F108:I108"/>
    <mergeCell ref="F109:I109"/>
    <mergeCell ref="C104:F104"/>
    <mergeCell ref="I198:J198"/>
    <mergeCell ref="I197:J197"/>
    <mergeCell ref="C126:M126"/>
    <mergeCell ref="C167:D167"/>
    <mergeCell ref="E167:F167"/>
    <mergeCell ref="B163:D163"/>
    <mergeCell ref="B162:D162"/>
    <mergeCell ref="C170:D170"/>
    <mergeCell ref="C168:F168"/>
    <mergeCell ref="C180:D180"/>
    <mergeCell ref="E180:F180"/>
    <mergeCell ref="C169:F169"/>
    <mergeCell ref="C171:D172"/>
    <mergeCell ref="E171:E172"/>
    <mergeCell ref="I174:J174"/>
    <mergeCell ref="K149:L149"/>
    <mergeCell ref="K157:L157"/>
    <mergeCell ref="K159:L159"/>
    <mergeCell ref="I201:J201"/>
    <mergeCell ref="I74:K74"/>
    <mergeCell ref="I81:J81"/>
    <mergeCell ref="I83:J83"/>
    <mergeCell ref="I84:J84"/>
    <mergeCell ref="I85:J85"/>
    <mergeCell ref="C2:I2"/>
    <mergeCell ref="J2:P2"/>
    <mergeCell ref="C207:H207"/>
    <mergeCell ref="I186:J186"/>
    <mergeCell ref="I187:J187"/>
    <mergeCell ref="I188:J188"/>
    <mergeCell ref="C195:H195"/>
    <mergeCell ref="C196:D196"/>
    <mergeCell ref="I53:J54"/>
    <mergeCell ref="I71:J71"/>
    <mergeCell ref="C48:D48"/>
    <mergeCell ref="M3:P3"/>
    <mergeCell ref="H3:L3"/>
    <mergeCell ref="E39:F39"/>
    <mergeCell ref="E43:F43"/>
    <mergeCell ref="C39:D39"/>
    <mergeCell ref="C46:D46"/>
    <mergeCell ref="C45:F45"/>
    <mergeCell ref="O98:P98"/>
    <mergeCell ref="T65:T66"/>
    <mergeCell ref="AS7:AW7"/>
    <mergeCell ref="AB7:AE7"/>
    <mergeCell ref="AG7:AK7"/>
    <mergeCell ref="L68:M68"/>
    <mergeCell ref="L69:M69"/>
    <mergeCell ref="I69:J69"/>
    <mergeCell ref="I70:J70"/>
    <mergeCell ref="I87:J87"/>
    <mergeCell ref="L71:M71"/>
    <mergeCell ref="L72:M72"/>
    <mergeCell ref="C91:P91"/>
    <mergeCell ref="I82:J82"/>
    <mergeCell ref="C97:F97"/>
    <mergeCell ref="O93:P93"/>
    <mergeCell ref="O44:P44"/>
    <mergeCell ref="I86:J86"/>
    <mergeCell ref="I77:J77"/>
    <mergeCell ref="I72:J72"/>
    <mergeCell ref="I73:J73"/>
    <mergeCell ref="C54:E54"/>
    <mergeCell ref="G53:G54"/>
    <mergeCell ref="H53:H54"/>
  </mergeCells>
  <phoneticPr fontId="24" type="noConversion"/>
  <conditionalFormatting sqref="C57 G57">
    <cfRule type="expression" dxfId="5497" priority="1" stopIfTrue="1">
      <formula>C58=0</formula>
    </cfRule>
  </conditionalFormatting>
  <conditionalFormatting sqref="G184:H192 K197:K205 K184:K192 K171:K179 G171:H179 G197:H205">
    <cfRule type="cellIs" dxfId="5496" priority="2" stopIfTrue="1" operator="equal">
      <formula>0</formula>
    </cfRule>
    <cfRule type="expression" dxfId="5495" priority="3" stopIfTrue="1">
      <formula>AND(G171=1,G170=0)</formula>
    </cfRule>
  </conditionalFormatting>
  <conditionalFormatting sqref="I171:J179 I184:J192 I197:J205">
    <cfRule type="cellIs" dxfId="5494" priority="4" stopIfTrue="1" operator="equal">
      <formula>0</formula>
    </cfRule>
    <cfRule type="expression" dxfId="5493" priority="5" stopIfTrue="1">
      <formula>AND($I171=1,$I170=0)</formula>
    </cfRule>
  </conditionalFormatting>
  <conditionalFormatting sqref="I93">
    <cfRule type="expression" dxfId="5492" priority="6" stopIfTrue="1">
      <formula>AND(I$155="X",I$93&lt;&gt;"")</formula>
    </cfRule>
  </conditionalFormatting>
  <conditionalFormatting sqref="I97">
    <cfRule type="expression" dxfId="5491" priority="7" stopIfTrue="1">
      <formula>AND(I$152=0,I$97&lt;&gt;0)</formula>
    </cfRule>
    <cfRule type="expression" dxfId="5490" priority="8" stopIfTrue="1">
      <formula>I$152=0</formula>
    </cfRule>
  </conditionalFormatting>
  <conditionalFormatting sqref="G98:I98">
    <cfRule type="expression" dxfId="5489" priority="9" stopIfTrue="1">
      <formula>AND(G$152=0,G$98&lt;&gt;0)</formula>
    </cfRule>
    <cfRule type="expression" dxfId="5488" priority="10" stopIfTrue="1">
      <formula>G$152=0</formula>
    </cfRule>
  </conditionalFormatting>
  <conditionalFormatting sqref="G101:I101">
    <cfRule type="expression" dxfId="5487" priority="11" stopIfTrue="1">
      <formula>AND(G$152=0,G$101&lt;&gt;0)</formula>
    </cfRule>
    <cfRule type="expression" dxfId="5486" priority="12" stopIfTrue="1">
      <formula>AND($C101="ERROR",G101&gt;0)</formula>
    </cfRule>
    <cfRule type="expression" dxfId="5485" priority="13" stopIfTrue="1">
      <formula>G$152=0</formula>
    </cfRule>
  </conditionalFormatting>
  <conditionalFormatting sqref="G102:I102">
    <cfRule type="expression" dxfId="5484" priority="14" stopIfTrue="1">
      <formula>AND(G$152=0,G$102&lt;&gt;0)</formula>
    </cfRule>
    <cfRule type="expression" dxfId="5483" priority="15" stopIfTrue="1">
      <formula>AND($C102="ERROR",G102&gt;0)</formula>
    </cfRule>
    <cfRule type="expression" dxfId="5482" priority="16" stopIfTrue="1">
      <formula>G$152=0</formula>
    </cfRule>
  </conditionalFormatting>
  <conditionalFormatting sqref="G103:I103">
    <cfRule type="expression" dxfId="5481" priority="17" stopIfTrue="1">
      <formula>AND(G$152=0,G$103&lt;&gt;0)</formula>
    </cfRule>
    <cfRule type="expression" dxfId="5480" priority="18" stopIfTrue="1">
      <formula>AND($C103="ERROR",G103&gt;0)</formula>
    </cfRule>
    <cfRule type="expression" dxfId="5479" priority="19" stopIfTrue="1">
      <formula>G$152=0</formula>
    </cfRule>
  </conditionalFormatting>
  <conditionalFormatting sqref="G104:I104">
    <cfRule type="expression" dxfId="5478" priority="20" stopIfTrue="1">
      <formula>AND(G$152=0,G$104&lt;&gt;0)</formula>
    </cfRule>
    <cfRule type="expression" dxfId="5477" priority="21" stopIfTrue="1">
      <formula>AND($C104="ERROR",G104&gt;0)</formula>
    </cfRule>
    <cfRule type="expression" dxfId="5476" priority="22" stopIfTrue="1">
      <formula>G$152=0</formula>
    </cfRule>
  </conditionalFormatting>
  <conditionalFormatting sqref="J93">
    <cfRule type="expression" dxfId="5475" priority="23" stopIfTrue="1">
      <formula>AND(I$155="X",J$93&lt;&gt;"")</formula>
    </cfRule>
  </conditionalFormatting>
  <conditionalFormatting sqref="J97">
    <cfRule type="expression" dxfId="5474" priority="24" stopIfTrue="1">
      <formula>AND(I$152=0,J$97&lt;&gt;0)</formula>
    </cfRule>
    <cfRule type="expression" dxfId="5473" priority="25" stopIfTrue="1">
      <formula>I$152=0</formula>
    </cfRule>
  </conditionalFormatting>
  <conditionalFormatting sqref="J98">
    <cfRule type="expression" dxfId="5472" priority="26" stopIfTrue="1">
      <formula>AND(I$152=0,J$98&lt;&gt;0)</formula>
    </cfRule>
    <cfRule type="expression" dxfId="5471" priority="27" stopIfTrue="1">
      <formula>I$152=0</formula>
    </cfRule>
  </conditionalFormatting>
  <conditionalFormatting sqref="J101">
    <cfRule type="expression" dxfId="5470" priority="28" stopIfTrue="1">
      <formula>AND(I$152=0,J$101&lt;&gt;0)</formula>
    </cfRule>
    <cfRule type="expression" dxfId="5469" priority="29" stopIfTrue="1">
      <formula>AND($C101="ERROR",J101&gt;0)</formula>
    </cfRule>
    <cfRule type="expression" dxfId="5468" priority="30" stopIfTrue="1">
      <formula>I$152=0</formula>
    </cfRule>
  </conditionalFormatting>
  <conditionalFormatting sqref="J102">
    <cfRule type="expression" dxfId="5467" priority="31" stopIfTrue="1">
      <formula>AND(I$152=0,J$102&lt;&gt;0)</formula>
    </cfRule>
    <cfRule type="expression" dxfId="5466" priority="32" stopIfTrue="1">
      <formula>AND($C102="ERROR",J102&gt;0)</formula>
    </cfRule>
    <cfRule type="expression" dxfId="5465" priority="33" stopIfTrue="1">
      <formula>I$152=0</formula>
    </cfRule>
  </conditionalFormatting>
  <conditionalFormatting sqref="J103">
    <cfRule type="expression" dxfId="5464" priority="34" stopIfTrue="1">
      <formula>AND(I$152=0,J$103&lt;&gt;0)</formula>
    </cfRule>
    <cfRule type="expression" dxfId="5463" priority="35" stopIfTrue="1">
      <formula>AND($C103="ERROR",J103&gt;0)</formula>
    </cfRule>
    <cfRule type="expression" dxfId="5462" priority="36" stopIfTrue="1">
      <formula>I$152=0</formula>
    </cfRule>
  </conditionalFormatting>
  <conditionalFormatting sqref="J104">
    <cfRule type="expression" dxfId="5461" priority="37" stopIfTrue="1">
      <formula>AND(I$152=0,J$104&lt;&gt;0)</formula>
    </cfRule>
    <cfRule type="expression" dxfId="5460" priority="38" stopIfTrue="1">
      <formula>AND($C104="ERROR",J104&gt;0)</formula>
    </cfRule>
    <cfRule type="expression" dxfId="5459" priority="39" stopIfTrue="1">
      <formula>I$152=0</formula>
    </cfRule>
  </conditionalFormatting>
  <conditionalFormatting sqref="O101:P104">
    <cfRule type="expression" dxfId="5458" priority="40" stopIfTrue="1">
      <formula>SUM($G$152:$J$152)=0</formula>
    </cfRule>
    <cfRule type="expression" dxfId="5457" priority="41" stopIfTrue="1">
      <formula>$B101=""</formula>
    </cfRule>
  </conditionalFormatting>
  <conditionalFormatting sqref="E8:F38">
    <cfRule type="expression" dxfId="5456" priority="42" stopIfTrue="1">
      <formula>$AA8=$Y$6</formula>
    </cfRule>
    <cfRule type="expression" dxfId="5455" priority="43" stopIfTrue="1">
      <formula>AND($AA8=0,$E8=0)</formula>
    </cfRule>
    <cfRule type="expression" dxfId="5454" priority="44" stopIfTrue="1">
      <formula>$AA8=0</formula>
    </cfRule>
  </conditionalFormatting>
  <conditionalFormatting sqref="I6 L6 O6">
    <cfRule type="expression" dxfId="5453" priority="45" stopIfTrue="1">
      <formula>I6=""</formula>
    </cfRule>
    <cfRule type="expression" dxfId="5452" priority="46" stopIfTrue="1">
      <formula>OR(I4=0,I4=$K$130)</formula>
    </cfRule>
    <cfRule type="expression" dxfId="5451" priority="47" stopIfTrue="1">
      <formula>I4&lt;&gt;$K$130</formula>
    </cfRule>
  </conditionalFormatting>
  <conditionalFormatting sqref="J6 M6 P6">
    <cfRule type="expression" dxfId="5450" priority="48" stopIfTrue="1">
      <formula>J6=""</formula>
    </cfRule>
    <cfRule type="expression" dxfId="5449" priority="49" stopIfTrue="1">
      <formula>OR(I4=0,I4=$K$130)</formula>
    </cfRule>
    <cfRule type="expression" dxfId="5448" priority="50" stopIfTrue="1">
      <formula>I4&lt;&gt;$K$130</formula>
    </cfRule>
  </conditionalFormatting>
  <conditionalFormatting sqref="I53">
    <cfRule type="expression" dxfId="5447" priority="51" stopIfTrue="1">
      <formula>ISERROR($G$155)</formula>
    </cfRule>
    <cfRule type="expression" dxfId="5446" priority="52" stopIfTrue="1">
      <formula>ISERROR($I53)</formula>
    </cfRule>
  </conditionalFormatting>
  <conditionalFormatting sqref="G39:H39">
    <cfRule type="expression" dxfId="5445" priority="53" stopIfTrue="1">
      <formula>ISERROR($G$155)</formula>
    </cfRule>
    <cfRule type="expression" dxfId="5444" priority="54" stopIfTrue="1">
      <formula>OR($I$163=0,G$4="")</formula>
    </cfRule>
    <cfRule type="expression" dxfId="5443" priority="55" stopIfTrue="1">
      <formula>OR(G$4="",ISERROR(G$155))</formula>
    </cfRule>
  </conditionalFormatting>
  <conditionalFormatting sqref="G97:H97">
    <cfRule type="expression" dxfId="5442" priority="56" stopIfTrue="1">
      <formula>AND(G$152=0,G$97&lt;&gt;0)</formula>
    </cfRule>
    <cfRule type="expression" dxfId="5441" priority="57" stopIfTrue="1">
      <formula>G$152=0</formula>
    </cfRule>
    <cfRule type="expression" dxfId="5440" priority="58" stopIfTrue="1">
      <formula>AND(G$96&lt;&gt;0,G$97="")</formula>
    </cfRule>
  </conditionalFormatting>
  <conditionalFormatting sqref="C101:F104">
    <cfRule type="cellIs" dxfId="5439" priority="59" stopIfTrue="1" operator="equal">
      <formula>"ERROR"</formula>
    </cfRule>
    <cfRule type="expression" dxfId="5438" priority="60" stopIfTrue="1">
      <formula>ISBLANK($B101)</formula>
    </cfRule>
    <cfRule type="expression" dxfId="5437" priority="61" stopIfTrue="1">
      <formula>SUM($G$152:$J$152)=0</formula>
    </cfRule>
  </conditionalFormatting>
  <conditionalFormatting sqref="K73">
    <cfRule type="expression" dxfId="5436" priority="62" stopIfTrue="1">
      <formula>ISERROR(K73)</formula>
    </cfRule>
    <cfRule type="expression" dxfId="5435" priority="63" stopIfTrue="1">
      <formula>I73=0</formula>
    </cfRule>
    <cfRule type="expression" dxfId="5434" priority="64" stopIfTrue="1">
      <formula>$C$61=0</formula>
    </cfRule>
  </conditionalFormatting>
  <conditionalFormatting sqref="G70:G71">
    <cfRule type="expression" dxfId="5433" priority="65" stopIfTrue="1">
      <formula>$C$61=0</formula>
    </cfRule>
    <cfRule type="expression" dxfId="5432" priority="66" stopIfTrue="1">
      <formula>SUM($G$69:$G$72)=0</formula>
    </cfRule>
    <cfRule type="expression" dxfId="5431" priority="67" stopIfTrue="1">
      <formula>AND(G70&lt;&gt;0,ISERROR(H70))</formula>
    </cfRule>
  </conditionalFormatting>
  <conditionalFormatting sqref="G72">
    <cfRule type="expression" dxfId="5430" priority="68" stopIfTrue="1">
      <formula>$C$61=0</formula>
    </cfRule>
    <cfRule type="expression" dxfId="5429" priority="69" stopIfTrue="1">
      <formula>SUM($G$69:$G$72)=0</formula>
    </cfRule>
    <cfRule type="expression" dxfId="5428" priority="70" stopIfTrue="1">
      <formula>AND(G72&lt;&gt;0,ISERROR(H72))</formula>
    </cfRule>
  </conditionalFormatting>
  <conditionalFormatting sqref="G69">
    <cfRule type="expression" dxfId="5427" priority="71" stopIfTrue="1">
      <formula>$C$61=0</formula>
    </cfRule>
    <cfRule type="expression" dxfId="5426" priority="72" stopIfTrue="1">
      <formula>SUM($G$69:$G$72)=0</formula>
    </cfRule>
    <cfRule type="expression" dxfId="5425" priority="73" stopIfTrue="1">
      <formula>AND(G69&lt;&gt;0,ISERROR(H69))</formula>
    </cfRule>
  </conditionalFormatting>
  <conditionalFormatting sqref="I74">
    <cfRule type="expression" dxfId="5424" priority="74" stopIfTrue="1">
      <formula>$C$61=0</formula>
    </cfRule>
    <cfRule type="expression" dxfId="5423" priority="75" stopIfTrue="1">
      <formula>I73=0</formula>
    </cfRule>
  </conditionalFormatting>
  <conditionalFormatting sqref="G89:K89">
    <cfRule type="cellIs" dxfId="5422" priority="76" stopIfTrue="1" operator="equal">
      <formula>0</formula>
    </cfRule>
    <cfRule type="expression" dxfId="5421" priority="77" stopIfTrue="1">
      <formula>G$88=0</formula>
    </cfRule>
  </conditionalFormatting>
  <conditionalFormatting sqref="I77:J78">
    <cfRule type="expression" dxfId="5420" priority="78" stopIfTrue="1">
      <formula>$C$61=0</formula>
    </cfRule>
    <cfRule type="expression" dxfId="5419" priority="79" stopIfTrue="1">
      <formula>ISERROR($I77)</formula>
    </cfRule>
    <cfRule type="cellIs" dxfId="5418" priority="80" stopIfTrue="1" operator="equal">
      <formula>0</formula>
    </cfRule>
  </conditionalFormatting>
  <conditionalFormatting sqref="I79:J79">
    <cfRule type="expression" dxfId="5417" priority="81" stopIfTrue="1">
      <formula>ISERROR($I79)</formula>
    </cfRule>
    <cfRule type="expression" dxfId="5416" priority="82" stopIfTrue="1">
      <formula>$C$61=0</formula>
    </cfRule>
    <cfRule type="cellIs" dxfId="5415" priority="83" stopIfTrue="1" operator="equal">
      <formula>0</formula>
    </cfRule>
  </conditionalFormatting>
  <conditionalFormatting sqref="L77:M78">
    <cfRule type="expression" dxfId="5414" priority="84" stopIfTrue="1">
      <formula>ISERROR($L77)</formula>
    </cfRule>
    <cfRule type="expression" dxfId="5413" priority="85" stopIfTrue="1">
      <formula>$C$61=0</formula>
    </cfRule>
  </conditionalFormatting>
  <conditionalFormatting sqref="G93:H93">
    <cfRule type="expression" dxfId="5412" priority="86" stopIfTrue="1">
      <formula>AND(G$155="X",G$93&lt;&gt;"")</formula>
    </cfRule>
  </conditionalFormatting>
  <conditionalFormatting sqref="G81:K81">
    <cfRule type="expression" dxfId="5411" priority="87" stopIfTrue="1">
      <formula>$C$61=0</formula>
    </cfRule>
    <cfRule type="expression" dxfId="5410" priority="88" stopIfTrue="1">
      <formula>G$89&lt;&gt;0</formula>
    </cfRule>
  </conditionalFormatting>
  <conditionalFormatting sqref="I88:J88">
    <cfRule type="expression" dxfId="5409" priority="89" stopIfTrue="1">
      <formula>ISERROR($I88)</formula>
    </cfRule>
    <cfRule type="cellIs" dxfId="5408" priority="90" stopIfTrue="1" operator="equal">
      <formula>0</formula>
    </cfRule>
    <cfRule type="expression" dxfId="5407" priority="91" stopIfTrue="1">
      <formula>$C$61=0</formula>
    </cfRule>
  </conditionalFormatting>
  <conditionalFormatting sqref="H69:H72">
    <cfRule type="expression" dxfId="5406" priority="92" stopIfTrue="1">
      <formula>ISERROR(H69)</formula>
    </cfRule>
    <cfRule type="expression" dxfId="5405" priority="93" stopIfTrue="1">
      <formula>$C$61=0</formula>
    </cfRule>
    <cfRule type="expression" dxfId="5404" priority="94" stopIfTrue="1">
      <formula>$H69=$E$163</formula>
    </cfRule>
  </conditionalFormatting>
  <conditionalFormatting sqref="G76:H76 K76">
    <cfRule type="expression" dxfId="5403" priority="95" stopIfTrue="1">
      <formula>ISERROR(G76)</formula>
    </cfRule>
    <cfRule type="expression" dxfId="5402" priority="96" stopIfTrue="1">
      <formula>$C$61=0</formula>
    </cfRule>
    <cfRule type="expression" dxfId="5401" priority="97" stopIfTrue="1">
      <formula>G$76=$E$163</formula>
    </cfRule>
  </conditionalFormatting>
  <conditionalFormatting sqref="I76:J76">
    <cfRule type="expression" dxfId="5400" priority="98" stopIfTrue="1">
      <formula>ISERROR($I76)</formula>
    </cfRule>
    <cfRule type="expression" dxfId="5399" priority="99" stopIfTrue="1">
      <formula>$C$61=0</formula>
    </cfRule>
    <cfRule type="expression" dxfId="5398" priority="100" stopIfTrue="1">
      <formula>$I76=$E$163</formula>
    </cfRule>
  </conditionalFormatting>
  <conditionalFormatting sqref="K69:K72">
    <cfRule type="expression" dxfId="5397" priority="101" stopIfTrue="1">
      <formula>OR(ISERROR(H69),ISERROR(K69))</formula>
    </cfRule>
    <cfRule type="expression" dxfId="5396" priority="102" stopIfTrue="1">
      <formula>AND($I69=0,$C$61&lt;&gt;0,$G69=0)</formula>
    </cfRule>
    <cfRule type="expression" dxfId="5395" priority="103" stopIfTrue="1">
      <formula>$C$61=0</formula>
    </cfRule>
  </conditionalFormatting>
  <conditionalFormatting sqref="L93">
    <cfRule type="expression" dxfId="5394" priority="104" stopIfTrue="1">
      <formula>AND(J$155="X",L$93&lt;&gt;"")</formula>
    </cfRule>
  </conditionalFormatting>
  <conditionalFormatting sqref="L97">
    <cfRule type="expression" dxfId="5393" priority="105" stopIfTrue="1">
      <formula>AND(J$152=0,L$97&lt;&gt;0)</formula>
    </cfRule>
    <cfRule type="expression" dxfId="5392" priority="106" stopIfTrue="1">
      <formula>J$152=0</formula>
    </cfRule>
  </conditionalFormatting>
  <conditionalFormatting sqref="K98:L98">
    <cfRule type="expression" dxfId="5391" priority="107" stopIfTrue="1">
      <formula>AND(I$152=0,K$98&lt;&gt;0)</formula>
    </cfRule>
    <cfRule type="expression" dxfId="5390" priority="108" stopIfTrue="1">
      <formula>I$152=0</formula>
    </cfRule>
  </conditionalFormatting>
  <conditionalFormatting sqref="K101:L101">
    <cfRule type="expression" dxfId="5389" priority="109" stopIfTrue="1">
      <formula>AND(I$152=0,K$101&lt;&gt;0)</formula>
    </cfRule>
    <cfRule type="expression" dxfId="5388" priority="110" stopIfTrue="1">
      <formula>AND($C101="ERROR",K101&gt;0)</formula>
    </cfRule>
    <cfRule type="expression" dxfId="5387" priority="111" stopIfTrue="1">
      <formula>I$152=0</formula>
    </cfRule>
  </conditionalFormatting>
  <conditionalFormatting sqref="K102:L102">
    <cfRule type="expression" dxfId="5386" priority="112" stopIfTrue="1">
      <formula>AND(I$152=0,K$102&lt;&gt;0)</formula>
    </cfRule>
    <cfRule type="expression" dxfId="5385" priority="113" stopIfTrue="1">
      <formula>AND($C102="ERROR",K102&gt;0)</formula>
    </cfRule>
    <cfRule type="expression" dxfId="5384" priority="114" stopIfTrue="1">
      <formula>I$152=0</formula>
    </cfRule>
  </conditionalFormatting>
  <conditionalFormatting sqref="K103:L103">
    <cfRule type="expression" dxfId="5383" priority="115" stopIfTrue="1">
      <formula>AND(I$152=0,K$103&lt;&gt;0)</formula>
    </cfRule>
    <cfRule type="expression" dxfId="5382" priority="116" stopIfTrue="1">
      <formula>AND($C103="ERROR",K103&gt;0)</formula>
    </cfRule>
    <cfRule type="expression" dxfId="5381" priority="117" stopIfTrue="1">
      <formula>I$152=0</formula>
    </cfRule>
  </conditionalFormatting>
  <conditionalFormatting sqref="K104:L104">
    <cfRule type="expression" dxfId="5380" priority="118" stopIfTrue="1">
      <formula>AND(I$152=0,K$104&lt;&gt;0)</formula>
    </cfRule>
    <cfRule type="expression" dxfId="5379" priority="119" stopIfTrue="1">
      <formula>AND($C104="ERROR",K104&gt;0)</formula>
    </cfRule>
    <cfRule type="expression" dxfId="5378" priority="120" stopIfTrue="1">
      <formula>I$152=0</formula>
    </cfRule>
  </conditionalFormatting>
  <conditionalFormatting sqref="N98">
    <cfRule type="expression" dxfId="5377" priority="121" stopIfTrue="1">
      <formula>AND(J$152=0,N$98&lt;&gt;0)</formula>
    </cfRule>
    <cfRule type="expression" dxfId="5376" priority="122" stopIfTrue="1">
      <formula>J$152=0</formula>
    </cfRule>
  </conditionalFormatting>
  <conditionalFormatting sqref="N101">
    <cfRule type="expression" dxfId="5375" priority="123" stopIfTrue="1">
      <formula>AND(J$152=0,N$101&lt;&gt;0)</formula>
    </cfRule>
    <cfRule type="expression" dxfId="5374" priority="124" stopIfTrue="1">
      <formula>AND($C101="ERROR",N101&gt;0)</formula>
    </cfRule>
    <cfRule type="expression" dxfId="5373" priority="125" stopIfTrue="1">
      <formula>J$152=0</formula>
    </cfRule>
  </conditionalFormatting>
  <conditionalFormatting sqref="N102">
    <cfRule type="expression" dxfId="5372" priority="126" stopIfTrue="1">
      <formula>AND(J$152=0,N$102&lt;&gt;0)</formula>
    </cfRule>
    <cfRule type="expression" dxfId="5371" priority="127" stopIfTrue="1">
      <formula>AND($C102="ERROR",N102&gt;0)</formula>
    </cfRule>
    <cfRule type="expression" dxfId="5370" priority="128" stopIfTrue="1">
      <formula>J$152=0</formula>
    </cfRule>
  </conditionalFormatting>
  <conditionalFormatting sqref="N103">
    <cfRule type="expression" dxfId="5369" priority="129" stopIfTrue="1">
      <formula>AND(J$152=0,N$103&lt;&gt;0)</formula>
    </cfRule>
    <cfRule type="expression" dxfId="5368" priority="130" stopIfTrue="1">
      <formula>AND($C103="ERROR",N103&gt;0)</formula>
    </cfRule>
    <cfRule type="expression" dxfId="5367" priority="131" stopIfTrue="1">
      <formula>J$152=0</formula>
    </cfRule>
  </conditionalFormatting>
  <conditionalFormatting sqref="N104">
    <cfRule type="expression" dxfId="5366" priority="132" stopIfTrue="1">
      <formula>AND(J$152=0,N$104&lt;&gt;0)</formula>
    </cfRule>
    <cfRule type="expression" dxfId="5365" priority="133" stopIfTrue="1">
      <formula>AND($C104="ERROR",N104&gt;0)</formula>
    </cfRule>
    <cfRule type="expression" dxfId="5364" priority="134" stopIfTrue="1">
      <formula>J$152=0</formula>
    </cfRule>
  </conditionalFormatting>
  <conditionalFormatting sqref="M93">
    <cfRule type="expression" dxfId="5363" priority="135" stopIfTrue="1">
      <formula>AND(J$155="X",M$93&lt;&gt;"")</formula>
    </cfRule>
  </conditionalFormatting>
  <conditionalFormatting sqref="M97">
    <cfRule type="expression" dxfId="5362" priority="136" stopIfTrue="1">
      <formula>AND(J$152=0,M$97&lt;&gt;0)</formula>
    </cfRule>
    <cfRule type="expression" dxfId="5361" priority="137" stopIfTrue="1">
      <formula>J$152=0</formula>
    </cfRule>
  </conditionalFormatting>
  <conditionalFormatting sqref="M98">
    <cfRule type="expression" dxfId="5360" priority="138" stopIfTrue="1">
      <formula>AND(J$152=0,M$98&lt;&gt;0)</formula>
    </cfRule>
    <cfRule type="expression" dxfId="5359" priority="139" stopIfTrue="1">
      <formula>J$152=0</formula>
    </cfRule>
  </conditionalFormatting>
  <conditionalFormatting sqref="M101">
    <cfRule type="expression" dxfId="5358" priority="140" stopIfTrue="1">
      <formula>AND(J$152=0,M$101&lt;&gt;0)</formula>
    </cfRule>
    <cfRule type="expression" dxfId="5357" priority="141" stopIfTrue="1">
      <formula>AND($C101="ERROR",M101&gt;0)</formula>
    </cfRule>
    <cfRule type="expression" dxfId="5356" priority="142" stopIfTrue="1">
      <formula>J$152=0</formula>
    </cfRule>
  </conditionalFormatting>
  <conditionalFormatting sqref="M102">
    <cfRule type="expression" dxfId="5355" priority="143" stopIfTrue="1">
      <formula>AND(J$152=0,M$102&lt;&gt;0)</formula>
    </cfRule>
    <cfRule type="expression" dxfId="5354" priority="144" stopIfTrue="1">
      <formula>AND($C102="ERROR",M102&gt;0)</formula>
    </cfRule>
    <cfRule type="expression" dxfId="5353" priority="145" stopIfTrue="1">
      <formula>J$152=0</formula>
    </cfRule>
  </conditionalFormatting>
  <conditionalFormatting sqref="M103">
    <cfRule type="expression" dxfId="5352" priority="146" stopIfTrue="1">
      <formula>AND(J$152=0,M$103&lt;&gt;0)</formula>
    </cfRule>
    <cfRule type="expression" dxfId="5351" priority="147" stopIfTrue="1">
      <formula>AND($C103="ERROR",M103&gt;0)</formula>
    </cfRule>
    <cfRule type="expression" dxfId="5350" priority="148" stopIfTrue="1">
      <formula>J$152=0</formula>
    </cfRule>
  </conditionalFormatting>
  <conditionalFormatting sqref="M104">
    <cfRule type="expression" dxfId="5349" priority="149" stopIfTrue="1">
      <formula>AND(J$152=0,M$104&lt;&gt;0)</formula>
    </cfRule>
    <cfRule type="expression" dxfId="5348" priority="150" stopIfTrue="1">
      <formula>AND($C104="ERROR",M104&gt;0)</formula>
    </cfRule>
    <cfRule type="expression" dxfId="5347" priority="151" stopIfTrue="1">
      <formula>J$152=0</formula>
    </cfRule>
  </conditionalFormatting>
  <conditionalFormatting sqref="K97">
    <cfRule type="expression" dxfId="5346" priority="152" stopIfTrue="1">
      <formula>AND(I$152=0,K$97&lt;&gt;0)</formula>
    </cfRule>
    <cfRule type="expression" dxfId="5345" priority="153" stopIfTrue="1">
      <formula>I$152=0</formula>
    </cfRule>
    <cfRule type="expression" dxfId="5344" priority="154" stopIfTrue="1">
      <formula>AND(K$96&lt;&gt;0,K$97="")</formula>
    </cfRule>
  </conditionalFormatting>
  <conditionalFormatting sqref="N97">
    <cfRule type="expression" dxfId="5343" priority="155" stopIfTrue="1">
      <formula>AND(J$152=0,N$97&lt;&gt;0)</formula>
    </cfRule>
    <cfRule type="expression" dxfId="5342" priority="156" stopIfTrue="1">
      <formula>J$152=0</formula>
    </cfRule>
    <cfRule type="expression" dxfId="5341" priority="157" stopIfTrue="1">
      <formula>AND(N$96&lt;&gt;0,N$97="")</formula>
    </cfRule>
  </conditionalFormatting>
  <conditionalFormatting sqref="G83:I83 K83">
    <cfRule type="expression" dxfId="5340" priority="158" stopIfTrue="1">
      <formula>$C$61=0</formula>
    </cfRule>
    <cfRule type="expression" dxfId="5339" priority="159" stopIfTrue="1">
      <formula>G85=$M$135</formula>
    </cfRule>
    <cfRule type="cellIs" dxfId="5338" priority="160" stopIfTrue="1" operator="equal">
      <formula>0</formula>
    </cfRule>
  </conditionalFormatting>
  <conditionalFormatting sqref="G84:I84 K84">
    <cfRule type="expression" dxfId="5337" priority="161" stopIfTrue="1">
      <formula>$C$61=0</formula>
    </cfRule>
    <cfRule type="expression" dxfId="5336" priority="162" stopIfTrue="1">
      <formula>G85=$M$135</formula>
    </cfRule>
    <cfRule type="cellIs" dxfId="5335" priority="163" stopIfTrue="1" operator="equal">
      <formula>0</formula>
    </cfRule>
  </conditionalFormatting>
  <conditionalFormatting sqref="K86 G86:H86">
    <cfRule type="expression" dxfId="5334" priority="164" stopIfTrue="1">
      <formula>$C$61=0</formula>
    </cfRule>
    <cfRule type="expression" dxfId="5333" priority="165" stopIfTrue="1">
      <formula>G85=$M$135</formula>
    </cfRule>
  </conditionalFormatting>
  <conditionalFormatting sqref="G82:K82">
    <cfRule type="expression" dxfId="5332" priority="166" stopIfTrue="1">
      <formula>$C$61=0</formula>
    </cfRule>
    <cfRule type="expression" dxfId="5331" priority="167" stopIfTrue="1">
      <formula>G85=$M$135</formula>
    </cfRule>
    <cfRule type="cellIs" dxfId="5330" priority="168" stopIfTrue="1" operator="equal">
      <formula>0</formula>
    </cfRule>
  </conditionalFormatting>
  <conditionalFormatting sqref="I86:J86">
    <cfRule type="expression" dxfId="5329" priority="169" stopIfTrue="1">
      <formula>$C$61=0</formula>
    </cfRule>
    <cfRule type="expression" dxfId="5328" priority="170" stopIfTrue="1">
      <formula>$I85=$M$135</formula>
    </cfRule>
  </conditionalFormatting>
  <conditionalFormatting sqref="G87:H87 K87">
    <cfRule type="expression" dxfId="5327" priority="171" stopIfTrue="1">
      <formula>G85=$M$135</formula>
    </cfRule>
    <cfRule type="expression" dxfId="5326" priority="172" stopIfTrue="1">
      <formula>$C$61=0</formula>
    </cfRule>
  </conditionalFormatting>
  <conditionalFormatting sqref="I87:J87">
    <cfRule type="expression" dxfId="5325" priority="173" stopIfTrue="1">
      <formula>$I85=$M$135</formula>
    </cfRule>
    <cfRule type="expression" dxfId="5324" priority="174" stopIfTrue="1">
      <formula>$C$61=0</formula>
    </cfRule>
  </conditionalFormatting>
  <conditionalFormatting sqref="K93">
    <cfRule type="expression" dxfId="5323" priority="175" stopIfTrue="1">
      <formula>AND(I$155="X",K$93&lt;&gt;"")</formula>
    </cfRule>
  </conditionalFormatting>
  <conditionalFormatting sqref="N93">
    <cfRule type="expression" dxfId="5322" priority="176" stopIfTrue="1">
      <formula>AND(J$155="X",N$93&lt;&gt;"")</formula>
    </cfRule>
  </conditionalFormatting>
  <conditionalFormatting sqref="L69:M72">
    <cfRule type="expression" dxfId="5321" priority="177" stopIfTrue="1">
      <formula>OR(ISERROR($L69),$H69="")</formula>
    </cfRule>
    <cfRule type="expression" dxfId="5320" priority="178" stopIfTrue="1">
      <formula>$C$61=0</formula>
    </cfRule>
    <cfRule type="expression" dxfId="5319" priority="179" stopIfTrue="1">
      <formula>$H69=$E$163</formula>
    </cfRule>
  </conditionalFormatting>
  <conditionalFormatting sqref="I85:J85">
    <cfRule type="expression" dxfId="5318" priority="180" stopIfTrue="1">
      <formula>$C$61=0</formula>
    </cfRule>
    <cfRule type="expression" dxfId="5317" priority="181" stopIfTrue="1">
      <formula>$I85=$M$135</formula>
    </cfRule>
  </conditionalFormatting>
  <conditionalFormatting sqref="I51:J52 L51:M52">
    <cfRule type="expression" dxfId="5316" priority="182" stopIfTrue="1">
      <formula>ISERROR(I55)</formula>
    </cfRule>
  </conditionalFormatting>
  <conditionalFormatting sqref="K51:K52">
    <cfRule type="expression" dxfId="5315" priority="183" stopIfTrue="1">
      <formula>ISERROR(G51)</formula>
    </cfRule>
  </conditionalFormatting>
  <conditionalFormatting sqref="I7:I39">
    <cfRule type="expression" dxfId="5314" priority="184" stopIfTrue="1">
      <formula>OR($I$4=0,$I$4&lt;&gt;$K$130)</formula>
    </cfRule>
    <cfRule type="expression" dxfId="5313" priority="185" stopIfTrue="1">
      <formula>$AA7&lt;&gt;0</formula>
    </cfRule>
  </conditionalFormatting>
  <conditionalFormatting sqref="J7:J39">
    <cfRule type="expression" dxfId="5312" priority="186" stopIfTrue="1">
      <formula>OR($I$4=0,$I$4&lt;&gt;$K$130)</formula>
    </cfRule>
    <cfRule type="expression" dxfId="5311" priority="187" stopIfTrue="1">
      <formula>$AA7&lt;&gt;0</formula>
    </cfRule>
  </conditionalFormatting>
  <conditionalFormatting sqref="L7:L39">
    <cfRule type="expression" dxfId="5310" priority="188" stopIfTrue="1">
      <formula>OR($L$4=0,$L$4&lt;&gt;$K$130)</formula>
    </cfRule>
    <cfRule type="expression" dxfId="5309" priority="189" stopIfTrue="1">
      <formula>$AA7&lt;&gt;0</formula>
    </cfRule>
  </conditionalFormatting>
  <conditionalFormatting sqref="M7:M39">
    <cfRule type="expression" dxfId="5308" priority="190" stopIfTrue="1">
      <formula>OR($L$4=0,$L$4&lt;&gt;$K$130)</formula>
    </cfRule>
    <cfRule type="expression" dxfId="5307" priority="191" stopIfTrue="1">
      <formula>$AA7&lt;&gt;0</formula>
    </cfRule>
  </conditionalFormatting>
  <conditionalFormatting sqref="O7:O39">
    <cfRule type="expression" dxfId="5306" priority="192" stopIfTrue="1">
      <formula>OR($O$4=0,$O$4&lt;&gt;$K$130)</formula>
    </cfRule>
    <cfRule type="expression" dxfId="5305" priority="193" stopIfTrue="1">
      <formula>$AA7&lt;&gt;0</formula>
    </cfRule>
  </conditionalFormatting>
  <conditionalFormatting sqref="P7:P39">
    <cfRule type="expression" dxfId="5304" priority="194" stopIfTrue="1">
      <formula>OR($O$4=0,$O$4&lt;&gt;$K$130)</formula>
    </cfRule>
    <cfRule type="expression" dxfId="5303" priority="195" stopIfTrue="1">
      <formula>$AA7&lt;&gt;0</formula>
    </cfRule>
  </conditionalFormatting>
  <conditionalFormatting sqref="K39">
    <cfRule type="expression" dxfId="5302" priority="196" stopIfTrue="1">
      <formula>ISERROR($G$155)</formula>
    </cfRule>
    <cfRule type="expression" dxfId="5301" priority="197" stopIfTrue="1">
      <formula>OR($I$163=0,K$4="")</formula>
    </cfRule>
    <cfRule type="expression" dxfId="5300" priority="198" stopIfTrue="1">
      <formula>OR(K$4="",ISERROR(I$155))</formula>
    </cfRule>
  </conditionalFormatting>
  <conditionalFormatting sqref="G46:H46 K46 N46">
    <cfRule type="expression" dxfId="5299" priority="199" stopIfTrue="1">
      <formula>G$42=$K$134</formula>
    </cfRule>
    <cfRule type="expression" dxfId="5298" priority="200" stopIfTrue="1">
      <formula>OR($I$163=0,G$4="")</formula>
    </cfRule>
    <cfRule type="expression" dxfId="5297" priority="201" stopIfTrue="1">
      <formula>G44=""</formula>
    </cfRule>
  </conditionalFormatting>
  <conditionalFormatting sqref="N39">
    <cfRule type="expression" dxfId="5296" priority="202" stopIfTrue="1">
      <formula>ISERROR($G$155)</formula>
    </cfRule>
    <cfRule type="expression" dxfId="5295" priority="203" stopIfTrue="1">
      <formula>OR($I$163=0,N$4="")</formula>
    </cfRule>
    <cfRule type="expression" dxfId="5294" priority="204" stopIfTrue="1">
      <formula>OR(N$4="",ISERROR(J$155))</formula>
    </cfRule>
  </conditionalFormatting>
  <conditionalFormatting sqref="G8:H38 K8:K38 N8:N38">
    <cfRule type="expression" dxfId="5293" priority="205" stopIfTrue="1">
      <formula>$AA8=$Y$6</formula>
    </cfRule>
    <cfRule type="expression" dxfId="5292" priority="206" stopIfTrue="1">
      <formula>OR($AA8=0,$E8=$E$162)</formula>
    </cfRule>
  </conditionalFormatting>
  <conditionalFormatting sqref="C8:D38">
    <cfRule type="expression" dxfId="5291" priority="207" stopIfTrue="1">
      <formula>$AA8=$Y$6</formula>
    </cfRule>
    <cfRule type="expression" dxfId="5290" priority="208" stopIfTrue="1">
      <formula>AND($L$163=0,OR($V8&lt;$B$162,$V8&gt;$B$163))</formula>
    </cfRule>
    <cfRule type="expression" dxfId="5289" priority="209" stopIfTrue="1">
      <formula>AND($AA8=0,$E8=0)</formula>
    </cfRule>
  </conditionalFormatting>
  <conditionalFormatting sqref="G47:H47 K47 N47">
    <cfRule type="expression" dxfId="5288" priority="210" stopIfTrue="1">
      <formula>OR(ISERROR(G47),G$4="")</formula>
    </cfRule>
    <cfRule type="expression" dxfId="5287" priority="211" stopIfTrue="1">
      <formula>G$42=$K$134</formula>
    </cfRule>
    <cfRule type="expression" dxfId="5286" priority="212" stopIfTrue="1">
      <formula>AND(G$46&gt;0,OR(G$99=$E$152,G$99=$K$152))</formula>
    </cfRule>
  </conditionalFormatting>
  <conditionalFormatting sqref="G48:H48 K48 N48">
    <cfRule type="expression" dxfId="5285" priority="213" stopIfTrue="1">
      <formula>OR(ISERROR(G48),G$4="")</formula>
    </cfRule>
    <cfRule type="expression" dxfId="5284" priority="214" stopIfTrue="1">
      <formula>G$42=$K$134</formula>
    </cfRule>
    <cfRule type="expression" dxfId="5283" priority="215" stopIfTrue="1">
      <formula>AND(G$46&gt;0,OR(G$99=$E$152,G$99=$K$152,COUNTIF($C$101:$F$104,"ERROR")&gt;0,G$105=$E$152,G$105=$K$152))</formula>
    </cfRule>
  </conditionalFormatting>
  <conditionalFormatting sqref="I69:J72">
    <cfRule type="expression" dxfId="5282" priority="216" stopIfTrue="1">
      <formula>$C$61=0</formula>
    </cfRule>
    <cfRule type="expression" dxfId="5281" priority="217" stopIfTrue="1">
      <formula>$Z69=0</formula>
    </cfRule>
    <cfRule type="expression" dxfId="5280" priority="218" stopIfTrue="1">
      <formula>$I69=0</formula>
    </cfRule>
  </conditionalFormatting>
  <conditionalFormatting sqref="G61:H62 K61:K62 N61:N62">
    <cfRule type="expression" dxfId="5279" priority="219" stopIfTrue="1">
      <formula>$C$61=0</formula>
    </cfRule>
    <cfRule type="expression" dxfId="5278" priority="220" stopIfTrue="1">
      <formula>G$62=$L$135</formula>
    </cfRule>
  </conditionalFormatting>
  <conditionalFormatting sqref="M166:N166">
    <cfRule type="expression" dxfId="5277" priority="221" stopIfTrue="1">
      <formula>ISBLANK($M166)</formula>
    </cfRule>
  </conditionalFormatting>
  <conditionalFormatting sqref="K53:K54 H53:H54">
    <cfRule type="expression" dxfId="5276" priority="222" stopIfTrue="1">
      <formula>ISERROR($G$155)</formula>
    </cfRule>
  </conditionalFormatting>
  <conditionalFormatting sqref="L180 P46 L193 L206 L215:L217">
    <cfRule type="expression" dxfId="5275" priority="223" stopIfTrue="1">
      <formula>$O$44=""</formula>
    </cfRule>
    <cfRule type="expression" dxfId="5274" priority="224" stopIfTrue="1">
      <formula>$O$44=0</formula>
    </cfRule>
  </conditionalFormatting>
  <conditionalFormatting sqref="G180:I180 K180 G215:J217 G193:I193 K206 K193 G206:I206">
    <cfRule type="expression" dxfId="5273" priority="225" stopIfTrue="1">
      <formula>ISERROR(G180)</formula>
    </cfRule>
    <cfRule type="cellIs" dxfId="5272" priority="226" stopIfTrue="1" operator="equal">
      <formula>0</formula>
    </cfRule>
  </conditionalFormatting>
  <conditionalFormatting sqref="G183:K183 G170:K170 G196:K196">
    <cfRule type="cellIs" dxfId="5271" priority="227" stopIfTrue="1" operator="equal">
      <formula>0</formula>
    </cfRule>
  </conditionalFormatting>
  <conditionalFormatting sqref="C126:P126">
    <cfRule type="expression" dxfId="5270" priority="228" stopIfTrue="1">
      <formula>ISERROR($H$163)</formula>
    </cfRule>
  </conditionalFormatting>
  <conditionalFormatting sqref="G53:G54">
    <cfRule type="expression" dxfId="5269" priority="229" stopIfTrue="1">
      <formula>ISERROR($G$155)</formula>
    </cfRule>
    <cfRule type="expression" dxfId="5268" priority="230" stopIfTrue="1">
      <formula>ISERROR(G53)</formula>
    </cfRule>
  </conditionalFormatting>
  <conditionalFormatting sqref="O95:P95">
    <cfRule type="expression" dxfId="5267" priority="231" stopIfTrue="1">
      <formula>$O$44=""</formula>
    </cfRule>
  </conditionalFormatting>
  <conditionalFormatting sqref="O94:P94">
    <cfRule type="expression" dxfId="5266" priority="232" stopIfTrue="1">
      <formula>$O$44=""</formula>
    </cfRule>
  </conditionalFormatting>
  <conditionalFormatting sqref="AA8:AA38 O44:P44 G58 C58 I44:J44 L44:M44 G152:J152 L168 E6:F6 K42 N42 G42:H42">
    <cfRule type="cellIs" dxfId="5265" priority="233" stopIfTrue="1" operator="equal">
      <formula>0</formula>
    </cfRule>
  </conditionalFormatting>
  <conditionalFormatting sqref="W8:Z38 R8:U38 AB8:AE38 AG8:AK38 AM8:AQ38 AS8:AW38 AY8:AY38">
    <cfRule type="cellIs" dxfId="5264" priority="234" stopIfTrue="1" operator="equal">
      <formula>0</formula>
    </cfRule>
  </conditionalFormatting>
  <conditionalFormatting sqref="E47:F48">
    <cfRule type="expression" dxfId="5263" priority="235" stopIfTrue="1">
      <formula>ISERROR(E47)</formula>
    </cfRule>
  </conditionalFormatting>
  <conditionalFormatting sqref="G168:I169 K168:K169 E197:E198 E206:F206 E171:E172 E180:F180 E184:E185 E193:F193 G94:N95 N44:N45 G44:H45 K44:K45 E221 G51:H52">
    <cfRule type="expression" dxfId="5262" priority="236" stopIfTrue="1">
      <formula>ISERROR(E44)</formula>
    </cfRule>
  </conditionalFormatting>
  <conditionalFormatting sqref="G167:I167 K167 N43 G43:H43 K43">
    <cfRule type="cellIs" dxfId="5261" priority="237" stopIfTrue="1" operator="equal">
      <formula>0</formula>
    </cfRule>
  </conditionalFormatting>
  <conditionalFormatting sqref="G105:N105 G99:N99 H139:H141 H145:H148">
    <cfRule type="cellIs" dxfId="5260" priority="238" stopIfTrue="1" operator="equal">
      <formula>"OK"</formula>
    </cfRule>
  </conditionalFormatting>
  <conditionalFormatting sqref="I139:I141 I145:I148">
    <cfRule type="cellIs" dxfId="5259" priority="239" stopIfTrue="1" operator="greaterThan">
      <formula>0</formula>
    </cfRule>
  </conditionalFormatting>
  <conditionalFormatting sqref="C195:H195">
    <cfRule type="expression" dxfId="5258" priority="240" stopIfTrue="1">
      <formula>ISERROR($C$195)</formula>
    </cfRule>
  </conditionalFormatting>
  <conditionalFormatting sqref="C2:J2">
    <cfRule type="expression" dxfId="5257" priority="241" stopIfTrue="1">
      <formula>$I$163=0</formula>
    </cfRule>
  </conditionalFormatting>
  <conditionalFormatting sqref="L96:M96 I96:J96">
    <cfRule type="expression" dxfId="5256" priority="242" stopIfTrue="1">
      <formula>ISERROR($G$155)</formula>
    </cfRule>
    <cfRule type="expression" dxfId="5255" priority="243" stopIfTrue="1">
      <formula>I96=0</formula>
    </cfRule>
  </conditionalFormatting>
  <conditionalFormatting sqref="O96:P98 C97:F98">
    <cfRule type="expression" dxfId="5254" priority="244" stopIfTrue="1">
      <formula>SUM($G$152:$J$152)=0</formula>
    </cfRule>
  </conditionalFormatting>
  <conditionalFormatting sqref="G155:J155">
    <cfRule type="cellIs" dxfId="5253" priority="245" stopIfTrue="1" operator="equal">
      <formula>0</formula>
    </cfRule>
  </conditionalFormatting>
  <conditionalFormatting sqref="G157:J159">
    <cfRule type="cellIs" dxfId="5252" priority="246" stopIfTrue="1" operator="equal">
      <formula>$E$157</formula>
    </cfRule>
  </conditionalFormatting>
  <conditionalFormatting sqref="Q91:S91">
    <cfRule type="expression" dxfId="5251" priority="247" stopIfTrue="1">
      <formula>SUM($G$152:$J$152)=0</formula>
    </cfRule>
  </conditionalFormatting>
  <conditionalFormatting sqref="E46:F46">
    <cfRule type="expression" dxfId="5250" priority="248" stopIfTrue="1">
      <formula>ISERROR($E$46)</formula>
    </cfRule>
  </conditionalFormatting>
  <conditionalFormatting sqref="I46">
    <cfRule type="expression" dxfId="5249" priority="249" stopIfTrue="1">
      <formula>$I$44=""</formula>
    </cfRule>
    <cfRule type="expression" dxfId="5248" priority="250" stopIfTrue="1">
      <formula>$I$44=0</formula>
    </cfRule>
  </conditionalFormatting>
  <conditionalFormatting sqref="L46">
    <cfRule type="expression" dxfId="5247" priority="251" stopIfTrue="1">
      <formula>$L$44=""</formula>
    </cfRule>
    <cfRule type="expression" dxfId="5246" priority="252" stopIfTrue="1">
      <formula>$L$44=0</formula>
    </cfRule>
  </conditionalFormatting>
  <conditionalFormatting sqref="O46">
    <cfRule type="expression" dxfId="5245" priority="253" stopIfTrue="1">
      <formula>$O$44=""</formula>
    </cfRule>
    <cfRule type="expression" dxfId="5244" priority="254" stopIfTrue="1">
      <formula>$O$44=0</formula>
    </cfRule>
  </conditionalFormatting>
  <conditionalFormatting sqref="J46">
    <cfRule type="expression" dxfId="5243" priority="255" stopIfTrue="1">
      <formula>$I$44=""</formula>
    </cfRule>
    <cfRule type="expression" dxfId="5242" priority="256" stopIfTrue="1">
      <formula>$I$44=0</formula>
    </cfRule>
  </conditionalFormatting>
  <conditionalFormatting sqref="M46">
    <cfRule type="expression" dxfId="5241" priority="257" stopIfTrue="1">
      <formula>$L$44=""</formula>
    </cfRule>
    <cfRule type="expression" dxfId="5240" priority="258" stopIfTrue="1">
      <formula>$L$44=0</formula>
    </cfRule>
  </conditionalFormatting>
  <conditionalFormatting sqref="G96:H96 K96 N96">
    <cfRule type="expression" dxfId="5239" priority="259" stopIfTrue="1">
      <formula>ISERROR($G$155)</formula>
    </cfRule>
    <cfRule type="expression" dxfId="5238" priority="260" stopIfTrue="1">
      <formula>G96=0</formula>
    </cfRule>
    <cfRule type="expression" dxfId="5237" priority="261" stopIfTrue="1">
      <formula>G96&lt;&gt;0</formula>
    </cfRule>
  </conditionalFormatting>
  <conditionalFormatting sqref="M168:N168">
    <cfRule type="expression" dxfId="5236" priority="262" stopIfTrue="1">
      <formula>$M$168=""</formula>
    </cfRule>
  </conditionalFormatting>
  <conditionalFormatting sqref="G63:H63 K63 N63">
    <cfRule type="expression" dxfId="5235" priority="263" stopIfTrue="1">
      <formula>$C$61=0</formula>
    </cfRule>
    <cfRule type="cellIs" dxfId="5234" priority="264" stopIfTrue="1" operator="equal">
      <formula>0</formula>
    </cfRule>
  </conditionalFormatting>
  <conditionalFormatting sqref="F63 F65 F73 F76:F79 F86:F89 N78:N79 N88 L86:N87 K68 C68:C69 I67:J68">
    <cfRule type="expression" dxfId="5233" priority="265" stopIfTrue="1">
      <formula>$C$61=0</formula>
    </cfRule>
  </conditionalFormatting>
  <conditionalFormatting sqref="G65">
    <cfRule type="expression" dxfId="5232" priority="266" stopIfTrue="1">
      <formula>$C$61=0</formula>
    </cfRule>
    <cfRule type="cellIs" dxfId="5231" priority="267" stopIfTrue="1" operator="equal">
      <formula>0</formula>
    </cfRule>
  </conditionalFormatting>
  <conditionalFormatting sqref="N66:N67 N74:N77 L68:N68">
    <cfRule type="expression" dxfId="5230" priority="268" stopIfTrue="1">
      <formula>$C$61=0</formula>
    </cfRule>
  </conditionalFormatting>
  <conditionalFormatting sqref="G68:H68">
    <cfRule type="expression" dxfId="5229" priority="269" stopIfTrue="1">
      <formula>ISERROR(G68)</formula>
    </cfRule>
    <cfRule type="expression" dxfId="5228" priority="270" stopIfTrue="1">
      <formula>$C$61=0</formula>
    </cfRule>
  </conditionalFormatting>
  <conditionalFormatting sqref="N73">
    <cfRule type="expression" dxfId="5227" priority="271" stopIfTrue="1">
      <formula>$C$61=0</formula>
    </cfRule>
    <cfRule type="expression" dxfId="5226" priority="272" stopIfTrue="1">
      <formula>ISERROR(N73)</formula>
    </cfRule>
  </conditionalFormatting>
  <conditionalFormatting sqref="O73 O79 O88">
    <cfRule type="expression" dxfId="5225" priority="273" stopIfTrue="1">
      <formula>O73=$E$163</formula>
    </cfRule>
    <cfRule type="expression" dxfId="5224" priority="274" stopIfTrue="1">
      <formula>$C$61=0</formula>
    </cfRule>
    <cfRule type="expression" dxfId="5223" priority="275" stopIfTrue="1">
      <formula>ISERROR(O73)</formula>
    </cfRule>
  </conditionalFormatting>
  <conditionalFormatting sqref="C67">
    <cfRule type="expression" dxfId="5222" priority="276" stopIfTrue="1">
      <formula>$C$61=0</formula>
    </cfRule>
  </conditionalFormatting>
  <conditionalFormatting sqref="G73 I73">
    <cfRule type="expression" dxfId="5221" priority="277" stopIfTrue="1">
      <formula>ISERROR(G73)</formula>
    </cfRule>
    <cfRule type="expression" dxfId="5220" priority="278" stopIfTrue="1">
      <formula>G73=0</formula>
    </cfRule>
    <cfRule type="expression" dxfId="5219" priority="279" stopIfTrue="1">
      <formula>$C$61=0</formula>
    </cfRule>
  </conditionalFormatting>
  <conditionalFormatting sqref="I48:J48">
    <cfRule type="expression" dxfId="5218" priority="280" stopIfTrue="1">
      <formula>$I$4=$K$130</formula>
    </cfRule>
  </conditionalFormatting>
  <conditionalFormatting sqref="L48:M48">
    <cfRule type="expression" dxfId="5217" priority="281" stopIfTrue="1">
      <formula>$L$4=$K$130</formula>
    </cfRule>
  </conditionalFormatting>
  <conditionalFormatting sqref="I45:J45">
    <cfRule type="expression" dxfId="5216" priority="282" stopIfTrue="1">
      <formula>$I$4=$K$130</formula>
    </cfRule>
    <cfRule type="expression" dxfId="5215" priority="283" stopIfTrue="1">
      <formula>$I$44=0</formula>
    </cfRule>
  </conditionalFormatting>
  <conditionalFormatting sqref="L45:M45">
    <cfRule type="expression" dxfId="5214" priority="284" stopIfTrue="1">
      <formula>$L$4=$K$130</formula>
    </cfRule>
    <cfRule type="expression" dxfId="5213" priority="285" stopIfTrue="1">
      <formula>$L$44=0</formula>
    </cfRule>
  </conditionalFormatting>
  <conditionalFormatting sqref="L53">
    <cfRule type="expression" dxfId="5212" priority="286" stopIfTrue="1">
      <formula>ISERROR($G$155)</formula>
    </cfRule>
    <cfRule type="expression" dxfId="5211" priority="287" stopIfTrue="1">
      <formula>ISERROR($L$53)</formula>
    </cfRule>
  </conditionalFormatting>
  <conditionalFormatting sqref="I4:J5">
    <cfRule type="expression" dxfId="5210" priority="288" stopIfTrue="1">
      <formula>$I$6=""</formula>
    </cfRule>
    <cfRule type="cellIs" dxfId="5209" priority="289" stopIfTrue="1" operator="equal">
      <formula>0</formula>
    </cfRule>
    <cfRule type="expression" dxfId="5208" priority="290" stopIfTrue="1">
      <formula>$I$4=$K$130</formula>
    </cfRule>
  </conditionalFormatting>
  <conditionalFormatting sqref="L4:M5">
    <cfRule type="expression" dxfId="5207" priority="291" stopIfTrue="1">
      <formula>$L$6=""</formula>
    </cfRule>
    <cfRule type="cellIs" dxfId="5206" priority="292" stopIfTrue="1" operator="equal">
      <formula>0</formula>
    </cfRule>
    <cfRule type="expression" dxfId="5205" priority="293" stopIfTrue="1">
      <formula>$L$4=$K$130</formula>
    </cfRule>
  </conditionalFormatting>
  <conditionalFormatting sqref="G77:H78 K77:K78">
    <cfRule type="expression" dxfId="5204" priority="294" stopIfTrue="1">
      <formula>$C$61=0</formula>
    </cfRule>
    <cfRule type="expression" dxfId="5203" priority="295" stopIfTrue="1">
      <formula>ISERROR(G77)</formula>
    </cfRule>
    <cfRule type="cellIs" dxfId="5202" priority="296" stopIfTrue="1" operator="equal">
      <formula>0</formula>
    </cfRule>
  </conditionalFormatting>
  <conditionalFormatting sqref="G79:H79 K79">
    <cfRule type="expression" dxfId="5201" priority="297" stopIfTrue="1">
      <formula>ISERROR(G79)</formula>
    </cfRule>
    <cfRule type="expression" dxfId="5200" priority="298" stopIfTrue="1">
      <formula>$C$61=0</formula>
    </cfRule>
    <cfRule type="cellIs" dxfId="5199" priority="299" stopIfTrue="1" operator="equal">
      <formula>0</formula>
    </cfRule>
  </conditionalFormatting>
  <conditionalFormatting sqref="O45:P45 L169">
    <cfRule type="expression" dxfId="5198" priority="300" stopIfTrue="1">
      <formula>$O$4=$K$130</formula>
    </cfRule>
    <cfRule type="expression" dxfId="5197" priority="301" stopIfTrue="1">
      <formula>$O$44=0</formula>
    </cfRule>
  </conditionalFormatting>
  <conditionalFormatting sqref="O4:P5">
    <cfRule type="expression" dxfId="5196" priority="302" stopIfTrue="1">
      <formula>$O$6=""</formula>
    </cfRule>
    <cfRule type="cellIs" dxfId="5195" priority="303" stopIfTrue="1" operator="equal">
      <formula>0</formula>
    </cfRule>
    <cfRule type="expression" dxfId="5194" priority="304" stopIfTrue="1">
      <formula>$O$4=$K$130</formula>
    </cfRule>
  </conditionalFormatting>
  <conditionalFormatting sqref="N69:N72">
    <cfRule type="expression" dxfId="5193" priority="305" stopIfTrue="1">
      <formula>$C$61=0</formula>
    </cfRule>
    <cfRule type="cellIs" dxfId="5192" priority="306" stopIfTrue="1" operator="equal">
      <formula>0</formula>
    </cfRule>
    <cfRule type="expression" dxfId="5191" priority="307" stopIfTrue="1">
      <formula>ISERROR(N69)</formula>
    </cfRule>
  </conditionalFormatting>
  <conditionalFormatting sqref="C70:C71">
    <cfRule type="expression" dxfId="5190" priority="308" stopIfTrue="1">
      <formula>$C$61=0</formula>
    </cfRule>
    <cfRule type="expression" dxfId="5189" priority="309" stopIfTrue="1">
      <formula>$G$73&lt;&gt;0</formula>
    </cfRule>
  </conditionalFormatting>
  <conditionalFormatting sqref="P60:P61">
    <cfRule type="expression" dxfId="5188" priority="310" stopIfTrue="1">
      <formula>$C$61=1</formula>
    </cfRule>
  </conditionalFormatting>
  <conditionalFormatting sqref="H66:M66">
    <cfRule type="expression" dxfId="5187" priority="311" stopIfTrue="1">
      <formula>$C$61=0</formula>
    </cfRule>
  </conditionalFormatting>
  <conditionalFormatting sqref="H65">
    <cfRule type="expression" dxfId="5186" priority="312" stopIfTrue="1">
      <formula>AND($C$61=0,$D$61&gt;0)</formula>
    </cfRule>
    <cfRule type="expression" dxfId="5185" priority="313" stopIfTrue="1">
      <formula>$C$61=0</formula>
    </cfRule>
  </conditionalFormatting>
  <conditionalFormatting sqref="G67">
    <cfRule type="expression" dxfId="5184" priority="314" stopIfTrue="1">
      <formula>$C$61=0</formula>
    </cfRule>
    <cfRule type="expression" dxfId="5183" priority="315" stopIfTrue="1">
      <formula>ISERROR(G67)</formula>
    </cfRule>
  </conditionalFormatting>
  <conditionalFormatting sqref="G88:H88 K88">
    <cfRule type="expression" dxfId="5182" priority="316" stopIfTrue="1">
      <formula>ISERROR(G88)</formula>
    </cfRule>
    <cfRule type="cellIs" dxfId="5181" priority="317" stopIfTrue="1" operator="equal">
      <formula>0</formula>
    </cfRule>
    <cfRule type="expression" dxfId="5180" priority="318" stopIfTrue="1">
      <formula>$C$61=0</formula>
    </cfRule>
  </conditionalFormatting>
  <conditionalFormatting sqref="C91:P91">
    <cfRule type="expression" dxfId="5179" priority="319" stopIfTrue="1">
      <formula>SUM($G$150:$J$150)=0</formula>
    </cfRule>
  </conditionalFormatting>
  <conditionalFormatting sqref="G85:H85 K85">
    <cfRule type="expression" dxfId="5178" priority="320" stopIfTrue="1">
      <formula>$C$61=0</formula>
    </cfRule>
    <cfRule type="expression" dxfId="5177" priority="321" stopIfTrue="1">
      <formula>G85=$M$135</formula>
    </cfRule>
  </conditionalFormatting>
  <conditionalFormatting sqref="I55:J56 L55:M56">
    <cfRule type="cellIs" dxfId="5176" priority="322" stopIfTrue="1" operator="equal">
      <formula>0</formula>
    </cfRule>
    <cfRule type="expression" dxfId="5175" priority="323" stopIfTrue="1">
      <formula>ISERROR(I55)</formula>
    </cfRule>
  </conditionalFormatting>
  <dataValidations count="7">
    <dataValidation type="whole" operator="lessThanOrEqual" allowBlank="1" showInputMessage="1" showErrorMessage="1" sqref="F52">
      <formula1>E162</formula1>
    </dataValidation>
    <dataValidation type="list" allowBlank="1" showInputMessage="1" showErrorMessage="1" sqref="I207">
      <formula1>$I$219:$I$229</formula1>
    </dataValidation>
    <dataValidation type="decimal" operator="greaterThan" allowBlank="1" showInputMessage="1" showErrorMessage="1" errorTitle="ATTENZIONE !!!" error="E' ammesso solo un valore POSITIVO" sqref="G53:G54">
      <formula1>0</formula1>
    </dataValidation>
    <dataValidation type="decimal" operator="lessThan" allowBlank="1" showInputMessage="1" showErrorMessage="1" errorTitle="ATTENZIONE !!!" error="E' ammesso solo un valore NEGATIVO" sqref="H53:H54">
      <formula1>0</formula1>
    </dataValidation>
    <dataValidation type="list" allowBlank="1" showInputMessage="1" showErrorMessage="1" sqref="M168:N168">
      <formula1>$E$218:$E$220</formula1>
    </dataValidation>
    <dataValidation type="list" allowBlank="1" showInputMessage="1" showErrorMessage="1" sqref="M166">
      <formula1>$E$223:$E$226</formula1>
    </dataValidation>
    <dataValidation type="list" allowBlank="1" showInputMessage="1" showErrorMessage="1" sqref="M3:P3">
      <formula1>$K$144:$K$149</formula1>
    </dataValidation>
  </dataValidations>
  <hyperlinks>
    <hyperlink ref="G231" location="Presentazione!I106" display="QUI"/>
    <hyperlink ref="L231" location="Presentazione!K83" display="QUI"/>
  </hyperlinks>
  <printOptions horizontalCentered="1"/>
  <pageMargins left="0.39370078740157483" right="0" top="0.39370078740157483" bottom="0" header="0" footer="0"/>
  <pageSetup paperSize="9" scale="72"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
    <pageSetUpPr autoPageBreaks="0"/>
  </sheetPr>
  <dimension ref="A1:BB231"/>
  <sheetViews>
    <sheetView showGridLines="0" showRowColHeaders="0" topLeftCell="A2" zoomScaleNormal="100" workbookViewId="0">
      <selection activeCell="G8" sqref="G8"/>
    </sheetView>
  </sheetViews>
  <sheetFormatPr defaultRowHeight="12.75" x14ac:dyDescent="0.2"/>
  <cols>
    <col min="1" max="2" width="2.85546875" style="4" customWidth="1"/>
    <col min="3" max="4" width="5" style="4" customWidth="1"/>
    <col min="5" max="5" width="15.7109375" style="4" customWidth="1"/>
    <col min="6" max="6" width="1.42578125" style="4" customWidth="1"/>
    <col min="7" max="8" width="15.7109375" style="4" customWidth="1"/>
    <col min="9" max="10" width="7.85546875" style="4" customWidth="1"/>
    <col min="11" max="11" width="15.7109375" style="4" customWidth="1"/>
    <col min="12" max="13" width="7.85546875" style="4" customWidth="1"/>
    <col min="14" max="14" width="15.7109375" style="4" customWidth="1"/>
    <col min="15" max="16" width="7.85546875" style="4" customWidth="1"/>
    <col min="17" max="17" width="2.140625" style="4" customWidth="1"/>
    <col min="18" max="31" width="11" style="4" hidden="1" customWidth="1"/>
    <col min="32" max="32" width="6.42578125" style="4" hidden="1" customWidth="1"/>
    <col min="33" max="37" width="11" style="4" hidden="1" customWidth="1"/>
    <col min="38" max="38" width="6.42578125" style="4" hidden="1" customWidth="1"/>
    <col min="39" max="43" width="11" style="4" hidden="1" customWidth="1"/>
    <col min="44" max="44" width="6.42578125" style="4" hidden="1" customWidth="1"/>
    <col min="45" max="49" width="11" style="4" hidden="1" customWidth="1"/>
    <col min="50" max="50" width="6.42578125" style="4" hidden="1" customWidth="1"/>
    <col min="51" max="51" width="11" style="4" hidden="1" customWidth="1"/>
    <col min="52" max="52" width="35.7109375" style="4" customWidth="1"/>
    <col min="53" max="16384" width="9.140625" style="4"/>
  </cols>
  <sheetData>
    <row r="1" spans="1:53" ht="15" hidden="1" customHeight="1" x14ac:dyDescent="0.2">
      <c r="A1" s="540"/>
      <c r="B1" s="2"/>
      <c r="C1" s="2"/>
      <c r="D1" s="2"/>
      <c r="E1" s="2"/>
      <c r="F1" s="2"/>
      <c r="G1" s="251" t="str">
        <f>CONCATENATE(IMPOSTAZIONI!F196,"-",IMPOSTAZIONI!F197,"-",IMPOSTAZIONI!F198)</f>
        <v>--</v>
      </c>
      <c r="H1" s="252" t="str">
        <f>CONCATENATE(IMPOSTAZIONI!K196,"-",IMPOSTAZIONI!K197,"-",IMPOSTAZIONI!K198)</f>
        <v>--</v>
      </c>
      <c r="I1" s="252"/>
      <c r="J1" s="252"/>
      <c r="K1" s="252" t="str">
        <f>CONCATENATE(IMPOSTAZIONI!P196,"-",IMPOSTAZIONI!P197,"-",IMPOSTAZIONI!P198)</f>
        <v>--</v>
      </c>
      <c r="L1" s="252"/>
      <c r="M1" s="252"/>
      <c r="N1" s="252" t="str">
        <f>CONCATENATE(IMPOSTAZIONI!U196,"-",IMPOSTAZIONI!U197,"-",IMPOSTAZIONI!U198)</f>
        <v>--</v>
      </c>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591"/>
    </row>
    <row r="2" spans="1:53" ht="18" customHeight="1" x14ac:dyDescent="0.2">
      <c r="A2" s="540"/>
      <c r="B2" s="2"/>
      <c r="C2" s="2057" t="str">
        <f>CONCATENATE(IMPOSTAZIONI!C73," - P.I. ",IMPOSTAZIONI!O73)</f>
        <v>Inserisci la tua Ragione Sociale - P.I. 01234567891</v>
      </c>
      <c r="D2" s="2057"/>
      <c r="E2" s="2057"/>
      <c r="F2" s="2057"/>
      <c r="G2" s="2057"/>
      <c r="H2" s="2057"/>
      <c r="I2" s="2057"/>
      <c r="J2" s="2058" t="str">
        <f>CONCATENATE(IMPOSTAZIONI!C75," - ",IMPOSTAZIONI!M75," - ",IMPOSTAZIONI!O75," - ",IMPOSTAZIONI!V75)</f>
        <v xml:space="preserve">Indirizzo per esteso -  -  - </v>
      </c>
      <c r="K2" s="2058"/>
      <c r="L2" s="2058"/>
      <c r="M2" s="2058"/>
      <c r="N2" s="2058"/>
      <c r="O2" s="2058"/>
      <c r="P2" s="2058"/>
      <c r="Q2" s="3"/>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row>
    <row r="3" spans="1:53" ht="24.75" customHeight="1" x14ac:dyDescent="0.2">
      <c r="A3" s="2"/>
      <c r="B3" s="5"/>
      <c r="C3" s="2222" t="s">
        <v>98</v>
      </c>
      <c r="D3" s="2222"/>
      <c r="E3" s="2223" t="s">
        <v>209</v>
      </c>
      <c r="F3" s="2223"/>
      <c r="G3" s="2223"/>
      <c r="H3" s="2073" t="str">
        <f>IF(I163=0,IMPOSTAZIONI!Y384,"")</f>
        <v>Devi convalidare il foglio IMPOSTAZIONI</v>
      </c>
      <c r="I3" s="2073"/>
      <c r="J3" s="2073"/>
      <c r="K3" s="2073"/>
      <c r="L3" s="2073"/>
      <c r="M3" s="2072" t="s">
        <v>543</v>
      </c>
      <c r="N3" s="2072"/>
      <c r="O3" s="2072"/>
      <c r="P3" s="2072"/>
      <c r="Q3" s="3"/>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row>
    <row r="4" spans="1:53" ht="18" customHeight="1" x14ac:dyDescent="0.2">
      <c r="A4" s="2"/>
      <c r="B4" s="2"/>
      <c r="C4" s="2147" t="s">
        <v>175</v>
      </c>
      <c r="D4" s="2148"/>
      <c r="E4" s="2170" t="str">
        <f>IMPOSTAZIONI!E24</f>
        <v>TOTALE</v>
      </c>
      <c r="F4" s="2171"/>
      <c r="G4" s="291" t="str">
        <f>IF($I$163=0,"",IMPOSTAZIONI!G196)</f>
        <v/>
      </c>
      <c r="H4" s="291" t="str">
        <f>IF($I$163=0,"",IMPOSTAZIONI!L196)</f>
        <v/>
      </c>
      <c r="I4" s="2164">
        <f>IMPOSTAZIONI!Q25</f>
        <v>0</v>
      </c>
      <c r="J4" s="2165"/>
      <c r="K4" s="291" t="str">
        <f>IF($I$163=0,"",IMPOSTAZIONI!Q196)</f>
        <v/>
      </c>
      <c r="L4" s="2164">
        <f>IMPOSTAZIONI!Y25</f>
        <v>0</v>
      </c>
      <c r="M4" s="2165"/>
      <c r="N4" s="291" t="str">
        <f>IF($I$163=0,"",IMPOSTAZIONI!V196)</f>
        <v/>
      </c>
      <c r="O4" s="2164">
        <f>IMPOSTAZIONI!AG25</f>
        <v>0</v>
      </c>
      <c r="P4" s="2165"/>
      <c r="Q4" s="83"/>
      <c r="R4" s="2"/>
      <c r="S4" s="2"/>
      <c r="T4" s="2"/>
      <c r="U4" s="2"/>
      <c r="V4" s="251" t="str">
        <f>CONCATENATE(L131,"  ")</f>
        <v xml:space="preserve">attiva trim.  </v>
      </c>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row>
    <row r="5" spans="1:53" ht="18" customHeight="1" x14ac:dyDescent="0.2">
      <c r="A5" s="2"/>
      <c r="B5" s="2"/>
      <c r="C5" s="2149"/>
      <c r="D5" s="2150"/>
      <c r="E5" s="2172"/>
      <c r="F5" s="2173"/>
      <c r="G5" s="292" t="str">
        <f>IF($I$163=0,"",IMPOSTAZIONI!G197)</f>
        <v/>
      </c>
      <c r="H5" s="292" t="str">
        <f>IF($I$163=0,"",IMPOSTAZIONI!L197)</f>
        <v/>
      </c>
      <c r="I5" s="2166"/>
      <c r="J5" s="2167"/>
      <c r="K5" s="292" t="str">
        <f>IF($I$163=0,"",IMPOSTAZIONI!Q197)</f>
        <v/>
      </c>
      <c r="L5" s="2166"/>
      <c r="M5" s="2167"/>
      <c r="N5" s="292" t="str">
        <f>IF($I$163=0,"",IMPOSTAZIONI!V197)</f>
        <v/>
      </c>
      <c r="O5" s="2166"/>
      <c r="P5" s="2167"/>
      <c r="Q5" s="83"/>
      <c r="R5" s="2"/>
      <c r="S5" s="2"/>
      <c r="T5" s="2"/>
      <c r="U5" s="2"/>
      <c r="V5" s="257"/>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row>
    <row r="6" spans="1:53" ht="18" customHeight="1" x14ac:dyDescent="0.2">
      <c r="A6" s="2"/>
      <c r="B6" s="2"/>
      <c r="C6" s="2151">
        <f>IMPOSTAZIONI!$AH$52</f>
        <v>2024</v>
      </c>
      <c r="D6" s="2152"/>
      <c r="E6" s="2153">
        <f>IMPOSTAZIONI!E25</f>
        <v>0</v>
      </c>
      <c r="F6" s="2154"/>
      <c r="G6" s="55" t="str">
        <f>IF($I$163=0,"",IMPOSTAZIONI!G198)</f>
        <v/>
      </c>
      <c r="H6" s="55" t="str">
        <f>IF($I$163=0,"",IMPOSTAZIONI!L198)</f>
        <v/>
      </c>
      <c r="I6" s="834" t="str">
        <f>IMPOSTAZIONI!Q26</f>
        <v>DAL</v>
      </c>
      <c r="J6" s="835" t="str">
        <f>IMPOSTAZIONI!S26</f>
        <v>AL</v>
      </c>
      <c r="K6" s="55" t="str">
        <f>IF($I$163=0,"",IMPOSTAZIONI!Q198)</f>
        <v/>
      </c>
      <c r="L6" s="834" t="str">
        <f>IMPOSTAZIONI!Y26</f>
        <v>DAL</v>
      </c>
      <c r="M6" s="835" t="str">
        <f>IMPOSTAZIONI!AA26</f>
        <v>AL</v>
      </c>
      <c r="N6" s="55" t="str">
        <f>IF($I$163=0,"",IMPOSTAZIONI!V198)</f>
        <v/>
      </c>
      <c r="O6" s="834" t="str">
        <f>IMPOSTAZIONI!AG26</f>
        <v>DAL</v>
      </c>
      <c r="P6" s="835" t="str">
        <f>IMPOSTAZIONI!AI26</f>
        <v>AL</v>
      </c>
      <c r="Q6" s="83"/>
      <c r="R6" s="2"/>
      <c r="S6" s="2"/>
      <c r="T6" s="2"/>
      <c r="U6" s="2"/>
      <c r="V6" s="2"/>
      <c r="W6" s="2"/>
      <c r="X6" s="2"/>
      <c r="Y6" s="501" t="str">
        <f>CASSA!W484</f>
        <v>F</v>
      </c>
      <c r="Z6" s="502" t="str">
        <f>CASSA!W485</f>
        <v>C</v>
      </c>
      <c r="AA6" s="2"/>
      <c r="AB6" s="2"/>
      <c r="AC6" s="2"/>
      <c r="AD6" s="2"/>
      <c r="AE6" s="2"/>
      <c r="AF6" s="2"/>
      <c r="AG6" s="148">
        <f>IF(SUM(G152:J152)&gt;0,1,0)</f>
        <v>0</v>
      </c>
      <c r="AH6" s="1096" t="str">
        <f>$C101</f>
        <v>Aliquota 22 %</v>
      </c>
      <c r="AI6" s="1096" t="str">
        <f>$C102</f>
        <v>Aliquota 10 %</v>
      </c>
      <c r="AJ6" s="1096" t="str">
        <f>$C103</f>
        <v>Aliquota 4 %</v>
      </c>
      <c r="AK6" s="1096" t="str">
        <f>$C104</f>
        <v/>
      </c>
      <c r="AL6" s="2"/>
      <c r="AM6" s="1097" t="s">
        <v>537</v>
      </c>
      <c r="AN6" s="2204" t="s">
        <v>782</v>
      </c>
      <c r="AO6" s="2204"/>
      <c r="AP6" s="2204"/>
      <c r="AQ6" s="2204"/>
      <c r="AR6" s="2"/>
      <c r="AS6" s="148"/>
      <c r="AT6" s="1096" t="str">
        <f>$C101</f>
        <v>Aliquota 22 %</v>
      </c>
      <c r="AU6" s="1096" t="str">
        <f>$C102</f>
        <v>Aliquota 10 %</v>
      </c>
      <c r="AV6" s="1096" t="str">
        <f>$C103</f>
        <v>Aliquota 4 %</v>
      </c>
      <c r="AW6" s="1096" t="str">
        <f>$C104</f>
        <v/>
      </c>
      <c r="AX6" s="2"/>
      <c r="AY6" s="1097" t="s">
        <v>537</v>
      </c>
      <c r="AZ6" s="1382" t="s">
        <v>14</v>
      </c>
      <c r="BA6" s="2"/>
    </row>
    <row r="7" spans="1:53" ht="20.25" customHeight="1" x14ac:dyDescent="0.2">
      <c r="A7" s="2"/>
      <c r="B7" s="2"/>
      <c r="C7" s="2242" t="s">
        <v>177</v>
      </c>
      <c r="D7" s="2243"/>
      <c r="E7" s="2175">
        <f>IMPOSTAZIONI!D265</f>
        <v>0</v>
      </c>
      <c r="F7" s="2176"/>
      <c r="G7" s="1439">
        <f>IMPOSTAZIONI!$K269</f>
        <v>0</v>
      </c>
      <c r="H7" s="1439">
        <f>IMPOSTAZIONI!$K270</f>
        <v>0</v>
      </c>
      <c r="I7" s="832"/>
      <c r="J7" s="833"/>
      <c r="K7" s="1439">
        <f>IMPOSTAZIONI!$K271</f>
        <v>0</v>
      </c>
      <c r="L7" s="832"/>
      <c r="M7" s="833"/>
      <c r="N7" s="1439">
        <f>IMPOSTAZIONI!$K272</f>
        <v>0</v>
      </c>
      <c r="O7" s="832"/>
      <c r="P7" s="833"/>
      <c r="Q7" s="83"/>
      <c r="R7" s="552" t="s">
        <v>195</v>
      </c>
      <c r="S7" s="552"/>
      <c r="T7" s="552"/>
      <c r="U7" s="552"/>
      <c r="V7" s="507"/>
      <c r="W7" s="2"/>
      <c r="X7" s="2"/>
      <c r="Y7" s="2"/>
      <c r="Z7" s="2"/>
      <c r="AA7" s="2"/>
      <c r="AB7" s="2021" t="s">
        <v>739</v>
      </c>
      <c r="AC7" s="2021"/>
      <c r="AD7" s="2021"/>
      <c r="AE7" s="2021"/>
      <c r="AF7" s="2"/>
      <c r="AG7" s="2021" t="s">
        <v>781</v>
      </c>
      <c r="AH7" s="2021"/>
      <c r="AI7" s="2021"/>
      <c r="AJ7" s="2021"/>
      <c r="AK7" s="2021"/>
      <c r="AL7" s="2"/>
      <c r="AM7" s="2"/>
      <c r="AN7" s="2"/>
      <c r="AO7" s="2"/>
      <c r="AP7" s="2"/>
      <c r="AQ7" s="2"/>
      <c r="AR7" s="2"/>
      <c r="AS7" s="2021" t="s">
        <v>784</v>
      </c>
      <c r="AT7" s="2021"/>
      <c r="AU7" s="2021"/>
      <c r="AV7" s="2021"/>
      <c r="AW7" s="2021"/>
      <c r="AX7" s="2"/>
      <c r="AY7" s="1097" t="s">
        <v>739</v>
      </c>
      <c r="AZ7" s="1383"/>
      <c r="BA7" s="2"/>
    </row>
    <row r="8" spans="1:53" ht="20.25" customHeight="1" x14ac:dyDescent="0.2">
      <c r="A8" s="2"/>
      <c r="B8" s="18">
        <v>1</v>
      </c>
      <c r="C8" s="234">
        <f>B8</f>
        <v>1</v>
      </c>
      <c r="D8" s="235">
        <v>2</v>
      </c>
      <c r="E8" s="2168">
        <f t="shared" ref="E8:E36" si="0">IF(AND(L$163=0,OR(V8&lt;B$162,V8&gt;B$163)),CONCATENATE(L$131,"  "),IF(AND((SUM(G8:H8)+K8+N8)&lt;&gt;0,AA8=Z$6),E$163,IF(AND((SUM(G8:H8)+K8+N8)=0,AA8=Z$6),E$162,IF(ISERROR($H$163),0,SUM(G8:H8)+K8+N8-SUMIF(G$42:N$42,K$134,G8:N8)))))</f>
        <v>0</v>
      </c>
      <c r="F8" s="2169"/>
      <c r="G8" s="304"/>
      <c r="H8" s="304"/>
      <c r="I8" s="830"/>
      <c r="J8" s="831"/>
      <c r="K8" s="304"/>
      <c r="L8" s="830"/>
      <c r="M8" s="831"/>
      <c r="N8" s="304"/>
      <c r="O8" s="830"/>
      <c r="P8" s="831"/>
      <c r="Q8" s="83"/>
      <c r="R8" s="1050">
        <f>IF(G$62=$L$134,0,IF(AND($L$163=0,$V8&gt;$B$163),0,IF(G$155="X",0,ROUND((G8*G$155)/(100+G$155),2))))</f>
        <v>0</v>
      </c>
      <c r="S8" s="1051">
        <f t="shared" ref="S8:S36" si="1">IF(H$62=$L$134,0,IF(AND($L$163=0,$V8&gt;$B$163),0,IF(H$155="X",0,ROUND((H8*H$155)/(100+H$155),2))))</f>
        <v>0</v>
      </c>
      <c r="T8" s="1051">
        <f>IF(K$62=$L$134,0,IF(AND($L$163=0,$V8&gt;$B$163),0,IF(I$155="X",0,ROUND((K8*I$155)/(100+I$155),2))))</f>
        <v>0</v>
      </c>
      <c r="U8" s="1052">
        <f>IF(N$62=$L$134,0,IF(AND($L$163=0,$V8&gt;$B$163),0,IF(J$155="X",0,ROUND((N8*J$155)/(100+J$155),2))))</f>
        <v>0</v>
      </c>
      <c r="V8" s="231">
        <f>DATE(C$6,D8,C8)</f>
        <v>45323</v>
      </c>
      <c r="W8" s="1050">
        <f t="shared" ref="W8:W36" si="2">IF(AND($L$163=0,$V8&gt;$B$163),0,G8-R8)</f>
        <v>0</v>
      </c>
      <c r="X8" s="1051">
        <f t="shared" ref="X8:X36" si="3">IF(AND($L$163=0,$V8&gt;$B$163),0,H8-S8)</f>
        <v>0</v>
      </c>
      <c r="Y8" s="1051">
        <f t="shared" ref="Y8:Y36" si="4">IF(AND($L$163=0,$V8&gt;$B$163),0,K8-T8)</f>
        <v>0</v>
      </c>
      <c r="Z8" s="1052">
        <f t="shared" ref="Z8:Z36" si="5">IF(AND($L$163=0,$V8&gt;$B$163),0,N8-U8)</f>
        <v>0</v>
      </c>
      <c r="AA8" s="822">
        <f>VLOOKUP(V8,CASSA!$B$114:$C$479,2,FALSE)</f>
        <v>0</v>
      </c>
      <c r="AB8" s="1050">
        <f>IF(AND(G$62=$L$134,$L$78&lt;&gt;0),$L$78/$G$65*G8,0)</f>
        <v>0</v>
      </c>
      <c r="AC8" s="1051">
        <f>IF(AND(H$62=$L$134,$L$78&lt;&gt;0),$L$78/$G$65*H8,0)</f>
        <v>0</v>
      </c>
      <c r="AD8" s="1051">
        <f>IF(AND(K$62=$L$134,$L$78&lt;&gt;0),$L$78/$G$65*K8,0)</f>
        <v>0</v>
      </c>
      <c r="AE8" s="1052">
        <f>IF(AND(N$62=$L$134,$L$78&lt;&gt;0),$L$78/$G$65*N8,0)</f>
        <v>0</v>
      </c>
      <c r="AF8" s="2"/>
      <c r="AG8" s="1087">
        <f>SUMIF($G$152:$J$152,1,W8:Z8)-SUM(AH8:AK8)</f>
        <v>0</v>
      </c>
      <c r="AH8" s="1088">
        <f>IF(AND($AG$6=1,$R$101&lt;&gt;0),$R$101/$R$96*SUMIF($G$152:$J$152,1,$W8:$Z8),0)</f>
        <v>0</v>
      </c>
      <c r="AI8" s="1051">
        <f>IF(AND($AG$6=1,$R$102&lt;&gt;0),$R$102/$R$96*SUMIF($G$152:$J$152,1,$W8:$Z8),0)</f>
        <v>0</v>
      </c>
      <c r="AJ8" s="1051">
        <f>IF(AND($AG$6=1,$R$103&lt;&gt;0),$R$103/$R$96*SUMIF($G$152:$J$152,1,$W8:$Z8),0)</f>
        <v>0</v>
      </c>
      <c r="AK8" s="1089">
        <f t="shared" ref="AK8:AK36" si="6">IF(AND($AG$6=1,$R$104&lt;&gt;0),$R$104/$R$96*SUMIF($G$152:$J$152,1,$W8:$Z8),0)</f>
        <v>0</v>
      </c>
      <c r="AL8" s="2"/>
      <c r="AM8" s="1087">
        <f t="shared" ref="AM8:AM36" si="7">SUMIF($G$42:$N$42,$K$134,$G8:$N8)</f>
        <v>0</v>
      </c>
      <c r="AN8" s="1104">
        <f>IF(G$42=$K$134,R8,0)</f>
        <v>0</v>
      </c>
      <c r="AO8" s="1051">
        <f>IF(H$42=$K$134,S8,0)</f>
        <v>0</v>
      </c>
      <c r="AP8" s="1051">
        <f>IF(K$42=$K$134,T8,0)</f>
        <v>0</v>
      </c>
      <c r="AQ8" s="1089">
        <f>IF(N$42=$K$134,U8,0)</f>
        <v>0</v>
      </c>
      <c r="AR8" s="2"/>
      <c r="AS8" s="1087">
        <f>IF(AG8&lt;&gt;0,AG8*$T$97/100,0)</f>
        <v>0</v>
      </c>
      <c r="AT8" s="1088">
        <f>IF(AH8&lt;&gt;0,AH8*$T$101/100,0)</f>
        <v>0</v>
      </c>
      <c r="AU8" s="1051">
        <f>IF(AI8&lt;&gt;0,AI8*$T$102/100,0)</f>
        <v>0</v>
      </c>
      <c r="AV8" s="1051">
        <f>IF(AJ8&lt;&gt;0,AJ8*$T$103/100,0)</f>
        <v>0</v>
      </c>
      <c r="AW8" s="1089">
        <f>IF(AK8&lt;&gt;0,AK8*$T$104/100,0)</f>
        <v>0</v>
      </c>
      <c r="AX8" s="2"/>
      <c r="AY8" s="1087">
        <f>IF(SUM(AB8:AE8)=0,0,SUM(AB8:AE8)*U$90/100)</f>
        <v>0</v>
      </c>
      <c r="AZ8" s="1384" t="s">
        <v>850</v>
      </c>
      <c r="BA8" s="2"/>
    </row>
    <row r="9" spans="1:53" ht="20.25" customHeight="1" x14ac:dyDescent="0.2">
      <c r="A9" s="2"/>
      <c r="B9" s="18">
        <v>2</v>
      </c>
      <c r="C9" s="234">
        <f>IF(D9="--","--",C8+1)</f>
        <v>2</v>
      </c>
      <c r="D9" s="235">
        <f t="shared" ref="D9:D38" si="8">IF(MONTH(V9)=D$8,D8,"--")</f>
        <v>2</v>
      </c>
      <c r="E9" s="2159">
        <f t="shared" si="0"/>
        <v>0</v>
      </c>
      <c r="F9" s="2160"/>
      <c r="G9" s="237"/>
      <c r="H9" s="237"/>
      <c r="I9" s="828"/>
      <c r="J9" s="829"/>
      <c r="K9" s="237"/>
      <c r="L9" s="828"/>
      <c r="M9" s="829"/>
      <c r="N9" s="237"/>
      <c r="O9" s="828"/>
      <c r="P9" s="829"/>
      <c r="Q9" s="83"/>
      <c r="R9" s="1053">
        <f t="shared" ref="R9:R36" si="9">IF(G$62=$L$134,0,IF(AND($L$163=0,$V9&gt;$B$163),0,IF(G$155="X",0,ROUND((G9*G$155)/(100+G$155),2))))</f>
        <v>0</v>
      </c>
      <c r="S9" s="1054">
        <f t="shared" si="1"/>
        <v>0</v>
      </c>
      <c r="T9" s="1054">
        <f t="shared" ref="T9:T36" si="10">IF(K$62=$L$134,0,IF(AND($L$163=0,$V9&gt;$B$163),0,IF(I$155="X",0,ROUND((K9*I$155)/(100+I$155),2))))</f>
        <v>0</v>
      </c>
      <c r="U9" s="1055">
        <f t="shared" ref="U9:U36" si="11">IF(N$62=$L$134,0,IF(AND($L$163=0,$V9&gt;$B$163),0,IF(J$155="X",0,ROUND((N9*J$155)/(100+J$155),2))))</f>
        <v>0</v>
      </c>
      <c r="V9" s="231">
        <f>V8+1</f>
        <v>45324</v>
      </c>
      <c r="W9" s="1053">
        <f t="shared" si="2"/>
        <v>0</v>
      </c>
      <c r="X9" s="1054">
        <f t="shared" si="3"/>
        <v>0</v>
      </c>
      <c r="Y9" s="1054">
        <f t="shared" si="4"/>
        <v>0</v>
      </c>
      <c r="Z9" s="1055">
        <f t="shared" si="5"/>
        <v>0</v>
      </c>
      <c r="AA9" s="822">
        <f>VLOOKUP(V9,CASSA!$B$114:$C$479,2,FALSE)</f>
        <v>0</v>
      </c>
      <c r="AB9" s="1053">
        <f t="shared" ref="AB9:AB36" si="12">IF(AND(G$62=$L$134,$L$78&lt;&gt;0),$L$78/$G$65*G9,0)</f>
        <v>0</v>
      </c>
      <c r="AC9" s="1054">
        <f t="shared" ref="AC9:AC36" si="13">IF(AND(H$62=$L$134,$L$78&lt;&gt;0),$L$78/$G$65*H9,0)</f>
        <v>0</v>
      </c>
      <c r="AD9" s="1054">
        <f t="shared" ref="AD9:AD36" si="14">IF(AND(K$62=$L$134,$L$78&lt;&gt;0),$L$78/$G$65*K9,0)</f>
        <v>0</v>
      </c>
      <c r="AE9" s="1055">
        <f t="shared" ref="AE9:AE36" si="15">IF(AND(N$62=$L$134,$L$78&lt;&gt;0),$L$78/$G$65*N9,0)</f>
        <v>0</v>
      </c>
      <c r="AF9" s="2"/>
      <c r="AG9" s="1090">
        <f t="shared" ref="AG9:AG36" si="16">SUMIF($G$152:$J$152,1,W9:Z9)-SUM(AH9:AK9)</f>
        <v>0</v>
      </c>
      <c r="AH9" s="1091">
        <f t="shared" ref="AH9:AH36" si="17">IF(AND($AG$6=1,$R$101&lt;&gt;0),$R$101/$R$96*SUMIF($G$152:$J$152,1,$W9:$Z9),0)</f>
        <v>0</v>
      </c>
      <c r="AI9" s="1054">
        <f t="shared" ref="AI9:AI36" si="18">IF(AND($AG$6=1,$R$102&lt;&gt;0),$R$102/$R$96*SUMIF($G$152:$J$152,1,$W9:$Z9),0)</f>
        <v>0</v>
      </c>
      <c r="AJ9" s="1054">
        <f t="shared" ref="AJ9:AJ36" si="19">IF(AND($AG$6=1,$R$103&lt;&gt;0),$R$103/$R$96*SUMIF($G$152:$J$152,1,$W9:$Z9),0)</f>
        <v>0</v>
      </c>
      <c r="AK9" s="1092">
        <f t="shared" si="6"/>
        <v>0</v>
      </c>
      <c r="AL9" s="2"/>
      <c r="AM9" s="1090">
        <f t="shared" si="7"/>
        <v>0</v>
      </c>
      <c r="AN9" s="1105">
        <f t="shared" ref="AN9:AN36" si="20">IF(G$42=$K$134,R9,0)</f>
        <v>0</v>
      </c>
      <c r="AO9" s="1054">
        <f t="shared" ref="AO9:AO36" si="21">IF(H$42=$K$134,S9,0)</f>
        <v>0</v>
      </c>
      <c r="AP9" s="1054">
        <f t="shared" ref="AP9:AP36" si="22">IF(K$42=$K$134,T9,0)</f>
        <v>0</v>
      </c>
      <c r="AQ9" s="1092">
        <f t="shared" ref="AQ9:AQ36" si="23">IF(N$42=$K$134,U9,0)</f>
        <v>0</v>
      </c>
      <c r="AR9" s="2"/>
      <c r="AS9" s="1090">
        <f t="shared" ref="AS9:AS36" si="24">IF(AG9&lt;&gt;0,AG9*$T$97/100,0)</f>
        <v>0</v>
      </c>
      <c r="AT9" s="1091">
        <f t="shared" ref="AT9:AT36" si="25">IF(AH9&lt;&gt;0,AH9*$T$101/100,0)</f>
        <v>0</v>
      </c>
      <c r="AU9" s="1054">
        <f t="shared" ref="AU9:AU36" si="26">IF(AI9&lt;&gt;0,AI9*$T$102/100,0)</f>
        <v>0</v>
      </c>
      <c r="AV9" s="1054">
        <f t="shared" ref="AV9:AV36" si="27">IF(AJ9&lt;&gt;0,AJ9*$T$103/100,0)</f>
        <v>0</v>
      </c>
      <c r="AW9" s="1092">
        <f t="shared" ref="AW9:AW36" si="28">IF(AK9&lt;&gt;0,AK9*$T$104/100,0)</f>
        <v>0</v>
      </c>
      <c r="AX9" s="2"/>
      <c r="AY9" s="1090">
        <f t="shared" ref="AY9:AY36" si="29">IF(SUM(AB9:AE9)=0,0,SUM(AB9:AE9)*U$90/100)</f>
        <v>0</v>
      </c>
      <c r="AZ9" s="1385" t="s">
        <v>851</v>
      </c>
      <c r="BA9" s="2"/>
    </row>
    <row r="10" spans="1:53" ht="20.25" customHeight="1" x14ac:dyDescent="0.2">
      <c r="A10" s="2"/>
      <c r="B10" s="18">
        <v>3</v>
      </c>
      <c r="C10" s="234">
        <f t="shared" ref="C10:C38" si="30">IF(D10="--","--",C9+1)</f>
        <v>3</v>
      </c>
      <c r="D10" s="235">
        <f t="shared" si="8"/>
        <v>2</v>
      </c>
      <c r="E10" s="2159">
        <f t="shared" si="0"/>
        <v>0</v>
      </c>
      <c r="F10" s="2160"/>
      <c r="G10" s="237"/>
      <c r="H10" s="237"/>
      <c r="I10" s="828"/>
      <c r="J10" s="829"/>
      <c r="K10" s="237"/>
      <c r="L10" s="828"/>
      <c r="M10" s="829"/>
      <c r="N10" s="237"/>
      <c r="O10" s="828"/>
      <c r="P10" s="829"/>
      <c r="Q10" s="83"/>
      <c r="R10" s="1053">
        <f t="shared" si="9"/>
        <v>0</v>
      </c>
      <c r="S10" s="1054">
        <f t="shared" si="1"/>
        <v>0</v>
      </c>
      <c r="T10" s="1054">
        <f t="shared" si="10"/>
        <v>0</v>
      </c>
      <c r="U10" s="1055">
        <f t="shared" si="11"/>
        <v>0</v>
      </c>
      <c r="V10" s="231">
        <f t="shared" ref="V10:V36" si="31">V9+1</f>
        <v>45325</v>
      </c>
      <c r="W10" s="1053">
        <f t="shared" si="2"/>
        <v>0</v>
      </c>
      <c r="X10" s="1054">
        <f t="shared" si="3"/>
        <v>0</v>
      </c>
      <c r="Y10" s="1054">
        <f t="shared" si="4"/>
        <v>0</v>
      </c>
      <c r="Z10" s="1055">
        <f t="shared" si="5"/>
        <v>0</v>
      </c>
      <c r="AA10" s="822">
        <f>VLOOKUP(V10,CASSA!$B$114:$C$479,2,FALSE)</f>
        <v>0</v>
      </c>
      <c r="AB10" s="1053">
        <f t="shared" si="12"/>
        <v>0</v>
      </c>
      <c r="AC10" s="1054">
        <f t="shared" si="13"/>
        <v>0</v>
      </c>
      <c r="AD10" s="1054">
        <f t="shared" si="14"/>
        <v>0</v>
      </c>
      <c r="AE10" s="1055">
        <f t="shared" si="15"/>
        <v>0</v>
      </c>
      <c r="AF10" s="2"/>
      <c r="AG10" s="1090">
        <f t="shared" si="16"/>
        <v>0</v>
      </c>
      <c r="AH10" s="1091">
        <f t="shared" si="17"/>
        <v>0</v>
      </c>
      <c r="AI10" s="1054">
        <f t="shared" si="18"/>
        <v>0</v>
      </c>
      <c r="AJ10" s="1054">
        <f t="shared" si="19"/>
        <v>0</v>
      </c>
      <c r="AK10" s="1092">
        <f t="shared" si="6"/>
        <v>0</v>
      </c>
      <c r="AL10" s="2"/>
      <c r="AM10" s="1090">
        <f t="shared" si="7"/>
        <v>0</v>
      </c>
      <c r="AN10" s="1105">
        <f t="shared" si="20"/>
        <v>0</v>
      </c>
      <c r="AO10" s="1054">
        <f t="shared" si="21"/>
        <v>0</v>
      </c>
      <c r="AP10" s="1054">
        <f t="shared" si="22"/>
        <v>0</v>
      </c>
      <c r="AQ10" s="1092">
        <f t="shared" si="23"/>
        <v>0</v>
      </c>
      <c r="AR10" s="2"/>
      <c r="AS10" s="1090">
        <f t="shared" si="24"/>
        <v>0</v>
      </c>
      <c r="AT10" s="1091">
        <f t="shared" si="25"/>
        <v>0</v>
      </c>
      <c r="AU10" s="1054">
        <f t="shared" si="26"/>
        <v>0</v>
      </c>
      <c r="AV10" s="1054">
        <f t="shared" si="27"/>
        <v>0</v>
      </c>
      <c r="AW10" s="1092">
        <f t="shared" si="28"/>
        <v>0</v>
      </c>
      <c r="AX10" s="2"/>
      <c r="AY10" s="1090">
        <f t="shared" si="29"/>
        <v>0</v>
      </c>
      <c r="AZ10" s="1385" t="s">
        <v>852</v>
      </c>
      <c r="BA10" s="2"/>
    </row>
    <row r="11" spans="1:53" ht="20.25" customHeight="1" x14ac:dyDescent="0.2">
      <c r="A11" s="2"/>
      <c r="B11" s="18">
        <v>4</v>
      </c>
      <c r="C11" s="234">
        <f t="shared" si="30"/>
        <v>4</v>
      </c>
      <c r="D11" s="235">
        <f t="shared" si="8"/>
        <v>2</v>
      </c>
      <c r="E11" s="2159">
        <f t="shared" si="0"/>
        <v>0</v>
      </c>
      <c r="F11" s="2160"/>
      <c r="G11" s="237"/>
      <c r="H11" s="237"/>
      <c r="I11" s="828"/>
      <c r="J11" s="829"/>
      <c r="K11" s="237"/>
      <c r="L11" s="828"/>
      <c r="M11" s="829"/>
      <c r="N11" s="237"/>
      <c r="O11" s="828"/>
      <c r="P11" s="829"/>
      <c r="Q11" s="6"/>
      <c r="R11" s="1053">
        <f t="shared" si="9"/>
        <v>0</v>
      </c>
      <c r="S11" s="1054">
        <f t="shared" si="1"/>
        <v>0</v>
      </c>
      <c r="T11" s="1054">
        <f t="shared" si="10"/>
        <v>0</v>
      </c>
      <c r="U11" s="1055">
        <f t="shared" si="11"/>
        <v>0</v>
      </c>
      <c r="V11" s="231">
        <f t="shared" si="31"/>
        <v>45326</v>
      </c>
      <c r="W11" s="1053">
        <f t="shared" si="2"/>
        <v>0</v>
      </c>
      <c r="X11" s="1054">
        <f t="shared" si="3"/>
        <v>0</v>
      </c>
      <c r="Y11" s="1054">
        <f t="shared" si="4"/>
        <v>0</v>
      </c>
      <c r="Z11" s="1055">
        <f t="shared" si="5"/>
        <v>0</v>
      </c>
      <c r="AA11" s="822">
        <f>VLOOKUP(V11,CASSA!$B$114:$C$479,2,FALSE)</f>
        <v>0</v>
      </c>
      <c r="AB11" s="1053">
        <f t="shared" si="12"/>
        <v>0</v>
      </c>
      <c r="AC11" s="1054">
        <f t="shared" si="13"/>
        <v>0</v>
      </c>
      <c r="AD11" s="1054">
        <f t="shared" si="14"/>
        <v>0</v>
      </c>
      <c r="AE11" s="1055">
        <f t="shared" si="15"/>
        <v>0</v>
      </c>
      <c r="AF11" s="2"/>
      <c r="AG11" s="1090">
        <f t="shared" si="16"/>
        <v>0</v>
      </c>
      <c r="AH11" s="1091">
        <f t="shared" si="17"/>
        <v>0</v>
      </c>
      <c r="AI11" s="1054">
        <f t="shared" si="18"/>
        <v>0</v>
      </c>
      <c r="AJ11" s="1054">
        <f t="shared" si="19"/>
        <v>0</v>
      </c>
      <c r="AK11" s="1092">
        <f t="shared" si="6"/>
        <v>0</v>
      </c>
      <c r="AL11" s="2"/>
      <c r="AM11" s="1090">
        <f t="shared" si="7"/>
        <v>0</v>
      </c>
      <c r="AN11" s="1105">
        <f t="shared" si="20"/>
        <v>0</v>
      </c>
      <c r="AO11" s="1054">
        <f t="shared" si="21"/>
        <v>0</v>
      </c>
      <c r="AP11" s="1054">
        <f t="shared" si="22"/>
        <v>0</v>
      </c>
      <c r="AQ11" s="1092">
        <f t="shared" si="23"/>
        <v>0</v>
      </c>
      <c r="AR11" s="2"/>
      <c r="AS11" s="1090">
        <f t="shared" si="24"/>
        <v>0</v>
      </c>
      <c r="AT11" s="1091">
        <f t="shared" si="25"/>
        <v>0</v>
      </c>
      <c r="AU11" s="1054">
        <f t="shared" si="26"/>
        <v>0</v>
      </c>
      <c r="AV11" s="1054">
        <f t="shared" si="27"/>
        <v>0</v>
      </c>
      <c r="AW11" s="1092">
        <f t="shared" si="28"/>
        <v>0</v>
      </c>
      <c r="AX11" s="2"/>
      <c r="AY11" s="1090">
        <f t="shared" si="29"/>
        <v>0</v>
      </c>
      <c r="AZ11" s="1385" t="s">
        <v>853</v>
      </c>
      <c r="BA11" s="2"/>
    </row>
    <row r="12" spans="1:53" ht="20.25" customHeight="1" x14ac:dyDescent="0.2">
      <c r="A12" s="2"/>
      <c r="B12" s="18">
        <v>5</v>
      </c>
      <c r="C12" s="234">
        <f t="shared" si="30"/>
        <v>5</v>
      </c>
      <c r="D12" s="235">
        <f t="shared" si="8"/>
        <v>2</v>
      </c>
      <c r="E12" s="2159">
        <f t="shared" si="0"/>
        <v>0</v>
      </c>
      <c r="F12" s="2160"/>
      <c r="G12" s="237"/>
      <c r="H12" s="237"/>
      <c r="I12" s="828"/>
      <c r="J12" s="829"/>
      <c r="K12" s="237"/>
      <c r="L12" s="828"/>
      <c r="M12" s="829"/>
      <c r="N12" s="237"/>
      <c r="O12" s="828"/>
      <c r="P12" s="829"/>
      <c r="Q12" s="6"/>
      <c r="R12" s="1053">
        <f t="shared" si="9"/>
        <v>0</v>
      </c>
      <c r="S12" s="1054">
        <f t="shared" si="1"/>
        <v>0</v>
      </c>
      <c r="T12" s="1054">
        <f t="shared" si="10"/>
        <v>0</v>
      </c>
      <c r="U12" s="1055">
        <f t="shared" si="11"/>
        <v>0</v>
      </c>
      <c r="V12" s="231">
        <f t="shared" si="31"/>
        <v>45327</v>
      </c>
      <c r="W12" s="1053">
        <f t="shared" si="2"/>
        <v>0</v>
      </c>
      <c r="X12" s="1054">
        <f t="shared" si="3"/>
        <v>0</v>
      </c>
      <c r="Y12" s="1054">
        <f t="shared" si="4"/>
        <v>0</v>
      </c>
      <c r="Z12" s="1055">
        <f t="shared" si="5"/>
        <v>0</v>
      </c>
      <c r="AA12" s="822">
        <f>VLOOKUP(V12,CASSA!$B$114:$C$479,2,FALSE)</f>
        <v>0</v>
      </c>
      <c r="AB12" s="1053">
        <f t="shared" si="12"/>
        <v>0</v>
      </c>
      <c r="AC12" s="1054">
        <f t="shared" si="13"/>
        <v>0</v>
      </c>
      <c r="AD12" s="1054">
        <f t="shared" si="14"/>
        <v>0</v>
      </c>
      <c r="AE12" s="1055">
        <f t="shared" si="15"/>
        <v>0</v>
      </c>
      <c r="AF12" s="2"/>
      <c r="AG12" s="1090">
        <f t="shared" si="16"/>
        <v>0</v>
      </c>
      <c r="AH12" s="1091">
        <f t="shared" si="17"/>
        <v>0</v>
      </c>
      <c r="AI12" s="1054">
        <f t="shared" si="18"/>
        <v>0</v>
      </c>
      <c r="AJ12" s="1054">
        <f t="shared" si="19"/>
        <v>0</v>
      </c>
      <c r="AK12" s="1092">
        <f t="shared" si="6"/>
        <v>0</v>
      </c>
      <c r="AL12" s="2"/>
      <c r="AM12" s="1090">
        <f t="shared" si="7"/>
        <v>0</v>
      </c>
      <c r="AN12" s="1105">
        <f t="shared" si="20"/>
        <v>0</v>
      </c>
      <c r="AO12" s="1054">
        <f t="shared" si="21"/>
        <v>0</v>
      </c>
      <c r="AP12" s="1054">
        <f t="shared" si="22"/>
        <v>0</v>
      </c>
      <c r="AQ12" s="1092">
        <f t="shared" si="23"/>
        <v>0</v>
      </c>
      <c r="AR12" s="2"/>
      <c r="AS12" s="1090">
        <f t="shared" si="24"/>
        <v>0</v>
      </c>
      <c r="AT12" s="1091">
        <f t="shared" si="25"/>
        <v>0</v>
      </c>
      <c r="AU12" s="1054">
        <f t="shared" si="26"/>
        <v>0</v>
      </c>
      <c r="AV12" s="1054">
        <f t="shared" si="27"/>
        <v>0</v>
      </c>
      <c r="AW12" s="1092">
        <f t="shared" si="28"/>
        <v>0</v>
      </c>
      <c r="AX12" s="2"/>
      <c r="AY12" s="1090">
        <f t="shared" si="29"/>
        <v>0</v>
      </c>
      <c r="AZ12" s="1385"/>
      <c r="BA12" s="2"/>
    </row>
    <row r="13" spans="1:53" ht="20.25" customHeight="1" x14ac:dyDescent="0.2">
      <c r="A13" s="2"/>
      <c r="B13" s="18">
        <v>6</v>
      </c>
      <c r="C13" s="234">
        <f t="shared" si="30"/>
        <v>6</v>
      </c>
      <c r="D13" s="235">
        <f t="shared" si="8"/>
        <v>2</v>
      </c>
      <c r="E13" s="2159">
        <f t="shared" si="0"/>
        <v>0</v>
      </c>
      <c r="F13" s="2160"/>
      <c r="G13" s="237"/>
      <c r="H13" s="237"/>
      <c r="I13" s="828"/>
      <c r="J13" s="829"/>
      <c r="K13" s="237"/>
      <c r="L13" s="828"/>
      <c r="M13" s="829"/>
      <c r="N13" s="237"/>
      <c r="O13" s="828"/>
      <c r="P13" s="829"/>
      <c r="Q13" s="6"/>
      <c r="R13" s="1053">
        <f t="shared" si="9"/>
        <v>0</v>
      </c>
      <c r="S13" s="1054">
        <f t="shared" si="1"/>
        <v>0</v>
      </c>
      <c r="T13" s="1054">
        <f t="shared" si="10"/>
        <v>0</v>
      </c>
      <c r="U13" s="1055">
        <f t="shared" si="11"/>
        <v>0</v>
      </c>
      <c r="V13" s="231">
        <f t="shared" si="31"/>
        <v>45328</v>
      </c>
      <c r="W13" s="1053">
        <f t="shared" si="2"/>
        <v>0</v>
      </c>
      <c r="X13" s="1054">
        <f t="shared" si="3"/>
        <v>0</v>
      </c>
      <c r="Y13" s="1054">
        <f t="shared" si="4"/>
        <v>0</v>
      </c>
      <c r="Z13" s="1055">
        <f t="shared" si="5"/>
        <v>0</v>
      </c>
      <c r="AA13" s="822">
        <f>VLOOKUP(V13,CASSA!$B$114:$C$479,2,FALSE)</f>
        <v>0</v>
      </c>
      <c r="AB13" s="1053">
        <f t="shared" si="12"/>
        <v>0</v>
      </c>
      <c r="AC13" s="1054">
        <f t="shared" si="13"/>
        <v>0</v>
      </c>
      <c r="AD13" s="1054">
        <f t="shared" si="14"/>
        <v>0</v>
      </c>
      <c r="AE13" s="1055">
        <f t="shared" si="15"/>
        <v>0</v>
      </c>
      <c r="AF13" s="2"/>
      <c r="AG13" s="1090">
        <f t="shared" si="16"/>
        <v>0</v>
      </c>
      <c r="AH13" s="1091">
        <f t="shared" si="17"/>
        <v>0</v>
      </c>
      <c r="AI13" s="1054">
        <f t="shared" si="18"/>
        <v>0</v>
      </c>
      <c r="AJ13" s="1054">
        <f t="shared" si="19"/>
        <v>0</v>
      </c>
      <c r="AK13" s="1092">
        <f t="shared" si="6"/>
        <v>0</v>
      </c>
      <c r="AL13" s="2"/>
      <c r="AM13" s="1090">
        <f t="shared" si="7"/>
        <v>0</v>
      </c>
      <c r="AN13" s="1105">
        <f t="shared" si="20"/>
        <v>0</v>
      </c>
      <c r="AO13" s="1054">
        <f t="shared" si="21"/>
        <v>0</v>
      </c>
      <c r="AP13" s="1054">
        <f t="shared" si="22"/>
        <v>0</v>
      </c>
      <c r="AQ13" s="1092">
        <f t="shared" si="23"/>
        <v>0</v>
      </c>
      <c r="AR13" s="2"/>
      <c r="AS13" s="1090">
        <f t="shared" si="24"/>
        <v>0</v>
      </c>
      <c r="AT13" s="1091">
        <f t="shared" si="25"/>
        <v>0</v>
      </c>
      <c r="AU13" s="1054">
        <f t="shared" si="26"/>
        <v>0</v>
      </c>
      <c r="AV13" s="1054">
        <f t="shared" si="27"/>
        <v>0</v>
      </c>
      <c r="AW13" s="1092">
        <f t="shared" si="28"/>
        <v>0</v>
      </c>
      <c r="AX13" s="2"/>
      <c r="AY13" s="1090">
        <f t="shared" si="29"/>
        <v>0</v>
      </c>
      <c r="AZ13" s="1385"/>
      <c r="BA13" s="2"/>
    </row>
    <row r="14" spans="1:53" ht="20.25" customHeight="1" x14ac:dyDescent="0.2">
      <c r="A14" s="2"/>
      <c r="B14" s="18">
        <v>7</v>
      </c>
      <c r="C14" s="234">
        <f t="shared" si="30"/>
        <v>7</v>
      </c>
      <c r="D14" s="235">
        <f t="shared" si="8"/>
        <v>2</v>
      </c>
      <c r="E14" s="2159">
        <f t="shared" si="0"/>
        <v>0</v>
      </c>
      <c r="F14" s="2160"/>
      <c r="G14" s="237"/>
      <c r="H14" s="237"/>
      <c r="I14" s="828"/>
      <c r="J14" s="829"/>
      <c r="K14" s="237"/>
      <c r="L14" s="828"/>
      <c r="M14" s="829"/>
      <c r="N14" s="237"/>
      <c r="O14" s="828"/>
      <c r="P14" s="829"/>
      <c r="Q14" s="6"/>
      <c r="R14" s="1053">
        <f t="shared" si="9"/>
        <v>0</v>
      </c>
      <c r="S14" s="1054">
        <f t="shared" si="1"/>
        <v>0</v>
      </c>
      <c r="T14" s="1054">
        <f t="shared" si="10"/>
        <v>0</v>
      </c>
      <c r="U14" s="1055">
        <f t="shared" si="11"/>
        <v>0</v>
      </c>
      <c r="V14" s="231">
        <f t="shared" si="31"/>
        <v>45329</v>
      </c>
      <c r="W14" s="1053">
        <f t="shared" si="2"/>
        <v>0</v>
      </c>
      <c r="X14" s="1054">
        <f t="shared" si="3"/>
        <v>0</v>
      </c>
      <c r="Y14" s="1054">
        <f t="shared" si="4"/>
        <v>0</v>
      </c>
      <c r="Z14" s="1055">
        <f t="shared" si="5"/>
        <v>0</v>
      </c>
      <c r="AA14" s="822">
        <f>VLOOKUP(V14,CASSA!$B$114:$C$479,2,FALSE)</f>
        <v>0</v>
      </c>
      <c r="AB14" s="1053">
        <f t="shared" si="12"/>
        <v>0</v>
      </c>
      <c r="AC14" s="1054">
        <f t="shared" si="13"/>
        <v>0</v>
      </c>
      <c r="AD14" s="1054">
        <f t="shared" si="14"/>
        <v>0</v>
      </c>
      <c r="AE14" s="1055">
        <f t="shared" si="15"/>
        <v>0</v>
      </c>
      <c r="AF14" s="2"/>
      <c r="AG14" s="1090">
        <f t="shared" si="16"/>
        <v>0</v>
      </c>
      <c r="AH14" s="1091">
        <f t="shared" si="17"/>
        <v>0</v>
      </c>
      <c r="AI14" s="1054">
        <f t="shared" si="18"/>
        <v>0</v>
      </c>
      <c r="AJ14" s="1054">
        <f t="shared" si="19"/>
        <v>0</v>
      </c>
      <c r="AK14" s="1092">
        <f t="shared" si="6"/>
        <v>0</v>
      </c>
      <c r="AL14" s="2"/>
      <c r="AM14" s="1090">
        <f t="shared" si="7"/>
        <v>0</v>
      </c>
      <c r="AN14" s="1105">
        <f t="shared" si="20"/>
        <v>0</v>
      </c>
      <c r="AO14" s="1054">
        <f t="shared" si="21"/>
        <v>0</v>
      </c>
      <c r="AP14" s="1054">
        <f t="shared" si="22"/>
        <v>0</v>
      </c>
      <c r="AQ14" s="1092">
        <f t="shared" si="23"/>
        <v>0</v>
      </c>
      <c r="AR14" s="2"/>
      <c r="AS14" s="1090">
        <f t="shared" si="24"/>
        <v>0</v>
      </c>
      <c r="AT14" s="1091">
        <f t="shared" si="25"/>
        <v>0</v>
      </c>
      <c r="AU14" s="1054">
        <f t="shared" si="26"/>
        <v>0</v>
      </c>
      <c r="AV14" s="1054">
        <f t="shared" si="27"/>
        <v>0</v>
      </c>
      <c r="AW14" s="1092">
        <f t="shared" si="28"/>
        <v>0</v>
      </c>
      <c r="AX14" s="2"/>
      <c r="AY14" s="1090">
        <f t="shared" si="29"/>
        <v>0</v>
      </c>
      <c r="AZ14" s="1385"/>
      <c r="BA14" s="2"/>
    </row>
    <row r="15" spans="1:53" ht="20.25" customHeight="1" x14ac:dyDescent="0.2">
      <c r="A15" s="2"/>
      <c r="B15" s="18">
        <v>8</v>
      </c>
      <c r="C15" s="234">
        <f t="shared" si="30"/>
        <v>8</v>
      </c>
      <c r="D15" s="235">
        <f t="shared" si="8"/>
        <v>2</v>
      </c>
      <c r="E15" s="2159">
        <f t="shared" si="0"/>
        <v>0</v>
      </c>
      <c r="F15" s="2160"/>
      <c r="G15" s="237"/>
      <c r="H15" s="237"/>
      <c r="I15" s="828"/>
      <c r="J15" s="829"/>
      <c r="K15" s="237"/>
      <c r="L15" s="828"/>
      <c r="M15" s="829"/>
      <c r="N15" s="237"/>
      <c r="O15" s="828"/>
      <c r="P15" s="829"/>
      <c r="Q15" s="6"/>
      <c r="R15" s="1053">
        <f t="shared" si="9"/>
        <v>0</v>
      </c>
      <c r="S15" s="1054">
        <f t="shared" si="1"/>
        <v>0</v>
      </c>
      <c r="T15" s="1054">
        <f t="shared" si="10"/>
        <v>0</v>
      </c>
      <c r="U15" s="1055">
        <f t="shared" si="11"/>
        <v>0</v>
      </c>
      <c r="V15" s="231">
        <f t="shared" si="31"/>
        <v>45330</v>
      </c>
      <c r="W15" s="1053">
        <f t="shared" si="2"/>
        <v>0</v>
      </c>
      <c r="X15" s="1054">
        <f t="shared" si="3"/>
        <v>0</v>
      </c>
      <c r="Y15" s="1054">
        <f t="shared" si="4"/>
        <v>0</v>
      </c>
      <c r="Z15" s="1055">
        <f t="shared" si="5"/>
        <v>0</v>
      </c>
      <c r="AA15" s="822">
        <f>VLOOKUP(V15,CASSA!$B$114:$C$479,2,FALSE)</f>
        <v>0</v>
      </c>
      <c r="AB15" s="1053">
        <f t="shared" si="12"/>
        <v>0</v>
      </c>
      <c r="AC15" s="1054">
        <f t="shared" si="13"/>
        <v>0</v>
      </c>
      <c r="AD15" s="1054">
        <f t="shared" si="14"/>
        <v>0</v>
      </c>
      <c r="AE15" s="1055">
        <f t="shared" si="15"/>
        <v>0</v>
      </c>
      <c r="AF15" s="2"/>
      <c r="AG15" s="1090">
        <f t="shared" si="16"/>
        <v>0</v>
      </c>
      <c r="AH15" s="1091">
        <f t="shared" si="17"/>
        <v>0</v>
      </c>
      <c r="AI15" s="1054">
        <f t="shared" si="18"/>
        <v>0</v>
      </c>
      <c r="AJ15" s="1054">
        <f t="shared" si="19"/>
        <v>0</v>
      </c>
      <c r="AK15" s="1092">
        <f t="shared" si="6"/>
        <v>0</v>
      </c>
      <c r="AL15" s="2"/>
      <c r="AM15" s="1090">
        <f t="shared" si="7"/>
        <v>0</v>
      </c>
      <c r="AN15" s="1105">
        <f t="shared" si="20"/>
        <v>0</v>
      </c>
      <c r="AO15" s="1054">
        <f t="shared" si="21"/>
        <v>0</v>
      </c>
      <c r="AP15" s="1054">
        <f t="shared" si="22"/>
        <v>0</v>
      </c>
      <c r="AQ15" s="1092">
        <f t="shared" si="23"/>
        <v>0</v>
      </c>
      <c r="AR15" s="2"/>
      <c r="AS15" s="1090">
        <f t="shared" si="24"/>
        <v>0</v>
      </c>
      <c r="AT15" s="1091">
        <f t="shared" si="25"/>
        <v>0</v>
      </c>
      <c r="AU15" s="1054">
        <f t="shared" si="26"/>
        <v>0</v>
      </c>
      <c r="AV15" s="1054">
        <f t="shared" si="27"/>
        <v>0</v>
      </c>
      <c r="AW15" s="1092">
        <f t="shared" si="28"/>
        <v>0</v>
      </c>
      <c r="AX15" s="2"/>
      <c r="AY15" s="1090">
        <f t="shared" si="29"/>
        <v>0</v>
      </c>
      <c r="AZ15" s="1385"/>
      <c r="BA15" s="2"/>
    </row>
    <row r="16" spans="1:53" ht="20.25" customHeight="1" x14ac:dyDescent="0.2">
      <c r="A16" s="2"/>
      <c r="B16" s="18">
        <v>9</v>
      </c>
      <c r="C16" s="234">
        <f t="shared" si="30"/>
        <v>9</v>
      </c>
      <c r="D16" s="235">
        <f t="shared" si="8"/>
        <v>2</v>
      </c>
      <c r="E16" s="2159">
        <f t="shared" si="0"/>
        <v>0</v>
      </c>
      <c r="F16" s="2160"/>
      <c r="G16" s="237"/>
      <c r="H16" s="237"/>
      <c r="I16" s="828"/>
      <c r="J16" s="829"/>
      <c r="K16" s="237"/>
      <c r="L16" s="828"/>
      <c r="M16" s="829"/>
      <c r="N16" s="237"/>
      <c r="O16" s="828"/>
      <c r="P16" s="829"/>
      <c r="Q16" s="6"/>
      <c r="R16" s="1053">
        <f t="shared" si="9"/>
        <v>0</v>
      </c>
      <c r="S16" s="1054">
        <f t="shared" si="1"/>
        <v>0</v>
      </c>
      <c r="T16" s="1054">
        <f t="shared" si="10"/>
        <v>0</v>
      </c>
      <c r="U16" s="1055">
        <f t="shared" si="11"/>
        <v>0</v>
      </c>
      <c r="V16" s="231">
        <f t="shared" si="31"/>
        <v>45331</v>
      </c>
      <c r="W16" s="1053">
        <f t="shared" si="2"/>
        <v>0</v>
      </c>
      <c r="X16" s="1054">
        <f t="shared" si="3"/>
        <v>0</v>
      </c>
      <c r="Y16" s="1054">
        <f t="shared" si="4"/>
        <v>0</v>
      </c>
      <c r="Z16" s="1055">
        <f t="shared" si="5"/>
        <v>0</v>
      </c>
      <c r="AA16" s="822">
        <f>VLOOKUP(V16,CASSA!$B$114:$C$479,2,FALSE)</f>
        <v>0</v>
      </c>
      <c r="AB16" s="1053">
        <f t="shared" si="12"/>
        <v>0</v>
      </c>
      <c r="AC16" s="1054">
        <f t="shared" si="13"/>
        <v>0</v>
      </c>
      <c r="AD16" s="1054">
        <f t="shared" si="14"/>
        <v>0</v>
      </c>
      <c r="AE16" s="1055">
        <f t="shared" si="15"/>
        <v>0</v>
      </c>
      <c r="AF16" s="2"/>
      <c r="AG16" s="1090">
        <f t="shared" si="16"/>
        <v>0</v>
      </c>
      <c r="AH16" s="1091">
        <f t="shared" si="17"/>
        <v>0</v>
      </c>
      <c r="AI16" s="1054">
        <f t="shared" si="18"/>
        <v>0</v>
      </c>
      <c r="AJ16" s="1054">
        <f t="shared" si="19"/>
        <v>0</v>
      </c>
      <c r="AK16" s="1092">
        <f t="shared" si="6"/>
        <v>0</v>
      </c>
      <c r="AL16" s="2"/>
      <c r="AM16" s="1090">
        <f t="shared" si="7"/>
        <v>0</v>
      </c>
      <c r="AN16" s="1105">
        <f t="shared" si="20"/>
        <v>0</v>
      </c>
      <c r="AO16" s="1054">
        <f t="shared" si="21"/>
        <v>0</v>
      </c>
      <c r="AP16" s="1054">
        <f t="shared" si="22"/>
        <v>0</v>
      </c>
      <c r="AQ16" s="1092">
        <f t="shared" si="23"/>
        <v>0</v>
      </c>
      <c r="AR16" s="2"/>
      <c r="AS16" s="1090">
        <f t="shared" si="24"/>
        <v>0</v>
      </c>
      <c r="AT16" s="1091">
        <f t="shared" si="25"/>
        <v>0</v>
      </c>
      <c r="AU16" s="1054">
        <f t="shared" si="26"/>
        <v>0</v>
      </c>
      <c r="AV16" s="1054">
        <f t="shared" si="27"/>
        <v>0</v>
      </c>
      <c r="AW16" s="1092">
        <f t="shared" si="28"/>
        <v>0</v>
      </c>
      <c r="AX16" s="2"/>
      <c r="AY16" s="1090">
        <f t="shared" si="29"/>
        <v>0</v>
      </c>
      <c r="AZ16" s="1385"/>
      <c r="BA16" s="2"/>
    </row>
    <row r="17" spans="1:53" ht="20.25" customHeight="1" x14ac:dyDescent="0.2">
      <c r="A17" s="2"/>
      <c r="B17" s="18">
        <v>10</v>
      </c>
      <c r="C17" s="234">
        <f t="shared" si="30"/>
        <v>10</v>
      </c>
      <c r="D17" s="235">
        <f t="shared" si="8"/>
        <v>2</v>
      </c>
      <c r="E17" s="2159">
        <f t="shared" si="0"/>
        <v>0</v>
      </c>
      <c r="F17" s="2160"/>
      <c r="G17" s="237"/>
      <c r="H17" s="237"/>
      <c r="I17" s="828"/>
      <c r="J17" s="829"/>
      <c r="K17" s="237"/>
      <c r="L17" s="828"/>
      <c r="M17" s="829"/>
      <c r="N17" s="237"/>
      <c r="O17" s="828"/>
      <c r="P17" s="829"/>
      <c r="Q17" s="6"/>
      <c r="R17" s="1053">
        <f t="shared" si="9"/>
        <v>0</v>
      </c>
      <c r="S17" s="1054">
        <f t="shared" si="1"/>
        <v>0</v>
      </c>
      <c r="T17" s="1054">
        <f t="shared" si="10"/>
        <v>0</v>
      </c>
      <c r="U17" s="1055">
        <f t="shared" si="11"/>
        <v>0</v>
      </c>
      <c r="V17" s="231">
        <f t="shared" si="31"/>
        <v>45332</v>
      </c>
      <c r="W17" s="1053">
        <f t="shared" si="2"/>
        <v>0</v>
      </c>
      <c r="X17" s="1054">
        <f t="shared" si="3"/>
        <v>0</v>
      </c>
      <c r="Y17" s="1054">
        <f t="shared" si="4"/>
        <v>0</v>
      </c>
      <c r="Z17" s="1055">
        <f t="shared" si="5"/>
        <v>0</v>
      </c>
      <c r="AA17" s="822">
        <f>VLOOKUP(V17,CASSA!$B$114:$C$479,2,FALSE)</f>
        <v>0</v>
      </c>
      <c r="AB17" s="1053">
        <f t="shared" si="12"/>
        <v>0</v>
      </c>
      <c r="AC17" s="1054">
        <f t="shared" si="13"/>
        <v>0</v>
      </c>
      <c r="AD17" s="1054">
        <f t="shared" si="14"/>
        <v>0</v>
      </c>
      <c r="AE17" s="1055">
        <f t="shared" si="15"/>
        <v>0</v>
      </c>
      <c r="AF17" s="2"/>
      <c r="AG17" s="1090">
        <f t="shared" si="16"/>
        <v>0</v>
      </c>
      <c r="AH17" s="1091">
        <f t="shared" si="17"/>
        <v>0</v>
      </c>
      <c r="AI17" s="1054">
        <f t="shared" si="18"/>
        <v>0</v>
      </c>
      <c r="AJ17" s="1054">
        <f t="shared" si="19"/>
        <v>0</v>
      </c>
      <c r="AK17" s="1092">
        <f t="shared" si="6"/>
        <v>0</v>
      </c>
      <c r="AL17" s="2"/>
      <c r="AM17" s="1090">
        <f t="shared" si="7"/>
        <v>0</v>
      </c>
      <c r="AN17" s="1105">
        <f t="shared" si="20"/>
        <v>0</v>
      </c>
      <c r="AO17" s="1054">
        <f t="shared" si="21"/>
        <v>0</v>
      </c>
      <c r="AP17" s="1054">
        <f t="shared" si="22"/>
        <v>0</v>
      </c>
      <c r="AQ17" s="1092">
        <f t="shared" si="23"/>
        <v>0</v>
      </c>
      <c r="AR17" s="2"/>
      <c r="AS17" s="1090">
        <f t="shared" si="24"/>
        <v>0</v>
      </c>
      <c r="AT17" s="1091">
        <f t="shared" si="25"/>
        <v>0</v>
      </c>
      <c r="AU17" s="1054">
        <f t="shared" si="26"/>
        <v>0</v>
      </c>
      <c r="AV17" s="1054">
        <f t="shared" si="27"/>
        <v>0</v>
      </c>
      <c r="AW17" s="1092">
        <f t="shared" si="28"/>
        <v>0</v>
      </c>
      <c r="AX17" s="2"/>
      <c r="AY17" s="1090">
        <f t="shared" si="29"/>
        <v>0</v>
      </c>
      <c r="AZ17" s="1385"/>
      <c r="BA17" s="2"/>
    </row>
    <row r="18" spans="1:53" ht="20.25" customHeight="1" x14ac:dyDescent="0.2">
      <c r="A18" s="2"/>
      <c r="B18" s="18">
        <v>11</v>
      </c>
      <c r="C18" s="234">
        <f t="shared" si="30"/>
        <v>11</v>
      </c>
      <c r="D18" s="235">
        <f t="shared" si="8"/>
        <v>2</v>
      </c>
      <c r="E18" s="2159">
        <f t="shared" si="0"/>
        <v>0</v>
      </c>
      <c r="F18" s="2160"/>
      <c r="G18" s="237"/>
      <c r="H18" s="237"/>
      <c r="I18" s="828"/>
      <c r="J18" s="829"/>
      <c r="K18" s="237"/>
      <c r="L18" s="828"/>
      <c r="M18" s="829"/>
      <c r="N18" s="237"/>
      <c r="O18" s="828"/>
      <c r="P18" s="829"/>
      <c r="Q18" s="6"/>
      <c r="R18" s="1053">
        <f t="shared" si="9"/>
        <v>0</v>
      </c>
      <c r="S18" s="1054">
        <f t="shared" si="1"/>
        <v>0</v>
      </c>
      <c r="T18" s="1054">
        <f t="shared" si="10"/>
        <v>0</v>
      </c>
      <c r="U18" s="1055">
        <f t="shared" si="11"/>
        <v>0</v>
      </c>
      <c r="V18" s="231">
        <f t="shared" si="31"/>
        <v>45333</v>
      </c>
      <c r="W18" s="1053">
        <f t="shared" si="2"/>
        <v>0</v>
      </c>
      <c r="X18" s="1054">
        <f t="shared" si="3"/>
        <v>0</v>
      </c>
      <c r="Y18" s="1054">
        <f t="shared" si="4"/>
        <v>0</v>
      </c>
      <c r="Z18" s="1055">
        <f t="shared" si="5"/>
        <v>0</v>
      </c>
      <c r="AA18" s="822">
        <f>VLOOKUP(V18,CASSA!$B$114:$C$479,2,FALSE)</f>
        <v>0</v>
      </c>
      <c r="AB18" s="1053">
        <f t="shared" si="12"/>
        <v>0</v>
      </c>
      <c r="AC18" s="1054">
        <f t="shared" si="13"/>
        <v>0</v>
      </c>
      <c r="AD18" s="1054">
        <f t="shared" si="14"/>
        <v>0</v>
      </c>
      <c r="AE18" s="1055">
        <f t="shared" si="15"/>
        <v>0</v>
      </c>
      <c r="AF18" s="2"/>
      <c r="AG18" s="1090">
        <f t="shared" si="16"/>
        <v>0</v>
      </c>
      <c r="AH18" s="1091">
        <f t="shared" si="17"/>
        <v>0</v>
      </c>
      <c r="AI18" s="1054">
        <f t="shared" si="18"/>
        <v>0</v>
      </c>
      <c r="AJ18" s="1054">
        <f t="shared" si="19"/>
        <v>0</v>
      </c>
      <c r="AK18" s="1092">
        <f t="shared" si="6"/>
        <v>0</v>
      </c>
      <c r="AL18" s="2"/>
      <c r="AM18" s="1090">
        <f t="shared" si="7"/>
        <v>0</v>
      </c>
      <c r="AN18" s="1105">
        <f t="shared" si="20"/>
        <v>0</v>
      </c>
      <c r="AO18" s="1054">
        <f t="shared" si="21"/>
        <v>0</v>
      </c>
      <c r="AP18" s="1054">
        <f t="shared" si="22"/>
        <v>0</v>
      </c>
      <c r="AQ18" s="1092">
        <f t="shared" si="23"/>
        <v>0</v>
      </c>
      <c r="AR18" s="2"/>
      <c r="AS18" s="1090">
        <f t="shared" si="24"/>
        <v>0</v>
      </c>
      <c r="AT18" s="1091">
        <f t="shared" si="25"/>
        <v>0</v>
      </c>
      <c r="AU18" s="1054">
        <f t="shared" si="26"/>
        <v>0</v>
      </c>
      <c r="AV18" s="1054">
        <f t="shared" si="27"/>
        <v>0</v>
      </c>
      <c r="AW18" s="1092">
        <f t="shared" si="28"/>
        <v>0</v>
      </c>
      <c r="AX18" s="2"/>
      <c r="AY18" s="1090">
        <f t="shared" si="29"/>
        <v>0</v>
      </c>
      <c r="AZ18" s="1385"/>
      <c r="BA18" s="2"/>
    </row>
    <row r="19" spans="1:53" ht="20.25" customHeight="1" x14ac:dyDescent="0.2">
      <c r="A19" s="2"/>
      <c r="B19" s="18">
        <v>12</v>
      </c>
      <c r="C19" s="234">
        <f t="shared" si="30"/>
        <v>12</v>
      </c>
      <c r="D19" s="235">
        <f t="shared" si="8"/>
        <v>2</v>
      </c>
      <c r="E19" s="2159">
        <f t="shared" si="0"/>
        <v>0</v>
      </c>
      <c r="F19" s="2160"/>
      <c r="G19" s="237"/>
      <c r="H19" s="237"/>
      <c r="I19" s="828"/>
      <c r="J19" s="829"/>
      <c r="K19" s="237"/>
      <c r="L19" s="828"/>
      <c r="M19" s="829"/>
      <c r="N19" s="237"/>
      <c r="O19" s="828"/>
      <c r="P19" s="829"/>
      <c r="Q19" s="6"/>
      <c r="R19" s="1053">
        <f t="shared" si="9"/>
        <v>0</v>
      </c>
      <c r="S19" s="1054">
        <f t="shared" si="1"/>
        <v>0</v>
      </c>
      <c r="T19" s="1054">
        <f t="shared" si="10"/>
        <v>0</v>
      </c>
      <c r="U19" s="1055">
        <f t="shared" si="11"/>
        <v>0</v>
      </c>
      <c r="V19" s="231">
        <f t="shared" si="31"/>
        <v>45334</v>
      </c>
      <c r="W19" s="1053">
        <f t="shared" si="2"/>
        <v>0</v>
      </c>
      <c r="X19" s="1054">
        <f t="shared" si="3"/>
        <v>0</v>
      </c>
      <c r="Y19" s="1054">
        <f t="shared" si="4"/>
        <v>0</v>
      </c>
      <c r="Z19" s="1055">
        <f t="shared" si="5"/>
        <v>0</v>
      </c>
      <c r="AA19" s="822">
        <f>VLOOKUP(V19,CASSA!$B$114:$C$479,2,FALSE)</f>
        <v>0</v>
      </c>
      <c r="AB19" s="1053">
        <f t="shared" si="12"/>
        <v>0</v>
      </c>
      <c r="AC19" s="1054">
        <f t="shared" si="13"/>
        <v>0</v>
      </c>
      <c r="AD19" s="1054">
        <f t="shared" si="14"/>
        <v>0</v>
      </c>
      <c r="AE19" s="1055">
        <f t="shared" si="15"/>
        <v>0</v>
      </c>
      <c r="AF19" s="2"/>
      <c r="AG19" s="1090">
        <f t="shared" si="16"/>
        <v>0</v>
      </c>
      <c r="AH19" s="1091">
        <f t="shared" si="17"/>
        <v>0</v>
      </c>
      <c r="AI19" s="1054">
        <f t="shared" si="18"/>
        <v>0</v>
      </c>
      <c r="AJ19" s="1054">
        <f t="shared" si="19"/>
        <v>0</v>
      </c>
      <c r="AK19" s="1092">
        <f t="shared" si="6"/>
        <v>0</v>
      </c>
      <c r="AL19" s="2"/>
      <c r="AM19" s="1090">
        <f t="shared" si="7"/>
        <v>0</v>
      </c>
      <c r="AN19" s="1105">
        <f t="shared" si="20"/>
        <v>0</v>
      </c>
      <c r="AO19" s="1054">
        <f t="shared" si="21"/>
        <v>0</v>
      </c>
      <c r="AP19" s="1054">
        <f t="shared" si="22"/>
        <v>0</v>
      </c>
      <c r="AQ19" s="1092">
        <f t="shared" si="23"/>
        <v>0</v>
      </c>
      <c r="AR19" s="2"/>
      <c r="AS19" s="1090">
        <f t="shared" si="24"/>
        <v>0</v>
      </c>
      <c r="AT19" s="1091">
        <f t="shared" si="25"/>
        <v>0</v>
      </c>
      <c r="AU19" s="1054">
        <f t="shared" si="26"/>
        <v>0</v>
      </c>
      <c r="AV19" s="1054">
        <f t="shared" si="27"/>
        <v>0</v>
      </c>
      <c r="AW19" s="1092">
        <f t="shared" si="28"/>
        <v>0</v>
      </c>
      <c r="AX19" s="2"/>
      <c r="AY19" s="1090">
        <f t="shared" si="29"/>
        <v>0</v>
      </c>
      <c r="AZ19" s="1385"/>
      <c r="BA19" s="2"/>
    </row>
    <row r="20" spans="1:53" ht="20.25" customHeight="1" x14ac:dyDescent="0.2">
      <c r="A20" s="2"/>
      <c r="B20" s="18">
        <v>13</v>
      </c>
      <c r="C20" s="234">
        <f t="shared" si="30"/>
        <v>13</v>
      </c>
      <c r="D20" s="235">
        <f t="shared" si="8"/>
        <v>2</v>
      </c>
      <c r="E20" s="2159">
        <f t="shared" si="0"/>
        <v>0</v>
      </c>
      <c r="F20" s="2160"/>
      <c r="G20" s="237"/>
      <c r="H20" s="237"/>
      <c r="I20" s="828"/>
      <c r="J20" s="829"/>
      <c r="K20" s="237"/>
      <c r="L20" s="828"/>
      <c r="M20" s="829"/>
      <c r="N20" s="237"/>
      <c r="O20" s="828"/>
      <c r="P20" s="829"/>
      <c r="Q20" s="6"/>
      <c r="R20" s="1053">
        <f t="shared" si="9"/>
        <v>0</v>
      </c>
      <c r="S20" s="1054">
        <f t="shared" si="1"/>
        <v>0</v>
      </c>
      <c r="T20" s="1054">
        <f t="shared" si="10"/>
        <v>0</v>
      </c>
      <c r="U20" s="1055">
        <f t="shared" si="11"/>
        <v>0</v>
      </c>
      <c r="V20" s="231">
        <f t="shared" si="31"/>
        <v>45335</v>
      </c>
      <c r="W20" s="1053">
        <f t="shared" si="2"/>
        <v>0</v>
      </c>
      <c r="X20" s="1054">
        <f t="shared" si="3"/>
        <v>0</v>
      </c>
      <c r="Y20" s="1054">
        <f t="shared" si="4"/>
        <v>0</v>
      </c>
      <c r="Z20" s="1055">
        <f t="shared" si="5"/>
        <v>0</v>
      </c>
      <c r="AA20" s="822">
        <f>VLOOKUP(V20,CASSA!$B$114:$C$479,2,FALSE)</f>
        <v>0</v>
      </c>
      <c r="AB20" s="1053">
        <f t="shared" si="12"/>
        <v>0</v>
      </c>
      <c r="AC20" s="1054">
        <f t="shared" si="13"/>
        <v>0</v>
      </c>
      <c r="AD20" s="1054">
        <f t="shared" si="14"/>
        <v>0</v>
      </c>
      <c r="AE20" s="1055">
        <f t="shared" si="15"/>
        <v>0</v>
      </c>
      <c r="AF20" s="2"/>
      <c r="AG20" s="1090">
        <f t="shared" si="16"/>
        <v>0</v>
      </c>
      <c r="AH20" s="1091">
        <f t="shared" si="17"/>
        <v>0</v>
      </c>
      <c r="AI20" s="1054">
        <f t="shared" si="18"/>
        <v>0</v>
      </c>
      <c r="AJ20" s="1054">
        <f t="shared" si="19"/>
        <v>0</v>
      </c>
      <c r="AK20" s="1092">
        <f t="shared" si="6"/>
        <v>0</v>
      </c>
      <c r="AL20" s="2"/>
      <c r="AM20" s="1090">
        <f t="shared" si="7"/>
        <v>0</v>
      </c>
      <c r="AN20" s="1105">
        <f t="shared" si="20"/>
        <v>0</v>
      </c>
      <c r="AO20" s="1054">
        <f t="shared" si="21"/>
        <v>0</v>
      </c>
      <c r="AP20" s="1054">
        <f t="shared" si="22"/>
        <v>0</v>
      </c>
      <c r="AQ20" s="1092">
        <f t="shared" si="23"/>
        <v>0</v>
      </c>
      <c r="AR20" s="2"/>
      <c r="AS20" s="1090">
        <f t="shared" si="24"/>
        <v>0</v>
      </c>
      <c r="AT20" s="1091">
        <f t="shared" si="25"/>
        <v>0</v>
      </c>
      <c r="AU20" s="1054">
        <f t="shared" si="26"/>
        <v>0</v>
      </c>
      <c r="AV20" s="1054">
        <f t="shared" si="27"/>
        <v>0</v>
      </c>
      <c r="AW20" s="1092">
        <f t="shared" si="28"/>
        <v>0</v>
      </c>
      <c r="AX20" s="2"/>
      <c r="AY20" s="1090">
        <f t="shared" si="29"/>
        <v>0</v>
      </c>
      <c r="AZ20" s="1385"/>
      <c r="BA20" s="2"/>
    </row>
    <row r="21" spans="1:53" ht="20.25" customHeight="1" x14ac:dyDescent="0.2">
      <c r="A21" s="2"/>
      <c r="B21" s="18">
        <v>14</v>
      </c>
      <c r="C21" s="234">
        <f t="shared" si="30"/>
        <v>14</v>
      </c>
      <c r="D21" s="235">
        <f t="shared" si="8"/>
        <v>2</v>
      </c>
      <c r="E21" s="2159">
        <f t="shared" si="0"/>
        <v>0</v>
      </c>
      <c r="F21" s="2160"/>
      <c r="G21" s="237"/>
      <c r="H21" s="237"/>
      <c r="I21" s="828"/>
      <c r="J21" s="829"/>
      <c r="K21" s="237"/>
      <c r="L21" s="828"/>
      <c r="M21" s="829"/>
      <c r="N21" s="237"/>
      <c r="O21" s="828"/>
      <c r="P21" s="829"/>
      <c r="Q21" s="6"/>
      <c r="R21" s="1053">
        <f t="shared" si="9"/>
        <v>0</v>
      </c>
      <c r="S21" s="1054">
        <f t="shared" si="1"/>
        <v>0</v>
      </c>
      <c r="T21" s="1054">
        <f t="shared" si="10"/>
        <v>0</v>
      </c>
      <c r="U21" s="1055">
        <f t="shared" si="11"/>
        <v>0</v>
      </c>
      <c r="V21" s="231">
        <f t="shared" si="31"/>
        <v>45336</v>
      </c>
      <c r="W21" s="1053">
        <f t="shared" si="2"/>
        <v>0</v>
      </c>
      <c r="X21" s="1054">
        <f t="shared" si="3"/>
        <v>0</v>
      </c>
      <c r="Y21" s="1054">
        <f t="shared" si="4"/>
        <v>0</v>
      </c>
      <c r="Z21" s="1055">
        <f t="shared" si="5"/>
        <v>0</v>
      </c>
      <c r="AA21" s="822">
        <f>VLOOKUP(V21,CASSA!$B$114:$C$479,2,FALSE)</f>
        <v>0</v>
      </c>
      <c r="AB21" s="1053">
        <f t="shared" si="12"/>
        <v>0</v>
      </c>
      <c r="AC21" s="1054">
        <f t="shared" si="13"/>
        <v>0</v>
      </c>
      <c r="AD21" s="1054">
        <f t="shared" si="14"/>
        <v>0</v>
      </c>
      <c r="AE21" s="1055">
        <f t="shared" si="15"/>
        <v>0</v>
      </c>
      <c r="AF21" s="2"/>
      <c r="AG21" s="1090">
        <f t="shared" si="16"/>
        <v>0</v>
      </c>
      <c r="AH21" s="1091">
        <f t="shared" si="17"/>
        <v>0</v>
      </c>
      <c r="AI21" s="1054">
        <f t="shared" si="18"/>
        <v>0</v>
      </c>
      <c r="AJ21" s="1054">
        <f t="shared" si="19"/>
        <v>0</v>
      </c>
      <c r="AK21" s="1092">
        <f t="shared" si="6"/>
        <v>0</v>
      </c>
      <c r="AL21" s="2"/>
      <c r="AM21" s="1090">
        <f t="shared" si="7"/>
        <v>0</v>
      </c>
      <c r="AN21" s="1105">
        <f t="shared" si="20"/>
        <v>0</v>
      </c>
      <c r="AO21" s="1054">
        <f t="shared" si="21"/>
        <v>0</v>
      </c>
      <c r="AP21" s="1054">
        <f t="shared" si="22"/>
        <v>0</v>
      </c>
      <c r="AQ21" s="1092">
        <f t="shared" si="23"/>
        <v>0</v>
      </c>
      <c r="AR21" s="2"/>
      <c r="AS21" s="1090">
        <f t="shared" si="24"/>
        <v>0</v>
      </c>
      <c r="AT21" s="1091">
        <f t="shared" si="25"/>
        <v>0</v>
      </c>
      <c r="AU21" s="1054">
        <f t="shared" si="26"/>
        <v>0</v>
      </c>
      <c r="AV21" s="1054">
        <f t="shared" si="27"/>
        <v>0</v>
      </c>
      <c r="AW21" s="1092">
        <f t="shared" si="28"/>
        <v>0</v>
      </c>
      <c r="AX21" s="2"/>
      <c r="AY21" s="1090">
        <f t="shared" si="29"/>
        <v>0</v>
      </c>
      <c r="AZ21" s="1385"/>
      <c r="BA21" s="2"/>
    </row>
    <row r="22" spans="1:53" ht="20.25" customHeight="1" x14ac:dyDescent="0.2">
      <c r="A22" s="2"/>
      <c r="B22" s="18">
        <v>15</v>
      </c>
      <c r="C22" s="234">
        <f t="shared" si="30"/>
        <v>15</v>
      </c>
      <c r="D22" s="235">
        <f t="shared" si="8"/>
        <v>2</v>
      </c>
      <c r="E22" s="2159">
        <f t="shared" si="0"/>
        <v>0</v>
      </c>
      <c r="F22" s="2160"/>
      <c r="G22" s="237"/>
      <c r="H22" s="237"/>
      <c r="I22" s="828"/>
      <c r="J22" s="829"/>
      <c r="K22" s="237"/>
      <c r="L22" s="828"/>
      <c r="M22" s="829"/>
      <c r="N22" s="237"/>
      <c r="O22" s="828"/>
      <c r="P22" s="829"/>
      <c r="Q22" s="6"/>
      <c r="R22" s="1053">
        <f t="shared" si="9"/>
        <v>0</v>
      </c>
      <c r="S22" s="1054">
        <f t="shared" si="1"/>
        <v>0</v>
      </c>
      <c r="T22" s="1054">
        <f t="shared" si="10"/>
        <v>0</v>
      </c>
      <c r="U22" s="1055">
        <f t="shared" si="11"/>
        <v>0</v>
      </c>
      <c r="V22" s="231">
        <f t="shared" si="31"/>
        <v>45337</v>
      </c>
      <c r="W22" s="1053">
        <f t="shared" si="2"/>
        <v>0</v>
      </c>
      <c r="X22" s="1054">
        <f t="shared" si="3"/>
        <v>0</v>
      </c>
      <c r="Y22" s="1054">
        <f t="shared" si="4"/>
        <v>0</v>
      </c>
      <c r="Z22" s="1055">
        <f t="shared" si="5"/>
        <v>0</v>
      </c>
      <c r="AA22" s="822">
        <f>VLOOKUP(V22,CASSA!$B$114:$C$479,2,FALSE)</f>
        <v>0</v>
      </c>
      <c r="AB22" s="1053">
        <f t="shared" si="12"/>
        <v>0</v>
      </c>
      <c r="AC22" s="1054">
        <f t="shared" si="13"/>
        <v>0</v>
      </c>
      <c r="AD22" s="1054">
        <f t="shared" si="14"/>
        <v>0</v>
      </c>
      <c r="AE22" s="1055">
        <f t="shared" si="15"/>
        <v>0</v>
      </c>
      <c r="AF22" s="2"/>
      <c r="AG22" s="1090">
        <f t="shared" si="16"/>
        <v>0</v>
      </c>
      <c r="AH22" s="1091">
        <f t="shared" si="17"/>
        <v>0</v>
      </c>
      <c r="AI22" s="1054">
        <f t="shared" si="18"/>
        <v>0</v>
      </c>
      <c r="AJ22" s="1054">
        <f t="shared" si="19"/>
        <v>0</v>
      </c>
      <c r="AK22" s="1092">
        <f t="shared" si="6"/>
        <v>0</v>
      </c>
      <c r="AL22" s="2"/>
      <c r="AM22" s="1090">
        <f t="shared" si="7"/>
        <v>0</v>
      </c>
      <c r="AN22" s="1105">
        <f t="shared" si="20"/>
        <v>0</v>
      </c>
      <c r="AO22" s="1054">
        <f t="shared" si="21"/>
        <v>0</v>
      </c>
      <c r="AP22" s="1054">
        <f t="shared" si="22"/>
        <v>0</v>
      </c>
      <c r="AQ22" s="1092">
        <f t="shared" si="23"/>
        <v>0</v>
      </c>
      <c r="AR22" s="2"/>
      <c r="AS22" s="1090">
        <f t="shared" si="24"/>
        <v>0</v>
      </c>
      <c r="AT22" s="1091">
        <f t="shared" si="25"/>
        <v>0</v>
      </c>
      <c r="AU22" s="1054">
        <f t="shared" si="26"/>
        <v>0</v>
      </c>
      <c r="AV22" s="1054">
        <f t="shared" si="27"/>
        <v>0</v>
      </c>
      <c r="AW22" s="1092">
        <f t="shared" si="28"/>
        <v>0</v>
      </c>
      <c r="AX22" s="2"/>
      <c r="AY22" s="1090">
        <f t="shared" si="29"/>
        <v>0</v>
      </c>
      <c r="AZ22" s="1385"/>
      <c r="BA22" s="2"/>
    </row>
    <row r="23" spans="1:53" ht="20.25" customHeight="1" x14ac:dyDescent="0.2">
      <c r="A23" s="2"/>
      <c r="B23" s="18">
        <v>16</v>
      </c>
      <c r="C23" s="234">
        <f t="shared" si="30"/>
        <v>16</v>
      </c>
      <c r="D23" s="235">
        <f t="shared" si="8"/>
        <v>2</v>
      </c>
      <c r="E23" s="2159">
        <f t="shared" si="0"/>
        <v>0</v>
      </c>
      <c r="F23" s="2160"/>
      <c r="G23" s="237"/>
      <c r="H23" s="237"/>
      <c r="I23" s="828"/>
      <c r="J23" s="829"/>
      <c r="K23" s="237"/>
      <c r="L23" s="828"/>
      <c r="M23" s="829"/>
      <c r="N23" s="237"/>
      <c r="O23" s="828"/>
      <c r="P23" s="829"/>
      <c r="Q23" s="6"/>
      <c r="R23" s="1053">
        <f t="shared" si="9"/>
        <v>0</v>
      </c>
      <c r="S23" s="1054">
        <f t="shared" si="1"/>
        <v>0</v>
      </c>
      <c r="T23" s="1054">
        <f t="shared" si="10"/>
        <v>0</v>
      </c>
      <c r="U23" s="1055">
        <f t="shared" si="11"/>
        <v>0</v>
      </c>
      <c r="V23" s="231">
        <f t="shared" si="31"/>
        <v>45338</v>
      </c>
      <c r="W23" s="1053">
        <f t="shared" si="2"/>
        <v>0</v>
      </c>
      <c r="X23" s="1054">
        <f t="shared" si="3"/>
        <v>0</v>
      </c>
      <c r="Y23" s="1054">
        <f t="shared" si="4"/>
        <v>0</v>
      </c>
      <c r="Z23" s="1055">
        <f t="shared" si="5"/>
        <v>0</v>
      </c>
      <c r="AA23" s="822">
        <f>VLOOKUP(V23,CASSA!$B$114:$C$479,2,FALSE)</f>
        <v>0</v>
      </c>
      <c r="AB23" s="1053">
        <f t="shared" si="12"/>
        <v>0</v>
      </c>
      <c r="AC23" s="1054">
        <f t="shared" si="13"/>
        <v>0</v>
      </c>
      <c r="AD23" s="1054">
        <f t="shared" si="14"/>
        <v>0</v>
      </c>
      <c r="AE23" s="1055">
        <f t="shared" si="15"/>
        <v>0</v>
      </c>
      <c r="AF23" s="2"/>
      <c r="AG23" s="1090">
        <f t="shared" si="16"/>
        <v>0</v>
      </c>
      <c r="AH23" s="1091">
        <f t="shared" si="17"/>
        <v>0</v>
      </c>
      <c r="AI23" s="1054">
        <f t="shared" si="18"/>
        <v>0</v>
      </c>
      <c r="AJ23" s="1054">
        <f t="shared" si="19"/>
        <v>0</v>
      </c>
      <c r="AK23" s="1092">
        <f t="shared" si="6"/>
        <v>0</v>
      </c>
      <c r="AL23" s="2"/>
      <c r="AM23" s="1090">
        <f t="shared" si="7"/>
        <v>0</v>
      </c>
      <c r="AN23" s="1105">
        <f t="shared" si="20"/>
        <v>0</v>
      </c>
      <c r="AO23" s="1054">
        <f t="shared" si="21"/>
        <v>0</v>
      </c>
      <c r="AP23" s="1054">
        <f t="shared" si="22"/>
        <v>0</v>
      </c>
      <c r="AQ23" s="1092">
        <f t="shared" si="23"/>
        <v>0</v>
      </c>
      <c r="AR23" s="2"/>
      <c r="AS23" s="1090">
        <f t="shared" si="24"/>
        <v>0</v>
      </c>
      <c r="AT23" s="1091">
        <f t="shared" si="25"/>
        <v>0</v>
      </c>
      <c r="AU23" s="1054">
        <f t="shared" si="26"/>
        <v>0</v>
      </c>
      <c r="AV23" s="1054">
        <f t="shared" si="27"/>
        <v>0</v>
      </c>
      <c r="AW23" s="1092">
        <f t="shared" si="28"/>
        <v>0</v>
      </c>
      <c r="AX23" s="2"/>
      <c r="AY23" s="1090">
        <f t="shared" si="29"/>
        <v>0</v>
      </c>
      <c r="AZ23" s="1385"/>
      <c r="BA23" s="2"/>
    </row>
    <row r="24" spans="1:53" ht="20.25" customHeight="1" x14ac:dyDescent="0.2">
      <c r="A24" s="2"/>
      <c r="B24" s="18">
        <v>17</v>
      </c>
      <c r="C24" s="234">
        <f t="shared" si="30"/>
        <v>17</v>
      </c>
      <c r="D24" s="235">
        <f t="shared" si="8"/>
        <v>2</v>
      </c>
      <c r="E24" s="2159">
        <f t="shared" si="0"/>
        <v>0</v>
      </c>
      <c r="F24" s="2160"/>
      <c r="G24" s="237"/>
      <c r="H24" s="237"/>
      <c r="I24" s="828"/>
      <c r="J24" s="829"/>
      <c r="K24" s="237"/>
      <c r="L24" s="828"/>
      <c r="M24" s="829"/>
      <c r="N24" s="237"/>
      <c r="O24" s="828"/>
      <c r="P24" s="829"/>
      <c r="Q24" s="6"/>
      <c r="R24" s="1053">
        <f t="shared" si="9"/>
        <v>0</v>
      </c>
      <c r="S24" s="1054">
        <f t="shared" si="1"/>
        <v>0</v>
      </c>
      <c r="T24" s="1054">
        <f t="shared" si="10"/>
        <v>0</v>
      </c>
      <c r="U24" s="1055">
        <f t="shared" si="11"/>
        <v>0</v>
      </c>
      <c r="V24" s="231">
        <f t="shared" si="31"/>
        <v>45339</v>
      </c>
      <c r="W24" s="1053">
        <f t="shared" si="2"/>
        <v>0</v>
      </c>
      <c r="X24" s="1054">
        <f t="shared" si="3"/>
        <v>0</v>
      </c>
      <c r="Y24" s="1054">
        <f t="shared" si="4"/>
        <v>0</v>
      </c>
      <c r="Z24" s="1055">
        <f t="shared" si="5"/>
        <v>0</v>
      </c>
      <c r="AA24" s="822">
        <f>VLOOKUP(V24,CASSA!$B$114:$C$479,2,FALSE)</f>
        <v>0</v>
      </c>
      <c r="AB24" s="1053">
        <f t="shared" si="12"/>
        <v>0</v>
      </c>
      <c r="AC24" s="1054">
        <f t="shared" si="13"/>
        <v>0</v>
      </c>
      <c r="AD24" s="1054">
        <f t="shared" si="14"/>
        <v>0</v>
      </c>
      <c r="AE24" s="1055">
        <f t="shared" si="15"/>
        <v>0</v>
      </c>
      <c r="AF24" s="2"/>
      <c r="AG24" s="1090">
        <f t="shared" si="16"/>
        <v>0</v>
      </c>
      <c r="AH24" s="1091">
        <f t="shared" si="17"/>
        <v>0</v>
      </c>
      <c r="AI24" s="1054">
        <f t="shared" si="18"/>
        <v>0</v>
      </c>
      <c r="AJ24" s="1054">
        <f t="shared" si="19"/>
        <v>0</v>
      </c>
      <c r="AK24" s="1092">
        <f t="shared" si="6"/>
        <v>0</v>
      </c>
      <c r="AL24" s="2"/>
      <c r="AM24" s="1090">
        <f t="shared" si="7"/>
        <v>0</v>
      </c>
      <c r="AN24" s="1105">
        <f t="shared" si="20"/>
        <v>0</v>
      </c>
      <c r="AO24" s="1054">
        <f t="shared" si="21"/>
        <v>0</v>
      </c>
      <c r="AP24" s="1054">
        <f t="shared" si="22"/>
        <v>0</v>
      </c>
      <c r="AQ24" s="1092">
        <f t="shared" si="23"/>
        <v>0</v>
      </c>
      <c r="AR24" s="2"/>
      <c r="AS24" s="1090">
        <f t="shared" si="24"/>
        <v>0</v>
      </c>
      <c r="AT24" s="1091">
        <f t="shared" si="25"/>
        <v>0</v>
      </c>
      <c r="AU24" s="1054">
        <f t="shared" si="26"/>
        <v>0</v>
      </c>
      <c r="AV24" s="1054">
        <f t="shared" si="27"/>
        <v>0</v>
      </c>
      <c r="AW24" s="1092">
        <f t="shared" si="28"/>
        <v>0</v>
      </c>
      <c r="AX24" s="2"/>
      <c r="AY24" s="1090">
        <f t="shared" si="29"/>
        <v>0</v>
      </c>
      <c r="AZ24" s="1385"/>
      <c r="BA24" s="2"/>
    </row>
    <row r="25" spans="1:53" ht="20.25" customHeight="1" x14ac:dyDescent="0.2">
      <c r="A25" s="2"/>
      <c r="B25" s="18">
        <v>18</v>
      </c>
      <c r="C25" s="234">
        <f t="shared" si="30"/>
        <v>18</v>
      </c>
      <c r="D25" s="235">
        <f t="shared" si="8"/>
        <v>2</v>
      </c>
      <c r="E25" s="2159">
        <f t="shared" si="0"/>
        <v>0</v>
      </c>
      <c r="F25" s="2160"/>
      <c r="G25" s="237"/>
      <c r="H25" s="237"/>
      <c r="I25" s="828"/>
      <c r="J25" s="829"/>
      <c r="K25" s="237"/>
      <c r="L25" s="828"/>
      <c r="M25" s="829"/>
      <c r="N25" s="237"/>
      <c r="O25" s="828"/>
      <c r="P25" s="829"/>
      <c r="Q25" s="6"/>
      <c r="R25" s="1053">
        <f t="shared" si="9"/>
        <v>0</v>
      </c>
      <c r="S25" s="1054">
        <f t="shared" si="1"/>
        <v>0</v>
      </c>
      <c r="T25" s="1054">
        <f t="shared" si="10"/>
        <v>0</v>
      </c>
      <c r="U25" s="1055">
        <f t="shared" si="11"/>
        <v>0</v>
      </c>
      <c r="V25" s="231">
        <f t="shared" si="31"/>
        <v>45340</v>
      </c>
      <c r="W25" s="1053">
        <f t="shared" si="2"/>
        <v>0</v>
      </c>
      <c r="X25" s="1054">
        <f t="shared" si="3"/>
        <v>0</v>
      </c>
      <c r="Y25" s="1054">
        <f t="shared" si="4"/>
        <v>0</v>
      </c>
      <c r="Z25" s="1055">
        <f t="shared" si="5"/>
        <v>0</v>
      </c>
      <c r="AA25" s="822">
        <f>VLOOKUP(V25,CASSA!$B$114:$C$479,2,FALSE)</f>
        <v>0</v>
      </c>
      <c r="AB25" s="1053">
        <f t="shared" si="12"/>
        <v>0</v>
      </c>
      <c r="AC25" s="1054">
        <f t="shared" si="13"/>
        <v>0</v>
      </c>
      <c r="AD25" s="1054">
        <f t="shared" si="14"/>
        <v>0</v>
      </c>
      <c r="AE25" s="1055">
        <f t="shared" si="15"/>
        <v>0</v>
      </c>
      <c r="AF25" s="2"/>
      <c r="AG25" s="1090">
        <f t="shared" si="16"/>
        <v>0</v>
      </c>
      <c r="AH25" s="1091">
        <f t="shared" si="17"/>
        <v>0</v>
      </c>
      <c r="AI25" s="1054">
        <f t="shared" si="18"/>
        <v>0</v>
      </c>
      <c r="AJ25" s="1054">
        <f t="shared" si="19"/>
        <v>0</v>
      </c>
      <c r="AK25" s="1092">
        <f t="shared" si="6"/>
        <v>0</v>
      </c>
      <c r="AL25" s="2"/>
      <c r="AM25" s="1090">
        <f t="shared" si="7"/>
        <v>0</v>
      </c>
      <c r="AN25" s="1105">
        <f t="shared" si="20"/>
        <v>0</v>
      </c>
      <c r="AO25" s="1054">
        <f t="shared" si="21"/>
        <v>0</v>
      </c>
      <c r="AP25" s="1054">
        <f t="shared" si="22"/>
        <v>0</v>
      </c>
      <c r="AQ25" s="1092">
        <f t="shared" si="23"/>
        <v>0</v>
      </c>
      <c r="AR25" s="2"/>
      <c r="AS25" s="1090">
        <f t="shared" si="24"/>
        <v>0</v>
      </c>
      <c r="AT25" s="1091">
        <f t="shared" si="25"/>
        <v>0</v>
      </c>
      <c r="AU25" s="1054">
        <f t="shared" si="26"/>
        <v>0</v>
      </c>
      <c r="AV25" s="1054">
        <f t="shared" si="27"/>
        <v>0</v>
      </c>
      <c r="AW25" s="1092">
        <f t="shared" si="28"/>
        <v>0</v>
      </c>
      <c r="AX25" s="2"/>
      <c r="AY25" s="1090">
        <f t="shared" si="29"/>
        <v>0</v>
      </c>
      <c r="AZ25" s="1385"/>
      <c r="BA25" s="2"/>
    </row>
    <row r="26" spans="1:53" ht="20.25" customHeight="1" x14ac:dyDescent="0.2">
      <c r="A26" s="2"/>
      <c r="B26" s="18">
        <v>19</v>
      </c>
      <c r="C26" s="234">
        <f t="shared" si="30"/>
        <v>19</v>
      </c>
      <c r="D26" s="235">
        <f t="shared" si="8"/>
        <v>2</v>
      </c>
      <c r="E26" s="2159">
        <f t="shared" si="0"/>
        <v>0</v>
      </c>
      <c r="F26" s="2160"/>
      <c r="G26" s="237"/>
      <c r="H26" s="237"/>
      <c r="I26" s="828"/>
      <c r="J26" s="829"/>
      <c r="K26" s="237"/>
      <c r="L26" s="828"/>
      <c r="M26" s="829"/>
      <c r="N26" s="237"/>
      <c r="O26" s="828"/>
      <c r="P26" s="829"/>
      <c r="Q26" s="6"/>
      <c r="R26" s="1053">
        <f t="shared" si="9"/>
        <v>0</v>
      </c>
      <c r="S26" s="1054">
        <f t="shared" si="1"/>
        <v>0</v>
      </c>
      <c r="T26" s="1054">
        <f t="shared" si="10"/>
        <v>0</v>
      </c>
      <c r="U26" s="1055">
        <f t="shared" si="11"/>
        <v>0</v>
      </c>
      <c r="V26" s="231">
        <f t="shared" si="31"/>
        <v>45341</v>
      </c>
      <c r="W26" s="1053">
        <f t="shared" si="2"/>
        <v>0</v>
      </c>
      <c r="X26" s="1054">
        <f t="shared" si="3"/>
        <v>0</v>
      </c>
      <c r="Y26" s="1054">
        <f t="shared" si="4"/>
        <v>0</v>
      </c>
      <c r="Z26" s="1055">
        <f t="shared" si="5"/>
        <v>0</v>
      </c>
      <c r="AA26" s="822">
        <f>VLOOKUP(V26,CASSA!$B$114:$C$479,2,FALSE)</f>
        <v>0</v>
      </c>
      <c r="AB26" s="1053">
        <f t="shared" si="12"/>
        <v>0</v>
      </c>
      <c r="AC26" s="1054">
        <f t="shared" si="13"/>
        <v>0</v>
      </c>
      <c r="AD26" s="1054">
        <f t="shared" si="14"/>
        <v>0</v>
      </c>
      <c r="AE26" s="1055">
        <f t="shared" si="15"/>
        <v>0</v>
      </c>
      <c r="AF26" s="2"/>
      <c r="AG26" s="1090">
        <f t="shared" si="16"/>
        <v>0</v>
      </c>
      <c r="AH26" s="1091">
        <f t="shared" si="17"/>
        <v>0</v>
      </c>
      <c r="AI26" s="1054">
        <f t="shared" si="18"/>
        <v>0</v>
      </c>
      <c r="AJ26" s="1054">
        <f t="shared" si="19"/>
        <v>0</v>
      </c>
      <c r="AK26" s="1092">
        <f t="shared" si="6"/>
        <v>0</v>
      </c>
      <c r="AL26" s="2"/>
      <c r="AM26" s="1090">
        <f t="shared" si="7"/>
        <v>0</v>
      </c>
      <c r="AN26" s="1105">
        <f t="shared" si="20"/>
        <v>0</v>
      </c>
      <c r="AO26" s="1054">
        <f t="shared" si="21"/>
        <v>0</v>
      </c>
      <c r="AP26" s="1054">
        <f t="shared" si="22"/>
        <v>0</v>
      </c>
      <c r="AQ26" s="1092">
        <f t="shared" si="23"/>
        <v>0</v>
      </c>
      <c r="AR26" s="2"/>
      <c r="AS26" s="1090">
        <f t="shared" si="24"/>
        <v>0</v>
      </c>
      <c r="AT26" s="1091">
        <f t="shared" si="25"/>
        <v>0</v>
      </c>
      <c r="AU26" s="1054">
        <f t="shared" si="26"/>
        <v>0</v>
      </c>
      <c r="AV26" s="1054">
        <f t="shared" si="27"/>
        <v>0</v>
      </c>
      <c r="AW26" s="1092">
        <f t="shared" si="28"/>
        <v>0</v>
      </c>
      <c r="AX26" s="2"/>
      <c r="AY26" s="1090">
        <f t="shared" si="29"/>
        <v>0</v>
      </c>
      <c r="AZ26" s="1385"/>
      <c r="BA26" s="2"/>
    </row>
    <row r="27" spans="1:53" ht="20.25" customHeight="1" x14ac:dyDescent="0.2">
      <c r="A27" s="2"/>
      <c r="B27" s="18">
        <v>20</v>
      </c>
      <c r="C27" s="234">
        <f t="shared" si="30"/>
        <v>20</v>
      </c>
      <c r="D27" s="235">
        <f t="shared" si="8"/>
        <v>2</v>
      </c>
      <c r="E27" s="2159">
        <f t="shared" si="0"/>
        <v>0</v>
      </c>
      <c r="F27" s="2160"/>
      <c r="G27" s="237"/>
      <c r="H27" s="237"/>
      <c r="I27" s="828"/>
      <c r="J27" s="829"/>
      <c r="K27" s="237"/>
      <c r="L27" s="828"/>
      <c r="M27" s="829"/>
      <c r="N27" s="237"/>
      <c r="O27" s="828"/>
      <c r="P27" s="829"/>
      <c r="Q27" s="6"/>
      <c r="R27" s="1053">
        <f t="shared" si="9"/>
        <v>0</v>
      </c>
      <c r="S27" s="1054">
        <f t="shared" si="1"/>
        <v>0</v>
      </c>
      <c r="T27" s="1054">
        <f t="shared" si="10"/>
        <v>0</v>
      </c>
      <c r="U27" s="1055">
        <f t="shared" si="11"/>
        <v>0</v>
      </c>
      <c r="V27" s="231">
        <f t="shared" si="31"/>
        <v>45342</v>
      </c>
      <c r="W27" s="1053">
        <f t="shared" si="2"/>
        <v>0</v>
      </c>
      <c r="X27" s="1054">
        <f t="shared" si="3"/>
        <v>0</v>
      </c>
      <c r="Y27" s="1054">
        <f t="shared" si="4"/>
        <v>0</v>
      </c>
      <c r="Z27" s="1055">
        <f t="shared" si="5"/>
        <v>0</v>
      </c>
      <c r="AA27" s="822">
        <f>VLOOKUP(V27,CASSA!$B$114:$C$479,2,FALSE)</f>
        <v>0</v>
      </c>
      <c r="AB27" s="1053">
        <f t="shared" si="12"/>
        <v>0</v>
      </c>
      <c r="AC27" s="1054">
        <f t="shared" si="13"/>
        <v>0</v>
      </c>
      <c r="AD27" s="1054">
        <f t="shared" si="14"/>
        <v>0</v>
      </c>
      <c r="AE27" s="1055">
        <f t="shared" si="15"/>
        <v>0</v>
      </c>
      <c r="AF27" s="2"/>
      <c r="AG27" s="1090">
        <f t="shared" si="16"/>
        <v>0</v>
      </c>
      <c r="AH27" s="1091">
        <f t="shared" si="17"/>
        <v>0</v>
      </c>
      <c r="AI27" s="1054">
        <f t="shared" si="18"/>
        <v>0</v>
      </c>
      <c r="AJ27" s="1054">
        <f t="shared" si="19"/>
        <v>0</v>
      </c>
      <c r="AK27" s="1092">
        <f t="shared" si="6"/>
        <v>0</v>
      </c>
      <c r="AL27" s="2"/>
      <c r="AM27" s="1090">
        <f t="shared" si="7"/>
        <v>0</v>
      </c>
      <c r="AN27" s="1105">
        <f t="shared" si="20"/>
        <v>0</v>
      </c>
      <c r="AO27" s="1054">
        <f t="shared" si="21"/>
        <v>0</v>
      </c>
      <c r="AP27" s="1054">
        <f t="shared" si="22"/>
        <v>0</v>
      </c>
      <c r="AQ27" s="1092">
        <f t="shared" si="23"/>
        <v>0</v>
      </c>
      <c r="AR27" s="2"/>
      <c r="AS27" s="1090">
        <f t="shared" si="24"/>
        <v>0</v>
      </c>
      <c r="AT27" s="1091">
        <f t="shared" si="25"/>
        <v>0</v>
      </c>
      <c r="AU27" s="1054">
        <f t="shared" si="26"/>
        <v>0</v>
      </c>
      <c r="AV27" s="1054">
        <f t="shared" si="27"/>
        <v>0</v>
      </c>
      <c r="AW27" s="1092">
        <f t="shared" si="28"/>
        <v>0</v>
      </c>
      <c r="AX27" s="2"/>
      <c r="AY27" s="1090">
        <f t="shared" si="29"/>
        <v>0</v>
      </c>
      <c r="AZ27" s="1385"/>
      <c r="BA27" s="2"/>
    </row>
    <row r="28" spans="1:53" ht="20.25" customHeight="1" x14ac:dyDescent="0.2">
      <c r="A28" s="2"/>
      <c r="B28" s="18">
        <v>21</v>
      </c>
      <c r="C28" s="234">
        <f t="shared" si="30"/>
        <v>21</v>
      </c>
      <c r="D28" s="235">
        <f t="shared" si="8"/>
        <v>2</v>
      </c>
      <c r="E28" s="2159">
        <f t="shared" si="0"/>
        <v>0</v>
      </c>
      <c r="F28" s="2160"/>
      <c r="G28" s="237"/>
      <c r="H28" s="237"/>
      <c r="I28" s="828"/>
      <c r="J28" s="829"/>
      <c r="K28" s="237"/>
      <c r="L28" s="828"/>
      <c r="M28" s="829"/>
      <c r="N28" s="237"/>
      <c r="O28" s="828"/>
      <c r="P28" s="829"/>
      <c r="Q28" s="6"/>
      <c r="R28" s="1053">
        <f t="shared" si="9"/>
        <v>0</v>
      </c>
      <c r="S28" s="1054">
        <f t="shared" si="1"/>
        <v>0</v>
      </c>
      <c r="T28" s="1054">
        <f t="shared" si="10"/>
        <v>0</v>
      </c>
      <c r="U28" s="1055">
        <f t="shared" si="11"/>
        <v>0</v>
      </c>
      <c r="V28" s="231">
        <f t="shared" si="31"/>
        <v>45343</v>
      </c>
      <c r="W28" s="1053">
        <f t="shared" si="2"/>
        <v>0</v>
      </c>
      <c r="X28" s="1054">
        <f t="shared" si="3"/>
        <v>0</v>
      </c>
      <c r="Y28" s="1054">
        <f t="shared" si="4"/>
        <v>0</v>
      </c>
      <c r="Z28" s="1055">
        <f t="shared" si="5"/>
        <v>0</v>
      </c>
      <c r="AA28" s="822">
        <f>VLOOKUP(V28,CASSA!$B$114:$C$479,2,FALSE)</f>
        <v>0</v>
      </c>
      <c r="AB28" s="1053">
        <f t="shared" si="12"/>
        <v>0</v>
      </c>
      <c r="AC28" s="1054">
        <f t="shared" si="13"/>
        <v>0</v>
      </c>
      <c r="AD28" s="1054">
        <f t="shared" si="14"/>
        <v>0</v>
      </c>
      <c r="AE28" s="1055">
        <f t="shared" si="15"/>
        <v>0</v>
      </c>
      <c r="AF28" s="2"/>
      <c r="AG28" s="1090">
        <f t="shared" si="16"/>
        <v>0</v>
      </c>
      <c r="AH28" s="1091">
        <f t="shared" si="17"/>
        <v>0</v>
      </c>
      <c r="AI28" s="1054">
        <f t="shared" si="18"/>
        <v>0</v>
      </c>
      <c r="AJ28" s="1054">
        <f t="shared" si="19"/>
        <v>0</v>
      </c>
      <c r="AK28" s="1092">
        <f t="shared" si="6"/>
        <v>0</v>
      </c>
      <c r="AL28" s="2"/>
      <c r="AM28" s="1090">
        <f t="shared" si="7"/>
        <v>0</v>
      </c>
      <c r="AN28" s="1105">
        <f t="shared" si="20"/>
        <v>0</v>
      </c>
      <c r="AO28" s="1054">
        <f t="shared" si="21"/>
        <v>0</v>
      </c>
      <c r="AP28" s="1054">
        <f t="shared" si="22"/>
        <v>0</v>
      </c>
      <c r="AQ28" s="1092">
        <f t="shared" si="23"/>
        <v>0</v>
      </c>
      <c r="AR28" s="2"/>
      <c r="AS28" s="1090">
        <f t="shared" si="24"/>
        <v>0</v>
      </c>
      <c r="AT28" s="1091">
        <f t="shared" si="25"/>
        <v>0</v>
      </c>
      <c r="AU28" s="1054">
        <f t="shared" si="26"/>
        <v>0</v>
      </c>
      <c r="AV28" s="1054">
        <f t="shared" si="27"/>
        <v>0</v>
      </c>
      <c r="AW28" s="1092">
        <f t="shared" si="28"/>
        <v>0</v>
      </c>
      <c r="AX28" s="2"/>
      <c r="AY28" s="1090">
        <f t="shared" si="29"/>
        <v>0</v>
      </c>
      <c r="AZ28" s="1385"/>
      <c r="BA28" s="2"/>
    </row>
    <row r="29" spans="1:53" ht="20.25" customHeight="1" x14ac:dyDescent="0.2">
      <c r="A29" s="2"/>
      <c r="B29" s="18">
        <v>22</v>
      </c>
      <c r="C29" s="234">
        <f t="shared" si="30"/>
        <v>22</v>
      </c>
      <c r="D29" s="235">
        <f t="shared" si="8"/>
        <v>2</v>
      </c>
      <c r="E29" s="2159">
        <f t="shared" si="0"/>
        <v>0</v>
      </c>
      <c r="F29" s="2160"/>
      <c r="G29" s="237"/>
      <c r="H29" s="237"/>
      <c r="I29" s="828"/>
      <c r="J29" s="829"/>
      <c r="K29" s="237"/>
      <c r="L29" s="828"/>
      <c r="M29" s="829"/>
      <c r="N29" s="237"/>
      <c r="O29" s="828"/>
      <c r="P29" s="829"/>
      <c r="Q29" s="6"/>
      <c r="R29" s="1053">
        <f t="shared" si="9"/>
        <v>0</v>
      </c>
      <c r="S29" s="1054">
        <f t="shared" si="1"/>
        <v>0</v>
      </c>
      <c r="T29" s="1054">
        <f t="shared" si="10"/>
        <v>0</v>
      </c>
      <c r="U29" s="1055">
        <f t="shared" si="11"/>
        <v>0</v>
      </c>
      <c r="V29" s="231">
        <f t="shared" si="31"/>
        <v>45344</v>
      </c>
      <c r="W29" s="1053">
        <f t="shared" si="2"/>
        <v>0</v>
      </c>
      <c r="X29" s="1054">
        <f t="shared" si="3"/>
        <v>0</v>
      </c>
      <c r="Y29" s="1054">
        <f t="shared" si="4"/>
        <v>0</v>
      </c>
      <c r="Z29" s="1055">
        <f t="shared" si="5"/>
        <v>0</v>
      </c>
      <c r="AA29" s="822">
        <f>VLOOKUP(V29,CASSA!$B$114:$C$479,2,FALSE)</f>
        <v>0</v>
      </c>
      <c r="AB29" s="1053">
        <f t="shared" si="12"/>
        <v>0</v>
      </c>
      <c r="AC29" s="1054">
        <f t="shared" si="13"/>
        <v>0</v>
      </c>
      <c r="AD29" s="1054">
        <f t="shared" si="14"/>
        <v>0</v>
      </c>
      <c r="AE29" s="1055">
        <f t="shared" si="15"/>
        <v>0</v>
      </c>
      <c r="AF29" s="2"/>
      <c r="AG29" s="1090">
        <f t="shared" si="16"/>
        <v>0</v>
      </c>
      <c r="AH29" s="1091">
        <f t="shared" si="17"/>
        <v>0</v>
      </c>
      <c r="AI29" s="1054">
        <f t="shared" si="18"/>
        <v>0</v>
      </c>
      <c r="AJ29" s="1054">
        <f t="shared" si="19"/>
        <v>0</v>
      </c>
      <c r="AK29" s="1092">
        <f t="shared" si="6"/>
        <v>0</v>
      </c>
      <c r="AL29" s="2"/>
      <c r="AM29" s="1090">
        <f t="shared" si="7"/>
        <v>0</v>
      </c>
      <c r="AN29" s="1105">
        <f t="shared" si="20"/>
        <v>0</v>
      </c>
      <c r="AO29" s="1054">
        <f t="shared" si="21"/>
        <v>0</v>
      </c>
      <c r="AP29" s="1054">
        <f t="shared" si="22"/>
        <v>0</v>
      </c>
      <c r="AQ29" s="1092">
        <f t="shared" si="23"/>
        <v>0</v>
      </c>
      <c r="AR29" s="2"/>
      <c r="AS29" s="1090">
        <f t="shared" si="24"/>
        <v>0</v>
      </c>
      <c r="AT29" s="1091">
        <f t="shared" si="25"/>
        <v>0</v>
      </c>
      <c r="AU29" s="1054">
        <f t="shared" si="26"/>
        <v>0</v>
      </c>
      <c r="AV29" s="1054">
        <f t="shared" si="27"/>
        <v>0</v>
      </c>
      <c r="AW29" s="1092">
        <f t="shared" si="28"/>
        <v>0</v>
      </c>
      <c r="AX29" s="2"/>
      <c r="AY29" s="1090">
        <f t="shared" si="29"/>
        <v>0</v>
      </c>
      <c r="AZ29" s="1385"/>
      <c r="BA29" s="2"/>
    </row>
    <row r="30" spans="1:53" ht="20.25" customHeight="1" x14ac:dyDescent="0.2">
      <c r="A30" s="2"/>
      <c r="B30" s="18">
        <v>23</v>
      </c>
      <c r="C30" s="234">
        <f t="shared" si="30"/>
        <v>23</v>
      </c>
      <c r="D30" s="235">
        <f t="shared" si="8"/>
        <v>2</v>
      </c>
      <c r="E30" s="2159">
        <f t="shared" si="0"/>
        <v>0</v>
      </c>
      <c r="F30" s="2160"/>
      <c r="G30" s="237"/>
      <c r="H30" s="237"/>
      <c r="I30" s="828"/>
      <c r="J30" s="829"/>
      <c r="K30" s="237"/>
      <c r="L30" s="828"/>
      <c r="M30" s="829"/>
      <c r="N30" s="237"/>
      <c r="O30" s="828"/>
      <c r="P30" s="829"/>
      <c r="Q30" s="6"/>
      <c r="R30" s="1053">
        <f t="shared" si="9"/>
        <v>0</v>
      </c>
      <c r="S30" s="1054">
        <f t="shared" si="1"/>
        <v>0</v>
      </c>
      <c r="T30" s="1054">
        <f t="shared" si="10"/>
        <v>0</v>
      </c>
      <c r="U30" s="1055">
        <f t="shared" si="11"/>
        <v>0</v>
      </c>
      <c r="V30" s="231">
        <f t="shared" si="31"/>
        <v>45345</v>
      </c>
      <c r="W30" s="1053">
        <f t="shared" si="2"/>
        <v>0</v>
      </c>
      <c r="X30" s="1054">
        <f t="shared" si="3"/>
        <v>0</v>
      </c>
      <c r="Y30" s="1054">
        <f t="shared" si="4"/>
        <v>0</v>
      </c>
      <c r="Z30" s="1055">
        <f t="shared" si="5"/>
        <v>0</v>
      </c>
      <c r="AA30" s="822">
        <f>VLOOKUP(V30,CASSA!$B$114:$C$479,2,FALSE)</f>
        <v>0</v>
      </c>
      <c r="AB30" s="1053">
        <f t="shared" si="12"/>
        <v>0</v>
      </c>
      <c r="AC30" s="1054">
        <f t="shared" si="13"/>
        <v>0</v>
      </c>
      <c r="AD30" s="1054">
        <f t="shared" si="14"/>
        <v>0</v>
      </c>
      <c r="AE30" s="1055">
        <f t="shared" si="15"/>
        <v>0</v>
      </c>
      <c r="AF30" s="2"/>
      <c r="AG30" s="1090">
        <f t="shared" si="16"/>
        <v>0</v>
      </c>
      <c r="AH30" s="1091">
        <f t="shared" si="17"/>
        <v>0</v>
      </c>
      <c r="AI30" s="1054">
        <f t="shared" si="18"/>
        <v>0</v>
      </c>
      <c r="AJ30" s="1054">
        <f t="shared" si="19"/>
        <v>0</v>
      </c>
      <c r="AK30" s="1092">
        <f t="shared" si="6"/>
        <v>0</v>
      </c>
      <c r="AL30" s="2"/>
      <c r="AM30" s="1090">
        <f t="shared" si="7"/>
        <v>0</v>
      </c>
      <c r="AN30" s="1105">
        <f t="shared" si="20"/>
        <v>0</v>
      </c>
      <c r="AO30" s="1054">
        <f t="shared" si="21"/>
        <v>0</v>
      </c>
      <c r="AP30" s="1054">
        <f t="shared" si="22"/>
        <v>0</v>
      </c>
      <c r="AQ30" s="1092">
        <f t="shared" si="23"/>
        <v>0</v>
      </c>
      <c r="AR30" s="2"/>
      <c r="AS30" s="1090">
        <f t="shared" si="24"/>
        <v>0</v>
      </c>
      <c r="AT30" s="1091">
        <f t="shared" si="25"/>
        <v>0</v>
      </c>
      <c r="AU30" s="1054">
        <f t="shared" si="26"/>
        <v>0</v>
      </c>
      <c r="AV30" s="1054">
        <f t="shared" si="27"/>
        <v>0</v>
      </c>
      <c r="AW30" s="1092">
        <f t="shared" si="28"/>
        <v>0</v>
      </c>
      <c r="AX30" s="2"/>
      <c r="AY30" s="1090">
        <f t="shared" si="29"/>
        <v>0</v>
      </c>
      <c r="AZ30" s="1385"/>
      <c r="BA30" s="2"/>
    </row>
    <row r="31" spans="1:53" ht="20.25" customHeight="1" x14ac:dyDescent="0.2">
      <c r="A31" s="2"/>
      <c r="B31" s="18">
        <v>24</v>
      </c>
      <c r="C31" s="234">
        <f t="shared" si="30"/>
        <v>24</v>
      </c>
      <c r="D31" s="235">
        <f t="shared" si="8"/>
        <v>2</v>
      </c>
      <c r="E31" s="2159">
        <f t="shared" si="0"/>
        <v>0</v>
      </c>
      <c r="F31" s="2160"/>
      <c r="G31" s="237"/>
      <c r="H31" s="237"/>
      <c r="I31" s="828"/>
      <c r="J31" s="829"/>
      <c r="K31" s="237"/>
      <c r="L31" s="828"/>
      <c r="M31" s="829"/>
      <c r="N31" s="237"/>
      <c r="O31" s="828"/>
      <c r="P31" s="829"/>
      <c r="Q31" s="6"/>
      <c r="R31" s="1053">
        <f t="shared" si="9"/>
        <v>0</v>
      </c>
      <c r="S31" s="1054">
        <f t="shared" si="1"/>
        <v>0</v>
      </c>
      <c r="T31" s="1054">
        <f t="shared" si="10"/>
        <v>0</v>
      </c>
      <c r="U31" s="1055">
        <f t="shared" si="11"/>
        <v>0</v>
      </c>
      <c r="V31" s="231">
        <f t="shared" si="31"/>
        <v>45346</v>
      </c>
      <c r="W31" s="1053">
        <f t="shared" si="2"/>
        <v>0</v>
      </c>
      <c r="X31" s="1054">
        <f t="shared" si="3"/>
        <v>0</v>
      </c>
      <c r="Y31" s="1054">
        <f t="shared" si="4"/>
        <v>0</v>
      </c>
      <c r="Z31" s="1055">
        <f t="shared" si="5"/>
        <v>0</v>
      </c>
      <c r="AA31" s="822">
        <f>VLOOKUP(V31,CASSA!$B$114:$C$479,2,FALSE)</f>
        <v>0</v>
      </c>
      <c r="AB31" s="1053">
        <f t="shared" si="12"/>
        <v>0</v>
      </c>
      <c r="AC31" s="1054">
        <f t="shared" si="13"/>
        <v>0</v>
      </c>
      <c r="AD31" s="1054">
        <f t="shared" si="14"/>
        <v>0</v>
      </c>
      <c r="AE31" s="1055">
        <f t="shared" si="15"/>
        <v>0</v>
      </c>
      <c r="AF31" s="2"/>
      <c r="AG31" s="1090">
        <f t="shared" si="16"/>
        <v>0</v>
      </c>
      <c r="AH31" s="1091">
        <f t="shared" si="17"/>
        <v>0</v>
      </c>
      <c r="AI31" s="1054">
        <f t="shared" si="18"/>
        <v>0</v>
      </c>
      <c r="AJ31" s="1054">
        <f t="shared" si="19"/>
        <v>0</v>
      </c>
      <c r="AK31" s="1092">
        <f t="shared" si="6"/>
        <v>0</v>
      </c>
      <c r="AL31" s="2"/>
      <c r="AM31" s="1090">
        <f t="shared" si="7"/>
        <v>0</v>
      </c>
      <c r="AN31" s="1105">
        <f t="shared" si="20"/>
        <v>0</v>
      </c>
      <c r="AO31" s="1054">
        <f t="shared" si="21"/>
        <v>0</v>
      </c>
      <c r="AP31" s="1054">
        <f t="shared" si="22"/>
        <v>0</v>
      </c>
      <c r="AQ31" s="1092">
        <f t="shared" si="23"/>
        <v>0</v>
      </c>
      <c r="AR31" s="2"/>
      <c r="AS31" s="1090">
        <f t="shared" si="24"/>
        <v>0</v>
      </c>
      <c r="AT31" s="1091">
        <f t="shared" si="25"/>
        <v>0</v>
      </c>
      <c r="AU31" s="1054">
        <f t="shared" si="26"/>
        <v>0</v>
      </c>
      <c r="AV31" s="1054">
        <f t="shared" si="27"/>
        <v>0</v>
      </c>
      <c r="AW31" s="1092">
        <f t="shared" si="28"/>
        <v>0</v>
      </c>
      <c r="AX31" s="2"/>
      <c r="AY31" s="1090">
        <f t="shared" si="29"/>
        <v>0</v>
      </c>
      <c r="AZ31" s="1385"/>
      <c r="BA31" s="2"/>
    </row>
    <row r="32" spans="1:53" ht="20.25" customHeight="1" x14ac:dyDescent="0.2">
      <c r="A32" s="2"/>
      <c r="B32" s="18">
        <v>25</v>
      </c>
      <c r="C32" s="234">
        <f t="shared" si="30"/>
        <v>25</v>
      </c>
      <c r="D32" s="235">
        <f t="shared" si="8"/>
        <v>2</v>
      </c>
      <c r="E32" s="2159">
        <f t="shared" si="0"/>
        <v>0</v>
      </c>
      <c r="F32" s="2160"/>
      <c r="G32" s="237"/>
      <c r="H32" s="237"/>
      <c r="I32" s="828"/>
      <c r="J32" s="829"/>
      <c r="K32" s="237"/>
      <c r="L32" s="828"/>
      <c r="M32" s="829"/>
      <c r="N32" s="237"/>
      <c r="O32" s="828"/>
      <c r="P32" s="829"/>
      <c r="Q32" s="6"/>
      <c r="R32" s="1053">
        <f t="shared" si="9"/>
        <v>0</v>
      </c>
      <c r="S32" s="1054">
        <f t="shared" si="1"/>
        <v>0</v>
      </c>
      <c r="T32" s="1054">
        <f t="shared" si="10"/>
        <v>0</v>
      </c>
      <c r="U32" s="1055">
        <f t="shared" si="11"/>
        <v>0</v>
      </c>
      <c r="V32" s="231">
        <f t="shared" si="31"/>
        <v>45347</v>
      </c>
      <c r="W32" s="1053">
        <f t="shared" si="2"/>
        <v>0</v>
      </c>
      <c r="X32" s="1054">
        <f t="shared" si="3"/>
        <v>0</v>
      </c>
      <c r="Y32" s="1054">
        <f t="shared" si="4"/>
        <v>0</v>
      </c>
      <c r="Z32" s="1055">
        <f t="shared" si="5"/>
        <v>0</v>
      </c>
      <c r="AA32" s="822">
        <f>VLOOKUP(V32,CASSA!$B$114:$C$479,2,FALSE)</f>
        <v>0</v>
      </c>
      <c r="AB32" s="1053">
        <f t="shared" si="12"/>
        <v>0</v>
      </c>
      <c r="AC32" s="1054">
        <f t="shared" si="13"/>
        <v>0</v>
      </c>
      <c r="AD32" s="1054">
        <f t="shared" si="14"/>
        <v>0</v>
      </c>
      <c r="AE32" s="1055">
        <f t="shared" si="15"/>
        <v>0</v>
      </c>
      <c r="AF32" s="2"/>
      <c r="AG32" s="1090">
        <f t="shared" si="16"/>
        <v>0</v>
      </c>
      <c r="AH32" s="1091">
        <f t="shared" si="17"/>
        <v>0</v>
      </c>
      <c r="AI32" s="1054">
        <f t="shared" si="18"/>
        <v>0</v>
      </c>
      <c r="AJ32" s="1054">
        <f t="shared" si="19"/>
        <v>0</v>
      </c>
      <c r="AK32" s="1092">
        <f t="shared" si="6"/>
        <v>0</v>
      </c>
      <c r="AL32" s="2"/>
      <c r="AM32" s="1090">
        <f t="shared" si="7"/>
        <v>0</v>
      </c>
      <c r="AN32" s="1105">
        <f t="shared" si="20"/>
        <v>0</v>
      </c>
      <c r="AO32" s="1054">
        <f t="shared" si="21"/>
        <v>0</v>
      </c>
      <c r="AP32" s="1054">
        <f t="shared" si="22"/>
        <v>0</v>
      </c>
      <c r="AQ32" s="1092">
        <f t="shared" si="23"/>
        <v>0</v>
      </c>
      <c r="AR32" s="2"/>
      <c r="AS32" s="1090">
        <f t="shared" si="24"/>
        <v>0</v>
      </c>
      <c r="AT32" s="1091">
        <f t="shared" si="25"/>
        <v>0</v>
      </c>
      <c r="AU32" s="1054">
        <f t="shared" si="26"/>
        <v>0</v>
      </c>
      <c r="AV32" s="1054">
        <f t="shared" si="27"/>
        <v>0</v>
      </c>
      <c r="AW32" s="1092">
        <f t="shared" si="28"/>
        <v>0</v>
      </c>
      <c r="AX32" s="2"/>
      <c r="AY32" s="1090">
        <f t="shared" si="29"/>
        <v>0</v>
      </c>
      <c r="AZ32" s="1385"/>
      <c r="BA32" s="2"/>
    </row>
    <row r="33" spans="1:54" ht="20.25" customHeight="1" x14ac:dyDescent="0.2">
      <c r="A33" s="2"/>
      <c r="B33" s="18">
        <v>26</v>
      </c>
      <c r="C33" s="234">
        <f t="shared" si="30"/>
        <v>26</v>
      </c>
      <c r="D33" s="235">
        <f t="shared" si="8"/>
        <v>2</v>
      </c>
      <c r="E33" s="2159">
        <f t="shared" si="0"/>
        <v>0</v>
      </c>
      <c r="F33" s="2160"/>
      <c r="G33" s="237"/>
      <c r="H33" s="237"/>
      <c r="I33" s="828"/>
      <c r="J33" s="829"/>
      <c r="K33" s="237"/>
      <c r="L33" s="828"/>
      <c r="M33" s="829"/>
      <c r="N33" s="237"/>
      <c r="O33" s="828"/>
      <c r="P33" s="829"/>
      <c r="Q33" s="6"/>
      <c r="R33" s="1053">
        <f t="shared" si="9"/>
        <v>0</v>
      </c>
      <c r="S33" s="1054">
        <f t="shared" si="1"/>
        <v>0</v>
      </c>
      <c r="T33" s="1054">
        <f t="shared" si="10"/>
        <v>0</v>
      </c>
      <c r="U33" s="1055">
        <f t="shared" si="11"/>
        <v>0</v>
      </c>
      <c r="V33" s="231">
        <f t="shared" si="31"/>
        <v>45348</v>
      </c>
      <c r="W33" s="1053">
        <f t="shared" si="2"/>
        <v>0</v>
      </c>
      <c r="X33" s="1054">
        <f t="shared" si="3"/>
        <v>0</v>
      </c>
      <c r="Y33" s="1054">
        <f t="shared" si="4"/>
        <v>0</v>
      </c>
      <c r="Z33" s="1055">
        <f t="shared" si="5"/>
        <v>0</v>
      </c>
      <c r="AA33" s="822">
        <f>VLOOKUP(V33,CASSA!$B$114:$C$479,2,FALSE)</f>
        <v>0</v>
      </c>
      <c r="AB33" s="1053">
        <f t="shared" si="12"/>
        <v>0</v>
      </c>
      <c r="AC33" s="1054">
        <f t="shared" si="13"/>
        <v>0</v>
      </c>
      <c r="AD33" s="1054">
        <f t="shared" si="14"/>
        <v>0</v>
      </c>
      <c r="AE33" s="1055">
        <f t="shared" si="15"/>
        <v>0</v>
      </c>
      <c r="AF33" s="2"/>
      <c r="AG33" s="1090">
        <f t="shared" si="16"/>
        <v>0</v>
      </c>
      <c r="AH33" s="1091">
        <f t="shared" si="17"/>
        <v>0</v>
      </c>
      <c r="AI33" s="1054">
        <f t="shared" si="18"/>
        <v>0</v>
      </c>
      <c r="AJ33" s="1054">
        <f t="shared" si="19"/>
        <v>0</v>
      </c>
      <c r="AK33" s="1092">
        <f t="shared" si="6"/>
        <v>0</v>
      </c>
      <c r="AL33" s="2"/>
      <c r="AM33" s="1090">
        <f t="shared" si="7"/>
        <v>0</v>
      </c>
      <c r="AN33" s="1105">
        <f t="shared" si="20"/>
        <v>0</v>
      </c>
      <c r="AO33" s="1054">
        <f t="shared" si="21"/>
        <v>0</v>
      </c>
      <c r="AP33" s="1054">
        <f t="shared" si="22"/>
        <v>0</v>
      </c>
      <c r="AQ33" s="1092">
        <f t="shared" si="23"/>
        <v>0</v>
      </c>
      <c r="AR33" s="2"/>
      <c r="AS33" s="1090">
        <f t="shared" si="24"/>
        <v>0</v>
      </c>
      <c r="AT33" s="1091">
        <f t="shared" si="25"/>
        <v>0</v>
      </c>
      <c r="AU33" s="1054">
        <f t="shared" si="26"/>
        <v>0</v>
      </c>
      <c r="AV33" s="1054">
        <f t="shared" si="27"/>
        <v>0</v>
      </c>
      <c r="AW33" s="1092">
        <f t="shared" si="28"/>
        <v>0</v>
      </c>
      <c r="AX33" s="2"/>
      <c r="AY33" s="1090">
        <f t="shared" si="29"/>
        <v>0</v>
      </c>
      <c r="AZ33" s="1385"/>
      <c r="BA33" s="2"/>
    </row>
    <row r="34" spans="1:54" ht="20.25" customHeight="1" x14ac:dyDescent="0.2">
      <c r="A34" s="2"/>
      <c r="B34" s="18">
        <v>27</v>
      </c>
      <c r="C34" s="234">
        <f t="shared" si="30"/>
        <v>27</v>
      </c>
      <c r="D34" s="235">
        <f t="shared" si="8"/>
        <v>2</v>
      </c>
      <c r="E34" s="2159">
        <f t="shared" si="0"/>
        <v>0</v>
      </c>
      <c r="F34" s="2160"/>
      <c r="G34" s="237"/>
      <c r="H34" s="237"/>
      <c r="I34" s="828"/>
      <c r="J34" s="829"/>
      <c r="K34" s="237"/>
      <c r="L34" s="828"/>
      <c r="M34" s="829"/>
      <c r="N34" s="237"/>
      <c r="O34" s="828"/>
      <c r="P34" s="829"/>
      <c r="Q34" s="6"/>
      <c r="R34" s="1053">
        <f t="shared" si="9"/>
        <v>0</v>
      </c>
      <c r="S34" s="1054">
        <f t="shared" si="1"/>
        <v>0</v>
      </c>
      <c r="T34" s="1054">
        <f t="shared" si="10"/>
        <v>0</v>
      </c>
      <c r="U34" s="1055">
        <f t="shared" si="11"/>
        <v>0</v>
      </c>
      <c r="V34" s="231">
        <f t="shared" si="31"/>
        <v>45349</v>
      </c>
      <c r="W34" s="1053">
        <f t="shared" si="2"/>
        <v>0</v>
      </c>
      <c r="X34" s="1054">
        <f t="shared" si="3"/>
        <v>0</v>
      </c>
      <c r="Y34" s="1054">
        <f t="shared" si="4"/>
        <v>0</v>
      </c>
      <c r="Z34" s="1055">
        <f t="shared" si="5"/>
        <v>0</v>
      </c>
      <c r="AA34" s="822">
        <f>VLOOKUP(V34,CASSA!$B$114:$C$479,2,FALSE)</f>
        <v>0</v>
      </c>
      <c r="AB34" s="1053">
        <f t="shared" si="12"/>
        <v>0</v>
      </c>
      <c r="AC34" s="1054">
        <f t="shared" si="13"/>
        <v>0</v>
      </c>
      <c r="AD34" s="1054">
        <f t="shared" si="14"/>
        <v>0</v>
      </c>
      <c r="AE34" s="1055">
        <f t="shared" si="15"/>
        <v>0</v>
      </c>
      <c r="AF34" s="2"/>
      <c r="AG34" s="1090">
        <f t="shared" si="16"/>
        <v>0</v>
      </c>
      <c r="AH34" s="1091">
        <f t="shared" si="17"/>
        <v>0</v>
      </c>
      <c r="AI34" s="1054">
        <f t="shared" si="18"/>
        <v>0</v>
      </c>
      <c r="AJ34" s="1054">
        <f t="shared" si="19"/>
        <v>0</v>
      </c>
      <c r="AK34" s="1092">
        <f t="shared" si="6"/>
        <v>0</v>
      </c>
      <c r="AL34" s="2"/>
      <c r="AM34" s="1090">
        <f t="shared" si="7"/>
        <v>0</v>
      </c>
      <c r="AN34" s="1105">
        <f t="shared" si="20"/>
        <v>0</v>
      </c>
      <c r="AO34" s="1054">
        <f t="shared" si="21"/>
        <v>0</v>
      </c>
      <c r="AP34" s="1054">
        <f t="shared" si="22"/>
        <v>0</v>
      </c>
      <c r="AQ34" s="1092">
        <f t="shared" si="23"/>
        <v>0</v>
      </c>
      <c r="AR34" s="2"/>
      <c r="AS34" s="1090">
        <f t="shared" si="24"/>
        <v>0</v>
      </c>
      <c r="AT34" s="1091">
        <f t="shared" si="25"/>
        <v>0</v>
      </c>
      <c r="AU34" s="1054">
        <f t="shared" si="26"/>
        <v>0</v>
      </c>
      <c r="AV34" s="1054">
        <f t="shared" si="27"/>
        <v>0</v>
      </c>
      <c r="AW34" s="1092">
        <f t="shared" si="28"/>
        <v>0</v>
      </c>
      <c r="AX34" s="2"/>
      <c r="AY34" s="1090">
        <f t="shared" si="29"/>
        <v>0</v>
      </c>
      <c r="AZ34" s="1385"/>
      <c r="BA34" s="2"/>
    </row>
    <row r="35" spans="1:54" ht="20.25" customHeight="1" x14ac:dyDescent="0.2">
      <c r="A35" s="2"/>
      <c r="B35" s="18">
        <v>28</v>
      </c>
      <c r="C35" s="234">
        <f t="shared" si="30"/>
        <v>28</v>
      </c>
      <c r="D35" s="235">
        <f t="shared" si="8"/>
        <v>2</v>
      </c>
      <c r="E35" s="2159">
        <f t="shared" si="0"/>
        <v>0</v>
      </c>
      <c r="F35" s="2160"/>
      <c r="G35" s="237"/>
      <c r="H35" s="237"/>
      <c r="I35" s="828"/>
      <c r="J35" s="829"/>
      <c r="K35" s="237"/>
      <c r="L35" s="828"/>
      <c r="M35" s="829"/>
      <c r="N35" s="237"/>
      <c r="O35" s="828"/>
      <c r="P35" s="829"/>
      <c r="Q35" s="6"/>
      <c r="R35" s="1053">
        <f t="shared" si="9"/>
        <v>0</v>
      </c>
      <c r="S35" s="1054">
        <f t="shared" si="1"/>
        <v>0</v>
      </c>
      <c r="T35" s="1054">
        <f t="shared" si="10"/>
        <v>0</v>
      </c>
      <c r="U35" s="1055">
        <f t="shared" si="11"/>
        <v>0</v>
      </c>
      <c r="V35" s="231">
        <f t="shared" si="31"/>
        <v>45350</v>
      </c>
      <c r="W35" s="1053">
        <f t="shared" si="2"/>
        <v>0</v>
      </c>
      <c r="X35" s="1054">
        <f t="shared" si="3"/>
        <v>0</v>
      </c>
      <c r="Y35" s="1054">
        <f t="shared" si="4"/>
        <v>0</v>
      </c>
      <c r="Z35" s="1055">
        <f t="shared" si="5"/>
        <v>0</v>
      </c>
      <c r="AA35" s="822">
        <f>VLOOKUP(V35,CASSA!$B$114:$C$479,2,FALSE)</f>
        <v>0</v>
      </c>
      <c r="AB35" s="1053">
        <f t="shared" si="12"/>
        <v>0</v>
      </c>
      <c r="AC35" s="1054">
        <f t="shared" si="13"/>
        <v>0</v>
      </c>
      <c r="AD35" s="1054">
        <f t="shared" si="14"/>
        <v>0</v>
      </c>
      <c r="AE35" s="1055">
        <f t="shared" si="15"/>
        <v>0</v>
      </c>
      <c r="AF35" s="2"/>
      <c r="AG35" s="1090">
        <f t="shared" si="16"/>
        <v>0</v>
      </c>
      <c r="AH35" s="1091">
        <f t="shared" si="17"/>
        <v>0</v>
      </c>
      <c r="AI35" s="1054">
        <f t="shared" si="18"/>
        <v>0</v>
      </c>
      <c r="AJ35" s="1054">
        <f t="shared" si="19"/>
        <v>0</v>
      </c>
      <c r="AK35" s="1092">
        <f t="shared" si="6"/>
        <v>0</v>
      </c>
      <c r="AL35" s="2"/>
      <c r="AM35" s="1090">
        <f t="shared" si="7"/>
        <v>0</v>
      </c>
      <c r="AN35" s="1105">
        <f t="shared" si="20"/>
        <v>0</v>
      </c>
      <c r="AO35" s="1054">
        <f t="shared" si="21"/>
        <v>0</v>
      </c>
      <c r="AP35" s="1054">
        <f t="shared" si="22"/>
        <v>0</v>
      </c>
      <c r="AQ35" s="1092">
        <f t="shared" si="23"/>
        <v>0</v>
      </c>
      <c r="AR35" s="2"/>
      <c r="AS35" s="1090">
        <f t="shared" si="24"/>
        <v>0</v>
      </c>
      <c r="AT35" s="1091">
        <f t="shared" si="25"/>
        <v>0</v>
      </c>
      <c r="AU35" s="1054">
        <f t="shared" si="26"/>
        <v>0</v>
      </c>
      <c r="AV35" s="1054">
        <f t="shared" si="27"/>
        <v>0</v>
      </c>
      <c r="AW35" s="1092">
        <f t="shared" si="28"/>
        <v>0</v>
      </c>
      <c r="AX35" s="2"/>
      <c r="AY35" s="1090">
        <f t="shared" si="29"/>
        <v>0</v>
      </c>
      <c r="AZ35" s="1385"/>
      <c r="BA35" s="2"/>
    </row>
    <row r="36" spans="1:54" ht="20.25" customHeight="1" x14ac:dyDescent="0.2">
      <c r="A36" s="2"/>
      <c r="B36" s="18">
        <v>29</v>
      </c>
      <c r="C36" s="234">
        <f t="shared" si="30"/>
        <v>29</v>
      </c>
      <c r="D36" s="235">
        <f t="shared" si="8"/>
        <v>2</v>
      </c>
      <c r="E36" s="2240">
        <f t="shared" si="0"/>
        <v>0</v>
      </c>
      <c r="F36" s="2241"/>
      <c r="G36" s="823"/>
      <c r="H36" s="823"/>
      <c r="I36" s="828"/>
      <c r="J36" s="829"/>
      <c r="K36" s="823"/>
      <c r="L36" s="828"/>
      <c r="M36" s="829"/>
      <c r="N36" s="823"/>
      <c r="O36" s="828"/>
      <c r="P36" s="829"/>
      <c r="Q36" s="6"/>
      <c r="R36" s="1056">
        <f t="shared" si="9"/>
        <v>0</v>
      </c>
      <c r="S36" s="1057">
        <f t="shared" si="1"/>
        <v>0</v>
      </c>
      <c r="T36" s="1057">
        <f t="shared" si="10"/>
        <v>0</v>
      </c>
      <c r="U36" s="1058">
        <f t="shared" si="11"/>
        <v>0</v>
      </c>
      <c r="V36" s="231">
        <f t="shared" si="31"/>
        <v>45351</v>
      </c>
      <c r="W36" s="1056">
        <f t="shared" si="2"/>
        <v>0</v>
      </c>
      <c r="X36" s="1057">
        <f t="shared" si="3"/>
        <v>0</v>
      </c>
      <c r="Y36" s="1057">
        <f t="shared" si="4"/>
        <v>0</v>
      </c>
      <c r="Z36" s="1058">
        <f t="shared" si="5"/>
        <v>0</v>
      </c>
      <c r="AA36" s="822">
        <f>IF(MONTH(V36)&lt;&gt;MONTH(V35),0,VLOOKUP(V36,CASSA!$B$114:$C$479,2,FALSE))</f>
        <v>0</v>
      </c>
      <c r="AB36" s="1056">
        <f t="shared" si="12"/>
        <v>0</v>
      </c>
      <c r="AC36" s="1057">
        <f t="shared" si="13"/>
        <v>0</v>
      </c>
      <c r="AD36" s="1057">
        <f t="shared" si="14"/>
        <v>0</v>
      </c>
      <c r="AE36" s="1058">
        <f t="shared" si="15"/>
        <v>0</v>
      </c>
      <c r="AF36" s="2"/>
      <c r="AG36" s="1093">
        <f t="shared" si="16"/>
        <v>0</v>
      </c>
      <c r="AH36" s="1094">
        <f t="shared" si="17"/>
        <v>0</v>
      </c>
      <c r="AI36" s="1057">
        <f t="shared" si="18"/>
        <v>0</v>
      </c>
      <c r="AJ36" s="1057">
        <f t="shared" si="19"/>
        <v>0</v>
      </c>
      <c r="AK36" s="1095">
        <f t="shared" si="6"/>
        <v>0</v>
      </c>
      <c r="AL36" s="2"/>
      <c r="AM36" s="1093">
        <f t="shared" si="7"/>
        <v>0</v>
      </c>
      <c r="AN36" s="1106">
        <f t="shared" si="20"/>
        <v>0</v>
      </c>
      <c r="AO36" s="1057">
        <f t="shared" si="21"/>
        <v>0</v>
      </c>
      <c r="AP36" s="1057">
        <f t="shared" si="22"/>
        <v>0</v>
      </c>
      <c r="AQ36" s="1095">
        <f t="shared" si="23"/>
        <v>0</v>
      </c>
      <c r="AR36" s="2"/>
      <c r="AS36" s="1093">
        <f t="shared" si="24"/>
        <v>0</v>
      </c>
      <c r="AT36" s="1094">
        <f t="shared" si="25"/>
        <v>0</v>
      </c>
      <c r="AU36" s="1057">
        <f t="shared" si="26"/>
        <v>0</v>
      </c>
      <c r="AV36" s="1057">
        <f t="shared" si="27"/>
        <v>0</v>
      </c>
      <c r="AW36" s="1095">
        <f t="shared" si="28"/>
        <v>0</v>
      </c>
      <c r="AX36" s="2"/>
      <c r="AY36" s="1093">
        <f t="shared" si="29"/>
        <v>0</v>
      </c>
      <c r="AZ36" s="1385"/>
      <c r="BA36" s="2"/>
    </row>
    <row r="37" spans="1:54" ht="20.25" customHeight="1" x14ac:dyDescent="0.2">
      <c r="A37" s="2"/>
      <c r="B37" s="18">
        <v>30</v>
      </c>
      <c r="C37" s="234" t="str">
        <f t="shared" si="30"/>
        <v>--</v>
      </c>
      <c r="D37" s="235" t="str">
        <f t="shared" si="8"/>
        <v>--</v>
      </c>
      <c r="E37" s="2159"/>
      <c r="F37" s="2160"/>
      <c r="G37" s="237"/>
      <c r="H37" s="237"/>
      <c r="I37" s="830"/>
      <c r="J37" s="831"/>
      <c r="K37" s="237"/>
      <c r="L37" s="830"/>
      <c r="M37" s="831"/>
      <c r="N37" s="237"/>
      <c r="O37" s="830"/>
      <c r="P37" s="831"/>
      <c r="Q37" s="6"/>
      <c r="R37" s="1059"/>
      <c r="S37" s="1059"/>
      <c r="T37" s="1059"/>
      <c r="U37" s="1059"/>
      <c r="V37" s="1060"/>
      <c r="W37" s="1059"/>
      <c r="X37" s="1059"/>
      <c r="Y37" s="1059"/>
      <c r="Z37" s="1059"/>
      <c r="AA37" s="822"/>
      <c r="AB37" s="1059"/>
      <c r="AC37" s="1059"/>
      <c r="AD37" s="1059"/>
      <c r="AE37" s="1059"/>
      <c r="AF37" s="2"/>
      <c r="AG37" s="2"/>
      <c r="AH37" s="2"/>
      <c r="AI37" s="2"/>
      <c r="AJ37" s="2"/>
      <c r="AK37" s="2"/>
      <c r="AL37" s="2"/>
      <c r="AM37" s="2"/>
      <c r="AN37" s="2"/>
      <c r="AO37" s="2"/>
      <c r="AP37" s="2"/>
      <c r="AQ37" s="2"/>
      <c r="AR37" s="2"/>
      <c r="AS37" s="2"/>
      <c r="AT37" s="2"/>
      <c r="AU37" s="2"/>
      <c r="AV37" s="2"/>
      <c r="AW37" s="2"/>
      <c r="AX37" s="2"/>
      <c r="AY37" s="2"/>
      <c r="AZ37" s="1385"/>
      <c r="BA37" s="2"/>
    </row>
    <row r="38" spans="1:54" ht="20.25" customHeight="1" x14ac:dyDescent="0.2">
      <c r="A38" s="2"/>
      <c r="B38" s="18">
        <v>31</v>
      </c>
      <c r="C38" s="234" t="str">
        <f t="shared" si="30"/>
        <v>--</v>
      </c>
      <c r="D38" s="235" t="str">
        <f t="shared" si="8"/>
        <v>--</v>
      </c>
      <c r="E38" s="2238"/>
      <c r="F38" s="2239"/>
      <c r="G38" s="824"/>
      <c r="H38" s="824"/>
      <c r="I38" s="836"/>
      <c r="J38" s="837"/>
      <c r="K38" s="824"/>
      <c r="L38" s="836"/>
      <c r="M38" s="837"/>
      <c r="N38" s="824"/>
      <c r="O38" s="836"/>
      <c r="P38" s="837"/>
      <c r="Q38" s="6"/>
      <c r="R38" s="1059"/>
      <c r="S38" s="1059"/>
      <c r="T38" s="1059"/>
      <c r="U38" s="1059"/>
      <c r="V38" s="1060"/>
      <c r="W38" s="1059"/>
      <c r="X38" s="1059"/>
      <c r="Y38" s="1059"/>
      <c r="Z38" s="1059"/>
      <c r="AA38" s="822"/>
      <c r="AB38" s="1059"/>
      <c r="AC38" s="1059"/>
      <c r="AD38" s="1059"/>
      <c r="AE38" s="1059"/>
      <c r="AF38" s="2"/>
      <c r="AG38" s="2"/>
      <c r="AH38" s="2"/>
      <c r="AI38" s="2"/>
      <c r="AJ38" s="2"/>
      <c r="AK38" s="2"/>
      <c r="AL38" s="2"/>
      <c r="AM38" s="2"/>
      <c r="AN38" s="2"/>
      <c r="AO38" s="2"/>
      <c r="AP38" s="2"/>
      <c r="AQ38" s="2"/>
      <c r="AR38" s="2"/>
      <c r="AS38" s="2"/>
      <c r="AT38" s="2"/>
      <c r="AU38" s="2"/>
      <c r="AV38" s="2"/>
      <c r="AW38" s="2"/>
      <c r="AX38" s="2"/>
      <c r="AY38" s="2"/>
      <c r="AZ38" s="1386"/>
      <c r="BA38" s="2"/>
    </row>
    <row r="39" spans="1:54" ht="20.25" customHeight="1" x14ac:dyDescent="0.2">
      <c r="A39" s="2"/>
      <c r="B39" s="7"/>
      <c r="C39" s="2077" t="s">
        <v>177</v>
      </c>
      <c r="D39" s="2078"/>
      <c r="E39" s="2074">
        <f>IMPOSTAZIONI!G265</f>
        <v>0</v>
      </c>
      <c r="F39" s="2075"/>
      <c r="G39" s="1440">
        <f>IF(ISERROR(G$155),0,SUM(G7:G38)-SUMIF($E8:$E38,$V4,G8:G38))</f>
        <v>0</v>
      </c>
      <c r="H39" s="1440">
        <f>IF(ISERROR(H$155),0,SUM(H7:H38)-SUMIF($E8:$E38,$V4,H8:H38))</f>
        <v>0</v>
      </c>
      <c r="I39" s="838"/>
      <c r="J39" s="839"/>
      <c r="K39" s="1440">
        <f>IF(ISERROR(I$155),0,SUM(K7:K38)-SUMIF($E8:$E38,$V4,K8:K38))</f>
        <v>0</v>
      </c>
      <c r="L39" s="838"/>
      <c r="M39" s="839"/>
      <c r="N39" s="1440">
        <f>IF(ISERROR(J$155),0,SUM(N7:N38)-SUMIF($E8:$E38,$V4,N8:N38))</f>
        <v>0</v>
      </c>
      <c r="O39" s="838"/>
      <c r="P39" s="839"/>
      <c r="Q39" s="6"/>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1383"/>
      <c r="BA39" s="2"/>
    </row>
    <row r="40" spans="1:54" ht="3" customHeight="1" x14ac:dyDescent="0.2">
      <c r="A40" s="2"/>
      <c r="B40" s="2"/>
      <c r="C40" s="8"/>
      <c r="D40" s="9"/>
      <c r="E40" s="825"/>
      <c r="F40" s="826"/>
      <c r="G40" s="827"/>
      <c r="H40" s="827"/>
      <c r="I40" s="825"/>
      <c r="J40" s="826"/>
      <c r="K40" s="827"/>
      <c r="L40" s="825"/>
      <c r="M40" s="826"/>
      <c r="N40" s="827"/>
      <c r="O40" s="825"/>
      <c r="P40" s="826"/>
      <c r="Q40" s="6"/>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row>
    <row r="41" spans="1:54" ht="6" customHeight="1" x14ac:dyDescent="0.2">
      <c r="A41" s="2"/>
      <c r="B41" s="2"/>
      <c r="C41" s="10"/>
      <c r="D41" s="10"/>
      <c r="E41" s="11"/>
      <c r="F41" s="11"/>
      <c r="G41" s="11"/>
      <c r="H41" s="11"/>
      <c r="I41" s="11"/>
      <c r="J41" s="11"/>
      <c r="K41" s="11"/>
      <c r="L41" s="11"/>
      <c r="M41" s="11"/>
      <c r="N41" s="11"/>
      <c r="O41" s="11"/>
      <c r="P41" s="11"/>
      <c r="Q41" s="1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row>
    <row r="42" spans="1:54" ht="18.75" customHeight="1" x14ac:dyDescent="0.2">
      <c r="A42" s="2"/>
      <c r="B42" s="2"/>
      <c r="C42" s="946" t="s">
        <v>657</v>
      </c>
      <c r="D42" s="14"/>
      <c r="E42" s="12"/>
      <c r="F42" s="12"/>
      <c r="G42" s="957">
        <f>IMPOSTAZIONI!I33</f>
        <v>0</v>
      </c>
      <c r="H42" s="957">
        <f>IMPOSTAZIONI!M33</f>
        <v>0</v>
      </c>
      <c r="I42" s="12"/>
      <c r="J42" s="12"/>
      <c r="K42" s="957">
        <f>IMPOSTAZIONI!U33</f>
        <v>0</v>
      </c>
      <c r="L42" s="12"/>
      <c r="M42" s="12"/>
      <c r="N42" s="957">
        <f>IMPOSTAZIONI!AC33</f>
        <v>0</v>
      </c>
      <c r="O42" s="12"/>
      <c r="P42" s="12"/>
      <c r="Q42" s="12"/>
      <c r="R42" s="2"/>
      <c r="S42" s="591"/>
      <c r="T42" s="591"/>
      <c r="U42" s="591"/>
      <c r="V42" s="591"/>
      <c r="W42" s="591"/>
      <c r="X42" s="591"/>
      <c r="Y42" s="591"/>
      <c r="Z42" s="591"/>
      <c r="AA42" s="591"/>
      <c r="AB42" s="591"/>
      <c r="AC42" s="591"/>
      <c r="AD42" s="591"/>
      <c r="AE42" s="591"/>
      <c r="AF42" s="591"/>
      <c r="AG42" s="591"/>
      <c r="AH42" s="591"/>
      <c r="AI42" s="591"/>
      <c r="AJ42" s="591"/>
      <c r="AK42" s="591"/>
      <c r="AL42" s="591"/>
      <c r="AM42" s="591"/>
      <c r="AN42" s="591"/>
      <c r="AO42" s="591"/>
      <c r="AP42" s="591"/>
      <c r="AQ42" s="591"/>
      <c r="AR42" s="591"/>
      <c r="AS42" s="591"/>
      <c r="AT42" s="591"/>
      <c r="AU42" s="591"/>
      <c r="AV42" s="591"/>
      <c r="AW42" s="591"/>
      <c r="AX42" s="591"/>
      <c r="AY42" s="591"/>
      <c r="AZ42" s="2"/>
      <c r="BA42" s="2"/>
      <c r="BB42" s="591"/>
    </row>
    <row r="43" spans="1:54" ht="18" customHeight="1" x14ac:dyDescent="0.2">
      <c r="A43" s="2"/>
      <c r="B43" s="2"/>
      <c r="C43" s="2161" t="s">
        <v>175</v>
      </c>
      <c r="D43" s="2161"/>
      <c r="E43" s="2076">
        <f>C6</f>
        <v>2024</v>
      </c>
      <c r="F43" s="2076"/>
      <c r="G43" s="888" t="str">
        <f>G6</f>
        <v/>
      </c>
      <c r="H43" s="889" t="str">
        <f>H6</f>
        <v/>
      </c>
      <c r="I43" s="2"/>
      <c r="J43" s="2"/>
      <c r="K43" s="887" t="str">
        <f>K6</f>
        <v/>
      </c>
      <c r="L43" s="2"/>
      <c r="M43" s="2"/>
      <c r="N43" s="887" t="str">
        <f>N6</f>
        <v/>
      </c>
      <c r="O43" s="2"/>
      <c r="P43" s="2"/>
      <c r="Q43" s="12"/>
      <c r="R43" s="2"/>
      <c r="S43" s="591"/>
      <c r="T43" s="591"/>
      <c r="U43" s="591"/>
      <c r="V43" s="591"/>
      <c r="W43" s="591"/>
      <c r="X43" s="591"/>
      <c r="Y43" s="591"/>
      <c r="Z43" s="591"/>
      <c r="AA43" s="591"/>
      <c r="AB43" s="591"/>
      <c r="AC43" s="591"/>
      <c r="AD43" s="591"/>
      <c r="AE43" s="591"/>
      <c r="AF43" s="591"/>
      <c r="AG43" s="591"/>
      <c r="AH43" s="591"/>
      <c r="AI43" s="591"/>
      <c r="AJ43" s="591"/>
      <c r="AK43" s="591"/>
      <c r="AL43" s="591"/>
      <c r="AM43" s="591"/>
      <c r="AN43" s="591"/>
      <c r="AO43" s="591"/>
      <c r="AP43" s="591"/>
      <c r="AQ43" s="591"/>
      <c r="AR43" s="591"/>
      <c r="AS43" s="591"/>
      <c r="AT43" s="591"/>
      <c r="AU43" s="591"/>
      <c r="AV43" s="591"/>
      <c r="AW43" s="591"/>
      <c r="AX43" s="591"/>
      <c r="AY43" s="591"/>
      <c r="AZ43" s="2"/>
      <c r="BA43" s="2"/>
      <c r="BB43" s="591"/>
    </row>
    <row r="44" spans="1:54" ht="22.5" customHeight="1" x14ac:dyDescent="0.2">
      <c r="A44" s="2"/>
      <c r="B44" s="2"/>
      <c r="C44" s="2091" t="s">
        <v>298</v>
      </c>
      <c r="D44" s="2091"/>
      <c r="E44" s="2091"/>
      <c r="F44" s="2091"/>
      <c r="G44" s="57" t="str">
        <f t="shared" ref="G44:K45" si="32">G4</f>
        <v/>
      </c>
      <c r="H44" s="57" t="str">
        <f t="shared" si="32"/>
        <v/>
      </c>
      <c r="I44" s="2034">
        <f>IF(I4=K130,"",I4)</f>
        <v>0</v>
      </c>
      <c r="J44" s="2034"/>
      <c r="K44" s="57" t="str">
        <f t="shared" si="32"/>
        <v/>
      </c>
      <c r="L44" s="2034">
        <f>IF(L4=K130,"",L4)</f>
        <v>0</v>
      </c>
      <c r="M44" s="2034"/>
      <c r="N44" s="57" t="str">
        <f>N4</f>
        <v/>
      </c>
      <c r="O44" s="2034">
        <f>IF(O4=K130,"",O4)</f>
        <v>0</v>
      </c>
      <c r="P44" s="2034"/>
      <c r="Q44" s="12"/>
      <c r="R44" s="2"/>
      <c r="S44" s="591"/>
      <c r="T44" s="591"/>
      <c r="U44" s="591"/>
      <c r="V44" s="591"/>
      <c r="W44" s="591"/>
      <c r="X44" s="591"/>
      <c r="Y44" s="591"/>
      <c r="Z44" s="591"/>
      <c r="AA44" s="591"/>
      <c r="AB44" s="591"/>
      <c r="AC44" s="591"/>
      <c r="AD44" s="591"/>
      <c r="AE44" s="591"/>
      <c r="AF44" s="591"/>
      <c r="AG44" s="591"/>
      <c r="AH44" s="591"/>
      <c r="AI44" s="591"/>
      <c r="AJ44" s="591"/>
      <c r="AK44" s="591"/>
      <c r="AL44" s="591"/>
      <c r="AM44" s="591"/>
      <c r="AN44" s="591"/>
      <c r="AO44" s="591"/>
      <c r="AP44" s="591"/>
      <c r="AQ44" s="591"/>
      <c r="AR44" s="591"/>
      <c r="AS44" s="591"/>
      <c r="AT44" s="591"/>
      <c r="AU44" s="591"/>
      <c r="AV44" s="591"/>
      <c r="AW44" s="591"/>
      <c r="AX44" s="591"/>
      <c r="AY44" s="591"/>
      <c r="AZ44" s="2"/>
      <c r="BA44" s="2"/>
      <c r="BB44" s="591"/>
    </row>
    <row r="45" spans="1:54" ht="22.5" customHeight="1" x14ac:dyDescent="0.2">
      <c r="A45" s="2"/>
      <c r="B45" s="2"/>
      <c r="C45" s="2081" t="str">
        <f>VLOOKUP(E156,C154:D155,2,FALSE)</f>
        <v>01/02 - 29/02</v>
      </c>
      <c r="D45" s="2081"/>
      <c r="E45" s="2082"/>
      <c r="F45" s="2082"/>
      <c r="G45" s="58" t="str">
        <f t="shared" si="32"/>
        <v/>
      </c>
      <c r="H45" s="58" t="str">
        <f t="shared" si="32"/>
        <v/>
      </c>
      <c r="I45" s="488" t="str">
        <f>I6</f>
        <v>DAL</v>
      </c>
      <c r="J45" s="489" t="str">
        <f>J6</f>
        <v>AL</v>
      </c>
      <c r="K45" s="58" t="str">
        <f t="shared" si="32"/>
        <v/>
      </c>
      <c r="L45" s="488" t="str">
        <f>L6</f>
        <v>DAL</v>
      </c>
      <c r="M45" s="489" t="str">
        <f>M6</f>
        <v>AL</v>
      </c>
      <c r="N45" s="58" t="str">
        <f>N5</f>
        <v/>
      </c>
      <c r="O45" s="488" t="str">
        <f>O6</f>
        <v>DAL</v>
      </c>
      <c r="P45" s="489" t="str">
        <f>P6</f>
        <v>AL</v>
      </c>
      <c r="Q45" s="12"/>
      <c r="R45" s="2"/>
      <c r="S45" s="591"/>
      <c r="T45" s="591"/>
      <c r="U45" s="591"/>
      <c r="V45" s="591"/>
      <c r="W45" s="591"/>
      <c r="X45" s="591"/>
      <c r="Y45" s="591"/>
      <c r="Z45" s="591"/>
      <c r="AA45" s="591"/>
      <c r="AB45" s="591"/>
      <c r="AC45" s="591"/>
      <c r="AD45" s="591"/>
      <c r="AE45" s="591"/>
      <c r="AF45" s="591"/>
      <c r="AG45" s="591"/>
      <c r="AH45" s="591"/>
      <c r="AI45" s="591"/>
      <c r="AJ45" s="591"/>
      <c r="AK45" s="591"/>
      <c r="AL45" s="591"/>
      <c r="AM45" s="591"/>
      <c r="AN45" s="591"/>
      <c r="AO45" s="591"/>
      <c r="AP45" s="591"/>
      <c r="AQ45" s="591"/>
      <c r="AR45" s="591"/>
      <c r="AS45" s="591"/>
      <c r="AT45" s="591"/>
      <c r="AU45" s="591"/>
      <c r="AV45" s="591"/>
      <c r="AW45" s="591"/>
      <c r="AX45" s="591"/>
      <c r="AY45" s="591"/>
      <c r="AZ45" s="2"/>
      <c r="BA45" s="2"/>
      <c r="BB45" s="591"/>
    </row>
    <row r="46" spans="1:54" ht="21.95" customHeight="1" x14ac:dyDescent="0.2">
      <c r="A46" s="2"/>
      <c r="B46" s="7"/>
      <c r="C46" s="2079" t="s">
        <v>193</v>
      </c>
      <c r="D46" s="2080"/>
      <c r="E46" s="2157">
        <f>IF(E150=1,SUM(E8:E38),SUM(G46:H46)+K46+N46-SUMIF(G42:N42,K134,G46:N46))</f>
        <v>0</v>
      </c>
      <c r="F46" s="2158"/>
      <c r="G46" s="881">
        <f>IF(ISERROR(G$155),0,SUM(G8:G38)-SUMIF($E8:$E38,$V4,G8:G38)+IF(ISERROR(VLOOKUP(G1,IMPOSTAZIONI!$B$401:$AM$407,$E$149,FALSE)),0,VLOOKUP(G1,IMPOSTAZIONI!$B$401:$AM$407,$E$149,FALSE)))</f>
        <v>0</v>
      </c>
      <c r="H46" s="882">
        <f>IF(ISERROR(H$155),0,SUM(H8:H38)-SUMIF($E8:$E38,$V4,H8:H38)+IF(ISERROR(VLOOKUP(H1,IMPOSTAZIONI!$B$401:$AM$407,$E$149,FALSE)),0,VLOOKUP(H1,IMPOSTAZIONI!$B$401:$AM$407,$E$149,FALSE)))</f>
        <v>0</v>
      </c>
      <c r="I46" s="884"/>
      <c r="J46" s="883"/>
      <c r="K46" s="297">
        <f>IF(ISERROR(I$155),0,SUM(K8:K38)-SUMIF($E8:$E38,$V4,K8:K38)+IF(ISERROR(VLOOKUP(K1,IMPOSTAZIONI!$B$401:$AM$407,$E$149,FALSE)),0,VLOOKUP(K1,IMPOSTAZIONI!$B$401:$AM$407,$E$149,FALSE)))</f>
        <v>0</v>
      </c>
      <c r="L46" s="884"/>
      <c r="M46" s="883"/>
      <c r="N46" s="297">
        <f>IF(ISERROR(J$155),0,SUM(N8:N38)-SUMIF($E8:$E38,$V4,N8:N38)+IF(ISERROR(VLOOKUP(N1,IMPOSTAZIONI!$B$401:$AM$407,$E$149,FALSE)),0,VLOOKUP(N1,IMPOSTAZIONI!$B$401:$AM$407,$E$149,FALSE)))</f>
        <v>0</v>
      </c>
      <c r="O46" s="885"/>
      <c r="P46" s="886"/>
      <c r="Q46" s="12"/>
      <c r="R46" s="2"/>
      <c r="S46" s="591"/>
      <c r="T46" s="591"/>
      <c r="U46" s="591"/>
      <c r="V46" s="591"/>
      <c r="W46" s="591"/>
      <c r="X46" s="591"/>
      <c r="Y46" s="591"/>
      <c r="Z46" s="591"/>
      <c r="AA46" s="591"/>
      <c r="AB46" s="591"/>
      <c r="AC46" s="591"/>
      <c r="AD46" s="591"/>
      <c r="AE46" s="591"/>
      <c r="AF46" s="591"/>
      <c r="AG46" s="591"/>
      <c r="AH46" s="591"/>
      <c r="AI46" s="591"/>
      <c r="AJ46" s="591"/>
      <c r="AK46" s="591"/>
      <c r="AL46" s="591"/>
      <c r="AM46" s="591"/>
      <c r="AN46" s="591"/>
      <c r="AO46" s="591"/>
      <c r="AP46" s="591"/>
      <c r="AQ46" s="591"/>
      <c r="AR46" s="591"/>
      <c r="AS46" s="591"/>
      <c r="AT46" s="591"/>
      <c r="AU46" s="591"/>
      <c r="AV46" s="591"/>
      <c r="AW46" s="591"/>
      <c r="AX46" s="591"/>
      <c r="AY46" s="591"/>
      <c r="AZ46" s="2"/>
      <c r="BA46" s="2"/>
      <c r="BB46" s="591"/>
    </row>
    <row r="47" spans="1:54" ht="16.5" customHeight="1" x14ac:dyDescent="0.2">
      <c r="A47" s="2"/>
      <c r="B47" s="7"/>
      <c r="C47" s="2179" t="s">
        <v>194</v>
      </c>
      <c r="D47" s="2180"/>
      <c r="E47" s="2177">
        <f>E46-E48</f>
        <v>0</v>
      </c>
      <c r="F47" s="2178"/>
      <c r="G47" s="238">
        <f>G46-G48</f>
        <v>0</v>
      </c>
      <c r="H47" s="652">
        <f>H46-H48</f>
        <v>0</v>
      </c>
      <c r="I47" s="2"/>
      <c r="J47" s="2"/>
      <c r="K47" s="654">
        <f>K46-K48</f>
        <v>0</v>
      </c>
      <c r="L47" s="2"/>
      <c r="M47" s="2"/>
      <c r="N47" s="654">
        <f>N46-N48</f>
        <v>0</v>
      </c>
      <c r="O47" s="2"/>
      <c r="P47" s="2"/>
      <c r="Q47" s="12"/>
      <c r="R47" s="2"/>
      <c r="S47" s="591"/>
      <c r="T47" s="591"/>
      <c r="U47" s="591"/>
      <c r="V47" s="591"/>
      <c r="W47" s="591"/>
      <c r="X47" s="591"/>
      <c r="Y47" s="591"/>
      <c r="Z47" s="591"/>
      <c r="AA47" s="591"/>
      <c r="AB47" s="591"/>
      <c r="AC47" s="591"/>
      <c r="AD47" s="591"/>
      <c r="AE47" s="591"/>
      <c r="AF47" s="591"/>
      <c r="AG47" s="591"/>
      <c r="AH47" s="591"/>
      <c r="AI47" s="591"/>
      <c r="AJ47" s="591"/>
      <c r="AK47" s="591"/>
      <c r="AL47" s="591"/>
      <c r="AM47" s="591"/>
      <c r="AN47" s="591"/>
      <c r="AO47" s="591"/>
      <c r="AP47" s="591"/>
      <c r="AQ47" s="591"/>
      <c r="AR47" s="591"/>
      <c r="AS47" s="591"/>
      <c r="AT47" s="591"/>
      <c r="AU47" s="591"/>
      <c r="AV47" s="591"/>
      <c r="AW47" s="591"/>
      <c r="AX47" s="591"/>
      <c r="AY47" s="591"/>
      <c r="AZ47" s="2"/>
      <c r="BA47" s="2"/>
      <c r="BB47" s="591"/>
    </row>
    <row r="48" spans="1:54" ht="16.5" customHeight="1" x14ac:dyDescent="0.2">
      <c r="A48" s="2"/>
      <c r="B48" s="7"/>
      <c r="C48" s="2070" t="s">
        <v>195</v>
      </c>
      <c r="D48" s="2071"/>
      <c r="E48" s="2181">
        <f>IF(I163=0,0,SUM(G48:H48)+K48+N48-SUMIF(G42:N42,K134,G48:N48))</f>
        <v>0</v>
      </c>
      <c r="F48" s="2182"/>
      <c r="G48" s="239">
        <f>IF(AND(C61=1,G63&lt;&gt;0),G87,IF(G152=0,SUM(R8:R38)-SUMIF($E8:$E38,$V4,R8:R38)+VLOOKUP(G1,IMPOSTAZIONI!$B$419:$AK$425,$E$149,FALSE),G98))</f>
        <v>0</v>
      </c>
      <c r="H48" s="653">
        <f>IF(AND(C61=1,H63&lt;&gt;0),H87,IF(H152=0,SUM(S8:S38)-SUMIF($E8:$E38,$V4,S8:S38)+VLOOKUP(H1,IMPOSTAZIONI!$B$419:$AK$425,$E$149,FALSE),H98))</f>
        <v>0</v>
      </c>
      <c r="I48" s="59"/>
      <c r="J48" s="139"/>
      <c r="K48" s="655">
        <f>IF(AND(C61=1,K63&lt;&gt;0),I87,IF(I152=0,SUM(T8:T38)-SUMIF($E8:$E38,$V4,T8:T38)+VLOOKUP(K1,IMPOSTAZIONI!$B$419:$AK$425,$E$149,FALSE),K98))</f>
        <v>0</v>
      </c>
      <c r="L48" s="59"/>
      <c r="M48" s="139"/>
      <c r="N48" s="655">
        <f>IF(AND(C61=1,N63&lt;&gt;0),K87,IF(J152=0,SUM(U8:U38)-SUMIF($E8:$E38,$V4,U8:U38)+VLOOKUP(N1,IMPOSTAZIONI!$B$419:$AK$425,$E$149,FALSE),N98))</f>
        <v>0</v>
      </c>
      <c r="O48" s="2"/>
      <c r="P48" s="2"/>
      <c r="Q48" s="13"/>
      <c r="R48" s="2"/>
      <c r="S48" s="591"/>
      <c r="T48" s="591"/>
      <c r="U48" s="591"/>
      <c r="V48" s="591"/>
      <c r="W48" s="591"/>
      <c r="X48" s="591"/>
      <c r="Y48" s="591"/>
      <c r="Z48" s="591"/>
      <c r="AA48" s="591"/>
      <c r="AB48" s="591"/>
      <c r="AC48" s="591"/>
      <c r="AD48" s="591"/>
      <c r="AE48" s="591"/>
      <c r="AF48" s="591"/>
      <c r="AG48" s="591"/>
      <c r="AH48" s="591"/>
      <c r="AI48" s="591"/>
      <c r="AJ48" s="591"/>
      <c r="AK48" s="591"/>
      <c r="AL48" s="591"/>
      <c r="AM48" s="591"/>
      <c r="AN48" s="591"/>
      <c r="AO48" s="591"/>
      <c r="AP48" s="591"/>
      <c r="AQ48" s="591"/>
      <c r="AR48" s="591"/>
      <c r="AS48" s="591"/>
      <c r="AT48" s="591"/>
      <c r="AU48" s="591"/>
      <c r="AV48" s="591"/>
      <c r="AW48" s="591"/>
      <c r="AX48" s="591"/>
      <c r="AY48" s="591"/>
      <c r="AZ48" s="2"/>
      <c r="BA48" s="2"/>
      <c r="BB48" s="591"/>
    </row>
    <row r="49" spans="1:54" ht="37.5" customHeight="1" x14ac:dyDescent="0.2">
      <c r="A49" s="2"/>
      <c r="B49" s="2"/>
      <c r="C49" s="14"/>
      <c r="D49" s="14"/>
      <c r="E49" s="12"/>
      <c r="F49" s="12"/>
      <c r="G49" s="11"/>
      <c r="H49" s="11"/>
      <c r="I49" s="12"/>
      <c r="J49" s="12"/>
      <c r="K49" s="11"/>
      <c r="L49" s="12"/>
      <c r="M49" s="12"/>
      <c r="N49" s="11"/>
      <c r="O49" s="12"/>
      <c r="P49" s="12"/>
      <c r="Q49" s="12"/>
      <c r="R49" s="12"/>
      <c r="S49" s="1308"/>
      <c r="T49" s="1308"/>
      <c r="U49" s="591"/>
      <c r="V49" s="591"/>
      <c r="W49" s="591"/>
      <c r="X49" s="591"/>
      <c r="Y49" s="591"/>
      <c r="Z49" s="591"/>
      <c r="AA49" s="591"/>
      <c r="AB49" s="591"/>
      <c r="AC49" s="591"/>
      <c r="AD49" s="591"/>
      <c r="AE49" s="591"/>
      <c r="AF49" s="591"/>
      <c r="AG49" s="591"/>
      <c r="AH49" s="591"/>
      <c r="AI49" s="591"/>
      <c r="AJ49" s="591"/>
      <c r="AK49" s="591"/>
      <c r="AL49" s="591"/>
      <c r="AM49" s="591"/>
      <c r="AN49" s="591"/>
      <c r="AO49" s="591"/>
      <c r="AP49" s="591"/>
      <c r="AQ49" s="591"/>
      <c r="AR49" s="591"/>
      <c r="AS49" s="591"/>
      <c r="AT49" s="591"/>
      <c r="AU49" s="591"/>
      <c r="AV49" s="591"/>
      <c r="AW49" s="591"/>
      <c r="AX49" s="591"/>
      <c r="AY49" s="591"/>
      <c r="AZ49" s="2"/>
      <c r="BA49" s="2"/>
      <c r="BB49" s="591"/>
    </row>
    <row r="50" spans="1:54" ht="18.75" customHeight="1" x14ac:dyDescent="0.2">
      <c r="A50" s="2"/>
      <c r="B50" s="2"/>
      <c r="C50" s="2174" t="s">
        <v>196</v>
      </c>
      <c r="D50" s="2174"/>
      <c r="E50" s="2174"/>
      <c r="F50" s="96"/>
      <c r="G50" s="2225" t="s">
        <v>488</v>
      </c>
      <c r="H50" s="2226"/>
      <c r="I50" s="2226"/>
      <c r="J50" s="2226"/>
      <c r="K50" s="2226"/>
      <c r="L50" s="2226"/>
      <c r="M50" s="2227"/>
      <c r="N50" s="656"/>
      <c r="O50" s="656"/>
      <c r="P50" s="14"/>
      <c r="Q50" s="2"/>
      <c r="R50" s="15"/>
      <c r="S50" s="1309"/>
      <c r="T50" s="591"/>
      <c r="U50" s="591"/>
      <c r="V50" s="591"/>
      <c r="W50" s="591"/>
      <c r="X50" s="591"/>
      <c r="Y50" s="591"/>
      <c r="Z50" s="1308"/>
      <c r="AA50" s="1309"/>
      <c r="AB50" s="591"/>
      <c r="AC50" s="591"/>
      <c r="AD50" s="591"/>
      <c r="AE50" s="591"/>
      <c r="AF50" s="591"/>
      <c r="AG50" s="591"/>
      <c r="AH50" s="591"/>
      <c r="AI50" s="591"/>
      <c r="AJ50" s="591"/>
      <c r="AK50" s="591"/>
      <c r="AL50" s="591"/>
      <c r="AM50" s="591"/>
      <c r="AN50" s="591"/>
      <c r="AO50" s="591"/>
      <c r="AP50" s="591"/>
      <c r="AQ50" s="591"/>
      <c r="AR50" s="591"/>
      <c r="AS50" s="591"/>
      <c r="AT50" s="591"/>
      <c r="AU50" s="591"/>
      <c r="AV50" s="591"/>
      <c r="AW50" s="591"/>
      <c r="AX50" s="591"/>
      <c r="AY50" s="591"/>
      <c r="AZ50" s="2"/>
      <c r="BA50" s="2"/>
      <c r="BB50" s="591"/>
    </row>
    <row r="51" spans="1:54" ht="16.5" customHeight="1" x14ac:dyDescent="0.25">
      <c r="A51" s="2"/>
      <c r="B51" s="2"/>
      <c r="C51" s="2126" t="s">
        <v>197</v>
      </c>
      <c r="D51" s="2127"/>
      <c r="E51" s="2128"/>
      <c r="F51" s="554"/>
      <c r="G51" s="293" t="str">
        <f>VLOOKUP(M3,K144:M148,3,FALSE)</f>
        <v>IVA a debito</v>
      </c>
      <c r="H51" s="294" t="str">
        <f>VLOOKUP(M3,K144:O148,5,FALSE)</f>
        <v>IVA a credito</v>
      </c>
      <c r="I51" s="2214" t="s">
        <v>200</v>
      </c>
      <c r="J51" s="2215"/>
      <c r="K51" s="1303" t="s">
        <v>201</v>
      </c>
      <c r="L51" s="2214" t="s">
        <v>71</v>
      </c>
      <c r="M51" s="2215"/>
      <c r="N51" s="14"/>
      <c r="O51" s="14"/>
      <c r="P51" s="14"/>
      <c r="Q51" s="12"/>
      <c r="R51" s="2"/>
      <c r="S51" s="591"/>
      <c r="T51" s="591"/>
      <c r="U51" s="591"/>
      <c r="V51" s="591"/>
      <c r="W51" s="591"/>
      <c r="X51" s="591"/>
      <c r="Y51" s="591"/>
      <c r="Z51" s="591"/>
      <c r="AA51" s="591"/>
      <c r="AB51" s="591"/>
      <c r="AC51" s="591"/>
      <c r="AD51" s="591"/>
      <c r="AE51" s="591"/>
      <c r="AF51" s="591"/>
      <c r="AG51" s="591"/>
      <c r="AH51" s="591"/>
      <c r="AI51" s="591"/>
      <c r="AJ51" s="591"/>
      <c r="AK51" s="591"/>
      <c r="AL51" s="591"/>
      <c r="AM51" s="591"/>
      <c r="AN51" s="591"/>
      <c r="AO51" s="591"/>
      <c r="AP51" s="591"/>
      <c r="AQ51" s="591"/>
      <c r="AR51" s="591"/>
      <c r="AS51" s="591"/>
      <c r="AT51" s="591"/>
      <c r="AU51" s="591"/>
      <c r="AV51" s="591"/>
      <c r="AW51" s="591"/>
      <c r="AX51" s="591"/>
      <c r="AY51" s="591"/>
      <c r="AZ51" s="2"/>
      <c r="BA51" s="2"/>
      <c r="BB51" s="591"/>
    </row>
    <row r="52" spans="1:54" ht="16.5" customHeight="1" x14ac:dyDescent="0.2">
      <c r="A52" s="2"/>
      <c r="B52" s="2"/>
      <c r="C52" s="2129"/>
      <c r="D52" s="2130"/>
      <c r="E52" s="2131"/>
      <c r="F52" s="576"/>
      <c r="G52" s="295" t="str">
        <f>VLOOKUP(M3,K144:N148,4,FALSE)</f>
        <v>corrispettivi</v>
      </c>
      <c r="H52" s="296" t="str">
        <f>VLOOKUP(M3,K144:P148,6,FALSE)</f>
        <v>ACQUISTI</v>
      </c>
      <c r="I52" s="2212" t="s">
        <v>201</v>
      </c>
      <c r="J52" s="2213"/>
      <c r="K52" s="1304" t="s">
        <v>204</v>
      </c>
      <c r="L52" s="2212" t="s">
        <v>205</v>
      </c>
      <c r="M52" s="2213"/>
      <c r="N52" s="14"/>
      <c r="O52" s="14"/>
      <c r="P52" s="14"/>
      <c r="Q52" s="12"/>
      <c r="R52" s="2"/>
      <c r="S52" s="591"/>
      <c r="T52" s="591"/>
      <c r="U52" s="591"/>
      <c r="V52" s="591"/>
      <c r="W52" s="591"/>
      <c r="X52" s="591"/>
      <c r="Y52" s="591"/>
      <c r="Z52" s="591"/>
      <c r="AA52" s="591"/>
      <c r="AB52" s="591"/>
      <c r="AC52" s="591"/>
      <c r="AD52" s="591"/>
      <c r="AE52" s="591"/>
      <c r="AF52" s="591"/>
      <c r="AG52" s="591"/>
      <c r="AH52" s="591"/>
      <c r="AI52" s="591"/>
      <c r="AJ52" s="591"/>
      <c r="AK52" s="591"/>
      <c r="AL52" s="591"/>
      <c r="AM52" s="591"/>
      <c r="AN52" s="591"/>
      <c r="AO52" s="591"/>
      <c r="AP52" s="591"/>
      <c r="AQ52" s="591"/>
      <c r="AR52" s="591"/>
      <c r="AS52" s="591"/>
      <c r="AT52" s="591"/>
      <c r="AU52" s="591"/>
      <c r="AV52" s="591"/>
      <c r="AW52" s="591"/>
      <c r="AX52" s="591"/>
      <c r="AY52" s="591"/>
      <c r="AZ52" s="2"/>
      <c r="BA52" s="2"/>
      <c r="BB52" s="591"/>
    </row>
    <row r="53" spans="1:54" ht="16.5" customHeight="1" x14ac:dyDescent="0.2">
      <c r="A53" s="2"/>
      <c r="B53" s="2"/>
      <c r="C53" s="2132" t="s">
        <v>816</v>
      </c>
      <c r="D53" s="2133"/>
      <c r="E53" s="2134"/>
      <c r="F53" s="554"/>
      <c r="G53" s="2045">
        <f>E48</f>
        <v>0</v>
      </c>
      <c r="H53" s="2047"/>
      <c r="I53" s="2066">
        <f>G53+H53</f>
        <v>0</v>
      </c>
      <c r="J53" s="2067"/>
      <c r="K53" s="2183"/>
      <c r="L53" s="2066">
        <f>I53+K53</f>
        <v>0</v>
      </c>
      <c r="M53" s="2067"/>
      <c r="N53" s="14"/>
      <c r="O53" s="14"/>
      <c r="P53" s="14"/>
      <c r="Q53" s="12"/>
      <c r="R53" s="2"/>
      <c r="S53" s="591"/>
      <c r="T53" s="591"/>
      <c r="U53" s="591"/>
      <c r="V53" s="591"/>
      <c r="W53" s="591"/>
      <c r="X53" s="591"/>
      <c r="Y53" s="591"/>
      <c r="Z53" s="591"/>
      <c r="AA53" s="591"/>
      <c r="AB53" s="591"/>
      <c r="AC53" s="591"/>
      <c r="AD53" s="591"/>
      <c r="AE53" s="591"/>
      <c r="AF53" s="591"/>
      <c r="AG53" s="591"/>
      <c r="AH53" s="591"/>
      <c r="AI53" s="591"/>
      <c r="AJ53" s="591"/>
      <c r="AK53" s="591"/>
      <c r="AL53" s="591"/>
      <c r="AM53" s="591"/>
      <c r="AN53" s="591"/>
      <c r="AO53" s="591"/>
      <c r="AP53" s="591"/>
      <c r="AQ53" s="591"/>
      <c r="AR53" s="591"/>
      <c r="AS53" s="591"/>
      <c r="AT53" s="591"/>
      <c r="AU53" s="591"/>
      <c r="AV53" s="591"/>
      <c r="AW53" s="591"/>
      <c r="AX53" s="591"/>
      <c r="AY53" s="591"/>
      <c r="AZ53" s="2"/>
      <c r="BA53" s="2"/>
      <c r="BB53" s="591"/>
    </row>
    <row r="54" spans="1:54" ht="16.5" customHeight="1" x14ac:dyDescent="0.2">
      <c r="A54" s="2"/>
      <c r="B54" s="2"/>
      <c r="C54" s="2042"/>
      <c r="D54" s="2043"/>
      <c r="E54" s="2044"/>
      <c r="F54" s="577"/>
      <c r="G54" s="2046"/>
      <c r="H54" s="2048"/>
      <c r="I54" s="2068"/>
      <c r="J54" s="2069"/>
      <c r="K54" s="2184"/>
      <c r="L54" s="2068"/>
      <c r="M54" s="2069"/>
      <c r="N54" s="14"/>
      <c r="O54" s="14"/>
      <c r="P54" s="14"/>
      <c r="Q54" s="12"/>
      <c r="R54" s="2"/>
      <c r="S54" s="591"/>
      <c r="T54" s="591"/>
      <c r="U54" s="591"/>
      <c r="V54" s="591"/>
      <c r="W54" s="591"/>
      <c r="X54" s="591"/>
      <c r="Y54" s="591"/>
      <c r="Z54" s="591"/>
      <c r="AA54" s="591"/>
      <c r="AB54" s="591"/>
      <c r="AC54" s="591"/>
      <c r="AD54" s="591"/>
      <c r="AE54" s="591"/>
      <c r="AF54" s="591"/>
      <c r="AG54" s="591"/>
      <c r="AH54" s="591"/>
      <c r="AI54" s="591"/>
      <c r="AJ54" s="591"/>
      <c r="AK54" s="591"/>
      <c r="AL54" s="591"/>
      <c r="AM54" s="591"/>
      <c r="AN54" s="591"/>
      <c r="AO54" s="591"/>
      <c r="AP54" s="591"/>
      <c r="AQ54" s="591"/>
      <c r="AR54" s="591"/>
      <c r="AS54" s="591"/>
      <c r="AT54" s="591"/>
      <c r="AU54" s="591"/>
      <c r="AV54" s="591"/>
      <c r="AW54" s="591"/>
      <c r="AX54" s="591"/>
      <c r="AY54" s="591"/>
      <c r="AZ54" s="2"/>
      <c r="BA54" s="2"/>
      <c r="BB54" s="591"/>
    </row>
    <row r="55" spans="1:54" ht="16.5" customHeight="1" x14ac:dyDescent="0.2">
      <c r="A55" s="2"/>
      <c r="B55" s="2"/>
      <c r="C55" s="2132" t="s">
        <v>815</v>
      </c>
      <c r="D55" s="2133"/>
      <c r="E55" s="2134"/>
      <c r="F55" s="555"/>
      <c r="G55" s="16" t="s">
        <v>206</v>
      </c>
      <c r="H55" s="890" t="s">
        <v>207</v>
      </c>
      <c r="I55" s="2120" t="str">
        <f>VLOOKUP(M3,K144:Q148,7,FALSE)</f>
        <v>DEBITO +</v>
      </c>
      <c r="J55" s="2121"/>
      <c r="K55" s="891" t="s">
        <v>208</v>
      </c>
      <c r="L55" s="2120" t="str">
        <f>VLOOKUP(M3,K144:T148,9,FALSE)</f>
        <v>DEBITO +</v>
      </c>
      <c r="M55" s="2121"/>
      <c r="N55" s="14"/>
      <c r="O55" s="14"/>
      <c r="P55" s="12"/>
      <c r="Q55" s="2"/>
      <c r="R55" s="2"/>
      <c r="S55" s="591"/>
      <c r="T55" s="591"/>
      <c r="U55" s="591"/>
      <c r="V55" s="591"/>
      <c r="W55" s="591"/>
      <c r="X55" s="591"/>
      <c r="Y55" s="591"/>
      <c r="Z55" s="591"/>
      <c r="AA55" s="591"/>
      <c r="AB55" s="591"/>
      <c r="AC55" s="591"/>
      <c r="AD55" s="591"/>
      <c r="AE55" s="591"/>
      <c r="AF55" s="591"/>
      <c r="AG55" s="591"/>
      <c r="AH55" s="591"/>
      <c r="AI55" s="591"/>
      <c r="AJ55" s="591"/>
      <c r="AK55" s="591"/>
      <c r="AL55" s="591"/>
      <c r="AM55" s="591"/>
      <c r="AN55" s="591"/>
      <c r="AO55" s="591"/>
      <c r="AP55" s="591"/>
      <c r="AQ55" s="591"/>
      <c r="AR55" s="591"/>
      <c r="AS55" s="591"/>
      <c r="AT55" s="591"/>
      <c r="AU55" s="591"/>
      <c r="AV55" s="591"/>
      <c r="AW55" s="591"/>
      <c r="AX55" s="591"/>
      <c r="AY55" s="591"/>
      <c r="AZ55" s="2"/>
      <c r="BA55" s="2"/>
      <c r="BB55" s="591"/>
    </row>
    <row r="56" spans="1:54" ht="16.5" customHeight="1" x14ac:dyDescent="0.2">
      <c r="A56" s="2"/>
      <c r="B56" s="2"/>
      <c r="C56" s="2138"/>
      <c r="D56" s="2139"/>
      <c r="E56" s="1215"/>
      <c r="F56" s="514"/>
      <c r="G56" s="97"/>
      <c r="H56" s="14"/>
      <c r="I56" s="2123" t="str">
        <f>VLOOKUP(M3,K144:R148,8,FALSE)</f>
        <v>CREDITO -</v>
      </c>
      <c r="J56" s="2124"/>
      <c r="K56" s="14"/>
      <c r="L56" s="2123" t="str">
        <f>VLOOKUP(M3,K144:T148,10,FALSE)</f>
        <v>CREDITO -</v>
      </c>
      <c r="M56" s="2124"/>
      <c r="N56" s="14"/>
      <c r="O56" s="2122"/>
      <c r="P56" s="2122"/>
      <c r="Q56" s="14"/>
      <c r="R56" s="2"/>
      <c r="S56" s="591"/>
      <c r="T56" s="591"/>
      <c r="U56" s="591"/>
      <c r="V56" s="591"/>
      <c r="W56" s="591"/>
      <c r="X56" s="591"/>
      <c r="Y56" s="591"/>
      <c r="Z56" s="591"/>
      <c r="AA56" s="591"/>
      <c r="AB56" s="591"/>
      <c r="AC56" s="591"/>
      <c r="AD56" s="591"/>
      <c r="AE56" s="591"/>
      <c r="AF56" s="591"/>
      <c r="AG56" s="591"/>
      <c r="AH56" s="591"/>
      <c r="AI56" s="591"/>
      <c r="AJ56" s="591"/>
      <c r="AK56" s="591"/>
      <c r="AL56" s="591"/>
      <c r="AM56" s="591"/>
      <c r="AN56" s="591"/>
      <c r="AO56" s="591"/>
      <c r="AP56" s="591"/>
      <c r="AQ56" s="591"/>
      <c r="AR56" s="591"/>
      <c r="AS56" s="591"/>
      <c r="AT56" s="591"/>
      <c r="AU56" s="591"/>
      <c r="AV56" s="591"/>
      <c r="AW56" s="591"/>
      <c r="AX56" s="591"/>
      <c r="AY56" s="591"/>
      <c r="AZ56" s="2"/>
      <c r="BA56" s="2"/>
      <c r="BB56" s="591"/>
    </row>
    <row r="57" spans="1:54" ht="30" customHeight="1" x14ac:dyDescent="0.2">
      <c r="A57" s="2"/>
      <c r="B57" s="17"/>
      <c r="C57" s="2144" t="s">
        <v>346</v>
      </c>
      <c r="D57" s="2144"/>
      <c r="E57" s="2145"/>
      <c r="F57" s="2145"/>
      <c r="G57" s="892" t="s">
        <v>347</v>
      </c>
      <c r="H57" s="892"/>
      <c r="I57" s="892"/>
      <c r="J57" s="892"/>
      <c r="K57" s="892"/>
      <c r="L57" s="892"/>
      <c r="M57" s="892"/>
      <c r="N57" s="892"/>
      <c r="O57" s="2211" t="s">
        <v>405</v>
      </c>
      <c r="P57" s="2211"/>
      <c r="Q57" s="255"/>
      <c r="R57" s="255"/>
      <c r="S57" s="1307"/>
      <c r="T57" s="1307"/>
      <c r="U57" s="591"/>
      <c r="V57" s="591"/>
      <c r="W57" s="591"/>
      <c r="X57" s="591"/>
      <c r="Y57" s="591"/>
      <c r="Z57" s="591"/>
      <c r="AA57" s="1307"/>
      <c r="AB57" s="1307"/>
      <c r="AC57" s="591"/>
      <c r="AD57" s="591"/>
      <c r="AE57" s="591"/>
      <c r="AF57" s="591"/>
      <c r="AG57" s="591"/>
      <c r="AH57" s="591"/>
      <c r="AI57" s="591"/>
      <c r="AJ57" s="591"/>
      <c r="AK57" s="591"/>
      <c r="AL57" s="591"/>
      <c r="AM57" s="591"/>
      <c r="AN57" s="591"/>
      <c r="AO57" s="591"/>
      <c r="AP57" s="591"/>
      <c r="AQ57" s="591"/>
      <c r="AR57" s="591"/>
      <c r="AS57" s="591"/>
      <c r="AT57" s="591"/>
      <c r="AU57" s="591"/>
      <c r="AV57" s="591"/>
      <c r="AW57" s="591"/>
      <c r="AX57" s="591"/>
      <c r="AY57" s="591"/>
      <c r="AZ57" s="2"/>
      <c r="BA57" s="2"/>
      <c r="BB57" s="591"/>
    </row>
    <row r="58" spans="1:54" ht="24.75" customHeight="1" x14ac:dyDescent="0.2">
      <c r="A58" s="2"/>
      <c r="B58" s="2"/>
      <c r="C58" s="2143">
        <f>IMPOSTAZIONI!T73</f>
        <v>0</v>
      </c>
      <c r="D58" s="2143"/>
      <c r="E58" s="2143"/>
      <c r="F58" s="2143"/>
      <c r="G58" s="893" t="str">
        <f>IMPOSTAZIONI!Y75</f>
        <v>Indirizzo esteso UBICAZIONE dell' Esercizio (facoltativo)</v>
      </c>
      <c r="H58" s="893"/>
      <c r="I58" s="893"/>
      <c r="J58" s="893"/>
      <c r="K58" s="893"/>
      <c r="L58" s="893"/>
      <c r="M58" s="893"/>
      <c r="N58" s="893"/>
      <c r="O58" s="1113" t="s">
        <v>344</v>
      </c>
      <c r="P58" s="2119">
        <v>2</v>
      </c>
      <c r="Q58" s="2119"/>
      <c r="R58" s="14"/>
      <c r="S58" s="591"/>
      <c r="T58" s="591"/>
      <c r="U58" s="591"/>
      <c r="V58" s="591"/>
      <c r="W58" s="591"/>
      <c r="X58" s="591"/>
      <c r="Y58" s="591"/>
      <c r="Z58" s="591"/>
      <c r="AA58" s="591"/>
      <c r="AB58" s="591"/>
      <c r="AC58" s="591"/>
      <c r="AD58" s="591"/>
      <c r="AE58" s="591"/>
      <c r="AF58" s="591"/>
      <c r="AG58" s="591"/>
      <c r="AH58" s="591"/>
      <c r="AI58" s="591"/>
      <c r="AJ58" s="591"/>
      <c r="AK58" s="591"/>
      <c r="AL58" s="591"/>
      <c r="AM58" s="591"/>
      <c r="AN58" s="591"/>
      <c r="AO58" s="591"/>
      <c r="AP58" s="591"/>
      <c r="AQ58" s="591"/>
      <c r="AR58" s="591"/>
      <c r="AS58" s="591"/>
      <c r="AT58" s="591"/>
      <c r="AU58" s="591"/>
      <c r="AV58" s="591"/>
      <c r="AW58" s="591"/>
      <c r="AX58" s="591"/>
      <c r="AY58" s="591"/>
      <c r="AZ58" s="2"/>
      <c r="BA58" s="2"/>
      <c r="BB58" s="591"/>
    </row>
    <row r="59" spans="1:54" ht="15.75" customHeight="1" x14ac:dyDescent="0.2">
      <c r="A59" s="2"/>
      <c r="B59" s="2"/>
      <c r="C59" s="2146" t="s">
        <v>248</v>
      </c>
      <c r="D59" s="2146"/>
      <c r="E59" s="2146"/>
      <c r="F59" s="2"/>
      <c r="G59" s="2"/>
      <c r="H59" s="2"/>
      <c r="I59" s="2"/>
      <c r="J59" s="2"/>
      <c r="K59" s="2"/>
      <c r="L59" s="2"/>
      <c r="M59" s="2"/>
      <c r="N59" s="2"/>
      <c r="O59" s="2"/>
      <c r="P59" s="2"/>
      <c r="Q59" s="2"/>
      <c r="R59" s="2"/>
      <c r="S59" s="591"/>
      <c r="T59" s="591"/>
      <c r="U59" s="591"/>
      <c r="V59" s="591"/>
      <c r="W59" s="591"/>
      <c r="X59" s="591"/>
      <c r="Y59" s="591"/>
      <c r="Z59" s="591"/>
      <c r="AA59" s="591"/>
      <c r="AB59" s="591"/>
      <c r="AC59" s="591"/>
      <c r="AD59" s="591"/>
      <c r="AE59" s="591"/>
      <c r="AF59" s="591"/>
      <c r="AG59" s="591"/>
      <c r="AH59" s="591"/>
      <c r="AI59" s="591"/>
      <c r="AJ59" s="591"/>
      <c r="AK59" s="591"/>
      <c r="AL59" s="591"/>
      <c r="AM59" s="591"/>
      <c r="AN59" s="591"/>
      <c r="AO59" s="591"/>
      <c r="AP59" s="591"/>
      <c r="AQ59" s="591"/>
      <c r="AR59" s="591"/>
      <c r="AS59" s="591"/>
      <c r="AT59" s="591"/>
      <c r="AU59" s="591"/>
      <c r="AV59" s="591"/>
      <c r="AW59" s="591"/>
      <c r="AX59" s="591"/>
      <c r="AY59" s="591"/>
      <c r="AZ59" s="591"/>
      <c r="BA59" s="591"/>
      <c r="BB59" s="591"/>
    </row>
    <row r="60" spans="1:54" ht="15" hidden="1" customHeight="1" x14ac:dyDescent="0.2">
      <c r="A60" s="2"/>
      <c r="B60" s="2"/>
      <c r="C60" s="2"/>
      <c r="D60" s="2"/>
      <c r="E60" s="2"/>
      <c r="F60" s="2"/>
      <c r="G60" s="2"/>
      <c r="H60" s="2"/>
      <c r="I60" s="2"/>
      <c r="J60" s="2"/>
      <c r="K60" s="2"/>
      <c r="L60" s="2"/>
      <c r="M60" s="2"/>
      <c r="N60" s="2"/>
      <c r="O60" s="2"/>
      <c r="P60" s="1012" t="s">
        <v>765</v>
      </c>
      <c r="Q60" s="2"/>
      <c r="R60" s="2"/>
      <c r="S60" s="591"/>
      <c r="T60" s="591"/>
      <c r="U60" s="591"/>
      <c r="V60" s="591"/>
      <c r="W60" s="591"/>
      <c r="X60" s="591"/>
      <c r="Y60" s="591"/>
      <c r="Z60" s="591"/>
      <c r="AA60" s="591"/>
      <c r="AB60" s="591"/>
      <c r="AC60" s="591"/>
      <c r="AD60" s="591"/>
      <c r="AE60" s="591"/>
      <c r="AF60" s="591"/>
      <c r="AG60" s="591"/>
      <c r="AH60" s="591"/>
      <c r="AI60" s="591"/>
      <c r="AJ60" s="591"/>
      <c r="AK60" s="591"/>
      <c r="AL60" s="591"/>
      <c r="AM60" s="591"/>
      <c r="AN60" s="591"/>
      <c r="AO60" s="591"/>
      <c r="AP60" s="591"/>
      <c r="AQ60" s="591"/>
      <c r="AR60" s="591"/>
      <c r="AS60" s="591"/>
      <c r="AT60" s="591"/>
      <c r="AU60" s="591"/>
      <c r="AV60" s="591"/>
      <c r="AW60" s="591"/>
      <c r="AX60" s="591"/>
      <c r="AY60" s="591"/>
      <c r="AZ60" s="591"/>
      <c r="BA60" s="591"/>
      <c r="BB60" s="591"/>
    </row>
    <row r="61" spans="1:54" ht="16.5" hidden="1" customHeight="1" x14ac:dyDescent="0.2">
      <c r="A61" s="2"/>
      <c r="B61" s="2"/>
      <c r="C61" s="1369">
        <f>IF(M3=K147,0,IF(T65=0,0,IF(E8=CONCATENATE(L131,"  "),0,IF(COUNTIF(G62:N62,$L$134)&gt;0,1,0))))</f>
        <v>0</v>
      </c>
      <c r="D61" s="1369">
        <f>IMPOSTAZIONI!H35</f>
        <v>0</v>
      </c>
      <c r="E61" s="2"/>
      <c r="F61" s="2"/>
      <c r="G61" s="1010" t="str">
        <f>IMPOSTAZIONI!$I$19</f>
        <v>Colonna 1</v>
      </c>
      <c r="H61" s="1010" t="str">
        <f>IMPOSTAZIONI!$M$19</f>
        <v>Colonna 2</v>
      </c>
      <c r="I61" s="101"/>
      <c r="J61" s="101"/>
      <c r="K61" s="1010" t="str">
        <f>IMPOSTAZIONI!$U$19</f>
        <v>Colonna 3</v>
      </c>
      <c r="L61" s="101"/>
      <c r="M61" s="101"/>
      <c r="N61" s="1010" t="str">
        <f>IMPOSTAZIONI!$AC$19</f>
        <v>Colonna 4</v>
      </c>
      <c r="O61" s="2"/>
      <c r="P61" s="1013" t="s">
        <v>766</v>
      </c>
      <c r="Q61" s="2"/>
      <c r="R61" s="2"/>
      <c r="S61" s="591"/>
      <c r="T61" s="591"/>
      <c r="U61" s="591"/>
      <c r="V61" s="591"/>
      <c r="W61" s="591"/>
      <c r="X61" s="591"/>
      <c r="Y61" s="591"/>
      <c r="Z61" s="591"/>
      <c r="AA61" s="591"/>
      <c r="AB61" s="591"/>
      <c r="AC61" s="591"/>
      <c r="AD61" s="591"/>
      <c r="AE61" s="591"/>
      <c r="AF61" s="591"/>
      <c r="AG61" s="591"/>
      <c r="AH61" s="591"/>
      <c r="AI61" s="591"/>
      <c r="AJ61" s="591"/>
      <c r="AK61" s="591"/>
      <c r="AL61" s="591"/>
      <c r="AM61" s="591"/>
      <c r="AN61" s="591"/>
      <c r="AO61" s="591"/>
      <c r="AP61" s="591"/>
      <c r="AQ61" s="591"/>
      <c r="AR61" s="591"/>
      <c r="AS61" s="591"/>
      <c r="AT61" s="591"/>
      <c r="AU61" s="591"/>
      <c r="AV61" s="591"/>
      <c r="AW61" s="591"/>
      <c r="AX61" s="591"/>
      <c r="AY61" s="591"/>
      <c r="AZ61" s="591"/>
      <c r="BA61" s="591"/>
      <c r="BB61" s="591"/>
    </row>
    <row r="62" spans="1:54" ht="20.25" hidden="1" customHeight="1" x14ac:dyDescent="0.2">
      <c r="A62" s="2"/>
      <c r="B62" s="2"/>
      <c r="C62" s="2"/>
      <c r="D62" s="2"/>
      <c r="E62" s="2"/>
      <c r="F62" s="2"/>
      <c r="G62" s="1011" t="str">
        <f>IF(IMPOSTAZIONI!$I$35=0,$L$135,IMPOSTAZIONI!$I$35)</f>
        <v>SCORPORO</v>
      </c>
      <c r="H62" s="1011" t="str">
        <f>IF(IMPOSTAZIONI!$M$35=0,$L$135,IMPOSTAZIONI!$M$35)</f>
        <v>SCORPORO</v>
      </c>
      <c r="I62" s="101"/>
      <c r="J62" s="101"/>
      <c r="K62" s="1011" t="str">
        <f>IF(IMPOSTAZIONI!$U$35=0,$L$135,IMPOSTAZIONI!$U$35)</f>
        <v>SCORPORO</v>
      </c>
      <c r="L62" s="101"/>
      <c r="M62" s="101"/>
      <c r="N62" s="1011" t="str">
        <f>IF(IMPOSTAZIONI!$AC$35=0,$L$135,IMPOSTAZIONI!$AC$35)</f>
        <v>SCORPORO</v>
      </c>
      <c r="O62" s="2"/>
      <c r="P62" s="2"/>
      <c r="Q62" s="2"/>
      <c r="R62" s="2"/>
      <c r="S62" s="2"/>
      <c r="T62" s="2"/>
      <c r="U62" s="2"/>
      <c r="V62" s="2"/>
      <c r="W62" s="2"/>
      <c r="X62" s="2"/>
      <c r="Y62" s="2"/>
      <c r="Z62" s="2"/>
      <c r="AA62" s="2"/>
      <c r="AB62" s="591"/>
      <c r="AC62" s="591"/>
      <c r="AD62" s="591"/>
      <c r="AE62" s="591"/>
      <c r="AF62" s="591"/>
      <c r="AG62" s="591"/>
      <c r="AH62" s="591"/>
      <c r="AI62" s="591"/>
      <c r="AJ62" s="591"/>
      <c r="AK62" s="591"/>
      <c r="AL62" s="591"/>
      <c r="AM62" s="591"/>
      <c r="AN62" s="591"/>
      <c r="AO62" s="591"/>
      <c r="AP62" s="591"/>
      <c r="AQ62" s="591"/>
      <c r="AR62" s="591"/>
      <c r="AS62" s="591"/>
      <c r="AT62" s="591"/>
      <c r="AU62" s="591"/>
      <c r="AV62" s="591"/>
      <c r="AW62" s="591"/>
      <c r="AX62" s="591"/>
      <c r="AY62" s="591"/>
      <c r="AZ62" s="591"/>
      <c r="BA62" s="591"/>
      <c r="BB62" s="591"/>
    </row>
    <row r="63" spans="1:54" ht="20.25" hidden="1" customHeight="1" x14ac:dyDescent="0.2">
      <c r="A63" s="2"/>
      <c r="B63" s="2"/>
      <c r="C63" s="2"/>
      <c r="D63" s="2"/>
      <c r="E63" s="2"/>
      <c r="F63" s="966" t="s">
        <v>814</v>
      </c>
      <c r="G63" s="965">
        <f>IF(G62=$L134,ROUND(G46,2),0)</f>
        <v>0</v>
      </c>
      <c r="H63" s="964">
        <f>IF(H62=$L134,ROUND(H46,2),0)</f>
        <v>0</v>
      </c>
      <c r="I63" s="2"/>
      <c r="J63" s="2"/>
      <c r="K63" s="963">
        <f>IF(K62=$L134,ROUND(K46,2),0)</f>
        <v>0</v>
      </c>
      <c r="L63" s="2"/>
      <c r="M63" s="2"/>
      <c r="N63" s="963">
        <f>IF(N62=$L134,ROUND(N46,2),0)</f>
        <v>0</v>
      </c>
      <c r="O63" s="2"/>
      <c r="P63" s="2"/>
      <c r="Q63" s="2"/>
      <c r="R63" s="2"/>
      <c r="S63" s="2"/>
      <c r="T63" s="2"/>
      <c r="U63" s="2"/>
      <c r="V63" s="2"/>
      <c r="W63" s="2"/>
      <c r="X63" s="2"/>
      <c r="Y63" s="2"/>
      <c r="Z63" s="2"/>
      <c r="AA63" s="2"/>
      <c r="AB63" s="591"/>
      <c r="AC63" s="591"/>
      <c r="AD63" s="591"/>
      <c r="AE63" s="591"/>
      <c r="AF63" s="591"/>
      <c r="AG63" s="591"/>
      <c r="AH63" s="591"/>
      <c r="AI63" s="591"/>
      <c r="AJ63" s="591"/>
      <c r="AK63" s="591"/>
      <c r="AL63" s="591"/>
      <c r="AM63" s="591"/>
      <c r="AN63" s="591"/>
      <c r="AO63" s="591"/>
      <c r="AP63" s="591"/>
      <c r="AQ63" s="591"/>
      <c r="AR63" s="591"/>
      <c r="AS63" s="591"/>
      <c r="AT63" s="591"/>
      <c r="AU63" s="591"/>
      <c r="AV63" s="591"/>
      <c r="AW63" s="591"/>
      <c r="AX63" s="591"/>
      <c r="AY63" s="591"/>
      <c r="AZ63" s="591"/>
      <c r="BA63" s="591"/>
      <c r="BB63" s="591"/>
    </row>
    <row r="64" spans="1:54" ht="3.75" hidden="1"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591"/>
      <c r="AC64" s="591"/>
      <c r="AD64" s="591"/>
      <c r="AE64" s="591"/>
      <c r="AF64" s="591"/>
      <c r="AG64" s="591"/>
      <c r="AH64" s="591"/>
      <c r="AI64" s="591"/>
      <c r="AJ64" s="591"/>
      <c r="AK64" s="591"/>
      <c r="AL64" s="591"/>
      <c r="AM64" s="591"/>
      <c r="AN64" s="591"/>
      <c r="AO64" s="591"/>
      <c r="AP64" s="591"/>
      <c r="AQ64" s="591"/>
      <c r="AR64" s="591"/>
      <c r="AS64" s="591"/>
      <c r="AT64" s="591"/>
      <c r="AU64" s="591"/>
      <c r="AV64" s="591"/>
      <c r="AW64" s="591"/>
      <c r="AX64" s="591"/>
      <c r="AY64" s="591"/>
      <c r="AZ64" s="591"/>
      <c r="BA64" s="591"/>
      <c r="BB64" s="591"/>
    </row>
    <row r="65" spans="1:54" ht="20.25" hidden="1" customHeight="1" x14ac:dyDescent="0.2">
      <c r="A65" s="2"/>
      <c r="B65" s="2"/>
      <c r="C65" s="2"/>
      <c r="D65" s="2"/>
      <c r="E65" s="2"/>
      <c r="F65" s="966" t="s">
        <v>744</v>
      </c>
      <c r="G65" s="967">
        <f>G63+H63+K63+N63</f>
        <v>0</v>
      </c>
      <c r="H65" s="1114" t="str">
        <f>IF(M3=K147,"",CONCATENATE("VENTILAZIONE ",IMPOSTAZIONI!D35,IMPOSTAZIONI!B32))</f>
        <v xml:space="preserve">VENTILAZIONE </v>
      </c>
      <c r="I65" s="2"/>
      <c r="J65" s="2"/>
      <c r="K65" s="2"/>
      <c r="L65" s="2"/>
      <c r="M65" s="2"/>
      <c r="N65" s="2"/>
      <c r="O65" s="2"/>
      <c r="P65" s="2"/>
      <c r="Q65" s="2"/>
      <c r="R65" s="2"/>
      <c r="S65" s="1111" t="str">
        <f>IMPOSTAZIONI!H143</f>
        <v>MENSILE</v>
      </c>
      <c r="T65" s="2019">
        <f>IMPOSTAZIONI!D35</f>
        <v>0</v>
      </c>
      <c r="U65" s="1116" t="str">
        <f>$C182</f>
        <v>01/01 - 29/02</v>
      </c>
      <c r="V65" s="1081" t="s">
        <v>790</v>
      </c>
      <c r="W65" s="2"/>
      <c r="X65" s="2"/>
      <c r="Y65" s="1081" t="s">
        <v>792</v>
      </c>
      <c r="Z65" s="2"/>
      <c r="AA65" s="2"/>
      <c r="AB65" s="591"/>
      <c r="AC65" s="591"/>
      <c r="AD65" s="591"/>
      <c r="AE65" s="591"/>
      <c r="AF65" s="591"/>
      <c r="AG65" s="591"/>
      <c r="AH65" s="591"/>
      <c r="AI65" s="591"/>
      <c r="AJ65" s="591"/>
      <c r="AK65" s="591"/>
      <c r="AL65" s="591"/>
      <c r="AM65" s="591"/>
      <c r="AN65" s="591"/>
      <c r="AO65" s="591"/>
      <c r="AP65" s="591"/>
      <c r="AQ65" s="591"/>
      <c r="AR65" s="591"/>
      <c r="AS65" s="591"/>
      <c r="AT65" s="591"/>
      <c r="AU65" s="591"/>
      <c r="AV65" s="591"/>
      <c r="AW65" s="591"/>
      <c r="AX65" s="591"/>
      <c r="AY65" s="591"/>
      <c r="AZ65" s="591"/>
      <c r="BA65" s="591"/>
      <c r="BB65" s="591"/>
    </row>
    <row r="66" spans="1:54" ht="20.25" hidden="1" customHeight="1" x14ac:dyDescent="0.2">
      <c r="A66" s="2"/>
      <c r="B66" s="2"/>
      <c r="C66" s="2"/>
      <c r="D66" s="2"/>
      <c r="E66" s="2"/>
      <c r="F66" s="2"/>
      <c r="G66" s="2"/>
      <c r="H66" s="10"/>
      <c r="I66" s="10"/>
      <c r="J66" s="10"/>
      <c r="K66" s="10"/>
      <c r="L66" s="10"/>
      <c r="M66" s="10"/>
      <c r="N66" s="1008" t="s">
        <v>746</v>
      </c>
      <c r="O66" s="2"/>
      <c r="P66" s="2"/>
      <c r="Q66" s="2"/>
      <c r="R66" s="2"/>
      <c r="S66" s="1112" t="str">
        <f>IMPOSTAZIONI!H144</f>
        <v>TRIMESTRALE</v>
      </c>
      <c r="T66" s="2020"/>
      <c r="U66" s="806" t="str">
        <f>MAR!U65</f>
        <v>01/01 - 31/03</v>
      </c>
      <c r="V66" s="478" t="s">
        <v>791</v>
      </c>
      <c r="W66" s="2"/>
      <c r="X66" s="2"/>
      <c r="Y66" s="478" t="s">
        <v>793</v>
      </c>
      <c r="Z66" s="2"/>
      <c r="AA66" s="2"/>
      <c r="AB66" s="591"/>
      <c r="AC66" s="591"/>
      <c r="AD66" s="591"/>
      <c r="AE66" s="591"/>
      <c r="AF66" s="591"/>
      <c r="AG66" s="591"/>
      <c r="AH66" s="591"/>
      <c r="AI66" s="591"/>
      <c r="AJ66" s="591"/>
      <c r="AK66" s="591"/>
      <c r="AM66" s="591"/>
      <c r="AN66" s="591"/>
      <c r="AO66" s="591"/>
      <c r="AP66" s="591"/>
      <c r="AQ66" s="591"/>
      <c r="AS66" s="591"/>
      <c r="AT66" s="591"/>
      <c r="AU66" s="591"/>
      <c r="AV66" s="591"/>
      <c r="AW66" s="591"/>
      <c r="AY66" s="591"/>
    </row>
    <row r="67" spans="1:54" ht="24" hidden="1" customHeight="1" x14ac:dyDescent="0.2">
      <c r="A67" s="2"/>
      <c r="B67" s="2"/>
      <c r="C67" s="1183" t="s">
        <v>747</v>
      </c>
      <c r="D67" s="1165"/>
      <c r="E67" s="1165"/>
      <c r="F67" s="1165"/>
      <c r="G67" s="1197" t="e">
        <f>VLOOKUP(T65,S65:V66,4,FALSE)</f>
        <v>#N/A</v>
      </c>
      <c r="H67" s="1165"/>
      <c r="I67" s="2136" t="s">
        <v>748</v>
      </c>
      <c r="J67" s="2136"/>
      <c r="K67" s="1167"/>
      <c r="L67" s="14"/>
      <c r="M67" s="14"/>
      <c r="N67" s="1009" t="s">
        <v>749</v>
      </c>
      <c r="O67" s="2"/>
      <c r="P67" s="2"/>
      <c r="Q67" s="2"/>
      <c r="R67" s="2"/>
      <c r="S67" s="1129" t="e">
        <f>VLOOKUP(G67,V65:Y66,4,FALSE)</f>
        <v>#N/A</v>
      </c>
      <c r="T67" s="1115" t="str">
        <f>IF(T65=S66,U66,U65)</f>
        <v>01/01 - 29/02</v>
      </c>
      <c r="U67" s="2"/>
      <c r="V67" s="2"/>
      <c r="W67" s="2"/>
      <c r="X67" s="2"/>
      <c r="Y67" s="2"/>
      <c r="Z67" s="2"/>
      <c r="AA67" s="2"/>
      <c r="AB67" s="591"/>
      <c r="AC67" s="591"/>
      <c r="AD67" s="591"/>
      <c r="AE67" s="591"/>
      <c r="AF67" s="591"/>
      <c r="AG67" s="591"/>
      <c r="AH67" s="591"/>
      <c r="AI67" s="591"/>
      <c r="AJ67" s="591"/>
      <c r="AK67" s="591"/>
      <c r="AM67" s="591"/>
      <c r="AN67" s="591"/>
      <c r="AO67" s="591"/>
      <c r="AP67" s="591"/>
      <c r="AQ67" s="591"/>
      <c r="AS67" s="591"/>
      <c r="AT67" s="591"/>
      <c r="AU67" s="591"/>
      <c r="AV67" s="591"/>
      <c r="AW67" s="591"/>
      <c r="AY67" s="591"/>
    </row>
    <row r="68" spans="1:54" ht="20.25" hidden="1" customHeight="1" x14ac:dyDescent="0.2">
      <c r="A68" s="2"/>
      <c r="B68" s="2"/>
      <c r="C68" s="1169" t="s">
        <v>750</v>
      </c>
      <c r="D68" s="14"/>
      <c r="E68" s="14"/>
      <c r="F68" s="14"/>
      <c r="G68" s="1209" t="str">
        <f>C95</f>
        <v>01/02 - 29/02</v>
      </c>
      <c r="H68" s="971" t="s">
        <v>751</v>
      </c>
      <c r="I68" s="2137" t="str">
        <f>T67</f>
        <v>01/01 - 29/02</v>
      </c>
      <c r="J68" s="2137"/>
      <c r="K68" s="1208" t="s">
        <v>752</v>
      </c>
      <c r="L68" s="2022" t="s">
        <v>195</v>
      </c>
      <c r="M68" s="2022"/>
      <c r="N68" s="972" t="s">
        <v>353</v>
      </c>
      <c r="O68" s="2"/>
      <c r="P68" s="2"/>
      <c r="Q68" s="2"/>
      <c r="R68" s="2"/>
      <c r="S68" s="2"/>
      <c r="T68" s="2"/>
      <c r="U68" s="2"/>
      <c r="V68" s="2"/>
      <c r="W68" s="2"/>
      <c r="X68" s="2"/>
      <c r="Y68" s="2"/>
      <c r="Z68" s="2"/>
      <c r="AA68" s="2"/>
      <c r="AB68" s="591"/>
      <c r="AC68" s="591"/>
      <c r="AD68" s="591"/>
      <c r="AE68" s="591"/>
      <c r="AF68" s="591"/>
      <c r="AG68" s="591"/>
      <c r="AH68" s="591"/>
      <c r="AI68" s="591"/>
      <c r="AJ68" s="591"/>
      <c r="AK68" s="591"/>
      <c r="AM68" s="591"/>
      <c r="AN68" s="591"/>
      <c r="AO68" s="591"/>
      <c r="AP68" s="591"/>
      <c r="AQ68" s="591"/>
      <c r="AS68" s="591"/>
      <c r="AT68" s="591"/>
      <c r="AU68" s="591"/>
      <c r="AV68" s="591"/>
      <c r="AW68" s="591"/>
      <c r="AY68" s="591"/>
    </row>
    <row r="69" spans="1:54" ht="20.25" hidden="1" customHeight="1" x14ac:dyDescent="0.2">
      <c r="A69" s="2"/>
      <c r="B69" s="2"/>
      <c r="C69" s="1198" t="s">
        <v>753</v>
      </c>
      <c r="D69" s="14"/>
      <c r="E69" s="14"/>
      <c r="F69" s="14"/>
      <c r="G69" s="1015"/>
      <c r="H69" s="1202">
        <f>IF(AND(IMPOSTAZIONI!AF$147="",G69&lt;&gt;0),E$163,IMPOSTAZIONI!AF$147)</f>
        <v>22</v>
      </c>
      <c r="I69" s="2024">
        <f>IF($T$65=$S$66,Z69,G69+GEN!I69)</f>
        <v>0</v>
      </c>
      <c r="J69" s="2025"/>
      <c r="K69" s="1201">
        <f>IF(I73=0,0,K73-SUM(K70:K72))</f>
        <v>0</v>
      </c>
      <c r="L69" s="2023" t="str">
        <f>CONCATENATE("al ",H69," %")</f>
        <v>al 22 %</v>
      </c>
      <c r="M69" s="2023"/>
      <c r="N69" s="973">
        <f>IF(SUM(I69:J72)=0,0,ROUND(G65-SUM(N70:N72),2))</f>
        <v>0</v>
      </c>
      <c r="O69" s="2"/>
      <c r="P69" s="2"/>
      <c r="Q69" s="2"/>
      <c r="R69" s="2"/>
      <c r="S69" s="974">
        <f>IF(ISERROR(G77),0,G77)</f>
        <v>0</v>
      </c>
      <c r="T69" s="975">
        <f>IF(ISERROR(G78),0,G78)</f>
        <v>0</v>
      </c>
      <c r="U69" s="976">
        <f>IF(ISERROR(G79),0,G79)</f>
        <v>0</v>
      </c>
      <c r="V69" s="2"/>
      <c r="W69" s="1117">
        <f>GEN!$G69</f>
        <v>0</v>
      </c>
      <c r="X69" s="1118">
        <f>FEB!$G69</f>
        <v>0</v>
      </c>
      <c r="Y69" s="1119">
        <f>MAR!$G69</f>
        <v>0</v>
      </c>
      <c r="Z69" s="1120">
        <f>SUM(W69:Y69)</f>
        <v>0</v>
      </c>
      <c r="AA69" s="2"/>
      <c r="AB69" s="591"/>
      <c r="AC69" s="591"/>
      <c r="AD69" s="591"/>
      <c r="AE69" s="591"/>
      <c r="AF69" s="591"/>
      <c r="AG69" s="591"/>
      <c r="AH69" s="591"/>
      <c r="AI69" s="591"/>
      <c r="AJ69" s="591"/>
      <c r="AK69" s="591"/>
      <c r="AM69" s="591"/>
      <c r="AN69" s="591"/>
      <c r="AO69" s="591"/>
      <c r="AP69" s="591"/>
      <c r="AQ69" s="591"/>
      <c r="AS69" s="591"/>
      <c r="AT69" s="591"/>
      <c r="AU69" s="591"/>
      <c r="AV69" s="591"/>
      <c r="AW69" s="591"/>
      <c r="AY69" s="591"/>
    </row>
    <row r="70" spans="1:54" ht="20.25" hidden="1" customHeight="1" x14ac:dyDescent="0.25">
      <c r="A70" s="2"/>
      <c r="B70" s="2"/>
      <c r="C70" s="1199" t="s">
        <v>754</v>
      </c>
      <c r="D70" s="14"/>
      <c r="E70" s="14"/>
      <c r="F70" s="14"/>
      <c r="G70" s="1016"/>
      <c r="H70" s="1202">
        <f>IF(AND(IMPOSTAZIONI!AG$147="",G70&lt;&gt;0),E$163,IMPOSTAZIONI!AG$147)</f>
        <v>10</v>
      </c>
      <c r="I70" s="2026">
        <f>IF($T$65=$S$66,Z70,G70+GEN!I70)</f>
        <v>0</v>
      </c>
      <c r="J70" s="2027"/>
      <c r="K70" s="1201">
        <f>IF(I$73=0,0,ROUND(I70/I$73*100,2))</f>
        <v>0</v>
      </c>
      <c r="L70" s="2023" t="str">
        <f>CONCATENATE("al ",H70," %")</f>
        <v>al 10 %</v>
      </c>
      <c r="M70" s="2023"/>
      <c r="N70" s="977">
        <f>ROUND(G$65*K70/100,2)</f>
        <v>0</v>
      </c>
      <c r="O70" s="2"/>
      <c r="P70" s="2"/>
      <c r="Q70" s="2"/>
      <c r="R70" s="2"/>
      <c r="S70" s="978">
        <f>IF(ISERROR(H77),0,H77)</f>
        <v>0</v>
      </c>
      <c r="T70" s="968">
        <f>IF(ISERROR(H78),0,H78)</f>
        <v>0</v>
      </c>
      <c r="U70" s="979">
        <f>IF(ISERROR(H79),0,H79)</f>
        <v>0</v>
      </c>
      <c r="V70" s="2"/>
      <c r="W70" s="1121">
        <f>GEN!$G70</f>
        <v>0</v>
      </c>
      <c r="X70" s="1122">
        <f>FEB!$G70</f>
        <v>0</v>
      </c>
      <c r="Y70" s="1123">
        <f>MAR!$G70</f>
        <v>0</v>
      </c>
      <c r="Z70" s="1124">
        <f>SUM(W70:Y70)</f>
        <v>0</v>
      </c>
      <c r="AA70" s="2"/>
      <c r="AB70" s="591"/>
      <c r="AC70" s="591"/>
      <c r="AD70" s="591"/>
      <c r="AE70" s="591"/>
      <c r="AF70" s="591"/>
      <c r="AG70" s="591"/>
      <c r="AH70" s="591"/>
      <c r="AI70" s="591"/>
      <c r="AJ70" s="591"/>
      <c r="AK70" s="591"/>
      <c r="AM70" s="591"/>
      <c r="AN70" s="591"/>
      <c r="AO70" s="591"/>
      <c r="AP70" s="591"/>
      <c r="AQ70" s="591"/>
      <c r="AS70" s="591"/>
      <c r="AT70" s="591"/>
      <c r="AU70" s="591"/>
      <c r="AV70" s="591"/>
      <c r="AW70" s="591"/>
      <c r="AY70" s="591"/>
    </row>
    <row r="71" spans="1:54" ht="20.25" hidden="1" customHeight="1" x14ac:dyDescent="0.2">
      <c r="A71" s="2"/>
      <c r="B71" s="2"/>
      <c r="C71" s="1200" t="s">
        <v>755</v>
      </c>
      <c r="D71" s="14"/>
      <c r="E71" s="14"/>
      <c r="F71" s="14"/>
      <c r="G71" s="1016"/>
      <c r="H71" s="1202">
        <f>IF(AND(IMPOSTAZIONI!AH$147="",G71&lt;&gt;0),E$163,IMPOSTAZIONI!AH$147)</f>
        <v>4</v>
      </c>
      <c r="I71" s="2026">
        <f>IF($T$65=$S$66,Z71,G71+GEN!I71)</f>
        <v>0</v>
      </c>
      <c r="J71" s="2027"/>
      <c r="K71" s="1201">
        <f>IF(I$73=0,0,ROUND(I71/I$73*100,2))</f>
        <v>0</v>
      </c>
      <c r="L71" s="2023" t="str">
        <f>CONCATENATE("al ",H71," %")</f>
        <v>al 4 %</v>
      </c>
      <c r="M71" s="2023"/>
      <c r="N71" s="977">
        <f>ROUND(G$65*K71/100,2)</f>
        <v>0</v>
      </c>
      <c r="O71" s="2"/>
      <c r="P71" s="2"/>
      <c r="Q71" s="2"/>
      <c r="R71" s="2"/>
      <c r="S71" s="978">
        <f>IF(ISERROR(I77),0,I77)</f>
        <v>0</v>
      </c>
      <c r="T71" s="968">
        <f>IF(ISERROR(I78),0,I78)</f>
        <v>0</v>
      </c>
      <c r="U71" s="979">
        <f>IF(ISERROR(I79),0,I79)</f>
        <v>0</v>
      </c>
      <c r="V71" s="2"/>
      <c r="W71" s="1121">
        <f>GEN!$G71</f>
        <v>0</v>
      </c>
      <c r="X71" s="1122">
        <f>FEB!$G71</f>
        <v>0</v>
      </c>
      <c r="Y71" s="1123">
        <f>MAR!$G71</f>
        <v>0</v>
      </c>
      <c r="Z71" s="1124">
        <f>SUM(W71:Y71)</f>
        <v>0</v>
      </c>
      <c r="AA71" s="2"/>
      <c r="AB71" s="591"/>
      <c r="AC71" s="591"/>
      <c r="AD71" s="591"/>
      <c r="AE71" s="591"/>
      <c r="AF71" s="591"/>
      <c r="AG71" s="591"/>
      <c r="AH71" s="591"/>
      <c r="AI71" s="591"/>
      <c r="AJ71" s="591"/>
      <c r="AK71" s="591"/>
      <c r="AM71" s="591"/>
      <c r="AN71" s="591"/>
      <c r="AO71" s="591"/>
      <c r="AP71" s="591"/>
      <c r="AQ71" s="591"/>
      <c r="AS71" s="591"/>
      <c r="AT71" s="591"/>
      <c r="AU71" s="591"/>
      <c r="AV71" s="591"/>
      <c r="AW71" s="591"/>
      <c r="AY71" s="591"/>
    </row>
    <row r="72" spans="1:54" ht="20.25" hidden="1" customHeight="1" x14ac:dyDescent="0.2">
      <c r="A72" s="2"/>
      <c r="B72" s="2"/>
      <c r="C72" s="1171"/>
      <c r="D72" s="14"/>
      <c r="E72" s="14"/>
      <c r="F72" s="14"/>
      <c r="G72" s="1017"/>
      <c r="H72" s="1202" t="str">
        <f>IF(AND(IMPOSTAZIONI!AI$147="",G72&lt;&gt;0),E$163,IMPOSTAZIONI!AI$147)</f>
        <v/>
      </c>
      <c r="I72" s="2039">
        <f>IF($T$65=$S$66,Z72,G72+GEN!I72)</f>
        <v>0</v>
      </c>
      <c r="J72" s="2040"/>
      <c r="K72" s="1201">
        <f>IF(I$73=0,0,ROUND(I72/I$73*100,2))</f>
        <v>0</v>
      </c>
      <c r="L72" s="2023" t="str">
        <f>CONCATENATE("al ",H72," %")</f>
        <v>al  %</v>
      </c>
      <c r="M72" s="2023"/>
      <c r="N72" s="980">
        <f>ROUND(G$65*K72/100,2)</f>
        <v>0</v>
      </c>
      <c r="O72" s="2"/>
      <c r="P72" s="2"/>
      <c r="Q72" s="2"/>
      <c r="R72" s="2"/>
      <c r="S72" s="981">
        <f>IF(ISERROR(K77),0,K77)</f>
        <v>0</v>
      </c>
      <c r="T72" s="969">
        <f>IF(ISERROR(K78),0,K78)</f>
        <v>0</v>
      </c>
      <c r="U72" s="982">
        <f>IF(ISERROR(K79),0,K79)</f>
        <v>0</v>
      </c>
      <c r="V72" s="2"/>
      <c r="W72" s="1125">
        <f>GEN!$G72</f>
        <v>0</v>
      </c>
      <c r="X72" s="1126">
        <f>FEB!$G72</f>
        <v>0</v>
      </c>
      <c r="Y72" s="1127">
        <f>MAR!$G72</f>
        <v>0</v>
      </c>
      <c r="Z72" s="1128">
        <f>SUM(W72:Y72)</f>
        <v>0</v>
      </c>
      <c r="AA72" s="2"/>
      <c r="AB72" s="591"/>
      <c r="AC72" s="591"/>
      <c r="AD72" s="591"/>
      <c r="AE72" s="591"/>
      <c r="AF72" s="591"/>
      <c r="AG72" s="591"/>
      <c r="AH72" s="591"/>
      <c r="AI72" s="591"/>
      <c r="AJ72" s="591"/>
      <c r="AK72" s="591"/>
      <c r="AM72" s="591"/>
      <c r="AN72" s="591"/>
      <c r="AO72" s="591"/>
      <c r="AP72" s="591"/>
      <c r="AQ72" s="591"/>
      <c r="AS72" s="591"/>
      <c r="AT72" s="591"/>
      <c r="AU72" s="591"/>
      <c r="AV72" s="591"/>
      <c r="AW72" s="591"/>
      <c r="AY72" s="591"/>
    </row>
    <row r="73" spans="1:54" ht="20.25" hidden="1" customHeight="1" x14ac:dyDescent="0.2">
      <c r="A73" s="2"/>
      <c r="B73" s="2"/>
      <c r="C73" s="1171"/>
      <c r="D73" s="14"/>
      <c r="E73" s="14"/>
      <c r="F73" s="983" t="s">
        <v>105</v>
      </c>
      <c r="G73" s="1014">
        <f>SUM(G69:G72)</f>
        <v>0</v>
      </c>
      <c r="H73" s="866"/>
      <c r="I73" s="2041">
        <f>SUM(I69:I72)</f>
        <v>0</v>
      </c>
      <c r="J73" s="2041"/>
      <c r="K73" s="1196">
        <v>100</v>
      </c>
      <c r="L73" s="2"/>
      <c r="M73" s="2"/>
      <c r="N73" s="967">
        <f>SUM(N69:N72)</f>
        <v>0</v>
      </c>
      <c r="O73" s="503" t="str">
        <f>IF(C61=0,"",IF(G65=N73,"OK",E163))</f>
        <v/>
      </c>
      <c r="P73" s="2"/>
      <c r="Q73" s="2"/>
      <c r="R73" s="2"/>
      <c r="S73" s="2"/>
      <c r="T73" s="2"/>
      <c r="U73" s="2"/>
      <c r="V73" s="2"/>
      <c r="W73" s="2"/>
      <c r="X73" s="2"/>
      <c r="Y73" s="2"/>
      <c r="Z73" s="2"/>
      <c r="AA73" s="2"/>
      <c r="AB73" s="591"/>
      <c r="AC73" s="591"/>
      <c r="AD73" s="591"/>
      <c r="AE73" s="591"/>
      <c r="AF73" s="591"/>
      <c r="AG73" s="591"/>
      <c r="AH73" s="591"/>
      <c r="AI73" s="591"/>
      <c r="AJ73" s="591"/>
      <c r="AK73" s="591"/>
      <c r="AM73" s="591"/>
      <c r="AN73" s="591"/>
      <c r="AO73" s="591"/>
      <c r="AP73" s="591"/>
      <c r="AQ73" s="591"/>
      <c r="AS73" s="591"/>
      <c r="AT73" s="591"/>
      <c r="AU73" s="591"/>
      <c r="AV73" s="591"/>
      <c r="AW73" s="591"/>
      <c r="AY73" s="591"/>
    </row>
    <row r="74" spans="1:54" ht="20.25" hidden="1" customHeight="1" x14ac:dyDescent="0.2">
      <c r="A74" s="2"/>
      <c r="B74" s="2"/>
      <c r="C74" s="1172"/>
      <c r="D74" s="1173"/>
      <c r="E74" s="1173"/>
      <c r="F74" s="1173"/>
      <c r="G74" s="1173"/>
      <c r="H74" s="1173"/>
      <c r="I74" s="2051" t="s">
        <v>756</v>
      </c>
      <c r="J74" s="2051"/>
      <c r="K74" s="2052"/>
      <c r="L74" s="14"/>
      <c r="M74" s="14"/>
      <c r="N74" s="139"/>
      <c r="O74" s="2"/>
      <c r="P74" s="2"/>
      <c r="Q74" s="2"/>
      <c r="R74" s="2"/>
      <c r="S74" s="2"/>
      <c r="T74" s="2"/>
      <c r="U74" s="2"/>
      <c r="V74" s="2"/>
      <c r="W74" s="2"/>
      <c r="X74" s="2"/>
      <c r="Y74" s="2"/>
      <c r="Z74" s="2"/>
      <c r="AA74" s="2"/>
      <c r="AB74" s="591"/>
      <c r="AC74" s="591"/>
      <c r="AD74" s="591"/>
      <c r="AE74" s="591"/>
      <c r="AF74" s="591"/>
      <c r="AG74" s="591"/>
      <c r="AH74" s="591"/>
      <c r="AI74" s="591"/>
      <c r="AJ74" s="591"/>
      <c r="AK74" s="591"/>
      <c r="AM74" s="591"/>
      <c r="AN74" s="591"/>
      <c r="AO74" s="591"/>
      <c r="AP74" s="591"/>
      <c r="AQ74" s="591"/>
      <c r="AS74" s="591"/>
      <c r="AT74" s="591"/>
      <c r="AU74" s="591"/>
      <c r="AV74" s="591"/>
      <c r="AW74" s="591"/>
      <c r="AY74" s="591"/>
    </row>
    <row r="75" spans="1:54" ht="11.25" hidden="1" customHeight="1" x14ac:dyDescent="0.2">
      <c r="A75" s="2"/>
      <c r="B75" s="2"/>
      <c r="C75" s="2"/>
      <c r="D75" s="2"/>
      <c r="E75" s="2"/>
      <c r="F75" s="2"/>
      <c r="G75" s="2"/>
      <c r="H75" s="2"/>
      <c r="I75" s="2"/>
      <c r="J75" s="2"/>
      <c r="K75" s="2"/>
      <c r="L75" s="14"/>
      <c r="M75" s="14"/>
      <c r="N75" s="139"/>
      <c r="O75" s="2"/>
      <c r="P75" s="2"/>
      <c r="Q75" s="2"/>
      <c r="R75" s="2"/>
      <c r="S75" s="2"/>
      <c r="T75" s="2"/>
      <c r="U75" s="2"/>
      <c r="V75" s="2"/>
      <c r="W75" s="2"/>
      <c r="X75" s="2"/>
      <c r="Y75" s="2"/>
      <c r="Z75" s="2"/>
      <c r="AA75" s="2"/>
      <c r="AB75" s="591"/>
      <c r="AC75" s="591"/>
      <c r="AD75" s="591"/>
      <c r="AE75" s="591"/>
      <c r="AF75" s="591"/>
      <c r="AG75" s="591"/>
      <c r="AH75" s="591"/>
      <c r="AI75" s="591"/>
      <c r="AJ75" s="591"/>
      <c r="AK75" s="591"/>
      <c r="AM75" s="591"/>
      <c r="AN75" s="591"/>
      <c r="AO75" s="591"/>
      <c r="AP75" s="591"/>
      <c r="AQ75" s="591"/>
      <c r="AS75" s="591"/>
      <c r="AT75" s="591"/>
      <c r="AU75" s="591"/>
      <c r="AV75" s="591"/>
      <c r="AW75" s="591"/>
      <c r="AY75" s="591"/>
    </row>
    <row r="76" spans="1:54" ht="20.25" hidden="1" customHeight="1" x14ac:dyDescent="0.2">
      <c r="A76" s="2"/>
      <c r="B76" s="2"/>
      <c r="C76" s="2"/>
      <c r="D76" s="2"/>
      <c r="E76" s="20"/>
      <c r="F76" s="984" t="s">
        <v>764</v>
      </c>
      <c r="G76" s="985">
        <f>H69</f>
        <v>22</v>
      </c>
      <c r="H76" s="985">
        <f>H70</f>
        <v>10</v>
      </c>
      <c r="I76" s="2142">
        <f>H71</f>
        <v>4</v>
      </c>
      <c r="J76" s="2142"/>
      <c r="K76" s="1162" t="str">
        <f>H72</f>
        <v/>
      </c>
      <c r="L76" s="2"/>
      <c r="M76" s="2"/>
      <c r="N76" s="986"/>
      <c r="O76" s="2"/>
      <c r="P76" s="2"/>
      <c r="Q76" s="2"/>
      <c r="R76" s="2"/>
      <c r="S76" s="2"/>
      <c r="T76" s="2"/>
      <c r="U76" s="2"/>
      <c r="V76" s="2"/>
      <c r="W76" s="2"/>
      <c r="X76" s="591"/>
      <c r="Y76" s="591"/>
      <c r="AB76" s="591"/>
      <c r="AC76" s="591"/>
      <c r="AD76" s="591"/>
      <c r="AE76" s="591"/>
      <c r="AF76" s="591"/>
      <c r="AG76" s="591"/>
      <c r="AH76" s="591"/>
      <c r="AI76" s="591"/>
      <c r="AJ76" s="591"/>
      <c r="AK76" s="591"/>
      <c r="AM76" s="591"/>
      <c r="AN76" s="591"/>
      <c r="AO76" s="591"/>
      <c r="AP76" s="591"/>
      <c r="AQ76" s="591"/>
      <c r="AS76" s="591"/>
      <c r="AT76" s="591"/>
      <c r="AU76" s="591"/>
      <c r="AV76" s="591"/>
      <c r="AW76" s="591"/>
      <c r="AY76" s="591"/>
    </row>
    <row r="77" spans="1:54" ht="20.25" hidden="1" customHeight="1" x14ac:dyDescent="0.2">
      <c r="A77" s="2"/>
      <c r="B77" s="2"/>
      <c r="C77" s="2"/>
      <c r="D77" s="2"/>
      <c r="E77" s="2"/>
      <c r="F77" s="987" t="s">
        <v>757</v>
      </c>
      <c r="G77" s="988">
        <f>N69-G78</f>
        <v>0</v>
      </c>
      <c r="H77" s="989">
        <f>N70-H78</f>
        <v>0</v>
      </c>
      <c r="I77" s="2037">
        <f>N71-I78</f>
        <v>0</v>
      </c>
      <c r="J77" s="2038"/>
      <c r="K77" s="989">
        <f>N72-K78</f>
        <v>0</v>
      </c>
      <c r="L77" s="2233">
        <f>SUM(S69:S72)</f>
        <v>0</v>
      </c>
      <c r="M77" s="2234"/>
      <c r="N77" s="990" t="s">
        <v>758</v>
      </c>
      <c r="O77" s="2"/>
      <c r="P77" s="2"/>
      <c r="Q77" s="2"/>
      <c r="R77" s="2"/>
      <c r="S77" s="2"/>
      <c r="T77" s="2"/>
      <c r="U77" s="2"/>
      <c r="V77" s="2"/>
      <c r="W77" s="2"/>
      <c r="X77" s="591"/>
      <c r="Y77" s="591"/>
      <c r="AG77" s="591"/>
      <c r="AH77" s="591"/>
      <c r="AI77" s="591"/>
      <c r="AJ77" s="591"/>
      <c r="AK77" s="591"/>
      <c r="AM77" s="591"/>
      <c r="AN77" s="591"/>
      <c r="AO77" s="591"/>
      <c r="AP77" s="591"/>
      <c r="AQ77" s="591"/>
      <c r="AS77" s="591"/>
      <c r="AT77" s="591"/>
      <c r="AU77" s="591"/>
      <c r="AV77" s="591"/>
      <c r="AW77" s="591"/>
      <c r="AY77" s="591"/>
    </row>
    <row r="78" spans="1:54" ht="20.25" hidden="1" customHeight="1" x14ac:dyDescent="0.2">
      <c r="A78" s="2"/>
      <c r="B78" s="2"/>
      <c r="C78" s="2"/>
      <c r="D78" s="2"/>
      <c r="E78" s="2"/>
      <c r="F78" s="991" t="s">
        <v>759</v>
      </c>
      <c r="G78" s="992">
        <f>IF(G76="",0,ROUND(N69*G76/(100+G76),2))</f>
        <v>0</v>
      </c>
      <c r="H78" s="993">
        <f>IF(H76="",0,ROUND(N70*H76/(100+H76),2))</f>
        <v>0</v>
      </c>
      <c r="I78" s="2140">
        <f>IF(I76="",0,ROUND(N71*I76/(100+I76),2))</f>
        <v>0</v>
      </c>
      <c r="J78" s="2141"/>
      <c r="K78" s="993">
        <f>IF(K76="",0,ROUND(N72*K76/(100+K76),2))</f>
        <v>0</v>
      </c>
      <c r="L78" s="2235">
        <f>SUM(T69:T72)</f>
        <v>0</v>
      </c>
      <c r="M78" s="2236"/>
      <c r="N78" s="994" t="s">
        <v>760</v>
      </c>
      <c r="O78" s="2"/>
      <c r="P78" s="2"/>
      <c r="Q78" s="2"/>
      <c r="R78" s="2"/>
      <c r="S78" s="2"/>
      <c r="T78" s="2"/>
      <c r="U78" s="128" t="s">
        <v>783</v>
      </c>
      <c r="V78" s="2"/>
      <c r="W78" s="2"/>
      <c r="X78" s="591"/>
      <c r="Y78" s="591"/>
      <c r="AG78" s="591"/>
      <c r="AH78" s="591"/>
      <c r="AI78" s="591"/>
      <c r="AJ78" s="591"/>
      <c r="AK78" s="591"/>
      <c r="AM78" s="591"/>
      <c r="AN78" s="591"/>
      <c r="AO78" s="591"/>
      <c r="AP78" s="591"/>
      <c r="AQ78" s="591"/>
      <c r="AS78" s="591"/>
      <c r="AT78" s="591"/>
      <c r="AU78" s="591"/>
      <c r="AV78" s="591"/>
      <c r="AW78" s="591"/>
      <c r="AY78" s="591"/>
    </row>
    <row r="79" spans="1:54" ht="20.25" hidden="1" customHeight="1" x14ac:dyDescent="0.2">
      <c r="A79" s="2"/>
      <c r="B79" s="2"/>
      <c r="C79" s="2"/>
      <c r="D79" s="2"/>
      <c r="E79" s="287"/>
      <c r="F79" s="995" t="s">
        <v>105</v>
      </c>
      <c r="G79" s="996">
        <f>G77+G78</f>
        <v>0</v>
      </c>
      <c r="H79" s="996">
        <f>H77+H78</f>
        <v>0</v>
      </c>
      <c r="I79" s="2135">
        <f>I77+I78</f>
        <v>0</v>
      </c>
      <c r="J79" s="2135"/>
      <c r="K79" s="996">
        <f>K77+K78</f>
        <v>0</v>
      </c>
      <c r="L79" s="287"/>
      <c r="M79" s="287"/>
      <c r="N79" s="996">
        <f>SUM(U69:U72)</f>
        <v>0</v>
      </c>
      <c r="O79" s="503" t="str">
        <f>IF(N79=N73,"OK",E163)</f>
        <v>OK</v>
      </c>
      <c r="P79" s="2"/>
      <c r="Q79" s="2"/>
      <c r="R79" s="924" t="str">
        <f>G62</f>
        <v>SCORPORO</v>
      </c>
      <c r="S79" s="997">
        <f>IF(R79=L$134,G$63,0)</f>
        <v>0</v>
      </c>
      <c r="T79" s="92">
        <f>G42</f>
        <v>0</v>
      </c>
      <c r="U79" s="997">
        <f>IF(T79=K$134,S79,0)</f>
        <v>0</v>
      </c>
      <c r="V79" s="2"/>
      <c r="W79" s="2"/>
      <c r="X79" s="591"/>
      <c r="Y79" s="591"/>
      <c r="AG79" s="591"/>
      <c r="AH79" s="591"/>
      <c r="AI79" s="591"/>
      <c r="AJ79" s="591"/>
      <c r="AK79" s="591"/>
      <c r="AM79" s="591"/>
      <c r="AN79" s="591"/>
      <c r="AO79" s="591"/>
      <c r="AP79" s="591"/>
      <c r="AQ79" s="591"/>
      <c r="AS79" s="591"/>
      <c r="AT79" s="591"/>
      <c r="AU79" s="591"/>
      <c r="AV79" s="591"/>
      <c r="AW79" s="591"/>
      <c r="AY79" s="591"/>
    </row>
    <row r="80" spans="1:54" ht="20.25" hidden="1" customHeight="1" x14ac:dyDescent="0.2">
      <c r="A80" s="2"/>
      <c r="B80" s="2"/>
      <c r="C80" s="2"/>
      <c r="D80" s="2"/>
      <c r="E80" s="2"/>
      <c r="F80" s="2"/>
      <c r="G80" s="2"/>
      <c r="H80" s="2"/>
      <c r="I80" s="2"/>
      <c r="J80" s="2"/>
      <c r="K80" s="2"/>
      <c r="L80" s="2"/>
      <c r="M80" s="2"/>
      <c r="N80" s="10"/>
      <c r="O80" s="2"/>
      <c r="P80" s="2"/>
      <c r="Q80" s="2"/>
      <c r="R80" s="924" t="str">
        <f>H62</f>
        <v>SCORPORO</v>
      </c>
      <c r="S80" s="998">
        <f>IF(R80=L$134,H63,0)</f>
        <v>0</v>
      </c>
      <c r="T80" s="92">
        <f>H42</f>
        <v>0</v>
      </c>
      <c r="U80" s="998">
        <f>IF(T80=K$134,S80,0)</f>
        <v>0</v>
      </c>
      <c r="V80" s="2"/>
      <c r="W80" s="2"/>
      <c r="X80" s="591"/>
      <c r="Y80" s="591"/>
      <c r="AG80" s="591"/>
      <c r="AH80" s="591"/>
      <c r="AI80" s="591"/>
      <c r="AJ80" s="591"/>
      <c r="AK80" s="591"/>
      <c r="AM80" s="591"/>
      <c r="AN80" s="591"/>
      <c r="AO80" s="591"/>
      <c r="AP80" s="591"/>
      <c r="AQ80" s="591"/>
      <c r="AS80" s="591"/>
      <c r="AT80" s="591"/>
      <c r="AU80" s="591"/>
      <c r="AV80" s="591"/>
      <c r="AW80" s="591"/>
      <c r="AY80" s="591"/>
    </row>
    <row r="81" spans="1:51" ht="20.25" hidden="1" customHeight="1" x14ac:dyDescent="0.2">
      <c r="A81" s="2"/>
      <c r="B81" s="2"/>
      <c r="C81" s="2"/>
      <c r="D81" s="2"/>
      <c r="E81" s="2"/>
      <c r="F81" s="2"/>
      <c r="G81" s="103" t="str">
        <f>G61</f>
        <v>Colonna 1</v>
      </c>
      <c r="H81" s="103" t="str">
        <f>H61</f>
        <v>Colonna 2</v>
      </c>
      <c r="I81" s="2053" t="str">
        <f>K61</f>
        <v>Colonna 3</v>
      </c>
      <c r="J81" s="2053"/>
      <c r="K81" s="103" t="str">
        <f>N61</f>
        <v>Colonna 4</v>
      </c>
      <c r="L81" s="2"/>
      <c r="M81" s="2"/>
      <c r="N81" s="14"/>
      <c r="O81" s="2"/>
      <c r="P81" s="2"/>
      <c r="Q81" s="2"/>
      <c r="R81" s="924" t="str">
        <f>K62</f>
        <v>SCORPORO</v>
      </c>
      <c r="S81" s="998">
        <f>IF(R81=L$134,K63,0)</f>
        <v>0</v>
      </c>
      <c r="T81" s="92">
        <f>K42</f>
        <v>0</v>
      </c>
      <c r="U81" s="998">
        <f>IF(T81=K$134,S81,0)</f>
        <v>0</v>
      </c>
      <c r="V81" s="2"/>
      <c r="W81" s="2"/>
      <c r="X81" s="591"/>
      <c r="Y81" s="591"/>
      <c r="AG81" s="591"/>
      <c r="AH81" s="591"/>
      <c r="AI81" s="591"/>
      <c r="AJ81" s="591"/>
      <c r="AK81" s="591"/>
      <c r="AM81" s="591"/>
      <c r="AN81" s="591"/>
      <c r="AO81" s="591"/>
      <c r="AP81" s="591"/>
      <c r="AQ81" s="591"/>
      <c r="AS81" s="591"/>
      <c r="AT81" s="591"/>
      <c r="AU81" s="591"/>
      <c r="AV81" s="591"/>
      <c r="AW81" s="591"/>
      <c r="AY81" s="591"/>
    </row>
    <row r="82" spans="1:51" ht="18" hidden="1" customHeight="1" x14ac:dyDescent="0.2">
      <c r="A82" s="2"/>
      <c r="B82" s="2"/>
      <c r="C82" s="2"/>
      <c r="D82" s="2"/>
      <c r="E82" s="2"/>
      <c r="F82" s="2"/>
      <c r="G82" s="1203" t="str">
        <f t="shared" ref="G82:H84" si="33">G43</f>
        <v/>
      </c>
      <c r="H82" s="1204" t="str">
        <f t="shared" si="33"/>
        <v/>
      </c>
      <c r="I82" s="2031" t="str">
        <f>K43</f>
        <v/>
      </c>
      <c r="J82" s="2031"/>
      <c r="K82" s="1205" t="str">
        <f>N43</f>
        <v/>
      </c>
      <c r="L82" s="2"/>
      <c r="M82" s="2"/>
      <c r="N82" s="14"/>
      <c r="O82" s="2"/>
      <c r="P82" s="2"/>
      <c r="Q82" s="2"/>
      <c r="R82" s="924" t="str">
        <f>N62</f>
        <v>SCORPORO</v>
      </c>
      <c r="S82" s="1007">
        <f>IF(R82=L$134,N63,0)</f>
        <v>0</v>
      </c>
      <c r="T82" s="92">
        <f>N42</f>
        <v>0</v>
      </c>
      <c r="U82" s="1007">
        <f>IF(T82=K$134,S82,0)</f>
        <v>0</v>
      </c>
      <c r="V82" s="2"/>
      <c r="W82" s="2"/>
      <c r="X82" s="591"/>
      <c r="Y82" s="591"/>
      <c r="AG82" s="591"/>
      <c r="AH82" s="591"/>
      <c r="AI82" s="591"/>
      <c r="AJ82" s="591"/>
      <c r="AK82" s="591"/>
      <c r="AM82" s="591"/>
      <c r="AN82" s="591"/>
      <c r="AO82" s="591"/>
      <c r="AP82" s="591"/>
      <c r="AQ82" s="591"/>
      <c r="AS82" s="591"/>
      <c r="AT82" s="591"/>
      <c r="AU82" s="591"/>
      <c r="AV82" s="591"/>
      <c r="AW82" s="591"/>
      <c r="AY82" s="591"/>
    </row>
    <row r="83" spans="1:51" ht="18" hidden="1" customHeight="1" x14ac:dyDescent="0.2">
      <c r="A83" s="2"/>
      <c r="B83" s="2"/>
      <c r="C83" s="2"/>
      <c r="D83" s="2"/>
      <c r="E83" s="2"/>
      <c r="F83" s="2"/>
      <c r="G83" s="1000" t="str">
        <f t="shared" si="33"/>
        <v/>
      </c>
      <c r="H83" s="1000" t="str">
        <f t="shared" si="33"/>
        <v/>
      </c>
      <c r="I83" s="2054" t="str">
        <f>K44</f>
        <v/>
      </c>
      <c r="J83" s="2054"/>
      <c r="K83" s="1000" t="str">
        <f>N44</f>
        <v/>
      </c>
      <c r="L83" s="2"/>
      <c r="M83" s="2"/>
      <c r="N83" s="14"/>
      <c r="O83" s="2"/>
      <c r="P83" s="2"/>
      <c r="Q83" s="2"/>
      <c r="R83" s="2"/>
      <c r="S83" s="999"/>
      <c r="T83" s="2"/>
      <c r="U83" s="999"/>
      <c r="V83" s="2"/>
      <c r="W83" s="2"/>
      <c r="X83" s="591"/>
      <c r="Y83" s="591"/>
      <c r="AG83" s="591"/>
      <c r="AH83" s="591"/>
      <c r="AI83" s="591"/>
      <c r="AJ83" s="591"/>
      <c r="AK83" s="591"/>
      <c r="AM83" s="591"/>
      <c r="AN83" s="591"/>
      <c r="AO83" s="591"/>
      <c r="AP83" s="591"/>
      <c r="AQ83" s="591"/>
      <c r="AS83" s="591"/>
      <c r="AT83" s="591"/>
      <c r="AU83" s="591"/>
      <c r="AV83" s="591"/>
      <c r="AW83" s="591"/>
      <c r="AY83" s="591"/>
    </row>
    <row r="84" spans="1:51" ht="18" hidden="1" customHeight="1" x14ac:dyDescent="0.2">
      <c r="A84" s="2"/>
      <c r="B84" s="2"/>
      <c r="C84" s="2"/>
      <c r="D84" s="2"/>
      <c r="E84" s="2"/>
      <c r="F84" s="2"/>
      <c r="G84" s="1001" t="str">
        <f t="shared" si="33"/>
        <v/>
      </c>
      <c r="H84" s="1001" t="str">
        <f t="shared" si="33"/>
        <v/>
      </c>
      <c r="I84" s="2055" t="str">
        <f>K45</f>
        <v/>
      </c>
      <c r="J84" s="2055"/>
      <c r="K84" s="1001" t="str">
        <f>N45</f>
        <v/>
      </c>
      <c r="L84" s="2"/>
      <c r="M84" s="2"/>
      <c r="N84" s="14"/>
      <c r="O84" s="2"/>
      <c r="P84" s="2"/>
      <c r="Q84" s="2"/>
      <c r="R84" s="2"/>
      <c r="S84" s="999"/>
      <c r="T84" s="2"/>
      <c r="U84" s="999"/>
      <c r="V84" s="2"/>
      <c r="W84" s="2"/>
      <c r="X84" s="591"/>
      <c r="Y84" s="591"/>
      <c r="AG84" s="591"/>
      <c r="AH84" s="591"/>
      <c r="AI84" s="591"/>
      <c r="AJ84" s="591"/>
      <c r="AK84" s="591"/>
      <c r="AM84" s="591"/>
      <c r="AN84" s="591"/>
      <c r="AO84" s="591"/>
      <c r="AP84" s="591"/>
      <c r="AQ84" s="591"/>
      <c r="AS84" s="591"/>
      <c r="AT84" s="591"/>
      <c r="AU84" s="591"/>
      <c r="AV84" s="591"/>
      <c r="AW84" s="591"/>
      <c r="AY84" s="591"/>
    </row>
    <row r="85" spans="1:51" ht="18" hidden="1" customHeight="1" x14ac:dyDescent="0.2">
      <c r="A85" s="2"/>
      <c r="B85" s="2"/>
      <c r="C85" s="2"/>
      <c r="D85" s="2"/>
      <c r="E85" s="2"/>
      <c r="F85" s="2"/>
      <c r="G85" s="1011" t="str">
        <f>VLOOKUP(G62,$L$134:$M$135,2,FALSE)</f>
        <v>SCORPORO</v>
      </c>
      <c r="H85" s="1011" t="str">
        <f>VLOOKUP(H62,$L$134:$M$135,2,FALSE)</f>
        <v>SCORPORO</v>
      </c>
      <c r="I85" s="2056" t="str">
        <f>VLOOKUP(K62,$L$134:$M$135,2,FALSE)</f>
        <v>SCORPORO</v>
      </c>
      <c r="J85" s="2056"/>
      <c r="K85" s="1011" t="str">
        <f>VLOOKUP(N62,$L$134:$M$135,2,FALSE)</f>
        <v>SCORPORO</v>
      </c>
      <c r="L85" s="2"/>
      <c r="M85" s="2"/>
      <c r="N85" s="14"/>
      <c r="O85" s="2"/>
      <c r="P85" s="2"/>
      <c r="Q85" s="2"/>
      <c r="R85" s="2"/>
      <c r="S85" s="999"/>
      <c r="T85" s="2"/>
      <c r="U85" s="999"/>
      <c r="V85" s="2"/>
      <c r="W85" s="2"/>
      <c r="X85" s="591"/>
      <c r="Y85" s="591"/>
      <c r="AG85" s="591"/>
      <c r="AH85" s="591"/>
      <c r="AI85" s="591"/>
      <c r="AJ85" s="591"/>
      <c r="AK85" s="591"/>
      <c r="AM85" s="591"/>
      <c r="AN85" s="591"/>
      <c r="AO85" s="591"/>
      <c r="AP85" s="591"/>
      <c r="AQ85" s="591"/>
      <c r="AS85" s="591"/>
      <c r="AT85" s="591"/>
      <c r="AU85" s="591"/>
      <c r="AV85" s="591"/>
      <c r="AW85" s="591"/>
      <c r="AY85" s="591"/>
    </row>
    <row r="86" spans="1:51" ht="20.25" hidden="1" customHeight="1" x14ac:dyDescent="0.2">
      <c r="A86" s="2"/>
      <c r="B86" s="2"/>
      <c r="C86" s="2"/>
      <c r="D86" s="2"/>
      <c r="E86" s="2"/>
      <c r="F86" s="1002" t="s">
        <v>761</v>
      </c>
      <c r="G86" s="1206">
        <f>IF($L77=0,0,$S79-G87)</f>
        <v>0</v>
      </c>
      <c r="H86" s="1206">
        <f>IF($L77=0,0,S80-H87)</f>
        <v>0</v>
      </c>
      <c r="I86" s="2035">
        <f>IF($L77=0,0,S81-I87)</f>
        <v>0</v>
      </c>
      <c r="J86" s="2036"/>
      <c r="K86" s="1206">
        <f>IF($L77=0,0,S82-K87)</f>
        <v>0</v>
      </c>
      <c r="L86" s="2237">
        <f>SUM(G86:K86)</f>
        <v>0</v>
      </c>
      <c r="M86" s="2237"/>
      <c r="N86" s="1003" t="s">
        <v>758</v>
      </c>
      <c r="O86" s="2"/>
      <c r="P86" s="2"/>
      <c r="Q86" s="2"/>
      <c r="R86" s="2"/>
      <c r="S86" s="999"/>
      <c r="T86" s="2"/>
      <c r="U86" s="999"/>
      <c r="V86" s="2"/>
      <c r="W86" s="2"/>
      <c r="X86" s="591"/>
      <c r="Y86" s="591"/>
      <c r="AG86" s="591"/>
      <c r="AH86" s="591"/>
      <c r="AI86" s="591"/>
      <c r="AJ86" s="591"/>
      <c r="AK86" s="591"/>
      <c r="AM86" s="591"/>
      <c r="AN86" s="591"/>
      <c r="AO86" s="591"/>
      <c r="AP86" s="591"/>
      <c r="AQ86" s="591"/>
      <c r="AS86" s="591"/>
      <c r="AT86" s="591"/>
      <c r="AU86" s="591"/>
      <c r="AV86" s="591"/>
      <c r="AW86" s="591"/>
      <c r="AY86" s="591"/>
    </row>
    <row r="87" spans="1:51" ht="20.25" hidden="1" customHeight="1" x14ac:dyDescent="0.2">
      <c r="A87" s="2"/>
      <c r="B87" s="2"/>
      <c r="C87" s="2"/>
      <c r="D87" s="2"/>
      <c r="E87" s="2"/>
      <c r="F87" s="1004" t="s">
        <v>762</v>
      </c>
      <c r="G87" s="1207">
        <f>IF($C$61=0,0,ROUND($L78*G89/100,2))</f>
        <v>0</v>
      </c>
      <c r="H87" s="1207">
        <f>IF($C$61=0,0,ROUND($L78*H89/100,2))</f>
        <v>0</v>
      </c>
      <c r="I87" s="2028">
        <f>IF($C$61=0,0,ROUND($L78*I89/100,2))</f>
        <v>0</v>
      </c>
      <c r="J87" s="2029"/>
      <c r="K87" s="1207">
        <f>IF($C$61=0,0,L78-G87-H87-I87)</f>
        <v>0</v>
      </c>
      <c r="L87" s="2125">
        <f>SUM(G87:K87)</f>
        <v>0</v>
      </c>
      <c r="M87" s="2125"/>
      <c r="N87" s="1005" t="s">
        <v>760</v>
      </c>
      <c r="O87" s="2"/>
      <c r="P87" s="2"/>
      <c r="Q87" s="2"/>
      <c r="R87" s="2"/>
      <c r="S87" s="999"/>
      <c r="T87" s="2"/>
      <c r="U87" s="999"/>
      <c r="V87" s="2"/>
      <c r="W87" s="2"/>
      <c r="X87" s="591"/>
      <c r="Y87" s="591"/>
      <c r="AG87" s="591"/>
      <c r="AH87" s="591"/>
      <c r="AI87" s="591"/>
      <c r="AJ87" s="591"/>
      <c r="AK87" s="591"/>
      <c r="AM87" s="591"/>
      <c r="AN87" s="591"/>
      <c r="AO87" s="591"/>
      <c r="AP87" s="591"/>
      <c r="AQ87" s="591"/>
      <c r="AS87" s="591"/>
      <c r="AT87" s="591"/>
      <c r="AU87" s="591"/>
      <c r="AV87" s="591"/>
      <c r="AW87" s="591"/>
      <c r="AY87" s="591"/>
    </row>
    <row r="88" spans="1:51" ht="20.25" hidden="1" customHeight="1" x14ac:dyDescent="0.2">
      <c r="A88" s="2"/>
      <c r="B88" s="2"/>
      <c r="C88" s="2"/>
      <c r="D88" s="2"/>
      <c r="E88" s="287"/>
      <c r="F88" s="995" t="s">
        <v>105</v>
      </c>
      <c r="G88" s="1020">
        <f>IF(G85=$M135,0,G86+G87)</f>
        <v>0</v>
      </c>
      <c r="H88" s="1020">
        <f>IF(H85=$M135,0,H86+H87)</f>
        <v>0</v>
      </c>
      <c r="I88" s="2216">
        <f>IF(I85=$M135,0,I86+I87)</f>
        <v>0</v>
      </c>
      <c r="J88" s="2216"/>
      <c r="K88" s="1020">
        <f>IF(K85=$M135,0,K86+K87)</f>
        <v>0</v>
      </c>
      <c r="L88" s="287"/>
      <c r="M88" s="287"/>
      <c r="N88" s="996">
        <f>SUM(G88:K88)</f>
        <v>0</v>
      </c>
      <c r="O88" s="503" t="str">
        <f>IF(N88=N79,"OK",E163)</f>
        <v>OK</v>
      </c>
      <c r="P88" s="2"/>
      <c r="Q88" s="2"/>
      <c r="R88" s="2"/>
      <c r="S88" s="1006"/>
      <c r="T88" s="2"/>
      <c r="U88" s="1006"/>
      <c r="V88" s="2"/>
      <c r="W88" s="2"/>
      <c r="X88" s="591"/>
      <c r="Y88" s="591"/>
      <c r="AG88" s="591"/>
      <c r="AH88" s="591"/>
      <c r="AI88" s="591"/>
      <c r="AJ88" s="591"/>
      <c r="AK88" s="591"/>
      <c r="AM88" s="591"/>
      <c r="AN88" s="591"/>
      <c r="AO88" s="591"/>
      <c r="AP88" s="591"/>
      <c r="AQ88" s="591"/>
      <c r="AS88" s="591"/>
      <c r="AT88" s="591"/>
      <c r="AU88" s="591"/>
      <c r="AV88" s="591"/>
      <c r="AW88" s="591"/>
      <c r="AY88" s="591"/>
    </row>
    <row r="89" spans="1:51" ht="20.25" hidden="1" customHeight="1" x14ac:dyDescent="0.2">
      <c r="A89" s="2"/>
      <c r="B89" s="2"/>
      <c r="C89" s="2"/>
      <c r="D89" s="2"/>
      <c r="E89" s="2"/>
      <c r="F89" s="970" t="s">
        <v>763</v>
      </c>
      <c r="G89" s="1021">
        <f>IF($C$61=0,0,IF(S79=0,0,ROUND($S79/$S89*100,10)))</f>
        <v>0</v>
      </c>
      <c r="H89" s="1021">
        <f>IF($C$61=0,0,IF(S80=0,0,ROUND(S80/$S89*100,10)))</f>
        <v>0</v>
      </c>
      <c r="I89" s="2101">
        <f>IF($C$61=0,0,IF(S81=0,0,ROUND(S81/$S89*100,10)))</f>
        <v>0</v>
      </c>
      <c r="J89" s="2101"/>
      <c r="K89" s="1021">
        <f>IF($C$61=0,0,IF(S82=0,0,100-G89-H89-I89))</f>
        <v>0</v>
      </c>
      <c r="L89" s="2"/>
      <c r="M89" s="2"/>
      <c r="N89" s="2"/>
      <c r="O89" s="2"/>
      <c r="P89" s="2"/>
      <c r="Q89" s="2"/>
      <c r="R89" s="2"/>
      <c r="S89" s="1006">
        <f>SUM(S79:S88)</f>
        <v>0</v>
      </c>
      <c r="T89" s="2"/>
      <c r="U89" s="1006">
        <f>SUM(U79:U88)</f>
        <v>0</v>
      </c>
      <c r="V89" s="2"/>
      <c r="W89" s="2"/>
      <c r="X89" s="591"/>
      <c r="Y89" s="591"/>
      <c r="Z89" s="591"/>
      <c r="AA89" s="591"/>
      <c r="AB89" s="591"/>
      <c r="AC89" s="591"/>
      <c r="AG89" s="591"/>
      <c r="AH89" s="591"/>
      <c r="AI89" s="591"/>
      <c r="AJ89" s="591"/>
      <c r="AK89" s="591"/>
      <c r="AM89" s="591"/>
      <c r="AN89" s="591"/>
      <c r="AO89" s="591"/>
      <c r="AP89" s="591"/>
      <c r="AQ89" s="591"/>
      <c r="AS89" s="591"/>
      <c r="AT89" s="591"/>
      <c r="AU89" s="591"/>
      <c r="AV89" s="591"/>
      <c r="AW89" s="591"/>
      <c r="AY89" s="591"/>
    </row>
    <row r="90" spans="1:51" ht="20.25" customHeight="1" x14ac:dyDescent="0.2">
      <c r="A90" s="2"/>
      <c r="B90" s="2"/>
      <c r="C90" s="2"/>
      <c r="D90" s="2"/>
      <c r="E90" s="2"/>
      <c r="F90" s="2"/>
      <c r="G90" s="2"/>
      <c r="H90" s="2"/>
      <c r="I90" s="2"/>
      <c r="J90" s="2"/>
      <c r="K90" s="2"/>
      <c r="L90" s="2"/>
      <c r="M90" s="2"/>
      <c r="N90" s="2"/>
      <c r="O90" s="2"/>
      <c r="P90" s="2"/>
      <c r="Q90" s="2"/>
      <c r="R90" s="2"/>
      <c r="S90" s="2"/>
      <c r="T90" s="2"/>
      <c r="U90" s="1110" t="e">
        <f>U89/S89*100</f>
        <v>#DIV/0!</v>
      </c>
      <c r="V90" s="2"/>
      <c r="W90" s="2"/>
      <c r="X90" s="591"/>
      <c r="Y90" s="591"/>
      <c r="Z90" s="591"/>
      <c r="AA90" s="591"/>
      <c r="AB90" s="591"/>
      <c r="AC90" s="591"/>
      <c r="AG90" s="591"/>
      <c r="AH90" s="591"/>
      <c r="AI90" s="591"/>
      <c r="AJ90" s="591"/>
      <c r="AK90" s="591"/>
      <c r="AM90" s="591"/>
      <c r="AN90" s="591"/>
      <c r="AO90" s="591"/>
      <c r="AP90" s="591"/>
      <c r="AQ90" s="591"/>
      <c r="AS90" s="591"/>
      <c r="AT90" s="591"/>
      <c r="AU90" s="591"/>
      <c r="AV90" s="591"/>
      <c r="AW90" s="591"/>
      <c r="AY90" s="591"/>
    </row>
    <row r="91" spans="1:51" ht="30" customHeight="1" x14ac:dyDescent="0.2">
      <c r="A91" s="2"/>
      <c r="B91" s="2"/>
      <c r="C91" s="2030" t="str">
        <f>IF(SUM(G150:J150)&gt;0,G151,IMPOSTAZIONI!Y383)</f>
        <v>Quest' area si attiva con colonne IVA "Aliquote diverse" - Al momento non c'è nessun importo da scorporare manualmente.</v>
      </c>
      <c r="D91" s="2030"/>
      <c r="E91" s="2030"/>
      <c r="F91" s="2030"/>
      <c r="G91" s="2030"/>
      <c r="H91" s="2030"/>
      <c r="I91" s="2030"/>
      <c r="J91" s="2030"/>
      <c r="K91" s="2030"/>
      <c r="L91" s="2030"/>
      <c r="M91" s="2030"/>
      <c r="N91" s="2030"/>
      <c r="O91" s="2030"/>
      <c r="P91" s="2030"/>
      <c r="Q91" s="98"/>
      <c r="R91" s="98"/>
      <c r="S91" s="98"/>
      <c r="T91" s="2"/>
      <c r="U91" s="2"/>
      <c r="V91" s="2"/>
      <c r="W91" s="2"/>
      <c r="X91" s="591"/>
      <c r="Y91" s="591"/>
      <c r="Z91" s="591"/>
      <c r="AA91" s="591"/>
      <c r="AB91" s="591"/>
      <c r="AC91" s="591"/>
      <c r="AG91" s="591"/>
      <c r="AH91" s="591"/>
      <c r="AI91" s="591"/>
      <c r="AJ91" s="591"/>
      <c r="AK91" s="591"/>
      <c r="AM91" s="591"/>
      <c r="AN91" s="591"/>
      <c r="AO91" s="591"/>
      <c r="AP91" s="591"/>
      <c r="AQ91" s="591"/>
      <c r="AS91" s="591"/>
      <c r="AT91" s="591"/>
      <c r="AU91" s="591"/>
      <c r="AV91" s="591"/>
      <c r="AW91" s="591"/>
      <c r="AY91" s="591"/>
    </row>
    <row r="92" spans="1:51" ht="5.25" customHeight="1" x14ac:dyDescent="0.2">
      <c r="A92" s="2"/>
      <c r="B92" s="2"/>
      <c r="C92" s="2"/>
      <c r="D92" s="2"/>
      <c r="E92" s="2"/>
      <c r="F92" s="2"/>
      <c r="G92" s="2"/>
      <c r="H92" s="2"/>
      <c r="I92" s="2"/>
      <c r="J92" s="2"/>
      <c r="K92" s="2"/>
      <c r="L92" s="2"/>
      <c r="M92" s="2"/>
      <c r="N92" s="2"/>
      <c r="O92" s="2"/>
      <c r="P92" s="2"/>
      <c r="Q92" s="2"/>
      <c r="R92" s="2"/>
      <c r="S92" s="2"/>
      <c r="T92" s="2"/>
      <c r="U92" s="2"/>
      <c r="V92" s="2"/>
      <c r="W92" s="2"/>
      <c r="X92" s="591"/>
      <c r="Y92" s="591"/>
      <c r="Z92" s="591"/>
      <c r="AA92" s="591"/>
      <c r="AB92" s="591"/>
      <c r="AC92" s="591"/>
      <c r="AG92" s="591"/>
      <c r="AH92" s="591"/>
      <c r="AI92" s="591"/>
      <c r="AJ92" s="591"/>
      <c r="AK92" s="591"/>
      <c r="AM92" s="591"/>
      <c r="AN92" s="591"/>
      <c r="AO92" s="591"/>
      <c r="AP92" s="591"/>
      <c r="AQ92" s="591"/>
      <c r="AS92" s="591"/>
      <c r="AT92" s="591"/>
      <c r="AU92" s="591"/>
      <c r="AV92" s="591"/>
      <c r="AW92" s="591"/>
      <c r="AY92" s="591"/>
    </row>
    <row r="93" spans="1:51" ht="18" customHeight="1" x14ac:dyDescent="0.2">
      <c r="A93" s="2"/>
      <c r="B93" s="2"/>
      <c r="C93" s="2111"/>
      <c r="D93" s="2111"/>
      <c r="E93" s="2112"/>
      <c r="F93" s="2113"/>
      <c r="G93" s="298" t="str">
        <f t="shared" ref="G93:H95" si="34">IF(G$155="X",G43,"")</f>
        <v/>
      </c>
      <c r="H93" s="298" t="str">
        <f t="shared" si="34"/>
        <v/>
      </c>
      <c r="I93" s="298"/>
      <c r="J93" s="298"/>
      <c r="K93" s="298" t="str">
        <f>IF(I$155="X",K43,"")</f>
        <v/>
      </c>
      <c r="L93" s="298"/>
      <c r="M93" s="298"/>
      <c r="N93" s="298" t="str">
        <f>IF(J$155="X",N43,"")</f>
        <v/>
      </c>
      <c r="O93" s="2033"/>
      <c r="P93" s="2033"/>
      <c r="Q93" s="12"/>
      <c r="R93" s="2"/>
      <c r="S93" s="2"/>
      <c r="T93" s="2"/>
      <c r="U93" s="2"/>
      <c r="V93" s="2"/>
      <c r="W93" s="2"/>
      <c r="X93" s="591"/>
      <c r="Y93" s="591"/>
      <c r="Z93" s="591"/>
      <c r="AA93" s="591"/>
      <c r="AB93" s="591"/>
      <c r="AC93" s="591"/>
      <c r="AG93" s="591"/>
      <c r="AH93" s="591"/>
      <c r="AI93" s="591"/>
      <c r="AJ93" s="591"/>
      <c r="AK93" s="591"/>
      <c r="AM93" s="591"/>
      <c r="AN93" s="591"/>
      <c r="AO93" s="591"/>
      <c r="AP93" s="591"/>
      <c r="AQ93" s="591"/>
      <c r="AS93" s="591"/>
      <c r="AT93" s="591"/>
      <c r="AU93" s="591"/>
      <c r="AV93" s="591"/>
      <c r="AW93" s="591"/>
      <c r="AY93" s="591"/>
    </row>
    <row r="94" spans="1:51" ht="18" customHeight="1" x14ac:dyDescent="0.2">
      <c r="A94" s="2"/>
      <c r="B94" s="2"/>
      <c r="C94" s="2114" t="str">
        <f>C44</f>
        <v>TOTALI DEL PERIODO:</v>
      </c>
      <c r="D94" s="2091"/>
      <c r="E94" s="2091"/>
      <c r="F94" s="2091"/>
      <c r="G94" s="57" t="str">
        <f t="shared" si="34"/>
        <v/>
      </c>
      <c r="H94" s="57" t="str">
        <f t="shared" si="34"/>
        <v/>
      </c>
      <c r="I94" s="57" t="s">
        <v>288</v>
      </c>
      <c r="J94" s="57"/>
      <c r="K94" s="57" t="str">
        <f>IF(I$155="X",K44,"")</f>
        <v/>
      </c>
      <c r="L94" s="57" t="s">
        <v>288</v>
      </c>
      <c r="M94" s="57"/>
      <c r="N94" s="57" t="str">
        <f>IF(J$155="X",N44,"")</f>
        <v/>
      </c>
      <c r="O94" s="85"/>
      <c r="P94" s="85"/>
      <c r="Q94" s="12"/>
      <c r="R94" s="2"/>
      <c r="S94" s="2"/>
      <c r="T94" s="2"/>
      <c r="U94" s="2"/>
      <c r="V94" s="2"/>
      <c r="W94" s="2"/>
      <c r="X94" s="591"/>
      <c r="Y94" s="591"/>
      <c r="Z94" s="591"/>
      <c r="AA94" s="591"/>
      <c r="AB94" s="591"/>
      <c r="AC94" s="591"/>
      <c r="AG94" s="591"/>
      <c r="AH94" s="591"/>
      <c r="AI94" s="591"/>
      <c r="AJ94" s="591"/>
      <c r="AK94" s="591"/>
      <c r="AM94" s="591"/>
      <c r="AN94" s="591"/>
      <c r="AO94" s="591"/>
      <c r="AP94" s="591"/>
      <c r="AQ94" s="591"/>
      <c r="AS94" s="591"/>
      <c r="AT94" s="591"/>
      <c r="AU94" s="591"/>
      <c r="AV94" s="591"/>
      <c r="AW94" s="591"/>
      <c r="AY94" s="591"/>
    </row>
    <row r="95" spans="1:51" ht="18" customHeight="1" x14ac:dyDescent="0.2">
      <c r="A95" s="2"/>
      <c r="B95" s="2"/>
      <c r="C95" s="2115" t="str">
        <f>C45</f>
        <v>01/02 - 29/02</v>
      </c>
      <c r="D95" s="2115"/>
      <c r="E95" s="2115"/>
      <c r="F95" s="2115"/>
      <c r="G95" s="90" t="str">
        <f t="shared" si="34"/>
        <v/>
      </c>
      <c r="H95" s="90" t="str">
        <f t="shared" si="34"/>
        <v/>
      </c>
      <c r="I95" s="90" t="s">
        <v>288</v>
      </c>
      <c r="J95" s="90"/>
      <c r="K95" s="90" t="str">
        <f>IF(I$155="X",K45,"")</f>
        <v/>
      </c>
      <c r="L95" s="90" t="s">
        <v>288</v>
      </c>
      <c r="M95" s="90"/>
      <c r="N95" s="90" t="str">
        <f>IF(J$155="X",N45,"")</f>
        <v/>
      </c>
      <c r="O95" s="89"/>
      <c r="P95" s="89"/>
      <c r="Q95" s="12"/>
      <c r="R95" s="2"/>
      <c r="S95" s="2"/>
      <c r="T95" s="2"/>
      <c r="U95" s="2"/>
      <c r="V95" s="2"/>
      <c r="W95" s="2"/>
      <c r="X95" s="591"/>
      <c r="Y95" s="591"/>
      <c r="Z95" s="591"/>
      <c r="AA95" s="591"/>
      <c r="AB95" s="591"/>
      <c r="AC95" s="591"/>
      <c r="AG95" s="591"/>
      <c r="AH95" s="591"/>
      <c r="AI95" s="591"/>
      <c r="AJ95" s="591"/>
      <c r="AK95" s="591"/>
      <c r="AM95" s="591"/>
      <c r="AN95" s="591"/>
      <c r="AO95" s="591"/>
      <c r="AP95" s="591"/>
      <c r="AQ95" s="591"/>
      <c r="AS95" s="591"/>
      <c r="AT95" s="591"/>
      <c r="AU95" s="591"/>
      <c r="AV95" s="591"/>
      <c r="AW95" s="591"/>
      <c r="AY95" s="591"/>
    </row>
    <row r="96" spans="1:51" ht="18.75" customHeight="1" x14ac:dyDescent="0.2">
      <c r="A96" s="2"/>
      <c r="B96" s="7"/>
      <c r="C96" s="2110"/>
      <c r="D96" s="2110"/>
      <c r="E96" s="2109"/>
      <c r="F96" s="2109"/>
      <c r="G96" s="297">
        <f>IF(G155="X",G46,0)</f>
        <v>0</v>
      </c>
      <c r="H96" s="297">
        <f>IF(H155="X",H46,0)</f>
        <v>0</v>
      </c>
      <c r="I96" s="657"/>
      <c r="J96" s="657"/>
      <c r="K96" s="297">
        <f>IF(I155="X",K46,0)</f>
        <v>0</v>
      </c>
      <c r="L96" s="657"/>
      <c r="M96" s="657"/>
      <c r="N96" s="297">
        <f>IF(J155="X",N46,0)</f>
        <v>0</v>
      </c>
      <c r="O96" s="2210" t="s">
        <v>353</v>
      </c>
      <c r="P96" s="2210"/>
      <c r="Q96" s="12"/>
      <c r="R96" s="462">
        <f>R97+R98</f>
        <v>0</v>
      </c>
      <c r="S96" s="2"/>
      <c r="T96" s="2"/>
      <c r="U96" s="2"/>
      <c r="V96" s="591"/>
      <c r="W96" s="591"/>
      <c r="X96" s="591"/>
      <c r="Y96" s="591"/>
      <c r="Z96" s="591"/>
      <c r="AA96" s="591"/>
      <c r="AB96" s="591"/>
      <c r="AC96" s="591"/>
      <c r="AG96" s="591"/>
      <c r="AH96" s="591"/>
      <c r="AI96" s="591"/>
      <c r="AJ96" s="591"/>
      <c r="AK96" s="591"/>
      <c r="AM96" s="591"/>
      <c r="AN96" s="591"/>
      <c r="AO96" s="591"/>
      <c r="AP96" s="591"/>
      <c r="AQ96" s="591"/>
      <c r="AS96" s="591"/>
      <c r="AT96" s="591"/>
      <c r="AU96" s="591"/>
      <c r="AV96" s="591"/>
      <c r="AW96" s="591"/>
      <c r="AY96" s="591"/>
    </row>
    <row r="97" spans="1:51" ht="18.75" customHeight="1" x14ac:dyDescent="0.25">
      <c r="A97" s="2"/>
      <c r="B97" s="7"/>
      <c r="C97" s="2032" t="s">
        <v>350</v>
      </c>
      <c r="D97" s="2032"/>
      <c r="E97" s="2032"/>
      <c r="F97" s="2032"/>
      <c r="G97" s="299"/>
      <c r="H97" s="299"/>
      <c r="I97" s="658"/>
      <c r="J97" s="658"/>
      <c r="K97" s="299"/>
      <c r="L97" s="658"/>
      <c r="M97" s="658"/>
      <c r="N97" s="299"/>
      <c r="O97" s="2221" t="s">
        <v>355</v>
      </c>
      <c r="P97" s="2221"/>
      <c r="Q97" s="12"/>
      <c r="R97" s="462">
        <f>SUM(G97:N97)</f>
        <v>0</v>
      </c>
      <c r="S97" s="462">
        <f>SUMIF($G$42:N$42,K$134,$G97:N97)</f>
        <v>0</v>
      </c>
      <c r="T97" s="1110" t="e">
        <f>S97/R97*100</f>
        <v>#DIV/0!</v>
      </c>
      <c r="U97" s="2"/>
      <c r="V97" s="591"/>
      <c r="W97" s="591"/>
      <c r="X97" s="591"/>
      <c r="Y97" s="591"/>
      <c r="Z97" s="591"/>
      <c r="AA97" s="591"/>
      <c r="AB97" s="591"/>
      <c r="AC97" s="591"/>
      <c r="AG97" s="591"/>
      <c r="AH97" s="591"/>
      <c r="AI97" s="591"/>
      <c r="AJ97" s="591"/>
      <c r="AK97" s="591"/>
      <c r="AM97" s="591"/>
      <c r="AN97" s="591"/>
      <c r="AO97" s="591"/>
      <c r="AP97" s="591"/>
      <c r="AQ97" s="591"/>
      <c r="AS97" s="591"/>
      <c r="AT97" s="591"/>
      <c r="AU97" s="591"/>
      <c r="AV97" s="591"/>
      <c r="AW97" s="591"/>
      <c r="AY97" s="591"/>
    </row>
    <row r="98" spans="1:51" ht="18.75" customHeight="1" x14ac:dyDescent="0.2">
      <c r="A98" s="2"/>
      <c r="B98" s="7"/>
      <c r="C98" s="2108" t="s">
        <v>490</v>
      </c>
      <c r="D98" s="2108"/>
      <c r="E98" s="2108"/>
      <c r="F98" s="2108"/>
      <c r="G98" s="300"/>
      <c r="H98" s="660"/>
      <c r="I98" s="659"/>
      <c r="J98" s="659"/>
      <c r="K98" s="660"/>
      <c r="L98" s="659"/>
      <c r="M98" s="659"/>
      <c r="N98" s="660"/>
      <c r="O98" s="2018" t="s">
        <v>349</v>
      </c>
      <c r="P98" s="2018"/>
      <c r="Q98" s="13"/>
      <c r="R98" s="462">
        <f>SUM(G98:N98)</f>
        <v>0</v>
      </c>
      <c r="S98" s="2"/>
      <c r="T98" s="2"/>
      <c r="U98" s="2"/>
      <c r="V98" s="591"/>
      <c r="W98" s="591"/>
      <c r="X98" s="591"/>
      <c r="Y98" s="591"/>
      <c r="Z98" s="591"/>
      <c r="AA98" s="591"/>
      <c r="AB98" s="591"/>
      <c r="AC98" s="591"/>
      <c r="AG98" s="591"/>
      <c r="AH98" s="591"/>
      <c r="AI98" s="591"/>
      <c r="AJ98" s="591"/>
      <c r="AK98" s="591"/>
      <c r="AM98" s="591"/>
      <c r="AN98" s="591"/>
      <c r="AO98" s="591"/>
      <c r="AP98" s="591"/>
      <c r="AQ98" s="591"/>
      <c r="AS98" s="591"/>
      <c r="AT98" s="591"/>
      <c r="AU98" s="591"/>
      <c r="AV98" s="591"/>
      <c r="AW98" s="591"/>
      <c r="AY98" s="591"/>
    </row>
    <row r="99" spans="1:51" ht="15" customHeight="1" x14ac:dyDescent="0.2">
      <c r="A99" s="2"/>
      <c r="B99" s="2"/>
      <c r="C99" s="10"/>
      <c r="D99" s="10"/>
      <c r="E99" s="10"/>
      <c r="F99" s="10"/>
      <c r="G99" s="91" t="str">
        <f>IF(AND(SUM(G97:G98)&lt;&gt;0,G152=0),$L$152,IF(G152=0,"",IF(G97=0,IMPOSTAZIONI!$J$383,IF((G97+G98)&lt;&gt;G96,IMPOSTAZIONI!$M$383,IMPOSTAZIONI!$H$383))))</f>
        <v/>
      </c>
      <c r="H99" s="91" t="str">
        <f>IF(AND(SUM(H97:H98)&lt;&gt;0,H152=0),$L$152,IF(H152=0,"",IF(H97=0,IMPOSTAZIONI!$J$383,IF((H97+H98)&lt;&gt;H96,IMPOSTAZIONI!$M$383,IMPOSTAZIONI!$H$383))))</f>
        <v/>
      </c>
      <c r="I99" s="91"/>
      <c r="J99" s="91"/>
      <c r="K99" s="91" t="str">
        <f>IF(AND(SUM(K97:K98)&lt;&gt;0,I152=0),$L$152,IF(I152=0,"",IF(K97=0,IMPOSTAZIONI!$J$383,IF((K97+K98)&lt;&gt;K96,IMPOSTAZIONI!$M$383,IMPOSTAZIONI!$H$383))))</f>
        <v/>
      </c>
      <c r="L99" s="91"/>
      <c r="M99" s="91"/>
      <c r="N99" s="91" t="str">
        <f>IF(AND(SUM(N97:N98)&lt;&gt;0,J152=0),$L$152,IF(J152=0,"",IF(N97=0,IMPOSTAZIONI!$J$383,IF((N97+N98)&lt;&gt;N96,IMPOSTAZIONI!$M$383,IMPOSTAZIONI!$H$383))))</f>
        <v/>
      </c>
      <c r="O99" s="10"/>
      <c r="P99" s="10"/>
      <c r="Q99" s="2"/>
      <c r="R99" s="2"/>
      <c r="S99" s="2"/>
      <c r="T99" s="2"/>
      <c r="U99" s="2"/>
      <c r="V99" s="591"/>
      <c r="W99" s="591"/>
      <c r="X99" s="591"/>
      <c r="Y99" s="591"/>
      <c r="Z99" s="591"/>
      <c r="AA99" s="591"/>
      <c r="AB99" s="591"/>
      <c r="AC99" s="591"/>
      <c r="AG99" s="591"/>
      <c r="AH99" s="591"/>
      <c r="AI99" s="591"/>
      <c r="AJ99" s="591"/>
      <c r="AK99" s="591"/>
      <c r="AM99" s="591"/>
      <c r="AN99" s="591"/>
      <c r="AO99" s="591"/>
      <c r="AP99" s="591"/>
      <c r="AQ99" s="591"/>
      <c r="AS99" s="591"/>
      <c r="AT99" s="591"/>
      <c r="AU99" s="591"/>
      <c r="AV99" s="591"/>
      <c r="AW99" s="591"/>
      <c r="AY99" s="591"/>
    </row>
    <row r="100" spans="1:51" ht="21" customHeight="1" x14ac:dyDescent="0.2">
      <c r="A100" s="2"/>
      <c r="B100" s="2"/>
      <c r="C100" s="2116" t="s">
        <v>354</v>
      </c>
      <c r="D100" s="2116"/>
      <c r="E100" s="2116"/>
      <c r="F100" s="2116"/>
      <c r="G100" s="2"/>
      <c r="H100" s="2"/>
      <c r="I100" s="2"/>
      <c r="J100" s="2"/>
      <c r="K100" s="2"/>
      <c r="L100" s="2"/>
      <c r="M100" s="2"/>
      <c r="N100" s="2"/>
      <c r="O100" s="2"/>
      <c r="P100" s="2"/>
      <c r="Q100" s="2"/>
      <c r="R100" s="2"/>
      <c r="S100" s="2"/>
      <c r="T100" s="128" t="s">
        <v>783</v>
      </c>
      <c r="U100" s="2"/>
      <c r="V100" s="591"/>
      <c r="W100" s="591"/>
      <c r="X100" s="591"/>
      <c r="Y100" s="591"/>
      <c r="Z100" s="591"/>
      <c r="AA100" s="591"/>
      <c r="AB100" s="591"/>
      <c r="AC100" s="591"/>
      <c r="AG100" s="591"/>
      <c r="AH100" s="591"/>
      <c r="AI100" s="591"/>
      <c r="AJ100" s="591"/>
      <c r="AK100" s="591"/>
      <c r="AM100" s="591"/>
      <c r="AN100" s="591"/>
      <c r="AO100" s="591"/>
      <c r="AP100" s="591"/>
      <c r="AQ100" s="591"/>
      <c r="AS100" s="591"/>
      <c r="AT100" s="591"/>
      <c r="AU100" s="591"/>
      <c r="AV100" s="591"/>
      <c r="AW100" s="591"/>
      <c r="AY100" s="591"/>
    </row>
    <row r="101" spans="1:51" ht="16.5" customHeight="1" x14ac:dyDescent="0.2">
      <c r="A101" s="2"/>
      <c r="B101" s="18" t="e">
        <f>VERIFICA!#REF!</f>
        <v>#REF!</v>
      </c>
      <c r="C101" s="2106" t="str">
        <f>IF(AND(RIEPILOGO!B8="",SUM(G101:N101)&gt;0),"ERROR",RIEPILOGO!B8)</f>
        <v>Aliquota 22 %</v>
      </c>
      <c r="D101" s="2106"/>
      <c r="E101" s="2106"/>
      <c r="F101" s="2106"/>
      <c r="G101" s="236"/>
      <c r="H101" s="236"/>
      <c r="I101" s="658"/>
      <c r="J101" s="658"/>
      <c r="K101" s="236"/>
      <c r="L101" s="658"/>
      <c r="M101" s="658"/>
      <c r="N101" s="236"/>
      <c r="O101" s="2218" t="s">
        <v>349</v>
      </c>
      <c r="P101" s="2218"/>
      <c r="Q101" s="12"/>
      <c r="R101" s="93">
        <f>SUM(G101:N101)</f>
        <v>0</v>
      </c>
      <c r="S101" s="93">
        <f>SUMIF($G$42:N$42,K$134,$G101:N101)</f>
        <v>0</v>
      </c>
      <c r="T101" s="1110" t="e">
        <f>S101/R101*100</f>
        <v>#DIV/0!</v>
      </c>
      <c r="U101" s="2"/>
      <c r="V101" s="591"/>
      <c r="W101" s="591"/>
      <c r="X101" s="591"/>
      <c r="Y101" s="591"/>
      <c r="Z101" s="591"/>
      <c r="AA101" s="591"/>
      <c r="AB101" s="591"/>
      <c r="AC101" s="591"/>
      <c r="AG101" s="591"/>
      <c r="AH101" s="591"/>
      <c r="AI101" s="591"/>
      <c r="AJ101" s="591"/>
      <c r="AK101" s="591"/>
      <c r="AM101" s="591"/>
      <c r="AN101" s="591"/>
      <c r="AO101" s="591"/>
      <c r="AP101" s="591"/>
      <c r="AQ101" s="591"/>
      <c r="AS101" s="591"/>
      <c r="AT101" s="591"/>
      <c r="AU101" s="591"/>
      <c r="AV101" s="591"/>
      <c r="AW101" s="591"/>
      <c r="AY101" s="591"/>
    </row>
    <row r="102" spans="1:51" ht="16.5" customHeight="1" x14ac:dyDescent="0.2">
      <c r="A102" s="2"/>
      <c r="B102" s="18" t="e">
        <f>VERIFICA!#REF!</f>
        <v>#REF!</v>
      </c>
      <c r="C102" s="2106" t="str">
        <f>IF(AND(RIEPILOGO!B9="",SUM(G102:N102)&gt;0),"ERROR",RIEPILOGO!B9)</f>
        <v>Aliquota 10 %</v>
      </c>
      <c r="D102" s="2106"/>
      <c r="E102" s="2106"/>
      <c r="F102" s="2106"/>
      <c r="G102" s="237"/>
      <c r="H102" s="237"/>
      <c r="I102" s="658"/>
      <c r="J102" s="658"/>
      <c r="K102" s="237"/>
      <c r="L102" s="658"/>
      <c r="M102" s="658"/>
      <c r="N102" s="237"/>
      <c r="O102" s="2218" t="s">
        <v>349</v>
      </c>
      <c r="P102" s="2218"/>
      <c r="Q102" s="12"/>
      <c r="R102" s="94">
        <f>SUM(G102:N102)</f>
        <v>0</v>
      </c>
      <c r="S102" s="94">
        <f>SUMIF($G$42:N$42,K$134,$G102:N102)</f>
        <v>0</v>
      </c>
      <c r="T102" s="1110" t="e">
        <f>S102/R102*100</f>
        <v>#DIV/0!</v>
      </c>
      <c r="U102" s="2"/>
      <c r="V102" s="591"/>
      <c r="W102" s="591"/>
      <c r="X102" s="591"/>
      <c r="Y102" s="591"/>
      <c r="Z102" s="591"/>
      <c r="AA102" s="591"/>
      <c r="AB102" s="591"/>
      <c r="AC102" s="591"/>
      <c r="AG102" s="591"/>
      <c r="AH102" s="591"/>
      <c r="AI102" s="591"/>
      <c r="AJ102" s="591"/>
      <c r="AK102" s="591"/>
      <c r="AM102" s="591"/>
      <c r="AN102" s="591"/>
      <c r="AO102" s="591"/>
      <c r="AP102" s="591"/>
      <c r="AQ102" s="591"/>
      <c r="AS102" s="591"/>
      <c r="AT102" s="591"/>
      <c r="AU102" s="591"/>
      <c r="AV102" s="591"/>
      <c r="AW102" s="591"/>
      <c r="AY102" s="591"/>
    </row>
    <row r="103" spans="1:51" ht="16.5" customHeight="1" x14ac:dyDescent="0.2">
      <c r="A103" s="2"/>
      <c r="B103" s="18" t="e">
        <f>VERIFICA!#REF!</f>
        <v>#REF!</v>
      </c>
      <c r="C103" s="2106" t="str">
        <f>IF(AND(RIEPILOGO!B10="",SUM(G103:N103)&gt;0),"ERROR",RIEPILOGO!B10)</f>
        <v>Aliquota 4 %</v>
      </c>
      <c r="D103" s="2106"/>
      <c r="E103" s="2106"/>
      <c r="F103" s="2106"/>
      <c r="G103" s="304"/>
      <c r="H103" s="304"/>
      <c r="I103" s="658"/>
      <c r="J103" s="658"/>
      <c r="K103" s="304"/>
      <c r="L103" s="658"/>
      <c r="M103" s="658"/>
      <c r="N103" s="304"/>
      <c r="O103" s="2218" t="s">
        <v>349</v>
      </c>
      <c r="P103" s="2218"/>
      <c r="Q103" s="12"/>
      <c r="R103" s="94">
        <f>SUM(G103:N103)</f>
        <v>0</v>
      </c>
      <c r="S103" s="94">
        <f>SUMIF($G$42:N$42,K$134,$G103:N103)</f>
        <v>0</v>
      </c>
      <c r="T103" s="1110" t="e">
        <f>S103/R103*100</f>
        <v>#DIV/0!</v>
      </c>
      <c r="U103" s="2"/>
      <c r="V103" s="591"/>
      <c r="W103" s="591"/>
      <c r="X103" s="591"/>
      <c r="Y103" s="591"/>
      <c r="Z103" s="591"/>
      <c r="AA103" s="591"/>
      <c r="AB103" s="591"/>
      <c r="AC103" s="591"/>
      <c r="AG103" s="591"/>
      <c r="AH103" s="591"/>
      <c r="AI103" s="591"/>
      <c r="AJ103" s="591"/>
      <c r="AK103" s="591"/>
      <c r="AM103" s="591"/>
      <c r="AN103" s="591"/>
      <c r="AO103" s="591"/>
      <c r="AP103" s="591"/>
      <c r="AQ103" s="591"/>
      <c r="AS103" s="591"/>
      <c r="AT103" s="591"/>
      <c r="AU103" s="591"/>
      <c r="AV103" s="591"/>
      <c r="AW103" s="591"/>
      <c r="AY103" s="591"/>
    </row>
    <row r="104" spans="1:51" ht="16.5" customHeight="1" x14ac:dyDescent="0.2">
      <c r="A104" s="2"/>
      <c r="B104" s="18" t="e">
        <f>VERIFICA!#REF!</f>
        <v>#REF!</v>
      </c>
      <c r="C104" s="2106" t="str">
        <f>IF(AND(RIEPILOGO!B11="",SUM(G104:N104)&gt;0),"ERROR",RIEPILOGO!B11)</f>
        <v/>
      </c>
      <c r="D104" s="2106"/>
      <c r="E104" s="2106"/>
      <c r="F104" s="2106"/>
      <c r="G104" s="304"/>
      <c r="H104" s="660"/>
      <c r="I104" s="659"/>
      <c r="J104" s="659"/>
      <c r="K104" s="660"/>
      <c r="L104" s="659"/>
      <c r="M104" s="659"/>
      <c r="N104" s="660"/>
      <c r="O104" s="2217" t="s">
        <v>349</v>
      </c>
      <c r="P104" s="2217"/>
      <c r="Q104" s="12"/>
      <c r="R104" s="95">
        <f>SUM(G104:N104)</f>
        <v>0</v>
      </c>
      <c r="S104" s="95">
        <f>SUMIF($G$42:N$42,K$134,$G104:N104)</f>
        <v>0</v>
      </c>
      <c r="T104" s="1110" t="e">
        <f>S104/R104*100</f>
        <v>#DIV/0!</v>
      </c>
      <c r="U104" s="2"/>
      <c r="V104" s="591"/>
      <c r="W104" s="591"/>
      <c r="X104" s="591"/>
      <c r="Y104" s="591"/>
      <c r="Z104" s="591"/>
      <c r="AA104" s="591"/>
      <c r="AB104" s="591"/>
      <c r="AC104" s="591"/>
      <c r="AG104" s="591"/>
      <c r="AH104" s="591"/>
      <c r="AI104" s="591"/>
      <c r="AJ104" s="591"/>
      <c r="AK104" s="591"/>
      <c r="AM104" s="591"/>
      <c r="AN104" s="591"/>
      <c r="AO104" s="591"/>
      <c r="AP104" s="591"/>
      <c r="AQ104" s="591"/>
      <c r="AS104" s="591"/>
      <c r="AT104" s="591"/>
      <c r="AU104" s="591"/>
      <c r="AV104" s="591"/>
      <c r="AW104" s="591"/>
      <c r="AY104" s="591"/>
    </row>
    <row r="105" spans="1:51" ht="15" customHeight="1" x14ac:dyDescent="0.2">
      <c r="A105" s="2"/>
      <c r="B105" s="2"/>
      <c r="C105" s="10"/>
      <c r="D105" s="10"/>
      <c r="E105" s="10"/>
      <c r="F105" s="10"/>
      <c r="G105" s="91" t="str">
        <f>IF(AND(SUM(G101:G104)&lt;&gt;0,G152=0),$L$152,IF(G152=0,"",IF(SUM(G101:G104)&lt;&gt;G98,IMPOSTAZIONI!$J$383,IF(SUM(G101:G104)&lt;&gt;G98,IMPOSTAZIONI!$M$383,IMPOSTAZIONI!$H$383))))</f>
        <v/>
      </c>
      <c r="H105" s="91" t="str">
        <f>IF(AND(SUM(H101:H104)&lt;&gt;0,H152=0),$L$152,IF(H152=0,"",IF(SUM(H101:H104)&lt;&gt;H98,IMPOSTAZIONI!$J$383,IF(SUM(H101:H104)&lt;&gt;H98,IMPOSTAZIONI!$M$383,IMPOSTAZIONI!$H$383))))</f>
        <v/>
      </c>
      <c r="I105" s="91"/>
      <c r="J105" s="91"/>
      <c r="K105" s="91" t="str">
        <f>IF(AND(SUM(K101:K104)&lt;&gt;0,I152=0),$L$152,IF(I152=0,"",IF(SUM(K101:K104)&lt;&gt;K98,IMPOSTAZIONI!$J$383,IF(SUM(K101:K104)&lt;&gt;K98,IMPOSTAZIONI!$M$383,IMPOSTAZIONI!$H$383))))</f>
        <v/>
      </c>
      <c r="L105" s="91"/>
      <c r="M105" s="91"/>
      <c r="N105" s="91" t="str">
        <f>IF(AND(SUM(N101:N104)&lt;&gt;0,J152=0),$L$152,IF(J152=0,"",IF(SUM(N101:N104)&lt;&gt;N98,IMPOSTAZIONI!$J$383,IF(SUM(N101:N104)&lt;&gt;N98,IMPOSTAZIONI!$M$383,IMPOSTAZIONI!$H$383))))</f>
        <v/>
      </c>
      <c r="O105" s="10"/>
      <c r="P105" s="10"/>
      <c r="Q105" s="2"/>
      <c r="R105" s="2"/>
      <c r="S105" s="2"/>
      <c r="T105" s="2"/>
      <c r="U105" s="2"/>
      <c r="V105" s="591"/>
      <c r="W105" s="591"/>
      <c r="X105" s="591"/>
      <c r="Y105" s="591"/>
      <c r="Z105" s="591"/>
      <c r="AA105" s="591"/>
      <c r="AB105" s="591"/>
      <c r="AC105" s="591"/>
      <c r="AG105" s="591"/>
      <c r="AH105" s="591"/>
      <c r="AI105" s="591"/>
      <c r="AJ105" s="591"/>
      <c r="AK105" s="591"/>
      <c r="AM105" s="591"/>
      <c r="AN105" s="591"/>
      <c r="AO105" s="591"/>
      <c r="AP105" s="591"/>
      <c r="AQ105" s="591"/>
      <c r="AS105" s="591"/>
      <c r="AT105" s="591"/>
      <c r="AU105" s="591"/>
      <c r="AV105" s="591"/>
      <c r="AW105" s="591"/>
      <c r="AY105" s="591"/>
    </row>
    <row r="106" spans="1:51" ht="21" customHeight="1" x14ac:dyDescent="0.2">
      <c r="A106" s="2"/>
      <c r="B106" s="2"/>
      <c r="C106" s="2"/>
      <c r="D106" s="2"/>
      <c r="E106" s="2"/>
      <c r="F106" s="2"/>
      <c r="G106" s="2"/>
      <c r="H106" s="2"/>
      <c r="I106" s="2"/>
      <c r="J106" s="2"/>
      <c r="K106" s="2"/>
      <c r="L106" s="2"/>
      <c r="M106" s="2"/>
      <c r="N106" s="2"/>
      <c r="O106" s="2"/>
      <c r="P106" s="2"/>
      <c r="Q106" s="2"/>
      <c r="R106" s="2"/>
      <c r="S106" s="2"/>
      <c r="T106" s="2"/>
      <c r="U106" s="2"/>
      <c r="V106" s="591"/>
      <c r="W106" s="591"/>
      <c r="X106" s="591"/>
      <c r="Y106" s="591"/>
      <c r="Z106" s="591"/>
      <c r="AA106" s="591"/>
      <c r="AB106" s="591"/>
      <c r="AC106" s="591"/>
      <c r="AG106" s="591"/>
      <c r="AH106" s="591"/>
      <c r="AI106" s="591"/>
      <c r="AJ106" s="591"/>
      <c r="AK106" s="591"/>
      <c r="AM106" s="591"/>
      <c r="AN106" s="591"/>
      <c r="AO106" s="591"/>
      <c r="AP106" s="591"/>
      <c r="AQ106" s="591"/>
      <c r="AS106" s="591"/>
      <c r="AT106" s="591"/>
      <c r="AU106" s="591"/>
      <c r="AV106" s="591"/>
      <c r="AW106" s="591"/>
      <c r="AY106" s="591"/>
    </row>
    <row r="107" spans="1:51" ht="21" customHeight="1" x14ac:dyDescent="0.2">
      <c r="A107" s="2"/>
      <c r="B107" s="2"/>
      <c r="C107" s="2"/>
      <c r="D107" s="2"/>
      <c r="E107" s="2"/>
      <c r="F107" s="278" t="s">
        <v>324</v>
      </c>
      <c r="G107" s="2"/>
      <c r="H107" s="2"/>
      <c r="I107" s="256"/>
      <c r="J107" s="256"/>
      <c r="K107" s="256"/>
      <c r="L107" s="2"/>
      <c r="M107" s="2"/>
      <c r="N107" s="2"/>
      <c r="O107" s="2"/>
      <c r="P107" s="2"/>
      <c r="Q107" s="2"/>
      <c r="R107" s="2"/>
      <c r="S107" s="2"/>
      <c r="T107" s="2"/>
      <c r="U107" s="2"/>
      <c r="V107" s="591"/>
      <c r="W107" s="591"/>
      <c r="X107" s="591"/>
      <c r="Y107" s="591"/>
      <c r="Z107" s="591"/>
      <c r="AA107" s="591"/>
      <c r="AB107" s="591"/>
      <c r="AC107" s="591"/>
      <c r="AG107" s="591"/>
      <c r="AH107" s="591"/>
      <c r="AI107" s="591"/>
      <c r="AJ107" s="591"/>
      <c r="AK107" s="591"/>
      <c r="AM107" s="591"/>
      <c r="AN107" s="591"/>
      <c r="AO107" s="591"/>
      <c r="AP107" s="591"/>
      <c r="AQ107" s="591"/>
      <c r="AS107" s="591"/>
      <c r="AT107" s="591"/>
      <c r="AU107" s="591"/>
      <c r="AV107" s="591"/>
      <c r="AW107" s="591"/>
      <c r="AY107" s="591"/>
    </row>
    <row r="108" spans="1:51" ht="18.75" customHeight="1" x14ac:dyDescent="0.2">
      <c r="A108" s="2"/>
      <c r="B108" s="2"/>
      <c r="C108" s="2"/>
      <c r="D108" s="2"/>
      <c r="E108" s="2"/>
      <c r="F108" s="763" t="s">
        <v>735</v>
      </c>
      <c r="G108" s="763"/>
      <c r="H108" s="763"/>
      <c r="I108" s="763"/>
      <c r="J108" s="2"/>
      <c r="K108" s="666">
        <f>E7</f>
        <v>0</v>
      </c>
      <c r="L108" s="2245">
        <f>K108-(SUM(G7:H7)+K7+N7)+SUMIF(G42:N42,K134,G7:N7)</f>
        <v>0</v>
      </c>
      <c r="M108" s="2246"/>
      <c r="N108" s="1045" t="s">
        <v>492</v>
      </c>
      <c r="O108" s="2"/>
      <c r="P108" s="2"/>
      <c r="Q108" s="2"/>
      <c r="R108" s="2"/>
      <c r="S108" s="2"/>
      <c r="T108" s="2"/>
      <c r="U108" s="2"/>
      <c r="V108" s="591"/>
      <c r="W108" s="591"/>
      <c r="X108" s="591"/>
      <c r="Y108" s="591"/>
      <c r="Z108" s="591"/>
      <c r="AA108" s="591"/>
      <c r="AB108" s="591"/>
      <c r="AC108" s="591"/>
      <c r="AG108" s="591"/>
      <c r="AH108" s="591"/>
      <c r="AI108" s="591"/>
      <c r="AJ108" s="591"/>
      <c r="AK108" s="591"/>
      <c r="AM108" s="591"/>
      <c r="AN108" s="591"/>
      <c r="AO108" s="591"/>
      <c r="AP108" s="591"/>
      <c r="AQ108" s="591"/>
      <c r="AS108" s="591"/>
      <c r="AT108" s="591"/>
      <c r="AU108" s="591"/>
      <c r="AV108" s="591"/>
      <c r="AW108" s="591"/>
      <c r="AY108" s="591"/>
    </row>
    <row r="109" spans="1:51" ht="18.75" customHeight="1" x14ac:dyDescent="0.2">
      <c r="A109" s="2"/>
      <c r="B109" s="2"/>
      <c r="C109" s="2"/>
      <c r="D109" s="2"/>
      <c r="E109" s="2"/>
      <c r="F109" s="764" t="s">
        <v>736</v>
      </c>
      <c r="G109" s="764"/>
      <c r="H109" s="764"/>
      <c r="I109" s="764"/>
      <c r="J109" s="2"/>
      <c r="K109" s="279">
        <f>E39</f>
        <v>0</v>
      </c>
      <c r="L109" s="2247">
        <f>K109-(SUM(G39:H39)+K39+N39)+SUMIF(G42:N42,K134,G39:N39)</f>
        <v>0</v>
      </c>
      <c r="M109" s="2248"/>
      <c r="N109" s="1046" t="s">
        <v>493</v>
      </c>
      <c r="O109" s="2"/>
      <c r="P109" s="2"/>
      <c r="Q109" s="2"/>
      <c r="R109" s="2"/>
      <c r="S109" s="2"/>
      <c r="T109" s="2"/>
      <c r="U109" s="2"/>
      <c r="V109" s="591"/>
      <c r="W109" s="591"/>
      <c r="X109" s="591"/>
      <c r="Y109" s="591"/>
      <c r="Z109" s="591"/>
      <c r="AA109" s="591"/>
      <c r="AB109" s="591"/>
      <c r="AC109" s="591"/>
      <c r="AG109" s="591"/>
      <c r="AH109" s="591"/>
      <c r="AI109" s="591"/>
      <c r="AJ109" s="591"/>
      <c r="AK109" s="591"/>
      <c r="AM109" s="591"/>
      <c r="AN109" s="591"/>
      <c r="AO109" s="591"/>
      <c r="AP109" s="591"/>
      <c r="AQ109" s="591"/>
      <c r="AS109" s="591"/>
      <c r="AT109" s="591"/>
      <c r="AU109" s="591"/>
      <c r="AV109" s="591"/>
      <c r="AW109" s="591"/>
      <c r="AY109" s="591"/>
    </row>
    <row r="110" spans="1:51" ht="19.5" customHeight="1" x14ac:dyDescent="0.25">
      <c r="A110" s="2"/>
      <c r="B110" s="2"/>
      <c r="C110" s="2"/>
      <c r="D110" s="2"/>
      <c r="E110" s="2"/>
      <c r="F110" s="661" t="s">
        <v>485</v>
      </c>
      <c r="G110" s="661"/>
      <c r="H110" s="661"/>
      <c r="I110" s="661"/>
      <c r="J110" s="2"/>
      <c r="K110" s="661"/>
      <c r="L110" s="668"/>
      <c r="M110" s="662"/>
      <c r="N110" s="2"/>
      <c r="O110" s="2"/>
      <c r="P110" s="2"/>
      <c r="Q110" s="2"/>
      <c r="R110" s="2"/>
      <c r="S110" s="2"/>
      <c r="T110" s="2"/>
      <c r="U110" s="2"/>
      <c r="V110" s="591"/>
      <c r="W110" s="591"/>
      <c r="X110" s="591"/>
      <c r="Y110" s="591"/>
      <c r="Z110" s="591"/>
      <c r="AA110" s="591"/>
      <c r="AB110" s="591"/>
      <c r="AC110" s="591"/>
      <c r="AG110" s="591"/>
      <c r="AH110" s="591"/>
      <c r="AI110" s="591"/>
      <c r="AJ110" s="591"/>
      <c r="AK110" s="591"/>
      <c r="AM110" s="591"/>
      <c r="AN110" s="591"/>
      <c r="AO110" s="591"/>
      <c r="AP110" s="591"/>
      <c r="AQ110" s="591"/>
      <c r="AS110" s="591"/>
      <c r="AT110" s="591"/>
      <c r="AU110" s="591"/>
      <c r="AV110" s="591"/>
      <c r="AW110" s="591"/>
      <c r="AY110" s="591"/>
    </row>
    <row r="111" spans="1:51" ht="19.5" customHeight="1" x14ac:dyDescent="0.2">
      <c r="A111" s="2"/>
      <c r="B111" s="2"/>
      <c r="C111" s="2"/>
      <c r="D111" s="2"/>
      <c r="E111" s="2"/>
      <c r="F111" s="663" t="s">
        <v>480</v>
      </c>
      <c r="G111" s="663"/>
      <c r="H111" s="663"/>
      <c r="I111" s="663"/>
      <c r="J111" s="2"/>
      <c r="K111" s="663"/>
      <c r="L111" s="669"/>
      <c r="M111" s="664"/>
      <c r="N111" s="2"/>
      <c r="O111" s="2"/>
      <c r="P111" s="2"/>
      <c r="Q111" s="2"/>
      <c r="R111" s="2"/>
      <c r="S111" s="2"/>
      <c r="T111" s="2"/>
      <c r="U111" s="2"/>
      <c r="V111" s="591"/>
      <c r="W111" s="591"/>
      <c r="X111" s="591"/>
      <c r="Y111" s="591"/>
      <c r="Z111" s="591"/>
      <c r="AA111" s="591"/>
      <c r="AB111" s="591"/>
      <c r="AC111" s="591"/>
      <c r="AG111" s="591"/>
      <c r="AH111" s="591"/>
      <c r="AI111" s="591"/>
      <c r="AJ111" s="591"/>
      <c r="AK111" s="591"/>
      <c r="AM111" s="591"/>
      <c r="AN111" s="591"/>
      <c r="AO111" s="591"/>
      <c r="AP111" s="591"/>
      <c r="AQ111" s="591"/>
      <c r="AS111" s="591"/>
      <c r="AT111" s="591"/>
      <c r="AU111" s="591"/>
      <c r="AV111" s="591"/>
      <c r="AW111" s="591"/>
      <c r="AY111" s="591"/>
    </row>
    <row r="112" spans="1:51" ht="21" customHeight="1" x14ac:dyDescent="0.2">
      <c r="A112" s="2"/>
      <c r="B112" s="2"/>
      <c r="C112" s="2"/>
      <c r="D112" s="2"/>
      <c r="E112" s="2"/>
      <c r="F112" s="256" t="s">
        <v>97</v>
      </c>
      <c r="G112" s="104"/>
      <c r="H112" s="104"/>
      <c r="I112" s="104"/>
      <c r="J112" s="2"/>
      <c r="K112" s="104"/>
      <c r="L112" s="484"/>
      <c r="M112" s="665"/>
      <c r="N112" s="2"/>
      <c r="O112" s="2"/>
      <c r="P112" s="2"/>
      <c r="Q112" s="2"/>
      <c r="R112" s="2"/>
      <c r="S112" s="2"/>
      <c r="T112" s="2"/>
      <c r="U112" s="2"/>
      <c r="V112" s="591"/>
      <c r="W112" s="591"/>
      <c r="X112" s="591"/>
      <c r="Y112" s="591"/>
      <c r="Z112" s="591"/>
      <c r="AA112" s="591"/>
      <c r="AB112" s="591"/>
      <c r="AC112" s="591"/>
      <c r="AG112" s="591"/>
      <c r="AH112" s="591"/>
      <c r="AI112" s="591"/>
      <c r="AJ112" s="591"/>
      <c r="AK112" s="591"/>
      <c r="AM112" s="591"/>
      <c r="AN112" s="591"/>
      <c r="AO112" s="591"/>
      <c r="AP112" s="591"/>
      <c r="AQ112" s="591"/>
      <c r="AS112" s="591"/>
      <c r="AT112" s="591"/>
      <c r="AU112" s="591"/>
      <c r="AV112" s="591"/>
      <c r="AW112" s="591"/>
      <c r="AY112" s="591"/>
    </row>
    <row r="113" spans="1:51" ht="12" customHeight="1" x14ac:dyDescent="0.2">
      <c r="A113" s="2"/>
      <c r="B113" s="2"/>
      <c r="C113" s="2"/>
      <c r="D113" s="2"/>
      <c r="E113" s="2"/>
      <c r="F113" s="2"/>
      <c r="G113" s="2"/>
      <c r="H113" s="2"/>
      <c r="I113" s="2"/>
      <c r="J113" s="2"/>
      <c r="K113" s="2"/>
      <c r="L113" s="14"/>
      <c r="M113" s="139"/>
      <c r="N113" s="2"/>
      <c r="O113" s="2"/>
      <c r="P113" s="2"/>
      <c r="Q113" s="2"/>
      <c r="R113" s="2"/>
      <c r="S113" s="2"/>
      <c r="T113" s="2"/>
      <c r="U113" s="2"/>
      <c r="V113" s="591"/>
      <c r="W113" s="591"/>
      <c r="X113" s="591"/>
      <c r="Y113" s="591"/>
      <c r="Z113" s="591"/>
      <c r="AA113" s="591"/>
      <c r="AB113" s="591"/>
      <c r="AC113" s="591"/>
      <c r="AG113" s="591"/>
      <c r="AH113" s="591"/>
      <c r="AI113" s="591"/>
      <c r="AJ113" s="591"/>
      <c r="AK113" s="591"/>
      <c r="AM113" s="591"/>
      <c r="AN113" s="591"/>
      <c r="AO113" s="591"/>
      <c r="AP113" s="591"/>
      <c r="AQ113" s="591"/>
      <c r="AS113" s="591"/>
      <c r="AT113" s="591"/>
      <c r="AU113" s="591"/>
      <c r="AV113" s="591"/>
      <c r="AW113" s="591"/>
      <c r="AY113" s="591"/>
    </row>
    <row r="114" spans="1:51" ht="15" hidden="1" customHeight="1" x14ac:dyDescent="0.2">
      <c r="A114" s="2"/>
      <c r="B114" s="2"/>
      <c r="C114" s="2"/>
      <c r="D114" s="2"/>
      <c r="E114" s="2"/>
      <c r="F114" s="2"/>
      <c r="G114" s="103">
        <f>IF(ISERROR(G$135),HLOOKUP(L$138,$J$138:$L$138,1,FALSE),HLOOKUP(G$135,$G$129:$I129,1,FALSE))</f>
        <v>3</v>
      </c>
      <c r="H114" s="103">
        <f>IF(ISERROR(H$135),HLOOKUP(K$138,$J$138:$L$138,1,FALSE),HLOOKUP(H$135,$G$129:$I129,1,FALSE))</f>
        <v>2</v>
      </c>
      <c r="I114" s="2053">
        <f>IF(ISERROR(I$135),HLOOKUP(J$138,$J$138:$L$138,1,FALSE),HLOOKUP(I$135,$G$129:$I129,1,FALSE))</f>
        <v>1</v>
      </c>
      <c r="J114" s="2053"/>
      <c r="K114" s="2"/>
      <c r="L114" s="14"/>
      <c r="M114" s="139"/>
      <c r="N114" s="2"/>
      <c r="O114" s="2"/>
      <c r="P114" s="2"/>
      <c r="Q114" s="2"/>
      <c r="R114" s="2"/>
      <c r="S114" s="2"/>
      <c r="T114" s="2"/>
      <c r="U114" s="2"/>
      <c r="V114" s="591"/>
      <c r="W114" s="591"/>
      <c r="X114" s="591"/>
      <c r="Y114" s="591"/>
      <c r="Z114" s="591"/>
      <c r="AA114" s="591"/>
      <c r="AB114" s="591"/>
      <c r="AC114" s="591"/>
      <c r="AG114" s="591"/>
      <c r="AH114" s="591"/>
      <c r="AI114" s="591"/>
      <c r="AJ114" s="591"/>
      <c r="AK114" s="591"/>
      <c r="AM114" s="591"/>
      <c r="AN114" s="591"/>
      <c r="AO114" s="591"/>
      <c r="AP114" s="591"/>
      <c r="AQ114" s="591"/>
      <c r="AS114" s="591"/>
      <c r="AT114" s="591"/>
      <c r="AU114" s="591"/>
      <c r="AV114" s="591"/>
      <c r="AW114" s="591"/>
      <c r="AY114" s="591"/>
    </row>
    <row r="115" spans="1:51" ht="21" hidden="1" customHeight="1" x14ac:dyDescent="0.2">
      <c r="A115" s="2"/>
      <c r="B115" s="2"/>
      <c r="C115" s="2"/>
      <c r="D115" s="2"/>
      <c r="E115" s="2"/>
      <c r="F115" s="2"/>
      <c r="G115" s="129">
        <f>IF(ISERROR(G$135),0,HLOOKUP(G$135,$G$129:$I130,2,FALSE))</f>
        <v>0</v>
      </c>
      <c r="H115" s="129">
        <f>IF(ISERROR(H$135),0,HLOOKUP(H$135,$G$129:$I130,2,FALSE))</f>
        <v>0</v>
      </c>
      <c r="I115" s="2244">
        <f>IF(ISERROR(I$135),0,HLOOKUP(I$135,$G$129:$I130,2,FALSE))</f>
        <v>0</v>
      </c>
      <c r="J115" s="2244"/>
      <c r="K115" s="2"/>
      <c r="L115" s="14"/>
      <c r="M115" s="139"/>
      <c r="N115" s="2"/>
      <c r="O115" s="2"/>
      <c r="P115" s="2"/>
      <c r="Q115" s="2"/>
      <c r="R115" s="2"/>
      <c r="S115" s="2"/>
      <c r="T115" s="2"/>
      <c r="U115" s="2"/>
      <c r="V115" s="591"/>
      <c r="W115" s="591"/>
      <c r="X115" s="591"/>
      <c r="Y115" s="591"/>
      <c r="Z115" s="591"/>
      <c r="AA115" s="591"/>
      <c r="AB115" s="591"/>
      <c r="AC115" s="591"/>
      <c r="AG115" s="591"/>
      <c r="AH115" s="591"/>
      <c r="AI115" s="591"/>
      <c r="AJ115" s="591"/>
      <c r="AK115" s="591"/>
      <c r="AM115" s="591"/>
      <c r="AN115" s="591"/>
      <c r="AO115" s="591"/>
      <c r="AP115" s="591"/>
      <c r="AQ115" s="591"/>
      <c r="AS115" s="591"/>
      <c r="AT115" s="591"/>
      <c r="AU115" s="591"/>
      <c r="AV115" s="591"/>
      <c r="AW115" s="591"/>
      <c r="AY115" s="591"/>
    </row>
    <row r="116" spans="1:51" ht="18" customHeight="1" x14ac:dyDescent="0.2">
      <c r="A116" s="2"/>
      <c r="B116" s="2"/>
      <c r="C116" s="2"/>
      <c r="D116" s="2"/>
      <c r="E116" s="2"/>
      <c r="F116" s="2"/>
      <c r="G116" s="280">
        <f>IF(ISERROR(G$135),HLOOKUP(L$138,$J$138:$L140,3,FALSE),HLOOKUP(G$135,$G$129:$I131,3,FALSE))</f>
        <v>0</v>
      </c>
      <c r="H116" s="280">
        <f>IF(ISERROR(H$135),HLOOKUP(K$138,$J$138:$L140,3,FALSE),HLOOKUP(H$135,$G$129:$I131,3,FALSE))</f>
        <v>0</v>
      </c>
      <c r="I116" s="2249">
        <f>IF(ISERROR(I$135),HLOOKUP(J$138,$J$138:$L140,3,FALSE),HLOOKUP(I$135,$G$129:$I131,3,FALSE))</f>
        <v>0</v>
      </c>
      <c r="J116" s="2250"/>
      <c r="K116" s="2"/>
      <c r="L116" s="14"/>
      <c r="M116" s="139"/>
      <c r="N116" s="2"/>
      <c r="O116" s="2"/>
      <c r="P116" s="2"/>
      <c r="Q116" s="2"/>
      <c r="R116" s="2"/>
      <c r="S116" s="2"/>
      <c r="T116" s="2"/>
      <c r="U116" s="2"/>
      <c r="V116" s="591"/>
      <c r="W116" s="591"/>
      <c r="X116" s="591"/>
      <c r="Y116" s="591"/>
      <c r="Z116" s="591"/>
      <c r="AA116" s="591"/>
      <c r="AB116" s="591"/>
      <c r="AC116" s="591"/>
      <c r="AG116" s="591"/>
      <c r="AH116" s="591"/>
      <c r="AI116" s="591"/>
      <c r="AJ116" s="591"/>
      <c r="AK116" s="591"/>
      <c r="AM116" s="591"/>
      <c r="AN116" s="591"/>
      <c r="AO116" s="591"/>
      <c r="AP116" s="591"/>
      <c r="AQ116" s="591"/>
      <c r="AS116" s="591"/>
      <c r="AT116" s="591"/>
      <c r="AU116" s="591"/>
      <c r="AV116" s="591"/>
      <c r="AW116" s="591"/>
      <c r="AY116" s="591"/>
    </row>
    <row r="117" spans="1:51" ht="18" customHeight="1" x14ac:dyDescent="0.2">
      <c r="A117" s="2"/>
      <c r="B117" s="2"/>
      <c r="C117" s="2"/>
      <c r="D117" s="2"/>
      <c r="E117" s="2"/>
      <c r="F117" s="2"/>
      <c r="G117" s="281">
        <f>IF(ISERROR(G$135),HLOOKUP(L$138,$J$138:$L141,4,FALSE),HLOOKUP(G$135,$G$129:$I132,4,FALSE))</f>
        <v>0</v>
      </c>
      <c r="H117" s="281">
        <f>IF(ISERROR(H$135),HLOOKUP(K$138,$J$138:$L141,4,FALSE),HLOOKUP(H$135,$G$129:$I132,4,FALSE))</f>
        <v>0</v>
      </c>
      <c r="I117" s="2251">
        <f>IF(ISERROR(I$135),HLOOKUP(J$138,$J$138:$L141,4,FALSE),HLOOKUP(I$135,$G$129:$I132,4,FALSE))</f>
        <v>0</v>
      </c>
      <c r="J117" s="2252"/>
      <c r="K117" s="2"/>
      <c r="L117" s="14"/>
      <c r="M117" s="139"/>
      <c r="N117" s="2"/>
      <c r="O117" s="2"/>
      <c r="P117" s="2"/>
      <c r="Q117" s="2"/>
      <c r="R117" s="2"/>
      <c r="S117" s="2"/>
      <c r="T117" s="2"/>
      <c r="U117" s="2"/>
      <c r="V117" s="591"/>
      <c r="W117" s="591"/>
      <c r="X117" s="591"/>
      <c r="Y117" s="591"/>
      <c r="Z117" s="591"/>
      <c r="AA117" s="591"/>
      <c r="AB117" s="591"/>
      <c r="AC117" s="591"/>
      <c r="AG117" s="591"/>
      <c r="AH117" s="591"/>
      <c r="AI117" s="591"/>
      <c r="AJ117" s="591"/>
      <c r="AK117" s="591"/>
      <c r="AM117" s="591"/>
      <c r="AN117" s="591"/>
      <c r="AO117" s="591"/>
      <c r="AP117" s="591"/>
      <c r="AQ117" s="591"/>
      <c r="AS117" s="591"/>
      <c r="AT117" s="591"/>
      <c r="AU117" s="591"/>
      <c r="AV117" s="591"/>
      <c r="AW117" s="591"/>
      <c r="AY117" s="591"/>
    </row>
    <row r="118" spans="1:51" ht="18" customHeight="1" x14ac:dyDescent="0.2">
      <c r="A118" s="2"/>
      <c r="B118" s="2"/>
      <c r="C118" s="2"/>
      <c r="D118" s="2"/>
      <c r="E118" s="2"/>
      <c r="F118" s="2"/>
      <c r="G118" s="282">
        <f>IF(ISERROR(G$135),HLOOKUP(L$138,$J$138:$L142,5,FALSE),HLOOKUP(G$135,$G$129:$I133,5,FALSE))</f>
        <v>0</v>
      </c>
      <c r="H118" s="282">
        <f>IF(ISERROR(H$135),HLOOKUP(K$138,$J$138:$L142,5,FALSE),HLOOKUP(H$135,$G$129:$I133,5,FALSE))</f>
        <v>0</v>
      </c>
      <c r="I118" s="2257">
        <f>IF(ISERROR(I$135),HLOOKUP(J$138,$J$138:$L142,5,FALSE),HLOOKUP(I$135,$G$129:$I133,5,FALSE))</f>
        <v>0</v>
      </c>
      <c r="J118" s="2258"/>
      <c r="K118" s="2"/>
      <c r="L118" s="14"/>
      <c r="M118" s="139"/>
      <c r="N118" s="2"/>
      <c r="O118" s="2"/>
      <c r="P118" s="2"/>
      <c r="Q118" s="2"/>
      <c r="R118" s="2"/>
      <c r="S118" s="2"/>
      <c r="T118" s="2"/>
      <c r="U118" s="2"/>
      <c r="V118" s="591"/>
      <c r="W118" s="591"/>
      <c r="X118" s="591"/>
      <c r="Y118" s="591"/>
      <c r="Z118" s="591"/>
      <c r="AA118" s="591"/>
      <c r="AB118" s="591"/>
      <c r="AC118" s="591"/>
      <c r="AG118" s="591"/>
      <c r="AH118" s="591"/>
      <c r="AI118" s="591"/>
      <c r="AJ118" s="591"/>
      <c r="AK118" s="591"/>
      <c r="AM118" s="591"/>
      <c r="AN118" s="591"/>
      <c r="AO118" s="591"/>
      <c r="AP118" s="591"/>
      <c r="AQ118" s="591"/>
      <c r="AS118" s="591"/>
      <c r="AT118" s="591"/>
      <c r="AU118" s="591"/>
      <c r="AV118" s="591"/>
      <c r="AW118" s="591"/>
      <c r="AY118" s="591"/>
    </row>
    <row r="119" spans="1:51" ht="21" hidden="1" customHeight="1" x14ac:dyDescent="0.2">
      <c r="A119" s="2"/>
      <c r="B119" s="2"/>
      <c r="C119" s="2"/>
      <c r="D119" s="2"/>
      <c r="E119" s="2"/>
      <c r="F119" s="2"/>
      <c r="G119" s="117" t="e">
        <f>IF(ISERROR(G$135),HLOOKUP(L$138,$J$138:$L139,2,FALSE),HLOOKUP(G$135,$G$129:$I136,8,FALSE))</f>
        <v>#N/A</v>
      </c>
      <c r="H119" s="117" t="e">
        <f>IF(ISERROR(H$135),HLOOKUP(K$138,$J$138:$L139,2,FALSE),HLOOKUP(H$135,$G$129:$I136,8,FALSE))</f>
        <v>#N/A</v>
      </c>
      <c r="I119" s="2259" t="e">
        <f>IF(ISERROR(I$135),HLOOKUP(J$138,$J$138:$L139,2,FALSE),HLOOKUP(I$135,$G$129:$I136,8,FALSE))</f>
        <v>#N/A</v>
      </c>
      <c r="J119" s="2259"/>
      <c r="K119" s="2"/>
      <c r="L119" s="14"/>
      <c r="M119" s="139"/>
      <c r="N119" s="2"/>
      <c r="O119" s="2"/>
      <c r="P119" s="2"/>
      <c r="Q119" s="2"/>
      <c r="R119" s="2"/>
      <c r="S119" s="2"/>
      <c r="T119" s="2"/>
      <c r="U119" s="2"/>
      <c r="V119" s="591"/>
      <c r="W119" s="591"/>
      <c r="X119" s="591"/>
      <c r="Y119" s="591"/>
      <c r="Z119" s="591"/>
      <c r="AA119" s="591"/>
      <c r="AB119" s="591"/>
      <c r="AC119" s="591"/>
      <c r="AG119" s="591"/>
      <c r="AH119" s="591"/>
      <c r="AI119" s="591"/>
      <c r="AJ119" s="591"/>
      <c r="AK119" s="591"/>
      <c r="AM119" s="591"/>
      <c r="AN119" s="591"/>
      <c r="AO119" s="591"/>
      <c r="AP119" s="591"/>
      <c r="AQ119" s="591"/>
      <c r="AS119" s="591"/>
      <c r="AT119" s="591"/>
      <c r="AU119" s="591"/>
      <c r="AV119" s="591"/>
      <c r="AW119" s="591"/>
      <c r="AY119" s="591"/>
    </row>
    <row r="120" spans="1:51" ht="4.5" customHeight="1" x14ac:dyDescent="0.2">
      <c r="A120" s="2"/>
      <c r="B120" s="2"/>
      <c r="C120" s="2"/>
      <c r="D120" s="2"/>
      <c r="E120" s="2"/>
      <c r="F120" s="2"/>
      <c r="G120" s="14"/>
      <c r="H120" s="14"/>
      <c r="I120" s="2202"/>
      <c r="J120" s="2202"/>
      <c r="K120" s="2"/>
      <c r="L120" s="14"/>
      <c r="M120" s="139"/>
      <c r="N120" s="2"/>
      <c r="O120" s="2"/>
      <c r="P120" s="2"/>
      <c r="Q120" s="2"/>
      <c r="R120" s="2"/>
      <c r="S120" s="2"/>
      <c r="T120" s="2"/>
      <c r="U120" s="2"/>
      <c r="V120" s="591"/>
      <c r="W120" s="591"/>
      <c r="X120" s="591"/>
      <c r="Y120" s="591"/>
      <c r="Z120" s="591"/>
      <c r="AA120" s="591"/>
      <c r="AB120" s="591"/>
      <c r="AC120" s="591"/>
      <c r="AG120" s="591"/>
      <c r="AH120" s="591"/>
      <c r="AI120" s="591"/>
      <c r="AJ120" s="591"/>
      <c r="AK120" s="591"/>
      <c r="AM120" s="591"/>
      <c r="AN120" s="591"/>
      <c r="AO120" s="591"/>
      <c r="AP120" s="591"/>
      <c r="AQ120" s="591"/>
      <c r="AS120" s="591"/>
      <c r="AT120" s="591"/>
      <c r="AU120" s="591"/>
      <c r="AV120" s="591"/>
      <c r="AW120" s="591"/>
      <c r="AY120" s="591"/>
    </row>
    <row r="121" spans="1:51" ht="18" customHeight="1" x14ac:dyDescent="0.25">
      <c r="A121" s="2"/>
      <c r="B121" s="2"/>
      <c r="C121" s="2"/>
      <c r="D121" s="2"/>
      <c r="E121" s="2"/>
      <c r="F121" s="283" t="s">
        <v>483</v>
      </c>
      <c r="G121" s="285">
        <f>IMPOSTAZIONI!K285</f>
        <v>0</v>
      </c>
      <c r="H121" s="285">
        <f>IMPOSTAZIONI!K286</f>
        <v>0</v>
      </c>
      <c r="I121" s="2253">
        <f>IMPOSTAZIONI!K287</f>
        <v>0</v>
      </c>
      <c r="J121" s="2254"/>
      <c r="K121" s="667">
        <f>SUM(G121:I121)</f>
        <v>0</v>
      </c>
      <c r="L121" s="14"/>
      <c r="M121" s="139"/>
      <c r="N121" s="2"/>
      <c r="O121" s="2"/>
      <c r="P121" s="2"/>
      <c r="Q121" s="2"/>
      <c r="R121" s="2"/>
      <c r="S121" s="2"/>
      <c r="T121" s="2"/>
      <c r="U121" s="2"/>
      <c r="V121" s="591"/>
      <c r="W121" s="591"/>
      <c r="X121" s="591"/>
      <c r="Y121" s="591"/>
      <c r="Z121" s="591"/>
      <c r="AA121" s="591"/>
      <c r="AB121" s="591"/>
      <c r="AC121" s="591"/>
      <c r="AG121" s="591"/>
      <c r="AH121" s="591"/>
      <c r="AI121" s="591"/>
      <c r="AJ121" s="591"/>
      <c r="AK121" s="591"/>
      <c r="AM121" s="591"/>
      <c r="AN121" s="591"/>
      <c r="AO121" s="591"/>
      <c r="AP121" s="591"/>
      <c r="AQ121" s="591"/>
      <c r="AS121" s="591"/>
      <c r="AT121" s="591"/>
      <c r="AU121" s="591"/>
      <c r="AV121" s="591"/>
      <c r="AW121" s="591"/>
      <c r="AY121" s="591"/>
    </row>
    <row r="122" spans="1:51" ht="18" customHeight="1" x14ac:dyDescent="0.2">
      <c r="A122" s="2"/>
      <c r="B122" s="2"/>
      <c r="C122" s="2"/>
      <c r="D122" s="2"/>
      <c r="E122" s="2"/>
      <c r="F122" s="284" t="s">
        <v>484</v>
      </c>
      <c r="G122" s="286">
        <f>IMPOSTAZIONI!P285</f>
        <v>0</v>
      </c>
      <c r="H122" s="286">
        <f>IMPOSTAZIONI!P286</f>
        <v>0</v>
      </c>
      <c r="I122" s="2255">
        <f>IMPOSTAZIONI!P287</f>
        <v>0</v>
      </c>
      <c r="J122" s="2256"/>
      <c r="K122" s="310">
        <f>SUM(G122:I122)</f>
        <v>0</v>
      </c>
      <c r="L122" s="287"/>
      <c r="M122" s="311"/>
      <c r="N122" s="2"/>
      <c r="O122" s="2"/>
      <c r="P122" s="2"/>
      <c r="Q122" s="2"/>
      <c r="R122" s="2"/>
      <c r="S122" s="2"/>
      <c r="T122" s="2"/>
      <c r="U122" s="2"/>
      <c r="V122" s="591"/>
      <c r="W122" s="591"/>
      <c r="X122" s="591"/>
      <c r="Y122" s="591"/>
      <c r="Z122" s="591"/>
      <c r="AA122" s="591"/>
      <c r="AB122" s="591"/>
      <c r="AC122" s="591"/>
      <c r="AG122" s="591"/>
      <c r="AH122" s="591"/>
      <c r="AI122" s="591"/>
      <c r="AJ122" s="591"/>
      <c r="AK122" s="591"/>
      <c r="AM122" s="591"/>
      <c r="AN122" s="591"/>
      <c r="AO122" s="591"/>
      <c r="AP122" s="591"/>
      <c r="AQ122" s="591"/>
      <c r="AS122" s="591"/>
      <c r="AT122" s="591"/>
      <c r="AU122" s="591"/>
      <c r="AV122" s="591"/>
      <c r="AW122" s="591"/>
      <c r="AY122" s="591"/>
    </row>
    <row r="123" spans="1:51" ht="21" customHeight="1" x14ac:dyDescent="0.2">
      <c r="A123" s="2"/>
      <c r="B123" s="2"/>
      <c r="C123" s="2"/>
      <c r="D123" s="2"/>
      <c r="E123" s="2"/>
      <c r="F123" s="2"/>
      <c r="G123" s="2"/>
      <c r="H123" s="2"/>
      <c r="I123" s="2"/>
      <c r="J123" s="2"/>
      <c r="K123" s="2"/>
      <c r="L123" s="2"/>
      <c r="M123" s="2"/>
      <c r="N123" s="2"/>
      <c r="O123" s="2"/>
      <c r="P123" s="2"/>
      <c r="Q123" s="2"/>
      <c r="R123" s="2"/>
      <c r="S123" s="2"/>
      <c r="T123" s="2"/>
      <c r="U123" s="2"/>
      <c r="V123" s="591"/>
      <c r="W123" s="591"/>
      <c r="X123" s="591"/>
      <c r="Y123" s="591"/>
      <c r="Z123" s="591"/>
      <c r="AA123" s="591"/>
      <c r="AB123" s="591"/>
      <c r="AC123" s="591"/>
      <c r="AG123" s="591"/>
      <c r="AH123" s="591"/>
      <c r="AI123" s="591"/>
      <c r="AJ123" s="591"/>
      <c r="AK123" s="591"/>
      <c r="AM123" s="591"/>
      <c r="AN123" s="591"/>
      <c r="AO123" s="591"/>
      <c r="AP123" s="591"/>
      <c r="AQ123" s="591"/>
      <c r="AS123" s="591"/>
      <c r="AT123" s="591"/>
      <c r="AU123" s="591"/>
      <c r="AV123" s="591"/>
      <c r="AW123" s="591"/>
      <c r="AY123" s="591"/>
    </row>
    <row r="124" spans="1:51" ht="21" customHeight="1" x14ac:dyDescent="0.2">
      <c r="A124" s="2"/>
      <c r="B124" s="2"/>
      <c r="C124" s="287"/>
      <c r="D124" s="287"/>
      <c r="E124" s="287"/>
      <c r="F124" s="287"/>
      <c r="G124" s="287"/>
      <c r="H124" s="287"/>
      <c r="I124" s="287"/>
      <c r="J124" s="287"/>
      <c r="K124" s="287"/>
      <c r="L124" s="287"/>
      <c r="M124" s="287"/>
      <c r="N124" s="287"/>
      <c r="O124" s="287"/>
      <c r="P124" s="2"/>
      <c r="Q124" s="2"/>
      <c r="R124" s="2"/>
      <c r="S124" s="2"/>
      <c r="T124" s="2"/>
      <c r="U124" s="2"/>
      <c r="V124" s="591"/>
      <c r="W124" s="591"/>
      <c r="X124" s="591"/>
      <c r="Y124" s="591"/>
      <c r="Z124" s="591"/>
      <c r="AA124" s="591"/>
      <c r="AB124" s="591"/>
      <c r="AC124" s="591"/>
      <c r="AG124" s="591"/>
      <c r="AH124" s="591"/>
      <c r="AI124" s="591"/>
      <c r="AJ124" s="591"/>
      <c r="AK124" s="591"/>
      <c r="AM124" s="591"/>
      <c r="AN124" s="591"/>
      <c r="AO124" s="591"/>
      <c r="AP124" s="591"/>
      <c r="AQ124" s="591"/>
      <c r="AS124" s="591"/>
      <c r="AT124" s="591"/>
      <c r="AU124" s="591"/>
      <c r="AV124" s="591"/>
      <c r="AW124" s="591"/>
      <c r="AY124" s="591"/>
    </row>
    <row r="125" spans="1:51" ht="13.5" hidden="1" customHeight="1" x14ac:dyDescent="0.2">
      <c r="A125" s="2"/>
      <c r="B125" s="2"/>
      <c r="C125" s="2"/>
      <c r="D125" s="2"/>
      <c r="E125" s="2"/>
      <c r="F125" s="2"/>
      <c r="G125" s="2"/>
      <c r="H125" s="2"/>
      <c r="I125" s="2"/>
      <c r="J125" s="2"/>
      <c r="K125" s="2"/>
      <c r="L125" s="2"/>
      <c r="M125" s="2"/>
      <c r="N125" s="2"/>
      <c r="O125" s="2"/>
      <c r="P125" s="2"/>
      <c r="Q125" s="2"/>
      <c r="R125" s="2"/>
      <c r="S125" s="2"/>
      <c r="T125" s="2"/>
      <c r="U125" s="2"/>
      <c r="V125" s="591"/>
      <c r="W125" s="591"/>
      <c r="X125" s="591"/>
      <c r="Y125" s="591"/>
      <c r="Z125" s="591"/>
      <c r="AA125" s="591"/>
      <c r="AB125" s="591"/>
      <c r="AC125" s="591"/>
      <c r="AG125" s="591"/>
      <c r="AH125" s="591"/>
      <c r="AI125" s="591"/>
      <c r="AJ125" s="591"/>
      <c r="AK125" s="591"/>
      <c r="AM125" s="591"/>
      <c r="AN125" s="591"/>
      <c r="AO125" s="591"/>
      <c r="AP125" s="591"/>
      <c r="AQ125" s="591"/>
      <c r="AS125" s="591"/>
      <c r="AT125" s="591"/>
      <c r="AU125" s="591"/>
      <c r="AV125" s="591"/>
      <c r="AW125" s="591"/>
      <c r="AY125" s="591"/>
    </row>
    <row r="126" spans="1:51" ht="18.75" customHeight="1" x14ac:dyDescent="0.2">
      <c r="A126" s="2"/>
      <c r="B126" s="2"/>
      <c r="C126" s="2083" t="str">
        <f ca="1">Presentazione!D70</f>
        <v>Questo file risulta al momento completamente funzionante ed il sistema rileva tutti i suoi fogli.</v>
      </c>
      <c r="D126" s="2083"/>
      <c r="E126" s="2083"/>
      <c r="F126" s="2083"/>
      <c r="G126" s="2083"/>
      <c r="H126" s="2083"/>
      <c r="I126" s="2083"/>
      <c r="J126" s="2083"/>
      <c r="K126" s="2083"/>
      <c r="L126" s="2083"/>
      <c r="M126" s="2083"/>
      <c r="N126" s="553"/>
      <c r="O126" s="553"/>
      <c r="P126" s="553"/>
      <c r="Q126" s="2"/>
      <c r="R126" s="2"/>
      <c r="S126" s="2"/>
      <c r="T126" s="2"/>
      <c r="U126" s="2"/>
      <c r="V126" s="591"/>
      <c r="W126" s="591"/>
      <c r="X126" s="591"/>
      <c r="Y126" s="591"/>
      <c r="Z126" s="591"/>
      <c r="AA126" s="591"/>
      <c r="AB126" s="591"/>
      <c r="AC126" s="591"/>
      <c r="AG126" s="591"/>
      <c r="AH126" s="591"/>
      <c r="AI126" s="591"/>
      <c r="AJ126" s="591"/>
      <c r="AK126" s="591"/>
      <c r="AM126" s="591"/>
      <c r="AN126" s="591"/>
      <c r="AO126" s="591"/>
      <c r="AP126" s="591"/>
      <c r="AQ126" s="591"/>
      <c r="AS126" s="591"/>
      <c r="AT126" s="591"/>
      <c r="AU126" s="591"/>
      <c r="AV126" s="591"/>
      <c r="AW126" s="591"/>
      <c r="AY126" s="591"/>
    </row>
    <row r="127" spans="1:51" ht="33" customHeight="1" x14ac:dyDescent="0.25">
      <c r="A127" s="2"/>
      <c r="B127" s="2"/>
      <c r="C127" s="930" t="s">
        <v>716</v>
      </c>
      <c r="D127" s="930"/>
      <c r="E127" s="930"/>
      <c r="F127" s="930"/>
      <c r="G127" s="930"/>
      <c r="H127" s="2"/>
      <c r="I127" s="2"/>
      <c r="J127" s="2"/>
      <c r="K127" s="2"/>
      <c r="L127" s="2"/>
      <c r="M127" s="908" t="s">
        <v>581</v>
      </c>
      <c r="N127" s="2"/>
      <c r="O127" s="2"/>
      <c r="P127" s="2"/>
      <c r="Q127" s="2"/>
      <c r="R127" s="2"/>
      <c r="S127" s="2"/>
      <c r="T127" s="2"/>
      <c r="U127" s="2"/>
      <c r="V127" s="591"/>
      <c r="W127" s="591"/>
      <c r="X127" s="591"/>
      <c r="Y127" s="591"/>
      <c r="Z127" s="591"/>
      <c r="AA127" s="591"/>
      <c r="AB127" s="591"/>
      <c r="AC127" s="591"/>
      <c r="AG127" s="591"/>
      <c r="AH127" s="591"/>
      <c r="AI127" s="591"/>
      <c r="AJ127" s="591"/>
      <c r="AK127" s="591"/>
      <c r="AM127" s="591"/>
      <c r="AN127" s="591"/>
      <c r="AO127" s="591"/>
      <c r="AP127" s="591"/>
      <c r="AQ127" s="591"/>
      <c r="AS127" s="591"/>
      <c r="AT127" s="591"/>
      <c r="AU127" s="591"/>
      <c r="AV127" s="591"/>
      <c r="AW127" s="591"/>
      <c r="AY127" s="591"/>
    </row>
    <row r="128" spans="1:51" ht="21" hidden="1" customHeight="1" x14ac:dyDescent="0.2">
      <c r="A128" s="2"/>
      <c r="B128" s="2"/>
      <c r="C128" s="2"/>
      <c r="D128" s="2"/>
      <c r="E128" s="2"/>
      <c r="F128" s="2"/>
      <c r="G128" s="2"/>
      <c r="H128" s="2"/>
      <c r="I128" s="2"/>
      <c r="J128" s="2"/>
      <c r="K128" s="2"/>
      <c r="L128" s="2"/>
      <c r="M128" s="2"/>
      <c r="N128" s="2"/>
      <c r="O128" s="2"/>
      <c r="P128" s="2"/>
      <c r="Q128" s="2"/>
      <c r="R128" s="2"/>
      <c r="S128" s="2"/>
      <c r="T128" s="2"/>
      <c r="U128" s="2"/>
      <c r="V128" s="591"/>
      <c r="W128" s="591"/>
      <c r="X128" s="591"/>
      <c r="Y128" s="591"/>
      <c r="Z128" s="591"/>
      <c r="AA128" s="591"/>
      <c r="AB128" s="591"/>
      <c r="AC128" s="591"/>
      <c r="AG128" s="591"/>
      <c r="AH128" s="591"/>
      <c r="AI128" s="591"/>
      <c r="AJ128" s="591"/>
      <c r="AK128" s="591"/>
      <c r="AM128" s="591"/>
      <c r="AN128" s="591"/>
      <c r="AO128" s="591"/>
      <c r="AP128" s="591"/>
      <c r="AQ128" s="591"/>
      <c r="AS128" s="591"/>
      <c r="AT128" s="591"/>
      <c r="AU128" s="591"/>
      <c r="AV128" s="591"/>
      <c r="AW128" s="591"/>
      <c r="AY128" s="591"/>
    </row>
    <row r="129" spans="1:51" ht="15.75" hidden="1" customHeight="1" x14ac:dyDescent="0.2">
      <c r="A129" s="2"/>
      <c r="B129" s="2"/>
      <c r="C129" s="2"/>
      <c r="D129" s="2"/>
      <c r="E129" s="2"/>
      <c r="F129" s="2"/>
      <c r="G129" s="257">
        <v>1</v>
      </c>
      <c r="H129" s="257">
        <v>2</v>
      </c>
      <c r="I129" s="257">
        <v>3</v>
      </c>
      <c r="J129" s="2"/>
      <c r="K129" s="2"/>
      <c r="L129" s="2"/>
      <c r="M129" s="2"/>
      <c r="N129" s="2"/>
      <c r="O129" s="2"/>
      <c r="P129" s="2"/>
      <c r="Q129" s="2"/>
      <c r="R129" s="2"/>
      <c r="S129" s="2"/>
      <c r="T129" s="2"/>
      <c r="U129" s="2"/>
      <c r="V129" s="591"/>
      <c r="W129" s="591"/>
      <c r="X129" s="591"/>
      <c r="Y129" s="591"/>
      <c r="Z129" s="591"/>
      <c r="AA129" s="591"/>
      <c r="AB129" s="591"/>
      <c r="AC129" s="591"/>
      <c r="AG129" s="591"/>
      <c r="AH129" s="591"/>
      <c r="AI129" s="591"/>
      <c r="AJ129" s="591"/>
      <c r="AK129" s="591"/>
      <c r="AM129" s="591"/>
      <c r="AN129" s="591"/>
      <c r="AO129" s="591"/>
      <c r="AP129" s="591"/>
      <c r="AQ129" s="591"/>
      <c r="AS129" s="591"/>
      <c r="AT129" s="591"/>
      <c r="AU129" s="591"/>
      <c r="AV129" s="591"/>
      <c r="AW129" s="591"/>
      <c r="AY129" s="591"/>
    </row>
    <row r="130" spans="1:51" ht="15.75" hidden="1" customHeight="1" x14ac:dyDescent="0.2">
      <c r="A130" s="2"/>
      <c r="B130" s="2"/>
      <c r="C130" s="2"/>
      <c r="D130" s="2"/>
      <c r="E130" s="2"/>
      <c r="F130" s="2"/>
      <c r="G130" s="263">
        <f>IF(E$131=1,IMPOSTAZIONI!J94,0)</f>
        <v>0</v>
      </c>
      <c r="H130" s="263">
        <f>IF(E$132=1,IMPOSTAZIONI!J102,0)</f>
        <v>0</v>
      </c>
      <c r="I130" s="263">
        <f>IF(E$133=1,IMPOSTAZIONI!J110,0)</f>
        <v>0</v>
      </c>
      <c r="J130" s="2"/>
      <c r="K130" s="263" t="str">
        <f>IMPOSTAZIONI!C154</f>
        <v>Note</v>
      </c>
      <c r="L130" s="2"/>
      <c r="M130" s="2"/>
      <c r="N130" s="2"/>
      <c r="O130" s="2"/>
      <c r="P130" s="2"/>
      <c r="Q130" s="2"/>
      <c r="R130" s="2"/>
      <c r="S130" s="2"/>
      <c r="T130" s="2"/>
      <c r="U130" s="2"/>
      <c r="V130" s="591"/>
      <c r="W130" s="591"/>
      <c r="X130" s="591"/>
      <c r="Y130" s="591"/>
      <c r="Z130" s="591"/>
      <c r="AA130" s="591"/>
      <c r="AB130" s="591"/>
      <c r="AC130" s="591"/>
      <c r="AG130" s="591"/>
      <c r="AH130" s="591"/>
      <c r="AI130" s="591"/>
      <c r="AJ130" s="591"/>
      <c r="AK130" s="591"/>
      <c r="AM130" s="591"/>
      <c r="AN130" s="591"/>
      <c r="AO130" s="591"/>
      <c r="AP130" s="591"/>
      <c r="AQ130" s="591"/>
      <c r="AS130" s="591"/>
      <c r="AT130" s="591"/>
      <c r="AU130" s="591"/>
      <c r="AV130" s="591"/>
      <c r="AW130" s="591"/>
      <c r="AY130" s="591"/>
    </row>
    <row r="131" spans="1:51" ht="15.75" hidden="1" customHeight="1" x14ac:dyDescent="0.2">
      <c r="A131" s="2"/>
      <c r="B131" s="2"/>
      <c r="C131" s="2"/>
      <c r="D131" s="2"/>
      <c r="E131" s="263">
        <f>IF(IMPOSTAZIONI!P184=0,1,0)</f>
        <v>0</v>
      </c>
      <c r="F131" s="2"/>
      <c r="G131" s="267">
        <f>IF(E$131=1,IMPOSTAZIONI!J96,0)</f>
        <v>0</v>
      </c>
      <c r="H131" s="268">
        <f>IF(E$132=1,IMPOSTAZIONI!J104,0)</f>
        <v>0</v>
      </c>
      <c r="I131" s="269">
        <f>IF(E$133=1,IMPOSTAZIONI!J112,0)</f>
        <v>0</v>
      </c>
      <c r="J131" s="2"/>
      <c r="K131" s="2"/>
      <c r="L131" s="925" t="str">
        <f>Presentazione!$K$150</f>
        <v>attiva trim.</v>
      </c>
      <c r="M131" s="2"/>
      <c r="N131" s="2"/>
      <c r="O131" s="2"/>
      <c r="P131" s="2"/>
      <c r="Q131" s="2"/>
      <c r="R131" s="2"/>
      <c r="S131" s="2"/>
      <c r="T131" s="2"/>
      <c r="U131" s="2"/>
      <c r="V131" s="591"/>
      <c r="W131" s="591"/>
      <c r="X131" s="591"/>
      <c r="Y131" s="591"/>
      <c r="Z131" s="591"/>
      <c r="AA131" s="591"/>
      <c r="AB131" s="591"/>
      <c r="AC131" s="591"/>
      <c r="AG131" s="591"/>
      <c r="AH131" s="591"/>
      <c r="AI131" s="591"/>
      <c r="AJ131" s="591"/>
      <c r="AK131" s="591"/>
      <c r="AM131" s="591"/>
      <c r="AN131" s="591"/>
      <c r="AO131" s="591"/>
      <c r="AP131" s="591"/>
      <c r="AQ131" s="591"/>
      <c r="AS131" s="591"/>
      <c r="AT131" s="591"/>
      <c r="AU131" s="591"/>
      <c r="AV131" s="591"/>
      <c r="AW131" s="591"/>
      <c r="AY131" s="591"/>
    </row>
    <row r="132" spans="1:51" ht="15.75" hidden="1" customHeight="1" x14ac:dyDescent="0.2">
      <c r="A132" s="2"/>
      <c r="B132" s="2"/>
      <c r="C132" s="2"/>
      <c r="D132" s="2"/>
      <c r="E132" s="263">
        <f>IF(IMPOSTAZIONI!P185=0,1,0)</f>
        <v>0</v>
      </c>
      <c r="F132" s="2"/>
      <c r="G132" s="264">
        <f>IF(E$131=1,IMPOSTAZIONI!J97,0)</f>
        <v>0</v>
      </c>
      <c r="H132" s="266">
        <f>IF(E$132=1,IMPOSTAZIONI!J105,0)</f>
        <v>0</v>
      </c>
      <c r="I132" s="265">
        <f>IF(E$133=1,IMPOSTAZIONI!J113,0)</f>
        <v>0</v>
      </c>
      <c r="J132" s="2"/>
      <c r="K132" s="263" t="s">
        <v>356</v>
      </c>
      <c r="L132" s="2"/>
      <c r="M132" s="2"/>
      <c r="N132" s="2"/>
      <c r="O132" s="2"/>
      <c r="P132" s="2"/>
      <c r="Q132" s="2"/>
      <c r="R132" s="2"/>
      <c r="S132" s="2"/>
      <c r="T132" s="2"/>
      <c r="U132" s="2"/>
      <c r="V132" s="591"/>
      <c r="W132" s="591"/>
      <c r="X132" s="591"/>
      <c r="Y132" s="591"/>
      <c r="Z132" s="591"/>
      <c r="AA132" s="591"/>
      <c r="AB132" s="591"/>
      <c r="AC132" s="591"/>
      <c r="AG132" s="591"/>
      <c r="AH132" s="591"/>
      <c r="AI132" s="591"/>
      <c r="AJ132" s="591"/>
      <c r="AK132" s="591"/>
      <c r="AM132" s="591"/>
      <c r="AN132" s="591"/>
      <c r="AO132" s="591"/>
      <c r="AP132" s="591"/>
      <c r="AQ132" s="591"/>
      <c r="AS132" s="591"/>
      <c r="AT132" s="591"/>
      <c r="AU132" s="591"/>
      <c r="AV132" s="591"/>
      <c r="AW132" s="591"/>
      <c r="AY132" s="591"/>
    </row>
    <row r="133" spans="1:51" ht="15.75" hidden="1" customHeight="1" x14ac:dyDescent="0.2">
      <c r="A133" s="2"/>
      <c r="B133" s="2"/>
      <c r="C133" s="2"/>
      <c r="D133" s="2"/>
      <c r="E133" s="263">
        <f>IF(IMPOSTAZIONI!P186=0,1,0)</f>
        <v>0</v>
      </c>
      <c r="F133" s="2"/>
      <c r="G133" s="270">
        <f>IF(E$131=1,IMPOSTAZIONI!J98,0)</f>
        <v>0</v>
      </c>
      <c r="H133" s="271">
        <f>IF(E$132=1,IMPOSTAZIONI!J106,0)</f>
        <v>0</v>
      </c>
      <c r="I133" s="272">
        <f>IF(E$133=1,IMPOSTAZIONI!J114,0)</f>
        <v>0</v>
      </c>
      <c r="J133" s="2"/>
      <c r="K133" s="2"/>
      <c r="L133" s="2"/>
      <c r="M133" s="2"/>
      <c r="N133" s="2"/>
      <c r="O133" s="2"/>
      <c r="P133" s="2"/>
      <c r="Q133" s="2"/>
      <c r="R133" s="2"/>
      <c r="S133" s="2"/>
      <c r="T133" s="2"/>
      <c r="U133" s="2"/>
      <c r="V133" s="591"/>
      <c r="W133" s="591"/>
      <c r="X133" s="591"/>
      <c r="Y133" s="591"/>
      <c r="Z133" s="591"/>
      <c r="AA133" s="591"/>
      <c r="AB133" s="591"/>
      <c r="AC133" s="591"/>
      <c r="AG133" s="591"/>
      <c r="AH133" s="591"/>
      <c r="AI133" s="591"/>
      <c r="AJ133" s="591"/>
      <c r="AK133" s="591"/>
      <c r="AM133" s="591"/>
      <c r="AN133" s="591"/>
      <c r="AO133" s="591"/>
      <c r="AP133" s="591"/>
      <c r="AQ133" s="591"/>
      <c r="AS133" s="591"/>
      <c r="AT133" s="591"/>
      <c r="AU133" s="591"/>
      <c r="AV133" s="591"/>
      <c r="AW133" s="591"/>
      <c r="AY133" s="591"/>
    </row>
    <row r="134" spans="1:51" ht="15.75" hidden="1" customHeight="1" x14ac:dyDescent="0.2">
      <c r="A134" s="2"/>
      <c r="B134" s="2"/>
      <c r="C134" s="2"/>
      <c r="D134" s="2"/>
      <c r="E134" s="129"/>
      <c r="F134" s="2"/>
      <c r="G134" s="108">
        <f>IF(G130=0,0,G129)</f>
        <v>0</v>
      </c>
      <c r="H134" s="108">
        <f>IF(H130=0,0,H129)</f>
        <v>0</v>
      </c>
      <c r="I134" s="108">
        <f>IF(I130=0,0,I129)</f>
        <v>0</v>
      </c>
      <c r="J134" s="2"/>
      <c r="K134" s="263" t="str">
        <f>IMPOSTAZIONI!C146</f>
        <v>ESCLUDI</v>
      </c>
      <c r="L134" s="263" t="str">
        <f>IMPOSTAZIONI!H146</f>
        <v>VENTILAZIONE</v>
      </c>
      <c r="M134" s="306" t="s">
        <v>745</v>
      </c>
      <c r="N134" s="2"/>
      <c r="O134" s="2"/>
      <c r="P134" s="2"/>
      <c r="Q134" s="2"/>
      <c r="R134" s="2"/>
      <c r="S134" s="2"/>
      <c r="T134" s="2"/>
      <c r="U134" s="2"/>
      <c r="V134" s="591"/>
      <c r="W134" s="591"/>
      <c r="X134" s="591"/>
      <c r="Y134" s="591"/>
      <c r="Z134" s="591"/>
      <c r="AA134" s="591"/>
      <c r="AB134" s="591"/>
      <c r="AC134" s="591"/>
      <c r="AG134" s="591"/>
      <c r="AH134" s="591"/>
      <c r="AI134" s="591"/>
      <c r="AJ134" s="591"/>
      <c r="AK134" s="591"/>
      <c r="AM134" s="591"/>
      <c r="AN134" s="591"/>
      <c r="AO134" s="591"/>
      <c r="AP134" s="591"/>
      <c r="AQ134" s="591"/>
      <c r="AS134" s="591"/>
      <c r="AT134" s="591"/>
      <c r="AU134" s="591"/>
      <c r="AV134" s="591"/>
      <c r="AW134" s="591"/>
      <c r="AY134" s="591"/>
    </row>
    <row r="135" spans="1:51" ht="15.75" hidden="1" customHeight="1" x14ac:dyDescent="0.2">
      <c r="A135" s="2"/>
      <c r="B135" s="2"/>
      <c r="C135" s="2"/>
      <c r="D135" s="2"/>
      <c r="E135" s="274">
        <f>COUNTIF(G134:I134,0)</f>
        <v>3</v>
      </c>
      <c r="F135" s="2"/>
      <c r="G135" s="273" t="e">
        <f>SMALL($G134:$I134,$E135+1)</f>
        <v>#NUM!</v>
      </c>
      <c r="H135" s="273" t="e">
        <f>SMALL($G134:$I134,$E135+2)</f>
        <v>#NUM!</v>
      </c>
      <c r="I135" s="273" t="e">
        <f>SMALL($G134:$I134,$E135+3)</f>
        <v>#NUM!</v>
      </c>
      <c r="J135" s="2"/>
      <c r="K135" s="2"/>
      <c r="L135" s="263" t="str">
        <f>IMPOSTAZIONI!H148</f>
        <v>SCORPORO</v>
      </c>
      <c r="M135" s="306" t="s">
        <v>742</v>
      </c>
      <c r="N135" s="2"/>
      <c r="O135" s="2"/>
      <c r="P135" s="2"/>
      <c r="Q135" s="2"/>
      <c r="R135" s="2"/>
      <c r="S135" s="2"/>
      <c r="T135" s="2"/>
      <c r="U135" s="2"/>
      <c r="V135" s="591"/>
      <c r="W135" s="591"/>
      <c r="X135" s="591"/>
      <c r="Y135" s="591"/>
      <c r="Z135" s="591"/>
      <c r="AA135" s="591"/>
      <c r="AB135" s="591"/>
      <c r="AC135" s="591"/>
      <c r="AG135" s="591"/>
      <c r="AH135" s="591"/>
      <c r="AI135" s="591"/>
      <c r="AJ135" s="591"/>
      <c r="AK135" s="591"/>
      <c r="AM135" s="591"/>
      <c r="AN135" s="591"/>
      <c r="AO135" s="591"/>
      <c r="AP135" s="591"/>
      <c r="AQ135" s="591"/>
      <c r="AS135" s="591"/>
      <c r="AT135" s="591"/>
      <c r="AU135" s="591"/>
      <c r="AV135" s="591"/>
      <c r="AW135" s="591"/>
      <c r="AY135" s="591"/>
    </row>
    <row r="136" spans="1:51" ht="15.75" hidden="1" customHeight="1" x14ac:dyDescent="0.2">
      <c r="A136" s="2"/>
      <c r="B136" s="2"/>
      <c r="C136" s="2"/>
      <c r="D136" s="2"/>
      <c r="E136" s="274"/>
      <c r="F136" s="2"/>
      <c r="G136" s="275">
        <f>IF(E$131=1,CONCATENATE(IMPOSTAZIONI!I96,"-",IMPOSTAZIONI!I97,"-",IMPOSTAZIONI!I98),0)</f>
        <v>0</v>
      </c>
      <c r="H136" s="276">
        <f>IF(E$132=1,CONCATENATE(IMPOSTAZIONI!I104,"-",IMPOSTAZIONI!I105,"-",IMPOSTAZIONI!I106),0)</f>
        <v>0</v>
      </c>
      <c r="I136" s="277">
        <f>IF(E$133=1,CONCATENATE(IMPOSTAZIONI!I112,"-",IMPOSTAZIONI!I113,"-",IMPOSTAZIONI!I114),0)</f>
        <v>0</v>
      </c>
      <c r="J136" s="2"/>
      <c r="K136" s="2"/>
      <c r="L136" s="2"/>
      <c r="M136" s="2"/>
      <c r="N136" s="2"/>
      <c r="O136" s="2"/>
      <c r="P136" s="2"/>
      <c r="Q136" s="2"/>
      <c r="R136" s="2"/>
      <c r="S136" s="2"/>
      <c r="T136" s="2"/>
      <c r="U136" s="2"/>
      <c r="V136" s="591"/>
      <c r="W136" s="591"/>
      <c r="X136" s="591"/>
      <c r="Y136" s="591"/>
      <c r="Z136" s="591"/>
      <c r="AA136" s="591"/>
      <c r="AB136" s="591"/>
      <c r="AC136" s="591"/>
      <c r="AG136" s="591"/>
      <c r="AH136" s="591"/>
      <c r="AI136" s="591"/>
      <c r="AJ136" s="591"/>
      <c r="AK136" s="591"/>
      <c r="AM136" s="591"/>
      <c r="AN136" s="591"/>
      <c r="AO136" s="591"/>
      <c r="AP136" s="591"/>
      <c r="AQ136" s="591"/>
      <c r="AS136" s="591"/>
      <c r="AT136" s="591"/>
      <c r="AU136" s="591"/>
      <c r="AV136" s="591"/>
      <c r="AW136" s="591"/>
      <c r="AY136" s="591"/>
    </row>
    <row r="137" spans="1:51" ht="15.75" hidden="1" customHeight="1" x14ac:dyDescent="0.2">
      <c r="A137" s="2"/>
      <c r="B137" s="2"/>
      <c r="C137" s="2"/>
      <c r="D137" s="2"/>
      <c r="E137" s="129"/>
      <c r="F137" s="2"/>
      <c r="G137" s="273"/>
      <c r="H137" s="273"/>
      <c r="I137" s="2"/>
      <c r="J137" s="2"/>
      <c r="K137" s="2"/>
      <c r="L137" s="2"/>
      <c r="M137" s="2"/>
      <c r="N137" s="2"/>
      <c r="O137" s="2"/>
      <c r="P137" s="2"/>
      <c r="Q137" s="2"/>
      <c r="R137" s="2"/>
      <c r="S137" s="2"/>
      <c r="T137" s="2"/>
      <c r="U137" s="2"/>
      <c r="V137" s="591"/>
      <c r="W137" s="591"/>
      <c r="X137" s="591"/>
      <c r="Y137" s="591"/>
      <c r="Z137" s="591"/>
      <c r="AA137" s="591"/>
      <c r="AB137" s="591"/>
      <c r="AC137" s="591"/>
      <c r="AG137" s="591"/>
      <c r="AH137" s="591"/>
      <c r="AI137" s="591"/>
      <c r="AJ137" s="591"/>
      <c r="AK137" s="591"/>
      <c r="AM137" s="591"/>
      <c r="AN137" s="591"/>
      <c r="AO137" s="591"/>
      <c r="AP137" s="591"/>
      <c r="AQ137" s="591"/>
      <c r="AS137" s="591"/>
      <c r="AT137" s="591"/>
      <c r="AU137" s="591"/>
      <c r="AV137" s="591"/>
      <c r="AW137" s="591"/>
      <c r="AY137" s="591"/>
    </row>
    <row r="138" spans="1:51" ht="15.75" hidden="1" customHeight="1" x14ac:dyDescent="0.2">
      <c r="A138" s="2"/>
      <c r="B138" s="2"/>
      <c r="C138" s="2"/>
      <c r="D138" s="2"/>
      <c r="E138" s="129"/>
      <c r="F138" s="2"/>
      <c r="G138" s="273"/>
      <c r="H138" s="273"/>
      <c r="I138" s="273"/>
      <c r="J138" s="148">
        <v>1</v>
      </c>
      <c r="K138" s="148">
        <v>2</v>
      </c>
      <c r="L138" s="148">
        <v>3</v>
      </c>
      <c r="M138" s="2"/>
      <c r="N138" s="2"/>
      <c r="O138" s="2"/>
      <c r="P138" s="2"/>
      <c r="Q138" s="2"/>
      <c r="R138" s="2"/>
      <c r="S138" s="2"/>
      <c r="T138" s="2"/>
      <c r="U138" s="2"/>
      <c r="V138" s="591"/>
      <c r="W138" s="591"/>
      <c r="X138" s="591"/>
      <c r="Y138" s="591"/>
      <c r="Z138" s="591"/>
      <c r="AA138" s="591"/>
      <c r="AB138" s="591"/>
      <c r="AC138" s="591"/>
      <c r="AG138" s="591"/>
      <c r="AH138" s="591"/>
      <c r="AI138" s="591"/>
      <c r="AJ138" s="591"/>
      <c r="AK138" s="591"/>
      <c r="AM138" s="591"/>
      <c r="AN138" s="591"/>
      <c r="AO138" s="591"/>
      <c r="AP138" s="591"/>
      <c r="AQ138" s="591"/>
      <c r="AS138" s="591"/>
      <c r="AT138" s="591"/>
      <c r="AU138" s="591"/>
      <c r="AV138" s="591"/>
      <c r="AW138" s="591"/>
      <c r="AY138" s="591"/>
    </row>
    <row r="139" spans="1:51" ht="15.75" hidden="1" customHeight="1" x14ac:dyDescent="0.2">
      <c r="A139" s="2"/>
      <c r="B139" s="2"/>
      <c r="C139" s="148">
        <v>1</v>
      </c>
      <c r="D139" s="148">
        <f>IF(I139=0,0,1)</f>
        <v>0</v>
      </c>
      <c r="E139" s="263" t="str">
        <f>IMPOSTAZIONI!B298</f>
        <v>--</v>
      </c>
      <c r="F139" s="2"/>
      <c r="G139" s="305">
        <f>VLOOKUP(E139,IMPOSTAZIONI!$B$298:$AK$304,$E$149,FALSE)</f>
        <v>0</v>
      </c>
      <c r="H139" s="306" t="str">
        <f>IF(G139&gt;0,IF(AND(ISERROR(HLOOKUP(E139,G$136:I$136,1,FALSE)),ISERROR(HLOOKUP(E139,G$1:N$1,1,FALSE))),E139,"OK"),"")</f>
        <v/>
      </c>
      <c r="I139" s="307">
        <f>IF(H139="OK",0,IF(H139="",0,1))</f>
        <v>0</v>
      </c>
      <c r="J139" s="263" t="e">
        <f>VLOOKUP(C139,$D$139:$H$148,5,FALSE)</f>
        <v>#N/A</v>
      </c>
      <c r="K139" s="263" t="e">
        <f>VLOOKUP(C140,$D$139:$H$148,5,FALSE)</f>
        <v>#N/A</v>
      </c>
      <c r="L139" s="263" t="e">
        <f>VLOOKUP(C141,$D$139:$H$148,5,FALSE)</f>
        <v>#N/A</v>
      </c>
      <c r="M139" s="2"/>
      <c r="N139" s="2"/>
      <c r="O139" s="2"/>
      <c r="P139" s="2"/>
      <c r="Q139" s="2"/>
      <c r="R139" s="2"/>
      <c r="S139" s="2"/>
      <c r="T139" s="2"/>
      <c r="U139" s="2"/>
      <c r="V139" s="591"/>
      <c r="W139" s="591"/>
      <c r="X139" s="591"/>
      <c r="Y139" s="591"/>
      <c r="Z139" s="591"/>
      <c r="AA139" s="591"/>
      <c r="AB139" s="591"/>
      <c r="AC139" s="591"/>
      <c r="AG139" s="591"/>
      <c r="AH139" s="591"/>
      <c r="AI139" s="591"/>
      <c r="AJ139" s="591"/>
      <c r="AK139" s="591"/>
      <c r="AM139" s="591"/>
      <c r="AN139" s="591"/>
      <c r="AO139" s="591"/>
      <c r="AP139" s="591"/>
      <c r="AQ139" s="591"/>
      <c r="AS139" s="591"/>
      <c r="AT139" s="591"/>
      <c r="AU139" s="591"/>
      <c r="AV139" s="591"/>
      <c r="AW139" s="591"/>
      <c r="AY139" s="591"/>
    </row>
    <row r="140" spans="1:51" ht="15.75" hidden="1" customHeight="1" x14ac:dyDescent="0.2">
      <c r="A140" s="2"/>
      <c r="B140" s="2"/>
      <c r="C140" s="148">
        <v>2</v>
      </c>
      <c r="D140" s="103">
        <f>IF(I140=0,0,COUNTIF(D$139:D139,"&gt;0")+1)</f>
        <v>0</v>
      </c>
      <c r="E140" s="263" t="str">
        <f>IMPOSTAZIONI!B299</f>
        <v>--</v>
      </c>
      <c r="F140" s="2"/>
      <c r="G140" s="305">
        <f>VLOOKUP(E140,IMPOSTAZIONI!$B$298:$AK$304,$E$149,FALSE)</f>
        <v>0</v>
      </c>
      <c r="H140" s="306" t="str">
        <f>IF(G140&gt;0,IF(AND(ISERROR(HLOOKUP(E140,G$136:I$136,1,FALSE)),ISERROR(HLOOKUP(E140,G$1:N$1,1,FALSE))),E140,"OK"),"")</f>
        <v/>
      </c>
      <c r="I140" s="307">
        <f t="shared" ref="I140:I148" si="35">IF(H140="OK",0,IF(H140="",0,1))</f>
        <v>0</v>
      </c>
      <c r="J140" s="267">
        <f>IF(ISERROR(J$139),0,HLOOKUP(J$139,IMPOSTAZIONI!$AB$183:$AH$187,3,FALSE))</f>
        <v>0</v>
      </c>
      <c r="K140" s="267">
        <f>IF(ISERROR(K$139),0,HLOOKUP(K$139,IMPOSTAZIONI!$AB$183:$AH$187,3,FALSE))</f>
        <v>0</v>
      </c>
      <c r="L140" s="268">
        <f>IF(ISERROR(L$139),0,HLOOKUP(L$139,IMPOSTAZIONI!$AB$183:$AH$187,3,FALSE))</f>
        <v>0</v>
      </c>
      <c r="M140" s="2"/>
      <c r="N140" s="2"/>
      <c r="O140" s="2"/>
      <c r="P140" s="2"/>
      <c r="Q140" s="2"/>
      <c r="R140" s="2"/>
      <c r="S140" s="2"/>
      <c r="T140" s="2"/>
      <c r="U140" s="2"/>
      <c r="V140" s="591"/>
      <c r="W140" s="591"/>
      <c r="X140" s="591"/>
      <c r="Y140" s="591"/>
      <c r="Z140" s="591"/>
      <c r="AA140" s="591"/>
      <c r="AB140" s="591"/>
      <c r="AC140" s="591"/>
      <c r="AG140" s="591"/>
      <c r="AH140" s="591"/>
      <c r="AI140" s="591"/>
      <c r="AJ140" s="591"/>
      <c r="AK140" s="591"/>
      <c r="AM140" s="591"/>
      <c r="AN140" s="591"/>
      <c r="AO140" s="591"/>
      <c r="AP140" s="591"/>
      <c r="AQ140" s="591"/>
      <c r="AS140" s="591"/>
      <c r="AT140" s="591"/>
      <c r="AU140" s="591"/>
      <c r="AV140" s="591"/>
      <c r="AW140" s="591"/>
      <c r="AY140" s="591"/>
    </row>
    <row r="141" spans="1:51" ht="15.75" hidden="1" customHeight="1" x14ac:dyDescent="0.2">
      <c r="A141" s="2"/>
      <c r="B141" s="2"/>
      <c r="C141" s="148">
        <v>3</v>
      </c>
      <c r="D141" s="103">
        <f>IF(I141=0,0,COUNTIF(D$139:D140,"&gt;0")+1)</f>
        <v>0</v>
      </c>
      <c r="E141" s="263" t="str">
        <f>IMPOSTAZIONI!B300</f>
        <v>--</v>
      </c>
      <c r="F141" s="2"/>
      <c r="G141" s="305">
        <f>VLOOKUP(E141,IMPOSTAZIONI!$B$298:$AK$304,$E$149,FALSE)</f>
        <v>0</v>
      </c>
      <c r="H141" s="306" t="str">
        <f>IF(G141&gt;0,IF(AND(ISERROR(HLOOKUP(E141,G$136:I$136,1,FALSE)),ISERROR(HLOOKUP(E141,G$1:N$1,1,FALSE))),E141,"OK"),"")</f>
        <v/>
      </c>
      <c r="I141" s="307">
        <f t="shared" si="35"/>
        <v>0</v>
      </c>
      <c r="J141" s="264">
        <f>IF(ISERROR(J$139),0,HLOOKUP(J$139,IMPOSTAZIONI!$AB$183:$AH$187,4,FALSE))</f>
        <v>0</v>
      </c>
      <c r="K141" s="264">
        <f>IF(ISERROR(K$139),0,HLOOKUP(K$139,IMPOSTAZIONI!$AB$183:$AH$187,4,FALSE))</f>
        <v>0</v>
      </c>
      <c r="L141" s="266">
        <f>IF(ISERROR(L$139),0,HLOOKUP(L$139,IMPOSTAZIONI!$AB$183:$AH$187,4,FALSE))</f>
        <v>0</v>
      </c>
      <c r="M141" s="2"/>
      <c r="N141" s="2"/>
      <c r="O141" s="2"/>
      <c r="P141" s="2"/>
      <c r="Q141" s="2"/>
      <c r="R141" s="2"/>
      <c r="S141" s="2"/>
      <c r="T141" s="2"/>
      <c r="U141" s="2"/>
      <c r="V141" s="591"/>
      <c r="W141" s="591"/>
      <c r="X141" s="591"/>
      <c r="Y141" s="591"/>
      <c r="Z141" s="591"/>
      <c r="AA141" s="591"/>
      <c r="AB141" s="591"/>
      <c r="AC141" s="591"/>
      <c r="AG141" s="591"/>
      <c r="AH141" s="591"/>
      <c r="AI141" s="591"/>
      <c r="AJ141" s="591"/>
      <c r="AK141" s="591"/>
      <c r="AM141" s="591"/>
      <c r="AN141" s="591"/>
      <c r="AO141" s="591"/>
      <c r="AP141" s="591"/>
      <c r="AQ141" s="591"/>
      <c r="AS141" s="591"/>
      <c r="AT141" s="591"/>
      <c r="AU141" s="591"/>
      <c r="AV141" s="591"/>
      <c r="AW141" s="591"/>
      <c r="AY141" s="591"/>
    </row>
    <row r="142" spans="1:51" ht="15.75" hidden="1" customHeight="1" x14ac:dyDescent="0.2">
      <c r="A142" s="2"/>
      <c r="B142" s="2"/>
      <c r="C142" s="103"/>
      <c r="D142" s="591"/>
      <c r="E142" s="591"/>
      <c r="F142" s="591"/>
      <c r="G142" s="591"/>
      <c r="H142" s="591"/>
      <c r="I142" s="591"/>
      <c r="J142" s="270">
        <f>IF(ISERROR(J$139),0,HLOOKUP(J$139,IMPOSTAZIONI!$AB$183:$AH$187,5,FALSE))</f>
        <v>0</v>
      </c>
      <c r="K142" s="270">
        <f>IF(ISERROR(K$139),0,HLOOKUP(K$139,IMPOSTAZIONI!$AB$183:$AH$187,5,FALSE))</f>
        <v>0</v>
      </c>
      <c r="L142" s="271">
        <f>IF(ISERROR(L$139),0,HLOOKUP(L$139,IMPOSTAZIONI!$AB$183:$AH$187,5,FALSE))</f>
        <v>0</v>
      </c>
      <c r="M142" s="2"/>
      <c r="N142" s="2"/>
      <c r="O142" s="2"/>
      <c r="P142" s="2"/>
      <c r="Q142" s="2"/>
      <c r="R142" s="2"/>
      <c r="S142" s="2"/>
      <c r="T142" s="2"/>
      <c r="U142" s="2"/>
      <c r="V142" s="591"/>
      <c r="W142" s="591"/>
      <c r="X142" s="591"/>
      <c r="Y142" s="591"/>
      <c r="Z142" s="591"/>
      <c r="AA142" s="591"/>
      <c r="AB142" s="591"/>
      <c r="AC142" s="591"/>
      <c r="AG142" s="591"/>
      <c r="AH142" s="591"/>
      <c r="AI142" s="591"/>
      <c r="AJ142" s="591"/>
      <c r="AK142" s="591"/>
      <c r="AM142" s="591"/>
      <c r="AN142" s="591"/>
      <c r="AO142" s="591"/>
      <c r="AP142" s="591"/>
      <c r="AQ142" s="591"/>
      <c r="AS142" s="591"/>
      <c r="AT142" s="591"/>
      <c r="AU142" s="591"/>
      <c r="AV142" s="591"/>
      <c r="AW142" s="591"/>
      <c r="AY142" s="591"/>
    </row>
    <row r="143" spans="1:51" ht="15.75" hidden="1" customHeight="1" x14ac:dyDescent="0.2">
      <c r="A143" s="2"/>
      <c r="B143" s="2"/>
      <c r="C143" s="103"/>
      <c r="D143" s="591"/>
      <c r="E143" s="591"/>
      <c r="F143" s="591"/>
      <c r="G143" s="591"/>
      <c r="H143" s="591"/>
      <c r="I143" s="591"/>
      <c r="J143" s="2"/>
      <c r="K143" s="2"/>
      <c r="L143" s="2"/>
      <c r="M143" s="2"/>
      <c r="N143" s="2"/>
      <c r="O143" s="2"/>
      <c r="P143" s="2"/>
      <c r="Q143" s="2"/>
      <c r="R143" s="2"/>
      <c r="S143" s="2"/>
      <c r="T143" s="2"/>
      <c r="U143" s="2"/>
      <c r="V143" s="591"/>
      <c r="W143" s="591"/>
      <c r="X143" s="591"/>
      <c r="Y143" s="591"/>
      <c r="Z143" s="591"/>
      <c r="AA143" s="591"/>
      <c r="AB143" s="591"/>
      <c r="AC143" s="591"/>
      <c r="AG143" s="591"/>
      <c r="AH143" s="591"/>
      <c r="AI143" s="591"/>
      <c r="AJ143" s="591"/>
      <c r="AK143" s="591"/>
      <c r="AM143" s="591"/>
      <c r="AN143" s="591"/>
      <c r="AO143" s="591"/>
      <c r="AP143" s="591"/>
      <c r="AQ143" s="591"/>
      <c r="AS143" s="591"/>
      <c r="AT143" s="591"/>
      <c r="AU143" s="591"/>
      <c r="AV143" s="591"/>
      <c r="AW143" s="591"/>
      <c r="AY143" s="591"/>
    </row>
    <row r="144" spans="1:51" ht="15.75" hidden="1" customHeight="1" x14ac:dyDescent="0.2">
      <c r="A144" s="2"/>
      <c r="B144" s="2"/>
      <c r="C144" s="103"/>
      <c r="D144" s="591"/>
      <c r="E144" s="591"/>
      <c r="F144" s="591"/>
      <c r="G144" s="591"/>
      <c r="H144" s="591"/>
      <c r="I144" s="591"/>
      <c r="J144" s="2"/>
      <c r="K144" s="2102" t="s">
        <v>543</v>
      </c>
      <c r="L144" s="2103"/>
      <c r="M144" s="1297" t="s">
        <v>198</v>
      </c>
      <c r="N144" s="1298" t="s">
        <v>202</v>
      </c>
      <c r="O144" s="1297" t="s">
        <v>199</v>
      </c>
      <c r="P144" s="1298" t="s">
        <v>203</v>
      </c>
      <c r="Q144" s="1297" t="s">
        <v>65</v>
      </c>
      <c r="R144" s="1298" t="s">
        <v>66</v>
      </c>
      <c r="S144" s="1297" t="s">
        <v>65</v>
      </c>
      <c r="T144" s="1298" t="s">
        <v>66</v>
      </c>
      <c r="U144" s="2"/>
      <c r="V144" s="591"/>
      <c r="W144" s="591"/>
      <c r="X144" s="591"/>
      <c r="Y144" s="591"/>
      <c r="Z144" s="591"/>
      <c r="AA144" s="591"/>
      <c r="AB144" s="591"/>
      <c r="AC144" s="591"/>
      <c r="AG144" s="591"/>
      <c r="AH144" s="591"/>
      <c r="AI144" s="591"/>
      <c r="AJ144" s="591"/>
      <c r="AK144" s="591"/>
      <c r="AM144" s="591"/>
      <c r="AN144" s="591"/>
      <c r="AO144" s="591"/>
      <c r="AP144" s="591"/>
      <c r="AQ144" s="591"/>
      <c r="AS144" s="591"/>
      <c r="AT144" s="591"/>
      <c r="AU144" s="591"/>
      <c r="AV144" s="591"/>
      <c r="AW144" s="591"/>
      <c r="AY144" s="591"/>
    </row>
    <row r="145" spans="1:51" ht="15.75" hidden="1" customHeight="1" x14ac:dyDescent="0.2">
      <c r="A145" s="2"/>
      <c r="B145" s="2"/>
      <c r="C145" s="103"/>
      <c r="D145" s="103">
        <f>IF(I145=0,0,COUNTIF(D$139:D144,"&gt;0")+1)</f>
        <v>0</v>
      </c>
      <c r="E145" s="263" t="str">
        <f>IMPOSTAZIONI!B301</f>
        <v>--</v>
      </c>
      <c r="F145" s="2"/>
      <c r="G145" s="305">
        <f>VLOOKUP(E145,IMPOSTAZIONI!$B$298:$AK$304,$E$149,FALSE)</f>
        <v>0</v>
      </c>
      <c r="H145" s="306" t="str">
        <f>IF(G145&gt;0,IF(AND(ISERROR(HLOOKUP(E145,G$136:I$136,1,FALSE)),ISERROR(HLOOKUP(E145,G$1:N$1,1,FALSE))),E145,"OK"),"")</f>
        <v/>
      </c>
      <c r="I145" s="307">
        <f t="shared" si="35"/>
        <v>0</v>
      </c>
      <c r="J145" s="2"/>
      <c r="K145" s="2102" t="s">
        <v>58</v>
      </c>
      <c r="L145" s="2103"/>
      <c r="M145" s="100" t="s">
        <v>198</v>
      </c>
      <c r="N145" s="1299" t="s">
        <v>202</v>
      </c>
      <c r="O145" s="100" t="s">
        <v>199</v>
      </c>
      <c r="P145" s="1299" t="s">
        <v>203</v>
      </c>
      <c r="Q145" s="100" t="s">
        <v>65</v>
      </c>
      <c r="R145" s="1299" t="s">
        <v>66</v>
      </c>
      <c r="S145" s="100" t="s">
        <v>65</v>
      </c>
      <c r="T145" s="1299" t="s">
        <v>66</v>
      </c>
      <c r="U145" s="2"/>
      <c r="V145" s="591"/>
      <c r="W145" s="591"/>
      <c r="X145" s="591"/>
      <c r="Y145" s="591"/>
      <c r="Z145" s="591"/>
      <c r="AA145" s="591"/>
      <c r="AB145" s="591"/>
      <c r="AC145" s="591"/>
      <c r="AG145" s="591"/>
      <c r="AH145" s="591"/>
      <c r="AI145" s="591"/>
      <c r="AJ145" s="591"/>
      <c r="AK145" s="591"/>
      <c r="AM145" s="591"/>
      <c r="AN145" s="591"/>
      <c r="AO145" s="591"/>
      <c r="AP145" s="591"/>
      <c r="AQ145" s="591"/>
      <c r="AS145" s="591"/>
      <c r="AT145" s="591"/>
      <c r="AU145" s="591"/>
      <c r="AV145" s="591"/>
      <c r="AW145" s="591"/>
      <c r="AY145" s="591"/>
    </row>
    <row r="146" spans="1:51" ht="15.75" hidden="1" customHeight="1" x14ac:dyDescent="0.2">
      <c r="A146" s="2"/>
      <c r="B146" s="2"/>
      <c r="C146" s="103"/>
      <c r="D146" s="103">
        <f>IF(I146=0,0,COUNTIF(D$139:D145,"&gt;0")+1)</f>
        <v>0</v>
      </c>
      <c r="E146" s="263" t="str">
        <f>IMPOSTAZIONI!B302</f>
        <v/>
      </c>
      <c r="F146" s="2"/>
      <c r="G146" s="305">
        <f>VLOOKUP(E146,IMPOSTAZIONI!$B$298:$AK$304,$E$149,FALSE)</f>
        <v>0</v>
      </c>
      <c r="H146" s="306" t="str">
        <f>IF(G146&gt;0,IF(AND(ISERROR(HLOOKUP(E146,G$136:I$136,1,FALSE)),ISERROR(HLOOKUP(E146,G$1:N$1,1,FALSE))),E146,"OK"),"")</f>
        <v/>
      </c>
      <c r="I146" s="307">
        <f t="shared" si="35"/>
        <v>0</v>
      </c>
      <c r="J146" s="2"/>
      <c r="K146" s="2102" t="s">
        <v>59</v>
      </c>
      <c r="L146" s="2103"/>
      <c r="M146" s="100" t="s">
        <v>198</v>
      </c>
      <c r="N146" s="1299" t="s">
        <v>62</v>
      </c>
      <c r="O146" s="100" t="s">
        <v>199</v>
      </c>
      <c r="P146" s="1299" t="s">
        <v>203</v>
      </c>
      <c r="Q146" s="100" t="s">
        <v>65</v>
      </c>
      <c r="R146" s="1299" t="s">
        <v>66</v>
      </c>
      <c r="S146" s="100" t="s">
        <v>65</v>
      </c>
      <c r="T146" s="1299" t="s">
        <v>66</v>
      </c>
      <c r="U146" s="2"/>
      <c r="V146" s="591"/>
      <c r="W146" s="591"/>
      <c r="X146" s="591"/>
      <c r="Y146" s="591"/>
      <c r="Z146" s="591"/>
      <c r="AA146" s="591"/>
      <c r="AB146" s="591"/>
      <c r="AC146" s="591"/>
      <c r="AG146" s="591"/>
      <c r="AH146" s="591"/>
      <c r="AI146" s="591"/>
      <c r="AJ146" s="591"/>
      <c r="AK146" s="591"/>
      <c r="AM146" s="591"/>
      <c r="AN146" s="591"/>
      <c r="AO146" s="591"/>
      <c r="AP146" s="591"/>
      <c r="AQ146" s="591"/>
      <c r="AS146" s="591"/>
      <c r="AT146" s="591"/>
      <c r="AU146" s="591"/>
      <c r="AV146" s="591"/>
      <c r="AW146" s="591"/>
      <c r="AY146" s="591"/>
    </row>
    <row r="147" spans="1:51" ht="15.75" hidden="1" customHeight="1" x14ac:dyDescent="0.2">
      <c r="A147" s="2"/>
      <c r="B147" s="2"/>
      <c r="C147" s="103"/>
      <c r="D147" s="103">
        <f>IF(I147=0,0,COUNTIF(D$139:D146,"&gt;0")+1)</f>
        <v>0</v>
      </c>
      <c r="E147" s="263" t="str">
        <f>IMPOSTAZIONI!B303</f>
        <v/>
      </c>
      <c r="F147" s="2"/>
      <c r="G147" s="305">
        <f>VLOOKUP(E147,IMPOSTAZIONI!$B$298:$AK$304,$E$149,FALSE)</f>
        <v>0</v>
      </c>
      <c r="H147" s="306" t="str">
        <f>IF(G147&gt;0,IF(AND(ISERROR(HLOOKUP(E147,G$136:I$136,1,FALSE)),ISERROR(HLOOKUP(E147,G$1:N$1,1,FALSE))),E147,"OK"),"")</f>
        <v/>
      </c>
      <c r="I147" s="307">
        <f t="shared" si="35"/>
        <v>0</v>
      </c>
      <c r="J147" s="2"/>
      <c r="K147" s="2102" t="s">
        <v>60</v>
      </c>
      <c r="L147" s="2103"/>
      <c r="M147" s="100" t="s">
        <v>199</v>
      </c>
      <c r="N147" s="1299" t="s">
        <v>203</v>
      </c>
      <c r="O147" s="100" t="s">
        <v>198</v>
      </c>
      <c r="P147" s="1299" t="s">
        <v>63</v>
      </c>
      <c r="Q147" s="100" t="s">
        <v>67</v>
      </c>
      <c r="R147" s="1299" t="s">
        <v>68</v>
      </c>
      <c r="S147" s="100" t="s">
        <v>67</v>
      </c>
      <c r="T147" s="1299" t="s">
        <v>68</v>
      </c>
      <c r="U147" s="2"/>
      <c r="V147" s="591"/>
      <c r="W147" s="591"/>
      <c r="X147" s="591"/>
      <c r="Y147" s="591"/>
      <c r="Z147" s="591"/>
      <c r="AA147" s="591"/>
      <c r="AB147" s="591"/>
      <c r="AC147" s="591"/>
      <c r="AG147" s="591"/>
      <c r="AH147" s="591"/>
      <c r="AI147" s="591"/>
      <c r="AJ147" s="591"/>
      <c r="AK147" s="591"/>
      <c r="AM147" s="591"/>
      <c r="AN147" s="591"/>
      <c r="AO147" s="591"/>
      <c r="AP147" s="591"/>
      <c r="AQ147" s="591"/>
      <c r="AS147" s="591"/>
      <c r="AT147" s="591"/>
      <c r="AU147" s="591"/>
      <c r="AV147" s="591"/>
      <c r="AW147" s="591"/>
      <c r="AY147" s="591"/>
    </row>
    <row r="148" spans="1:51" ht="15.75" hidden="1" customHeight="1" x14ac:dyDescent="0.2">
      <c r="A148" s="2"/>
      <c r="B148" s="2"/>
      <c r="C148" s="103"/>
      <c r="D148" s="103">
        <f>IF(I148=0,0,COUNTIF(D$139:D147,"&gt;0")+1)</f>
        <v>0</v>
      </c>
      <c r="E148" s="263" t="str">
        <f>IMPOSTAZIONI!B304</f>
        <v/>
      </c>
      <c r="F148" s="2"/>
      <c r="G148" s="305">
        <f>VLOOKUP(E148,IMPOSTAZIONI!$B$298:$AK$304,$E$149,FALSE)</f>
        <v>0</v>
      </c>
      <c r="H148" s="306" t="str">
        <f>IF(G148&gt;0,IF(AND(ISERROR(HLOOKUP(E148,G$136:I$136,1,FALSE)),ISERROR(HLOOKUP(E148,G$1:N$1,1,FALSE))),E148,"OK"),"")</f>
        <v/>
      </c>
      <c r="I148" s="307">
        <f t="shared" si="35"/>
        <v>0</v>
      </c>
      <c r="J148" s="2"/>
      <c r="K148" s="2102" t="s">
        <v>61</v>
      </c>
      <c r="L148" s="2103"/>
      <c r="M148" s="100" t="s">
        <v>195</v>
      </c>
      <c r="N148" s="1301" t="s">
        <v>64</v>
      </c>
      <c r="O148" s="1300" t="s">
        <v>195</v>
      </c>
      <c r="P148" s="1301" t="s">
        <v>64</v>
      </c>
      <c r="Q148" s="1300" t="s">
        <v>69</v>
      </c>
      <c r="R148" s="1301"/>
      <c r="S148" s="1300" t="s">
        <v>70</v>
      </c>
      <c r="T148" s="1301"/>
      <c r="U148" s="2"/>
      <c r="V148" s="591"/>
      <c r="W148" s="591"/>
      <c r="X148" s="591"/>
      <c r="Y148" s="591"/>
      <c r="Z148" s="591"/>
      <c r="AA148" s="591"/>
      <c r="AB148" s="591"/>
      <c r="AC148" s="591"/>
      <c r="AG148" s="591"/>
      <c r="AH148" s="591"/>
      <c r="AI148" s="591"/>
      <c r="AJ148" s="591"/>
      <c r="AK148" s="591"/>
      <c r="AM148" s="591"/>
      <c r="AN148" s="591"/>
      <c r="AO148" s="591"/>
      <c r="AP148" s="591"/>
      <c r="AQ148" s="591"/>
      <c r="AS148" s="591"/>
      <c r="AT148" s="591"/>
      <c r="AU148" s="591"/>
      <c r="AV148" s="591"/>
      <c r="AW148" s="591"/>
      <c r="AY148" s="591"/>
    </row>
    <row r="149" spans="1:51" ht="15.75" hidden="1" customHeight="1" x14ac:dyDescent="0.2">
      <c r="A149" s="2"/>
      <c r="B149" s="2"/>
      <c r="C149" s="2"/>
      <c r="D149" s="2"/>
      <c r="E149" s="306">
        <v>6</v>
      </c>
      <c r="F149" s="2"/>
      <c r="G149" s="306" t="str">
        <f>IF(MAX(D139:D148)&gt;C141,K132,"")</f>
        <v/>
      </c>
      <c r="H149" s="308">
        <f>IF((MAX(D139:D148)+3-E135)&gt;3,K132,MAX(D139:D148))</f>
        <v>0</v>
      </c>
      <c r="I149" s="273"/>
      <c r="J149" s="2"/>
      <c r="K149" s="2099"/>
      <c r="L149" s="2099"/>
      <c r="M149" s="1302"/>
      <c r="N149" s="1302"/>
      <c r="O149" s="2"/>
      <c r="P149" s="2"/>
      <c r="Q149" s="2"/>
      <c r="R149" s="2"/>
      <c r="S149" s="2"/>
      <c r="T149" s="2"/>
      <c r="U149" s="2"/>
      <c r="V149" s="591"/>
      <c r="W149" s="591"/>
      <c r="X149" s="591"/>
      <c r="Y149" s="591"/>
      <c r="Z149" s="591"/>
      <c r="AA149" s="591"/>
      <c r="AB149" s="591"/>
      <c r="AC149" s="591"/>
      <c r="AG149" s="591"/>
      <c r="AH149" s="591"/>
      <c r="AI149" s="591"/>
      <c r="AJ149" s="591"/>
      <c r="AK149" s="591"/>
      <c r="AM149" s="591"/>
      <c r="AN149" s="591"/>
      <c r="AO149" s="591"/>
      <c r="AP149" s="591"/>
      <c r="AQ149" s="591"/>
      <c r="AS149" s="591"/>
      <c r="AT149" s="591"/>
      <c r="AU149" s="591"/>
      <c r="AV149" s="591"/>
      <c r="AW149" s="591"/>
      <c r="AY149" s="591"/>
    </row>
    <row r="150" spans="1:51" ht="21" hidden="1" customHeight="1" x14ac:dyDescent="0.2">
      <c r="A150" s="2"/>
      <c r="B150" s="2"/>
      <c r="C150" s="2"/>
      <c r="D150" s="2"/>
      <c r="E150" s="807">
        <f>VLOOKUP(E3,STORICO!C153:AO197,39,FALSE)</f>
        <v>1</v>
      </c>
      <c r="F150" s="2"/>
      <c r="G150" s="1211">
        <f>IF(AND(G152&gt;0,OR(G99&lt;&gt;"OK",G105&lt;&gt;"OK")),1,0)</f>
        <v>0</v>
      </c>
      <c r="H150" s="1211">
        <f>IF(AND(H152&gt;0,OR(H99&lt;&gt;"OK",H105&lt;&gt;"OK")),1,0)</f>
        <v>0</v>
      </c>
      <c r="I150" s="1211">
        <f>IF(AND(I152&gt;0,OR(K99&lt;&gt;"OK",K105&lt;&gt;"OK")),1,0)</f>
        <v>0</v>
      </c>
      <c r="J150" s="1211">
        <f>IF(AND(J152&gt;0,OR(N99&lt;&gt;"OK",N105&lt;&gt;"OK")),1,0)</f>
        <v>0</v>
      </c>
      <c r="K150" s="2"/>
      <c r="L150" s="2"/>
      <c r="M150" s="2"/>
      <c r="N150" s="2"/>
      <c r="O150" s="2"/>
      <c r="P150" s="2"/>
      <c r="Q150" s="2"/>
      <c r="R150" s="2"/>
      <c r="S150" s="2"/>
      <c r="T150" s="2"/>
      <c r="U150" s="2"/>
      <c r="V150" s="591"/>
      <c r="W150" s="591"/>
      <c r="X150" s="591"/>
      <c r="Y150" s="591"/>
      <c r="Z150" s="591"/>
      <c r="AA150" s="591"/>
      <c r="AB150" s="591"/>
      <c r="AC150" s="591"/>
      <c r="AG150" s="591"/>
      <c r="AH150" s="591"/>
      <c r="AI150" s="591"/>
      <c r="AJ150" s="591"/>
      <c r="AK150" s="591"/>
      <c r="AM150" s="591"/>
      <c r="AN150" s="591"/>
      <c r="AO150" s="591"/>
      <c r="AP150" s="591"/>
      <c r="AQ150" s="591"/>
      <c r="AS150" s="591"/>
      <c r="AT150" s="591"/>
      <c r="AU150" s="591"/>
      <c r="AV150" s="591"/>
      <c r="AW150" s="591"/>
      <c r="AY150" s="591"/>
    </row>
    <row r="151" spans="1:51" ht="21" hidden="1" customHeight="1" x14ac:dyDescent="0.2">
      <c r="A151" s="2"/>
      <c r="B151" s="2"/>
      <c r="C151" s="2"/>
      <c r="D151" s="2"/>
      <c r="E151" s="2"/>
      <c r="F151" s="2"/>
      <c r="G151" s="1212" t="str">
        <f>IMPOSTAZIONI!Y382</f>
        <v>Hai delle colonne ALIQUOTE DIVERSE che DEVI SCORPORARE manualmente qui.</v>
      </c>
      <c r="H151" s="1212"/>
      <c r="I151" s="1212"/>
      <c r="J151" s="1212"/>
      <c r="K151" s="1213"/>
      <c r="L151" s="1213"/>
      <c r="M151" s="1213"/>
      <c r="N151" s="1213"/>
      <c r="O151" s="688"/>
      <c r="P151" s="688"/>
      <c r="Q151" s="688"/>
      <c r="R151" s="99"/>
      <c r="S151" s="1306"/>
      <c r="T151" s="591"/>
      <c r="U151" s="591"/>
      <c r="V151" s="591"/>
      <c r="W151" s="591"/>
      <c r="X151" s="591"/>
      <c r="Y151" s="591"/>
      <c r="Z151" s="591"/>
      <c r="AA151" s="591"/>
      <c r="AB151" s="591"/>
      <c r="AC151" s="591"/>
      <c r="AG151" s="591"/>
      <c r="AH151" s="591"/>
      <c r="AI151" s="591"/>
      <c r="AJ151" s="591"/>
      <c r="AK151" s="591"/>
      <c r="AM151" s="591"/>
      <c r="AN151" s="591"/>
      <c r="AO151" s="591"/>
      <c r="AP151" s="591"/>
      <c r="AQ151" s="591"/>
      <c r="AS151" s="591"/>
      <c r="AT151" s="591"/>
      <c r="AU151" s="591"/>
      <c r="AV151" s="591"/>
      <c r="AW151" s="591"/>
      <c r="AY151" s="591"/>
    </row>
    <row r="152" spans="1:51" ht="21" hidden="1" customHeight="1" x14ac:dyDescent="0.2">
      <c r="A152" s="2"/>
      <c r="B152" s="2"/>
      <c r="C152" s="2"/>
      <c r="D152" s="2"/>
      <c r="E152" s="92" t="str">
        <f>IMPOSTAZIONI!J383</f>
        <v>INSERISCI</v>
      </c>
      <c r="F152" s="2"/>
      <c r="G152" s="86">
        <f>IF(G46=0,0,IF(AND(G62&lt;&gt;$L134,G155="X"),1,0))</f>
        <v>0</v>
      </c>
      <c r="H152" s="87">
        <f>IF(H46=0,0,IF(AND(H62&lt;&gt;$L134,H155="X"),1,0))</f>
        <v>0</v>
      </c>
      <c r="I152" s="87">
        <f>IF(K46=0,0,IF(AND(K62&lt;&gt;$L134,I155="X"),1,0))</f>
        <v>0</v>
      </c>
      <c r="J152" s="88">
        <f>IF(N46=0,0,IF(AND(N62&lt;&gt;$L134,J155="X"),1,0))</f>
        <v>0</v>
      </c>
      <c r="K152" s="100" t="str">
        <f>IMPOSTAZIONI!M383</f>
        <v>VERIFICA</v>
      </c>
      <c r="L152" s="92" t="str">
        <f>IMPOSTAZIONI!P383</f>
        <v>CANCELLA</v>
      </c>
      <c r="M152" s="2"/>
      <c r="N152" s="2"/>
      <c r="O152" s="2"/>
      <c r="P152" s="2"/>
      <c r="Q152" s="2"/>
      <c r="R152" s="2"/>
      <c r="S152" s="591"/>
      <c r="T152" s="591"/>
      <c r="U152" s="591"/>
      <c r="V152" s="591"/>
      <c r="W152" s="591"/>
      <c r="X152" s="591"/>
      <c r="Y152" s="591"/>
      <c r="Z152" s="591"/>
      <c r="AA152" s="591"/>
      <c r="AB152" s="591"/>
      <c r="AC152" s="591"/>
      <c r="AG152" s="591"/>
      <c r="AH152" s="591"/>
      <c r="AI152" s="591"/>
      <c r="AJ152" s="591"/>
      <c r="AK152" s="591"/>
      <c r="AM152" s="591"/>
      <c r="AN152" s="591"/>
      <c r="AO152" s="591"/>
      <c r="AP152" s="591"/>
      <c r="AQ152" s="591"/>
      <c r="AS152" s="591"/>
      <c r="AT152" s="591"/>
      <c r="AU152" s="591"/>
      <c r="AV152" s="591"/>
      <c r="AW152" s="591"/>
      <c r="AY152" s="591"/>
    </row>
    <row r="153" spans="1:51" hidden="1" x14ac:dyDescent="0.2">
      <c r="A153" s="2"/>
      <c r="B153" s="2"/>
      <c r="C153" s="2"/>
      <c r="D153" s="2"/>
      <c r="E153" s="2"/>
      <c r="F153" s="2"/>
      <c r="G153" s="756">
        <f>G46</f>
        <v>0</v>
      </c>
      <c r="H153" s="757">
        <f>H46</f>
        <v>0</v>
      </c>
      <c r="I153" s="757">
        <f>K46</f>
        <v>0</v>
      </c>
      <c r="J153" s="758">
        <f>N46</f>
        <v>0</v>
      </c>
      <c r="K153" s="2"/>
      <c r="L153" s="2"/>
      <c r="M153" s="2"/>
      <c r="N153" s="2"/>
      <c r="O153" s="2"/>
      <c r="P153" s="2"/>
      <c r="Q153" s="2"/>
      <c r="R153" s="2"/>
      <c r="S153" s="591"/>
      <c r="T153" s="591"/>
      <c r="U153" s="591"/>
      <c r="V153" s="591"/>
      <c r="W153" s="591"/>
      <c r="X153" s="591"/>
      <c r="Y153" s="591"/>
      <c r="Z153" s="591"/>
      <c r="AA153" s="591"/>
      <c r="AB153" s="591"/>
      <c r="AC153" s="591"/>
      <c r="AG153" s="591"/>
      <c r="AH153" s="591"/>
      <c r="AI153" s="591"/>
      <c r="AJ153" s="591"/>
      <c r="AK153" s="591"/>
      <c r="AM153" s="591"/>
      <c r="AN153" s="591"/>
      <c r="AO153" s="591"/>
      <c r="AP153" s="591"/>
      <c r="AQ153" s="591"/>
      <c r="AS153" s="591"/>
      <c r="AT153" s="591"/>
      <c r="AU153" s="591"/>
      <c r="AV153" s="591"/>
      <c r="AW153" s="591"/>
      <c r="AY153" s="591"/>
    </row>
    <row r="154" spans="1:51" ht="16.5" hidden="1" customHeight="1" x14ac:dyDescent="0.2">
      <c r="A154" s="2"/>
      <c r="B154" s="2"/>
      <c r="C154" s="64">
        <v>365</v>
      </c>
      <c r="D154" s="61" t="s">
        <v>300</v>
      </c>
      <c r="E154" s="19">
        <f>VALUE(CONCATENATE("01/01/",C6))</f>
        <v>45292</v>
      </c>
      <c r="F154" s="2"/>
      <c r="G154" s="756">
        <f>G48</f>
        <v>0</v>
      </c>
      <c r="H154" s="757">
        <f>H48</f>
        <v>0</v>
      </c>
      <c r="I154" s="757">
        <f>K48</f>
        <v>0</v>
      </c>
      <c r="J154" s="758">
        <f>N48</f>
        <v>0</v>
      </c>
      <c r="K154" s="2"/>
      <c r="L154" s="2"/>
      <c r="M154" s="2"/>
      <c r="N154" s="2"/>
      <c r="O154" s="2"/>
      <c r="P154" s="2"/>
      <c r="Q154" s="2"/>
      <c r="R154" s="2"/>
      <c r="S154" s="591"/>
      <c r="T154" s="591"/>
      <c r="U154" s="591"/>
      <c r="V154" s="591"/>
      <c r="W154" s="591"/>
      <c r="X154" s="591"/>
      <c r="Y154" s="591"/>
      <c r="Z154" s="591"/>
      <c r="AA154" s="591"/>
      <c r="AB154" s="591"/>
      <c r="AC154" s="591"/>
      <c r="AG154" s="591"/>
      <c r="AH154" s="591"/>
      <c r="AI154" s="591"/>
      <c r="AJ154" s="591"/>
      <c r="AK154" s="591"/>
      <c r="AM154" s="591"/>
      <c r="AN154" s="591"/>
      <c r="AO154" s="591"/>
      <c r="AP154" s="591"/>
      <c r="AQ154" s="591"/>
      <c r="AS154" s="591"/>
      <c r="AT154" s="591"/>
      <c r="AU154" s="591"/>
      <c r="AV154" s="591"/>
      <c r="AW154" s="591"/>
      <c r="AY154" s="591"/>
    </row>
    <row r="155" spans="1:51" ht="15" hidden="1" customHeight="1" x14ac:dyDescent="0.2">
      <c r="A155" s="2"/>
      <c r="B155" s="2"/>
      <c r="C155" s="63">
        <v>366</v>
      </c>
      <c r="D155" s="62" t="s">
        <v>301</v>
      </c>
      <c r="E155" s="19">
        <f>VALUE(CONCATENATE("31/12/",C6))</f>
        <v>45657</v>
      </c>
      <c r="F155" s="2"/>
      <c r="G155" s="753">
        <f>IF(G156="",0,VLOOKUP(G156,IMPOSTAZIONI!$R$131:$AD$145,13,FALSE))</f>
        <v>0</v>
      </c>
      <c r="H155" s="754">
        <f>IF(H156="",0,VLOOKUP(H156,IMPOSTAZIONI!$R$131:$AD$145,13,FALSE))</f>
        <v>0</v>
      </c>
      <c r="I155" s="754">
        <f>IF(I156="",0,VLOOKUP(I156,IMPOSTAZIONI!$R$131:$AD$145,13,FALSE))</f>
        <v>0</v>
      </c>
      <c r="J155" s="755">
        <f>IF(J156="",0,VLOOKUP(J156,IMPOSTAZIONI!$R$131:$AD$145,13,FALSE))</f>
        <v>0</v>
      </c>
      <c r="K155" s="2"/>
      <c r="L155" s="2"/>
      <c r="M155" s="2"/>
      <c r="N155" s="2"/>
      <c r="O155" s="2"/>
      <c r="P155" s="2"/>
      <c r="Q155" s="2"/>
      <c r="R155" s="2"/>
      <c r="S155" s="591"/>
      <c r="T155" s="591"/>
      <c r="U155" s="591"/>
      <c r="V155" s="591"/>
      <c r="W155" s="591"/>
      <c r="X155" s="591"/>
      <c r="Y155" s="591"/>
      <c r="Z155" s="591"/>
      <c r="AA155" s="591"/>
      <c r="AB155" s="591"/>
      <c r="AC155" s="591"/>
      <c r="AG155" s="591"/>
      <c r="AH155" s="591"/>
      <c r="AI155" s="591"/>
      <c r="AJ155" s="591"/>
      <c r="AK155" s="591"/>
      <c r="AM155" s="591"/>
      <c r="AN155" s="591"/>
      <c r="AO155" s="591"/>
      <c r="AP155" s="591"/>
      <c r="AQ155" s="591"/>
      <c r="AS155" s="591"/>
      <c r="AT155" s="591"/>
      <c r="AU155" s="591"/>
      <c r="AV155" s="591"/>
      <c r="AW155" s="591"/>
      <c r="AY155" s="591"/>
    </row>
    <row r="156" spans="1:51" ht="15" hidden="1" customHeight="1" x14ac:dyDescent="0.2">
      <c r="A156" s="2"/>
      <c r="B156" s="2"/>
      <c r="C156" s="2"/>
      <c r="D156" s="2"/>
      <c r="E156" s="134">
        <f>E155-E154+1</f>
        <v>366</v>
      </c>
      <c r="F156" s="56"/>
      <c r="G156" s="752" t="str">
        <f>IMPOSTAZIONI!F197</f>
        <v/>
      </c>
      <c r="H156" s="752" t="str">
        <f>IMPOSTAZIONI!K197</f>
        <v/>
      </c>
      <c r="I156" s="752" t="str">
        <f>IMPOSTAZIONI!P197</f>
        <v/>
      </c>
      <c r="J156" s="752" t="str">
        <f>IMPOSTAZIONI!U197</f>
        <v/>
      </c>
      <c r="K156" s="2100" t="s">
        <v>195</v>
      </c>
      <c r="L156" s="2100"/>
      <c r="M156" s="2"/>
      <c r="N156" s="2"/>
      <c r="O156" s="2"/>
      <c r="P156" s="2"/>
      <c r="Q156" s="2"/>
      <c r="R156" s="2"/>
      <c r="S156" s="591"/>
      <c r="T156" s="591"/>
      <c r="U156" s="591"/>
      <c r="V156" s="591"/>
      <c r="W156" s="591"/>
      <c r="X156" s="591"/>
      <c r="Y156" s="591"/>
      <c r="Z156" s="591"/>
      <c r="AA156" s="591"/>
      <c r="AB156" s="591"/>
      <c r="AC156" s="591"/>
      <c r="AG156" s="591"/>
      <c r="AH156" s="591"/>
      <c r="AI156" s="591"/>
      <c r="AJ156" s="591"/>
      <c r="AK156" s="591"/>
      <c r="AM156" s="591"/>
      <c r="AN156" s="591"/>
      <c r="AO156" s="591"/>
      <c r="AP156" s="591"/>
      <c r="AQ156" s="591"/>
      <c r="AS156" s="591"/>
      <c r="AT156" s="591"/>
      <c r="AU156" s="591"/>
      <c r="AV156" s="591"/>
      <c r="AW156" s="591"/>
      <c r="AY156" s="591"/>
    </row>
    <row r="157" spans="1:51" ht="15" hidden="1" customHeight="1" x14ac:dyDescent="0.2">
      <c r="A157" s="2"/>
      <c r="B157" s="2"/>
      <c r="C157" s="2"/>
      <c r="D157" s="2"/>
      <c r="E157" s="288" t="str">
        <f>IMPOSTAZIONI!B321</f>
        <v>SC</v>
      </c>
      <c r="F157" s="56"/>
      <c r="G157" s="288" t="str">
        <f>IF(MID(G1,7,2)="",$E157,MID(G1,7,2))</f>
        <v>SC</v>
      </c>
      <c r="H157" s="288" t="str">
        <f>IF(MID(H1,7,2)="",$E157,MID(H1,7,2))</f>
        <v>SC</v>
      </c>
      <c r="I157" s="288" t="str">
        <f>IF(MID(K1,7,2)="",$E157,MID(K1,7,2))</f>
        <v>SC</v>
      </c>
      <c r="J157" s="288" t="str">
        <f>IF(MID(N1,7,2)="",$E157,MID(N1,7,2))</f>
        <v>SC</v>
      </c>
      <c r="K157" s="2100" t="str">
        <f>IMPOSTAZIONI!AH7</f>
        <v>Categoria</v>
      </c>
      <c r="L157" s="2100"/>
      <c r="M157" s="2"/>
      <c r="N157" s="2"/>
      <c r="O157" s="2"/>
      <c r="P157" s="2"/>
      <c r="Q157" s="2"/>
      <c r="R157" s="2"/>
      <c r="S157" s="591"/>
      <c r="T157" s="591"/>
      <c r="U157" s="591"/>
      <c r="V157" s="591"/>
      <c r="W157" s="591"/>
      <c r="X157" s="591"/>
      <c r="Y157" s="591"/>
      <c r="Z157" s="591"/>
      <c r="AA157" s="591"/>
      <c r="AB157" s="591"/>
      <c r="AC157" s="591"/>
      <c r="AG157" s="591"/>
      <c r="AH157" s="591"/>
      <c r="AI157" s="591"/>
      <c r="AJ157" s="591"/>
      <c r="AK157" s="591"/>
      <c r="AM157" s="591"/>
      <c r="AN157" s="591"/>
      <c r="AO157" s="591"/>
      <c r="AP157" s="591"/>
      <c r="AQ157" s="591"/>
      <c r="AS157" s="591"/>
      <c r="AT157" s="591"/>
      <c r="AU157" s="591"/>
      <c r="AV157" s="591"/>
      <c r="AW157" s="591"/>
      <c r="AY157" s="591"/>
    </row>
    <row r="158" spans="1:51" ht="15" hidden="1" customHeight="1" x14ac:dyDescent="0.2">
      <c r="A158" s="2"/>
      <c r="B158" s="2"/>
      <c r="C158" s="2"/>
      <c r="D158" s="2"/>
      <c r="E158" s="288" t="str">
        <f>IMPOSTAZIONI!B351</f>
        <v>%</v>
      </c>
      <c r="F158" s="56"/>
      <c r="G158" s="288" t="str">
        <f>IF(OR(G155&gt;0,G155="X"),$E158,IF(G156="","",MID(G1,4,2)))</f>
        <v/>
      </c>
      <c r="H158" s="288" t="str">
        <f>IF(OR(H155&gt;0,H155="X"),$E158,IF(H156="","",MID(H1,4,2)))</f>
        <v/>
      </c>
      <c r="I158" s="288" t="str">
        <f>IF(OR(I155&gt;0,I155="X"),$E158,IF(I156="","",MID(K1,4,2)))</f>
        <v/>
      </c>
      <c r="J158" s="288" t="str">
        <f>IF(OR(J155&gt;0,J155="X"),$E158,IF(J156="","",MID(N1,4,2)))</f>
        <v/>
      </c>
      <c r="K158" s="2100" t="str">
        <f>IMPOSTAZIONI!B337</f>
        <v>NO IVA</v>
      </c>
      <c r="L158" s="2100"/>
      <c r="M158" s="2"/>
      <c r="N158" s="2"/>
      <c r="O158" s="2"/>
      <c r="P158" s="2"/>
      <c r="Q158" s="2"/>
      <c r="R158" s="2"/>
      <c r="S158" s="591"/>
      <c r="T158" s="591"/>
      <c r="U158" s="591"/>
      <c r="V158" s="591"/>
      <c r="W158" s="591"/>
      <c r="X158" s="591"/>
      <c r="Y158" s="591"/>
      <c r="Z158" s="591"/>
      <c r="AA158" s="591"/>
      <c r="AB158" s="591"/>
      <c r="AC158" s="591"/>
      <c r="AG158" s="591"/>
      <c r="AH158" s="591"/>
      <c r="AI158" s="591"/>
      <c r="AJ158" s="591"/>
      <c r="AK158" s="591"/>
      <c r="AM158" s="591"/>
      <c r="AN158" s="591"/>
      <c r="AO158" s="591"/>
      <c r="AP158" s="591"/>
      <c r="AQ158" s="591"/>
      <c r="AS158" s="591"/>
      <c r="AT158" s="591"/>
      <c r="AU158" s="591"/>
      <c r="AV158" s="591"/>
      <c r="AW158" s="591"/>
      <c r="AY158" s="591"/>
    </row>
    <row r="159" spans="1:51" ht="15" hidden="1" customHeight="1" x14ac:dyDescent="0.2">
      <c r="A159" s="2"/>
      <c r="B159" s="2"/>
      <c r="C159" s="2"/>
      <c r="D159" s="2"/>
      <c r="E159" s="288"/>
      <c r="F159" s="56"/>
      <c r="G159" s="376" t="str">
        <f>MID(G1,1,2)</f>
        <v>--</v>
      </c>
      <c r="H159" s="376" t="str">
        <f>MID(H1,1,2)</f>
        <v>--</v>
      </c>
      <c r="I159" s="376" t="str">
        <f>MID(K1,1,2)</f>
        <v>--</v>
      </c>
      <c r="J159" s="376" t="str">
        <f>MID(N1,1,2)</f>
        <v>--</v>
      </c>
      <c r="K159" s="2100" t="str">
        <f>IMPOSTAZIONI!B354</f>
        <v>TIPO</v>
      </c>
      <c r="L159" s="2100"/>
      <c r="M159" s="2"/>
      <c r="N159" s="2"/>
      <c r="O159" s="2"/>
      <c r="P159" s="2"/>
      <c r="Q159" s="2"/>
      <c r="R159" s="2"/>
      <c r="S159" s="591"/>
      <c r="T159" s="591"/>
      <c r="U159" s="591"/>
      <c r="V159" s="591"/>
      <c r="W159" s="591"/>
      <c r="X159" s="591"/>
      <c r="Y159" s="591"/>
      <c r="Z159" s="591"/>
      <c r="AA159" s="591"/>
      <c r="AB159" s="591"/>
      <c r="AC159" s="591"/>
      <c r="AG159" s="591"/>
      <c r="AH159" s="591"/>
      <c r="AI159" s="591"/>
      <c r="AJ159" s="591"/>
      <c r="AK159" s="591"/>
      <c r="AM159" s="591"/>
      <c r="AN159" s="591"/>
      <c r="AO159" s="591"/>
      <c r="AP159" s="591"/>
      <c r="AQ159" s="591"/>
      <c r="AS159" s="591"/>
      <c r="AT159" s="591"/>
      <c r="AU159" s="591"/>
      <c r="AV159" s="591"/>
      <c r="AW159" s="591"/>
      <c r="AY159" s="591"/>
    </row>
    <row r="160" spans="1:51" ht="15" hidden="1" customHeight="1" x14ac:dyDescent="0.2">
      <c r="A160" s="2"/>
      <c r="B160" s="2"/>
      <c r="C160" s="2"/>
      <c r="D160" s="2"/>
      <c r="E160" s="288"/>
      <c r="F160" s="56"/>
      <c r="G160" s="951">
        <f>SUM(G101:G104)</f>
        <v>0</v>
      </c>
      <c r="H160" s="377">
        <f>SUM(H101:H104)</f>
        <v>0</v>
      </c>
      <c r="I160" s="377">
        <f>SUM(K101:K104)</f>
        <v>0</v>
      </c>
      <c r="J160" s="377">
        <f>SUM(N101:N104)</f>
        <v>0</v>
      </c>
      <c r="K160" s="2107" t="s">
        <v>529</v>
      </c>
      <c r="L160" s="2107"/>
      <c r="M160" s="14"/>
      <c r="N160" s="14"/>
      <c r="O160" s="14"/>
      <c r="P160" s="14"/>
      <c r="Q160" s="14"/>
      <c r="R160" s="2"/>
      <c r="S160" s="591"/>
      <c r="T160" s="591"/>
      <c r="U160" s="591"/>
      <c r="V160" s="591"/>
      <c r="W160" s="591"/>
      <c r="X160" s="591"/>
      <c r="Y160" s="591"/>
      <c r="Z160" s="591"/>
      <c r="AA160" s="591"/>
      <c r="AB160" s="591"/>
      <c r="AC160" s="591"/>
      <c r="AG160" s="591"/>
      <c r="AH160" s="591"/>
      <c r="AI160" s="591"/>
      <c r="AJ160" s="591"/>
      <c r="AK160" s="591"/>
      <c r="AM160" s="591"/>
      <c r="AN160" s="591"/>
      <c r="AO160" s="591"/>
      <c r="AP160" s="591"/>
      <c r="AQ160" s="591"/>
      <c r="AS160" s="591"/>
      <c r="AT160" s="591"/>
      <c r="AU160" s="591"/>
      <c r="AV160" s="591"/>
      <c r="AW160" s="591"/>
      <c r="AY160" s="591"/>
    </row>
    <row r="161" spans="1:51" ht="15" hidden="1" customHeight="1" x14ac:dyDescent="0.2">
      <c r="A161" s="2"/>
      <c r="B161" s="2"/>
      <c r="C161" s="2"/>
      <c r="D161" s="2"/>
      <c r="E161" s="72"/>
      <c r="F161" s="2"/>
      <c r="G161" s="950">
        <f>IF(AND(G42=$K134,G62=$L135),G48,0)</f>
        <v>0</v>
      </c>
      <c r="H161" s="950">
        <f>IF(AND(H42=$K134,H62=$L135),H48,0)</f>
        <v>0</v>
      </c>
      <c r="I161" s="950">
        <f>IF(AND(K42=$K134,K62=$L135),K48,0)</f>
        <v>0</v>
      </c>
      <c r="J161" s="950">
        <f>IF(AND(N42=$K134,N62=$L135),N48,0)</f>
        <v>0</v>
      </c>
      <c r="K161" s="211"/>
      <c r="L161" s="211"/>
      <c r="M161" s="211"/>
      <c r="N161" s="211"/>
      <c r="O161" s="211"/>
      <c r="P161" s="211"/>
      <c r="Q161" s="211"/>
      <c r="R161" s="2"/>
      <c r="S161" s="591"/>
      <c r="T161" s="591"/>
      <c r="U161" s="591"/>
      <c r="V161" s="591"/>
      <c r="W161" s="591"/>
      <c r="X161" s="591"/>
      <c r="Y161" s="591"/>
      <c r="Z161" s="591"/>
      <c r="AA161" s="591"/>
      <c r="AB161" s="591"/>
      <c r="AC161" s="591"/>
      <c r="AG161" s="591"/>
      <c r="AH161" s="591"/>
      <c r="AI161" s="591"/>
      <c r="AJ161" s="591"/>
      <c r="AK161" s="591"/>
      <c r="AM161" s="591"/>
      <c r="AN161" s="591"/>
      <c r="AO161" s="591"/>
      <c r="AP161" s="591"/>
      <c r="AQ161" s="591"/>
      <c r="AS161" s="591"/>
      <c r="AT161" s="591"/>
      <c r="AU161" s="591"/>
      <c r="AV161" s="591"/>
      <c r="AW161" s="591"/>
      <c r="AY161" s="591"/>
    </row>
    <row r="162" spans="1:51" hidden="1" x14ac:dyDescent="0.2">
      <c r="A162" s="2"/>
      <c r="B162" s="2086">
        <f>Presentazione!Q13</f>
        <v>45292</v>
      </c>
      <c r="C162" s="2087"/>
      <c r="D162" s="2088"/>
      <c r="E162" s="288" t="str">
        <f>CONCATENATE(CASSA!X485,"    ")</f>
        <v xml:space="preserve">Chiuso    </v>
      </c>
      <c r="F162" s="2"/>
      <c r="G162" s="950">
        <f>IF(G62&lt;&gt;$L134,G48-G161,0)</f>
        <v>0</v>
      </c>
      <c r="H162" s="950">
        <f>IF(H62&lt;&gt;$L134,H48-H161,0)</f>
        <v>0</v>
      </c>
      <c r="I162" s="950">
        <f>IF(K62&lt;&gt;$L134,K48-I161,0)</f>
        <v>0</v>
      </c>
      <c r="J162" s="950">
        <f>IF(N62&lt;&gt;$L134,N48-J161,0)</f>
        <v>0</v>
      </c>
      <c r="K162" s="2"/>
      <c r="L162" s="2"/>
      <c r="M162" s="2"/>
      <c r="N162" s="2"/>
      <c r="O162" s="2"/>
      <c r="P162" s="2"/>
      <c r="Q162" s="2"/>
      <c r="R162" s="2"/>
      <c r="S162" s="591"/>
      <c r="T162" s="591"/>
      <c r="U162" s="591"/>
      <c r="V162" s="591"/>
      <c r="W162" s="591"/>
      <c r="X162" s="591"/>
      <c r="Y162" s="591"/>
      <c r="Z162" s="591"/>
      <c r="AA162" s="591"/>
      <c r="AB162" s="591"/>
      <c r="AC162" s="591"/>
      <c r="AG162" s="591"/>
      <c r="AH162" s="591"/>
      <c r="AI162" s="591"/>
      <c r="AJ162" s="591"/>
      <c r="AK162" s="591"/>
      <c r="AM162" s="591"/>
      <c r="AN162" s="591"/>
      <c r="AO162" s="591"/>
      <c r="AP162" s="591"/>
      <c r="AQ162" s="591"/>
      <c r="AS162" s="591"/>
      <c r="AT162" s="591"/>
      <c r="AU162" s="591"/>
      <c r="AV162" s="591"/>
      <c r="AW162" s="591"/>
      <c r="AY162" s="591"/>
    </row>
    <row r="163" spans="1:51" ht="15" hidden="1" customHeight="1" x14ac:dyDescent="0.2">
      <c r="A163" s="2"/>
      <c r="B163" s="2086">
        <f>Presentazione!R13</f>
        <v>45382</v>
      </c>
      <c r="C163" s="2087"/>
      <c r="D163" s="2088"/>
      <c r="E163" s="288" t="str">
        <f>CONCATENATE(IMPOSTAZIONI!L188,"    ")</f>
        <v xml:space="preserve">ERROR    </v>
      </c>
      <c r="F163" s="232"/>
      <c r="G163" s="233" t="s">
        <v>299</v>
      </c>
      <c r="H163" s="60">
        <f>IMPOSTAZIONI!N387</f>
        <v>18</v>
      </c>
      <c r="I163" s="288">
        <f>IMPOSTAZIONI!Y153</f>
        <v>0</v>
      </c>
      <c r="J163" s="140" t="s">
        <v>463</v>
      </c>
      <c r="K163" s="233" t="s">
        <v>549</v>
      </c>
      <c r="L163" s="60">
        <f>Presentazione!E159</f>
        <v>0</v>
      </c>
      <c r="M163" s="170" t="s">
        <v>398</v>
      </c>
      <c r="N163" s="79">
        <v>1</v>
      </c>
      <c r="O163" s="508">
        <f>IF(OR(COUNTIF(G99:N99,E152)&gt;0,COUNTIF(G99:N99,K152)&gt;0,COUNTIF(G99:N99,L152)&gt;0,COUNTIF(G105:N105,E152)&gt;0,COUNTIF(G105:N105,K152)&gt;0,COUNTIF(G105:N105,L152)&gt;0,COUNTIF(C101:F104,"ERROR")&gt;0,COUNTIF(E8:F38,E163)&gt;0),1,0)</f>
        <v>0</v>
      </c>
      <c r="P163" s="509" t="s">
        <v>550</v>
      </c>
      <c r="Q163" s="2"/>
      <c r="R163" s="2"/>
      <c r="S163" s="591"/>
      <c r="T163" s="591"/>
      <c r="U163" s="591"/>
      <c r="V163" s="591"/>
      <c r="W163" s="591"/>
      <c r="X163" s="591"/>
      <c r="Y163" s="591"/>
      <c r="Z163" s="591"/>
      <c r="AA163" s="591"/>
      <c r="AB163" s="591"/>
      <c r="AC163" s="591"/>
      <c r="AG163" s="591"/>
      <c r="AH163" s="591"/>
      <c r="AI163" s="591"/>
      <c r="AJ163" s="591"/>
      <c r="AK163" s="591"/>
      <c r="AM163" s="591"/>
      <c r="AN163" s="591"/>
      <c r="AO163" s="591"/>
      <c r="AP163" s="591"/>
      <c r="AQ163" s="591"/>
      <c r="AS163" s="591"/>
      <c r="AT163" s="591"/>
      <c r="AU163" s="591"/>
      <c r="AV163" s="591"/>
      <c r="AW163" s="591"/>
      <c r="AY163" s="591"/>
    </row>
    <row r="164" spans="1:51" ht="15" hidden="1" customHeight="1" x14ac:dyDescent="0.2">
      <c r="A164" s="2"/>
      <c r="B164" s="2"/>
      <c r="C164" s="2"/>
      <c r="D164" s="2"/>
      <c r="E164" s="2"/>
      <c r="F164" s="2"/>
      <c r="G164" s="950">
        <f>IF(G42=$K134,0,G87)</f>
        <v>0</v>
      </c>
      <c r="H164" s="950">
        <f>IF(H42=$K134,0,H87)</f>
        <v>0</v>
      </c>
      <c r="I164" s="950">
        <f>IF(K42=$K134,0,I87)</f>
        <v>0</v>
      </c>
      <c r="J164" s="950">
        <f>IF(N42=$K134,0,K87)</f>
        <v>0</v>
      </c>
      <c r="K164" s="2"/>
      <c r="L164" s="2"/>
      <c r="M164" s="2"/>
      <c r="N164" s="2"/>
      <c r="O164" s="2"/>
      <c r="P164" s="2"/>
      <c r="Q164" s="2"/>
      <c r="R164" s="2"/>
      <c r="S164" s="591"/>
      <c r="T164" s="591"/>
      <c r="U164" s="591"/>
      <c r="V164" s="591"/>
      <c r="W164" s="591"/>
      <c r="X164" s="591"/>
      <c r="Y164" s="591"/>
      <c r="Z164" s="591"/>
      <c r="AA164" s="591"/>
      <c r="AB164" s="591"/>
      <c r="AC164" s="591"/>
      <c r="AG164" s="591"/>
      <c r="AH164" s="591"/>
      <c r="AI164" s="591"/>
      <c r="AJ164" s="591"/>
      <c r="AK164" s="591"/>
      <c r="AM164" s="591"/>
      <c r="AN164" s="591"/>
      <c r="AO164" s="591"/>
      <c r="AP164" s="591"/>
      <c r="AQ164" s="591"/>
      <c r="AS164" s="591"/>
      <c r="AT164" s="591"/>
      <c r="AU164" s="591"/>
      <c r="AV164" s="591"/>
      <c r="AW164" s="591"/>
      <c r="AY164" s="591"/>
    </row>
    <row r="165" spans="1:51" hidden="1" x14ac:dyDescent="0.2">
      <c r="A165" s="2"/>
      <c r="B165" s="2"/>
      <c r="C165" s="2"/>
      <c r="D165" s="2"/>
      <c r="E165" s="2"/>
      <c r="F165" s="2"/>
      <c r="G165" s="2"/>
      <c r="H165" s="2"/>
      <c r="I165" s="2"/>
      <c r="J165" s="2"/>
      <c r="K165" s="2"/>
      <c r="L165" s="2"/>
      <c r="M165" s="2"/>
      <c r="N165" s="2"/>
      <c r="O165" s="2"/>
      <c r="P165" s="2"/>
      <c r="Q165" s="2"/>
      <c r="R165" s="2"/>
      <c r="S165" s="591"/>
      <c r="T165" s="591"/>
      <c r="U165" s="591"/>
      <c r="V165" s="591"/>
      <c r="W165" s="591"/>
      <c r="X165" s="591"/>
      <c r="Y165" s="591"/>
      <c r="Z165" s="591"/>
      <c r="AA165" s="591"/>
      <c r="AB165" s="591"/>
      <c r="AC165" s="591"/>
      <c r="AG165" s="591"/>
      <c r="AH165" s="591"/>
      <c r="AI165" s="591"/>
      <c r="AJ165" s="591"/>
      <c r="AK165" s="591"/>
      <c r="AM165" s="591"/>
      <c r="AN165" s="591"/>
      <c r="AO165" s="591"/>
      <c r="AP165" s="591"/>
      <c r="AQ165" s="591"/>
      <c r="AS165" s="591"/>
      <c r="AT165" s="591"/>
      <c r="AU165" s="591"/>
      <c r="AV165" s="591"/>
      <c r="AW165" s="591"/>
      <c r="AY165" s="591"/>
    </row>
    <row r="166" spans="1:51" ht="22.5" customHeight="1" x14ac:dyDescent="0.2">
      <c r="A166" s="2"/>
      <c r="B166" s="2"/>
      <c r="C166" s="2"/>
      <c r="D166" s="2"/>
      <c r="E166" s="2"/>
      <c r="F166" s="2"/>
      <c r="G166" s="624">
        <v>1</v>
      </c>
      <c r="H166" s="624">
        <v>2</v>
      </c>
      <c r="I166" s="2229">
        <v>5</v>
      </c>
      <c r="J166" s="2229"/>
      <c r="K166" s="624">
        <v>8</v>
      </c>
      <c r="L166" s="2"/>
      <c r="M166" s="2228" t="s">
        <v>193</v>
      </c>
      <c r="N166" s="2228"/>
      <c r="O166" s="2"/>
      <c r="P166" s="2"/>
      <c r="Q166" s="2"/>
      <c r="R166" s="591"/>
      <c r="S166" s="591"/>
      <c r="T166" s="591"/>
      <c r="U166" s="591"/>
      <c r="V166" s="591"/>
      <c r="W166" s="591"/>
      <c r="X166" s="591"/>
      <c r="Y166" s="591"/>
      <c r="Z166" s="591"/>
      <c r="AA166" s="591"/>
      <c r="AB166" s="591"/>
      <c r="AC166" s="591"/>
      <c r="AG166" s="591"/>
      <c r="AS166" s="591"/>
    </row>
    <row r="167" spans="1:51" ht="18" customHeight="1" x14ac:dyDescent="0.2">
      <c r="A167" s="2"/>
      <c r="B167" s="2"/>
      <c r="C167" s="2084" t="s">
        <v>175</v>
      </c>
      <c r="D167" s="2084"/>
      <c r="E167" s="2085">
        <f>E43</f>
        <v>2024</v>
      </c>
      <c r="F167" s="2085">
        <f>F43</f>
        <v>0</v>
      </c>
      <c r="G167" s="590" t="str">
        <f>G43</f>
        <v/>
      </c>
      <c r="H167" s="590" t="str">
        <f>H43</f>
        <v/>
      </c>
      <c r="I167" s="2232" t="str">
        <f>K43</f>
        <v/>
      </c>
      <c r="J167" s="2232"/>
      <c r="K167" s="590" t="str">
        <f>N43</f>
        <v/>
      </c>
      <c r="L167" s="2"/>
      <c r="M167" s="908" t="s">
        <v>717</v>
      </c>
      <c r="N167" s="2"/>
      <c r="O167" s="2"/>
      <c r="P167" s="2"/>
      <c r="Q167" s="2"/>
      <c r="R167" s="591"/>
      <c r="S167" s="591"/>
      <c r="T167" s="591"/>
      <c r="U167" s="591"/>
      <c r="V167" s="591"/>
      <c r="W167" s="591"/>
      <c r="X167" s="591"/>
      <c r="Y167" s="591"/>
      <c r="Z167" s="591"/>
      <c r="AA167" s="591"/>
      <c r="AB167" s="591"/>
      <c r="AC167" s="591"/>
      <c r="AG167" s="591"/>
      <c r="AS167" s="591"/>
    </row>
    <row r="168" spans="1:51" ht="22.5" customHeight="1" x14ac:dyDescent="0.2">
      <c r="A168" s="2"/>
      <c r="B168" s="2"/>
      <c r="C168" s="2091" t="s">
        <v>298</v>
      </c>
      <c r="D168" s="2091"/>
      <c r="E168" s="2091"/>
      <c r="F168" s="2091"/>
      <c r="G168" s="57" t="str">
        <f>G44</f>
        <v/>
      </c>
      <c r="H168" s="57" t="str">
        <f>H44</f>
        <v/>
      </c>
      <c r="I168" s="2230" t="str">
        <f>K44</f>
        <v/>
      </c>
      <c r="J168" s="2230"/>
      <c r="K168" s="57" t="str">
        <f>N44</f>
        <v/>
      </c>
      <c r="L168" s="2"/>
      <c r="M168" s="2228" t="s">
        <v>719</v>
      </c>
      <c r="N168" s="2228"/>
      <c r="O168" s="2"/>
      <c r="P168" s="2"/>
      <c r="Q168" s="2"/>
      <c r="R168" s="591"/>
      <c r="S168" s="591"/>
      <c r="T168" s="591"/>
      <c r="U168" s="591"/>
      <c r="V168" s="591"/>
      <c r="W168" s="591"/>
      <c r="X168" s="591"/>
      <c r="Y168" s="591"/>
      <c r="Z168" s="591"/>
      <c r="AA168" s="591"/>
      <c r="AB168" s="591"/>
      <c r="AC168" s="591"/>
      <c r="AG168" s="591"/>
      <c r="AS168" s="591"/>
    </row>
    <row r="169" spans="1:51" ht="19.5" customHeight="1" x14ac:dyDescent="0.2">
      <c r="A169" s="2"/>
      <c r="B169" s="2"/>
      <c r="C169" s="2094" t="str">
        <f>C95</f>
        <v>01/02 - 29/02</v>
      </c>
      <c r="D169" s="2095"/>
      <c r="E169" s="2095"/>
      <c r="F169" s="2095"/>
      <c r="G169" s="90" t="str">
        <f>G45</f>
        <v/>
      </c>
      <c r="H169" s="90" t="str">
        <f>H45</f>
        <v/>
      </c>
      <c r="I169" s="2231" t="str">
        <f>K45</f>
        <v/>
      </c>
      <c r="J169" s="2231"/>
      <c r="K169" s="90" t="str">
        <f>N45</f>
        <v/>
      </c>
      <c r="L169" s="2"/>
      <c r="M169" s="12"/>
      <c r="N169" s="2"/>
      <c r="O169" s="2"/>
      <c r="P169" s="2"/>
      <c r="Q169" s="2"/>
      <c r="R169" s="591"/>
      <c r="S169" s="591"/>
      <c r="T169" s="591"/>
      <c r="U169" s="591"/>
      <c r="V169" s="591"/>
      <c r="W169" s="591"/>
      <c r="X169" s="591"/>
      <c r="Y169" s="591"/>
      <c r="Z169" s="591"/>
      <c r="AA169" s="591"/>
      <c r="AB169" s="591"/>
      <c r="AC169" s="591"/>
      <c r="AG169" s="591"/>
      <c r="AS169" s="591"/>
    </row>
    <row r="170" spans="1:51" ht="7.5" customHeight="1" x14ac:dyDescent="0.2">
      <c r="A170" s="2"/>
      <c r="B170" s="2"/>
      <c r="C170" s="2089"/>
      <c r="D170" s="2090"/>
      <c r="E170" s="484"/>
      <c r="F170" s="2"/>
      <c r="G170" s="597">
        <f>IF(AND(G$180&lt;&gt;0,G$180&gt;0),IF(($E$171*9)&gt;=G$180,0,1),IF(AND(G$180&lt;&gt;0,G$180&lt;0),IF(($E$171*9)&lt;=G$180,0,1),0))</f>
        <v>0</v>
      </c>
      <c r="H170" s="597">
        <f>IF(AND(H$180&lt;&gt;0,H$180&gt;0),IF(($E$171*9)&gt;=H$180,0,1),IF(AND(H$180&lt;&gt;0,H$180&lt;0),IF(($E$171*9)&lt;=H$180,0,1),0))</f>
        <v>0</v>
      </c>
      <c r="I170" s="2104">
        <f>IF(AND(I$180&lt;&gt;0,I$180&gt;0),IF(($E$171*9)&gt;=I$180,0,1),IF(AND(I$180&lt;&gt;0,I$180&lt;0),IF(($E$171*9)&lt;=I$180,0,1),0))</f>
        <v>0</v>
      </c>
      <c r="J170" s="2105"/>
      <c r="K170" s="597">
        <f>IF(AND(K$180&lt;&gt;0,K$180&gt;0),IF(($E$171*9)&gt;=K$180,0,1),IF(AND(K$180&lt;&gt;0,K$180&lt;0),IF(($E$171*9)&lt;=K$180,0,1),0))</f>
        <v>0</v>
      </c>
      <c r="L170" s="2"/>
      <c r="M170" s="2"/>
      <c r="N170" s="2"/>
      <c r="O170" s="2"/>
      <c r="P170" s="2"/>
      <c r="Q170" s="2"/>
      <c r="R170" s="591"/>
      <c r="S170" s="591"/>
      <c r="T170" s="591"/>
      <c r="U170" s="591"/>
      <c r="V170" s="591"/>
      <c r="W170" s="591"/>
      <c r="X170" s="591"/>
      <c r="Y170" s="591"/>
      <c r="Z170" s="591"/>
      <c r="AA170" s="591"/>
      <c r="AB170" s="591"/>
      <c r="AC170" s="591"/>
      <c r="AG170" s="591"/>
      <c r="AS170" s="591"/>
    </row>
    <row r="171" spans="1:51" ht="7.5" customHeight="1" x14ac:dyDescent="0.2">
      <c r="A171" s="2"/>
      <c r="B171" s="2"/>
      <c r="C171" s="2096" t="s">
        <v>587</v>
      </c>
      <c r="D171" s="2096"/>
      <c r="E171" s="2098">
        <f>IF(OR(M166=0,M168=""),0,IF(M168=E220,E221,MAX(G180:K180)/10))</f>
        <v>0</v>
      </c>
      <c r="F171" s="2"/>
      <c r="G171" s="598">
        <f>IF(AND(G$180&lt;&gt;0,G$180&gt;0),IF(($E$171*8)&gt;=G$180,0,1),IF(AND(G$180&lt;&gt;0,G$180&lt;0),IF(($E$171*8)&lt;=G$180,0,1),0))</f>
        <v>0</v>
      </c>
      <c r="H171" s="598">
        <f>IF(AND(H$180&lt;&gt;0,H$180&gt;0),IF(($E$171*8)&gt;=H$180,0,1),IF(AND(H$180&lt;&gt;0,H$180&lt;0),IF(($E$171*8)&lt;=H$180,0,1),0))</f>
        <v>0</v>
      </c>
      <c r="I171" s="2061">
        <f>IF(AND(I$180&lt;&gt;0,I$180&gt;0),IF(($E$171*8)&gt;=I$180,0,1),IF(AND(I$180&lt;&gt;0,I$180&lt;0),IF(($E$171*8)&lt;=I$180,0,1),0))</f>
        <v>0</v>
      </c>
      <c r="J171" s="2062"/>
      <c r="K171" s="598">
        <f>IF(AND(K$180&lt;&gt;0,K$180&gt;0),IF(($E$171*8)&gt;=K$180,0,1),IF(AND(K$180&lt;&gt;0,K$180&lt;0),IF(($E$171*8)&lt;=K$180,0,1),0))</f>
        <v>0</v>
      </c>
      <c r="L171" s="2"/>
      <c r="M171" s="2"/>
      <c r="N171" s="2"/>
      <c r="O171" s="2"/>
      <c r="P171" s="2"/>
      <c r="Q171" s="2"/>
      <c r="R171" s="591"/>
      <c r="S171" s="591"/>
      <c r="T171" s="591"/>
      <c r="U171" s="591"/>
      <c r="V171" s="591"/>
      <c r="W171" s="591"/>
      <c r="X171" s="591"/>
      <c r="AA171" s="591"/>
      <c r="AB171" s="591"/>
      <c r="AC171" s="591"/>
      <c r="AG171" s="591"/>
      <c r="AS171" s="591"/>
    </row>
    <row r="172" spans="1:51" ht="7.5" customHeight="1" x14ac:dyDescent="0.2">
      <c r="A172" s="2"/>
      <c r="B172" s="2"/>
      <c r="C172" s="2097"/>
      <c r="D172" s="2097"/>
      <c r="E172" s="2098"/>
      <c r="F172" s="2"/>
      <c r="G172" s="598">
        <f>IF(AND(G$180&lt;&gt;0,G$180&gt;0),IF(($E$171*7)&gt;=G$180,0,1),IF(AND(G$180&lt;&gt;0,G$180&lt;0),IF(($E$171*7)&lt;=G$180,0,1),0))</f>
        <v>0</v>
      </c>
      <c r="H172" s="598">
        <f>IF(AND(H$180&lt;&gt;0,H$180&gt;0),IF(($E$171*7)&gt;=H$180,0,1),IF(AND(H$180&lt;&gt;0,H$180&lt;0),IF(($E$171*7)&lt;=H$180,0,1),0))</f>
        <v>0</v>
      </c>
      <c r="I172" s="2061">
        <f>IF(AND(I$180&lt;&gt;0,I$180&gt;0),IF(($E$171*7)&gt;=I$180,0,1),IF(AND(I$180&lt;&gt;0,I$180&lt;0),IF(($E$171*7)&lt;=I$180,0,1),0))</f>
        <v>0</v>
      </c>
      <c r="J172" s="2062"/>
      <c r="K172" s="598">
        <f>IF(AND(K$180&lt;&gt;0,K$180&gt;0),IF(($E$171*7)&gt;=K$180,0,1),IF(AND(K$180&lt;&gt;0,K$180&lt;0),IF(($E$171*7)&lt;=K$180,0,1),0))</f>
        <v>0</v>
      </c>
      <c r="L172" s="2"/>
      <c r="M172" s="2"/>
      <c r="N172" s="2"/>
      <c r="O172" s="2"/>
      <c r="P172" s="2"/>
      <c r="Q172" s="2"/>
      <c r="R172" s="591"/>
      <c r="S172" s="591"/>
      <c r="T172" s="591"/>
      <c r="U172" s="591"/>
      <c r="V172" s="591"/>
      <c r="W172" s="591"/>
      <c r="X172" s="591"/>
      <c r="AA172" s="591"/>
      <c r="AB172" s="591"/>
      <c r="AC172" s="591"/>
      <c r="AG172" s="591"/>
      <c r="AS172" s="591"/>
    </row>
    <row r="173" spans="1:51" ht="7.5" customHeight="1" x14ac:dyDescent="0.2">
      <c r="A173" s="2"/>
      <c r="B173" s="2"/>
      <c r="C173" s="2"/>
      <c r="D173" s="2"/>
      <c r="E173" s="2"/>
      <c r="F173" s="2"/>
      <c r="G173" s="598">
        <f>IF(AND(G$180&lt;&gt;0,G$180&gt;0),IF(($E$171*6)&gt;=G$180,0,1),IF(AND(G$180&lt;&gt;0,G$180&lt;0),IF(($E$171*6)&lt;=G$180,0,1),0))</f>
        <v>0</v>
      </c>
      <c r="H173" s="598">
        <f>IF(AND(H$180&lt;&gt;0,H$180&gt;0),IF(($E$171*6)&gt;=H$180,0,1),IF(AND(H$180&lt;&gt;0,H$180&lt;0),IF(($E$171*6)&lt;=H$180,0,1),0))</f>
        <v>0</v>
      </c>
      <c r="I173" s="2061">
        <f>IF(AND(I$180&lt;&gt;0,I$180&gt;0),IF(($E$171*6)&gt;=I$180,0,1),IF(AND(I$180&lt;&gt;0,I$180&lt;0),IF(($E$171*6)&lt;=I$180,0,1),0))</f>
        <v>0</v>
      </c>
      <c r="J173" s="2062"/>
      <c r="K173" s="598">
        <f>IF(AND(K$180&lt;&gt;0,K$180&gt;0),IF(($E$171*6)&gt;=K$180,0,1),IF(AND(K$180&lt;&gt;0,K$180&lt;0),IF(($E$171*6)&lt;=K$180,0,1),0))</f>
        <v>0</v>
      </c>
      <c r="L173" s="2"/>
      <c r="M173" s="2"/>
      <c r="N173" s="2"/>
      <c r="O173" s="2"/>
      <c r="P173" s="2"/>
      <c r="Q173" s="2"/>
      <c r="R173" s="591"/>
      <c r="S173" s="591"/>
      <c r="T173" s="591"/>
      <c r="U173" s="591"/>
      <c r="V173" s="591"/>
      <c r="W173" s="591"/>
      <c r="X173" s="591"/>
      <c r="AA173" s="591"/>
      <c r="AB173" s="591"/>
      <c r="AC173" s="591"/>
      <c r="AG173" s="591"/>
      <c r="AS173" s="591"/>
    </row>
    <row r="174" spans="1:51" ht="7.5" customHeight="1" x14ac:dyDescent="0.2">
      <c r="A174" s="2"/>
      <c r="B174" s="2"/>
      <c r="C174" s="2"/>
      <c r="D174" s="2"/>
      <c r="E174" s="2"/>
      <c r="F174" s="2"/>
      <c r="G174" s="598">
        <f>IF(AND(G$180&lt;&gt;0,G$180&gt;0),IF(($E$171*5)&gt;=G$180,0,1),IF(AND(G$180&lt;&gt;0,G$180&lt;0),IF(($E$171*5)&lt;=G$180,0,1),0))</f>
        <v>0</v>
      </c>
      <c r="H174" s="598">
        <f>IF(AND(H$180&lt;&gt;0,H$180&gt;0),IF(($E$171*5)&gt;=H$180,0,1),IF(AND(H$180&lt;&gt;0,H$180&lt;0),IF(($E$171*5)&lt;=H$180,0,1),0))</f>
        <v>0</v>
      </c>
      <c r="I174" s="2061">
        <f>IF(AND(I$180&lt;&gt;0,I$180&gt;0),IF(($E$171*5)&gt;=I$180,0,1),IF(AND(I$180&lt;&gt;0,I$180&lt;0),IF(($E$171*5)&lt;=I$180,0,1),0))</f>
        <v>0</v>
      </c>
      <c r="J174" s="2062"/>
      <c r="K174" s="598">
        <f>IF(AND(K$180&lt;&gt;0,K$180&gt;0),IF(($E$171*5)&gt;=K$180,0,1),IF(AND(K$180&lt;&gt;0,K$180&lt;0),IF(($E$171*5)&lt;=K$180,0,1),0))</f>
        <v>0</v>
      </c>
      <c r="L174" s="2"/>
      <c r="M174" s="2"/>
      <c r="N174" s="2"/>
      <c r="O174" s="2"/>
      <c r="P174" s="2"/>
      <c r="Q174" s="2"/>
      <c r="R174" s="591"/>
      <c r="S174" s="591"/>
      <c r="T174" s="591"/>
      <c r="U174" s="591"/>
      <c r="V174" s="591"/>
      <c r="W174" s="591"/>
      <c r="X174" s="591"/>
      <c r="AA174" s="591"/>
      <c r="AB174" s="591"/>
      <c r="AC174" s="591"/>
      <c r="AG174" s="591"/>
      <c r="AS174" s="591"/>
    </row>
    <row r="175" spans="1:51" ht="7.5" customHeight="1" x14ac:dyDescent="0.2">
      <c r="A175" s="2"/>
      <c r="B175" s="2"/>
      <c r="C175" s="2"/>
      <c r="D175" s="2"/>
      <c r="E175" s="2"/>
      <c r="F175" s="2"/>
      <c r="G175" s="598">
        <f>IF(AND(G$180&lt;&gt;0,G$180&gt;0),IF(($E$171*4)&gt;=G$180,0,1),IF(AND(G$180&lt;&gt;0,G$180&lt;0),IF(($E$171*4)&lt;=G$180,0,1),0))</f>
        <v>0</v>
      </c>
      <c r="H175" s="598">
        <f>IF(AND(H$180&lt;&gt;0,H$180&gt;0),IF(($E$171*4)&gt;=H$180,0,1),IF(AND(H$180&lt;&gt;0,H$180&lt;0),IF(($E$171*4)&lt;=H$180,0,1),0))</f>
        <v>0</v>
      </c>
      <c r="I175" s="2061">
        <f>IF(AND(I$180&lt;&gt;0,I$180&gt;0),IF(($E$171*4)&gt;=I$180,0,1),IF(AND(I$180&lt;&gt;0,I$180&lt;0),IF(($E$171*4)&lt;=I$180,0,1),0))</f>
        <v>0</v>
      </c>
      <c r="J175" s="2062"/>
      <c r="K175" s="598">
        <f>IF(AND(K$180&lt;&gt;0,K$180&gt;0),IF(($E$171*4)&gt;=K$180,0,1),IF(AND(K$180&lt;&gt;0,K$180&lt;0),IF(($E$171*4)&lt;=K$180,0,1),0))</f>
        <v>0</v>
      </c>
      <c r="L175" s="2"/>
      <c r="M175" s="2"/>
      <c r="N175" s="2"/>
      <c r="O175" s="2"/>
      <c r="P175" s="2"/>
      <c r="Q175" s="2"/>
      <c r="R175" s="591"/>
      <c r="S175" s="591"/>
      <c r="T175" s="591"/>
      <c r="U175" s="591"/>
      <c r="V175" s="591"/>
      <c r="W175" s="591"/>
      <c r="X175" s="591"/>
      <c r="AA175" s="591"/>
      <c r="AB175" s="591"/>
      <c r="AC175" s="591"/>
      <c r="AG175" s="591"/>
      <c r="AS175" s="591"/>
    </row>
    <row r="176" spans="1:51" ht="7.5" customHeight="1" x14ac:dyDescent="0.2">
      <c r="A176" s="2"/>
      <c r="B176" s="2"/>
      <c r="C176" s="2"/>
      <c r="D176" s="2"/>
      <c r="E176" s="2"/>
      <c r="F176" s="2"/>
      <c r="G176" s="598">
        <f>IF(AND(G$180&lt;&gt;0,G$180&gt;0),IF(($E$171*3)&gt;=G$180,0,1),IF(AND(G$180&lt;&gt;0,G$180&lt;0),IF(($E$171*3)&lt;=G$180,0,1),0))</f>
        <v>0</v>
      </c>
      <c r="H176" s="598">
        <f>IF(AND(H$180&lt;&gt;0,H$180&gt;0),IF(($E$171*3)&gt;=H$180,0,1),IF(AND(H$180&lt;&gt;0,H$180&lt;0),IF(($E$171*3)&lt;=H$180,0,1),0))</f>
        <v>0</v>
      </c>
      <c r="I176" s="2061">
        <f>IF(AND(I$180&lt;&gt;0,I$180&gt;0),IF(($E$171*3)&gt;=I$180,0,1),IF(AND(I$180&lt;&gt;0,I$180&lt;0),IF(($E$171*3)&lt;=I$180,0,1),0))</f>
        <v>0</v>
      </c>
      <c r="J176" s="2062"/>
      <c r="K176" s="598">
        <f>IF(AND(K$180&lt;&gt;0,K$180&gt;0),IF(($E$171*3)&gt;=K$180,0,1),IF(AND(K$180&lt;&gt;0,K$180&lt;0),IF(($E$171*3)&lt;=K$180,0,1),0))</f>
        <v>0</v>
      </c>
      <c r="L176" s="2"/>
      <c r="M176" s="2"/>
      <c r="N176" s="2"/>
      <c r="O176" s="2"/>
      <c r="P176" s="2"/>
      <c r="Q176" s="2"/>
      <c r="R176" s="591"/>
      <c r="S176" s="591"/>
      <c r="T176" s="591"/>
      <c r="U176" s="591"/>
      <c r="V176" s="591"/>
      <c r="W176" s="591"/>
      <c r="X176" s="591"/>
      <c r="AA176" s="591"/>
      <c r="AB176" s="591"/>
      <c r="AC176" s="591"/>
      <c r="AG176" s="591"/>
      <c r="AS176" s="591"/>
    </row>
    <row r="177" spans="1:45" ht="7.5" customHeight="1" x14ac:dyDescent="0.2">
      <c r="A177" s="2"/>
      <c r="B177" s="2"/>
      <c r="C177" s="2"/>
      <c r="D177" s="2"/>
      <c r="E177" s="2"/>
      <c r="F177" s="2"/>
      <c r="G177" s="598">
        <f>IF(AND(G$180&lt;&gt;0,G$180&gt;0),IF(($E$171*2)&gt;=G$180,0,1),IF(AND(G$180&lt;&gt;0,G$180&lt;0),IF(($E$171*2)&lt;=G$180,0,1),0))</f>
        <v>0</v>
      </c>
      <c r="H177" s="598">
        <f>IF(AND(H$180&lt;&gt;0,H$180&gt;0),IF(($E$171*2)&gt;=H$180,0,1),IF(AND(H$180&lt;&gt;0,H$180&lt;0),IF(($E$171*2)&lt;=H$180,0,1),0))</f>
        <v>0</v>
      </c>
      <c r="I177" s="2061">
        <f>IF(AND(I$180&lt;&gt;0,I$180&gt;0),IF(($E$171*2)&gt;=I$180,0,1),IF(AND(I$180&lt;&gt;0,I$180&lt;0),IF(($E$171*2)&lt;=I$180,0,1),0))</f>
        <v>0</v>
      </c>
      <c r="J177" s="2062"/>
      <c r="K177" s="598">
        <f>IF(AND(K$180&lt;&gt;0,K$180&gt;0),IF(($E$171*2)&gt;=K$180,0,1),IF(AND(K$180&lt;&gt;0,K$180&lt;0),IF(($E$171*2)&lt;=K$180,0,1),0))</f>
        <v>0</v>
      </c>
      <c r="L177" s="2"/>
      <c r="M177" s="2"/>
      <c r="N177" s="2"/>
      <c r="O177" s="2"/>
      <c r="P177" s="2"/>
      <c r="Q177" s="2"/>
      <c r="R177" s="591"/>
      <c r="S177" s="591"/>
      <c r="T177" s="591"/>
      <c r="U177" s="591"/>
      <c r="V177" s="591"/>
      <c r="W177" s="591"/>
      <c r="X177" s="591"/>
      <c r="AA177" s="591"/>
      <c r="AB177" s="591"/>
      <c r="AC177" s="591"/>
      <c r="AG177" s="591"/>
      <c r="AS177" s="591"/>
    </row>
    <row r="178" spans="1:45" ht="7.5" customHeight="1" x14ac:dyDescent="0.2">
      <c r="A178" s="2"/>
      <c r="B178" s="2"/>
      <c r="C178" s="2"/>
      <c r="D178" s="2"/>
      <c r="E178" s="2"/>
      <c r="F178" s="2"/>
      <c r="G178" s="598">
        <f>IF(AND(G$180&lt;&gt;0,G$180&gt;0),IF(($E$171*1)&gt;=G$180,0,1),IF(AND(G$180&lt;&gt;0,G$180&lt;0),IF(($E$171*1)&lt;=G$180,0,1),0))</f>
        <v>0</v>
      </c>
      <c r="H178" s="598">
        <f>IF(AND(H$180&lt;&gt;0,H$180&gt;0),IF(($E$171*1)&gt;=H$180,0,1),IF(AND(H$180&lt;&gt;0,H$180&lt;0),IF(($E$171*1)&lt;=H$180,0,1),0))</f>
        <v>0</v>
      </c>
      <c r="I178" s="2061">
        <f>IF(AND(I$180&lt;&gt;0,I$180&gt;0),IF(($E$171*1)&gt;=I$180,0,1),IF(AND(I$180&lt;&gt;0,I$180&lt;0),IF(($E$171*1)&lt;=I$180,0,1),0))</f>
        <v>0</v>
      </c>
      <c r="J178" s="2062"/>
      <c r="K178" s="598">
        <f>IF(AND(K$180&lt;&gt;0,K$180&gt;0),IF(($E$171*1)&gt;=K$180,0,1),IF(AND(K$180&lt;&gt;0,K$180&lt;0),IF(($E$171*1)&lt;=K$180,0,1),0))</f>
        <v>0</v>
      </c>
      <c r="L178" s="2"/>
      <c r="M178" s="2"/>
      <c r="N178" s="2"/>
      <c r="O178" s="2"/>
      <c r="P178" s="2"/>
      <c r="Q178" s="2"/>
      <c r="R178" s="591"/>
      <c r="S178" s="591"/>
      <c r="T178" s="591"/>
      <c r="U178" s="591"/>
      <c r="V178" s="591"/>
      <c r="W178" s="591"/>
      <c r="X178" s="591"/>
      <c r="AA178" s="591"/>
      <c r="AB178" s="591"/>
      <c r="AC178" s="591"/>
      <c r="AG178" s="591"/>
      <c r="AS178" s="591"/>
    </row>
    <row r="179" spans="1:45" ht="7.5" customHeight="1" x14ac:dyDescent="0.2">
      <c r="A179" s="2"/>
      <c r="B179" s="2"/>
      <c r="C179" s="2"/>
      <c r="D179" s="2"/>
      <c r="E179" s="2"/>
      <c r="F179" s="2"/>
      <c r="G179" s="599">
        <f>IF(G180&lt;&gt;0,1,0)</f>
        <v>0</v>
      </c>
      <c r="H179" s="599">
        <f>IF(H180&lt;&gt;0,1,0)</f>
        <v>0</v>
      </c>
      <c r="I179" s="2199">
        <f>IF(I180&lt;&gt;0,1,0)</f>
        <v>0</v>
      </c>
      <c r="J179" s="2200"/>
      <c r="K179" s="599">
        <f>IF(K180&lt;&gt;0,1,0)</f>
        <v>0</v>
      </c>
      <c r="L179" s="2"/>
      <c r="M179" s="2"/>
      <c r="N179" s="2"/>
      <c r="O179" s="2"/>
      <c r="P179" s="2"/>
      <c r="Q179" s="2"/>
      <c r="R179" s="591"/>
      <c r="S179" s="591"/>
      <c r="T179" s="591"/>
      <c r="U179" s="591"/>
      <c r="V179" s="591"/>
      <c r="W179" s="591"/>
      <c r="X179" s="591"/>
      <c r="AA179" s="591"/>
      <c r="AB179" s="591"/>
      <c r="AC179" s="591"/>
      <c r="AG179" s="591"/>
      <c r="AS179" s="591"/>
    </row>
    <row r="180" spans="1:45" ht="21.95" customHeight="1" x14ac:dyDescent="0.2">
      <c r="A180" s="2"/>
      <c r="B180" s="7"/>
      <c r="C180" s="2092" t="s">
        <v>582</v>
      </c>
      <c r="D180" s="2092"/>
      <c r="E180" s="2093">
        <f>SUM(G180:K180)</f>
        <v>0</v>
      </c>
      <c r="F180" s="2093"/>
      <c r="G180" s="623">
        <f>VLOOKUP($M166,$C46:G48,G166+4,FALSE)</f>
        <v>0</v>
      </c>
      <c r="H180" s="623">
        <f>VLOOKUP($M166,$C46:H48,H166+4,FALSE)</f>
        <v>0</v>
      </c>
      <c r="I180" s="2196">
        <f>VLOOKUP($M166,$C46:K48,I166+4,FALSE)</f>
        <v>0</v>
      </c>
      <c r="J180" s="2196"/>
      <c r="K180" s="623">
        <f>VLOOKUP($M166,$C46:N48,K166+4,FALSE)</f>
        <v>0</v>
      </c>
      <c r="L180" s="2"/>
      <c r="M180" s="12"/>
      <c r="N180" s="2"/>
      <c r="O180" s="2"/>
      <c r="P180" s="2"/>
      <c r="Q180" s="2"/>
      <c r="R180" s="591"/>
      <c r="S180" s="591"/>
      <c r="T180" s="591"/>
      <c r="U180" s="591"/>
      <c r="V180" s="591"/>
      <c r="W180" s="591"/>
      <c r="X180" s="591"/>
      <c r="AA180" s="591"/>
      <c r="AB180" s="591"/>
      <c r="AC180" s="591"/>
      <c r="AG180" s="591"/>
      <c r="AS180" s="591"/>
    </row>
    <row r="181" spans="1:45" ht="11.25" customHeight="1" x14ac:dyDescent="0.2">
      <c r="A181" s="2"/>
      <c r="B181" s="2"/>
      <c r="C181" s="2"/>
      <c r="D181" s="2"/>
      <c r="E181" s="2"/>
      <c r="F181" s="2"/>
      <c r="G181" s="2"/>
      <c r="H181" s="2"/>
      <c r="I181" s="2201"/>
      <c r="J181" s="2201"/>
      <c r="K181" s="2"/>
      <c r="L181" s="2"/>
      <c r="M181" s="2"/>
      <c r="N181" s="2"/>
      <c r="O181" s="2"/>
      <c r="P181" s="2"/>
      <c r="Q181" s="2"/>
      <c r="R181" s="591"/>
      <c r="S181" s="591"/>
      <c r="T181" s="591"/>
      <c r="U181" s="591"/>
      <c r="V181" s="591"/>
      <c r="W181" s="591"/>
      <c r="X181" s="591"/>
      <c r="AA181" s="591"/>
      <c r="AB181" s="591"/>
      <c r="AC181" s="591"/>
      <c r="AG181" s="591"/>
      <c r="AS181" s="591"/>
    </row>
    <row r="182" spans="1:45" ht="19.5" customHeight="1" x14ac:dyDescent="0.2">
      <c r="A182" s="2"/>
      <c r="B182" s="2"/>
      <c r="C182" s="2095" t="str">
        <f>CONCATENATE("01/01 - ",RIGHT(C169,5))</f>
        <v>01/01 - 29/02</v>
      </c>
      <c r="D182" s="2095"/>
      <c r="E182" s="2095"/>
      <c r="F182" s="2095"/>
      <c r="G182" s="2"/>
      <c r="H182" s="2"/>
      <c r="I182" s="2202"/>
      <c r="J182" s="2202"/>
      <c r="K182" s="2"/>
      <c r="L182" s="2"/>
      <c r="M182" s="2"/>
      <c r="N182" s="2"/>
      <c r="O182" s="2"/>
      <c r="P182" s="2"/>
      <c r="Q182" s="2"/>
      <c r="R182" s="591"/>
      <c r="S182" s="591"/>
      <c r="T182" s="591"/>
      <c r="U182" s="591"/>
      <c r="V182" s="591"/>
      <c r="W182" s="591"/>
      <c r="X182" s="591"/>
      <c r="AA182" s="591"/>
      <c r="AB182" s="591"/>
      <c r="AC182" s="591"/>
      <c r="AG182" s="591"/>
      <c r="AS182" s="591"/>
    </row>
    <row r="183" spans="1:45" ht="7.5" customHeight="1" x14ac:dyDescent="0.2">
      <c r="A183" s="2"/>
      <c r="B183" s="2"/>
      <c r="C183" s="2089"/>
      <c r="D183" s="2090"/>
      <c r="E183" s="484"/>
      <c r="F183" s="2"/>
      <c r="G183" s="597">
        <f>IF(AND(G$193&lt;&gt;0,G$193&gt;0),IF(($E$184*9)&gt;=G$193,0,1),IF(AND(G$193&lt;&gt;0,G$193&lt;0),IF(($E$184*9)&lt;=G$193,0,1),0))</f>
        <v>0</v>
      </c>
      <c r="H183" s="597">
        <f>IF(AND(H$193&lt;&gt;0,H$193&gt;0),IF(($E$184*9)&gt;=H$193,0,1),IF(AND(H$193&lt;&gt;0,H$193&lt;0),IF(($E$184*9)&lt;=H$193,0,1),0))</f>
        <v>0</v>
      </c>
      <c r="I183" s="2104">
        <f>IF(AND(I$193&lt;&gt;0,I$193&gt;0),IF(($E$184*9)&gt;=I$193,0,1),IF(AND(I$193&lt;&gt;0,I$193&lt;0),IF(($E$184*9)&lt;=I$193,0,1),0))</f>
        <v>0</v>
      </c>
      <c r="J183" s="2105"/>
      <c r="K183" s="597">
        <f>IF(AND(K$193&lt;&gt;0,K$193&gt;0),IF(($E$184*9)&gt;=K$193,0,1),IF(AND(K$193&lt;&gt;0,K$193&lt;0),IF(($E$184*9)&lt;=K$193,0,1),0))</f>
        <v>0</v>
      </c>
      <c r="L183" s="2"/>
      <c r="M183" s="2"/>
      <c r="N183" s="2"/>
      <c r="O183" s="2"/>
      <c r="P183" s="2"/>
      <c r="Q183" s="2"/>
      <c r="R183" s="591"/>
      <c r="S183" s="591"/>
      <c r="T183" s="591"/>
      <c r="U183" s="591"/>
      <c r="V183" s="591"/>
      <c r="W183" s="591"/>
      <c r="X183" s="591"/>
      <c r="AA183" s="591"/>
      <c r="AB183" s="591"/>
      <c r="AC183" s="591"/>
      <c r="AG183" s="591"/>
      <c r="AS183" s="591"/>
    </row>
    <row r="184" spans="1:45" ht="7.5" customHeight="1" x14ac:dyDescent="0.2">
      <c r="A184" s="2"/>
      <c r="B184" s="2"/>
      <c r="C184" s="2096" t="s">
        <v>587</v>
      </c>
      <c r="D184" s="2096"/>
      <c r="E184" s="2098">
        <f>IF(OR(M166=0,M168=""),0,IF(M168=E220,E221,MAX(G193:K193)/10))</f>
        <v>0</v>
      </c>
      <c r="F184" s="2"/>
      <c r="G184" s="598">
        <f>IF(AND(G$193&lt;&gt;0,G$193&gt;0),IF(($E$184*8)&gt;=G$193,0,1),IF(AND(G$193&lt;&gt;0,G$193&lt;0),IF(($E$184*8)&lt;=G$193,0,1),0))</f>
        <v>0</v>
      </c>
      <c r="H184" s="598">
        <f>IF(AND(H$193&lt;&gt;0,H$193&gt;0),IF(($E$184*8)&gt;=H$193,0,1),IF(AND(H$193&lt;&gt;0,H$193&lt;0),IF(($E$184*8)&lt;=H$193,0,1),0))</f>
        <v>0</v>
      </c>
      <c r="I184" s="2061">
        <f>IF(AND(I$193&lt;&gt;0,I$193&gt;0),IF(($E$184*8)&gt;=I$193,0,1),IF(AND(I$193&lt;&gt;0,I$193&lt;0),IF(($E$184*8)&lt;=I$193,0,1),0))</f>
        <v>0</v>
      </c>
      <c r="J184" s="2062"/>
      <c r="K184" s="598">
        <f>IF(AND(K$193&lt;&gt;0,K$193&gt;0),IF(($E$184*8)&gt;=K$193,0,1),IF(AND(K$193&lt;&gt;0,K$193&lt;0),IF(($E$184*8)&lt;=K$193,0,1),0))</f>
        <v>0</v>
      </c>
      <c r="L184" s="2"/>
      <c r="M184" s="2"/>
      <c r="N184" s="2"/>
      <c r="O184" s="2"/>
      <c r="P184" s="2"/>
      <c r="Q184" s="2"/>
      <c r="R184" s="591"/>
      <c r="S184" s="591"/>
      <c r="T184" s="591"/>
      <c r="U184" s="591"/>
      <c r="V184" s="591"/>
      <c r="W184" s="591"/>
      <c r="X184" s="591"/>
      <c r="AA184" s="591"/>
      <c r="AB184" s="591"/>
      <c r="AC184" s="591"/>
      <c r="AG184" s="591"/>
      <c r="AS184" s="591"/>
    </row>
    <row r="185" spans="1:45" ht="7.5" customHeight="1" x14ac:dyDescent="0.2">
      <c r="A185" s="2"/>
      <c r="B185" s="2"/>
      <c r="C185" s="2097"/>
      <c r="D185" s="2097"/>
      <c r="E185" s="2098"/>
      <c r="F185" s="2"/>
      <c r="G185" s="598">
        <f>IF(AND(G$193&lt;&gt;0,G$193&gt;0),IF(($E$184*7)&gt;=G$193,0,1),IF(AND(G$193&lt;&gt;0,G$193&lt;0),IF(($E$184*7)&lt;=G$193,0,1),0))</f>
        <v>0</v>
      </c>
      <c r="H185" s="598">
        <f>IF(AND(H$193&lt;&gt;0,H$193&gt;0),IF(($E$184*7)&gt;=H$193,0,1),IF(AND(H$193&lt;&gt;0,H$193&lt;0),IF(($E$184*7)&lt;=H$193,0,1),0))</f>
        <v>0</v>
      </c>
      <c r="I185" s="2061">
        <f>IF(AND(I$193&lt;&gt;0,I$193&gt;0),IF(($E$184*7)&gt;=I$193,0,1),IF(AND(I$193&lt;&gt;0,I$193&lt;0),IF(($E$184*7)&lt;=I$193,0,1),0))</f>
        <v>0</v>
      </c>
      <c r="J185" s="2062"/>
      <c r="K185" s="598">
        <f>IF(AND(K$193&lt;&gt;0,K$193&gt;0),IF(($E$184*7)&gt;=K$193,0,1),IF(AND(K$193&lt;&gt;0,K$193&lt;0),IF(($E$184*7)&lt;=K$193,0,1),0))</f>
        <v>0</v>
      </c>
      <c r="L185" s="2"/>
      <c r="M185" s="2"/>
      <c r="N185" s="2"/>
      <c r="O185" s="2"/>
      <c r="P185" s="2"/>
      <c r="Q185" s="2"/>
      <c r="R185" s="591"/>
      <c r="S185" s="591"/>
      <c r="T185" s="591"/>
      <c r="U185" s="591"/>
      <c r="V185" s="591"/>
      <c r="W185" s="591"/>
      <c r="X185" s="591"/>
      <c r="AA185" s="591"/>
      <c r="AB185" s="591"/>
      <c r="AC185" s="591"/>
      <c r="AG185" s="591"/>
      <c r="AS185" s="591"/>
    </row>
    <row r="186" spans="1:45" ht="7.5" customHeight="1" x14ac:dyDescent="0.2">
      <c r="A186" s="2"/>
      <c r="B186" s="2"/>
      <c r="C186" s="2"/>
      <c r="D186" s="2"/>
      <c r="E186" s="2"/>
      <c r="F186" s="2"/>
      <c r="G186" s="598">
        <f>IF(AND(G$193&lt;&gt;0,G$193&gt;0),IF(($E$184*6)&gt;=G$193,0,1),IF(AND(G$193&lt;&gt;0,G$193&lt;0),IF(($E$184*6)&lt;=G$193,0,1),0))</f>
        <v>0</v>
      </c>
      <c r="H186" s="598">
        <f>IF(AND(H$193&lt;&gt;0,H$193&gt;0),IF(($E$184*6)&gt;=H$193,0,1),IF(AND(H$193&lt;&gt;0,H$193&lt;0),IF(($E$184*6)&lt;=H$193,0,1),0))</f>
        <v>0</v>
      </c>
      <c r="I186" s="2061">
        <f>IF(AND(I$193&lt;&gt;0,I$193&gt;0),IF(($E$184*6)&gt;=I$193,0,1),IF(AND(I$193&lt;&gt;0,I$193&lt;0),IF(($E$184*6)&lt;=I$193,0,1),0))</f>
        <v>0</v>
      </c>
      <c r="J186" s="2062"/>
      <c r="K186" s="598">
        <f>IF(AND(K$193&lt;&gt;0,K$193&gt;0),IF(($E$184*6)&gt;=K$193,0,1),IF(AND(K$193&lt;&gt;0,K$193&lt;0),IF(($E$184*6)&lt;=K$193,0,1),0))</f>
        <v>0</v>
      </c>
      <c r="L186" s="2"/>
      <c r="M186" s="2"/>
      <c r="N186" s="2"/>
      <c r="O186" s="2"/>
      <c r="P186" s="2"/>
      <c r="Q186" s="2"/>
      <c r="R186" s="591"/>
      <c r="S186" s="591"/>
      <c r="T186" s="591"/>
      <c r="U186" s="591"/>
      <c r="V186" s="591"/>
      <c r="W186" s="591"/>
      <c r="X186" s="591"/>
      <c r="AA186" s="591"/>
      <c r="AB186" s="591"/>
      <c r="AC186" s="591"/>
      <c r="AG186" s="591"/>
      <c r="AS186" s="591"/>
    </row>
    <row r="187" spans="1:45" ht="7.5" customHeight="1" x14ac:dyDescent="0.2">
      <c r="A187" s="2"/>
      <c r="B187" s="2"/>
      <c r="C187" s="2"/>
      <c r="D187" s="2"/>
      <c r="E187" s="2"/>
      <c r="F187" s="2"/>
      <c r="G187" s="598">
        <f>IF(AND(G$193&lt;&gt;0,G$193&gt;0),IF(($E$184*5)&gt;=G$193,0,1),IF(AND(G$193&lt;&gt;0,G$193&lt;0),IF(($E$184*5)&lt;=G$193,0,1),0))</f>
        <v>0</v>
      </c>
      <c r="H187" s="598">
        <f>IF(AND(H$193&lt;&gt;0,H$193&gt;0),IF(($E$184*5)&gt;=H$193,0,1),IF(AND(H$193&lt;&gt;0,H$193&lt;0),IF(($E$184*5)&lt;=H$193,0,1),0))</f>
        <v>0</v>
      </c>
      <c r="I187" s="2061">
        <f>IF(AND(I$193&lt;&gt;0,I$193&gt;0),IF(($E$184*5)&gt;=I$193,0,1),IF(AND(I$193&lt;&gt;0,I$193&lt;0),IF(($E$184*5)&lt;=I$193,0,1),0))</f>
        <v>0</v>
      </c>
      <c r="J187" s="2062"/>
      <c r="K187" s="598">
        <f>IF(AND(K$193&lt;&gt;0,K$193&gt;0),IF(($E$184*5)&gt;=K$193,0,1),IF(AND(K$193&lt;&gt;0,K$193&lt;0),IF(($E$184*5)&lt;=K$193,0,1),0))</f>
        <v>0</v>
      </c>
      <c r="L187" s="2"/>
      <c r="M187" s="2"/>
      <c r="N187" s="2"/>
      <c r="O187" s="2"/>
      <c r="P187" s="2"/>
      <c r="Q187" s="2"/>
      <c r="R187" s="591"/>
      <c r="S187" s="591"/>
      <c r="T187" s="591"/>
      <c r="U187" s="591"/>
      <c r="V187" s="591"/>
      <c r="W187" s="591"/>
      <c r="X187" s="591"/>
      <c r="AA187" s="591"/>
      <c r="AB187" s="591"/>
      <c r="AC187" s="591"/>
      <c r="AG187" s="591"/>
      <c r="AS187" s="591"/>
    </row>
    <row r="188" spans="1:45" ht="7.5" customHeight="1" x14ac:dyDescent="0.2">
      <c r="A188" s="2"/>
      <c r="B188" s="2"/>
      <c r="C188" s="2"/>
      <c r="D188" s="2"/>
      <c r="E188" s="2"/>
      <c r="F188" s="2"/>
      <c r="G188" s="598">
        <f>IF(AND(G$193&lt;&gt;0,G$193&gt;0),IF(($E$184*4)&gt;=G$193,0,1),IF(AND(G$193&lt;&gt;0,G$193&lt;0),IF(($E$184*4)&lt;=G$193,0,1),0))</f>
        <v>0</v>
      </c>
      <c r="H188" s="598">
        <f>IF(AND(H$193&lt;&gt;0,H$193&gt;0),IF(($E$184*4)&gt;=H$193,0,1),IF(AND(H$193&lt;&gt;0,H$193&lt;0),IF(($E$184*4)&lt;=H$193,0,1),0))</f>
        <v>0</v>
      </c>
      <c r="I188" s="2061">
        <f>IF(AND(I$193&lt;&gt;0,I$193&gt;0),IF(($E$184*4)&gt;=I$193,0,1),IF(AND(I$193&lt;&gt;0,I$193&lt;0),IF(($E$184*4)&lt;=I$193,0,1),0))</f>
        <v>0</v>
      </c>
      <c r="J188" s="2062"/>
      <c r="K188" s="598">
        <f>IF(AND(K$193&lt;&gt;0,K$193&gt;0),IF(($E$184*4)&gt;=K$193,0,1),IF(AND(K$193&lt;&gt;0,K$193&lt;0),IF(($E$184*4)&lt;=K$193,0,1),0))</f>
        <v>0</v>
      </c>
      <c r="L188" s="2"/>
      <c r="M188" s="2"/>
      <c r="N188" s="2"/>
      <c r="O188" s="2"/>
      <c r="P188" s="2"/>
      <c r="Q188" s="2"/>
      <c r="R188" s="591"/>
      <c r="S188" s="591"/>
      <c r="T188" s="591"/>
      <c r="U188" s="591"/>
      <c r="V188" s="591"/>
      <c r="W188" s="591"/>
      <c r="X188" s="591"/>
      <c r="AA188" s="591"/>
      <c r="AB188" s="591"/>
      <c r="AC188" s="591"/>
      <c r="AG188" s="591"/>
      <c r="AS188" s="591"/>
    </row>
    <row r="189" spans="1:45" ht="7.5" customHeight="1" x14ac:dyDescent="0.2">
      <c r="A189" s="2"/>
      <c r="B189" s="2"/>
      <c r="C189" s="2"/>
      <c r="D189" s="2"/>
      <c r="E189" s="2"/>
      <c r="F189" s="2"/>
      <c r="G189" s="598">
        <f>IF(AND(G$193&lt;&gt;0,G$193&gt;0),IF(($E$184*3)&gt;=G$193,0,1),IF(AND(G$193&lt;&gt;0,G$193&lt;0),IF(($E$184*3)&lt;=G$193,0,1),0))</f>
        <v>0</v>
      </c>
      <c r="H189" s="598">
        <f>IF(AND(H$193&lt;&gt;0,H$193&gt;0),IF(($E$184*3)&gt;=H$193,0,1),IF(AND(H$193&lt;&gt;0,H$193&lt;0),IF(($E$184*3)&lt;=H$193,0,1),0))</f>
        <v>0</v>
      </c>
      <c r="I189" s="2061">
        <f>IF(AND(I$193&lt;&gt;0,I$193&gt;0),IF(($E$184*3)&gt;=I$193,0,1),IF(AND(I$193&lt;&gt;0,I$193&lt;0),IF(($E$184*3)&lt;=I$193,0,1),0))</f>
        <v>0</v>
      </c>
      <c r="J189" s="2062"/>
      <c r="K189" s="598">
        <f>IF(AND(K$193&lt;&gt;0,K$193&gt;0),IF(($E$184*3)&gt;=K$193,0,1),IF(AND(K$193&lt;&gt;0,K$193&lt;0),IF(($E$184*3)&lt;=K$193,0,1),0))</f>
        <v>0</v>
      </c>
      <c r="L189" s="2"/>
      <c r="M189" s="2"/>
      <c r="N189" s="2"/>
      <c r="O189" s="2"/>
      <c r="P189" s="2"/>
      <c r="Q189" s="2"/>
      <c r="R189" s="591"/>
      <c r="S189" s="591"/>
      <c r="T189" s="591"/>
      <c r="U189" s="591"/>
      <c r="V189" s="591"/>
      <c r="W189" s="591"/>
      <c r="X189" s="591"/>
      <c r="AA189" s="591"/>
      <c r="AB189" s="591"/>
      <c r="AC189" s="591"/>
      <c r="AG189" s="591"/>
      <c r="AS189" s="591"/>
    </row>
    <row r="190" spans="1:45" ht="7.5" customHeight="1" x14ac:dyDescent="0.2">
      <c r="A190" s="2"/>
      <c r="B190" s="2"/>
      <c r="C190" s="2"/>
      <c r="D190" s="2"/>
      <c r="E190" s="2"/>
      <c r="F190" s="2"/>
      <c r="G190" s="598">
        <f>IF(AND(G$193&lt;&gt;0,G$193&gt;0),IF(($E$184*2)&gt;=G$193,0,1),IF(AND(G$193&lt;&gt;0,G$193&lt;0),IF(($E$184*2)&lt;=G$193,0,1),0))</f>
        <v>0</v>
      </c>
      <c r="H190" s="598">
        <f>IF(AND(H$193&lt;&gt;0,H$193&gt;0),IF(($E$184*2)&gt;=H$193,0,1),IF(AND(H$193&lt;&gt;0,H$193&lt;0),IF(($E$184*2)&lt;=H$193,0,1),0))</f>
        <v>0</v>
      </c>
      <c r="I190" s="2061">
        <f>IF(AND(I$193&lt;&gt;0,I$193&gt;0),IF(($E$184*2)&gt;=I$193,0,1),IF(AND(I$193&lt;&gt;0,I$193&lt;0),IF(($E$184*2)&lt;=I$193,0,1),0))</f>
        <v>0</v>
      </c>
      <c r="J190" s="2062"/>
      <c r="K190" s="598">
        <f>IF(AND(K$193&lt;&gt;0,K$193&gt;0),IF(($E$184*2)&gt;=K$193,0,1),IF(AND(K$193&lt;&gt;0,K$193&lt;0),IF(($E$184*2)&lt;=K$193,0,1),0))</f>
        <v>0</v>
      </c>
      <c r="L190" s="2"/>
      <c r="M190" s="2"/>
      <c r="N190" s="2"/>
      <c r="O190" s="2"/>
      <c r="P190" s="2"/>
      <c r="Q190" s="2"/>
      <c r="R190" s="591"/>
      <c r="S190" s="591"/>
      <c r="T190" s="591"/>
      <c r="U190" s="591"/>
      <c r="V190" s="591"/>
      <c r="W190" s="591"/>
      <c r="X190" s="591"/>
      <c r="AA190" s="591"/>
      <c r="AB190" s="591"/>
      <c r="AC190" s="591"/>
      <c r="AG190" s="591"/>
      <c r="AS190" s="591"/>
    </row>
    <row r="191" spans="1:45" ht="7.5" customHeight="1" x14ac:dyDescent="0.2">
      <c r="A191" s="2"/>
      <c r="B191" s="2"/>
      <c r="C191" s="2"/>
      <c r="D191" s="2"/>
      <c r="E191" s="2"/>
      <c r="F191" s="2"/>
      <c r="G191" s="598">
        <f>IF(AND(G$193&lt;&gt;0,G$193&gt;0),IF(($E$184*1)&gt;=G$193,0,1),IF(AND(G$193&lt;&gt;0,G$193&lt;0),IF(($E$184*1)&lt;=G$193,0,1),0))</f>
        <v>0</v>
      </c>
      <c r="H191" s="598">
        <f>IF(AND(H$193&lt;&gt;0,H$193&gt;0),IF(($E$184*1)&gt;=H$193,0,1),IF(AND(H$193&lt;&gt;0,H$193&lt;0),IF(($E$184*1)&lt;=H$193,0,1),0))</f>
        <v>0</v>
      </c>
      <c r="I191" s="2061">
        <f>IF(AND(I$193&lt;&gt;0,I$193&gt;0),IF(($E$184*1)&gt;=I$193,0,1),IF(AND(I$193&lt;&gt;0,I$193&lt;0),IF(($E$184*1)&lt;=I$193,0,1),0))</f>
        <v>0</v>
      </c>
      <c r="J191" s="2062"/>
      <c r="K191" s="598">
        <f>IF(AND(K$193&lt;&gt;0,K$193&gt;0),IF(($E$184*1)&gt;=K$193,0,1),IF(AND(K$193&lt;&gt;0,K$193&lt;0),IF(($E$184*1)&lt;=K$193,0,1),0))</f>
        <v>0</v>
      </c>
      <c r="L191" s="2"/>
      <c r="M191" s="2"/>
      <c r="N191" s="2"/>
      <c r="O191" s="2"/>
      <c r="P191" s="2"/>
      <c r="Q191" s="2"/>
      <c r="R191" s="591"/>
      <c r="S191" s="591"/>
      <c r="T191" s="591"/>
      <c r="U191" s="591"/>
      <c r="V191" s="591"/>
      <c r="W191" s="591"/>
      <c r="X191" s="591"/>
      <c r="AA191" s="591"/>
      <c r="AB191" s="591"/>
      <c r="AC191" s="591"/>
      <c r="AG191" s="591"/>
      <c r="AS191" s="591"/>
    </row>
    <row r="192" spans="1:45" ht="7.5" customHeight="1" x14ac:dyDescent="0.2">
      <c r="A192" s="2"/>
      <c r="B192" s="2"/>
      <c r="C192" s="2"/>
      <c r="D192" s="2"/>
      <c r="E192" s="2"/>
      <c r="F192" s="2"/>
      <c r="G192" s="599">
        <f>IF(G193&lt;&gt;0,1,0)</f>
        <v>0</v>
      </c>
      <c r="H192" s="599">
        <f>IF(H193&lt;&gt;0,1,0)</f>
        <v>0</v>
      </c>
      <c r="I192" s="2199">
        <f>IF(I193&lt;&gt;0,1,0)</f>
        <v>0</v>
      </c>
      <c r="J192" s="2200"/>
      <c r="K192" s="599">
        <f>IF(K193&lt;&gt;0,1,0)</f>
        <v>0</v>
      </c>
      <c r="L192" s="2"/>
      <c r="M192" s="2"/>
      <c r="N192" s="2"/>
      <c r="O192" s="2"/>
      <c r="P192" s="2"/>
      <c r="Q192" s="2"/>
      <c r="R192" s="591"/>
      <c r="S192" s="591"/>
      <c r="T192" s="591"/>
      <c r="U192" s="591"/>
      <c r="V192" s="591"/>
      <c r="W192" s="591"/>
      <c r="X192" s="591"/>
      <c r="AA192" s="591"/>
      <c r="AB192" s="591"/>
      <c r="AC192" s="591"/>
      <c r="AG192" s="591"/>
      <c r="AS192" s="591"/>
    </row>
    <row r="193" spans="1:45" ht="21.95" customHeight="1" x14ac:dyDescent="0.2">
      <c r="A193" s="2"/>
      <c r="B193" s="7"/>
      <c r="C193" s="2092" t="s">
        <v>582</v>
      </c>
      <c r="D193" s="2092"/>
      <c r="E193" s="2093">
        <f>SUM(G193:K193)</f>
        <v>0</v>
      </c>
      <c r="F193" s="2093"/>
      <c r="G193" s="623">
        <f>VLOOKUP($M166,$C215:G217,G214,FALSE)</f>
        <v>0</v>
      </c>
      <c r="H193" s="623">
        <f>VLOOKUP($M166,$C215:H217,H214,FALSE)</f>
        <v>0</v>
      </c>
      <c r="I193" s="2196">
        <f>VLOOKUP($M166,$C215:I217,I214,FALSE)</f>
        <v>0</v>
      </c>
      <c r="J193" s="2196"/>
      <c r="K193" s="623">
        <f>VLOOKUP($M166,$C215:J217,J214,FALSE)</f>
        <v>0</v>
      </c>
      <c r="L193" s="2"/>
      <c r="M193" s="12"/>
      <c r="N193" s="2"/>
      <c r="O193" s="2"/>
      <c r="P193" s="2"/>
      <c r="Q193" s="2"/>
      <c r="R193" s="591"/>
      <c r="S193" s="591"/>
      <c r="T193" s="591"/>
      <c r="U193" s="591"/>
      <c r="V193" s="591"/>
      <c r="W193" s="591"/>
      <c r="X193" s="591"/>
      <c r="AA193" s="591"/>
      <c r="AB193" s="591"/>
      <c r="AC193" s="591"/>
      <c r="AG193" s="591"/>
      <c r="AS193" s="591"/>
    </row>
    <row r="194" spans="1:45" ht="11.25" customHeight="1" x14ac:dyDescent="0.2">
      <c r="A194" s="2"/>
      <c r="B194" s="2"/>
      <c r="C194" s="2"/>
      <c r="D194" s="2"/>
      <c r="E194" s="2"/>
      <c r="F194" s="2"/>
      <c r="G194" s="2"/>
      <c r="H194" s="2"/>
      <c r="I194" s="2203"/>
      <c r="J194" s="2203"/>
      <c r="K194" s="2"/>
      <c r="L194" s="2"/>
      <c r="M194" s="2"/>
      <c r="N194" s="2"/>
      <c r="O194" s="2"/>
      <c r="P194" s="2"/>
      <c r="Q194" s="2"/>
      <c r="R194" s="591"/>
      <c r="S194" s="591"/>
      <c r="T194" s="591"/>
      <c r="U194" s="591"/>
      <c r="V194" s="591"/>
      <c r="W194" s="591"/>
      <c r="X194" s="591"/>
      <c r="AA194" s="591"/>
      <c r="AB194" s="591"/>
      <c r="AC194" s="591"/>
      <c r="AG194" s="591"/>
      <c r="AS194" s="591"/>
    </row>
    <row r="195" spans="1:45" ht="19.5" customHeight="1" x14ac:dyDescent="0.2">
      <c r="A195" s="2"/>
      <c r="B195" s="2"/>
      <c r="C195" s="2063" t="e">
        <f>VLOOKUP(I207,I220:K229,3,FALSE)</f>
        <v>#N/A</v>
      </c>
      <c r="D195" s="2063"/>
      <c r="E195" s="2063"/>
      <c r="F195" s="2063"/>
      <c r="G195" s="2063"/>
      <c r="H195" s="2063"/>
      <c r="I195" s="2202"/>
      <c r="J195" s="2202"/>
      <c r="K195" s="2"/>
      <c r="L195" s="2"/>
      <c r="M195" s="2"/>
      <c r="N195" s="2"/>
      <c r="O195" s="2"/>
      <c r="P195" s="2"/>
      <c r="Q195" s="2"/>
      <c r="R195" s="591"/>
      <c r="S195" s="591"/>
      <c r="T195" s="591"/>
      <c r="U195" s="591"/>
      <c r="V195" s="591"/>
      <c r="W195" s="591"/>
      <c r="X195" s="591"/>
      <c r="AA195" s="591"/>
      <c r="AB195" s="591"/>
      <c r="AC195" s="591"/>
      <c r="AG195" s="591"/>
      <c r="AS195" s="591"/>
    </row>
    <row r="196" spans="1:45" ht="7.5" customHeight="1" x14ac:dyDescent="0.2">
      <c r="A196" s="2"/>
      <c r="B196" s="2"/>
      <c r="C196" s="2064"/>
      <c r="D196" s="2065"/>
      <c r="E196" s="484"/>
      <c r="F196" s="2"/>
      <c r="G196" s="594" t="e">
        <f>IF(AND(G$206&lt;&gt;0,G$206&gt;0),IF(($E$197*9)&gt;=G$206,0,1),IF(AND(G$206&lt;&gt;0,G$206&lt;0),IF(($E$197*9)&lt;=G$206,0,1),0))</f>
        <v>#N/A</v>
      </c>
      <c r="H196" s="594" t="e">
        <f>IF(AND(H$206&lt;&gt;0,H$206&gt;0),IF(($E$197*9)&gt;=H$206,0,1),IF(AND(H$206&lt;&gt;0,H$206&lt;0),IF(($E$197*9)&lt;=H$206,0,1),0))</f>
        <v>#N/A</v>
      </c>
      <c r="I196" s="2197" t="e">
        <f>IF(AND(I$206&lt;&gt;0,I$206&gt;0),IF(($E$197*9)&gt;=I$206,0,1),IF(AND(I$206&lt;&gt;0,I$206&lt;0),IF(($E$197*9)&lt;=I$206,0,1),0))</f>
        <v>#N/A</v>
      </c>
      <c r="J196" s="2198"/>
      <c r="K196" s="594" t="e">
        <f>IF(AND(K$206&lt;&gt;0,K$206&gt;0),IF(($E$197*9)&gt;=K$206,0,1),IF(AND(K$206&lt;&gt;0,K$206&lt;0),IF(($E$197*9)&lt;=K$206,0,1),0))</f>
        <v>#N/A</v>
      </c>
      <c r="L196" s="2"/>
      <c r="M196" s="2"/>
      <c r="N196" s="2"/>
      <c r="O196" s="2"/>
      <c r="P196" s="2"/>
      <c r="Q196" s="2"/>
      <c r="R196" s="591"/>
      <c r="S196" s="591"/>
      <c r="T196" s="591"/>
      <c r="U196" s="591"/>
      <c r="V196" s="591"/>
      <c r="W196" s="591"/>
      <c r="X196" s="591"/>
      <c r="AA196" s="591"/>
      <c r="AB196" s="591"/>
      <c r="AC196" s="591"/>
      <c r="AG196" s="591"/>
      <c r="AS196" s="591"/>
    </row>
    <row r="197" spans="1:45" ht="7.5" customHeight="1" x14ac:dyDescent="0.2">
      <c r="A197" s="2"/>
      <c r="B197" s="2"/>
      <c r="C197" s="2096" t="s">
        <v>587</v>
      </c>
      <c r="D197" s="2096"/>
      <c r="E197" s="2098">
        <f>IF(OR(M166=0,M168=""),0,IF(M168=E220,E221,MAX(G206:K206)/10))</f>
        <v>0</v>
      </c>
      <c r="F197" s="2"/>
      <c r="G197" s="595" t="e">
        <f>IF(AND(G$206&lt;&gt;0,G$206&gt;0),IF(($E$197*8)&gt;=G$206,0,1),IF(AND(G$206&lt;&gt;0,G$206&lt;0),IF(($E$197*8)&lt;=G$206,0,1),0))</f>
        <v>#N/A</v>
      </c>
      <c r="H197" s="595" t="e">
        <f>IF(AND(H$206&lt;&gt;0,H$206&gt;0),IF(($E$197*8)&gt;=H$206,0,1),IF(AND(H$206&lt;&gt;0,H$206&lt;0),IF(($E$197*8)&lt;=H$206,0,1),0))</f>
        <v>#N/A</v>
      </c>
      <c r="I197" s="2049" t="e">
        <f>IF(AND(I$206&lt;&gt;0,I$206&gt;0),IF(($E$197*8)&gt;=I$206,0,1),IF(AND(I$206&lt;&gt;0,I$206&lt;0),IF(($E$197*8)&lt;=I$206,0,1),0))</f>
        <v>#N/A</v>
      </c>
      <c r="J197" s="2050"/>
      <c r="K197" s="595" t="e">
        <f>IF(AND(K$206&lt;&gt;0,K$206&gt;0),IF(($E$197*8)&gt;=K$206,0,1),IF(AND(K$206&lt;&gt;0,K$206&lt;0),IF(($E$197*8)&lt;=K$206,0,1),0))</f>
        <v>#N/A</v>
      </c>
      <c r="L197" s="2"/>
      <c r="M197" s="2"/>
      <c r="N197" s="2"/>
      <c r="O197" s="2"/>
      <c r="P197" s="2"/>
      <c r="Q197" s="2"/>
      <c r="R197" s="591"/>
      <c r="S197" s="591"/>
      <c r="T197" s="591"/>
      <c r="U197" s="591"/>
      <c r="V197" s="591"/>
      <c r="W197" s="591"/>
      <c r="X197" s="591"/>
      <c r="AA197" s="591"/>
      <c r="AB197" s="591"/>
      <c r="AC197" s="591"/>
      <c r="AG197" s="591"/>
      <c r="AS197" s="591"/>
    </row>
    <row r="198" spans="1:45" ht="7.5" customHeight="1" x14ac:dyDescent="0.2">
      <c r="A198" s="2"/>
      <c r="B198" s="2"/>
      <c r="C198" s="2097"/>
      <c r="D198" s="2097"/>
      <c r="E198" s="2098"/>
      <c r="F198" s="2"/>
      <c r="G198" s="595" t="e">
        <f>IF(AND(G$206&lt;&gt;0,G$206&gt;0),IF(($E$197*7)&gt;=G$206,0,1),IF(AND(G$206&lt;&gt;0,G$206&lt;0),IF(($E$197*7)&lt;=G$206,0,1),0))</f>
        <v>#N/A</v>
      </c>
      <c r="H198" s="595" t="e">
        <f>IF(AND(H$206&lt;&gt;0,H$206&gt;0),IF(($E$197*7)&gt;=H$206,0,1),IF(AND(H$206&lt;&gt;0,H$206&lt;0),IF(($E$197*7)&lt;=H$206,0,1),0))</f>
        <v>#N/A</v>
      </c>
      <c r="I198" s="2049" t="e">
        <f>IF(AND(I$206&lt;&gt;0,I$206&gt;0),IF(($E$197*7)&gt;=I$206,0,1),IF(AND(I$206&lt;&gt;0,I$206&lt;0),IF(($E$197*7)&lt;=I$206,0,1),0))</f>
        <v>#N/A</v>
      </c>
      <c r="J198" s="2050"/>
      <c r="K198" s="595" t="e">
        <f>IF(AND(K$206&lt;&gt;0,K$206&gt;0),IF(($E$197*7)&gt;=K$206,0,1),IF(AND(K$206&lt;&gt;0,K$206&lt;0),IF(($E$197*7)&lt;=K$206,0,1),0))</f>
        <v>#N/A</v>
      </c>
      <c r="L198" s="2"/>
      <c r="M198" s="2"/>
      <c r="N198" s="2"/>
      <c r="O198" s="2"/>
      <c r="P198" s="2"/>
      <c r="Q198" s="2"/>
      <c r="R198" s="591"/>
      <c r="S198" s="591"/>
      <c r="T198" s="591"/>
      <c r="U198" s="591"/>
      <c r="V198" s="591"/>
      <c r="W198" s="591"/>
      <c r="X198" s="591"/>
      <c r="AA198" s="591"/>
      <c r="AB198" s="591"/>
      <c r="AC198" s="591"/>
      <c r="AG198" s="591"/>
      <c r="AS198" s="591"/>
    </row>
    <row r="199" spans="1:45" ht="7.5" customHeight="1" x14ac:dyDescent="0.2">
      <c r="A199" s="2"/>
      <c r="B199" s="2"/>
      <c r="C199" s="2"/>
      <c r="D199" s="2"/>
      <c r="E199" s="2"/>
      <c r="F199" s="2"/>
      <c r="G199" s="595" t="e">
        <f>IF(AND(G$206&lt;&gt;0,G$206&gt;0),IF(($E$197*6)&gt;=G$206,0,1),IF(AND(G$206&lt;&gt;0,G$206&lt;0),IF(($E$197*6)&lt;=G$206,0,1),0))</f>
        <v>#N/A</v>
      </c>
      <c r="H199" s="595" t="e">
        <f>IF(AND(H$206&lt;&gt;0,H$206&gt;0),IF(($E$197*6)&gt;=H$206,0,1),IF(AND(H$206&lt;&gt;0,H$206&lt;0),IF(($E$197*6)&lt;=H$206,0,1),0))</f>
        <v>#N/A</v>
      </c>
      <c r="I199" s="2049" t="e">
        <f>IF(AND(I$206&lt;&gt;0,I$206&gt;0),IF(($E$197*6)&gt;=I$206,0,1),IF(AND(I$206&lt;&gt;0,I$206&lt;0),IF(($E$197*6)&lt;=I$206,0,1),0))</f>
        <v>#N/A</v>
      </c>
      <c r="J199" s="2050"/>
      <c r="K199" s="595" t="e">
        <f>IF(AND(K$206&lt;&gt;0,K$206&gt;0),IF(($E$197*6)&gt;=K$206,0,1),IF(AND(K$206&lt;&gt;0,K$206&lt;0),IF(($E$197*6)&lt;=K$206,0,1),0))</f>
        <v>#N/A</v>
      </c>
      <c r="L199" s="2"/>
      <c r="M199" s="2"/>
      <c r="N199" s="2"/>
      <c r="O199" s="2"/>
      <c r="P199" s="2"/>
      <c r="Q199" s="2"/>
      <c r="R199" s="591"/>
      <c r="S199" s="591"/>
      <c r="T199" s="591"/>
      <c r="U199" s="591"/>
      <c r="V199" s="591"/>
      <c r="W199" s="591"/>
      <c r="X199" s="591"/>
      <c r="AA199" s="591"/>
      <c r="AB199" s="591"/>
      <c r="AC199" s="591"/>
      <c r="AG199" s="591"/>
      <c r="AS199" s="591"/>
    </row>
    <row r="200" spans="1:45" ht="7.5" customHeight="1" x14ac:dyDescent="0.2">
      <c r="A200" s="2"/>
      <c r="B200" s="2"/>
      <c r="C200" s="2"/>
      <c r="D200" s="2"/>
      <c r="E200" s="2"/>
      <c r="F200" s="2"/>
      <c r="G200" s="595" t="e">
        <f>IF(AND(G$206&lt;&gt;0,G$206&gt;0),IF(($E$197*5)&gt;=G$206,0,1),IF(AND(G$206&lt;&gt;0,G$206&lt;0),IF(($E$197*5)&lt;=G$206,0,1),0))</f>
        <v>#N/A</v>
      </c>
      <c r="H200" s="595" t="e">
        <f>IF(AND(H$206&lt;&gt;0,H$206&gt;0),IF(($E$197*5)&gt;=H$206,0,1),IF(AND(H$206&lt;&gt;0,H$206&lt;0),IF(($E$197*5)&lt;=H$206,0,1),0))</f>
        <v>#N/A</v>
      </c>
      <c r="I200" s="2049" t="e">
        <f>IF(AND(I$206&lt;&gt;0,I$206&gt;0),IF(($E$197*5)&gt;=I$206,0,1),IF(AND(I$206&lt;&gt;0,I$206&lt;0),IF(($E$197*5)&lt;=I$206,0,1),0))</f>
        <v>#N/A</v>
      </c>
      <c r="J200" s="2050"/>
      <c r="K200" s="595" t="e">
        <f>IF(AND(K$206&lt;&gt;0,K$206&gt;0),IF(($E$197*5)&gt;=K$206,0,1),IF(AND(K$206&lt;&gt;0,K$206&lt;0),IF(($E$197*5)&lt;=K$206,0,1),0))</f>
        <v>#N/A</v>
      </c>
      <c r="L200" s="2"/>
      <c r="M200" s="2"/>
      <c r="N200" s="2"/>
      <c r="O200" s="2"/>
      <c r="P200" s="2"/>
      <c r="Q200" s="2"/>
      <c r="R200" s="591"/>
      <c r="S200" s="591"/>
      <c r="T200" s="591"/>
      <c r="U200" s="591"/>
      <c r="V200" s="591"/>
      <c r="W200" s="591"/>
      <c r="X200" s="591"/>
      <c r="AA200" s="591"/>
      <c r="AB200" s="591"/>
      <c r="AC200" s="591"/>
      <c r="AG200" s="591"/>
      <c r="AS200" s="591"/>
    </row>
    <row r="201" spans="1:45" ht="7.5" customHeight="1" x14ac:dyDescent="0.2">
      <c r="A201" s="2"/>
      <c r="B201" s="2"/>
      <c r="C201" s="2"/>
      <c r="D201" s="2"/>
      <c r="E201" s="2"/>
      <c r="F201" s="2"/>
      <c r="G201" s="595" t="e">
        <f>IF(AND(G$206&lt;&gt;0,G$206&gt;0),IF(($E$197*4)&gt;=G$206,0,1),IF(AND(G$206&lt;&gt;0,G$206&lt;0),IF(($E$197*4)&lt;=G$206,0,1),0))</f>
        <v>#N/A</v>
      </c>
      <c r="H201" s="595" t="e">
        <f>IF(AND(H$206&lt;&gt;0,H$206&gt;0),IF(($E$197*4)&gt;=H$206,0,1),IF(AND(H$206&lt;&gt;0,H$206&lt;0),IF(($E$197*4)&lt;=H$206,0,1),0))</f>
        <v>#N/A</v>
      </c>
      <c r="I201" s="2049" t="e">
        <f>IF(AND(I$206&lt;&gt;0,I$206&gt;0),IF(($E$197*4)&gt;=I$206,0,1),IF(AND(I$206&lt;&gt;0,I$206&lt;0),IF(($E$197*4)&lt;=I$206,0,1),0))</f>
        <v>#N/A</v>
      </c>
      <c r="J201" s="2050"/>
      <c r="K201" s="595" t="e">
        <f>IF(AND(K$206&lt;&gt;0,K$206&gt;0),IF(($E$197*4)&gt;=K$206,0,1),IF(AND(K$206&lt;&gt;0,K$206&lt;0),IF(($E$197*4)&lt;=K$206,0,1),0))</f>
        <v>#N/A</v>
      </c>
      <c r="L201" s="2"/>
      <c r="M201" s="2"/>
      <c r="N201" s="2"/>
      <c r="O201" s="2"/>
      <c r="P201" s="2"/>
      <c r="Q201" s="2"/>
      <c r="R201" s="591"/>
      <c r="S201" s="591"/>
      <c r="T201" s="591"/>
      <c r="U201" s="591"/>
      <c r="V201" s="591"/>
      <c r="W201" s="591"/>
      <c r="X201" s="591"/>
      <c r="AA201" s="591"/>
      <c r="AB201" s="591"/>
      <c r="AC201" s="591"/>
      <c r="AG201" s="591"/>
      <c r="AS201" s="591"/>
    </row>
    <row r="202" spans="1:45" ht="7.5" customHeight="1" x14ac:dyDescent="0.2">
      <c r="A202" s="2"/>
      <c r="B202" s="2"/>
      <c r="C202" s="2"/>
      <c r="D202" s="2"/>
      <c r="E202" s="2"/>
      <c r="F202" s="2"/>
      <c r="G202" s="595" t="e">
        <f>IF(AND(G$206&lt;&gt;0,G$206&gt;0),IF(($E$197*3)&gt;=G$206,0,1),IF(AND(G$206&lt;&gt;0,G$206&lt;0),IF(($E$197*3)&lt;=G$206,0,1),0))</f>
        <v>#N/A</v>
      </c>
      <c r="H202" s="595" t="e">
        <f>IF(AND(H$206&lt;&gt;0,H$206&gt;0),IF(($E$197*3)&gt;=H$206,0,1),IF(AND(H$206&lt;&gt;0,H$206&lt;0),IF(($E$197*3)&lt;=H$206,0,1),0))</f>
        <v>#N/A</v>
      </c>
      <c r="I202" s="2049" t="e">
        <f>IF(AND(I$206&lt;&gt;0,I$206&gt;0),IF(($E$197*3)&gt;=I$206,0,1),IF(AND(I$206&lt;&gt;0,I$206&lt;0),IF(($E$197*3)&lt;=I$206,0,1),0))</f>
        <v>#N/A</v>
      </c>
      <c r="J202" s="2050"/>
      <c r="K202" s="595" t="e">
        <f>IF(AND(K$206&lt;&gt;0,K$206&gt;0),IF(($E$197*3)&gt;=K$206,0,1),IF(AND(K$206&lt;&gt;0,K$206&lt;0),IF(($E$197*3)&lt;=K$206,0,1),0))</f>
        <v>#N/A</v>
      </c>
      <c r="L202" s="2"/>
      <c r="M202" s="2"/>
      <c r="N202" s="2"/>
      <c r="O202" s="2"/>
      <c r="P202" s="2"/>
      <c r="Q202" s="2"/>
      <c r="R202" s="591"/>
      <c r="S202" s="591"/>
      <c r="T202" s="591"/>
      <c r="U202" s="591"/>
      <c r="V202" s="591"/>
      <c r="W202" s="591"/>
      <c r="X202" s="591"/>
      <c r="AA202" s="591"/>
      <c r="AB202" s="591"/>
      <c r="AC202" s="591"/>
      <c r="AG202" s="591"/>
      <c r="AS202" s="591"/>
    </row>
    <row r="203" spans="1:45" ht="7.5" customHeight="1" x14ac:dyDescent="0.2">
      <c r="A203" s="2"/>
      <c r="B203" s="2"/>
      <c r="C203" s="2"/>
      <c r="D203" s="2"/>
      <c r="E203" s="2"/>
      <c r="F203" s="2"/>
      <c r="G203" s="595" t="e">
        <f>IF(AND(G$206&lt;&gt;0,G$206&gt;0),IF(($E$197*2)&gt;=G$206,0,1),IF(AND(G$206&lt;&gt;0,G$206&lt;0),IF(($E$197*2)&lt;=G$206,0,1),0))</f>
        <v>#N/A</v>
      </c>
      <c r="H203" s="595" t="e">
        <f>IF(AND(H$206&lt;&gt;0,H$206&gt;0),IF(($E$197*2)&gt;=H$206,0,1),IF(AND(H$206&lt;&gt;0,H$206&lt;0),IF(($E$197*2)&lt;=H$206,0,1),0))</f>
        <v>#N/A</v>
      </c>
      <c r="I203" s="2049" t="e">
        <f>IF(AND(I$206&lt;&gt;0,I$206&gt;0),IF(($E$197*2)&gt;=I$206,0,1),IF(AND(I$206&lt;&gt;0,I$206&lt;0),IF(($E$197*2)&lt;=I$206,0,1),0))</f>
        <v>#N/A</v>
      </c>
      <c r="J203" s="2050"/>
      <c r="K203" s="595" t="e">
        <f>IF(AND(K$206&lt;&gt;0,K$206&gt;0),IF(($E$197*2)&gt;=K$206,0,1),IF(AND(K$206&lt;&gt;0,K$206&lt;0),IF(($E$197*2)&lt;=K$206,0,1),0))</f>
        <v>#N/A</v>
      </c>
      <c r="L203" s="2"/>
      <c r="M203" s="2"/>
      <c r="N203" s="2"/>
      <c r="O203" s="2"/>
      <c r="P203" s="2"/>
      <c r="Q203" s="2"/>
      <c r="R203" s="591"/>
      <c r="S203" s="591"/>
      <c r="T203" s="591"/>
      <c r="U203" s="591"/>
      <c r="V203" s="591"/>
      <c r="W203" s="591"/>
      <c r="X203" s="591"/>
      <c r="AA203" s="591"/>
      <c r="AB203" s="591"/>
      <c r="AC203" s="591"/>
      <c r="AG203" s="591"/>
      <c r="AS203" s="591"/>
    </row>
    <row r="204" spans="1:45" ht="7.5" customHeight="1" x14ac:dyDescent="0.2">
      <c r="A204" s="2"/>
      <c r="B204" s="2"/>
      <c r="C204" s="2"/>
      <c r="D204" s="2"/>
      <c r="E204" s="2"/>
      <c r="F204" s="2"/>
      <c r="G204" s="595" t="e">
        <f>IF(AND(G$206&lt;&gt;0,G$206&gt;0),IF(($E$197*1)&gt;=G$206,0,1),IF(AND(G$206&lt;&gt;0,G$206&lt;0),IF(($E$197*1)&lt;=G$206,0,1),0))</f>
        <v>#N/A</v>
      </c>
      <c r="H204" s="595" t="e">
        <f>IF(AND(H$206&lt;&gt;0,H$206&gt;0),IF(($E$197*1)&gt;=H$206,0,1),IF(AND(H$206&lt;&gt;0,H$206&lt;0),IF(($E$197*1)&lt;=H$206,0,1),0))</f>
        <v>#N/A</v>
      </c>
      <c r="I204" s="2049" t="e">
        <f>IF(AND(I$206&lt;&gt;0,I$206&gt;0),IF(($E$197*1)&gt;=I$206,0,1),IF(AND(I$206&lt;&gt;0,I$206&lt;0),IF(($E$197*1)&lt;=I$206,0,1),0))</f>
        <v>#N/A</v>
      </c>
      <c r="J204" s="2050"/>
      <c r="K204" s="595" t="e">
        <f>IF(AND(K$206&lt;&gt;0,K$206&gt;0),IF(($E$197*1)&gt;=K$206,0,1),IF(AND(K$206&lt;&gt;0,K$206&lt;0),IF(($E$197*1)&lt;=K$206,0,1),0))</f>
        <v>#N/A</v>
      </c>
      <c r="L204" s="2"/>
      <c r="M204" s="2"/>
      <c r="N204" s="2"/>
      <c r="O204" s="2"/>
      <c r="P204" s="2"/>
      <c r="Q204" s="2"/>
      <c r="R204" s="591"/>
      <c r="S204" s="591"/>
      <c r="T204" s="591"/>
      <c r="U204" s="591"/>
      <c r="V204" s="591"/>
      <c r="W204" s="591"/>
      <c r="X204" s="591"/>
      <c r="AA204" s="591"/>
      <c r="AB204" s="591"/>
      <c r="AC204" s="591"/>
      <c r="AG204" s="591"/>
      <c r="AS204" s="591"/>
    </row>
    <row r="205" spans="1:45" ht="7.5" customHeight="1" x14ac:dyDescent="0.2">
      <c r="A205" s="2"/>
      <c r="B205" s="2"/>
      <c r="C205" s="2"/>
      <c r="D205" s="2"/>
      <c r="E205" s="2"/>
      <c r="F205" s="2"/>
      <c r="G205" s="596" t="e">
        <f>IF(G206&lt;&gt;0,1,0)</f>
        <v>#N/A</v>
      </c>
      <c r="H205" s="596" t="e">
        <f>IF(H206&lt;&gt;0,1,0)</f>
        <v>#N/A</v>
      </c>
      <c r="I205" s="2194" t="e">
        <f>IF(I206&lt;&gt;0,1,0)</f>
        <v>#N/A</v>
      </c>
      <c r="J205" s="2195"/>
      <c r="K205" s="596" t="e">
        <f>IF(K206&lt;&gt;0,1,0)</f>
        <v>#N/A</v>
      </c>
      <c r="L205" s="2"/>
      <c r="M205" s="2"/>
      <c r="N205" s="2"/>
      <c r="O205" s="2"/>
      <c r="P205" s="2"/>
      <c r="Q205" s="2"/>
      <c r="R205" s="591"/>
      <c r="S205" s="591"/>
      <c r="T205" s="591"/>
      <c r="U205" s="591"/>
      <c r="V205" s="591"/>
      <c r="W205" s="591"/>
      <c r="X205" s="591"/>
      <c r="AA205" s="591"/>
      <c r="AB205" s="591"/>
      <c r="AC205" s="591"/>
      <c r="AG205" s="591"/>
      <c r="AS205" s="591"/>
    </row>
    <row r="206" spans="1:45" ht="21.95" customHeight="1" x14ac:dyDescent="0.2">
      <c r="A206" s="2"/>
      <c r="B206" s="7"/>
      <c r="C206" s="2092" t="s">
        <v>582</v>
      </c>
      <c r="D206" s="2092"/>
      <c r="E206" s="2093" t="e">
        <f>SUM(G206:K206)</f>
        <v>#N/A</v>
      </c>
      <c r="F206" s="2093"/>
      <c r="G206" s="623" t="e">
        <f>HLOOKUP(G1,STORICO!$E$109:$Y$140,VLOOKUP(CONCATENATE($M166,$I207),STORICO!$AP$111:$AQ$140,2,FALSE),FALSE)</f>
        <v>#N/A</v>
      </c>
      <c r="H206" s="623" t="e">
        <f>HLOOKUP(H1,STORICO!$E$109:$Y$140,VLOOKUP(CONCATENATE($M166,$I207),STORICO!$AP$111:$AQ$140,2,FALSE),FALSE)</f>
        <v>#N/A</v>
      </c>
      <c r="I206" s="2196" t="e">
        <f>HLOOKUP(K1,STORICO!$E$109:$Y$140,VLOOKUP(CONCATENATE($M166,$I207),STORICO!$AP$111:$AQ$140,2,FALSE),FALSE)</f>
        <v>#N/A</v>
      </c>
      <c r="J206" s="2196"/>
      <c r="K206" s="623" t="e">
        <f>HLOOKUP(N1,STORICO!$E$109:$Y$140,VLOOKUP(CONCATENATE($M166,$I207),STORICO!$AP$111:$AQ$140,2,FALSE),FALSE)</f>
        <v>#N/A</v>
      </c>
      <c r="L206" s="2"/>
      <c r="M206" s="12"/>
      <c r="N206" s="2"/>
      <c r="O206" s="2"/>
      <c r="P206" s="2"/>
      <c r="Q206" s="2"/>
      <c r="R206" s="591"/>
      <c r="S206" s="591"/>
      <c r="T206" s="591"/>
      <c r="U206" s="591"/>
      <c r="V206" s="591"/>
      <c r="W206" s="591"/>
      <c r="X206" s="591"/>
      <c r="AA206" s="591"/>
      <c r="AB206" s="591"/>
      <c r="AC206" s="591"/>
      <c r="AG206" s="591"/>
      <c r="AS206" s="591"/>
    </row>
    <row r="207" spans="1:45" ht="18.75" customHeight="1" x14ac:dyDescent="0.2">
      <c r="A207" s="2"/>
      <c r="B207" s="2"/>
      <c r="C207" s="2059" t="s">
        <v>563</v>
      </c>
      <c r="D207" s="2059"/>
      <c r="E207" s="2059"/>
      <c r="F207" s="2059"/>
      <c r="G207" s="2059"/>
      <c r="H207" s="2060"/>
      <c r="I207" s="2191"/>
      <c r="J207" s="2192"/>
      <c r="K207" s="2193"/>
      <c r="L207" s="2"/>
      <c r="M207" s="2"/>
      <c r="N207" s="2"/>
      <c r="O207" s="2"/>
      <c r="P207" s="2"/>
      <c r="Q207" s="2"/>
      <c r="R207" s="591"/>
      <c r="S207" s="591"/>
      <c r="T207" s="591"/>
      <c r="U207" s="591"/>
      <c r="V207" s="591"/>
      <c r="W207" s="591"/>
      <c r="X207" s="591"/>
      <c r="AA207" s="591"/>
      <c r="AB207" s="591"/>
      <c r="AC207" s="591"/>
      <c r="AG207" s="591"/>
      <c r="AS207" s="591"/>
    </row>
    <row r="208" spans="1:45" ht="18.75" customHeight="1" x14ac:dyDescent="0.2">
      <c r="A208" s="2"/>
      <c r="B208" s="2"/>
      <c r="C208" s="14"/>
      <c r="D208" s="14"/>
      <c r="E208" s="14"/>
      <c r="F208" s="14"/>
      <c r="G208" s="14"/>
      <c r="H208" s="14"/>
      <c r="I208" s="14"/>
      <c r="J208" s="2"/>
      <c r="K208" s="2"/>
      <c r="L208" s="2"/>
      <c r="M208" s="2"/>
      <c r="N208" s="2"/>
      <c r="O208" s="2"/>
      <c r="P208" s="2"/>
      <c r="Q208" s="2"/>
      <c r="R208" s="591"/>
      <c r="S208" s="591"/>
      <c r="T208" s="591"/>
      <c r="U208" s="591"/>
      <c r="V208" s="591"/>
      <c r="W208" s="591"/>
      <c r="X208" s="591"/>
      <c r="AA208" s="591"/>
      <c r="AB208" s="591"/>
      <c r="AC208" s="591"/>
      <c r="AG208" s="591"/>
      <c r="AS208" s="591"/>
    </row>
    <row r="209" spans="1:45" ht="18.75" customHeight="1" x14ac:dyDescent="0.2">
      <c r="A209" s="2"/>
      <c r="B209" s="2"/>
      <c r="C209" s="2"/>
      <c r="D209" s="2"/>
      <c r="E209" s="2"/>
      <c r="F209" s="2"/>
      <c r="G209" s="2"/>
      <c r="H209" s="2"/>
      <c r="I209" s="2"/>
      <c r="J209" s="2"/>
      <c r="K209" s="638" t="str">
        <f ca="1">Presentazione!$H$13</f>
        <v/>
      </c>
      <c r="L209" s="2"/>
      <c r="M209" s="2"/>
      <c r="N209" s="2"/>
      <c r="O209" s="2"/>
      <c r="P209" s="2"/>
      <c r="Q209" s="2"/>
      <c r="R209" s="591"/>
      <c r="S209" s="591"/>
      <c r="T209" s="591"/>
      <c r="U209" s="591"/>
      <c r="V209" s="591"/>
      <c r="W209" s="591"/>
      <c r="X209" s="591"/>
      <c r="AA209" s="591"/>
      <c r="AB209" s="591"/>
      <c r="AC209" s="591"/>
      <c r="AG209" s="591"/>
      <c r="AS209" s="591"/>
    </row>
    <row r="210" spans="1:45" ht="18.75" customHeight="1" x14ac:dyDescent="0.2">
      <c r="A210" s="2"/>
      <c r="B210" s="2"/>
      <c r="C210" s="2"/>
      <c r="D210" s="2"/>
      <c r="E210" s="2"/>
      <c r="F210" s="2"/>
      <c r="G210" s="2"/>
      <c r="H210" s="2"/>
      <c r="I210" s="2"/>
      <c r="J210" s="2"/>
      <c r="K210" s="639" t="str">
        <f ca="1">IF(Presentazione!$J$165=Presentazione!$K$83,CONCATENATE(Presentazione!$F$77,"   -   ","P.I./C.F ",Presentazione!$K$79),Presentazione!$I$157)</f>
        <v>Sistema parzialmente attivato. Inserisci il tuo CODICE di PROPRIETA' nel foglio Presentazione.</v>
      </c>
      <c r="L210" s="2"/>
      <c r="M210" s="2"/>
      <c r="N210" s="2"/>
      <c r="O210" s="2"/>
      <c r="P210" s="2"/>
      <c r="Q210" s="2"/>
      <c r="R210" s="591"/>
      <c r="S210" s="591"/>
      <c r="T210" s="591"/>
      <c r="U210" s="591"/>
      <c r="V210" s="591"/>
      <c r="W210" s="591"/>
      <c r="X210" s="591"/>
      <c r="AA210" s="591"/>
      <c r="AB210" s="591"/>
      <c r="AC210" s="591"/>
      <c r="AG210" s="591"/>
      <c r="AS210" s="591"/>
    </row>
    <row r="211" spans="1:45" ht="18.75" customHeight="1" x14ac:dyDescent="0.2">
      <c r="A211" s="2"/>
      <c r="B211" s="2"/>
      <c r="C211" s="2"/>
      <c r="D211" s="2"/>
      <c r="E211" s="2"/>
      <c r="F211" s="2"/>
      <c r="G211" s="2"/>
      <c r="H211" s="2"/>
      <c r="I211" s="2"/>
      <c r="J211" s="2"/>
      <c r="K211" s="2"/>
      <c r="L211" s="2"/>
      <c r="M211" s="2"/>
      <c r="N211" s="2"/>
      <c r="O211" s="2"/>
      <c r="P211" s="2"/>
      <c r="Q211" s="2"/>
      <c r="R211" s="591"/>
      <c r="S211" s="591"/>
      <c r="T211" s="591"/>
      <c r="U211" s="591"/>
      <c r="V211" s="591"/>
      <c r="W211" s="591"/>
      <c r="X211" s="591"/>
      <c r="AA211" s="591"/>
      <c r="AB211" s="591"/>
      <c r="AC211" s="591"/>
      <c r="AG211" s="591"/>
      <c r="AS211" s="591"/>
    </row>
    <row r="212" spans="1:45" ht="18.75" customHeight="1" x14ac:dyDescent="0.2">
      <c r="A212" s="2"/>
      <c r="B212" s="2"/>
      <c r="C212" s="637" t="str">
        <f>CASSA!B108</f>
        <v>www.marcopiccoli.it   -   Registro dei Corrispettivi 5.2.4 3txt - per EXCEL .xlsm</v>
      </c>
      <c r="D212" s="2"/>
      <c r="E212" s="2"/>
      <c r="F212" s="2"/>
      <c r="G212" s="2"/>
      <c r="H212" s="2"/>
      <c r="I212" s="2"/>
      <c r="J212" s="2"/>
      <c r="K212" s="2"/>
      <c r="L212" s="2"/>
      <c r="M212" s="2"/>
      <c r="N212" s="2"/>
      <c r="O212" s="2"/>
      <c r="P212" s="2"/>
      <c r="Q212" s="2"/>
      <c r="R212" s="591"/>
      <c r="S212" s="591"/>
      <c r="T212" s="591"/>
      <c r="U212" s="591"/>
      <c r="V212" s="591"/>
      <c r="W212" s="591"/>
      <c r="X212" s="591"/>
      <c r="AA212" s="591"/>
      <c r="AB212" s="591"/>
      <c r="AC212" s="591"/>
      <c r="AG212" s="591"/>
      <c r="AS212" s="591"/>
    </row>
    <row r="213" spans="1:45" ht="18.75" customHeight="1" x14ac:dyDescent="0.2">
      <c r="A213" s="2"/>
      <c r="B213" s="2"/>
      <c r="C213" s="2"/>
      <c r="D213" s="2"/>
      <c r="E213" s="2"/>
      <c r="F213" s="2"/>
      <c r="G213" s="2"/>
      <c r="H213" s="2"/>
      <c r="I213" s="2"/>
      <c r="J213" s="2"/>
      <c r="K213" s="2"/>
      <c r="L213" s="2"/>
      <c r="M213" s="2"/>
      <c r="N213" s="2"/>
      <c r="O213" s="2"/>
      <c r="P213" s="2"/>
      <c r="Q213" s="2"/>
      <c r="R213" s="591"/>
      <c r="S213" s="591"/>
      <c r="T213" s="591"/>
      <c r="U213" s="591"/>
      <c r="V213" s="591"/>
      <c r="W213" s="591"/>
      <c r="X213" s="591"/>
      <c r="AA213" s="591"/>
      <c r="AB213" s="591"/>
      <c r="AC213" s="591"/>
      <c r="AG213" s="591"/>
      <c r="AS213" s="591"/>
    </row>
    <row r="214" spans="1:45" ht="18.75" hidden="1" customHeight="1" x14ac:dyDescent="0.2">
      <c r="A214" s="2"/>
      <c r="B214" s="2"/>
      <c r="C214" s="2"/>
      <c r="D214" s="600">
        <v>6</v>
      </c>
      <c r="E214" s="2"/>
      <c r="F214" s="2"/>
      <c r="G214" s="148">
        <v>5</v>
      </c>
      <c r="H214" s="148">
        <v>6</v>
      </c>
      <c r="I214" s="148">
        <v>7</v>
      </c>
      <c r="J214" s="148">
        <v>8</v>
      </c>
      <c r="K214" s="2"/>
      <c r="L214" s="2"/>
      <c r="M214" s="2"/>
      <c r="N214" s="2"/>
      <c r="O214" s="2"/>
      <c r="P214" s="2"/>
      <c r="Q214" s="2"/>
      <c r="R214" s="591"/>
      <c r="S214" s="591"/>
      <c r="T214" s="591"/>
      <c r="U214" s="591"/>
      <c r="V214" s="591"/>
      <c r="W214" s="591"/>
      <c r="X214" s="591"/>
      <c r="AA214" s="591"/>
      <c r="AB214" s="591"/>
      <c r="AC214" s="591"/>
      <c r="AG214" s="591"/>
      <c r="AS214" s="591"/>
    </row>
    <row r="215" spans="1:45" ht="21.95" hidden="1" customHeight="1" x14ac:dyDescent="0.2">
      <c r="A215" s="2"/>
      <c r="B215" s="7"/>
      <c r="C215" s="2187" t="str">
        <f>C46</f>
        <v>LORDO</v>
      </c>
      <c r="D215" s="2187"/>
      <c r="E215" s="2188">
        <f>SUM(G215:J215)</f>
        <v>0</v>
      </c>
      <c r="F215" s="2188"/>
      <c r="G215" s="602">
        <f>VLOOKUP(G$1,IMPOSTAZIONI!$B$298:$AM$304,$D$214,FALSE)</f>
        <v>0</v>
      </c>
      <c r="H215" s="602">
        <f>VLOOKUP(H$1,IMPOSTAZIONI!$B$298:$AM$304,$D$214,FALSE)</f>
        <v>0</v>
      </c>
      <c r="I215" s="602">
        <f>VLOOKUP(K$1,IMPOSTAZIONI!$B$298:$AM$304,$D$214,FALSE)</f>
        <v>0</v>
      </c>
      <c r="J215" s="602">
        <f>VLOOKUP(N$1,IMPOSTAZIONI!$B$298:$AM$304,$D$214,FALSE)</f>
        <v>0</v>
      </c>
      <c r="K215" s="14"/>
      <c r="L215" s="2"/>
      <c r="M215" s="12"/>
      <c r="N215" s="2"/>
      <c r="O215" s="2"/>
      <c r="P215" s="2"/>
      <c r="Q215" s="2"/>
      <c r="R215" s="591"/>
      <c r="S215" s="591"/>
      <c r="T215" s="591"/>
      <c r="U215" s="591"/>
      <c r="V215" s="591"/>
      <c r="W215" s="591"/>
      <c r="X215" s="591"/>
      <c r="AA215" s="591"/>
      <c r="AB215" s="591"/>
      <c r="AC215" s="591"/>
      <c r="AG215" s="591"/>
      <c r="AS215" s="591"/>
    </row>
    <row r="216" spans="1:45" hidden="1" x14ac:dyDescent="0.2">
      <c r="A216" s="2"/>
      <c r="B216" s="7"/>
      <c r="C216" s="2189" t="str">
        <f>C47</f>
        <v>NETTO</v>
      </c>
      <c r="D216" s="2189"/>
      <c r="E216" s="2190">
        <f>SUM(G216:J216)</f>
        <v>4000</v>
      </c>
      <c r="F216" s="2190"/>
      <c r="G216" s="601">
        <f>VLOOKUP(G$1,IMPOSTAZIONI!$B$391:$AM$397,$D$214,FALSE)</f>
        <v>1000</v>
      </c>
      <c r="H216" s="601">
        <f>VLOOKUP(H$1,IMPOSTAZIONI!$B$391:$AM$397,$D$214,FALSE)</f>
        <v>1000</v>
      </c>
      <c r="I216" s="601">
        <f>VLOOKUP(K$1,IMPOSTAZIONI!$B$391:$AM$397,$D$214,FALSE)</f>
        <v>1000</v>
      </c>
      <c r="J216" s="601">
        <f>VLOOKUP(N$1,IMPOSTAZIONI!$B$391:$AM$397,$D$214,FALSE)</f>
        <v>1000</v>
      </c>
      <c r="K216" s="14"/>
      <c r="L216" s="2"/>
      <c r="M216" s="12"/>
      <c r="N216" s="2"/>
      <c r="O216" s="2"/>
      <c r="P216" s="2"/>
      <c r="Q216" s="2"/>
      <c r="R216" s="591"/>
      <c r="S216" s="591"/>
      <c r="T216" s="591"/>
      <c r="U216" s="591"/>
      <c r="V216" s="591"/>
      <c r="W216" s="591"/>
      <c r="X216" s="591"/>
      <c r="AA216" s="591"/>
      <c r="AB216" s="591"/>
      <c r="AC216" s="591"/>
      <c r="AG216" s="591"/>
      <c r="AS216" s="591"/>
    </row>
    <row r="217" spans="1:45" ht="21.95" hidden="1" customHeight="1" x14ac:dyDescent="0.2">
      <c r="A217" s="2"/>
      <c r="B217" s="7"/>
      <c r="C217" s="2185" t="str">
        <f>C48</f>
        <v>IVA</v>
      </c>
      <c r="D217" s="2185"/>
      <c r="E217" s="2186">
        <f>SUM(G217:J217)</f>
        <v>-4000</v>
      </c>
      <c r="F217" s="2186"/>
      <c r="G217" s="603">
        <f>G215-G216</f>
        <v>-1000</v>
      </c>
      <c r="H217" s="603">
        <f>H215-H216</f>
        <v>-1000</v>
      </c>
      <c r="I217" s="603">
        <f>I215-I216</f>
        <v>-1000</v>
      </c>
      <c r="J217" s="603">
        <f>J215-J216</f>
        <v>-1000</v>
      </c>
      <c r="K217" s="14"/>
      <c r="L217" s="2"/>
      <c r="M217" s="12"/>
      <c r="N217" s="2"/>
      <c r="O217" s="2"/>
      <c r="P217" s="2"/>
      <c r="Q217" s="2"/>
      <c r="R217" s="591"/>
      <c r="S217" s="591"/>
      <c r="T217" s="591"/>
      <c r="U217" s="591"/>
      <c r="V217" s="591"/>
      <c r="W217" s="591"/>
      <c r="X217" s="591"/>
      <c r="AA217" s="591"/>
      <c r="AB217" s="591"/>
      <c r="AC217" s="591"/>
      <c r="AG217" s="591"/>
      <c r="AS217" s="591"/>
    </row>
    <row r="218" spans="1:45" ht="18.75" hidden="1" customHeight="1" x14ac:dyDescent="0.2">
      <c r="A218" s="2"/>
      <c r="B218" s="2"/>
      <c r="C218" s="2"/>
      <c r="D218" s="2"/>
      <c r="E218" s="2"/>
      <c r="F218" s="2"/>
      <c r="G218" s="2"/>
      <c r="H218" s="2"/>
      <c r="I218" s="2"/>
      <c r="J218" s="2"/>
      <c r="K218" s="2"/>
      <c r="L218" s="2"/>
      <c r="M218" s="2"/>
      <c r="N218" s="2"/>
      <c r="O218" s="2"/>
      <c r="P218" s="2"/>
      <c r="Q218" s="2"/>
      <c r="R218" s="591"/>
      <c r="S218" s="591"/>
      <c r="T218" s="591"/>
      <c r="U218" s="591"/>
      <c r="V218" s="591"/>
      <c r="W218" s="591"/>
      <c r="X218" s="591"/>
      <c r="AA218" s="591"/>
      <c r="AB218" s="591"/>
      <c r="AC218" s="591"/>
      <c r="AG218" s="591"/>
      <c r="AS218" s="591"/>
    </row>
    <row r="219" spans="1:45" hidden="1" x14ac:dyDescent="0.2">
      <c r="A219" s="2"/>
      <c r="B219" s="2"/>
      <c r="C219" s="2"/>
      <c r="D219" s="2"/>
      <c r="E219" s="931" t="s">
        <v>718</v>
      </c>
      <c r="F219" s="2"/>
      <c r="G219" s="592" t="s">
        <v>175</v>
      </c>
      <c r="H219" s="2"/>
      <c r="I219" s="2"/>
      <c r="J219" s="2"/>
      <c r="K219" s="2"/>
      <c r="L219" s="2"/>
      <c r="M219" s="2"/>
      <c r="N219" s="2"/>
      <c r="O219" s="2"/>
      <c r="P219" s="2"/>
      <c r="Q219" s="2"/>
      <c r="R219" s="591"/>
      <c r="S219" s="591"/>
      <c r="T219" s="591"/>
      <c r="U219" s="591"/>
      <c r="V219" s="591"/>
      <c r="W219" s="591"/>
      <c r="X219" s="591"/>
      <c r="AA219" s="591"/>
      <c r="AB219" s="591"/>
      <c r="AC219" s="591"/>
      <c r="AG219" s="591"/>
      <c r="AS219" s="591"/>
    </row>
    <row r="220" spans="1:45" ht="14.25" hidden="1" customHeight="1" x14ac:dyDescent="0.2">
      <c r="A220" s="2"/>
      <c r="B220" s="2"/>
      <c r="C220" s="2"/>
      <c r="D220" s="2"/>
      <c r="E220" s="932" t="s">
        <v>719</v>
      </c>
      <c r="F220" s="2"/>
      <c r="G220" s="593">
        <f>STORICO!C16</f>
        <v>2024</v>
      </c>
      <c r="H220" s="2"/>
      <c r="I220" s="592" t="str">
        <f t="shared" ref="I220:I229" si="36">CONCATENATE(G$219,"   ",G220)</f>
        <v>ANNO   2024</v>
      </c>
      <c r="J220" s="2"/>
      <c r="K220" s="592" t="s">
        <v>583</v>
      </c>
      <c r="L220" s="2"/>
      <c r="M220" s="2"/>
      <c r="N220" s="2"/>
      <c r="O220" s="2"/>
      <c r="P220" s="2"/>
      <c r="Q220" s="2"/>
      <c r="R220" s="591"/>
      <c r="S220" s="591"/>
      <c r="T220" s="591"/>
      <c r="U220" s="591"/>
      <c r="V220" s="591"/>
      <c r="W220" s="591"/>
      <c r="X220" s="591"/>
      <c r="AA220" s="591"/>
      <c r="AB220" s="591"/>
      <c r="AC220" s="591"/>
      <c r="AG220" s="591"/>
      <c r="AS220" s="591"/>
    </row>
    <row r="221" spans="1:45" ht="14.25" hidden="1" customHeight="1" x14ac:dyDescent="0.2">
      <c r="A221" s="2"/>
      <c r="B221" s="2"/>
      <c r="C221" s="2"/>
      <c r="D221" s="2"/>
      <c r="E221" s="933">
        <f>IF(ISERROR(G206),MAX(G180:K180,G193:K193)/10,MAX(G180:K180,G193:K193,G206:K206)/10)</f>
        <v>0</v>
      </c>
      <c r="F221" s="2"/>
      <c r="G221" s="593">
        <f>STORICO!C27</f>
        <v>2023</v>
      </c>
      <c r="H221" s="2"/>
      <c r="I221" s="592" t="str">
        <f t="shared" si="36"/>
        <v>ANNO   2023</v>
      </c>
      <c r="J221" s="2"/>
      <c r="K221" s="592" t="s">
        <v>584</v>
      </c>
      <c r="L221" s="2"/>
      <c r="M221" s="2"/>
      <c r="N221" s="2"/>
      <c r="O221" s="2"/>
      <c r="P221" s="2"/>
      <c r="Q221" s="2"/>
      <c r="AA221" s="591"/>
      <c r="AB221" s="591"/>
      <c r="AC221" s="591"/>
      <c r="AG221" s="591"/>
      <c r="AS221" s="591"/>
    </row>
    <row r="222" spans="1:45" ht="14.25" hidden="1" customHeight="1" x14ac:dyDescent="0.2">
      <c r="A222" s="2"/>
      <c r="B222" s="2"/>
      <c r="C222" s="2"/>
      <c r="D222" s="2"/>
      <c r="E222" s="2"/>
      <c r="F222" s="2"/>
      <c r="G222" s="593">
        <f>STORICO!C33</f>
        <v>2022</v>
      </c>
      <c r="H222" s="2"/>
      <c r="I222" s="592" t="str">
        <f t="shared" si="36"/>
        <v>ANNO   2022</v>
      </c>
      <c r="J222" s="2"/>
      <c r="K222" s="592" t="s">
        <v>585</v>
      </c>
      <c r="L222" s="2"/>
      <c r="M222" s="2"/>
      <c r="N222" s="2"/>
      <c r="O222" s="2"/>
      <c r="P222" s="2"/>
      <c r="Q222" s="2"/>
      <c r="AA222" s="591"/>
      <c r="AB222" s="591"/>
      <c r="AC222" s="591"/>
      <c r="AG222" s="591"/>
      <c r="AS222" s="591"/>
    </row>
    <row r="223" spans="1:45" ht="14.25" hidden="1" customHeight="1" x14ac:dyDescent="0.2">
      <c r="A223" s="2"/>
      <c r="B223" s="2"/>
      <c r="C223" s="2"/>
      <c r="D223" s="2"/>
      <c r="E223" s="2"/>
      <c r="F223" s="2"/>
      <c r="G223" s="593">
        <f>STORICO!C39</f>
        <v>2021</v>
      </c>
      <c r="H223" s="2"/>
      <c r="I223" s="592" t="str">
        <f t="shared" si="36"/>
        <v>ANNO   2021</v>
      </c>
      <c r="J223" s="2"/>
      <c r="K223" s="592" t="s">
        <v>586</v>
      </c>
      <c r="L223" s="2"/>
      <c r="M223" s="2"/>
      <c r="N223" s="2"/>
      <c r="O223" s="2"/>
      <c r="P223" s="2"/>
      <c r="Q223" s="2"/>
      <c r="AA223" s="591"/>
      <c r="AB223" s="591"/>
      <c r="AC223" s="591"/>
      <c r="AG223" s="591"/>
      <c r="AS223" s="591"/>
    </row>
    <row r="224" spans="1:45" ht="14.25" hidden="1" customHeight="1" x14ac:dyDescent="0.2">
      <c r="A224" s="2"/>
      <c r="B224" s="2"/>
      <c r="C224" s="2"/>
      <c r="D224" s="2"/>
      <c r="E224" s="934" t="str">
        <f>C215</f>
        <v>LORDO</v>
      </c>
      <c r="F224" s="2"/>
      <c r="G224" s="593" t="str">
        <f>CONCATENATE(G220," + ",G221)</f>
        <v>2024 + 2023</v>
      </c>
      <c r="H224" s="2"/>
      <c r="I224" s="592" t="str">
        <f t="shared" si="36"/>
        <v>ANNO   2024 + 2023</v>
      </c>
      <c r="J224" s="2"/>
      <c r="K224" s="592" t="str">
        <f>CONCATENATE(K220," + ",K221)</f>
        <v>ANNO IN CORSO + ANNO PRECEDENTE 1</v>
      </c>
      <c r="L224" s="2"/>
      <c r="M224" s="2"/>
      <c r="N224" s="2"/>
      <c r="O224" s="2"/>
      <c r="P224" s="2"/>
      <c r="Q224" s="2"/>
      <c r="AA224" s="591"/>
      <c r="AB224" s="591"/>
      <c r="AC224" s="591"/>
      <c r="AG224" s="591"/>
      <c r="AS224" s="591"/>
    </row>
    <row r="225" spans="1:45" ht="14.25" hidden="1" customHeight="1" x14ac:dyDescent="0.2">
      <c r="A225" s="2"/>
      <c r="B225" s="2"/>
      <c r="C225" s="2"/>
      <c r="D225" s="2"/>
      <c r="E225" s="934" t="str">
        <f>C216</f>
        <v>NETTO</v>
      </c>
      <c r="F225" s="2"/>
      <c r="G225" s="593" t="str">
        <f>CONCATENATE(G220," + ",G221," + ",G222)</f>
        <v>2024 + 2023 + 2022</v>
      </c>
      <c r="H225" s="2"/>
      <c r="I225" s="592" t="str">
        <f t="shared" si="36"/>
        <v>ANNO   2024 + 2023 + 2022</v>
      </c>
      <c r="J225" s="2"/>
      <c r="K225" s="592" t="str">
        <f>CONCATENATE(K220," + ",K221," + 2")</f>
        <v>ANNO IN CORSO + ANNO PRECEDENTE 1 + 2</v>
      </c>
      <c r="L225" s="2"/>
      <c r="M225" s="2"/>
      <c r="N225" s="2"/>
      <c r="O225" s="2"/>
      <c r="P225" s="2"/>
      <c r="Q225" s="2"/>
      <c r="AA225" s="591"/>
      <c r="AB225" s="591"/>
      <c r="AC225" s="591"/>
      <c r="AG225" s="591"/>
      <c r="AS225" s="591"/>
    </row>
    <row r="226" spans="1:45" ht="14.25" hidden="1" customHeight="1" x14ac:dyDescent="0.2">
      <c r="A226" s="2"/>
      <c r="B226" s="2"/>
      <c r="C226" s="2"/>
      <c r="D226" s="2"/>
      <c r="E226" s="934" t="str">
        <f>C217</f>
        <v>IVA</v>
      </c>
      <c r="F226" s="2"/>
      <c r="G226" s="593" t="str">
        <f>CONCATENATE(G220," + ",G221," + ",G222," + ",G223)</f>
        <v>2024 + 2023 + 2022 + 2021</v>
      </c>
      <c r="H226" s="2"/>
      <c r="I226" s="592" t="str">
        <f t="shared" si="36"/>
        <v>ANNO   2024 + 2023 + 2022 + 2021</v>
      </c>
      <c r="J226" s="2"/>
      <c r="K226" s="592" t="str">
        <f>CONCATENATE(K220," + ",K221," + 2 + 3")</f>
        <v>ANNO IN CORSO + ANNO PRECEDENTE 1 + 2 + 3</v>
      </c>
      <c r="L226" s="2"/>
      <c r="M226" s="2"/>
      <c r="N226" s="2"/>
      <c r="O226" s="2"/>
      <c r="P226" s="2"/>
      <c r="Q226" s="2"/>
      <c r="AA226" s="591"/>
      <c r="AB226" s="591"/>
      <c r="AC226" s="591"/>
      <c r="AG226" s="591"/>
      <c r="AS226" s="591"/>
    </row>
    <row r="227" spans="1:45" ht="14.25" hidden="1" customHeight="1" x14ac:dyDescent="0.2">
      <c r="A227" s="2"/>
      <c r="B227" s="2"/>
      <c r="C227" s="2"/>
      <c r="D227" s="2"/>
      <c r="E227" s="2"/>
      <c r="F227" s="2"/>
      <c r="G227" s="593" t="str">
        <f>CONCATENATE(G221," + ",G222)</f>
        <v>2023 + 2022</v>
      </c>
      <c r="H227" s="2"/>
      <c r="I227" s="592" t="str">
        <f t="shared" si="36"/>
        <v>ANNO   2023 + 2022</v>
      </c>
      <c r="J227" s="2"/>
      <c r="K227" s="592" t="str">
        <f>CONCATENATE(K221," + 2")</f>
        <v>ANNO PRECEDENTE 1 + 2</v>
      </c>
      <c r="L227" s="2"/>
      <c r="M227" s="2"/>
      <c r="N227" s="2"/>
      <c r="O227" s="2"/>
      <c r="P227" s="2"/>
      <c r="Q227" s="2"/>
      <c r="AA227" s="591"/>
      <c r="AB227" s="591"/>
      <c r="AC227" s="591"/>
      <c r="AG227" s="591"/>
      <c r="AS227" s="591"/>
    </row>
    <row r="228" spans="1:45" ht="14.25" hidden="1" customHeight="1" x14ac:dyDescent="0.2">
      <c r="A228" s="2"/>
      <c r="B228" s="2"/>
      <c r="C228" s="2"/>
      <c r="D228" s="2"/>
      <c r="E228" s="2"/>
      <c r="F228" s="2"/>
      <c r="G228" s="593" t="str">
        <f>CONCATENATE(G221," + ",G222," + ",G223)</f>
        <v>2023 + 2022 + 2021</v>
      </c>
      <c r="H228" s="2"/>
      <c r="I228" s="592" t="str">
        <f t="shared" si="36"/>
        <v>ANNO   2023 + 2022 + 2021</v>
      </c>
      <c r="J228" s="2"/>
      <c r="K228" s="592" t="str">
        <f>CONCATENATE(K221," + 2 + 3")</f>
        <v>ANNO PRECEDENTE 1 + 2 + 3</v>
      </c>
      <c r="L228" s="2"/>
      <c r="M228" s="2"/>
      <c r="N228" s="2"/>
      <c r="O228" s="2"/>
      <c r="P228" s="2"/>
      <c r="Q228" s="2"/>
      <c r="AA228" s="591"/>
      <c r="AB228" s="591"/>
      <c r="AC228" s="591"/>
      <c r="AG228" s="591"/>
      <c r="AS228" s="591"/>
    </row>
    <row r="229" spans="1:45" ht="14.25" hidden="1" customHeight="1" x14ac:dyDescent="0.2">
      <c r="A229" s="2"/>
      <c r="B229" s="2"/>
      <c r="C229" s="2"/>
      <c r="D229" s="2"/>
      <c r="E229" s="2"/>
      <c r="F229" s="2"/>
      <c r="G229" s="593" t="str">
        <f>CONCATENATE(G222," + ",G223)</f>
        <v>2022 + 2021</v>
      </c>
      <c r="H229" s="2"/>
      <c r="I229" s="592" t="str">
        <f t="shared" si="36"/>
        <v>ANNO   2022 + 2021</v>
      </c>
      <c r="J229" s="2"/>
      <c r="K229" s="592" t="str">
        <f>CONCATENATE(K222," + 3")</f>
        <v>ANNO PRECEDENTE 2 + 3</v>
      </c>
      <c r="L229" s="2"/>
      <c r="M229" s="2"/>
      <c r="N229" s="2"/>
      <c r="O229" s="2"/>
      <c r="P229" s="2"/>
      <c r="Q229" s="2"/>
      <c r="AA229" s="591"/>
      <c r="AB229" s="591"/>
      <c r="AC229" s="591"/>
      <c r="AG229" s="591"/>
      <c r="AS229" s="591"/>
    </row>
    <row r="230" spans="1:45" hidden="1" x14ac:dyDescent="0.2">
      <c r="A230" s="2"/>
      <c r="B230" s="2"/>
      <c r="C230" s="2"/>
      <c r="D230" s="2"/>
      <c r="E230" s="2"/>
      <c r="F230" s="2"/>
      <c r="G230" s="2"/>
      <c r="H230" s="2"/>
      <c r="I230" s="2"/>
      <c r="J230" s="2"/>
      <c r="K230" s="2"/>
      <c r="L230" s="2"/>
      <c r="M230" s="2"/>
      <c r="N230" s="2"/>
      <c r="O230" s="2"/>
      <c r="P230" s="2"/>
      <c r="Q230" s="2"/>
      <c r="AA230" s="591"/>
      <c r="AB230" s="591"/>
      <c r="AC230" s="591"/>
      <c r="AG230" s="591"/>
      <c r="AS230" s="591"/>
    </row>
    <row r="231" spans="1:45" x14ac:dyDescent="0.2">
      <c r="A231" s="2"/>
      <c r="B231" s="2"/>
      <c r="C231" s="2"/>
      <c r="D231" s="2"/>
      <c r="E231" s="2"/>
      <c r="F231" s="2"/>
      <c r="G231" s="1433" t="s">
        <v>572</v>
      </c>
      <c r="H231" s="1434" t="s">
        <v>869</v>
      </c>
      <c r="I231" s="2"/>
      <c r="J231" s="2"/>
      <c r="K231" s="2"/>
      <c r="L231" s="1433" t="s">
        <v>572</v>
      </c>
      <c r="M231" s="1434" t="s">
        <v>870</v>
      </c>
      <c r="N231" s="2"/>
      <c r="O231" s="2"/>
      <c r="P231" s="2"/>
      <c r="Q231" s="2"/>
      <c r="AA231" s="591"/>
      <c r="AB231" s="591"/>
      <c r="AC231" s="591"/>
      <c r="AG231" s="591"/>
      <c r="AS231" s="591"/>
    </row>
  </sheetData>
  <sheetProtection algorithmName="SHA-512" hashValue="8y7Iuem18C6PROCnsN19SODfD7A/wcfATmWXLPZSi01V9AgvqKJR8Ht9KesETqyVZ43MwczItQ3n83CZczw7Og==" saltValue="OY6YOsk+4ZsbLTeQAo0XeA==" spinCount="100000" sheet="1" objects="1" scenarios="1" selectLockedCells="1"/>
  <mergeCells count="242">
    <mergeCell ref="I205:J205"/>
    <mergeCell ref="I206:J206"/>
    <mergeCell ref="I200:J200"/>
    <mergeCell ref="I201:J201"/>
    <mergeCell ref="I202:J202"/>
    <mergeCell ref="C3:D3"/>
    <mergeCell ref="E3:G3"/>
    <mergeCell ref="I187:J187"/>
    <mergeCell ref="I188:J188"/>
    <mergeCell ref="I189:J189"/>
    <mergeCell ref="I182:J182"/>
    <mergeCell ref="I183:J183"/>
    <mergeCell ref="I166:J166"/>
    <mergeCell ref="I167:J167"/>
    <mergeCell ref="I118:J118"/>
    <mergeCell ref="I119:J119"/>
    <mergeCell ref="I203:J203"/>
    <mergeCell ref="I204:J204"/>
    <mergeCell ref="I199:J199"/>
    <mergeCell ref="I190:J190"/>
    <mergeCell ref="I191:J191"/>
    <mergeCell ref="I192:J192"/>
    <mergeCell ref="I193:J193"/>
    <mergeCell ref="I196:J196"/>
    <mergeCell ref="C2:I2"/>
    <mergeCell ref="J2:P2"/>
    <mergeCell ref="M3:P3"/>
    <mergeCell ref="H3:L3"/>
    <mergeCell ref="K160:L160"/>
    <mergeCell ref="K156:L156"/>
    <mergeCell ref="K158:L158"/>
    <mergeCell ref="K157:L157"/>
    <mergeCell ref="AN6:AQ6"/>
    <mergeCell ref="C58:F58"/>
    <mergeCell ref="C46:D46"/>
    <mergeCell ref="C57:F57"/>
    <mergeCell ref="C45:F45"/>
    <mergeCell ref="C55:E55"/>
    <mergeCell ref="C52:E52"/>
    <mergeCell ref="C50:E50"/>
    <mergeCell ref="E47:F47"/>
    <mergeCell ref="C48:D48"/>
    <mergeCell ref="E48:F48"/>
    <mergeCell ref="C103:F103"/>
    <mergeCell ref="O97:P97"/>
    <mergeCell ref="E93:F93"/>
    <mergeCell ref="O103:P103"/>
    <mergeCell ref="C94:F94"/>
    <mergeCell ref="I197:J197"/>
    <mergeCell ref="I198:J198"/>
    <mergeCell ref="I186:J186"/>
    <mergeCell ref="I176:J176"/>
    <mergeCell ref="I177:J177"/>
    <mergeCell ref="I184:J184"/>
    <mergeCell ref="I185:J185"/>
    <mergeCell ref="I178:J178"/>
    <mergeCell ref="I179:J179"/>
    <mergeCell ref="I180:J180"/>
    <mergeCell ref="I181:J181"/>
    <mergeCell ref="I170:J170"/>
    <mergeCell ref="I171:J171"/>
    <mergeCell ref="I172:J172"/>
    <mergeCell ref="I173:J173"/>
    <mergeCell ref="I174:J174"/>
    <mergeCell ref="I175:J175"/>
    <mergeCell ref="M168:N168"/>
    <mergeCell ref="I122:J122"/>
    <mergeCell ref="K159:L159"/>
    <mergeCell ref="I169:J169"/>
    <mergeCell ref="I168:J168"/>
    <mergeCell ref="K147:L147"/>
    <mergeCell ref="K148:L148"/>
    <mergeCell ref="K149:L149"/>
    <mergeCell ref="B162:D162"/>
    <mergeCell ref="C217:D217"/>
    <mergeCell ref="E217:F217"/>
    <mergeCell ref="C215:D215"/>
    <mergeCell ref="E215:F215"/>
    <mergeCell ref="C216:D216"/>
    <mergeCell ref="E216:F216"/>
    <mergeCell ref="C167:D167"/>
    <mergeCell ref="C182:F182"/>
    <mergeCell ref="E193:F193"/>
    <mergeCell ref="C170:D170"/>
    <mergeCell ref="C183:D183"/>
    <mergeCell ref="C168:F168"/>
    <mergeCell ref="B163:D163"/>
    <mergeCell ref="E167:F167"/>
    <mergeCell ref="C180:D180"/>
    <mergeCell ref="E180:F180"/>
    <mergeCell ref="C169:F169"/>
    <mergeCell ref="C206:D206"/>
    <mergeCell ref="E206:F206"/>
    <mergeCell ref="C193:D193"/>
    <mergeCell ref="I207:K207"/>
    <mergeCell ref="I195:J195"/>
    <mergeCell ref="I194:J194"/>
    <mergeCell ref="K146:L146"/>
    <mergeCell ref="C126:M126"/>
    <mergeCell ref="I114:J114"/>
    <mergeCell ref="I115:J115"/>
    <mergeCell ref="K145:L145"/>
    <mergeCell ref="L108:M108"/>
    <mergeCell ref="L109:M109"/>
    <mergeCell ref="I116:J116"/>
    <mergeCell ref="I117:J117"/>
    <mergeCell ref="I120:J120"/>
    <mergeCell ref="I121:J121"/>
    <mergeCell ref="K144:L144"/>
    <mergeCell ref="C171:D172"/>
    <mergeCell ref="E171:E172"/>
    <mergeCell ref="C207:H207"/>
    <mergeCell ref="C197:D198"/>
    <mergeCell ref="E197:E198"/>
    <mergeCell ref="C184:D185"/>
    <mergeCell ref="E184:E185"/>
    <mergeCell ref="C196:D196"/>
    <mergeCell ref="C195:H195"/>
    <mergeCell ref="C101:F101"/>
    <mergeCell ref="C98:F98"/>
    <mergeCell ref="O102:P102"/>
    <mergeCell ref="E96:F96"/>
    <mergeCell ref="O98:P98"/>
    <mergeCell ref="O96:P96"/>
    <mergeCell ref="O101:P101"/>
    <mergeCell ref="C95:F95"/>
    <mergeCell ref="O93:P93"/>
    <mergeCell ref="C96:D96"/>
    <mergeCell ref="C97:F97"/>
    <mergeCell ref="C93:D93"/>
    <mergeCell ref="C102:F102"/>
    <mergeCell ref="L4:M5"/>
    <mergeCell ref="E7:F7"/>
    <mergeCell ref="I4:J5"/>
    <mergeCell ref="O4:P5"/>
    <mergeCell ref="E6:F6"/>
    <mergeCell ref="E4:F5"/>
    <mergeCell ref="G53:G54"/>
    <mergeCell ref="E20:F20"/>
    <mergeCell ref="E18:F18"/>
    <mergeCell ref="E24:F24"/>
    <mergeCell ref="E23:F23"/>
    <mergeCell ref="E22:F22"/>
    <mergeCell ref="C53:E53"/>
    <mergeCell ref="C39:D39"/>
    <mergeCell ref="E46:F46"/>
    <mergeCell ref="C51:E51"/>
    <mergeCell ref="C4:D5"/>
    <mergeCell ref="C7:D7"/>
    <mergeCell ref="E8:F8"/>
    <mergeCell ref="E25:F25"/>
    <mergeCell ref="E19:F19"/>
    <mergeCell ref="C6:D6"/>
    <mergeCell ref="E37:F37"/>
    <mergeCell ref="E39:F39"/>
    <mergeCell ref="E9:F9"/>
    <mergeCell ref="E10:F10"/>
    <mergeCell ref="C44:F44"/>
    <mergeCell ref="E43:F43"/>
    <mergeCell ref="E13:F13"/>
    <mergeCell ref="E14:F14"/>
    <mergeCell ref="C43:D43"/>
    <mergeCell ref="E38:F38"/>
    <mergeCell ref="E36:F36"/>
    <mergeCell ref="E17:F17"/>
    <mergeCell ref="E15:F15"/>
    <mergeCell ref="E16:F16"/>
    <mergeCell ref="E11:F11"/>
    <mergeCell ref="E12:F12"/>
    <mergeCell ref="E26:F26"/>
    <mergeCell ref="E21:F21"/>
    <mergeCell ref="E28:F28"/>
    <mergeCell ref="E27:F27"/>
    <mergeCell ref="E29:F29"/>
    <mergeCell ref="E30:F30"/>
    <mergeCell ref="E35:F35"/>
    <mergeCell ref="E31:F31"/>
    <mergeCell ref="E33:F33"/>
    <mergeCell ref="E34:F34"/>
    <mergeCell ref="C104:F104"/>
    <mergeCell ref="C100:F100"/>
    <mergeCell ref="C91:P91"/>
    <mergeCell ref="I67:J67"/>
    <mergeCell ref="I68:J68"/>
    <mergeCell ref="L68:M68"/>
    <mergeCell ref="I70:J70"/>
    <mergeCell ref="L70:M70"/>
    <mergeCell ref="I71:J71"/>
    <mergeCell ref="L71:M71"/>
    <mergeCell ref="I77:J77"/>
    <mergeCell ref="L77:M77"/>
    <mergeCell ref="I78:J78"/>
    <mergeCell ref="L78:M78"/>
    <mergeCell ref="L72:M72"/>
    <mergeCell ref="I89:J89"/>
    <mergeCell ref="I85:J85"/>
    <mergeCell ref="I86:J86"/>
    <mergeCell ref="L86:M86"/>
    <mergeCell ref="I87:J87"/>
    <mergeCell ref="L87:M87"/>
    <mergeCell ref="I79:J79"/>
    <mergeCell ref="I88:J88"/>
    <mergeCell ref="I81:J81"/>
    <mergeCell ref="E32:F32"/>
    <mergeCell ref="I76:J76"/>
    <mergeCell ref="I72:J72"/>
    <mergeCell ref="I73:J73"/>
    <mergeCell ref="I74:K74"/>
    <mergeCell ref="I69:J69"/>
    <mergeCell ref="K53:K54"/>
    <mergeCell ref="I53:J54"/>
    <mergeCell ref="I55:J55"/>
    <mergeCell ref="I56:J56"/>
    <mergeCell ref="C59:E59"/>
    <mergeCell ref="C56:D56"/>
    <mergeCell ref="I52:J52"/>
    <mergeCell ref="H53:H54"/>
    <mergeCell ref="C54:E54"/>
    <mergeCell ref="C47:D47"/>
    <mergeCell ref="I44:J44"/>
    <mergeCell ref="I82:J82"/>
    <mergeCell ref="I83:J83"/>
    <mergeCell ref="I84:J84"/>
    <mergeCell ref="M166:N166"/>
    <mergeCell ref="T65:T66"/>
    <mergeCell ref="AS7:AW7"/>
    <mergeCell ref="AB7:AE7"/>
    <mergeCell ref="AG7:AK7"/>
    <mergeCell ref="P58:Q58"/>
    <mergeCell ref="L55:M55"/>
    <mergeCell ref="L56:M56"/>
    <mergeCell ref="O44:P44"/>
    <mergeCell ref="O56:P56"/>
    <mergeCell ref="L69:M69"/>
    <mergeCell ref="L52:M52"/>
    <mergeCell ref="L53:M54"/>
    <mergeCell ref="O57:P57"/>
    <mergeCell ref="L44:M44"/>
    <mergeCell ref="I51:J51"/>
    <mergeCell ref="L51:M51"/>
    <mergeCell ref="G50:M50"/>
    <mergeCell ref="O104:P104"/>
  </mergeCells>
  <phoneticPr fontId="24" type="noConversion"/>
  <conditionalFormatting sqref="C57 G57">
    <cfRule type="expression" dxfId="5174" priority="1" stopIfTrue="1">
      <formula>C58=0</formula>
    </cfRule>
  </conditionalFormatting>
  <conditionalFormatting sqref="F121:F122">
    <cfRule type="expression" dxfId="5173" priority="2" stopIfTrue="1">
      <formula>SUM($G121:$I121)=0</formula>
    </cfRule>
  </conditionalFormatting>
  <conditionalFormatting sqref="G184:H192 K197:K205 K184:K192 K171:K179 G171:H179 G197:H205">
    <cfRule type="cellIs" dxfId="5172" priority="3" stopIfTrue="1" operator="equal">
      <formula>0</formula>
    </cfRule>
    <cfRule type="expression" dxfId="5171" priority="4" stopIfTrue="1">
      <formula>AND(G171=1,G170=0)</formula>
    </cfRule>
  </conditionalFormatting>
  <conditionalFormatting sqref="I171:J179 I184:J192 I197:J205">
    <cfRule type="cellIs" dxfId="5170" priority="5" stopIfTrue="1" operator="equal">
      <formula>0</formula>
    </cfRule>
    <cfRule type="expression" dxfId="5169" priority="6" stopIfTrue="1">
      <formula>AND($I171=1,$I170=0)</formula>
    </cfRule>
  </conditionalFormatting>
  <conditionalFormatting sqref="I93">
    <cfRule type="expression" dxfId="5168" priority="7" stopIfTrue="1">
      <formula>AND(I$155="X",I$93&lt;&gt;"")</formula>
    </cfRule>
  </conditionalFormatting>
  <conditionalFormatting sqref="I97">
    <cfRule type="expression" dxfId="5167" priority="8" stopIfTrue="1">
      <formula>AND(I$152=0,I$97&lt;&gt;0)</formula>
    </cfRule>
    <cfRule type="expression" dxfId="5166" priority="9" stopIfTrue="1">
      <formula>I$152=0</formula>
    </cfRule>
  </conditionalFormatting>
  <conditionalFormatting sqref="G98:I98">
    <cfRule type="expression" dxfId="5165" priority="10" stopIfTrue="1">
      <formula>AND(G$152=0,G$98&lt;&gt;0)</formula>
    </cfRule>
    <cfRule type="expression" dxfId="5164" priority="11" stopIfTrue="1">
      <formula>G$152=0</formula>
    </cfRule>
  </conditionalFormatting>
  <conditionalFormatting sqref="J93">
    <cfRule type="expression" dxfId="5163" priority="12" stopIfTrue="1">
      <formula>AND(I$155="X",J$93&lt;&gt;"")</formula>
    </cfRule>
  </conditionalFormatting>
  <conditionalFormatting sqref="J97">
    <cfRule type="expression" dxfId="5162" priority="13" stopIfTrue="1">
      <formula>AND(I$152=0,J$97&lt;&gt;0)</formula>
    </cfRule>
    <cfRule type="expression" dxfId="5161" priority="14" stopIfTrue="1">
      <formula>I$152=0</formula>
    </cfRule>
  </conditionalFormatting>
  <conditionalFormatting sqref="J98">
    <cfRule type="expression" dxfId="5160" priority="15" stopIfTrue="1">
      <formula>AND(I$152=0,J$98&lt;&gt;0)</formula>
    </cfRule>
    <cfRule type="expression" dxfId="5159" priority="16" stopIfTrue="1">
      <formula>I$152=0</formula>
    </cfRule>
  </conditionalFormatting>
  <conditionalFormatting sqref="G101:I101">
    <cfRule type="expression" dxfId="5158" priority="17" stopIfTrue="1">
      <formula>AND(G$152=0,G$101&lt;&gt;0)</formula>
    </cfRule>
    <cfRule type="expression" dxfId="5157" priority="18" stopIfTrue="1">
      <formula>AND($C101="ERROR",G101&gt;0)</formula>
    </cfRule>
    <cfRule type="expression" dxfId="5156" priority="19" stopIfTrue="1">
      <formula>G$152=0</formula>
    </cfRule>
  </conditionalFormatting>
  <conditionalFormatting sqref="G102:I102">
    <cfRule type="expression" dxfId="5155" priority="20" stopIfTrue="1">
      <formula>AND(G$152=0,G$102&lt;&gt;0)</formula>
    </cfRule>
    <cfRule type="expression" dxfId="5154" priority="21" stopIfTrue="1">
      <formula>AND($C102="ERROR",G102&gt;0)</formula>
    </cfRule>
    <cfRule type="expression" dxfId="5153" priority="22" stopIfTrue="1">
      <formula>G$152=0</formula>
    </cfRule>
  </conditionalFormatting>
  <conditionalFormatting sqref="G103:I103">
    <cfRule type="expression" dxfId="5152" priority="23" stopIfTrue="1">
      <formula>AND(G$152=0,G$103&lt;&gt;0)</formula>
    </cfRule>
    <cfRule type="expression" dxfId="5151" priority="24" stopIfTrue="1">
      <formula>AND($C103="ERROR",G103&gt;0)</formula>
    </cfRule>
    <cfRule type="expression" dxfId="5150" priority="25" stopIfTrue="1">
      <formula>G$152=0</formula>
    </cfRule>
  </conditionalFormatting>
  <conditionalFormatting sqref="G104:I104">
    <cfRule type="expression" dxfId="5149" priority="26" stopIfTrue="1">
      <formula>AND(G$152=0,G$104&lt;&gt;0)</formula>
    </cfRule>
    <cfRule type="expression" dxfId="5148" priority="27" stopIfTrue="1">
      <formula>AND($C104="ERROR",G104&gt;0)</formula>
    </cfRule>
    <cfRule type="expression" dxfId="5147" priority="28" stopIfTrue="1">
      <formula>G$152=0</formula>
    </cfRule>
  </conditionalFormatting>
  <conditionalFormatting sqref="J101">
    <cfRule type="expression" dxfId="5146" priority="29" stopIfTrue="1">
      <formula>AND(I$152=0,J$101&lt;&gt;0)</formula>
    </cfRule>
    <cfRule type="expression" dxfId="5145" priority="30" stopIfTrue="1">
      <formula>AND($C101="ERROR",J101&gt;0)</formula>
    </cfRule>
    <cfRule type="expression" dxfId="5144" priority="31" stopIfTrue="1">
      <formula>I$152=0</formula>
    </cfRule>
  </conditionalFormatting>
  <conditionalFormatting sqref="J102">
    <cfRule type="expression" dxfId="5143" priority="32" stopIfTrue="1">
      <formula>AND(I$152=0,J$102&lt;&gt;0)</formula>
    </cfRule>
    <cfRule type="expression" dxfId="5142" priority="33" stopIfTrue="1">
      <formula>AND($C102="ERROR",J102&gt;0)</formula>
    </cfRule>
    <cfRule type="expression" dxfId="5141" priority="34" stopIfTrue="1">
      <formula>I$152=0</formula>
    </cfRule>
  </conditionalFormatting>
  <conditionalFormatting sqref="J103">
    <cfRule type="expression" dxfId="5140" priority="35" stopIfTrue="1">
      <formula>AND(I$152=0,J$103&lt;&gt;0)</formula>
    </cfRule>
    <cfRule type="expression" dxfId="5139" priority="36" stopIfTrue="1">
      <formula>AND($C103="ERROR",J103&gt;0)</formula>
    </cfRule>
    <cfRule type="expression" dxfId="5138" priority="37" stopIfTrue="1">
      <formula>I$152=0</formula>
    </cfRule>
  </conditionalFormatting>
  <conditionalFormatting sqref="J104">
    <cfRule type="expression" dxfId="5137" priority="38" stopIfTrue="1">
      <formula>AND(I$152=0,J$104&lt;&gt;0)</formula>
    </cfRule>
    <cfRule type="expression" dxfId="5136" priority="39" stopIfTrue="1">
      <formula>AND($C104="ERROR",J104&gt;0)</formula>
    </cfRule>
    <cfRule type="expression" dxfId="5135" priority="40" stopIfTrue="1">
      <formula>I$152=0</formula>
    </cfRule>
  </conditionalFormatting>
  <conditionalFormatting sqref="O101:P104">
    <cfRule type="expression" dxfId="5134" priority="41" stopIfTrue="1">
      <formula>SUM($G$152:$J$152)=0</formula>
    </cfRule>
    <cfRule type="expression" dxfId="5133" priority="42" stopIfTrue="1">
      <formula>$B101=""</formula>
    </cfRule>
  </conditionalFormatting>
  <conditionalFormatting sqref="E8:F35 E37:F38">
    <cfRule type="expression" dxfId="5132" priority="43" stopIfTrue="1">
      <formula>$AA8=$Y$6</formula>
    </cfRule>
    <cfRule type="expression" dxfId="5131" priority="44" stopIfTrue="1">
      <formula>AND($AA8=0,$E8=0)</formula>
    </cfRule>
    <cfRule type="expression" dxfId="5130" priority="45" stopIfTrue="1">
      <formula>$AA8=0</formula>
    </cfRule>
  </conditionalFormatting>
  <conditionalFormatting sqref="I6 L6 O6">
    <cfRule type="expression" dxfId="5129" priority="46" stopIfTrue="1">
      <formula>I6=""</formula>
    </cfRule>
    <cfRule type="expression" dxfId="5128" priority="47" stopIfTrue="1">
      <formula>OR(I4=0,I4=$K$130)</formula>
    </cfRule>
    <cfRule type="expression" dxfId="5127" priority="48" stopIfTrue="1">
      <formula>I4&lt;&gt;$K$130</formula>
    </cfRule>
  </conditionalFormatting>
  <conditionalFormatting sqref="J6 M6 P6">
    <cfRule type="expression" dxfId="5126" priority="49" stopIfTrue="1">
      <formula>J6=""</formula>
    </cfRule>
    <cfRule type="expression" dxfId="5125" priority="50" stopIfTrue="1">
      <formula>OR(I4=0,I4=$K$130)</formula>
    </cfRule>
    <cfRule type="expression" dxfId="5124" priority="51" stopIfTrue="1">
      <formula>I4&lt;&gt;$K$130</formula>
    </cfRule>
  </conditionalFormatting>
  <conditionalFormatting sqref="E36:F36">
    <cfRule type="expression" dxfId="5123" priority="52" stopIfTrue="1">
      <formula>$C36="--"</formula>
    </cfRule>
    <cfRule type="expression" dxfId="5122" priority="53" stopIfTrue="1">
      <formula>AND($AA36=0,$AA36=0)</formula>
    </cfRule>
    <cfRule type="expression" dxfId="5121" priority="54" stopIfTrue="1">
      <formula>$AA36=0</formula>
    </cfRule>
  </conditionalFormatting>
  <conditionalFormatting sqref="I53">
    <cfRule type="expression" dxfId="5120" priority="55" stopIfTrue="1">
      <formula>ISERROR($G$155)</formula>
    </cfRule>
    <cfRule type="expression" dxfId="5119" priority="56" stopIfTrue="1">
      <formula>ISERROR($I53)</formula>
    </cfRule>
  </conditionalFormatting>
  <conditionalFormatting sqref="G39:H39">
    <cfRule type="expression" dxfId="5118" priority="57" stopIfTrue="1">
      <formula>ISERROR($G$155)</formula>
    </cfRule>
    <cfRule type="expression" dxfId="5117" priority="58" stopIfTrue="1">
      <formula>OR($I$163=0,G$4="")</formula>
    </cfRule>
    <cfRule type="expression" dxfId="5116" priority="59" stopIfTrue="1">
      <formula>OR(G$4="",ISERROR(G$155))</formula>
    </cfRule>
  </conditionalFormatting>
  <conditionalFormatting sqref="G97:H97">
    <cfRule type="expression" dxfId="5115" priority="60" stopIfTrue="1">
      <formula>AND(G$152=0,G$97&lt;&gt;0)</formula>
    </cfRule>
    <cfRule type="expression" dxfId="5114" priority="61" stopIfTrue="1">
      <formula>G$152=0</formula>
    </cfRule>
    <cfRule type="expression" dxfId="5113" priority="62" stopIfTrue="1">
      <formula>AND(G$96&lt;&gt;0,G$97="")</formula>
    </cfRule>
  </conditionalFormatting>
  <conditionalFormatting sqref="C101:F104">
    <cfRule type="cellIs" dxfId="5112" priority="63" stopIfTrue="1" operator="equal">
      <formula>"ERROR"</formula>
    </cfRule>
    <cfRule type="expression" dxfId="5111" priority="64" stopIfTrue="1">
      <formula>ISBLANK($B101)</formula>
    </cfRule>
    <cfRule type="expression" dxfId="5110" priority="65" stopIfTrue="1">
      <formula>SUM($G$152:$J$152)=0</formula>
    </cfRule>
  </conditionalFormatting>
  <conditionalFormatting sqref="K73">
    <cfRule type="expression" dxfId="5109" priority="66" stopIfTrue="1">
      <formula>ISERROR(K73)</formula>
    </cfRule>
    <cfRule type="expression" dxfId="5108" priority="67" stopIfTrue="1">
      <formula>I73=0</formula>
    </cfRule>
    <cfRule type="expression" dxfId="5107" priority="68" stopIfTrue="1">
      <formula>$C$61=0</formula>
    </cfRule>
  </conditionalFormatting>
  <conditionalFormatting sqref="G70:G71">
    <cfRule type="expression" dxfId="5106" priority="69" stopIfTrue="1">
      <formula>$C$61=0</formula>
    </cfRule>
    <cfRule type="expression" dxfId="5105" priority="70" stopIfTrue="1">
      <formula>SUM($G$69:$G$72)=0</formula>
    </cfRule>
    <cfRule type="expression" dxfId="5104" priority="71" stopIfTrue="1">
      <formula>AND(G70&lt;&gt;0,ISERROR(H70))</formula>
    </cfRule>
  </conditionalFormatting>
  <conditionalFormatting sqref="G72">
    <cfRule type="expression" dxfId="5103" priority="72" stopIfTrue="1">
      <formula>$C$61=0</formula>
    </cfRule>
    <cfRule type="expression" dxfId="5102" priority="73" stopIfTrue="1">
      <formula>SUM($G$69:$G$72)=0</formula>
    </cfRule>
    <cfRule type="expression" dxfId="5101" priority="74" stopIfTrue="1">
      <formula>AND(G72&lt;&gt;0,ISERROR(H72))</formula>
    </cfRule>
  </conditionalFormatting>
  <conditionalFormatting sqref="G69">
    <cfRule type="expression" dxfId="5100" priority="75" stopIfTrue="1">
      <formula>$C$61=0</formula>
    </cfRule>
    <cfRule type="expression" dxfId="5099" priority="76" stopIfTrue="1">
      <formula>SUM($G$69:$G$72)=0</formula>
    </cfRule>
    <cfRule type="expression" dxfId="5098" priority="77" stopIfTrue="1">
      <formula>AND(G69&lt;&gt;0,ISERROR(H69))</formula>
    </cfRule>
  </conditionalFormatting>
  <conditionalFormatting sqref="I74">
    <cfRule type="expression" dxfId="5097" priority="78" stopIfTrue="1">
      <formula>$C$61=0</formula>
    </cfRule>
    <cfRule type="expression" dxfId="5096" priority="79" stopIfTrue="1">
      <formula>I73=0</formula>
    </cfRule>
  </conditionalFormatting>
  <conditionalFormatting sqref="G89:K89">
    <cfRule type="cellIs" dxfId="5095" priority="80" stopIfTrue="1" operator="equal">
      <formula>0</formula>
    </cfRule>
    <cfRule type="expression" dxfId="5094" priority="81" stopIfTrue="1">
      <formula>G$88=0</formula>
    </cfRule>
  </conditionalFormatting>
  <conditionalFormatting sqref="I77:J78">
    <cfRule type="expression" dxfId="5093" priority="82" stopIfTrue="1">
      <formula>$C$61=0</formula>
    </cfRule>
    <cfRule type="expression" dxfId="5092" priority="83" stopIfTrue="1">
      <formula>ISERROR($I77)</formula>
    </cfRule>
    <cfRule type="cellIs" dxfId="5091" priority="84" stopIfTrue="1" operator="equal">
      <formula>0</formula>
    </cfRule>
  </conditionalFormatting>
  <conditionalFormatting sqref="I79:J79">
    <cfRule type="expression" dxfId="5090" priority="85" stopIfTrue="1">
      <formula>ISERROR($I79)</formula>
    </cfRule>
    <cfRule type="expression" dxfId="5089" priority="86" stopIfTrue="1">
      <formula>$C$61=0</formula>
    </cfRule>
    <cfRule type="cellIs" dxfId="5088" priority="87" stopIfTrue="1" operator="equal">
      <formula>0</formula>
    </cfRule>
  </conditionalFormatting>
  <conditionalFormatting sqref="L77:M78">
    <cfRule type="expression" dxfId="5087" priority="88" stopIfTrue="1">
      <formula>ISERROR($L77)</formula>
    </cfRule>
    <cfRule type="expression" dxfId="5086" priority="89" stopIfTrue="1">
      <formula>$C$61=0</formula>
    </cfRule>
  </conditionalFormatting>
  <conditionalFormatting sqref="G93:H93">
    <cfRule type="expression" dxfId="5085" priority="90" stopIfTrue="1">
      <formula>AND(G$155="X",G$93&lt;&gt;"")</formula>
    </cfRule>
  </conditionalFormatting>
  <conditionalFormatting sqref="G81:K81">
    <cfRule type="expression" dxfId="5084" priority="91" stopIfTrue="1">
      <formula>$C$61=0</formula>
    </cfRule>
    <cfRule type="expression" dxfId="5083" priority="92" stopIfTrue="1">
      <formula>G$89&lt;&gt;0</formula>
    </cfRule>
  </conditionalFormatting>
  <conditionalFormatting sqref="I88:J88">
    <cfRule type="expression" dxfId="5082" priority="93" stopIfTrue="1">
      <formula>ISERROR($I88)</formula>
    </cfRule>
    <cfRule type="cellIs" dxfId="5081" priority="94" stopIfTrue="1" operator="equal">
      <formula>0</formula>
    </cfRule>
    <cfRule type="expression" dxfId="5080" priority="95" stopIfTrue="1">
      <formula>$C$61=0</formula>
    </cfRule>
  </conditionalFormatting>
  <conditionalFormatting sqref="H69:H72">
    <cfRule type="expression" dxfId="5079" priority="96" stopIfTrue="1">
      <formula>ISERROR(H69)</formula>
    </cfRule>
    <cfRule type="expression" dxfId="5078" priority="97" stopIfTrue="1">
      <formula>$C$61=0</formula>
    </cfRule>
    <cfRule type="expression" dxfId="5077" priority="98" stopIfTrue="1">
      <formula>$H69=$E$163</formula>
    </cfRule>
  </conditionalFormatting>
  <conditionalFormatting sqref="G76:H76 K76">
    <cfRule type="expression" dxfId="5076" priority="99" stopIfTrue="1">
      <formula>ISERROR(G76)</formula>
    </cfRule>
    <cfRule type="expression" dxfId="5075" priority="100" stopIfTrue="1">
      <formula>$C$61=0</formula>
    </cfRule>
    <cfRule type="expression" dxfId="5074" priority="101" stopIfTrue="1">
      <formula>G$76=$E$163</formula>
    </cfRule>
  </conditionalFormatting>
  <conditionalFormatting sqref="I76:J76">
    <cfRule type="expression" dxfId="5073" priority="102" stopIfTrue="1">
      <formula>ISERROR($I76)</formula>
    </cfRule>
    <cfRule type="expression" dxfId="5072" priority="103" stopIfTrue="1">
      <formula>$C$61=0</formula>
    </cfRule>
    <cfRule type="expression" dxfId="5071" priority="104" stopIfTrue="1">
      <formula>$I76=$E$163</formula>
    </cfRule>
  </conditionalFormatting>
  <conditionalFormatting sqref="K69:K72">
    <cfRule type="expression" dxfId="5070" priority="105" stopIfTrue="1">
      <formula>OR(ISERROR(H69),ISERROR(K69))</formula>
    </cfRule>
    <cfRule type="expression" dxfId="5069" priority="106" stopIfTrue="1">
      <formula>AND($I69=0,$C$61&lt;&gt;0,$G69=0)</formula>
    </cfRule>
    <cfRule type="expression" dxfId="5068" priority="107" stopIfTrue="1">
      <formula>$C$61=0</formula>
    </cfRule>
  </conditionalFormatting>
  <conditionalFormatting sqref="L93">
    <cfRule type="expression" dxfId="5067" priority="108" stopIfTrue="1">
      <formula>AND(J$155="X",L$93&lt;&gt;"")</formula>
    </cfRule>
  </conditionalFormatting>
  <conditionalFormatting sqref="L97">
    <cfRule type="expression" dxfId="5066" priority="109" stopIfTrue="1">
      <formula>AND(J$152=0,L$97&lt;&gt;0)</formula>
    </cfRule>
    <cfRule type="expression" dxfId="5065" priority="110" stopIfTrue="1">
      <formula>J$152=0</formula>
    </cfRule>
  </conditionalFormatting>
  <conditionalFormatting sqref="K98:L98">
    <cfRule type="expression" dxfId="5064" priority="111" stopIfTrue="1">
      <formula>AND(I$152=0,K$98&lt;&gt;0)</formula>
    </cfRule>
    <cfRule type="expression" dxfId="5063" priority="112" stopIfTrue="1">
      <formula>I$152=0</formula>
    </cfRule>
  </conditionalFormatting>
  <conditionalFormatting sqref="N98">
    <cfRule type="expression" dxfId="5062" priority="113" stopIfTrue="1">
      <formula>AND(J$152=0,N$98&lt;&gt;0)</formula>
    </cfRule>
    <cfRule type="expression" dxfId="5061" priority="114" stopIfTrue="1">
      <formula>J$152=0</formula>
    </cfRule>
  </conditionalFormatting>
  <conditionalFormatting sqref="M93">
    <cfRule type="expression" dxfId="5060" priority="115" stopIfTrue="1">
      <formula>AND(J$155="X",M$93&lt;&gt;"")</formula>
    </cfRule>
  </conditionalFormatting>
  <conditionalFormatting sqref="M97">
    <cfRule type="expression" dxfId="5059" priority="116" stopIfTrue="1">
      <formula>AND(J$152=0,M$97&lt;&gt;0)</formula>
    </cfRule>
    <cfRule type="expression" dxfId="5058" priority="117" stopIfTrue="1">
      <formula>J$152=0</formula>
    </cfRule>
  </conditionalFormatting>
  <conditionalFormatting sqref="M98">
    <cfRule type="expression" dxfId="5057" priority="118" stopIfTrue="1">
      <formula>AND(J$152=0,M$98&lt;&gt;0)</formula>
    </cfRule>
    <cfRule type="expression" dxfId="5056" priority="119" stopIfTrue="1">
      <formula>J$152=0</formula>
    </cfRule>
  </conditionalFormatting>
  <conditionalFormatting sqref="K101:L101">
    <cfRule type="expression" dxfId="5055" priority="120" stopIfTrue="1">
      <formula>AND(I$152=0,K$101&lt;&gt;0)</formula>
    </cfRule>
    <cfRule type="expression" dxfId="5054" priority="121" stopIfTrue="1">
      <formula>AND($C101="ERROR",K101&gt;0)</formula>
    </cfRule>
    <cfRule type="expression" dxfId="5053" priority="122" stopIfTrue="1">
      <formula>I$152=0</formula>
    </cfRule>
  </conditionalFormatting>
  <conditionalFormatting sqref="K102:L102">
    <cfRule type="expression" dxfId="5052" priority="123" stopIfTrue="1">
      <formula>AND(I$152=0,K$102&lt;&gt;0)</formula>
    </cfRule>
    <cfRule type="expression" dxfId="5051" priority="124" stopIfTrue="1">
      <formula>AND($C102="ERROR",K102&gt;0)</formula>
    </cfRule>
    <cfRule type="expression" dxfId="5050" priority="125" stopIfTrue="1">
      <formula>I$152=0</formula>
    </cfRule>
  </conditionalFormatting>
  <conditionalFormatting sqref="K103:L103">
    <cfRule type="expression" dxfId="5049" priority="126" stopIfTrue="1">
      <formula>AND(I$152=0,K$103&lt;&gt;0)</formula>
    </cfRule>
    <cfRule type="expression" dxfId="5048" priority="127" stopIfTrue="1">
      <formula>AND($C103="ERROR",K103&gt;0)</formula>
    </cfRule>
    <cfRule type="expression" dxfId="5047" priority="128" stopIfTrue="1">
      <formula>I$152=0</formula>
    </cfRule>
  </conditionalFormatting>
  <conditionalFormatting sqref="K104:L104">
    <cfRule type="expression" dxfId="5046" priority="129" stopIfTrue="1">
      <formula>AND(I$152=0,K$104&lt;&gt;0)</formula>
    </cfRule>
    <cfRule type="expression" dxfId="5045" priority="130" stopIfTrue="1">
      <formula>AND($C104="ERROR",K104&gt;0)</formula>
    </cfRule>
    <cfRule type="expression" dxfId="5044" priority="131" stopIfTrue="1">
      <formula>I$152=0</formula>
    </cfRule>
  </conditionalFormatting>
  <conditionalFormatting sqref="N101">
    <cfRule type="expression" dxfId="5043" priority="132" stopIfTrue="1">
      <formula>AND(J$152=0,N$101&lt;&gt;0)</formula>
    </cfRule>
    <cfRule type="expression" dxfId="5042" priority="133" stopIfTrue="1">
      <formula>AND($C101="ERROR",N101&gt;0)</formula>
    </cfRule>
    <cfRule type="expression" dxfId="5041" priority="134" stopIfTrue="1">
      <formula>J$152=0</formula>
    </cfRule>
  </conditionalFormatting>
  <conditionalFormatting sqref="N102">
    <cfRule type="expression" dxfId="5040" priority="135" stopIfTrue="1">
      <formula>AND(J$152=0,N$102&lt;&gt;0)</formula>
    </cfRule>
    <cfRule type="expression" dxfId="5039" priority="136" stopIfTrue="1">
      <formula>AND($C102="ERROR",N102&gt;0)</formula>
    </cfRule>
    <cfRule type="expression" dxfId="5038" priority="137" stopIfTrue="1">
      <formula>J$152=0</formula>
    </cfRule>
  </conditionalFormatting>
  <conditionalFormatting sqref="N103">
    <cfRule type="expression" dxfId="5037" priority="138" stopIfTrue="1">
      <formula>AND(J$152=0,N$103&lt;&gt;0)</formula>
    </cfRule>
    <cfRule type="expression" dxfId="5036" priority="139" stopIfTrue="1">
      <formula>AND($C103="ERROR",N103&gt;0)</formula>
    </cfRule>
    <cfRule type="expression" dxfId="5035" priority="140" stopIfTrue="1">
      <formula>J$152=0</formula>
    </cfRule>
  </conditionalFormatting>
  <conditionalFormatting sqref="N104">
    <cfRule type="expression" dxfId="5034" priority="141" stopIfTrue="1">
      <formula>AND(J$152=0,N$104&lt;&gt;0)</formula>
    </cfRule>
    <cfRule type="expression" dxfId="5033" priority="142" stopIfTrue="1">
      <formula>AND($C104="ERROR",N104&gt;0)</formula>
    </cfRule>
    <cfRule type="expression" dxfId="5032" priority="143" stopIfTrue="1">
      <formula>J$152=0</formula>
    </cfRule>
  </conditionalFormatting>
  <conditionalFormatting sqref="M101">
    <cfRule type="expression" dxfId="5031" priority="144" stopIfTrue="1">
      <formula>AND(J$152=0,M$101&lt;&gt;0)</formula>
    </cfRule>
    <cfRule type="expression" dxfId="5030" priority="145" stopIfTrue="1">
      <formula>AND($C101="ERROR",M101&gt;0)</formula>
    </cfRule>
    <cfRule type="expression" dxfId="5029" priority="146" stopIfTrue="1">
      <formula>J$152=0</formula>
    </cfRule>
  </conditionalFormatting>
  <conditionalFormatting sqref="M102">
    <cfRule type="expression" dxfId="5028" priority="147" stopIfTrue="1">
      <formula>AND(J$152=0,M$102&lt;&gt;0)</formula>
    </cfRule>
    <cfRule type="expression" dxfId="5027" priority="148" stopIfTrue="1">
      <formula>AND($C102="ERROR",M102&gt;0)</formula>
    </cfRule>
    <cfRule type="expression" dxfId="5026" priority="149" stopIfTrue="1">
      <formula>J$152=0</formula>
    </cfRule>
  </conditionalFormatting>
  <conditionalFormatting sqref="M103">
    <cfRule type="expression" dxfId="5025" priority="150" stopIfTrue="1">
      <formula>AND(J$152=0,M$103&lt;&gt;0)</formula>
    </cfRule>
    <cfRule type="expression" dxfId="5024" priority="151" stopIfTrue="1">
      <formula>AND($C103="ERROR",M103&gt;0)</formula>
    </cfRule>
    <cfRule type="expression" dxfId="5023" priority="152" stopIfTrue="1">
      <formula>J$152=0</formula>
    </cfRule>
  </conditionalFormatting>
  <conditionalFormatting sqref="M104">
    <cfRule type="expression" dxfId="5022" priority="153" stopIfTrue="1">
      <formula>AND(J$152=0,M$104&lt;&gt;0)</formula>
    </cfRule>
    <cfRule type="expression" dxfId="5021" priority="154" stopIfTrue="1">
      <formula>AND($C104="ERROR",M104&gt;0)</formula>
    </cfRule>
    <cfRule type="expression" dxfId="5020" priority="155" stopIfTrue="1">
      <formula>J$152=0</formula>
    </cfRule>
  </conditionalFormatting>
  <conditionalFormatting sqref="K97">
    <cfRule type="expression" dxfId="5019" priority="156" stopIfTrue="1">
      <formula>AND(I$152=0,K$97&lt;&gt;0)</formula>
    </cfRule>
    <cfRule type="expression" dxfId="5018" priority="157" stopIfTrue="1">
      <formula>I$152=0</formula>
    </cfRule>
    <cfRule type="expression" dxfId="5017" priority="158" stopIfTrue="1">
      <formula>AND(K$96&lt;&gt;0,K$97="")</formula>
    </cfRule>
  </conditionalFormatting>
  <conditionalFormatting sqref="N97">
    <cfRule type="expression" dxfId="5016" priority="159" stopIfTrue="1">
      <formula>AND(J$152=0,N$97&lt;&gt;0)</formula>
    </cfRule>
    <cfRule type="expression" dxfId="5015" priority="160" stopIfTrue="1">
      <formula>J$152=0</formula>
    </cfRule>
    <cfRule type="expression" dxfId="5014" priority="161" stopIfTrue="1">
      <formula>AND(N$96&lt;&gt;0,N$97="")</formula>
    </cfRule>
  </conditionalFormatting>
  <conditionalFormatting sqref="G83:I83 K83">
    <cfRule type="expression" dxfId="5013" priority="162" stopIfTrue="1">
      <formula>$C$61=0</formula>
    </cfRule>
    <cfRule type="expression" dxfId="5012" priority="163" stopIfTrue="1">
      <formula>G85=$M$135</formula>
    </cfRule>
    <cfRule type="cellIs" dxfId="5011" priority="164" stopIfTrue="1" operator="equal">
      <formula>0</formula>
    </cfRule>
  </conditionalFormatting>
  <conditionalFormatting sqref="G84:I84 K84">
    <cfRule type="expression" dxfId="5010" priority="165" stopIfTrue="1">
      <formula>$C$61=0</formula>
    </cfRule>
    <cfRule type="expression" dxfId="5009" priority="166" stopIfTrue="1">
      <formula>G85=$M$135</formula>
    </cfRule>
    <cfRule type="cellIs" dxfId="5008" priority="167" stopIfTrue="1" operator="equal">
      <formula>0</formula>
    </cfRule>
  </conditionalFormatting>
  <conditionalFormatting sqref="K86 G86:H86">
    <cfRule type="expression" dxfId="5007" priority="168" stopIfTrue="1">
      <formula>$C$61=0</formula>
    </cfRule>
    <cfRule type="expression" dxfId="5006" priority="169" stopIfTrue="1">
      <formula>G85=$M$135</formula>
    </cfRule>
  </conditionalFormatting>
  <conditionalFormatting sqref="G82:K82">
    <cfRule type="expression" dxfId="5005" priority="170" stopIfTrue="1">
      <formula>$C$61=0</formula>
    </cfRule>
    <cfRule type="expression" dxfId="5004" priority="171" stopIfTrue="1">
      <formula>G85=$M$135</formula>
    </cfRule>
    <cfRule type="cellIs" dxfId="5003" priority="172" stopIfTrue="1" operator="equal">
      <formula>0</formula>
    </cfRule>
  </conditionalFormatting>
  <conditionalFormatting sqref="I86:J86">
    <cfRule type="expression" dxfId="5002" priority="173" stopIfTrue="1">
      <formula>$C$61=0</formula>
    </cfRule>
    <cfRule type="expression" dxfId="5001" priority="174" stopIfTrue="1">
      <formula>$I85=$M$135</formula>
    </cfRule>
  </conditionalFormatting>
  <conditionalFormatting sqref="G87:H87 K87">
    <cfRule type="expression" dxfId="5000" priority="175" stopIfTrue="1">
      <formula>G85=$M$135</formula>
    </cfRule>
    <cfRule type="expression" dxfId="4999" priority="176" stopIfTrue="1">
      <formula>$C$61=0</formula>
    </cfRule>
  </conditionalFormatting>
  <conditionalFormatting sqref="I87:J87">
    <cfRule type="expression" dxfId="4998" priority="177" stopIfTrue="1">
      <formula>$I85=$M$135</formula>
    </cfRule>
    <cfRule type="expression" dxfId="4997" priority="178" stopIfTrue="1">
      <formula>$C$61=0</formula>
    </cfRule>
  </conditionalFormatting>
  <conditionalFormatting sqref="K93">
    <cfRule type="expression" dxfId="4996" priority="179" stopIfTrue="1">
      <formula>AND(I$155="X",K$93&lt;&gt;"")</formula>
    </cfRule>
  </conditionalFormatting>
  <conditionalFormatting sqref="N93">
    <cfRule type="expression" dxfId="4995" priority="180" stopIfTrue="1">
      <formula>AND(J$155="X",N$93&lt;&gt;"")</formula>
    </cfRule>
  </conditionalFormatting>
  <conditionalFormatting sqref="L69:M72">
    <cfRule type="expression" dxfId="4994" priority="181" stopIfTrue="1">
      <formula>OR(ISERROR($L69),$H69="")</formula>
    </cfRule>
    <cfRule type="expression" dxfId="4993" priority="182" stopIfTrue="1">
      <formula>$C$61=0</formula>
    </cfRule>
    <cfRule type="expression" dxfId="4992" priority="183" stopIfTrue="1">
      <formula>$H69=$E$163</formula>
    </cfRule>
  </conditionalFormatting>
  <conditionalFormatting sqref="I85:J85">
    <cfRule type="expression" dxfId="4991" priority="184" stopIfTrue="1">
      <formula>$C$61=0</formula>
    </cfRule>
    <cfRule type="expression" dxfId="4990" priority="185" stopIfTrue="1">
      <formula>$I85=$M$135</formula>
    </cfRule>
  </conditionalFormatting>
  <conditionalFormatting sqref="I51:J52 L51:M52">
    <cfRule type="expression" dxfId="4989" priority="186" stopIfTrue="1">
      <formula>ISERROR(I55)</formula>
    </cfRule>
  </conditionalFormatting>
  <conditionalFormatting sqref="K51:K52">
    <cfRule type="expression" dxfId="4988" priority="187" stopIfTrue="1">
      <formula>ISERROR(G51)</formula>
    </cfRule>
  </conditionalFormatting>
  <conditionalFormatting sqref="I7:I35 I38:I39">
    <cfRule type="expression" dxfId="4987" priority="188" stopIfTrue="1">
      <formula>OR($I$4=0,$I$4&lt;&gt;$K$130)</formula>
    </cfRule>
    <cfRule type="expression" dxfId="4986" priority="189" stopIfTrue="1">
      <formula>$AA7&lt;&gt;0</formula>
    </cfRule>
  </conditionalFormatting>
  <conditionalFormatting sqref="J7:J35 J38:J39">
    <cfRule type="expression" dxfId="4985" priority="190" stopIfTrue="1">
      <formula>OR($I$4=0,$I$4&lt;&gt;$K$130)</formula>
    </cfRule>
    <cfRule type="expression" dxfId="4984" priority="191" stopIfTrue="1">
      <formula>$AA7&lt;&gt;0</formula>
    </cfRule>
  </conditionalFormatting>
  <conditionalFormatting sqref="L7:L35 L38:L39">
    <cfRule type="expression" dxfId="4983" priority="192" stopIfTrue="1">
      <formula>OR($L$4=0,$L$4&lt;&gt;$K$130)</formula>
    </cfRule>
    <cfRule type="expression" dxfId="4982" priority="193" stopIfTrue="1">
      <formula>$AA7&lt;&gt;0</formula>
    </cfRule>
  </conditionalFormatting>
  <conditionalFormatting sqref="M7:M35 M38:M39">
    <cfRule type="expression" dxfId="4981" priority="194" stopIfTrue="1">
      <formula>OR($L$4=0,$L$4&lt;&gt;$K$130)</formula>
    </cfRule>
    <cfRule type="expression" dxfId="4980" priority="195" stopIfTrue="1">
      <formula>$AA7&lt;&gt;0</formula>
    </cfRule>
  </conditionalFormatting>
  <conditionalFormatting sqref="O7:O35 O38:O39">
    <cfRule type="expression" dxfId="4979" priority="196" stopIfTrue="1">
      <formula>OR($O$4=0,$O$4&lt;&gt;$K$130)</formula>
    </cfRule>
    <cfRule type="expression" dxfId="4978" priority="197" stopIfTrue="1">
      <formula>$AA7&lt;&gt;0</formula>
    </cfRule>
  </conditionalFormatting>
  <conditionalFormatting sqref="P7:P35 P38:P39">
    <cfRule type="expression" dxfId="4977" priority="198" stopIfTrue="1">
      <formula>OR($O$4=0,$O$4&lt;&gt;$K$130)</formula>
    </cfRule>
    <cfRule type="expression" dxfId="4976" priority="199" stopIfTrue="1">
      <formula>$AA7&lt;&gt;0</formula>
    </cfRule>
  </conditionalFormatting>
  <conditionalFormatting sqref="I36 L36 O36">
    <cfRule type="expression" dxfId="4975" priority="200" stopIfTrue="1">
      <formula>OR(I$4=0,I$4&lt;&gt;$K$130)</formula>
    </cfRule>
    <cfRule type="expression" dxfId="4974" priority="201" stopIfTrue="1">
      <formula>$AA36&lt;&gt;0</formula>
    </cfRule>
    <cfRule type="expression" dxfId="4973" priority="202" stopIfTrue="1">
      <formula>$C36="--"</formula>
    </cfRule>
  </conditionalFormatting>
  <conditionalFormatting sqref="I37 L37 O37">
    <cfRule type="expression" dxfId="4972" priority="203" stopIfTrue="1">
      <formula>OR(I$4=0,I$4&lt;&gt;$K$130)</formula>
    </cfRule>
    <cfRule type="expression" dxfId="4971" priority="204" stopIfTrue="1">
      <formula>$AA37&lt;&gt;0</formula>
    </cfRule>
    <cfRule type="expression" dxfId="4970" priority="205" stopIfTrue="1">
      <formula>$C$36&lt;&gt;"--"</formula>
    </cfRule>
  </conditionalFormatting>
  <conditionalFormatting sqref="J36 M36 P36">
    <cfRule type="expression" dxfId="4969" priority="206" stopIfTrue="1">
      <formula>OR(I$4=0,I$4&lt;&gt;$K$130)</formula>
    </cfRule>
    <cfRule type="expression" dxfId="4968" priority="207" stopIfTrue="1">
      <formula>$AA36&lt;&gt;0</formula>
    </cfRule>
    <cfRule type="expression" dxfId="4967" priority="208" stopIfTrue="1">
      <formula>$C36="--"</formula>
    </cfRule>
  </conditionalFormatting>
  <conditionalFormatting sqref="J37 M37 P37">
    <cfRule type="expression" dxfId="4966" priority="209" stopIfTrue="1">
      <formula>OR(I$4=0,I$4&lt;&gt;$K$130)</formula>
    </cfRule>
    <cfRule type="expression" dxfId="4965" priority="210" stopIfTrue="1">
      <formula>$AA37&lt;&gt;0</formula>
    </cfRule>
    <cfRule type="expression" dxfId="4964" priority="211" stopIfTrue="1">
      <formula>$C$36&lt;&gt;"--"</formula>
    </cfRule>
  </conditionalFormatting>
  <conditionalFormatting sqref="K39">
    <cfRule type="expression" dxfId="4963" priority="212" stopIfTrue="1">
      <formula>ISERROR($G$155)</formula>
    </cfRule>
    <cfRule type="expression" dxfId="4962" priority="213" stopIfTrue="1">
      <formula>OR($I$163=0,K$4="")</formula>
    </cfRule>
    <cfRule type="expression" dxfId="4961" priority="214" stopIfTrue="1">
      <formula>OR(K$4="",ISERROR(I$155))</formula>
    </cfRule>
  </conditionalFormatting>
  <conditionalFormatting sqref="N39">
    <cfRule type="expression" dxfId="4960" priority="215" stopIfTrue="1">
      <formula>ISERROR($G$155)</formula>
    </cfRule>
    <cfRule type="expression" dxfId="4959" priority="216" stopIfTrue="1">
      <formula>OR($I$163=0,N$4="")</formula>
    </cfRule>
    <cfRule type="expression" dxfId="4958" priority="217" stopIfTrue="1">
      <formula>OR(N$4="",ISERROR(J$155))</formula>
    </cfRule>
  </conditionalFormatting>
  <conditionalFormatting sqref="K37:K38 G37:H38 G8:H35 K8:K35 N8:N35 N37:N38">
    <cfRule type="expression" dxfId="4957" priority="218" stopIfTrue="1">
      <formula>$AA8=$Y$6</formula>
    </cfRule>
    <cfRule type="expression" dxfId="4956" priority="219" stopIfTrue="1">
      <formula>OR($AA8=0,$E8=$E$162)</formula>
    </cfRule>
  </conditionalFormatting>
  <conditionalFormatting sqref="G36:H36 K36 N36">
    <cfRule type="expression" dxfId="4955" priority="220" stopIfTrue="1">
      <formula>$C36="--"</formula>
    </cfRule>
    <cfRule type="expression" dxfId="4954" priority="221" stopIfTrue="1">
      <formula>OR($AA36=0,$E36=$E$162)</formula>
    </cfRule>
  </conditionalFormatting>
  <conditionalFormatting sqref="C8:D38">
    <cfRule type="expression" dxfId="4953" priority="222" stopIfTrue="1">
      <formula>$AA8=$Y$6</formula>
    </cfRule>
    <cfRule type="expression" dxfId="4952" priority="223" stopIfTrue="1">
      <formula>AND($L$163=0,OR($V8&lt;$B$162,$V8&gt;$B$163))</formula>
    </cfRule>
    <cfRule type="expression" dxfId="4951" priority="224" stopIfTrue="1">
      <formula>AND($AA8=0,$E8=0)</formula>
    </cfRule>
  </conditionalFormatting>
  <conditionalFormatting sqref="G46:H46 K46 N46">
    <cfRule type="expression" dxfId="4950" priority="225" stopIfTrue="1">
      <formula>G$42=$K$134</formula>
    </cfRule>
    <cfRule type="expression" dxfId="4949" priority="226" stopIfTrue="1">
      <formula>OR($I$163=0,G$4="")</formula>
    </cfRule>
    <cfRule type="expression" dxfId="4948" priority="227" stopIfTrue="1">
      <formula>G44=""</formula>
    </cfRule>
  </conditionalFormatting>
  <conditionalFormatting sqref="G47:H47 K47 N47">
    <cfRule type="expression" dxfId="4947" priority="228" stopIfTrue="1">
      <formula>OR(ISERROR(G47),G$4="")</formula>
    </cfRule>
    <cfRule type="expression" dxfId="4946" priority="229" stopIfTrue="1">
      <formula>G$42=$K$134</formula>
    </cfRule>
    <cfRule type="expression" dxfId="4945" priority="230" stopIfTrue="1">
      <formula>AND(G$46&gt;0,OR(G$99=$E$152,G$99=$K$152))</formula>
    </cfRule>
  </conditionalFormatting>
  <conditionalFormatting sqref="G48:H48 K48 N48">
    <cfRule type="expression" dxfId="4944" priority="231" stopIfTrue="1">
      <formula>OR(ISERROR(G48),G$4="")</formula>
    </cfRule>
    <cfRule type="expression" dxfId="4943" priority="232" stopIfTrue="1">
      <formula>G$42=$K$134</formula>
    </cfRule>
    <cfRule type="expression" dxfId="4942" priority="233" stopIfTrue="1">
      <formula>AND(G$46&gt;0,OR(G$99=$E$152,G$99=$K$152,COUNTIF($C$101:$F$104,"ERROR")&gt;0,G$105=$E$152,G$105=$K$152))</formula>
    </cfRule>
  </conditionalFormatting>
  <conditionalFormatting sqref="I69:J72">
    <cfRule type="expression" dxfId="4941" priority="234" stopIfTrue="1">
      <formula>$C$61=0</formula>
    </cfRule>
    <cfRule type="expression" dxfId="4940" priority="235" stopIfTrue="1">
      <formula>$Z69=0</formula>
    </cfRule>
    <cfRule type="expression" dxfId="4939" priority="236" stopIfTrue="1">
      <formula>$I69=0</formula>
    </cfRule>
  </conditionalFormatting>
  <conditionalFormatting sqref="G61:H62 K61:K62 N61:N62">
    <cfRule type="expression" dxfId="4938" priority="237" stopIfTrue="1">
      <formula>$C$61=0</formula>
    </cfRule>
    <cfRule type="expression" dxfId="4937" priority="238" stopIfTrue="1">
      <formula>G$62=$L$135</formula>
    </cfRule>
  </conditionalFormatting>
  <conditionalFormatting sqref="M166:N166">
    <cfRule type="expression" dxfId="4936" priority="239" stopIfTrue="1">
      <formula>ISBLANK($M166)</formula>
    </cfRule>
  </conditionalFormatting>
  <conditionalFormatting sqref="F107 N108:N109 F108:I109 K108:K109">
    <cfRule type="expression" dxfId="4935" priority="240" stopIfTrue="1">
      <formula>$L$108=0</formula>
    </cfRule>
  </conditionalFormatting>
  <conditionalFormatting sqref="G116:J118 K121:K122 L108:M109">
    <cfRule type="cellIs" dxfId="4934" priority="241" stopIfTrue="1" operator="equal">
      <formula>0</formula>
    </cfRule>
  </conditionalFormatting>
  <conditionalFormatting sqref="L113:M121">
    <cfRule type="expression" dxfId="4933" priority="242" stopIfTrue="1">
      <formula>$L$109=0</formula>
    </cfRule>
  </conditionalFormatting>
  <conditionalFormatting sqref="L122:M122">
    <cfRule type="expression" dxfId="4932" priority="243" stopIfTrue="1">
      <formula>$K$122=0</formula>
    </cfRule>
  </conditionalFormatting>
  <conditionalFormatting sqref="K53:K54 H53:H54">
    <cfRule type="expression" dxfId="4931" priority="244" stopIfTrue="1">
      <formula>ISERROR($G$155)</formula>
    </cfRule>
  </conditionalFormatting>
  <conditionalFormatting sqref="L180 P46 L193 L206 L215:L217">
    <cfRule type="expression" dxfId="4930" priority="245" stopIfTrue="1">
      <formula>$O$44=""</formula>
    </cfRule>
    <cfRule type="expression" dxfId="4929" priority="246" stopIfTrue="1">
      <formula>$O$44=0</formula>
    </cfRule>
  </conditionalFormatting>
  <conditionalFormatting sqref="G180:I180 K180 G215:J217 G193:I193 K206 K193 G206:I206">
    <cfRule type="expression" dxfId="4928" priority="247" stopIfTrue="1">
      <formula>ISERROR(G180)</formula>
    </cfRule>
    <cfRule type="cellIs" dxfId="4927" priority="248" stopIfTrue="1" operator="equal">
      <formula>0</formula>
    </cfRule>
  </conditionalFormatting>
  <conditionalFormatting sqref="G183:K183 G170:K170 G196:K196 G121:J122">
    <cfRule type="cellIs" dxfId="4926" priority="249" stopIfTrue="1" operator="equal">
      <formula>0</formula>
    </cfRule>
  </conditionalFormatting>
  <conditionalFormatting sqref="C126:P126">
    <cfRule type="expression" dxfId="4925" priority="250" stopIfTrue="1">
      <formula>ISERROR($H$163)</formula>
    </cfRule>
  </conditionalFormatting>
  <conditionalFormatting sqref="G53:G54">
    <cfRule type="expression" dxfId="4924" priority="251" stopIfTrue="1">
      <formula>ISERROR($G$155)</formula>
    </cfRule>
    <cfRule type="expression" dxfId="4923" priority="252" stopIfTrue="1">
      <formula>ISERROR(G53)</formula>
    </cfRule>
  </conditionalFormatting>
  <conditionalFormatting sqref="O95:P95">
    <cfRule type="expression" dxfId="4922" priority="253" stopIfTrue="1">
      <formula>$O$44=""</formula>
    </cfRule>
  </conditionalFormatting>
  <conditionalFormatting sqref="O94:P94">
    <cfRule type="expression" dxfId="4921" priority="254" stopIfTrue="1">
      <formula>$O$44=""</formula>
    </cfRule>
  </conditionalFormatting>
  <conditionalFormatting sqref="AA8:AA38 O44:P44 G58 C58 I44:J44 L44:M44 G152:J152 L168 E6:F6 K42 N42 G42:H42">
    <cfRule type="cellIs" dxfId="4920" priority="255" stopIfTrue="1" operator="equal">
      <formula>0</formula>
    </cfRule>
  </conditionalFormatting>
  <conditionalFormatting sqref="W8:Z38 R8:U36 AB8:AE38 AG8:AK36 AM8:AQ36 AS8:AW36 AY8:AY36">
    <cfRule type="cellIs" dxfId="4919" priority="256" stopIfTrue="1" operator="equal">
      <formula>0</formula>
    </cfRule>
  </conditionalFormatting>
  <conditionalFormatting sqref="O45:P45 L169">
    <cfRule type="expression" dxfId="4918" priority="257" stopIfTrue="1">
      <formula>$O$4=$K$130</formula>
    </cfRule>
    <cfRule type="expression" dxfId="4917" priority="258" stopIfTrue="1">
      <formula>$O$44=0</formula>
    </cfRule>
  </conditionalFormatting>
  <conditionalFormatting sqref="E47:F48">
    <cfRule type="expression" dxfId="4916" priority="259" stopIfTrue="1">
      <formula>ISERROR(E47)</formula>
    </cfRule>
  </conditionalFormatting>
  <conditionalFormatting sqref="G168:I169 K168:K169 E197:E198 E206:F206 E171:E172 E180:F180 E184:E185 E193:F193 G94:N95 N44:N45 G44:H45 K44:K45 E221 G51:H52">
    <cfRule type="expression" dxfId="4915" priority="260" stopIfTrue="1">
      <formula>ISERROR(E44)</formula>
    </cfRule>
  </conditionalFormatting>
  <conditionalFormatting sqref="G167:I167 K167 N43 G43:H43 K43">
    <cfRule type="cellIs" dxfId="4914" priority="261" stopIfTrue="1" operator="equal">
      <formula>0</formula>
    </cfRule>
  </conditionalFormatting>
  <conditionalFormatting sqref="G99:N99 G105:N105 H139:H141 H145:H148">
    <cfRule type="cellIs" dxfId="4913" priority="262" stopIfTrue="1" operator="equal">
      <formula>"OK"</formula>
    </cfRule>
  </conditionalFormatting>
  <conditionalFormatting sqref="I139:I141 I145:I148">
    <cfRule type="cellIs" dxfId="4912" priority="263" stopIfTrue="1" operator="greaterThan">
      <formula>0</formula>
    </cfRule>
  </conditionalFormatting>
  <conditionalFormatting sqref="F110:I112 K110:M112">
    <cfRule type="expression" dxfId="4911" priority="264" stopIfTrue="1">
      <formula>$L$108=0</formula>
    </cfRule>
  </conditionalFormatting>
  <conditionalFormatting sqref="C195:H195">
    <cfRule type="expression" dxfId="4910" priority="265" stopIfTrue="1">
      <formula>ISERROR($C$195)</formula>
    </cfRule>
  </conditionalFormatting>
  <conditionalFormatting sqref="C2:J2">
    <cfRule type="expression" dxfId="4909" priority="266" stopIfTrue="1">
      <formula>$I$163=0</formula>
    </cfRule>
  </conditionalFormatting>
  <conditionalFormatting sqref="L96:M96 I96:J96">
    <cfRule type="expression" dxfId="4908" priority="267" stopIfTrue="1">
      <formula>ISERROR($G$155)</formula>
    </cfRule>
    <cfRule type="expression" dxfId="4907" priority="268" stopIfTrue="1">
      <formula>I96=0</formula>
    </cfRule>
  </conditionalFormatting>
  <conditionalFormatting sqref="N7 G7:H7 K7">
    <cfRule type="expression" dxfId="4906" priority="269" stopIfTrue="1">
      <formula>$I$163=0</formula>
    </cfRule>
  </conditionalFormatting>
  <conditionalFormatting sqref="I48:J48">
    <cfRule type="expression" dxfId="4905" priority="270" stopIfTrue="1">
      <formula>$I$4=$K$130</formula>
    </cfRule>
  </conditionalFormatting>
  <conditionalFormatting sqref="L48:M48">
    <cfRule type="expression" dxfId="4904" priority="271" stopIfTrue="1">
      <formula>$L$4=$K$130</formula>
    </cfRule>
  </conditionalFormatting>
  <conditionalFormatting sqref="I45:J45">
    <cfRule type="expression" dxfId="4903" priority="272" stopIfTrue="1">
      <formula>$I$4=$K$130</formula>
    </cfRule>
    <cfRule type="expression" dxfId="4902" priority="273" stopIfTrue="1">
      <formula>$I$44=0</formula>
    </cfRule>
  </conditionalFormatting>
  <conditionalFormatting sqref="L45:M45">
    <cfRule type="expression" dxfId="4901" priority="274" stopIfTrue="1">
      <formula>$L$4=$K$130</formula>
    </cfRule>
    <cfRule type="expression" dxfId="4900" priority="275" stopIfTrue="1">
      <formula>$L$44=0</formula>
    </cfRule>
  </conditionalFormatting>
  <conditionalFormatting sqref="L53">
    <cfRule type="expression" dxfId="4899" priority="276" stopIfTrue="1">
      <formula>ISERROR($G$155)</formula>
    </cfRule>
    <cfRule type="expression" dxfId="4898" priority="277" stopIfTrue="1">
      <formula>ISERROR($L$53)</formula>
    </cfRule>
  </conditionalFormatting>
  <conditionalFormatting sqref="O96:P98 C97:F98">
    <cfRule type="expression" dxfId="4897" priority="278" stopIfTrue="1">
      <formula>SUM($G$152:$J$152)=0</formula>
    </cfRule>
  </conditionalFormatting>
  <conditionalFormatting sqref="G155:J155">
    <cfRule type="cellIs" dxfId="4896" priority="279" stopIfTrue="1" operator="equal">
      <formula>0</formula>
    </cfRule>
  </conditionalFormatting>
  <conditionalFormatting sqref="G157:J159">
    <cfRule type="cellIs" dxfId="4895" priority="280" stopIfTrue="1" operator="equal">
      <formula>$E$157</formula>
    </cfRule>
  </conditionalFormatting>
  <conditionalFormatting sqref="Q91:S91">
    <cfRule type="expression" dxfId="4894" priority="281" stopIfTrue="1">
      <formula>SUM($G$152:$J$152)=0</formula>
    </cfRule>
  </conditionalFormatting>
  <conditionalFormatting sqref="I4:J5">
    <cfRule type="expression" dxfId="4893" priority="282" stopIfTrue="1">
      <formula>$I$6=""</formula>
    </cfRule>
    <cfRule type="cellIs" dxfId="4892" priority="283" stopIfTrue="1" operator="equal">
      <formula>0</formula>
    </cfRule>
    <cfRule type="expression" dxfId="4891" priority="284" stopIfTrue="1">
      <formula>$I$4=$K$130</formula>
    </cfRule>
  </conditionalFormatting>
  <conditionalFormatting sqref="L4:M5">
    <cfRule type="expression" dxfId="4890" priority="285" stopIfTrue="1">
      <formula>$L$6=""</formula>
    </cfRule>
    <cfRule type="cellIs" dxfId="4889" priority="286" stopIfTrue="1" operator="equal">
      <formula>0</formula>
    </cfRule>
    <cfRule type="expression" dxfId="4888" priority="287" stopIfTrue="1">
      <formula>$L$4=$K$130</formula>
    </cfRule>
  </conditionalFormatting>
  <conditionalFormatting sqref="O4:P5">
    <cfRule type="expression" dxfId="4887" priority="288" stopIfTrue="1">
      <formula>$O$6=""</formula>
    </cfRule>
    <cfRule type="cellIs" dxfId="4886" priority="289" stopIfTrue="1" operator="equal">
      <formula>0</formula>
    </cfRule>
    <cfRule type="expression" dxfId="4885" priority="290" stopIfTrue="1">
      <formula>$O$4=$K$130</formula>
    </cfRule>
  </conditionalFormatting>
  <conditionalFormatting sqref="E46:F46">
    <cfRule type="expression" dxfId="4884" priority="291" stopIfTrue="1">
      <formula>ISERROR($E$46)</formula>
    </cfRule>
  </conditionalFormatting>
  <conditionalFormatting sqref="I46">
    <cfRule type="expression" dxfId="4883" priority="292" stopIfTrue="1">
      <formula>$I$44=""</formula>
    </cfRule>
    <cfRule type="expression" dxfId="4882" priority="293" stopIfTrue="1">
      <formula>$I$44=0</formula>
    </cfRule>
  </conditionalFormatting>
  <conditionalFormatting sqref="L46">
    <cfRule type="expression" dxfId="4881" priority="294" stopIfTrue="1">
      <formula>$L$44=""</formula>
    </cfRule>
    <cfRule type="expression" dxfId="4880" priority="295" stopIfTrue="1">
      <formula>$L$44=0</formula>
    </cfRule>
  </conditionalFormatting>
  <conditionalFormatting sqref="O46">
    <cfRule type="expression" dxfId="4879" priority="296" stopIfTrue="1">
      <formula>$O$44=""</formula>
    </cfRule>
    <cfRule type="expression" dxfId="4878" priority="297" stopIfTrue="1">
      <formula>$O$44=0</formula>
    </cfRule>
  </conditionalFormatting>
  <conditionalFormatting sqref="J46">
    <cfRule type="expression" dxfId="4877" priority="298" stopIfTrue="1">
      <formula>$I$44=""</formula>
    </cfRule>
    <cfRule type="expression" dxfId="4876" priority="299" stopIfTrue="1">
      <formula>$I$44=0</formula>
    </cfRule>
  </conditionalFormatting>
  <conditionalFormatting sqref="M46">
    <cfRule type="expression" dxfId="4875" priority="300" stopIfTrue="1">
      <formula>$L$44=""</formula>
    </cfRule>
    <cfRule type="expression" dxfId="4874" priority="301" stopIfTrue="1">
      <formula>$L$44=0</formula>
    </cfRule>
  </conditionalFormatting>
  <conditionalFormatting sqref="G96:H96 K96 N96">
    <cfRule type="expression" dxfId="4873" priority="302" stopIfTrue="1">
      <formula>ISERROR($G$155)</formula>
    </cfRule>
    <cfRule type="expression" dxfId="4872" priority="303" stopIfTrue="1">
      <formula>G96=0</formula>
    </cfRule>
    <cfRule type="expression" dxfId="4871" priority="304" stopIfTrue="1">
      <formula>G96&lt;&gt;0</formula>
    </cfRule>
  </conditionalFormatting>
  <conditionalFormatting sqref="M168:N168">
    <cfRule type="expression" dxfId="4870" priority="305" stopIfTrue="1">
      <formula>$M$168=""</formula>
    </cfRule>
  </conditionalFormatting>
  <conditionalFormatting sqref="G63:H63 K63 N63">
    <cfRule type="expression" dxfId="4869" priority="306" stopIfTrue="1">
      <formula>$C$61=0</formula>
    </cfRule>
    <cfRule type="cellIs" dxfId="4868" priority="307" stopIfTrue="1" operator="equal">
      <formula>0</formula>
    </cfRule>
  </conditionalFormatting>
  <conditionalFormatting sqref="F63 F65 F73 F76:F79 F86:F89 N78:N79 N88 L86:N87 K68 C68:C69 I67:J68">
    <cfRule type="expression" dxfId="4867" priority="308" stopIfTrue="1">
      <formula>$C$61=0</formula>
    </cfRule>
  </conditionalFormatting>
  <conditionalFormatting sqref="G65">
    <cfRule type="expression" dxfId="4866" priority="309" stopIfTrue="1">
      <formula>$C$61=0</formula>
    </cfRule>
    <cfRule type="cellIs" dxfId="4865" priority="310" stopIfTrue="1" operator="equal">
      <formula>0</formula>
    </cfRule>
  </conditionalFormatting>
  <conditionalFormatting sqref="N66:N67 N74:N77 L68:N68">
    <cfRule type="expression" dxfId="4864" priority="311" stopIfTrue="1">
      <formula>$C$61=0</formula>
    </cfRule>
  </conditionalFormatting>
  <conditionalFormatting sqref="G68:H68">
    <cfRule type="expression" dxfId="4863" priority="312" stopIfTrue="1">
      <formula>ISERROR(G68)</formula>
    </cfRule>
    <cfRule type="expression" dxfId="4862" priority="313" stopIfTrue="1">
      <formula>$C$61=0</formula>
    </cfRule>
  </conditionalFormatting>
  <conditionalFormatting sqref="N73">
    <cfRule type="expression" dxfId="4861" priority="314" stopIfTrue="1">
      <formula>$C$61=0</formula>
    </cfRule>
    <cfRule type="expression" dxfId="4860" priority="315" stopIfTrue="1">
      <formula>ISERROR(N73)</formula>
    </cfRule>
  </conditionalFormatting>
  <conditionalFormatting sqref="O73 O79 O88">
    <cfRule type="expression" dxfId="4859" priority="316" stopIfTrue="1">
      <formula>O73=$E$163</formula>
    </cfRule>
    <cfRule type="expression" dxfId="4858" priority="317" stopIfTrue="1">
      <formula>$C$61=0</formula>
    </cfRule>
    <cfRule type="expression" dxfId="4857" priority="318" stopIfTrue="1">
      <formula>ISERROR(O73)</formula>
    </cfRule>
  </conditionalFormatting>
  <conditionalFormatting sqref="C67">
    <cfRule type="expression" dxfId="4856" priority="319" stopIfTrue="1">
      <formula>$C$61=0</formula>
    </cfRule>
  </conditionalFormatting>
  <conditionalFormatting sqref="G73 I73">
    <cfRule type="expression" dxfId="4855" priority="320" stopIfTrue="1">
      <formula>ISERROR(G73)</formula>
    </cfRule>
    <cfRule type="expression" dxfId="4854" priority="321" stopIfTrue="1">
      <formula>G73=0</formula>
    </cfRule>
    <cfRule type="expression" dxfId="4853" priority="322" stopIfTrue="1">
      <formula>$C$61=0</formula>
    </cfRule>
  </conditionalFormatting>
  <conditionalFormatting sqref="G77:H78 K77:K78">
    <cfRule type="expression" dxfId="4852" priority="323" stopIfTrue="1">
      <formula>$C$61=0</formula>
    </cfRule>
    <cfRule type="expression" dxfId="4851" priority="324" stopIfTrue="1">
      <formula>ISERROR(G77)</formula>
    </cfRule>
    <cfRule type="cellIs" dxfId="4850" priority="325" stopIfTrue="1" operator="equal">
      <formula>0</formula>
    </cfRule>
  </conditionalFormatting>
  <conditionalFormatting sqref="G79:H79 K79">
    <cfRule type="expression" dxfId="4849" priority="326" stopIfTrue="1">
      <formula>ISERROR(G79)</formula>
    </cfRule>
    <cfRule type="expression" dxfId="4848" priority="327" stopIfTrue="1">
      <formula>$C$61=0</formula>
    </cfRule>
    <cfRule type="cellIs" dxfId="4847" priority="328" stopIfTrue="1" operator="equal">
      <formula>0</formula>
    </cfRule>
  </conditionalFormatting>
  <conditionalFormatting sqref="N69:N72">
    <cfRule type="expression" dxfId="4846" priority="329" stopIfTrue="1">
      <formula>$C$61=0</formula>
    </cfRule>
    <cfRule type="cellIs" dxfId="4845" priority="330" stopIfTrue="1" operator="equal">
      <formula>0</formula>
    </cfRule>
    <cfRule type="expression" dxfId="4844" priority="331" stopIfTrue="1">
      <formula>ISERROR(N69)</formula>
    </cfRule>
  </conditionalFormatting>
  <conditionalFormatting sqref="C70:C71">
    <cfRule type="expression" dxfId="4843" priority="332" stopIfTrue="1">
      <formula>$C$61=0</formula>
    </cfRule>
    <cfRule type="expression" dxfId="4842" priority="333" stopIfTrue="1">
      <formula>$G$73&lt;&gt;0</formula>
    </cfRule>
  </conditionalFormatting>
  <conditionalFormatting sqref="P60:P61">
    <cfRule type="expression" dxfId="4841" priority="334" stopIfTrue="1">
      <formula>$C$61=1</formula>
    </cfRule>
  </conditionalFormatting>
  <conditionalFormatting sqref="H66:M66">
    <cfRule type="expression" dxfId="4840" priority="335" stopIfTrue="1">
      <formula>$C$61=0</formula>
    </cfRule>
  </conditionalFormatting>
  <conditionalFormatting sqref="H65">
    <cfRule type="expression" dxfId="4839" priority="336" stopIfTrue="1">
      <formula>AND($C$61=0,$D$61&gt;0)</formula>
    </cfRule>
    <cfRule type="expression" dxfId="4838" priority="337" stopIfTrue="1">
      <formula>$C$61=0</formula>
    </cfRule>
  </conditionalFormatting>
  <conditionalFormatting sqref="G67">
    <cfRule type="expression" dxfId="4837" priority="338" stopIfTrue="1">
      <formula>$C$61=0</formula>
    </cfRule>
    <cfRule type="expression" dxfId="4836" priority="339" stopIfTrue="1">
      <formula>ISERROR(G67)</formula>
    </cfRule>
  </conditionalFormatting>
  <conditionalFormatting sqref="G88:H88 K88">
    <cfRule type="expression" dxfId="4835" priority="340" stopIfTrue="1">
      <formula>ISERROR(G88)</formula>
    </cfRule>
    <cfRule type="cellIs" dxfId="4834" priority="341" stopIfTrue="1" operator="equal">
      <formula>0</formula>
    </cfRule>
    <cfRule type="expression" dxfId="4833" priority="342" stopIfTrue="1">
      <formula>$C$61=0</formula>
    </cfRule>
  </conditionalFormatting>
  <conditionalFormatting sqref="C91:P91">
    <cfRule type="expression" dxfId="4832" priority="343" stopIfTrue="1">
      <formula>SUM($G$150:$J$150)=0</formula>
    </cfRule>
  </conditionalFormatting>
  <conditionalFormatting sqref="G85:H85 K85">
    <cfRule type="expression" dxfId="4831" priority="344" stopIfTrue="1">
      <formula>$C$61=0</formula>
    </cfRule>
    <cfRule type="expression" dxfId="4830" priority="345" stopIfTrue="1">
      <formula>G85=$M$135</formula>
    </cfRule>
  </conditionalFormatting>
  <conditionalFormatting sqref="I55:J56 L55:M56">
    <cfRule type="cellIs" dxfId="4829" priority="346" stopIfTrue="1" operator="equal">
      <formula>0</formula>
    </cfRule>
    <cfRule type="expression" dxfId="4828" priority="347" stopIfTrue="1">
      <formula>ISERROR(I55)</formula>
    </cfRule>
  </conditionalFormatting>
  <dataValidations count="7">
    <dataValidation type="whole" operator="lessThanOrEqual" allowBlank="1" showInputMessage="1" showErrorMessage="1" sqref="F52">
      <formula1>E162</formula1>
    </dataValidation>
    <dataValidation type="list" allowBlank="1" showInputMessage="1" showErrorMessage="1" sqref="I207">
      <formula1>$I$219:$I$229</formula1>
    </dataValidation>
    <dataValidation type="decimal" operator="greaterThan" allowBlank="1" showInputMessage="1" showErrorMessage="1" errorTitle="ATTENZIONE !!!" error="E' ammesso solo un valore POSITIVO" sqref="G53:G54">
      <formula1>0</formula1>
    </dataValidation>
    <dataValidation type="decimal" operator="lessThan" allowBlank="1" showInputMessage="1" showErrorMessage="1" errorTitle="ATTENZIONE !!!" error="E' ammesso solo un valore NEGATIVO" sqref="H53:H54">
      <formula1>0</formula1>
    </dataValidation>
    <dataValidation type="list" allowBlank="1" showInputMessage="1" showErrorMessage="1" sqref="M168:N168">
      <formula1>$E$218:$E$220</formula1>
    </dataValidation>
    <dataValidation type="list" allowBlank="1" showInputMessage="1" showErrorMessage="1" sqref="M166">
      <formula1>$E$223:$E$226</formula1>
    </dataValidation>
    <dataValidation type="list" allowBlank="1" showInputMessage="1" showErrorMessage="1" sqref="M3:P3">
      <formula1>$K$144:$K$149</formula1>
    </dataValidation>
  </dataValidations>
  <hyperlinks>
    <hyperlink ref="G231" location="Presentazione!I106" display="QUI"/>
    <hyperlink ref="L231" location="Presentazione!K83" display="QUI"/>
  </hyperlinks>
  <printOptions horizontalCentered="1"/>
  <pageMargins left="0.39370078740157483" right="0" top="0.39370078740157483" bottom="0" header="0" footer="0"/>
  <pageSetup paperSize="9" scale="72"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
    <pageSetUpPr autoPageBreaks="0"/>
  </sheetPr>
  <dimension ref="A1:BB231"/>
  <sheetViews>
    <sheetView showGridLines="0" showRowColHeaders="0" topLeftCell="A2" zoomScaleNormal="100" workbookViewId="0">
      <selection activeCell="G8" sqref="G8"/>
    </sheetView>
  </sheetViews>
  <sheetFormatPr defaultRowHeight="12.75" x14ac:dyDescent="0.2"/>
  <cols>
    <col min="1" max="2" width="2.85546875" style="4" customWidth="1"/>
    <col min="3" max="4" width="5" style="4" customWidth="1"/>
    <col min="5" max="5" width="15.7109375" style="4" customWidth="1"/>
    <col min="6" max="6" width="1.42578125" style="4" customWidth="1"/>
    <col min="7" max="8" width="15.7109375" style="4" customWidth="1"/>
    <col min="9" max="10" width="7.85546875" style="4" customWidth="1"/>
    <col min="11" max="11" width="15.7109375" style="4" customWidth="1"/>
    <col min="12" max="13" width="7.85546875" style="4" customWidth="1"/>
    <col min="14" max="14" width="15.7109375" style="4" customWidth="1"/>
    <col min="15" max="16" width="7.85546875" style="4" customWidth="1"/>
    <col min="17" max="17" width="2.140625" style="4" customWidth="1"/>
    <col min="18" max="31" width="11" style="4" hidden="1" customWidth="1"/>
    <col min="32" max="32" width="6.42578125" style="4" hidden="1" customWidth="1"/>
    <col min="33" max="37" width="11" style="4" hidden="1" customWidth="1"/>
    <col min="38" max="38" width="6.42578125" style="4" hidden="1" customWidth="1"/>
    <col min="39" max="43" width="11" style="4" hidden="1" customWidth="1"/>
    <col min="44" max="44" width="6.42578125" style="4" hidden="1" customWidth="1"/>
    <col min="45" max="49" width="11" style="4" hidden="1" customWidth="1"/>
    <col min="50" max="50" width="6.42578125" style="4" hidden="1" customWidth="1"/>
    <col min="51" max="51" width="11" style="4" hidden="1" customWidth="1"/>
    <col min="52" max="52" width="35.7109375" style="4" customWidth="1"/>
    <col min="53" max="16384" width="9.140625" style="4"/>
  </cols>
  <sheetData>
    <row r="1" spans="1:53" ht="15" hidden="1" customHeight="1" x14ac:dyDescent="0.2">
      <c r="A1" s="540"/>
      <c r="B1" s="2"/>
      <c r="C1" s="2"/>
      <c r="D1" s="2"/>
      <c r="E1" s="2"/>
      <c r="F1" s="2"/>
      <c r="G1" s="252" t="str">
        <f>CONCATENATE(IMPOSTAZIONI!F199,"-",IMPOSTAZIONI!F200,"-",IMPOSTAZIONI!F201)</f>
        <v>--</v>
      </c>
      <c r="H1" s="252" t="str">
        <f>CONCATENATE(IMPOSTAZIONI!K199,"-",IMPOSTAZIONI!K200,"-",IMPOSTAZIONI!K201)</f>
        <v>--</v>
      </c>
      <c r="I1" s="252"/>
      <c r="J1" s="252"/>
      <c r="K1" s="252" t="str">
        <f>CONCATENATE(IMPOSTAZIONI!P199,"-",IMPOSTAZIONI!P200,"-",IMPOSTAZIONI!P201)</f>
        <v>--</v>
      </c>
      <c r="L1" s="252"/>
      <c r="M1" s="252"/>
      <c r="N1" s="252" t="str">
        <f>CONCATENATE(IMPOSTAZIONI!U199,"-",IMPOSTAZIONI!U200,"-",IMPOSTAZIONI!U201)</f>
        <v>--</v>
      </c>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591"/>
    </row>
    <row r="2" spans="1:53" ht="18" customHeight="1" x14ac:dyDescent="0.2">
      <c r="A2" s="540"/>
      <c r="B2" s="2"/>
      <c r="C2" s="2057" t="str">
        <f>CONCATENATE(IMPOSTAZIONI!C73," - P.I. ",IMPOSTAZIONI!O73)</f>
        <v>Inserisci la tua Ragione Sociale - P.I. 01234567891</v>
      </c>
      <c r="D2" s="2057"/>
      <c r="E2" s="2057"/>
      <c r="F2" s="2057"/>
      <c r="G2" s="2057"/>
      <c r="H2" s="2057"/>
      <c r="I2" s="2057"/>
      <c r="J2" s="2058" t="str">
        <f>CONCATENATE(IMPOSTAZIONI!C75," - ",IMPOSTAZIONI!M75," - ",IMPOSTAZIONI!O75," - ",IMPOSTAZIONI!V75)</f>
        <v xml:space="preserve">Indirizzo per esteso -  -  - </v>
      </c>
      <c r="K2" s="2058"/>
      <c r="L2" s="2058"/>
      <c r="M2" s="2058"/>
      <c r="N2" s="2058"/>
      <c r="O2" s="2058"/>
      <c r="P2" s="2058"/>
      <c r="Q2" s="3"/>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row>
    <row r="3" spans="1:53" ht="24.75" customHeight="1" x14ac:dyDescent="0.2">
      <c r="A3" s="2"/>
      <c r="B3" s="5"/>
      <c r="C3" s="2222" t="s">
        <v>98</v>
      </c>
      <c r="D3" s="2222"/>
      <c r="E3" s="2223" t="s">
        <v>302</v>
      </c>
      <c r="F3" s="2223"/>
      <c r="G3" s="2223"/>
      <c r="H3" s="2073" t="str">
        <f>IF(I163=0,IMPOSTAZIONI!Y384,"")</f>
        <v>Devi convalidare il foglio IMPOSTAZIONI</v>
      </c>
      <c r="I3" s="2073"/>
      <c r="J3" s="2073"/>
      <c r="K3" s="2073"/>
      <c r="L3" s="2073"/>
      <c r="M3" s="2072" t="s">
        <v>543</v>
      </c>
      <c r="N3" s="2072"/>
      <c r="O3" s="2072"/>
      <c r="P3" s="2072"/>
      <c r="Q3" s="3"/>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row>
    <row r="4" spans="1:53" ht="18" customHeight="1" x14ac:dyDescent="0.2">
      <c r="A4" s="2"/>
      <c r="B4" s="2"/>
      <c r="C4" s="2147" t="s">
        <v>175</v>
      </c>
      <c r="D4" s="2148"/>
      <c r="E4" s="2170" t="str">
        <f>IMPOSTAZIONI!E24</f>
        <v>TOTALE</v>
      </c>
      <c r="F4" s="2171"/>
      <c r="G4" s="291" t="str">
        <f>IF($I$163=0,"",IMPOSTAZIONI!G199)</f>
        <v/>
      </c>
      <c r="H4" s="291" t="str">
        <f>IF($I$163=0,"",IMPOSTAZIONI!L199)</f>
        <v/>
      </c>
      <c r="I4" s="2164">
        <f>IMPOSTAZIONI!Q25</f>
        <v>0</v>
      </c>
      <c r="J4" s="2165"/>
      <c r="K4" s="291" t="str">
        <f>IF($I$163=0,"",IMPOSTAZIONI!Q199)</f>
        <v/>
      </c>
      <c r="L4" s="2164">
        <f>IMPOSTAZIONI!Y25</f>
        <v>0</v>
      </c>
      <c r="M4" s="2165"/>
      <c r="N4" s="291" t="str">
        <f>IF($I$163=0,"",IMPOSTAZIONI!V199)</f>
        <v/>
      </c>
      <c r="O4" s="2164">
        <f>IMPOSTAZIONI!AG25</f>
        <v>0</v>
      </c>
      <c r="P4" s="2165"/>
      <c r="Q4" s="83"/>
      <c r="R4" s="2"/>
      <c r="S4" s="2"/>
      <c r="T4" s="2"/>
      <c r="U4" s="2"/>
      <c r="V4" s="251" t="str">
        <f>CONCATENATE(L131,"  ")</f>
        <v xml:space="preserve">attiva trim.  </v>
      </c>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row>
    <row r="5" spans="1:53" ht="18" customHeight="1" x14ac:dyDescent="0.2">
      <c r="A5" s="2"/>
      <c r="B5" s="2"/>
      <c r="C5" s="2149"/>
      <c r="D5" s="2150"/>
      <c r="E5" s="2172"/>
      <c r="F5" s="2173"/>
      <c r="G5" s="292" t="str">
        <f>IF($I$163=0,"",IMPOSTAZIONI!G200)</f>
        <v/>
      </c>
      <c r="H5" s="292" t="str">
        <f>IF($I$163=0,"",IMPOSTAZIONI!L200)</f>
        <v/>
      </c>
      <c r="I5" s="2166"/>
      <c r="J5" s="2167"/>
      <c r="K5" s="292" t="str">
        <f>IF($I$163=0,"",IMPOSTAZIONI!Q200)</f>
        <v/>
      </c>
      <c r="L5" s="2166"/>
      <c r="M5" s="2167"/>
      <c r="N5" s="292" t="str">
        <f>IF($I$163=0,"",IMPOSTAZIONI!V200)</f>
        <v/>
      </c>
      <c r="O5" s="2166"/>
      <c r="P5" s="2167"/>
      <c r="Q5" s="83"/>
      <c r="R5" s="2"/>
      <c r="S5" s="2"/>
      <c r="T5" s="2"/>
      <c r="U5" s="2"/>
      <c r="V5" s="257"/>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row>
    <row r="6" spans="1:53" ht="18" customHeight="1" x14ac:dyDescent="0.2">
      <c r="A6" s="2"/>
      <c r="B6" s="2"/>
      <c r="C6" s="2151">
        <f>IMPOSTAZIONI!$AH$52</f>
        <v>2024</v>
      </c>
      <c r="D6" s="2152"/>
      <c r="E6" s="2153">
        <f>IMPOSTAZIONI!E25</f>
        <v>0</v>
      </c>
      <c r="F6" s="2154"/>
      <c r="G6" s="55" t="str">
        <f>IF($I$163=0,"",IMPOSTAZIONI!G201)</f>
        <v/>
      </c>
      <c r="H6" s="55" t="str">
        <f>IF($I$163=0,"",IMPOSTAZIONI!L201)</f>
        <v/>
      </c>
      <c r="I6" s="834" t="str">
        <f>IMPOSTAZIONI!Q26</f>
        <v>DAL</v>
      </c>
      <c r="J6" s="835" t="str">
        <f>IMPOSTAZIONI!S26</f>
        <v>AL</v>
      </c>
      <c r="K6" s="55" t="str">
        <f>IF($I$163=0,"",IMPOSTAZIONI!Q201)</f>
        <v/>
      </c>
      <c r="L6" s="834" t="str">
        <f>IMPOSTAZIONI!Y26</f>
        <v>DAL</v>
      </c>
      <c r="M6" s="835" t="str">
        <f>IMPOSTAZIONI!AA26</f>
        <v>AL</v>
      </c>
      <c r="N6" s="55" t="str">
        <f>IF($I$163=0,"",IMPOSTAZIONI!V201)</f>
        <v/>
      </c>
      <c r="O6" s="834" t="str">
        <f>IMPOSTAZIONI!AG26</f>
        <v>DAL</v>
      </c>
      <c r="P6" s="835" t="str">
        <f>IMPOSTAZIONI!AI26</f>
        <v>AL</v>
      </c>
      <c r="Q6" s="83"/>
      <c r="R6" s="2"/>
      <c r="S6" s="2"/>
      <c r="T6" s="2"/>
      <c r="U6" s="2"/>
      <c r="V6" s="2"/>
      <c r="W6" s="2"/>
      <c r="X6" s="2"/>
      <c r="Y6" s="501" t="str">
        <f>CASSA!W484</f>
        <v>F</v>
      </c>
      <c r="Z6" s="502" t="str">
        <f>CASSA!W485</f>
        <v>C</v>
      </c>
      <c r="AA6" s="2"/>
      <c r="AB6" s="2"/>
      <c r="AC6" s="2"/>
      <c r="AD6" s="2"/>
      <c r="AE6" s="2"/>
      <c r="AF6" s="2"/>
      <c r="AG6" s="148">
        <f>IF(SUM(G152:J152)&gt;0,1,0)</f>
        <v>0</v>
      </c>
      <c r="AH6" s="1096" t="str">
        <f>$C101</f>
        <v>Aliquota 22 %</v>
      </c>
      <c r="AI6" s="1096" t="str">
        <f>$C102</f>
        <v>Aliquota 10 %</v>
      </c>
      <c r="AJ6" s="1096" t="str">
        <f>$C103</f>
        <v>Aliquota 4 %</v>
      </c>
      <c r="AK6" s="1096" t="str">
        <f>$C104</f>
        <v/>
      </c>
      <c r="AL6" s="2"/>
      <c r="AM6" s="1097" t="s">
        <v>537</v>
      </c>
      <c r="AN6" s="2204" t="s">
        <v>782</v>
      </c>
      <c r="AO6" s="2204"/>
      <c r="AP6" s="2204"/>
      <c r="AQ6" s="2204"/>
      <c r="AR6" s="2"/>
      <c r="AS6" s="148"/>
      <c r="AT6" s="1096" t="str">
        <f>$C101</f>
        <v>Aliquota 22 %</v>
      </c>
      <c r="AU6" s="1096" t="str">
        <f>$C102</f>
        <v>Aliquota 10 %</v>
      </c>
      <c r="AV6" s="1096" t="str">
        <f>$C103</f>
        <v>Aliquota 4 %</v>
      </c>
      <c r="AW6" s="1096" t="str">
        <f>$C104</f>
        <v/>
      </c>
      <c r="AX6" s="2"/>
      <c r="AY6" s="1097" t="s">
        <v>537</v>
      </c>
      <c r="AZ6" s="1382" t="s">
        <v>14</v>
      </c>
      <c r="BA6" s="2"/>
    </row>
    <row r="7" spans="1:53" ht="20.25" customHeight="1" x14ac:dyDescent="0.2">
      <c r="A7" s="2"/>
      <c r="B7" s="2"/>
      <c r="C7" s="2242" t="s">
        <v>177</v>
      </c>
      <c r="D7" s="2243"/>
      <c r="E7" s="2175">
        <f>IMPOSTAZIONI!G265</f>
        <v>0</v>
      </c>
      <c r="F7" s="2176"/>
      <c r="G7" s="1439">
        <f>IMPOSTAZIONI!$T269</f>
        <v>0</v>
      </c>
      <c r="H7" s="1439">
        <f>IMPOSTAZIONI!$T270</f>
        <v>0</v>
      </c>
      <c r="I7" s="832"/>
      <c r="J7" s="833"/>
      <c r="K7" s="1439">
        <f>IMPOSTAZIONI!$T271</f>
        <v>0</v>
      </c>
      <c r="L7" s="832"/>
      <c r="M7" s="833"/>
      <c r="N7" s="1439">
        <f>IMPOSTAZIONI!$T272</f>
        <v>0</v>
      </c>
      <c r="O7" s="832"/>
      <c r="P7" s="833"/>
      <c r="Q7" s="83"/>
      <c r="R7" s="552" t="s">
        <v>195</v>
      </c>
      <c r="S7" s="552"/>
      <c r="T7" s="552"/>
      <c r="U7" s="552"/>
      <c r="V7" s="507">
        <f>V8-1</f>
        <v>45351</v>
      </c>
      <c r="W7" s="2"/>
      <c r="X7" s="2"/>
      <c r="Y7" s="2"/>
      <c r="Z7" s="2"/>
      <c r="AA7" s="2"/>
      <c r="AB7" s="2021" t="s">
        <v>739</v>
      </c>
      <c r="AC7" s="2021"/>
      <c r="AD7" s="2021"/>
      <c r="AE7" s="2021"/>
      <c r="AF7" s="2"/>
      <c r="AG7" s="2021" t="s">
        <v>781</v>
      </c>
      <c r="AH7" s="2021"/>
      <c r="AI7" s="2021"/>
      <c r="AJ7" s="2021"/>
      <c r="AK7" s="2021"/>
      <c r="AL7" s="2"/>
      <c r="AM7" s="2"/>
      <c r="AN7" s="2"/>
      <c r="AO7" s="2"/>
      <c r="AP7" s="2"/>
      <c r="AQ7" s="2"/>
      <c r="AR7" s="2"/>
      <c r="AS7" s="2021" t="s">
        <v>784</v>
      </c>
      <c r="AT7" s="2021"/>
      <c r="AU7" s="2021"/>
      <c r="AV7" s="2021"/>
      <c r="AW7" s="2021"/>
      <c r="AX7" s="2"/>
      <c r="AY7" s="1097" t="s">
        <v>739</v>
      </c>
      <c r="AZ7" s="1383"/>
      <c r="BA7" s="2"/>
    </row>
    <row r="8" spans="1:53" ht="20.25" customHeight="1" x14ac:dyDescent="0.2">
      <c r="A8" s="2"/>
      <c r="B8" s="18">
        <v>1</v>
      </c>
      <c r="C8" s="234">
        <f>B8</f>
        <v>1</v>
      </c>
      <c r="D8" s="235">
        <v>3</v>
      </c>
      <c r="E8" s="2168">
        <f t="shared" ref="E8:E38" si="0">IF(AND(L$163=0,OR(V8&lt;B$162,V8&gt;B$163)),CONCATENATE(L$131,"  "),IF(AND((SUM(G8:H8)+K8+N8)&lt;&gt;0,AA8=Z$6),E$163,IF(AND((SUM(G8:H8)+K8+N8)=0,AA8=Z$6),E$162,IF(ISERROR($H$163),0,SUM(G8:H8)+K8+N8-SUMIF(G$42:N$42,K$134,G8:N8)))))</f>
        <v>0</v>
      </c>
      <c r="F8" s="2169"/>
      <c r="G8" s="304"/>
      <c r="H8" s="304"/>
      <c r="I8" s="830"/>
      <c r="J8" s="831"/>
      <c r="K8" s="304"/>
      <c r="L8" s="830"/>
      <c r="M8" s="831"/>
      <c r="N8" s="304"/>
      <c r="O8" s="830"/>
      <c r="P8" s="831"/>
      <c r="Q8" s="83"/>
      <c r="R8" s="1050">
        <f>IF(G$62=$L$134,0,IF(AND($L$163=0,$V8&gt;$B$163),0,IF(G$155="X",0,ROUND((G8*G$155)/(100+G$155),2))))</f>
        <v>0</v>
      </c>
      <c r="S8" s="1051">
        <f t="shared" ref="S8:S38" si="1">IF(H$62=$L$134,0,IF(AND($L$163=0,$V8&gt;$B$163),0,IF(H$155="X",0,ROUND((H8*H$155)/(100+H$155),2))))</f>
        <v>0</v>
      </c>
      <c r="T8" s="1051">
        <f>IF(K$62=$L$134,0,IF(AND($L$163=0,$V8&gt;$B$163),0,IF(I$155="X",0,ROUND((K8*I$155)/(100+I$155),2))))</f>
        <v>0</v>
      </c>
      <c r="U8" s="1052">
        <f>IF(N$62=$L$134,0,IF(AND($L$163=0,$V8&gt;$B$163),0,IF(J$155="X",0,ROUND((N8*J$155)/(100+J$155),2))))</f>
        <v>0</v>
      </c>
      <c r="V8" s="231">
        <f>DATE(C$6,D8,C8)</f>
        <v>45352</v>
      </c>
      <c r="W8" s="1050">
        <f t="shared" ref="W8:W38" si="2">IF(AND($L$163=0,$V8&gt;$B$163),0,G8-R8)</f>
        <v>0</v>
      </c>
      <c r="X8" s="1051">
        <f t="shared" ref="X8:X38" si="3">IF(AND($L$163=0,$V8&gt;$B$163),0,H8-S8)</f>
        <v>0</v>
      </c>
      <c r="Y8" s="1051">
        <f t="shared" ref="Y8:Y38" si="4">IF(AND($L$163=0,$V8&gt;$B$163),0,K8-T8)</f>
        <v>0</v>
      </c>
      <c r="Z8" s="1052">
        <f t="shared" ref="Z8:Z38" si="5">IF(AND($L$163=0,$V8&gt;$B$163),0,N8-U8)</f>
        <v>0</v>
      </c>
      <c r="AA8" s="822">
        <f>VLOOKUP(V8,CASSA!$B$114:$C$479,2,FALSE)</f>
        <v>0</v>
      </c>
      <c r="AB8" s="1050">
        <f>IF(AND(G$62=$L$134,$L$78&lt;&gt;0),$L$78/$G$65*G8,0)</f>
        <v>0</v>
      </c>
      <c r="AC8" s="1051">
        <f>IF(AND(H$62=$L$134,$L$78&lt;&gt;0),$L$78/$G$65*H8,0)</f>
        <v>0</v>
      </c>
      <c r="AD8" s="1051">
        <f>IF(AND(K$62=$L$134,$L$78&lt;&gt;0),$L$78/$G$65*K8,0)</f>
        <v>0</v>
      </c>
      <c r="AE8" s="1052">
        <f>IF(AND(N$62=$L$134,$L$78&lt;&gt;0),$L$78/$G$65*N8,0)</f>
        <v>0</v>
      </c>
      <c r="AF8" s="2"/>
      <c r="AG8" s="1087">
        <f>SUMIF($G$152:$J$152,1,W8:Z8)-SUM(AH8:AK8)</f>
        <v>0</v>
      </c>
      <c r="AH8" s="1088">
        <f>IF(AND($AG$6=1,$R$101&lt;&gt;0),$R$101/$R$96*SUMIF($G$152:$J$152,1,$W8:$Z8),0)</f>
        <v>0</v>
      </c>
      <c r="AI8" s="1051">
        <f>IF(AND($AG$6=1,$R$102&lt;&gt;0),$R$102/$R$96*SUMIF($G$152:$J$152,1,$W8:$Z8),0)</f>
        <v>0</v>
      </c>
      <c r="AJ8" s="1051">
        <f>IF(AND($AG$6=1,$R$103&lt;&gt;0),$R$103/$R$96*SUMIF($G$152:$J$152,1,$W8:$Z8),0)</f>
        <v>0</v>
      </c>
      <c r="AK8" s="1089">
        <f t="shared" ref="AK8:AK38" si="6">IF(AND($AG$6=1,$R$104&lt;&gt;0),$R$104/$R$96*SUMIF($G$152:$J$152,1,$W8:$Z8),0)</f>
        <v>0</v>
      </c>
      <c r="AL8" s="2"/>
      <c r="AM8" s="1087">
        <f t="shared" ref="AM8:AM38" si="7">SUMIF($G$42:$N$42,$K$134,$G8:$N8)</f>
        <v>0</v>
      </c>
      <c r="AN8" s="1104">
        <f>IF(G$42=$K$134,R8,0)</f>
        <v>0</v>
      </c>
      <c r="AO8" s="1051">
        <f>IF(H$42=$K$134,S8,0)</f>
        <v>0</v>
      </c>
      <c r="AP8" s="1051">
        <f>IF(K$42=$K$134,T8,0)</f>
        <v>0</v>
      </c>
      <c r="AQ8" s="1089">
        <f>IF(N$42=$K$134,U8,0)</f>
        <v>0</v>
      </c>
      <c r="AR8" s="2"/>
      <c r="AS8" s="1087">
        <f>IF(AG8&lt;&gt;0,AG8*$T$97/100,0)</f>
        <v>0</v>
      </c>
      <c r="AT8" s="1088">
        <f>IF(AH8&lt;&gt;0,AH8*$T$101/100,0)</f>
        <v>0</v>
      </c>
      <c r="AU8" s="1051">
        <f>IF(AI8&lt;&gt;0,AI8*$T$102/100,0)</f>
        <v>0</v>
      </c>
      <c r="AV8" s="1051">
        <f>IF(AJ8&lt;&gt;0,AJ8*$T$103/100,0)</f>
        <v>0</v>
      </c>
      <c r="AW8" s="1089">
        <f>IF(AK8&lt;&gt;0,AK8*$T$104/100,0)</f>
        <v>0</v>
      </c>
      <c r="AX8" s="2"/>
      <c r="AY8" s="1087">
        <f>IF(SUM(AB8:AE8)=0,0,SUM(AB8:AE8)*U$90/100)</f>
        <v>0</v>
      </c>
      <c r="AZ8" s="1384" t="s">
        <v>850</v>
      </c>
      <c r="BA8" s="2"/>
    </row>
    <row r="9" spans="1:53" ht="20.25" customHeight="1" x14ac:dyDescent="0.2">
      <c r="A9" s="2"/>
      <c r="B9" s="18">
        <v>2</v>
      </c>
      <c r="C9" s="234">
        <f>IF(D9="--","--",C8+1)</f>
        <v>2</v>
      </c>
      <c r="D9" s="235">
        <f t="shared" ref="D9:D38" si="8">IF(MONTH(V9)=D$8,D8,"--")</f>
        <v>3</v>
      </c>
      <c r="E9" s="2159">
        <f t="shared" si="0"/>
        <v>0</v>
      </c>
      <c r="F9" s="2160"/>
      <c r="G9" s="237"/>
      <c r="H9" s="237"/>
      <c r="I9" s="828"/>
      <c r="J9" s="829"/>
      <c r="K9" s="237"/>
      <c r="L9" s="828"/>
      <c r="M9" s="829"/>
      <c r="N9" s="237"/>
      <c r="O9" s="828"/>
      <c r="P9" s="829"/>
      <c r="Q9" s="83"/>
      <c r="R9" s="1053">
        <f t="shared" ref="R9:R38" si="9">IF(G$62=$L$134,0,IF(AND($L$163=0,$V9&gt;$B$163),0,IF(G$155="X",0,ROUND((G9*G$155)/(100+G$155),2))))</f>
        <v>0</v>
      </c>
      <c r="S9" s="1054">
        <f t="shared" si="1"/>
        <v>0</v>
      </c>
      <c r="T9" s="1054">
        <f t="shared" ref="T9:T38" si="10">IF(K$62=$L$134,0,IF(AND($L$163=0,$V9&gt;$B$163),0,IF(I$155="X",0,ROUND((K9*I$155)/(100+I$155),2))))</f>
        <v>0</v>
      </c>
      <c r="U9" s="1055">
        <f t="shared" ref="U9:U38" si="11">IF(N$62=$L$134,0,IF(AND($L$163=0,$V9&gt;$B$163),0,IF(J$155="X",0,ROUND((N9*J$155)/(100+J$155),2))))</f>
        <v>0</v>
      </c>
      <c r="V9" s="231">
        <f>V8+1</f>
        <v>45353</v>
      </c>
      <c r="W9" s="1053">
        <f t="shared" si="2"/>
        <v>0</v>
      </c>
      <c r="X9" s="1054">
        <f t="shared" si="3"/>
        <v>0</v>
      </c>
      <c r="Y9" s="1054">
        <f t="shared" si="4"/>
        <v>0</v>
      </c>
      <c r="Z9" s="1055">
        <f t="shared" si="5"/>
        <v>0</v>
      </c>
      <c r="AA9" s="822">
        <f>VLOOKUP(V9,CASSA!$B$114:$C$479,2,FALSE)</f>
        <v>0</v>
      </c>
      <c r="AB9" s="1053">
        <f t="shared" ref="AB9:AB38" si="12">IF(AND(G$62=$L$134,$L$78&lt;&gt;0),$L$78/$G$65*G9,0)</f>
        <v>0</v>
      </c>
      <c r="AC9" s="1054">
        <f t="shared" ref="AC9:AC38" si="13">IF(AND(H$62=$L$134,$L$78&lt;&gt;0),$L$78/$G$65*H9,0)</f>
        <v>0</v>
      </c>
      <c r="AD9" s="1054">
        <f t="shared" ref="AD9:AD38" si="14">IF(AND(K$62=$L$134,$L$78&lt;&gt;0),$L$78/$G$65*K9,0)</f>
        <v>0</v>
      </c>
      <c r="AE9" s="1055">
        <f t="shared" ref="AE9:AE38" si="15">IF(AND(N$62=$L$134,$L$78&lt;&gt;0),$L$78/$G$65*N9,0)</f>
        <v>0</v>
      </c>
      <c r="AF9" s="2"/>
      <c r="AG9" s="1090">
        <f t="shared" ref="AG9:AG38" si="16">SUMIF($G$152:$J$152,1,W9:Z9)-SUM(AH9:AK9)</f>
        <v>0</v>
      </c>
      <c r="AH9" s="1091">
        <f t="shared" ref="AH9:AH38" si="17">IF(AND($AG$6=1,$R$101&lt;&gt;0),$R$101/$R$96*SUMIF($G$152:$J$152,1,$W9:$Z9),0)</f>
        <v>0</v>
      </c>
      <c r="AI9" s="1054">
        <f t="shared" ref="AI9:AI38" si="18">IF(AND($AG$6=1,$R$102&lt;&gt;0),$R$102/$R$96*SUMIF($G$152:$J$152,1,$W9:$Z9),0)</f>
        <v>0</v>
      </c>
      <c r="AJ9" s="1054">
        <f t="shared" ref="AJ9:AJ38" si="19">IF(AND($AG$6=1,$R$103&lt;&gt;0),$R$103/$R$96*SUMIF($G$152:$J$152,1,$W9:$Z9),0)</f>
        <v>0</v>
      </c>
      <c r="AK9" s="1092">
        <f t="shared" si="6"/>
        <v>0</v>
      </c>
      <c r="AL9" s="2"/>
      <c r="AM9" s="1090">
        <f t="shared" si="7"/>
        <v>0</v>
      </c>
      <c r="AN9" s="1105">
        <f t="shared" ref="AN9:AN38" si="20">IF(G$42=$K$134,R9,0)</f>
        <v>0</v>
      </c>
      <c r="AO9" s="1054">
        <f t="shared" ref="AO9:AO38" si="21">IF(H$42=$K$134,S9,0)</f>
        <v>0</v>
      </c>
      <c r="AP9" s="1054">
        <f t="shared" ref="AP9:AP38" si="22">IF(K$42=$K$134,T9,0)</f>
        <v>0</v>
      </c>
      <c r="AQ9" s="1092">
        <f t="shared" ref="AQ9:AQ38" si="23">IF(N$42=$K$134,U9,0)</f>
        <v>0</v>
      </c>
      <c r="AR9" s="2"/>
      <c r="AS9" s="1090">
        <f t="shared" ref="AS9:AS38" si="24">IF(AG9&lt;&gt;0,AG9*$T$97/100,0)</f>
        <v>0</v>
      </c>
      <c r="AT9" s="1091">
        <f t="shared" ref="AT9:AT38" si="25">IF(AH9&lt;&gt;0,AH9*$T$101/100,0)</f>
        <v>0</v>
      </c>
      <c r="AU9" s="1054">
        <f t="shared" ref="AU9:AU38" si="26">IF(AI9&lt;&gt;0,AI9*$T$102/100,0)</f>
        <v>0</v>
      </c>
      <c r="AV9" s="1054">
        <f t="shared" ref="AV9:AV38" si="27">IF(AJ9&lt;&gt;0,AJ9*$T$103/100,0)</f>
        <v>0</v>
      </c>
      <c r="AW9" s="1092">
        <f t="shared" ref="AW9:AW38" si="28">IF(AK9&lt;&gt;0,AK9*$T$104/100,0)</f>
        <v>0</v>
      </c>
      <c r="AX9" s="2"/>
      <c r="AY9" s="1090">
        <f t="shared" ref="AY9:AY38" si="29">IF(SUM(AB9:AE9)=0,0,SUM(AB9:AE9)*U$90/100)</f>
        <v>0</v>
      </c>
      <c r="AZ9" s="1385" t="s">
        <v>851</v>
      </c>
      <c r="BA9" s="2"/>
    </row>
    <row r="10" spans="1:53" ht="20.25" customHeight="1" x14ac:dyDescent="0.2">
      <c r="A10" s="2"/>
      <c r="B10" s="18">
        <v>3</v>
      </c>
      <c r="C10" s="234">
        <f t="shared" ref="C10:C38" si="30">IF(D10="--","--",C9+1)</f>
        <v>3</v>
      </c>
      <c r="D10" s="235">
        <f t="shared" si="8"/>
        <v>3</v>
      </c>
      <c r="E10" s="2159">
        <f t="shared" si="0"/>
        <v>0</v>
      </c>
      <c r="F10" s="2160"/>
      <c r="G10" s="237"/>
      <c r="H10" s="237"/>
      <c r="I10" s="828"/>
      <c r="J10" s="829"/>
      <c r="K10" s="237"/>
      <c r="L10" s="828"/>
      <c r="M10" s="829"/>
      <c r="N10" s="237"/>
      <c r="O10" s="828"/>
      <c r="P10" s="829"/>
      <c r="Q10" s="83"/>
      <c r="R10" s="1053">
        <f t="shared" si="9"/>
        <v>0</v>
      </c>
      <c r="S10" s="1054">
        <f t="shared" si="1"/>
        <v>0</v>
      </c>
      <c r="T10" s="1054">
        <f t="shared" si="10"/>
        <v>0</v>
      </c>
      <c r="U10" s="1055">
        <f t="shared" si="11"/>
        <v>0</v>
      </c>
      <c r="V10" s="231">
        <f t="shared" ref="V10:V38" si="31">V9+1</f>
        <v>45354</v>
      </c>
      <c r="W10" s="1053">
        <f t="shared" si="2"/>
        <v>0</v>
      </c>
      <c r="X10" s="1054">
        <f t="shared" si="3"/>
        <v>0</v>
      </c>
      <c r="Y10" s="1054">
        <f t="shared" si="4"/>
        <v>0</v>
      </c>
      <c r="Z10" s="1055">
        <f t="shared" si="5"/>
        <v>0</v>
      </c>
      <c r="AA10" s="822">
        <f>VLOOKUP(V10,CASSA!$B$114:$C$479,2,FALSE)</f>
        <v>0</v>
      </c>
      <c r="AB10" s="1053">
        <f t="shared" si="12"/>
        <v>0</v>
      </c>
      <c r="AC10" s="1054">
        <f t="shared" si="13"/>
        <v>0</v>
      </c>
      <c r="AD10" s="1054">
        <f t="shared" si="14"/>
        <v>0</v>
      </c>
      <c r="AE10" s="1055">
        <f t="shared" si="15"/>
        <v>0</v>
      </c>
      <c r="AF10" s="2"/>
      <c r="AG10" s="1090">
        <f t="shared" si="16"/>
        <v>0</v>
      </c>
      <c r="AH10" s="1091">
        <f t="shared" si="17"/>
        <v>0</v>
      </c>
      <c r="AI10" s="1054">
        <f t="shared" si="18"/>
        <v>0</v>
      </c>
      <c r="AJ10" s="1054">
        <f t="shared" si="19"/>
        <v>0</v>
      </c>
      <c r="AK10" s="1092">
        <f t="shared" si="6"/>
        <v>0</v>
      </c>
      <c r="AL10" s="2"/>
      <c r="AM10" s="1090">
        <f t="shared" si="7"/>
        <v>0</v>
      </c>
      <c r="AN10" s="1105">
        <f t="shared" si="20"/>
        <v>0</v>
      </c>
      <c r="AO10" s="1054">
        <f t="shared" si="21"/>
        <v>0</v>
      </c>
      <c r="AP10" s="1054">
        <f t="shared" si="22"/>
        <v>0</v>
      </c>
      <c r="AQ10" s="1092">
        <f t="shared" si="23"/>
        <v>0</v>
      </c>
      <c r="AR10" s="2"/>
      <c r="AS10" s="1090">
        <f t="shared" si="24"/>
        <v>0</v>
      </c>
      <c r="AT10" s="1091">
        <f t="shared" si="25"/>
        <v>0</v>
      </c>
      <c r="AU10" s="1054">
        <f t="shared" si="26"/>
        <v>0</v>
      </c>
      <c r="AV10" s="1054">
        <f t="shared" si="27"/>
        <v>0</v>
      </c>
      <c r="AW10" s="1092">
        <f t="shared" si="28"/>
        <v>0</v>
      </c>
      <c r="AX10" s="2"/>
      <c r="AY10" s="1090">
        <f t="shared" si="29"/>
        <v>0</v>
      </c>
      <c r="AZ10" s="1385" t="s">
        <v>852</v>
      </c>
      <c r="BA10" s="2"/>
    </row>
    <row r="11" spans="1:53" ht="20.25" customHeight="1" x14ac:dyDescent="0.2">
      <c r="A11" s="2"/>
      <c r="B11" s="18">
        <v>4</v>
      </c>
      <c r="C11" s="234">
        <f t="shared" si="30"/>
        <v>4</v>
      </c>
      <c r="D11" s="235">
        <f t="shared" si="8"/>
        <v>3</v>
      </c>
      <c r="E11" s="2159">
        <f t="shared" si="0"/>
        <v>0</v>
      </c>
      <c r="F11" s="2160"/>
      <c r="G11" s="237"/>
      <c r="H11" s="237"/>
      <c r="I11" s="828"/>
      <c r="J11" s="829"/>
      <c r="K11" s="237"/>
      <c r="L11" s="828"/>
      <c r="M11" s="829"/>
      <c r="N11" s="237"/>
      <c r="O11" s="828"/>
      <c r="P11" s="829"/>
      <c r="Q11" s="6"/>
      <c r="R11" s="1053">
        <f t="shared" si="9"/>
        <v>0</v>
      </c>
      <c r="S11" s="1054">
        <f t="shared" si="1"/>
        <v>0</v>
      </c>
      <c r="T11" s="1054">
        <f t="shared" si="10"/>
        <v>0</v>
      </c>
      <c r="U11" s="1055">
        <f t="shared" si="11"/>
        <v>0</v>
      </c>
      <c r="V11" s="231">
        <f t="shared" si="31"/>
        <v>45355</v>
      </c>
      <c r="W11" s="1053">
        <f t="shared" si="2"/>
        <v>0</v>
      </c>
      <c r="X11" s="1054">
        <f t="shared" si="3"/>
        <v>0</v>
      </c>
      <c r="Y11" s="1054">
        <f t="shared" si="4"/>
        <v>0</v>
      </c>
      <c r="Z11" s="1055">
        <f t="shared" si="5"/>
        <v>0</v>
      </c>
      <c r="AA11" s="822">
        <f>VLOOKUP(V11,CASSA!$B$114:$C$479,2,FALSE)</f>
        <v>0</v>
      </c>
      <c r="AB11" s="1053">
        <f t="shared" si="12"/>
        <v>0</v>
      </c>
      <c r="AC11" s="1054">
        <f t="shared" si="13"/>
        <v>0</v>
      </c>
      <c r="AD11" s="1054">
        <f t="shared" si="14"/>
        <v>0</v>
      </c>
      <c r="AE11" s="1055">
        <f t="shared" si="15"/>
        <v>0</v>
      </c>
      <c r="AF11" s="2"/>
      <c r="AG11" s="1090">
        <f t="shared" si="16"/>
        <v>0</v>
      </c>
      <c r="AH11" s="1091">
        <f t="shared" si="17"/>
        <v>0</v>
      </c>
      <c r="AI11" s="1054">
        <f t="shared" si="18"/>
        <v>0</v>
      </c>
      <c r="AJ11" s="1054">
        <f t="shared" si="19"/>
        <v>0</v>
      </c>
      <c r="AK11" s="1092">
        <f t="shared" si="6"/>
        <v>0</v>
      </c>
      <c r="AL11" s="2"/>
      <c r="AM11" s="1090">
        <f t="shared" si="7"/>
        <v>0</v>
      </c>
      <c r="AN11" s="1105">
        <f t="shared" si="20"/>
        <v>0</v>
      </c>
      <c r="AO11" s="1054">
        <f t="shared" si="21"/>
        <v>0</v>
      </c>
      <c r="AP11" s="1054">
        <f t="shared" si="22"/>
        <v>0</v>
      </c>
      <c r="AQ11" s="1092">
        <f t="shared" si="23"/>
        <v>0</v>
      </c>
      <c r="AR11" s="2"/>
      <c r="AS11" s="1090">
        <f t="shared" si="24"/>
        <v>0</v>
      </c>
      <c r="AT11" s="1091">
        <f t="shared" si="25"/>
        <v>0</v>
      </c>
      <c r="AU11" s="1054">
        <f t="shared" si="26"/>
        <v>0</v>
      </c>
      <c r="AV11" s="1054">
        <f t="shared" si="27"/>
        <v>0</v>
      </c>
      <c r="AW11" s="1092">
        <f t="shared" si="28"/>
        <v>0</v>
      </c>
      <c r="AX11" s="2"/>
      <c r="AY11" s="1090">
        <f t="shared" si="29"/>
        <v>0</v>
      </c>
      <c r="AZ11" s="1385" t="s">
        <v>853</v>
      </c>
      <c r="BA11" s="2"/>
    </row>
    <row r="12" spans="1:53" ht="20.25" customHeight="1" x14ac:dyDescent="0.2">
      <c r="A12" s="2"/>
      <c r="B12" s="18">
        <v>5</v>
      </c>
      <c r="C12" s="234">
        <f t="shared" si="30"/>
        <v>5</v>
      </c>
      <c r="D12" s="235">
        <f t="shared" si="8"/>
        <v>3</v>
      </c>
      <c r="E12" s="2159">
        <f t="shared" si="0"/>
        <v>0</v>
      </c>
      <c r="F12" s="2160"/>
      <c r="G12" s="237"/>
      <c r="H12" s="237"/>
      <c r="I12" s="828"/>
      <c r="J12" s="829"/>
      <c r="K12" s="237"/>
      <c r="L12" s="828"/>
      <c r="M12" s="829"/>
      <c r="N12" s="237"/>
      <c r="O12" s="828"/>
      <c r="P12" s="829"/>
      <c r="Q12" s="6"/>
      <c r="R12" s="1053">
        <f t="shared" si="9"/>
        <v>0</v>
      </c>
      <c r="S12" s="1054">
        <f t="shared" si="1"/>
        <v>0</v>
      </c>
      <c r="T12" s="1054">
        <f t="shared" si="10"/>
        <v>0</v>
      </c>
      <c r="U12" s="1055">
        <f t="shared" si="11"/>
        <v>0</v>
      </c>
      <c r="V12" s="231">
        <f t="shared" si="31"/>
        <v>45356</v>
      </c>
      <c r="W12" s="1053">
        <f t="shared" si="2"/>
        <v>0</v>
      </c>
      <c r="X12" s="1054">
        <f t="shared" si="3"/>
        <v>0</v>
      </c>
      <c r="Y12" s="1054">
        <f t="shared" si="4"/>
        <v>0</v>
      </c>
      <c r="Z12" s="1055">
        <f t="shared" si="5"/>
        <v>0</v>
      </c>
      <c r="AA12" s="822">
        <f>VLOOKUP(V12,CASSA!$B$114:$C$479,2,FALSE)</f>
        <v>0</v>
      </c>
      <c r="AB12" s="1053">
        <f t="shared" si="12"/>
        <v>0</v>
      </c>
      <c r="AC12" s="1054">
        <f t="shared" si="13"/>
        <v>0</v>
      </c>
      <c r="AD12" s="1054">
        <f t="shared" si="14"/>
        <v>0</v>
      </c>
      <c r="AE12" s="1055">
        <f t="shared" si="15"/>
        <v>0</v>
      </c>
      <c r="AF12" s="2"/>
      <c r="AG12" s="1090">
        <f t="shared" si="16"/>
        <v>0</v>
      </c>
      <c r="AH12" s="1091">
        <f t="shared" si="17"/>
        <v>0</v>
      </c>
      <c r="AI12" s="1054">
        <f t="shared" si="18"/>
        <v>0</v>
      </c>
      <c r="AJ12" s="1054">
        <f t="shared" si="19"/>
        <v>0</v>
      </c>
      <c r="AK12" s="1092">
        <f t="shared" si="6"/>
        <v>0</v>
      </c>
      <c r="AL12" s="2"/>
      <c r="AM12" s="1090">
        <f t="shared" si="7"/>
        <v>0</v>
      </c>
      <c r="AN12" s="1105">
        <f t="shared" si="20"/>
        <v>0</v>
      </c>
      <c r="AO12" s="1054">
        <f t="shared" si="21"/>
        <v>0</v>
      </c>
      <c r="AP12" s="1054">
        <f t="shared" si="22"/>
        <v>0</v>
      </c>
      <c r="AQ12" s="1092">
        <f t="shared" si="23"/>
        <v>0</v>
      </c>
      <c r="AR12" s="2"/>
      <c r="AS12" s="1090">
        <f t="shared" si="24"/>
        <v>0</v>
      </c>
      <c r="AT12" s="1091">
        <f t="shared" si="25"/>
        <v>0</v>
      </c>
      <c r="AU12" s="1054">
        <f t="shared" si="26"/>
        <v>0</v>
      </c>
      <c r="AV12" s="1054">
        <f t="shared" si="27"/>
        <v>0</v>
      </c>
      <c r="AW12" s="1092">
        <f t="shared" si="28"/>
        <v>0</v>
      </c>
      <c r="AX12" s="2"/>
      <c r="AY12" s="1090">
        <f t="shared" si="29"/>
        <v>0</v>
      </c>
      <c r="AZ12" s="1385"/>
      <c r="BA12" s="2"/>
    </row>
    <row r="13" spans="1:53" ht="20.25" customHeight="1" x14ac:dyDescent="0.2">
      <c r="A13" s="2"/>
      <c r="B13" s="18">
        <v>6</v>
      </c>
      <c r="C13" s="234">
        <f t="shared" si="30"/>
        <v>6</v>
      </c>
      <c r="D13" s="235">
        <f t="shared" si="8"/>
        <v>3</v>
      </c>
      <c r="E13" s="2159">
        <f t="shared" si="0"/>
        <v>0</v>
      </c>
      <c r="F13" s="2160"/>
      <c r="G13" s="237"/>
      <c r="H13" s="237"/>
      <c r="I13" s="828"/>
      <c r="J13" s="829"/>
      <c r="K13" s="237"/>
      <c r="L13" s="828"/>
      <c r="M13" s="829"/>
      <c r="N13" s="237"/>
      <c r="O13" s="828"/>
      <c r="P13" s="829"/>
      <c r="Q13" s="6"/>
      <c r="R13" s="1053">
        <f t="shared" si="9"/>
        <v>0</v>
      </c>
      <c r="S13" s="1054">
        <f t="shared" si="1"/>
        <v>0</v>
      </c>
      <c r="T13" s="1054">
        <f t="shared" si="10"/>
        <v>0</v>
      </c>
      <c r="U13" s="1055">
        <f t="shared" si="11"/>
        <v>0</v>
      </c>
      <c r="V13" s="231">
        <f t="shared" si="31"/>
        <v>45357</v>
      </c>
      <c r="W13" s="1053">
        <f t="shared" si="2"/>
        <v>0</v>
      </c>
      <c r="X13" s="1054">
        <f t="shared" si="3"/>
        <v>0</v>
      </c>
      <c r="Y13" s="1054">
        <f t="shared" si="4"/>
        <v>0</v>
      </c>
      <c r="Z13" s="1055">
        <f t="shared" si="5"/>
        <v>0</v>
      </c>
      <c r="AA13" s="822">
        <f>VLOOKUP(V13,CASSA!$B$114:$C$479,2,FALSE)</f>
        <v>0</v>
      </c>
      <c r="AB13" s="1053">
        <f t="shared" si="12"/>
        <v>0</v>
      </c>
      <c r="AC13" s="1054">
        <f t="shared" si="13"/>
        <v>0</v>
      </c>
      <c r="AD13" s="1054">
        <f t="shared" si="14"/>
        <v>0</v>
      </c>
      <c r="AE13" s="1055">
        <f t="shared" si="15"/>
        <v>0</v>
      </c>
      <c r="AF13" s="2"/>
      <c r="AG13" s="1090">
        <f t="shared" si="16"/>
        <v>0</v>
      </c>
      <c r="AH13" s="1091">
        <f t="shared" si="17"/>
        <v>0</v>
      </c>
      <c r="AI13" s="1054">
        <f t="shared" si="18"/>
        <v>0</v>
      </c>
      <c r="AJ13" s="1054">
        <f t="shared" si="19"/>
        <v>0</v>
      </c>
      <c r="AK13" s="1092">
        <f t="shared" si="6"/>
        <v>0</v>
      </c>
      <c r="AL13" s="2"/>
      <c r="AM13" s="1090">
        <f t="shared" si="7"/>
        <v>0</v>
      </c>
      <c r="AN13" s="1105">
        <f t="shared" si="20"/>
        <v>0</v>
      </c>
      <c r="AO13" s="1054">
        <f t="shared" si="21"/>
        <v>0</v>
      </c>
      <c r="AP13" s="1054">
        <f t="shared" si="22"/>
        <v>0</v>
      </c>
      <c r="AQ13" s="1092">
        <f t="shared" si="23"/>
        <v>0</v>
      </c>
      <c r="AR13" s="2"/>
      <c r="AS13" s="1090">
        <f t="shared" si="24"/>
        <v>0</v>
      </c>
      <c r="AT13" s="1091">
        <f t="shared" si="25"/>
        <v>0</v>
      </c>
      <c r="AU13" s="1054">
        <f t="shared" si="26"/>
        <v>0</v>
      </c>
      <c r="AV13" s="1054">
        <f t="shared" si="27"/>
        <v>0</v>
      </c>
      <c r="AW13" s="1092">
        <f t="shared" si="28"/>
        <v>0</v>
      </c>
      <c r="AX13" s="2"/>
      <c r="AY13" s="1090">
        <f t="shared" si="29"/>
        <v>0</v>
      </c>
      <c r="AZ13" s="1385"/>
      <c r="BA13" s="2"/>
    </row>
    <row r="14" spans="1:53" ht="20.25" customHeight="1" x14ac:dyDescent="0.2">
      <c r="A14" s="2"/>
      <c r="B14" s="18">
        <v>7</v>
      </c>
      <c r="C14" s="234">
        <f t="shared" si="30"/>
        <v>7</v>
      </c>
      <c r="D14" s="235">
        <f t="shared" si="8"/>
        <v>3</v>
      </c>
      <c r="E14" s="2159">
        <f t="shared" si="0"/>
        <v>0</v>
      </c>
      <c r="F14" s="2160"/>
      <c r="G14" s="237"/>
      <c r="H14" s="237"/>
      <c r="I14" s="828"/>
      <c r="J14" s="829"/>
      <c r="K14" s="237"/>
      <c r="L14" s="828"/>
      <c r="M14" s="829"/>
      <c r="N14" s="237"/>
      <c r="O14" s="828"/>
      <c r="P14" s="829"/>
      <c r="Q14" s="6"/>
      <c r="R14" s="1053">
        <f t="shared" si="9"/>
        <v>0</v>
      </c>
      <c r="S14" s="1054">
        <f t="shared" si="1"/>
        <v>0</v>
      </c>
      <c r="T14" s="1054">
        <f t="shared" si="10"/>
        <v>0</v>
      </c>
      <c r="U14" s="1055">
        <f t="shared" si="11"/>
        <v>0</v>
      </c>
      <c r="V14" s="231">
        <f t="shared" si="31"/>
        <v>45358</v>
      </c>
      <c r="W14" s="1053">
        <f t="shared" si="2"/>
        <v>0</v>
      </c>
      <c r="X14" s="1054">
        <f t="shared" si="3"/>
        <v>0</v>
      </c>
      <c r="Y14" s="1054">
        <f t="shared" si="4"/>
        <v>0</v>
      </c>
      <c r="Z14" s="1055">
        <f t="shared" si="5"/>
        <v>0</v>
      </c>
      <c r="AA14" s="822">
        <f>VLOOKUP(V14,CASSA!$B$114:$C$479,2,FALSE)</f>
        <v>0</v>
      </c>
      <c r="AB14" s="1053">
        <f t="shared" si="12"/>
        <v>0</v>
      </c>
      <c r="AC14" s="1054">
        <f t="shared" si="13"/>
        <v>0</v>
      </c>
      <c r="AD14" s="1054">
        <f t="shared" si="14"/>
        <v>0</v>
      </c>
      <c r="AE14" s="1055">
        <f t="shared" si="15"/>
        <v>0</v>
      </c>
      <c r="AF14" s="2"/>
      <c r="AG14" s="1090">
        <f t="shared" si="16"/>
        <v>0</v>
      </c>
      <c r="AH14" s="1091">
        <f t="shared" si="17"/>
        <v>0</v>
      </c>
      <c r="AI14" s="1054">
        <f t="shared" si="18"/>
        <v>0</v>
      </c>
      <c r="AJ14" s="1054">
        <f t="shared" si="19"/>
        <v>0</v>
      </c>
      <c r="AK14" s="1092">
        <f t="shared" si="6"/>
        <v>0</v>
      </c>
      <c r="AL14" s="2"/>
      <c r="AM14" s="1090">
        <f t="shared" si="7"/>
        <v>0</v>
      </c>
      <c r="AN14" s="1105">
        <f t="shared" si="20"/>
        <v>0</v>
      </c>
      <c r="AO14" s="1054">
        <f t="shared" si="21"/>
        <v>0</v>
      </c>
      <c r="AP14" s="1054">
        <f t="shared" si="22"/>
        <v>0</v>
      </c>
      <c r="AQ14" s="1092">
        <f t="shared" si="23"/>
        <v>0</v>
      </c>
      <c r="AR14" s="2"/>
      <c r="AS14" s="1090">
        <f t="shared" si="24"/>
        <v>0</v>
      </c>
      <c r="AT14" s="1091">
        <f t="shared" si="25"/>
        <v>0</v>
      </c>
      <c r="AU14" s="1054">
        <f t="shared" si="26"/>
        <v>0</v>
      </c>
      <c r="AV14" s="1054">
        <f t="shared" si="27"/>
        <v>0</v>
      </c>
      <c r="AW14" s="1092">
        <f t="shared" si="28"/>
        <v>0</v>
      </c>
      <c r="AX14" s="2"/>
      <c r="AY14" s="1090">
        <f t="shared" si="29"/>
        <v>0</v>
      </c>
      <c r="AZ14" s="1385"/>
      <c r="BA14" s="2"/>
    </row>
    <row r="15" spans="1:53" ht="20.25" customHeight="1" x14ac:dyDescent="0.2">
      <c r="A15" s="2"/>
      <c r="B15" s="18">
        <v>8</v>
      </c>
      <c r="C15" s="234">
        <f t="shared" si="30"/>
        <v>8</v>
      </c>
      <c r="D15" s="235">
        <f t="shared" si="8"/>
        <v>3</v>
      </c>
      <c r="E15" s="2159">
        <f t="shared" si="0"/>
        <v>0</v>
      </c>
      <c r="F15" s="2160"/>
      <c r="G15" s="237"/>
      <c r="H15" s="237"/>
      <c r="I15" s="828"/>
      <c r="J15" s="829"/>
      <c r="K15" s="237"/>
      <c r="L15" s="828"/>
      <c r="M15" s="829"/>
      <c r="N15" s="237"/>
      <c r="O15" s="828"/>
      <c r="P15" s="829"/>
      <c r="Q15" s="6"/>
      <c r="R15" s="1053">
        <f t="shared" si="9"/>
        <v>0</v>
      </c>
      <c r="S15" s="1054">
        <f t="shared" si="1"/>
        <v>0</v>
      </c>
      <c r="T15" s="1054">
        <f t="shared" si="10"/>
        <v>0</v>
      </c>
      <c r="U15" s="1055">
        <f t="shared" si="11"/>
        <v>0</v>
      </c>
      <c r="V15" s="231">
        <f t="shared" si="31"/>
        <v>45359</v>
      </c>
      <c r="W15" s="1053">
        <f t="shared" si="2"/>
        <v>0</v>
      </c>
      <c r="X15" s="1054">
        <f t="shared" si="3"/>
        <v>0</v>
      </c>
      <c r="Y15" s="1054">
        <f t="shared" si="4"/>
        <v>0</v>
      </c>
      <c r="Z15" s="1055">
        <f t="shared" si="5"/>
        <v>0</v>
      </c>
      <c r="AA15" s="822">
        <f>VLOOKUP(V15,CASSA!$B$114:$C$479,2,FALSE)</f>
        <v>0</v>
      </c>
      <c r="AB15" s="1053">
        <f t="shared" si="12"/>
        <v>0</v>
      </c>
      <c r="AC15" s="1054">
        <f t="shared" si="13"/>
        <v>0</v>
      </c>
      <c r="AD15" s="1054">
        <f t="shared" si="14"/>
        <v>0</v>
      </c>
      <c r="AE15" s="1055">
        <f t="shared" si="15"/>
        <v>0</v>
      </c>
      <c r="AF15" s="2"/>
      <c r="AG15" s="1090">
        <f t="shared" si="16"/>
        <v>0</v>
      </c>
      <c r="AH15" s="1091">
        <f t="shared" si="17"/>
        <v>0</v>
      </c>
      <c r="AI15" s="1054">
        <f t="shared" si="18"/>
        <v>0</v>
      </c>
      <c r="AJ15" s="1054">
        <f t="shared" si="19"/>
        <v>0</v>
      </c>
      <c r="AK15" s="1092">
        <f t="shared" si="6"/>
        <v>0</v>
      </c>
      <c r="AL15" s="2"/>
      <c r="AM15" s="1090">
        <f t="shared" si="7"/>
        <v>0</v>
      </c>
      <c r="AN15" s="1105">
        <f t="shared" si="20"/>
        <v>0</v>
      </c>
      <c r="AO15" s="1054">
        <f t="shared" si="21"/>
        <v>0</v>
      </c>
      <c r="AP15" s="1054">
        <f t="shared" si="22"/>
        <v>0</v>
      </c>
      <c r="AQ15" s="1092">
        <f t="shared" si="23"/>
        <v>0</v>
      </c>
      <c r="AR15" s="2"/>
      <c r="AS15" s="1090">
        <f t="shared" si="24"/>
        <v>0</v>
      </c>
      <c r="AT15" s="1091">
        <f t="shared" si="25"/>
        <v>0</v>
      </c>
      <c r="AU15" s="1054">
        <f t="shared" si="26"/>
        <v>0</v>
      </c>
      <c r="AV15" s="1054">
        <f t="shared" si="27"/>
        <v>0</v>
      </c>
      <c r="AW15" s="1092">
        <f t="shared" si="28"/>
        <v>0</v>
      </c>
      <c r="AX15" s="2"/>
      <c r="AY15" s="1090">
        <f t="shared" si="29"/>
        <v>0</v>
      </c>
      <c r="AZ15" s="1385"/>
      <c r="BA15" s="2"/>
    </row>
    <row r="16" spans="1:53" ht="20.25" customHeight="1" x14ac:dyDescent="0.2">
      <c r="A16" s="2"/>
      <c r="B16" s="18">
        <v>9</v>
      </c>
      <c r="C16" s="234">
        <f t="shared" si="30"/>
        <v>9</v>
      </c>
      <c r="D16" s="235">
        <f t="shared" si="8"/>
        <v>3</v>
      </c>
      <c r="E16" s="2159">
        <f t="shared" si="0"/>
        <v>0</v>
      </c>
      <c r="F16" s="2160"/>
      <c r="G16" s="237"/>
      <c r="H16" s="237"/>
      <c r="I16" s="828"/>
      <c r="J16" s="829"/>
      <c r="K16" s="237"/>
      <c r="L16" s="828"/>
      <c r="M16" s="829"/>
      <c r="N16" s="237"/>
      <c r="O16" s="828"/>
      <c r="P16" s="829"/>
      <c r="Q16" s="6"/>
      <c r="R16" s="1053">
        <f t="shared" si="9"/>
        <v>0</v>
      </c>
      <c r="S16" s="1054">
        <f t="shared" si="1"/>
        <v>0</v>
      </c>
      <c r="T16" s="1054">
        <f t="shared" si="10"/>
        <v>0</v>
      </c>
      <c r="U16" s="1055">
        <f t="shared" si="11"/>
        <v>0</v>
      </c>
      <c r="V16" s="231">
        <f t="shared" si="31"/>
        <v>45360</v>
      </c>
      <c r="W16" s="1053">
        <f t="shared" si="2"/>
        <v>0</v>
      </c>
      <c r="X16" s="1054">
        <f t="shared" si="3"/>
        <v>0</v>
      </c>
      <c r="Y16" s="1054">
        <f t="shared" si="4"/>
        <v>0</v>
      </c>
      <c r="Z16" s="1055">
        <f t="shared" si="5"/>
        <v>0</v>
      </c>
      <c r="AA16" s="822">
        <f>VLOOKUP(V16,CASSA!$B$114:$C$479,2,FALSE)</f>
        <v>0</v>
      </c>
      <c r="AB16" s="1053">
        <f t="shared" si="12"/>
        <v>0</v>
      </c>
      <c r="AC16" s="1054">
        <f t="shared" si="13"/>
        <v>0</v>
      </c>
      <c r="AD16" s="1054">
        <f t="shared" si="14"/>
        <v>0</v>
      </c>
      <c r="AE16" s="1055">
        <f t="shared" si="15"/>
        <v>0</v>
      </c>
      <c r="AF16" s="2"/>
      <c r="AG16" s="1090">
        <f t="shared" si="16"/>
        <v>0</v>
      </c>
      <c r="AH16" s="1091">
        <f t="shared" si="17"/>
        <v>0</v>
      </c>
      <c r="AI16" s="1054">
        <f t="shared" si="18"/>
        <v>0</v>
      </c>
      <c r="AJ16" s="1054">
        <f t="shared" si="19"/>
        <v>0</v>
      </c>
      <c r="AK16" s="1092">
        <f t="shared" si="6"/>
        <v>0</v>
      </c>
      <c r="AL16" s="2"/>
      <c r="AM16" s="1090">
        <f t="shared" si="7"/>
        <v>0</v>
      </c>
      <c r="AN16" s="1105">
        <f t="shared" si="20"/>
        <v>0</v>
      </c>
      <c r="AO16" s="1054">
        <f t="shared" si="21"/>
        <v>0</v>
      </c>
      <c r="AP16" s="1054">
        <f t="shared" si="22"/>
        <v>0</v>
      </c>
      <c r="AQ16" s="1092">
        <f t="shared" si="23"/>
        <v>0</v>
      </c>
      <c r="AR16" s="2"/>
      <c r="AS16" s="1090">
        <f t="shared" si="24"/>
        <v>0</v>
      </c>
      <c r="AT16" s="1091">
        <f t="shared" si="25"/>
        <v>0</v>
      </c>
      <c r="AU16" s="1054">
        <f t="shared" si="26"/>
        <v>0</v>
      </c>
      <c r="AV16" s="1054">
        <f t="shared" si="27"/>
        <v>0</v>
      </c>
      <c r="AW16" s="1092">
        <f t="shared" si="28"/>
        <v>0</v>
      </c>
      <c r="AX16" s="2"/>
      <c r="AY16" s="1090">
        <f t="shared" si="29"/>
        <v>0</v>
      </c>
      <c r="AZ16" s="1385"/>
      <c r="BA16" s="2"/>
    </row>
    <row r="17" spans="1:53" ht="20.25" customHeight="1" x14ac:dyDescent="0.2">
      <c r="A17" s="2"/>
      <c r="B17" s="18">
        <v>10</v>
      </c>
      <c r="C17" s="234">
        <f t="shared" si="30"/>
        <v>10</v>
      </c>
      <c r="D17" s="235">
        <f t="shared" si="8"/>
        <v>3</v>
      </c>
      <c r="E17" s="2159">
        <f t="shared" si="0"/>
        <v>0</v>
      </c>
      <c r="F17" s="2160"/>
      <c r="G17" s="237"/>
      <c r="H17" s="237"/>
      <c r="I17" s="828"/>
      <c r="J17" s="829"/>
      <c r="K17" s="237"/>
      <c r="L17" s="828"/>
      <c r="M17" s="829"/>
      <c r="N17" s="237"/>
      <c r="O17" s="828"/>
      <c r="P17" s="829"/>
      <c r="Q17" s="6"/>
      <c r="R17" s="1053">
        <f t="shared" si="9"/>
        <v>0</v>
      </c>
      <c r="S17" s="1054">
        <f t="shared" si="1"/>
        <v>0</v>
      </c>
      <c r="T17" s="1054">
        <f t="shared" si="10"/>
        <v>0</v>
      </c>
      <c r="U17" s="1055">
        <f t="shared" si="11"/>
        <v>0</v>
      </c>
      <c r="V17" s="231">
        <f t="shared" si="31"/>
        <v>45361</v>
      </c>
      <c r="W17" s="1053">
        <f t="shared" si="2"/>
        <v>0</v>
      </c>
      <c r="X17" s="1054">
        <f t="shared" si="3"/>
        <v>0</v>
      </c>
      <c r="Y17" s="1054">
        <f t="shared" si="4"/>
        <v>0</v>
      </c>
      <c r="Z17" s="1055">
        <f t="shared" si="5"/>
        <v>0</v>
      </c>
      <c r="AA17" s="822">
        <f>VLOOKUP(V17,CASSA!$B$114:$C$479,2,FALSE)</f>
        <v>0</v>
      </c>
      <c r="AB17" s="1053">
        <f t="shared" si="12"/>
        <v>0</v>
      </c>
      <c r="AC17" s="1054">
        <f t="shared" si="13"/>
        <v>0</v>
      </c>
      <c r="AD17" s="1054">
        <f t="shared" si="14"/>
        <v>0</v>
      </c>
      <c r="AE17" s="1055">
        <f t="shared" si="15"/>
        <v>0</v>
      </c>
      <c r="AF17" s="2"/>
      <c r="AG17" s="1090">
        <f t="shared" si="16"/>
        <v>0</v>
      </c>
      <c r="AH17" s="1091">
        <f t="shared" si="17"/>
        <v>0</v>
      </c>
      <c r="AI17" s="1054">
        <f t="shared" si="18"/>
        <v>0</v>
      </c>
      <c r="AJ17" s="1054">
        <f t="shared" si="19"/>
        <v>0</v>
      </c>
      <c r="AK17" s="1092">
        <f t="shared" si="6"/>
        <v>0</v>
      </c>
      <c r="AL17" s="2"/>
      <c r="AM17" s="1090">
        <f t="shared" si="7"/>
        <v>0</v>
      </c>
      <c r="AN17" s="1105">
        <f t="shared" si="20"/>
        <v>0</v>
      </c>
      <c r="AO17" s="1054">
        <f t="shared" si="21"/>
        <v>0</v>
      </c>
      <c r="AP17" s="1054">
        <f t="shared" si="22"/>
        <v>0</v>
      </c>
      <c r="AQ17" s="1092">
        <f t="shared" si="23"/>
        <v>0</v>
      </c>
      <c r="AR17" s="2"/>
      <c r="AS17" s="1090">
        <f t="shared" si="24"/>
        <v>0</v>
      </c>
      <c r="AT17" s="1091">
        <f t="shared" si="25"/>
        <v>0</v>
      </c>
      <c r="AU17" s="1054">
        <f t="shared" si="26"/>
        <v>0</v>
      </c>
      <c r="AV17" s="1054">
        <f t="shared" si="27"/>
        <v>0</v>
      </c>
      <c r="AW17" s="1092">
        <f t="shared" si="28"/>
        <v>0</v>
      </c>
      <c r="AX17" s="2"/>
      <c r="AY17" s="1090">
        <f t="shared" si="29"/>
        <v>0</v>
      </c>
      <c r="AZ17" s="1385"/>
      <c r="BA17" s="2"/>
    </row>
    <row r="18" spans="1:53" ht="20.25" customHeight="1" x14ac:dyDescent="0.2">
      <c r="A18" s="2"/>
      <c r="B18" s="18">
        <v>11</v>
      </c>
      <c r="C18" s="234">
        <f t="shared" si="30"/>
        <v>11</v>
      </c>
      <c r="D18" s="235">
        <f t="shared" si="8"/>
        <v>3</v>
      </c>
      <c r="E18" s="2159">
        <f t="shared" si="0"/>
        <v>0</v>
      </c>
      <c r="F18" s="2160"/>
      <c r="G18" s="237"/>
      <c r="H18" s="237"/>
      <c r="I18" s="828"/>
      <c r="J18" s="829"/>
      <c r="K18" s="237"/>
      <c r="L18" s="828"/>
      <c r="M18" s="829"/>
      <c r="N18" s="237"/>
      <c r="O18" s="828"/>
      <c r="P18" s="829"/>
      <c r="Q18" s="6"/>
      <c r="R18" s="1053">
        <f t="shared" si="9"/>
        <v>0</v>
      </c>
      <c r="S18" s="1054">
        <f t="shared" si="1"/>
        <v>0</v>
      </c>
      <c r="T18" s="1054">
        <f t="shared" si="10"/>
        <v>0</v>
      </c>
      <c r="U18" s="1055">
        <f t="shared" si="11"/>
        <v>0</v>
      </c>
      <c r="V18" s="231">
        <f t="shared" si="31"/>
        <v>45362</v>
      </c>
      <c r="W18" s="1053">
        <f t="shared" si="2"/>
        <v>0</v>
      </c>
      <c r="X18" s="1054">
        <f t="shared" si="3"/>
        <v>0</v>
      </c>
      <c r="Y18" s="1054">
        <f t="shared" si="4"/>
        <v>0</v>
      </c>
      <c r="Z18" s="1055">
        <f t="shared" si="5"/>
        <v>0</v>
      </c>
      <c r="AA18" s="822">
        <f>VLOOKUP(V18,CASSA!$B$114:$C$479,2,FALSE)</f>
        <v>0</v>
      </c>
      <c r="AB18" s="1053">
        <f t="shared" si="12"/>
        <v>0</v>
      </c>
      <c r="AC18" s="1054">
        <f t="shared" si="13"/>
        <v>0</v>
      </c>
      <c r="AD18" s="1054">
        <f t="shared" si="14"/>
        <v>0</v>
      </c>
      <c r="AE18" s="1055">
        <f t="shared" si="15"/>
        <v>0</v>
      </c>
      <c r="AF18" s="2"/>
      <c r="AG18" s="1090">
        <f t="shared" si="16"/>
        <v>0</v>
      </c>
      <c r="AH18" s="1091">
        <f t="shared" si="17"/>
        <v>0</v>
      </c>
      <c r="AI18" s="1054">
        <f t="shared" si="18"/>
        <v>0</v>
      </c>
      <c r="AJ18" s="1054">
        <f t="shared" si="19"/>
        <v>0</v>
      </c>
      <c r="AK18" s="1092">
        <f t="shared" si="6"/>
        <v>0</v>
      </c>
      <c r="AL18" s="2"/>
      <c r="AM18" s="1090">
        <f t="shared" si="7"/>
        <v>0</v>
      </c>
      <c r="AN18" s="1105">
        <f t="shared" si="20"/>
        <v>0</v>
      </c>
      <c r="AO18" s="1054">
        <f t="shared" si="21"/>
        <v>0</v>
      </c>
      <c r="AP18" s="1054">
        <f t="shared" si="22"/>
        <v>0</v>
      </c>
      <c r="AQ18" s="1092">
        <f t="shared" si="23"/>
        <v>0</v>
      </c>
      <c r="AR18" s="2"/>
      <c r="AS18" s="1090">
        <f t="shared" si="24"/>
        <v>0</v>
      </c>
      <c r="AT18" s="1091">
        <f t="shared" si="25"/>
        <v>0</v>
      </c>
      <c r="AU18" s="1054">
        <f t="shared" si="26"/>
        <v>0</v>
      </c>
      <c r="AV18" s="1054">
        <f t="shared" si="27"/>
        <v>0</v>
      </c>
      <c r="AW18" s="1092">
        <f t="shared" si="28"/>
        <v>0</v>
      </c>
      <c r="AX18" s="2"/>
      <c r="AY18" s="1090">
        <f t="shared" si="29"/>
        <v>0</v>
      </c>
      <c r="AZ18" s="1385"/>
      <c r="BA18" s="2"/>
    </row>
    <row r="19" spans="1:53" ht="20.25" customHeight="1" x14ac:dyDescent="0.2">
      <c r="A19" s="2"/>
      <c r="B19" s="18">
        <v>12</v>
      </c>
      <c r="C19" s="234">
        <f t="shared" si="30"/>
        <v>12</v>
      </c>
      <c r="D19" s="235">
        <f t="shared" si="8"/>
        <v>3</v>
      </c>
      <c r="E19" s="2159">
        <f t="shared" si="0"/>
        <v>0</v>
      </c>
      <c r="F19" s="2160"/>
      <c r="G19" s="237"/>
      <c r="H19" s="237"/>
      <c r="I19" s="828"/>
      <c r="J19" s="829"/>
      <c r="K19" s="237"/>
      <c r="L19" s="828"/>
      <c r="M19" s="829"/>
      <c r="N19" s="237"/>
      <c r="O19" s="828"/>
      <c r="P19" s="829"/>
      <c r="Q19" s="6"/>
      <c r="R19" s="1053">
        <f t="shared" si="9"/>
        <v>0</v>
      </c>
      <c r="S19" s="1054">
        <f t="shared" si="1"/>
        <v>0</v>
      </c>
      <c r="T19" s="1054">
        <f t="shared" si="10"/>
        <v>0</v>
      </c>
      <c r="U19" s="1055">
        <f t="shared" si="11"/>
        <v>0</v>
      </c>
      <c r="V19" s="231">
        <f t="shared" si="31"/>
        <v>45363</v>
      </c>
      <c r="W19" s="1053">
        <f t="shared" si="2"/>
        <v>0</v>
      </c>
      <c r="X19" s="1054">
        <f t="shared" si="3"/>
        <v>0</v>
      </c>
      <c r="Y19" s="1054">
        <f t="shared" si="4"/>
        <v>0</v>
      </c>
      <c r="Z19" s="1055">
        <f t="shared" si="5"/>
        <v>0</v>
      </c>
      <c r="AA19" s="822">
        <f>VLOOKUP(V19,CASSA!$B$114:$C$479,2,FALSE)</f>
        <v>0</v>
      </c>
      <c r="AB19" s="1053">
        <f t="shared" si="12"/>
        <v>0</v>
      </c>
      <c r="AC19" s="1054">
        <f t="shared" si="13"/>
        <v>0</v>
      </c>
      <c r="AD19" s="1054">
        <f t="shared" si="14"/>
        <v>0</v>
      </c>
      <c r="AE19" s="1055">
        <f t="shared" si="15"/>
        <v>0</v>
      </c>
      <c r="AF19" s="2"/>
      <c r="AG19" s="1090">
        <f t="shared" si="16"/>
        <v>0</v>
      </c>
      <c r="AH19" s="1091">
        <f t="shared" si="17"/>
        <v>0</v>
      </c>
      <c r="AI19" s="1054">
        <f t="shared" si="18"/>
        <v>0</v>
      </c>
      <c r="AJ19" s="1054">
        <f t="shared" si="19"/>
        <v>0</v>
      </c>
      <c r="AK19" s="1092">
        <f t="shared" si="6"/>
        <v>0</v>
      </c>
      <c r="AL19" s="2"/>
      <c r="AM19" s="1090">
        <f t="shared" si="7"/>
        <v>0</v>
      </c>
      <c r="AN19" s="1105">
        <f t="shared" si="20"/>
        <v>0</v>
      </c>
      <c r="AO19" s="1054">
        <f t="shared" si="21"/>
        <v>0</v>
      </c>
      <c r="AP19" s="1054">
        <f t="shared" si="22"/>
        <v>0</v>
      </c>
      <c r="AQ19" s="1092">
        <f t="shared" si="23"/>
        <v>0</v>
      </c>
      <c r="AR19" s="2"/>
      <c r="AS19" s="1090">
        <f t="shared" si="24"/>
        <v>0</v>
      </c>
      <c r="AT19" s="1091">
        <f t="shared" si="25"/>
        <v>0</v>
      </c>
      <c r="AU19" s="1054">
        <f t="shared" si="26"/>
        <v>0</v>
      </c>
      <c r="AV19" s="1054">
        <f t="shared" si="27"/>
        <v>0</v>
      </c>
      <c r="AW19" s="1092">
        <f t="shared" si="28"/>
        <v>0</v>
      </c>
      <c r="AX19" s="2"/>
      <c r="AY19" s="1090">
        <f t="shared" si="29"/>
        <v>0</v>
      </c>
      <c r="AZ19" s="1385"/>
      <c r="BA19" s="2"/>
    </row>
    <row r="20" spans="1:53" ht="20.25" customHeight="1" x14ac:dyDescent="0.2">
      <c r="A20" s="2"/>
      <c r="B20" s="18">
        <v>13</v>
      </c>
      <c r="C20" s="234">
        <f t="shared" si="30"/>
        <v>13</v>
      </c>
      <c r="D20" s="235">
        <f t="shared" si="8"/>
        <v>3</v>
      </c>
      <c r="E20" s="2159">
        <f t="shared" si="0"/>
        <v>0</v>
      </c>
      <c r="F20" s="2160"/>
      <c r="G20" s="237"/>
      <c r="H20" s="237"/>
      <c r="I20" s="828"/>
      <c r="J20" s="829"/>
      <c r="K20" s="237"/>
      <c r="L20" s="828"/>
      <c r="M20" s="829"/>
      <c r="N20" s="237"/>
      <c r="O20" s="828"/>
      <c r="P20" s="829"/>
      <c r="Q20" s="6"/>
      <c r="R20" s="1053">
        <f t="shared" si="9"/>
        <v>0</v>
      </c>
      <c r="S20" s="1054">
        <f t="shared" si="1"/>
        <v>0</v>
      </c>
      <c r="T20" s="1054">
        <f t="shared" si="10"/>
        <v>0</v>
      </c>
      <c r="U20" s="1055">
        <f t="shared" si="11"/>
        <v>0</v>
      </c>
      <c r="V20" s="231">
        <f t="shared" si="31"/>
        <v>45364</v>
      </c>
      <c r="W20" s="1053">
        <f t="shared" si="2"/>
        <v>0</v>
      </c>
      <c r="X20" s="1054">
        <f t="shared" si="3"/>
        <v>0</v>
      </c>
      <c r="Y20" s="1054">
        <f t="shared" si="4"/>
        <v>0</v>
      </c>
      <c r="Z20" s="1055">
        <f t="shared" si="5"/>
        <v>0</v>
      </c>
      <c r="AA20" s="822">
        <f>VLOOKUP(V20,CASSA!$B$114:$C$479,2,FALSE)</f>
        <v>0</v>
      </c>
      <c r="AB20" s="1053">
        <f t="shared" si="12"/>
        <v>0</v>
      </c>
      <c r="AC20" s="1054">
        <f t="shared" si="13"/>
        <v>0</v>
      </c>
      <c r="AD20" s="1054">
        <f t="shared" si="14"/>
        <v>0</v>
      </c>
      <c r="AE20" s="1055">
        <f t="shared" si="15"/>
        <v>0</v>
      </c>
      <c r="AF20" s="2"/>
      <c r="AG20" s="1090">
        <f t="shared" si="16"/>
        <v>0</v>
      </c>
      <c r="AH20" s="1091">
        <f t="shared" si="17"/>
        <v>0</v>
      </c>
      <c r="AI20" s="1054">
        <f t="shared" si="18"/>
        <v>0</v>
      </c>
      <c r="AJ20" s="1054">
        <f t="shared" si="19"/>
        <v>0</v>
      </c>
      <c r="AK20" s="1092">
        <f t="shared" si="6"/>
        <v>0</v>
      </c>
      <c r="AL20" s="2"/>
      <c r="AM20" s="1090">
        <f t="shared" si="7"/>
        <v>0</v>
      </c>
      <c r="AN20" s="1105">
        <f t="shared" si="20"/>
        <v>0</v>
      </c>
      <c r="AO20" s="1054">
        <f t="shared" si="21"/>
        <v>0</v>
      </c>
      <c r="AP20" s="1054">
        <f t="shared" si="22"/>
        <v>0</v>
      </c>
      <c r="AQ20" s="1092">
        <f t="shared" si="23"/>
        <v>0</v>
      </c>
      <c r="AR20" s="2"/>
      <c r="AS20" s="1090">
        <f t="shared" si="24"/>
        <v>0</v>
      </c>
      <c r="AT20" s="1091">
        <f t="shared" si="25"/>
        <v>0</v>
      </c>
      <c r="AU20" s="1054">
        <f t="shared" si="26"/>
        <v>0</v>
      </c>
      <c r="AV20" s="1054">
        <f t="shared" si="27"/>
        <v>0</v>
      </c>
      <c r="AW20" s="1092">
        <f t="shared" si="28"/>
        <v>0</v>
      </c>
      <c r="AX20" s="2"/>
      <c r="AY20" s="1090">
        <f t="shared" si="29"/>
        <v>0</v>
      </c>
      <c r="AZ20" s="1385"/>
      <c r="BA20" s="2"/>
    </row>
    <row r="21" spans="1:53" ht="20.25" customHeight="1" x14ac:dyDescent="0.2">
      <c r="A21" s="2"/>
      <c r="B21" s="18">
        <v>14</v>
      </c>
      <c r="C21" s="234">
        <f t="shared" si="30"/>
        <v>14</v>
      </c>
      <c r="D21" s="235">
        <f t="shared" si="8"/>
        <v>3</v>
      </c>
      <c r="E21" s="2159">
        <f t="shared" si="0"/>
        <v>0</v>
      </c>
      <c r="F21" s="2160"/>
      <c r="G21" s="237"/>
      <c r="H21" s="237"/>
      <c r="I21" s="828"/>
      <c r="J21" s="829"/>
      <c r="K21" s="237"/>
      <c r="L21" s="828"/>
      <c r="M21" s="829"/>
      <c r="N21" s="237"/>
      <c r="O21" s="828"/>
      <c r="P21" s="829"/>
      <c r="Q21" s="6"/>
      <c r="R21" s="1053">
        <f t="shared" si="9"/>
        <v>0</v>
      </c>
      <c r="S21" s="1054">
        <f t="shared" si="1"/>
        <v>0</v>
      </c>
      <c r="T21" s="1054">
        <f t="shared" si="10"/>
        <v>0</v>
      </c>
      <c r="U21" s="1055">
        <f t="shared" si="11"/>
        <v>0</v>
      </c>
      <c r="V21" s="231">
        <f t="shared" si="31"/>
        <v>45365</v>
      </c>
      <c r="W21" s="1053">
        <f t="shared" si="2"/>
        <v>0</v>
      </c>
      <c r="X21" s="1054">
        <f t="shared" si="3"/>
        <v>0</v>
      </c>
      <c r="Y21" s="1054">
        <f t="shared" si="4"/>
        <v>0</v>
      </c>
      <c r="Z21" s="1055">
        <f t="shared" si="5"/>
        <v>0</v>
      </c>
      <c r="AA21" s="822">
        <f>VLOOKUP(V21,CASSA!$B$114:$C$479,2,FALSE)</f>
        <v>0</v>
      </c>
      <c r="AB21" s="1053">
        <f t="shared" si="12"/>
        <v>0</v>
      </c>
      <c r="AC21" s="1054">
        <f t="shared" si="13"/>
        <v>0</v>
      </c>
      <c r="AD21" s="1054">
        <f t="shared" si="14"/>
        <v>0</v>
      </c>
      <c r="AE21" s="1055">
        <f t="shared" si="15"/>
        <v>0</v>
      </c>
      <c r="AF21" s="2"/>
      <c r="AG21" s="1090">
        <f t="shared" si="16"/>
        <v>0</v>
      </c>
      <c r="AH21" s="1091">
        <f t="shared" si="17"/>
        <v>0</v>
      </c>
      <c r="AI21" s="1054">
        <f t="shared" si="18"/>
        <v>0</v>
      </c>
      <c r="AJ21" s="1054">
        <f t="shared" si="19"/>
        <v>0</v>
      </c>
      <c r="AK21" s="1092">
        <f t="shared" si="6"/>
        <v>0</v>
      </c>
      <c r="AL21" s="2"/>
      <c r="AM21" s="1090">
        <f t="shared" si="7"/>
        <v>0</v>
      </c>
      <c r="AN21" s="1105">
        <f t="shared" si="20"/>
        <v>0</v>
      </c>
      <c r="AO21" s="1054">
        <f t="shared" si="21"/>
        <v>0</v>
      </c>
      <c r="AP21" s="1054">
        <f t="shared" si="22"/>
        <v>0</v>
      </c>
      <c r="AQ21" s="1092">
        <f t="shared" si="23"/>
        <v>0</v>
      </c>
      <c r="AR21" s="2"/>
      <c r="AS21" s="1090">
        <f t="shared" si="24"/>
        <v>0</v>
      </c>
      <c r="AT21" s="1091">
        <f t="shared" si="25"/>
        <v>0</v>
      </c>
      <c r="AU21" s="1054">
        <f t="shared" si="26"/>
        <v>0</v>
      </c>
      <c r="AV21" s="1054">
        <f t="shared" si="27"/>
        <v>0</v>
      </c>
      <c r="AW21" s="1092">
        <f t="shared" si="28"/>
        <v>0</v>
      </c>
      <c r="AX21" s="2"/>
      <c r="AY21" s="1090">
        <f t="shared" si="29"/>
        <v>0</v>
      </c>
      <c r="AZ21" s="1385"/>
      <c r="BA21" s="2"/>
    </row>
    <row r="22" spans="1:53" ht="20.25" customHeight="1" x14ac:dyDescent="0.2">
      <c r="A22" s="2"/>
      <c r="B22" s="18">
        <v>15</v>
      </c>
      <c r="C22" s="234">
        <f t="shared" si="30"/>
        <v>15</v>
      </c>
      <c r="D22" s="235">
        <f t="shared" si="8"/>
        <v>3</v>
      </c>
      <c r="E22" s="2159">
        <f t="shared" si="0"/>
        <v>0</v>
      </c>
      <c r="F22" s="2160"/>
      <c r="G22" s="237"/>
      <c r="H22" s="237"/>
      <c r="I22" s="828"/>
      <c r="J22" s="829"/>
      <c r="K22" s="237"/>
      <c r="L22" s="828"/>
      <c r="M22" s="829"/>
      <c r="N22" s="237"/>
      <c r="O22" s="828"/>
      <c r="P22" s="829"/>
      <c r="Q22" s="6"/>
      <c r="R22" s="1053">
        <f t="shared" si="9"/>
        <v>0</v>
      </c>
      <c r="S22" s="1054">
        <f t="shared" si="1"/>
        <v>0</v>
      </c>
      <c r="T22" s="1054">
        <f t="shared" si="10"/>
        <v>0</v>
      </c>
      <c r="U22" s="1055">
        <f t="shared" si="11"/>
        <v>0</v>
      </c>
      <c r="V22" s="231">
        <f t="shared" si="31"/>
        <v>45366</v>
      </c>
      <c r="W22" s="1053">
        <f t="shared" si="2"/>
        <v>0</v>
      </c>
      <c r="X22" s="1054">
        <f t="shared" si="3"/>
        <v>0</v>
      </c>
      <c r="Y22" s="1054">
        <f t="shared" si="4"/>
        <v>0</v>
      </c>
      <c r="Z22" s="1055">
        <f t="shared" si="5"/>
        <v>0</v>
      </c>
      <c r="AA22" s="822">
        <f>VLOOKUP(V22,CASSA!$B$114:$C$479,2,FALSE)</f>
        <v>0</v>
      </c>
      <c r="AB22" s="1053">
        <f t="shared" si="12"/>
        <v>0</v>
      </c>
      <c r="AC22" s="1054">
        <f t="shared" si="13"/>
        <v>0</v>
      </c>
      <c r="AD22" s="1054">
        <f t="shared" si="14"/>
        <v>0</v>
      </c>
      <c r="AE22" s="1055">
        <f t="shared" si="15"/>
        <v>0</v>
      </c>
      <c r="AF22" s="2"/>
      <c r="AG22" s="1090">
        <f t="shared" si="16"/>
        <v>0</v>
      </c>
      <c r="AH22" s="1091">
        <f t="shared" si="17"/>
        <v>0</v>
      </c>
      <c r="AI22" s="1054">
        <f t="shared" si="18"/>
        <v>0</v>
      </c>
      <c r="AJ22" s="1054">
        <f t="shared" si="19"/>
        <v>0</v>
      </c>
      <c r="AK22" s="1092">
        <f t="shared" si="6"/>
        <v>0</v>
      </c>
      <c r="AL22" s="2"/>
      <c r="AM22" s="1090">
        <f t="shared" si="7"/>
        <v>0</v>
      </c>
      <c r="AN22" s="1105">
        <f t="shared" si="20"/>
        <v>0</v>
      </c>
      <c r="AO22" s="1054">
        <f t="shared" si="21"/>
        <v>0</v>
      </c>
      <c r="AP22" s="1054">
        <f t="shared" si="22"/>
        <v>0</v>
      </c>
      <c r="AQ22" s="1092">
        <f t="shared" si="23"/>
        <v>0</v>
      </c>
      <c r="AR22" s="2"/>
      <c r="AS22" s="1090">
        <f t="shared" si="24"/>
        <v>0</v>
      </c>
      <c r="AT22" s="1091">
        <f t="shared" si="25"/>
        <v>0</v>
      </c>
      <c r="AU22" s="1054">
        <f t="shared" si="26"/>
        <v>0</v>
      </c>
      <c r="AV22" s="1054">
        <f t="shared" si="27"/>
        <v>0</v>
      </c>
      <c r="AW22" s="1092">
        <f t="shared" si="28"/>
        <v>0</v>
      </c>
      <c r="AX22" s="2"/>
      <c r="AY22" s="1090">
        <f t="shared" si="29"/>
        <v>0</v>
      </c>
      <c r="AZ22" s="1385"/>
      <c r="BA22" s="2"/>
    </row>
    <row r="23" spans="1:53" ht="20.25" customHeight="1" x14ac:dyDescent="0.2">
      <c r="A23" s="2"/>
      <c r="B23" s="18">
        <v>16</v>
      </c>
      <c r="C23" s="234">
        <f t="shared" si="30"/>
        <v>16</v>
      </c>
      <c r="D23" s="235">
        <f t="shared" si="8"/>
        <v>3</v>
      </c>
      <c r="E23" s="2159">
        <f t="shared" si="0"/>
        <v>0</v>
      </c>
      <c r="F23" s="2160"/>
      <c r="G23" s="237"/>
      <c r="H23" s="237"/>
      <c r="I23" s="828"/>
      <c r="J23" s="829"/>
      <c r="K23" s="237"/>
      <c r="L23" s="828"/>
      <c r="M23" s="829"/>
      <c r="N23" s="237"/>
      <c r="O23" s="828"/>
      <c r="P23" s="829"/>
      <c r="Q23" s="6"/>
      <c r="R23" s="1053">
        <f t="shared" si="9"/>
        <v>0</v>
      </c>
      <c r="S23" s="1054">
        <f t="shared" si="1"/>
        <v>0</v>
      </c>
      <c r="T23" s="1054">
        <f t="shared" si="10"/>
        <v>0</v>
      </c>
      <c r="U23" s="1055">
        <f t="shared" si="11"/>
        <v>0</v>
      </c>
      <c r="V23" s="231">
        <f t="shared" si="31"/>
        <v>45367</v>
      </c>
      <c r="W23" s="1053">
        <f t="shared" si="2"/>
        <v>0</v>
      </c>
      <c r="X23" s="1054">
        <f t="shared" si="3"/>
        <v>0</v>
      </c>
      <c r="Y23" s="1054">
        <f t="shared" si="4"/>
        <v>0</v>
      </c>
      <c r="Z23" s="1055">
        <f t="shared" si="5"/>
        <v>0</v>
      </c>
      <c r="AA23" s="822">
        <f>VLOOKUP(V23,CASSA!$B$114:$C$479,2,FALSE)</f>
        <v>0</v>
      </c>
      <c r="AB23" s="1053">
        <f t="shared" si="12"/>
        <v>0</v>
      </c>
      <c r="AC23" s="1054">
        <f t="shared" si="13"/>
        <v>0</v>
      </c>
      <c r="AD23" s="1054">
        <f t="shared" si="14"/>
        <v>0</v>
      </c>
      <c r="AE23" s="1055">
        <f t="shared" si="15"/>
        <v>0</v>
      </c>
      <c r="AF23" s="2"/>
      <c r="AG23" s="1090">
        <f t="shared" si="16"/>
        <v>0</v>
      </c>
      <c r="AH23" s="1091">
        <f t="shared" si="17"/>
        <v>0</v>
      </c>
      <c r="AI23" s="1054">
        <f t="shared" si="18"/>
        <v>0</v>
      </c>
      <c r="AJ23" s="1054">
        <f t="shared" si="19"/>
        <v>0</v>
      </c>
      <c r="AK23" s="1092">
        <f t="shared" si="6"/>
        <v>0</v>
      </c>
      <c r="AL23" s="2"/>
      <c r="AM23" s="1090">
        <f t="shared" si="7"/>
        <v>0</v>
      </c>
      <c r="AN23" s="1105">
        <f t="shared" si="20"/>
        <v>0</v>
      </c>
      <c r="AO23" s="1054">
        <f t="shared" si="21"/>
        <v>0</v>
      </c>
      <c r="AP23" s="1054">
        <f t="shared" si="22"/>
        <v>0</v>
      </c>
      <c r="AQ23" s="1092">
        <f t="shared" si="23"/>
        <v>0</v>
      </c>
      <c r="AR23" s="2"/>
      <c r="AS23" s="1090">
        <f t="shared" si="24"/>
        <v>0</v>
      </c>
      <c r="AT23" s="1091">
        <f t="shared" si="25"/>
        <v>0</v>
      </c>
      <c r="AU23" s="1054">
        <f t="shared" si="26"/>
        <v>0</v>
      </c>
      <c r="AV23" s="1054">
        <f t="shared" si="27"/>
        <v>0</v>
      </c>
      <c r="AW23" s="1092">
        <f t="shared" si="28"/>
        <v>0</v>
      </c>
      <c r="AX23" s="2"/>
      <c r="AY23" s="1090">
        <f t="shared" si="29"/>
        <v>0</v>
      </c>
      <c r="AZ23" s="1385"/>
      <c r="BA23" s="2"/>
    </row>
    <row r="24" spans="1:53" ht="20.25" customHeight="1" x14ac:dyDescent="0.2">
      <c r="A24" s="2"/>
      <c r="B24" s="18">
        <v>17</v>
      </c>
      <c r="C24" s="234">
        <f t="shared" si="30"/>
        <v>17</v>
      </c>
      <c r="D24" s="235">
        <f t="shared" si="8"/>
        <v>3</v>
      </c>
      <c r="E24" s="2159">
        <f t="shared" si="0"/>
        <v>0</v>
      </c>
      <c r="F24" s="2160"/>
      <c r="G24" s="237"/>
      <c r="H24" s="237"/>
      <c r="I24" s="828"/>
      <c r="J24" s="829"/>
      <c r="K24" s="237"/>
      <c r="L24" s="828"/>
      <c r="M24" s="829"/>
      <c r="N24" s="237"/>
      <c r="O24" s="828"/>
      <c r="P24" s="829"/>
      <c r="Q24" s="6"/>
      <c r="R24" s="1053">
        <f t="shared" si="9"/>
        <v>0</v>
      </c>
      <c r="S24" s="1054">
        <f t="shared" si="1"/>
        <v>0</v>
      </c>
      <c r="T24" s="1054">
        <f t="shared" si="10"/>
        <v>0</v>
      </c>
      <c r="U24" s="1055">
        <f t="shared" si="11"/>
        <v>0</v>
      </c>
      <c r="V24" s="231">
        <f t="shared" si="31"/>
        <v>45368</v>
      </c>
      <c r="W24" s="1053">
        <f t="shared" si="2"/>
        <v>0</v>
      </c>
      <c r="X24" s="1054">
        <f t="shared" si="3"/>
        <v>0</v>
      </c>
      <c r="Y24" s="1054">
        <f t="shared" si="4"/>
        <v>0</v>
      </c>
      <c r="Z24" s="1055">
        <f t="shared" si="5"/>
        <v>0</v>
      </c>
      <c r="AA24" s="822">
        <f>VLOOKUP(V24,CASSA!$B$114:$C$479,2,FALSE)</f>
        <v>0</v>
      </c>
      <c r="AB24" s="1053">
        <f t="shared" si="12"/>
        <v>0</v>
      </c>
      <c r="AC24" s="1054">
        <f t="shared" si="13"/>
        <v>0</v>
      </c>
      <c r="AD24" s="1054">
        <f t="shared" si="14"/>
        <v>0</v>
      </c>
      <c r="AE24" s="1055">
        <f t="shared" si="15"/>
        <v>0</v>
      </c>
      <c r="AF24" s="2"/>
      <c r="AG24" s="1090">
        <f t="shared" si="16"/>
        <v>0</v>
      </c>
      <c r="AH24" s="1091">
        <f t="shared" si="17"/>
        <v>0</v>
      </c>
      <c r="AI24" s="1054">
        <f t="shared" si="18"/>
        <v>0</v>
      </c>
      <c r="AJ24" s="1054">
        <f t="shared" si="19"/>
        <v>0</v>
      </c>
      <c r="AK24" s="1092">
        <f t="shared" si="6"/>
        <v>0</v>
      </c>
      <c r="AL24" s="2"/>
      <c r="AM24" s="1090">
        <f t="shared" si="7"/>
        <v>0</v>
      </c>
      <c r="AN24" s="1105">
        <f t="shared" si="20"/>
        <v>0</v>
      </c>
      <c r="AO24" s="1054">
        <f t="shared" si="21"/>
        <v>0</v>
      </c>
      <c r="AP24" s="1054">
        <f t="shared" si="22"/>
        <v>0</v>
      </c>
      <c r="AQ24" s="1092">
        <f t="shared" si="23"/>
        <v>0</v>
      </c>
      <c r="AR24" s="2"/>
      <c r="AS24" s="1090">
        <f t="shared" si="24"/>
        <v>0</v>
      </c>
      <c r="AT24" s="1091">
        <f t="shared" si="25"/>
        <v>0</v>
      </c>
      <c r="AU24" s="1054">
        <f t="shared" si="26"/>
        <v>0</v>
      </c>
      <c r="AV24" s="1054">
        <f t="shared" si="27"/>
        <v>0</v>
      </c>
      <c r="AW24" s="1092">
        <f t="shared" si="28"/>
        <v>0</v>
      </c>
      <c r="AX24" s="2"/>
      <c r="AY24" s="1090">
        <f t="shared" si="29"/>
        <v>0</v>
      </c>
      <c r="AZ24" s="1385"/>
      <c r="BA24" s="2"/>
    </row>
    <row r="25" spans="1:53" ht="20.25" customHeight="1" x14ac:dyDescent="0.2">
      <c r="A25" s="2"/>
      <c r="B25" s="18">
        <v>18</v>
      </c>
      <c r="C25" s="234">
        <f t="shared" si="30"/>
        <v>18</v>
      </c>
      <c r="D25" s="235">
        <f t="shared" si="8"/>
        <v>3</v>
      </c>
      <c r="E25" s="2159">
        <f t="shared" si="0"/>
        <v>0</v>
      </c>
      <c r="F25" s="2160"/>
      <c r="G25" s="237"/>
      <c r="H25" s="237"/>
      <c r="I25" s="828"/>
      <c r="J25" s="829"/>
      <c r="K25" s="237"/>
      <c r="L25" s="828"/>
      <c r="M25" s="829"/>
      <c r="N25" s="237"/>
      <c r="O25" s="828"/>
      <c r="P25" s="829"/>
      <c r="Q25" s="6"/>
      <c r="R25" s="1053">
        <f t="shared" si="9"/>
        <v>0</v>
      </c>
      <c r="S25" s="1054">
        <f t="shared" si="1"/>
        <v>0</v>
      </c>
      <c r="T25" s="1054">
        <f t="shared" si="10"/>
        <v>0</v>
      </c>
      <c r="U25" s="1055">
        <f t="shared" si="11"/>
        <v>0</v>
      </c>
      <c r="V25" s="231">
        <f t="shared" si="31"/>
        <v>45369</v>
      </c>
      <c r="W25" s="1053">
        <f t="shared" si="2"/>
        <v>0</v>
      </c>
      <c r="X25" s="1054">
        <f t="shared" si="3"/>
        <v>0</v>
      </c>
      <c r="Y25" s="1054">
        <f t="shared" si="4"/>
        <v>0</v>
      </c>
      <c r="Z25" s="1055">
        <f t="shared" si="5"/>
        <v>0</v>
      </c>
      <c r="AA25" s="822">
        <f>VLOOKUP(V25,CASSA!$B$114:$C$479,2,FALSE)</f>
        <v>0</v>
      </c>
      <c r="AB25" s="1053">
        <f t="shared" si="12"/>
        <v>0</v>
      </c>
      <c r="AC25" s="1054">
        <f t="shared" si="13"/>
        <v>0</v>
      </c>
      <c r="AD25" s="1054">
        <f t="shared" si="14"/>
        <v>0</v>
      </c>
      <c r="AE25" s="1055">
        <f t="shared" si="15"/>
        <v>0</v>
      </c>
      <c r="AF25" s="2"/>
      <c r="AG25" s="1090">
        <f t="shared" si="16"/>
        <v>0</v>
      </c>
      <c r="AH25" s="1091">
        <f t="shared" si="17"/>
        <v>0</v>
      </c>
      <c r="AI25" s="1054">
        <f t="shared" si="18"/>
        <v>0</v>
      </c>
      <c r="AJ25" s="1054">
        <f t="shared" si="19"/>
        <v>0</v>
      </c>
      <c r="AK25" s="1092">
        <f t="shared" si="6"/>
        <v>0</v>
      </c>
      <c r="AL25" s="2"/>
      <c r="AM25" s="1090">
        <f t="shared" si="7"/>
        <v>0</v>
      </c>
      <c r="AN25" s="1105">
        <f t="shared" si="20"/>
        <v>0</v>
      </c>
      <c r="AO25" s="1054">
        <f t="shared" si="21"/>
        <v>0</v>
      </c>
      <c r="AP25" s="1054">
        <f t="shared" si="22"/>
        <v>0</v>
      </c>
      <c r="AQ25" s="1092">
        <f t="shared" si="23"/>
        <v>0</v>
      </c>
      <c r="AR25" s="2"/>
      <c r="AS25" s="1090">
        <f t="shared" si="24"/>
        <v>0</v>
      </c>
      <c r="AT25" s="1091">
        <f t="shared" si="25"/>
        <v>0</v>
      </c>
      <c r="AU25" s="1054">
        <f t="shared" si="26"/>
        <v>0</v>
      </c>
      <c r="AV25" s="1054">
        <f t="shared" si="27"/>
        <v>0</v>
      </c>
      <c r="AW25" s="1092">
        <f t="shared" si="28"/>
        <v>0</v>
      </c>
      <c r="AX25" s="2"/>
      <c r="AY25" s="1090">
        <f t="shared" si="29"/>
        <v>0</v>
      </c>
      <c r="AZ25" s="1385"/>
      <c r="BA25" s="2"/>
    </row>
    <row r="26" spans="1:53" ht="20.25" customHeight="1" x14ac:dyDescent="0.2">
      <c r="A26" s="2"/>
      <c r="B26" s="18">
        <v>19</v>
      </c>
      <c r="C26" s="234">
        <f t="shared" si="30"/>
        <v>19</v>
      </c>
      <c r="D26" s="235">
        <f t="shared" si="8"/>
        <v>3</v>
      </c>
      <c r="E26" s="2159">
        <f t="shared" si="0"/>
        <v>0</v>
      </c>
      <c r="F26" s="2160"/>
      <c r="G26" s="237"/>
      <c r="H26" s="237"/>
      <c r="I26" s="828"/>
      <c r="J26" s="829"/>
      <c r="K26" s="237"/>
      <c r="L26" s="828"/>
      <c r="M26" s="829"/>
      <c r="N26" s="237"/>
      <c r="O26" s="828"/>
      <c r="P26" s="829"/>
      <c r="Q26" s="6"/>
      <c r="R26" s="1053">
        <f t="shared" si="9"/>
        <v>0</v>
      </c>
      <c r="S26" s="1054">
        <f t="shared" si="1"/>
        <v>0</v>
      </c>
      <c r="T26" s="1054">
        <f t="shared" si="10"/>
        <v>0</v>
      </c>
      <c r="U26" s="1055">
        <f t="shared" si="11"/>
        <v>0</v>
      </c>
      <c r="V26" s="231">
        <f t="shared" si="31"/>
        <v>45370</v>
      </c>
      <c r="W26" s="1053">
        <f t="shared" si="2"/>
        <v>0</v>
      </c>
      <c r="X26" s="1054">
        <f t="shared" si="3"/>
        <v>0</v>
      </c>
      <c r="Y26" s="1054">
        <f t="shared" si="4"/>
        <v>0</v>
      </c>
      <c r="Z26" s="1055">
        <f t="shared" si="5"/>
        <v>0</v>
      </c>
      <c r="AA26" s="822">
        <f>VLOOKUP(V26,CASSA!$B$114:$C$479,2,FALSE)</f>
        <v>0</v>
      </c>
      <c r="AB26" s="1053">
        <f t="shared" si="12"/>
        <v>0</v>
      </c>
      <c r="AC26" s="1054">
        <f t="shared" si="13"/>
        <v>0</v>
      </c>
      <c r="AD26" s="1054">
        <f t="shared" si="14"/>
        <v>0</v>
      </c>
      <c r="AE26" s="1055">
        <f t="shared" si="15"/>
        <v>0</v>
      </c>
      <c r="AF26" s="2"/>
      <c r="AG26" s="1090">
        <f t="shared" si="16"/>
        <v>0</v>
      </c>
      <c r="AH26" s="1091">
        <f t="shared" si="17"/>
        <v>0</v>
      </c>
      <c r="AI26" s="1054">
        <f t="shared" si="18"/>
        <v>0</v>
      </c>
      <c r="AJ26" s="1054">
        <f t="shared" si="19"/>
        <v>0</v>
      </c>
      <c r="AK26" s="1092">
        <f t="shared" si="6"/>
        <v>0</v>
      </c>
      <c r="AL26" s="2"/>
      <c r="AM26" s="1090">
        <f t="shared" si="7"/>
        <v>0</v>
      </c>
      <c r="AN26" s="1105">
        <f t="shared" si="20"/>
        <v>0</v>
      </c>
      <c r="AO26" s="1054">
        <f t="shared" si="21"/>
        <v>0</v>
      </c>
      <c r="AP26" s="1054">
        <f t="shared" si="22"/>
        <v>0</v>
      </c>
      <c r="AQ26" s="1092">
        <f t="shared" si="23"/>
        <v>0</v>
      </c>
      <c r="AR26" s="2"/>
      <c r="AS26" s="1090">
        <f t="shared" si="24"/>
        <v>0</v>
      </c>
      <c r="AT26" s="1091">
        <f t="shared" si="25"/>
        <v>0</v>
      </c>
      <c r="AU26" s="1054">
        <f t="shared" si="26"/>
        <v>0</v>
      </c>
      <c r="AV26" s="1054">
        <f t="shared" si="27"/>
        <v>0</v>
      </c>
      <c r="AW26" s="1092">
        <f t="shared" si="28"/>
        <v>0</v>
      </c>
      <c r="AX26" s="2"/>
      <c r="AY26" s="1090">
        <f t="shared" si="29"/>
        <v>0</v>
      </c>
      <c r="AZ26" s="1385"/>
      <c r="BA26" s="2"/>
    </row>
    <row r="27" spans="1:53" ht="20.25" customHeight="1" x14ac:dyDescent="0.2">
      <c r="A27" s="2"/>
      <c r="B27" s="18">
        <v>20</v>
      </c>
      <c r="C27" s="234">
        <f t="shared" si="30"/>
        <v>20</v>
      </c>
      <c r="D27" s="235">
        <f t="shared" si="8"/>
        <v>3</v>
      </c>
      <c r="E27" s="2159">
        <f t="shared" si="0"/>
        <v>0</v>
      </c>
      <c r="F27" s="2160"/>
      <c r="G27" s="237"/>
      <c r="H27" s="237"/>
      <c r="I27" s="828"/>
      <c r="J27" s="829"/>
      <c r="K27" s="237"/>
      <c r="L27" s="828"/>
      <c r="M27" s="829"/>
      <c r="N27" s="237"/>
      <c r="O27" s="828"/>
      <c r="P27" s="829"/>
      <c r="Q27" s="6"/>
      <c r="R27" s="1053">
        <f t="shared" si="9"/>
        <v>0</v>
      </c>
      <c r="S27" s="1054">
        <f t="shared" si="1"/>
        <v>0</v>
      </c>
      <c r="T27" s="1054">
        <f t="shared" si="10"/>
        <v>0</v>
      </c>
      <c r="U27" s="1055">
        <f t="shared" si="11"/>
        <v>0</v>
      </c>
      <c r="V27" s="231">
        <f t="shared" si="31"/>
        <v>45371</v>
      </c>
      <c r="W27" s="1053">
        <f t="shared" si="2"/>
        <v>0</v>
      </c>
      <c r="X27" s="1054">
        <f t="shared" si="3"/>
        <v>0</v>
      </c>
      <c r="Y27" s="1054">
        <f t="shared" si="4"/>
        <v>0</v>
      </c>
      <c r="Z27" s="1055">
        <f t="shared" si="5"/>
        <v>0</v>
      </c>
      <c r="AA27" s="822">
        <f>VLOOKUP(V27,CASSA!$B$114:$C$479,2,FALSE)</f>
        <v>0</v>
      </c>
      <c r="AB27" s="1053">
        <f t="shared" si="12"/>
        <v>0</v>
      </c>
      <c r="AC27" s="1054">
        <f t="shared" si="13"/>
        <v>0</v>
      </c>
      <c r="AD27" s="1054">
        <f t="shared" si="14"/>
        <v>0</v>
      </c>
      <c r="AE27" s="1055">
        <f t="shared" si="15"/>
        <v>0</v>
      </c>
      <c r="AF27" s="2"/>
      <c r="AG27" s="1090">
        <f t="shared" si="16"/>
        <v>0</v>
      </c>
      <c r="AH27" s="1091">
        <f t="shared" si="17"/>
        <v>0</v>
      </c>
      <c r="AI27" s="1054">
        <f t="shared" si="18"/>
        <v>0</v>
      </c>
      <c r="AJ27" s="1054">
        <f t="shared" si="19"/>
        <v>0</v>
      </c>
      <c r="AK27" s="1092">
        <f t="shared" si="6"/>
        <v>0</v>
      </c>
      <c r="AL27" s="2"/>
      <c r="AM27" s="1090">
        <f t="shared" si="7"/>
        <v>0</v>
      </c>
      <c r="AN27" s="1105">
        <f t="shared" si="20"/>
        <v>0</v>
      </c>
      <c r="AO27" s="1054">
        <f t="shared" si="21"/>
        <v>0</v>
      </c>
      <c r="AP27" s="1054">
        <f t="shared" si="22"/>
        <v>0</v>
      </c>
      <c r="AQ27" s="1092">
        <f t="shared" si="23"/>
        <v>0</v>
      </c>
      <c r="AR27" s="2"/>
      <c r="AS27" s="1090">
        <f t="shared" si="24"/>
        <v>0</v>
      </c>
      <c r="AT27" s="1091">
        <f t="shared" si="25"/>
        <v>0</v>
      </c>
      <c r="AU27" s="1054">
        <f t="shared" si="26"/>
        <v>0</v>
      </c>
      <c r="AV27" s="1054">
        <f t="shared" si="27"/>
        <v>0</v>
      </c>
      <c r="AW27" s="1092">
        <f t="shared" si="28"/>
        <v>0</v>
      </c>
      <c r="AX27" s="2"/>
      <c r="AY27" s="1090">
        <f t="shared" si="29"/>
        <v>0</v>
      </c>
      <c r="AZ27" s="1385"/>
      <c r="BA27" s="2"/>
    </row>
    <row r="28" spans="1:53" ht="20.25" customHeight="1" x14ac:dyDescent="0.2">
      <c r="A28" s="2"/>
      <c r="B28" s="18">
        <v>21</v>
      </c>
      <c r="C28" s="234">
        <f t="shared" si="30"/>
        <v>21</v>
      </c>
      <c r="D28" s="235">
        <f t="shared" si="8"/>
        <v>3</v>
      </c>
      <c r="E28" s="2159">
        <f t="shared" si="0"/>
        <v>0</v>
      </c>
      <c r="F28" s="2160"/>
      <c r="G28" s="237"/>
      <c r="H28" s="237"/>
      <c r="I28" s="828"/>
      <c r="J28" s="829"/>
      <c r="K28" s="237"/>
      <c r="L28" s="828"/>
      <c r="M28" s="829"/>
      <c r="N28" s="237"/>
      <c r="O28" s="828"/>
      <c r="P28" s="829"/>
      <c r="Q28" s="6"/>
      <c r="R28" s="1053">
        <f t="shared" si="9"/>
        <v>0</v>
      </c>
      <c r="S28" s="1054">
        <f t="shared" si="1"/>
        <v>0</v>
      </c>
      <c r="T28" s="1054">
        <f t="shared" si="10"/>
        <v>0</v>
      </c>
      <c r="U28" s="1055">
        <f t="shared" si="11"/>
        <v>0</v>
      </c>
      <c r="V28" s="231">
        <f t="shared" si="31"/>
        <v>45372</v>
      </c>
      <c r="W28" s="1053">
        <f t="shared" si="2"/>
        <v>0</v>
      </c>
      <c r="X28" s="1054">
        <f t="shared" si="3"/>
        <v>0</v>
      </c>
      <c r="Y28" s="1054">
        <f t="shared" si="4"/>
        <v>0</v>
      </c>
      <c r="Z28" s="1055">
        <f t="shared" si="5"/>
        <v>0</v>
      </c>
      <c r="AA28" s="822">
        <f>VLOOKUP(V28,CASSA!$B$114:$C$479,2,FALSE)</f>
        <v>0</v>
      </c>
      <c r="AB28" s="1053">
        <f t="shared" si="12"/>
        <v>0</v>
      </c>
      <c r="AC28" s="1054">
        <f t="shared" si="13"/>
        <v>0</v>
      </c>
      <c r="AD28" s="1054">
        <f t="shared" si="14"/>
        <v>0</v>
      </c>
      <c r="AE28" s="1055">
        <f t="shared" si="15"/>
        <v>0</v>
      </c>
      <c r="AF28" s="2"/>
      <c r="AG28" s="1090">
        <f t="shared" si="16"/>
        <v>0</v>
      </c>
      <c r="AH28" s="1091">
        <f t="shared" si="17"/>
        <v>0</v>
      </c>
      <c r="AI28" s="1054">
        <f t="shared" si="18"/>
        <v>0</v>
      </c>
      <c r="AJ28" s="1054">
        <f t="shared" si="19"/>
        <v>0</v>
      </c>
      <c r="AK28" s="1092">
        <f t="shared" si="6"/>
        <v>0</v>
      </c>
      <c r="AL28" s="2"/>
      <c r="AM28" s="1090">
        <f t="shared" si="7"/>
        <v>0</v>
      </c>
      <c r="AN28" s="1105">
        <f t="shared" si="20"/>
        <v>0</v>
      </c>
      <c r="AO28" s="1054">
        <f t="shared" si="21"/>
        <v>0</v>
      </c>
      <c r="AP28" s="1054">
        <f t="shared" si="22"/>
        <v>0</v>
      </c>
      <c r="AQ28" s="1092">
        <f t="shared" si="23"/>
        <v>0</v>
      </c>
      <c r="AR28" s="2"/>
      <c r="AS28" s="1090">
        <f t="shared" si="24"/>
        <v>0</v>
      </c>
      <c r="AT28" s="1091">
        <f t="shared" si="25"/>
        <v>0</v>
      </c>
      <c r="AU28" s="1054">
        <f t="shared" si="26"/>
        <v>0</v>
      </c>
      <c r="AV28" s="1054">
        <f t="shared" si="27"/>
        <v>0</v>
      </c>
      <c r="AW28" s="1092">
        <f t="shared" si="28"/>
        <v>0</v>
      </c>
      <c r="AX28" s="2"/>
      <c r="AY28" s="1090">
        <f t="shared" si="29"/>
        <v>0</v>
      </c>
      <c r="AZ28" s="1385"/>
      <c r="BA28" s="2"/>
    </row>
    <row r="29" spans="1:53" ht="20.25" customHeight="1" x14ac:dyDescent="0.2">
      <c r="A29" s="2"/>
      <c r="B29" s="18">
        <v>22</v>
      </c>
      <c r="C29" s="234">
        <f t="shared" si="30"/>
        <v>22</v>
      </c>
      <c r="D29" s="235">
        <f t="shared" si="8"/>
        <v>3</v>
      </c>
      <c r="E29" s="2159">
        <f t="shared" si="0"/>
        <v>0</v>
      </c>
      <c r="F29" s="2160"/>
      <c r="G29" s="237"/>
      <c r="H29" s="237"/>
      <c r="I29" s="828"/>
      <c r="J29" s="829"/>
      <c r="K29" s="237"/>
      <c r="L29" s="828"/>
      <c r="M29" s="829"/>
      <c r="N29" s="237"/>
      <c r="O29" s="828"/>
      <c r="P29" s="829"/>
      <c r="Q29" s="6"/>
      <c r="R29" s="1053">
        <f t="shared" si="9"/>
        <v>0</v>
      </c>
      <c r="S29" s="1054">
        <f t="shared" si="1"/>
        <v>0</v>
      </c>
      <c r="T29" s="1054">
        <f t="shared" si="10"/>
        <v>0</v>
      </c>
      <c r="U29" s="1055">
        <f t="shared" si="11"/>
        <v>0</v>
      </c>
      <c r="V29" s="231">
        <f t="shared" si="31"/>
        <v>45373</v>
      </c>
      <c r="W29" s="1053">
        <f t="shared" si="2"/>
        <v>0</v>
      </c>
      <c r="X29" s="1054">
        <f t="shared" si="3"/>
        <v>0</v>
      </c>
      <c r="Y29" s="1054">
        <f t="shared" si="4"/>
        <v>0</v>
      </c>
      <c r="Z29" s="1055">
        <f t="shared" si="5"/>
        <v>0</v>
      </c>
      <c r="AA29" s="822">
        <f>VLOOKUP(V29,CASSA!$B$114:$C$479,2,FALSE)</f>
        <v>0</v>
      </c>
      <c r="AB29" s="1053">
        <f t="shared" si="12"/>
        <v>0</v>
      </c>
      <c r="AC29" s="1054">
        <f t="shared" si="13"/>
        <v>0</v>
      </c>
      <c r="AD29" s="1054">
        <f t="shared" si="14"/>
        <v>0</v>
      </c>
      <c r="AE29" s="1055">
        <f t="shared" si="15"/>
        <v>0</v>
      </c>
      <c r="AF29" s="2"/>
      <c r="AG29" s="1090">
        <f t="shared" si="16"/>
        <v>0</v>
      </c>
      <c r="AH29" s="1091">
        <f t="shared" si="17"/>
        <v>0</v>
      </c>
      <c r="AI29" s="1054">
        <f t="shared" si="18"/>
        <v>0</v>
      </c>
      <c r="AJ29" s="1054">
        <f t="shared" si="19"/>
        <v>0</v>
      </c>
      <c r="AK29" s="1092">
        <f t="shared" si="6"/>
        <v>0</v>
      </c>
      <c r="AL29" s="2"/>
      <c r="AM29" s="1090">
        <f t="shared" si="7"/>
        <v>0</v>
      </c>
      <c r="AN29" s="1105">
        <f t="shared" si="20"/>
        <v>0</v>
      </c>
      <c r="AO29" s="1054">
        <f t="shared" si="21"/>
        <v>0</v>
      </c>
      <c r="AP29" s="1054">
        <f t="shared" si="22"/>
        <v>0</v>
      </c>
      <c r="AQ29" s="1092">
        <f t="shared" si="23"/>
        <v>0</v>
      </c>
      <c r="AR29" s="2"/>
      <c r="AS29" s="1090">
        <f t="shared" si="24"/>
        <v>0</v>
      </c>
      <c r="AT29" s="1091">
        <f t="shared" si="25"/>
        <v>0</v>
      </c>
      <c r="AU29" s="1054">
        <f t="shared" si="26"/>
        <v>0</v>
      </c>
      <c r="AV29" s="1054">
        <f t="shared" si="27"/>
        <v>0</v>
      </c>
      <c r="AW29" s="1092">
        <f t="shared" si="28"/>
        <v>0</v>
      </c>
      <c r="AX29" s="2"/>
      <c r="AY29" s="1090">
        <f t="shared" si="29"/>
        <v>0</v>
      </c>
      <c r="AZ29" s="1385"/>
      <c r="BA29" s="2"/>
    </row>
    <row r="30" spans="1:53" ht="20.25" customHeight="1" x14ac:dyDescent="0.2">
      <c r="A30" s="2"/>
      <c r="B30" s="18">
        <v>23</v>
      </c>
      <c r="C30" s="234">
        <f t="shared" si="30"/>
        <v>23</v>
      </c>
      <c r="D30" s="235">
        <f t="shared" si="8"/>
        <v>3</v>
      </c>
      <c r="E30" s="2159">
        <f t="shared" si="0"/>
        <v>0</v>
      </c>
      <c r="F30" s="2160"/>
      <c r="G30" s="237"/>
      <c r="H30" s="237"/>
      <c r="I30" s="828"/>
      <c r="J30" s="829"/>
      <c r="K30" s="237"/>
      <c r="L30" s="828"/>
      <c r="M30" s="829"/>
      <c r="N30" s="237"/>
      <c r="O30" s="828"/>
      <c r="P30" s="829"/>
      <c r="Q30" s="6"/>
      <c r="R30" s="1053">
        <f t="shared" si="9"/>
        <v>0</v>
      </c>
      <c r="S30" s="1054">
        <f t="shared" si="1"/>
        <v>0</v>
      </c>
      <c r="T30" s="1054">
        <f t="shared" si="10"/>
        <v>0</v>
      </c>
      <c r="U30" s="1055">
        <f t="shared" si="11"/>
        <v>0</v>
      </c>
      <c r="V30" s="231">
        <f t="shared" si="31"/>
        <v>45374</v>
      </c>
      <c r="W30" s="1053">
        <f t="shared" si="2"/>
        <v>0</v>
      </c>
      <c r="X30" s="1054">
        <f t="shared" si="3"/>
        <v>0</v>
      </c>
      <c r="Y30" s="1054">
        <f t="shared" si="4"/>
        <v>0</v>
      </c>
      <c r="Z30" s="1055">
        <f t="shared" si="5"/>
        <v>0</v>
      </c>
      <c r="AA30" s="822">
        <f>VLOOKUP(V30,CASSA!$B$114:$C$479,2,FALSE)</f>
        <v>0</v>
      </c>
      <c r="AB30" s="1053">
        <f t="shared" si="12"/>
        <v>0</v>
      </c>
      <c r="AC30" s="1054">
        <f t="shared" si="13"/>
        <v>0</v>
      </c>
      <c r="AD30" s="1054">
        <f t="shared" si="14"/>
        <v>0</v>
      </c>
      <c r="AE30" s="1055">
        <f t="shared" si="15"/>
        <v>0</v>
      </c>
      <c r="AF30" s="2"/>
      <c r="AG30" s="1090">
        <f t="shared" si="16"/>
        <v>0</v>
      </c>
      <c r="AH30" s="1091">
        <f t="shared" si="17"/>
        <v>0</v>
      </c>
      <c r="AI30" s="1054">
        <f t="shared" si="18"/>
        <v>0</v>
      </c>
      <c r="AJ30" s="1054">
        <f t="shared" si="19"/>
        <v>0</v>
      </c>
      <c r="AK30" s="1092">
        <f t="shared" si="6"/>
        <v>0</v>
      </c>
      <c r="AL30" s="2"/>
      <c r="AM30" s="1090">
        <f t="shared" si="7"/>
        <v>0</v>
      </c>
      <c r="AN30" s="1105">
        <f t="shared" si="20"/>
        <v>0</v>
      </c>
      <c r="AO30" s="1054">
        <f t="shared" si="21"/>
        <v>0</v>
      </c>
      <c r="AP30" s="1054">
        <f t="shared" si="22"/>
        <v>0</v>
      </c>
      <c r="AQ30" s="1092">
        <f t="shared" si="23"/>
        <v>0</v>
      </c>
      <c r="AR30" s="2"/>
      <c r="AS30" s="1090">
        <f t="shared" si="24"/>
        <v>0</v>
      </c>
      <c r="AT30" s="1091">
        <f t="shared" si="25"/>
        <v>0</v>
      </c>
      <c r="AU30" s="1054">
        <f t="shared" si="26"/>
        <v>0</v>
      </c>
      <c r="AV30" s="1054">
        <f t="shared" si="27"/>
        <v>0</v>
      </c>
      <c r="AW30" s="1092">
        <f t="shared" si="28"/>
        <v>0</v>
      </c>
      <c r="AX30" s="2"/>
      <c r="AY30" s="1090">
        <f t="shared" si="29"/>
        <v>0</v>
      </c>
      <c r="AZ30" s="1385"/>
      <c r="BA30" s="2"/>
    </row>
    <row r="31" spans="1:53" ht="20.25" customHeight="1" x14ac:dyDescent="0.2">
      <c r="A31" s="2"/>
      <c r="B31" s="18">
        <v>24</v>
      </c>
      <c r="C31" s="234">
        <f t="shared" si="30"/>
        <v>24</v>
      </c>
      <c r="D31" s="235">
        <f t="shared" si="8"/>
        <v>3</v>
      </c>
      <c r="E31" s="2159">
        <f t="shared" si="0"/>
        <v>0</v>
      </c>
      <c r="F31" s="2160"/>
      <c r="G31" s="237"/>
      <c r="H31" s="237"/>
      <c r="I31" s="828"/>
      <c r="J31" s="829"/>
      <c r="K31" s="237"/>
      <c r="L31" s="828"/>
      <c r="M31" s="829"/>
      <c r="N31" s="237"/>
      <c r="O31" s="828"/>
      <c r="P31" s="829"/>
      <c r="Q31" s="6"/>
      <c r="R31" s="1053">
        <f t="shared" si="9"/>
        <v>0</v>
      </c>
      <c r="S31" s="1054">
        <f t="shared" si="1"/>
        <v>0</v>
      </c>
      <c r="T31" s="1054">
        <f t="shared" si="10"/>
        <v>0</v>
      </c>
      <c r="U31" s="1055">
        <f t="shared" si="11"/>
        <v>0</v>
      </c>
      <c r="V31" s="231">
        <f t="shared" si="31"/>
        <v>45375</v>
      </c>
      <c r="W31" s="1053">
        <f t="shared" si="2"/>
        <v>0</v>
      </c>
      <c r="X31" s="1054">
        <f t="shared" si="3"/>
        <v>0</v>
      </c>
      <c r="Y31" s="1054">
        <f t="shared" si="4"/>
        <v>0</v>
      </c>
      <c r="Z31" s="1055">
        <f t="shared" si="5"/>
        <v>0</v>
      </c>
      <c r="AA31" s="822">
        <f>VLOOKUP(V31,CASSA!$B$114:$C$479,2,FALSE)</f>
        <v>0</v>
      </c>
      <c r="AB31" s="1053">
        <f t="shared" si="12"/>
        <v>0</v>
      </c>
      <c r="AC31" s="1054">
        <f t="shared" si="13"/>
        <v>0</v>
      </c>
      <c r="AD31" s="1054">
        <f t="shared" si="14"/>
        <v>0</v>
      </c>
      <c r="AE31" s="1055">
        <f t="shared" si="15"/>
        <v>0</v>
      </c>
      <c r="AF31" s="2"/>
      <c r="AG31" s="1090">
        <f t="shared" si="16"/>
        <v>0</v>
      </c>
      <c r="AH31" s="1091">
        <f t="shared" si="17"/>
        <v>0</v>
      </c>
      <c r="AI31" s="1054">
        <f t="shared" si="18"/>
        <v>0</v>
      </c>
      <c r="AJ31" s="1054">
        <f t="shared" si="19"/>
        <v>0</v>
      </c>
      <c r="AK31" s="1092">
        <f t="shared" si="6"/>
        <v>0</v>
      </c>
      <c r="AL31" s="2"/>
      <c r="AM31" s="1090">
        <f t="shared" si="7"/>
        <v>0</v>
      </c>
      <c r="AN31" s="1105">
        <f t="shared" si="20"/>
        <v>0</v>
      </c>
      <c r="AO31" s="1054">
        <f t="shared" si="21"/>
        <v>0</v>
      </c>
      <c r="AP31" s="1054">
        <f t="shared" si="22"/>
        <v>0</v>
      </c>
      <c r="AQ31" s="1092">
        <f t="shared" si="23"/>
        <v>0</v>
      </c>
      <c r="AR31" s="2"/>
      <c r="AS31" s="1090">
        <f t="shared" si="24"/>
        <v>0</v>
      </c>
      <c r="AT31" s="1091">
        <f t="shared" si="25"/>
        <v>0</v>
      </c>
      <c r="AU31" s="1054">
        <f t="shared" si="26"/>
        <v>0</v>
      </c>
      <c r="AV31" s="1054">
        <f t="shared" si="27"/>
        <v>0</v>
      </c>
      <c r="AW31" s="1092">
        <f t="shared" si="28"/>
        <v>0</v>
      </c>
      <c r="AX31" s="2"/>
      <c r="AY31" s="1090">
        <f t="shared" si="29"/>
        <v>0</v>
      </c>
      <c r="AZ31" s="1385"/>
      <c r="BA31" s="2"/>
    </row>
    <row r="32" spans="1:53" ht="20.25" customHeight="1" x14ac:dyDescent="0.2">
      <c r="A32" s="2"/>
      <c r="B32" s="18">
        <v>25</v>
      </c>
      <c r="C32" s="234">
        <f t="shared" si="30"/>
        <v>25</v>
      </c>
      <c r="D32" s="235">
        <f t="shared" si="8"/>
        <v>3</v>
      </c>
      <c r="E32" s="2159">
        <f t="shared" si="0"/>
        <v>0</v>
      </c>
      <c r="F32" s="2160"/>
      <c r="G32" s="237"/>
      <c r="H32" s="237"/>
      <c r="I32" s="828"/>
      <c r="J32" s="829"/>
      <c r="K32" s="237"/>
      <c r="L32" s="828"/>
      <c r="M32" s="829"/>
      <c r="N32" s="237"/>
      <c r="O32" s="828"/>
      <c r="P32" s="829"/>
      <c r="Q32" s="6"/>
      <c r="R32" s="1053">
        <f t="shared" si="9"/>
        <v>0</v>
      </c>
      <c r="S32" s="1054">
        <f t="shared" si="1"/>
        <v>0</v>
      </c>
      <c r="T32" s="1054">
        <f t="shared" si="10"/>
        <v>0</v>
      </c>
      <c r="U32" s="1055">
        <f t="shared" si="11"/>
        <v>0</v>
      </c>
      <c r="V32" s="231">
        <f t="shared" si="31"/>
        <v>45376</v>
      </c>
      <c r="W32" s="1053">
        <f t="shared" si="2"/>
        <v>0</v>
      </c>
      <c r="X32" s="1054">
        <f t="shared" si="3"/>
        <v>0</v>
      </c>
      <c r="Y32" s="1054">
        <f t="shared" si="4"/>
        <v>0</v>
      </c>
      <c r="Z32" s="1055">
        <f t="shared" si="5"/>
        <v>0</v>
      </c>
      <c r="AA32" s="822">
        <f>VLOOKUP(V32,CASSA!$B$114:$C$479,2,FALSE)</f>
        <v>0</v>
      </c>
      <c r="AB32" s="1053">
        <f t="shared" si="12"/>
        <v>0</v>
      </c>
      <c r="AC32" s="1054">
        <f t="shared" si="13"/>
        <v>0</v>
      </c>
      <c r="AD32" s="1054">
        <f t="shared" si="14"/>
        <v>0</v>
      </c>
      <c r="AE32" s="1055">
        <f t="shared" si="15"/>
        <v>0</v>
      </c>
      <c r="AF32" s="2"/>
      <c r="AG32" s="1090">
        <f t="shared" si="16"/>
        <v>0</v>
      </c>
      <c r="AH32" s="1091">
        <f t="shared" si="17"/>
        <v>0</v>
      </c>
      <c r="AI32" s="1054">
        <f t="shared" si="18"/>
        <v>0</v>
      </c>
      <c r="AJ32" s="1054">
        <f t="shared" si="19"/>
        <v>0</v>
      </c>
      <c r="AK32" s="1092">
        <f t="shared" si="6"/>
        <v>0</v>
      </c>
      <c r="AL32" s="2"/>
      <c r="AM32" s="1090">
        <f t="shared" si="7"/>
        <v>0</v>
      </c>
      <c r="AN32" s="1105">
        <f t="shared" si="20"/>
        <v>0</v>
      </c>
      <c r="AO32" s="1054">
        <f t="shared" si="21"/>
        <v>0</v>
      </c>
      <c r="AP32" s="1054">
        <f t="shared" si="22"/>
        <v>0</v>
      </c>
      <c r="AQ32" s="1092">
        <f t="shared" si="23"/>
        <v>0</v>
      </c>
      <c r="AR32" s="2"/>
      <c r="AS32" s="1090">
        <f t="shared" si="24"/>
        <v>0</v>
      </c>
      <c r="AT32" s="1091">
        <f t="shared" si="25"/>
        <v>0</v>
      </c>
      <c r="AU32" s="1054">
        <f t="shared" si="26"/>
        <v>0</v>
      </c>
      <c r="AV32" s="1054">
        <f t="shared" si="27"/>
        <v>0</v>
      </c>
      <c r="AW32" s="1092">
        <f t="shared" si="28"/>
        <v>0</v>
      </c>
      <c r="AX32" s="2"/>
      <c r="AY32" s="1090">
        <f t="shared" si="29"/>
        <v>0</v>
      </c>
      <c r="AZ32" s="1385"/>
      <c r="BA32" s="2"/>
    </row>
    <row r="33" spans="1:54" ht="20.25" customHeight="1" x14ac:dyDescent="0.2">
      <c r="A33" s="2"/>
      <c r="B33" s="18">
        <v>26</v>
      </c>
      <c r="C33" s="234">
        <f t="shared" si="30"/>
        <v>26</v>
      </c>
      <c r="D33" s="235">
        <f t="shared" si="8"/>
        <v>3</v>
      </c>
      <c r="E33" s="2159">
        <f t="shared" si="0"/>
        <v>0</v>
      </c>
      <c r="F33" s="2160"/>
      <c r="G33" s="237"/>
      <c r="H33" s="237"/>
      <c r="I33" s="828"/>
      <c r="J33" s="829"/>
      <c r="K33" s="237"/>
      <c r="L33" s="828"/>
      <c r="M33" s="829"/>
      <c r="N33" s="237"/>
      <c r="O33" s="828"/>
      <c r="P33" s="829"/>
      <c r="Q33" s="6"/>
      <c r="R33" s="1053">
        <f t="shared" si="9"/>
        <v>0</v>
      </c>
      <c r="S33" s="1054">
        <f t="shared" si="1"/>
        <v>0</v>
      </c>
      <c r="T33" s="1054">
        <f t="shared" si="10"/>
        <v>0</v>
      </c>
      <c r="U33" s="1055">
        <f t="shared" si="11"/>
        <v>0</v>
      </c>
      <c r="V33" s="231">
        <f t="shared" si="31"/>
        <v>45377</v>
      </c>
      <c r="W33" s="1053">
        <f t="shared" si="2"/>
        <v>0</v>
      </c>
      <c r="X33" s="1054">
        <f t="shared" si="3"/>
        <v>0</v>
      </c>
      <c r="Y33" s="1054">
        <f t="shared" si="4"/>
        <v>0</v>
      </c>
      <c r="Z33" s="1055">
        <f t="shared" si="5"/>
        <v>0</v>
      </c>
      <c r="AA33" s="822">
        <f>VLOOKUP(V33,CASSA!$B$114:$C$479,2,FALSE)</f>
        <v>0</v>
      </c>
      <c r="AB33" s="1053">
        <f t="shared" si="12"/>
        <v>0</v>
      </c>
      <c r="AC33" s="1054">
        <f t="shared" si="13"/>
        <v>0</v>
      </c>
      <c r="AD33" s="1054">
        <f t="shared" si="14"/>
        <v>0</v>
      </c>
      <c r="AE33" s="1055">
        <f t="shared" si="15"/>
        <v>0</v>
      </c>
      <c r="AF33" s="2"/>
      <c r="AG33" s="1090">
        <f t="shared" si="16"/>
        <v>0</v>
      </c>
      <c r="AH33" s="1091">
        <f t="shared" si="17"/>
        <v>0</v>
      </c>
      <c r="AI33" s="1054">
        <f t="shared" si="18"/>
        <v>0</v>
      </c>
      <c r="AJ33" s="1054">
        <f t="shared" si="19"/>
        <v>0</v>
      </c>
      <c r="AK33" s="1092">
        <f t="shared" si="6"/>
        <v>0</v>
      </c>
      <c r="AL33" s="2"/>
      <c r="AM33" s="1090">
        <f t="shared" si="7"/>
        <v>0</v>
      </c>
      <c r="AN33" s="1105">
        <f t="shared" si="20"/>
        <v>0</v>
      </c>
      <c r="AO33" s="1054">
        <f t="shared" si="21"/>
        <v>0</v>
      </c>
      <c r="AP33" s="1054">
        <f t="shared" si="22"/>
        <v>0</v>
      </c>
      <c r="AQ33" s="1092">
        <f t="shared" si="23"/>
        <v>0</v>
      </c>
      <c r="AR33" s="2"/>
      <c r="AS33" s="1090">
        <f t="shared" si="24"/>
        <v>0</v>
      </c>
      <c r="AT33" s="1091">
        <f t="shared" si="25"/>
        <v>0</v>
      </c>
      <c r="AU33" s="1054">
        <f t="shared" si="26"/>
        <v>0</v>
      </c>
      <c r="AV33" s="1054">
        <f t="shared" si="27"/>
        <v>0</v>
      </c>
      <c r="AW33" s="1092">
        <f t="shared" si="28"/>
        <v>0</v>
      </c>
      <c r="AX33" s="2"/>
      <c r="AY33" s="1090">
        <f t="shared" si="29"/>
        <v>0</v>
      </c>
      <c r="AZ33" s="1385"/>
      <c r="BA33" s="2"/>
    </row>
    <row r="34" spans="1:54" ht="20.25" customHeight="1" x14ac:dyDescent="0.2">
      <c r="A34" s="2"/>
      <c r="B34" s="18">
        <v>27</v>
      </c>
      <c r="C34" s="234">
        <f t="shared" si="30"/>
        <v>27</v>
      </c>
      <c r="D34" s="235">
        <f t="shared" si="8"/>
        <v>3</v>
      </c>
      <c r="E34" s="2159">
        <f t="shared" si="0"/>
        <v>0</v>
      </c>
      <c r="F34" s="2160"/>
      <c r="G34" s="237"/>
      <c r="H34" s="237"/>
      <c r="I34" s="828"/>
      <c r="J34" s="829"/>
      <c r="K34" s="237"/>
      <c r="L34" s="828"/>
      <c r="M34" s="829"/>
      <c r="N34" s="237"/>
      <c r="O34" s="828"/>
      <c r="P34" s="829"/>
      <c r="Q34" s="6"/>
      <c r="R34" s="1053">
        <f t="shared" si="9"/>
        <v>0</v>
      </c>
      <c r="S34" s="1054">
        <f t="shared" si="1"/>
        <v>0</v>
      </c>
      <c r="T34" s="1054">
        <f t="shared" si="10"/>
        <v>0</v>
      </c>
      <c r="U34" s="1055">
        <f t="shared" si="11"/>
        <v>0</v>
      </c>
      <c r="V34" s="231">
        <f t="shared" si="31"/>
        <v>45378</v>
      </c>
      <c r="W34" s="1053">
        <f t="shared" si="2"/>
        <v>0</v>
      </c>
      <c r="X34" s="1054">
        <f t="shared" si="3"/>
        <v>0</v>
      </c>
      <c r="Y34" s="1054">
        <f t="shared" si="4"/>
        <v>0</v>
      </c>
      <c r="Z34" s="1055">
        <f t="shared" si="5"/>
        <v>0</v>
      </c>
      <c r="AA34" s="822">
        <f>VLOOKUP(V34,CASSA!$B$114:$C$479,2,FALSE)</f>
        <v>0</v>
      </c>
      <c r="AB34" s="1053">
        <f t="shared" si="12"/>
        <v>0</v>
      </c>
      <c r="AC34" s="1054">
        <f t="shared" si="13"/>
        <v>0</v>
      </c>
      <c r="AD34" s="1054">
        <f t="shared" si="14"/>
        <v>0</v>
      </c>
      <c r="AE34" s="1055">
        <f t="shared" si="15"/>
        <v>0</v>
      </c>
      <c r="AF34" s="2"/>
      <c r="AG34" s="1090">
        <f t="shared" si="16"/>
        <v>0</v>
      </c>
      <c r="AH34" s="1091">
        <f t="shared" si="17"/>
        <v>0</v>
      </c>
      <c r="AI34" s="1054">
        <f t="shared" si="18"/>
        <v>0</v>
      </c>
      <c r="AJ34" s="1054">
        <f t="shared" si="19"/>
        <v>0</v>
      </c>
      <c r="AK34" s="1092">
        <f t="shared" si="6"/>
        <v>0</v>
      </c>
      <c r="AL34" s="2"/>
      <c r="AM34" s="1090">
        <f t="shared" si="7"/>
        <v>0</v>
      </c>
      <c r="AN34" s="1105">
        <f t="shared" si="20"/>
        <v>0</v>
      </c>
      <c r="AO34" s="1054">
        <f t="shared" si="21"/>
        <v>0</v>
      </c>
      <c r="AP34" s="1054">
        <f t="shared" si="22"/>
        <v>0</v>
      </c>
      <c r="AQ34" s="1092">
        <f t="shared" si="23"/>
        <v>0</v>
      </c>
      <c r="AR34" s="2"/>
      <c r="AS34" s="1090">
        <f t="shared" si="24"/>
        <v>0</v>
      </c>
      <c r="AT34" s="1091">
        <f t="shared" si="25"/>
        <v>0</v>
      </c>
      <c r="AU34" s="1054">
        <f t="shared" si="26"/>
        <v>0</v>
      </c>
      <c r="AV34" s="1054">
        <f t="shared" si="27"/>
        <v>0</v>
      </c>
      <c r="AW34" s="1092">
        <f t="shared" si="28"/>
        <v>0</v>
      </c>
      <c r="AX34" s="2"/>
      <c r="AY34" s="1090">
        <f t="shared" si="29"/>
        <v>0</v>
      </c>
      <c r="AZ34" s="1385"/>
      <c r="BA34" s="2"/>
    </row>
    <row r="35" spans="1:54" ht="20.25" customHeight="1" x14ac:dyDescent="0.2">
      <c r="A35" s="2"/>
      <c r="B35" s="18">
        <v>28</v>
      </c>
      <c r="C35" s="234">
        <f t="shared" si="30"/>
        <v>28</v>
      </c>
      <c r="D35" s="235">
        <f t="shared" si="8"/>
        <v>3</v>
      </c>
      <c r="E35" s="2159">
        <f t="shared" si="0"/>
        <v>0</v>
      </c>
      <c r="F35" s="2160"/>
      <c r="G35" s="237"/>
      <c r="H35" s="237"/>
      <c r="I35" s="828"/>
      <c r="J35" s="829"/>
      <c r="K35" s="237"/>
      <c r="L35" s="828"/>
      <c r="M35" s="829"/>
      <c r="N35" s="237"/>
      <c r="O35" s="828"/>
      <c r="P35" s="829"/>
      <c r="Q35" s="6"/>
      <c r="R35" s="1053">
        <f t="shared" si="9"/>
        <v>0</v>
      </c>
      <c r="S35" s="1054">
        <f t="shared" si="1"/>
        <v>0</v>
      </c>
      <c r="T35" s="1054">
        <f t="shared" si="10"/>
        <v>0</v>
      </c>
      <c r="U35" s="1055">
        <f t="shared" si="11"/>
        <v>0</v>
      </c>
      <c r="V35" s="231">
        <f t="shared" si="31"/>
        <v>45379</v>
      </c>
      <c r="W35" s="1053">
        <f t="shared" si="2"/>
        <v>0</v>
      </c>
      <c r="X35" s="1054">
        <f t="shared" si="3"/>
        <v>0</v>
      </c>
      <c r="Y35" s="1054">
        <f t="shared" si="4"/>
        <v>0</v>
      </c>
      <c r="Z35" s="1055">
        <f t="shared" si="5"/>
        <v>0</v>
      </c>
      <c r="AA35" s="822">
        <f>VLOOKUP(V35,CASSA!$B$114:$C$479,2,FALSE)</f>
        <v>0</v>
      </c>
      <c r="AB35" s="1053">
        <f t="shared" si="12"/>
        <v>0</v>
      </c>
      <c r="AC35" s="1054">
        <f t="shared" si="13"/>
        <v>0</v>
      </c>
      <c r="AD35" s="1054">
        <f t="shared" si="14"/>
        <v>0</v>
      </c>
      <c r="AE35" s="1055">
        <f t="shared" si="15"/>
        <v>0</v>
      </c>
      <c r="AF35" s="2"/>
      <c r="AG35" s="1090">
        <f t="shared" si="16"/>
        <v>0</v>
      </c>
      <c r="AH35" s="1091">
        <f t="shared" si="17"/>
        <v>0</v>
      </c>
      <c r="AI35" s="1054">
        <f t="shared" si="18"/>
        <v>0</v>
      </c>
      <c r="AJ35" s="1054">
        <f t="shared" si="19"/>
        <v>0</v>
      </c>
      <c r="AK35" s="1092">
        <f t="shared" si="6"/>
        <v>0</v>
      </c>
      <c r="AL35" s="2"/>
      <c r="AM35" s="1090">
        <f t="shared" si="7"/>
        <v>0</v>
      </c>
      <c r="AN35" s="1105">
        <f t="shared" si="20"/>
        <v>0</v>
      </c>
      <c r="AO35" s="1054">
        <f t="shared" si="21"/>
        <v>0</v>
      </c>
      <c r="AP35" s="1054">
        <f t="shared" si="22"/>
        <v>0</v>
      </c>
      <c r="AQ35" s="1092">
        <f t="shared" si="23"/>
        <v>0</v>
      </c>
      <c r="AR35" s="2"/>
      <c r="AS35" s="1090">
        <f t="shared" si="24"/>
        <v>0</v>
      </c>
      <c r="AT35" s="1091">
        <f t="shared" si="25"/>
        <v>0</v>
      </c>
      <c r="AU35" s="1054">
        <f t="shared" si="26"/>
        <v>0</v>
      </c>
      <c r="AV35" s="1054">
        <f t="shared" si="27"/>
        <v>0</v>
      </c>
      <c r="AW35" s="1092">
        <f t="shared" si="28"/>
        <v>0</v>
      </c>
      <c r="AX35" s="2"/>
      <c r="AY35" s="1090">
        <f t="shared" si="29"/>
        <v>0</v>
      </c>
      <c r="AZ35" s="1385"/>
      <c r="BA35" s="2"/>
    </row>
    <row r="36" spans="1:54" ht="20.25" customHeight="1" x14ac:dyDescent="0.2">
      <c r="A36" s="2"/>
      <c r="B36" s="18">
        <v>29</v>
      </c>
      <c r="C36" s="234">
        <f t="shared" si="30"/>
        <v>29</v>
      </c>
      <c r="D36" s="235">
        <f t="shared" si="8"/>
        <v>3</v>
      </c>
      <c r="E36" s="2159">
        <f t="shared" si="0"/>
        <v>0</v>
      </c>
      <c r="F36" s="2160"/>
      <c r="G36" s="237"/>
      <c r="H36" s="237"/>
      <c r="I36" s="828"/>
      <c r="J36" s="829"/>
      <c r="K36" s="237"/>
      <c r="L36" s="828"/>
      <c r="M36" s="829"/>
      <c r="N36" s="237"/>
      <c r="O36" s="828"/>
      <c r="P36" s="829"/>
      <c r="Q36" s="6"/>
      <c r="R36" s="1053">
        <f t="shared" si="9"/>
        <v>0</v>
      </c>
      <c r="S36" s="1054">
        <f t="shared" si="1"/>
        <v>0</v>
      </c>
      <c r="T36" s="1054">
        <f t="shared" si="10"/>
        <v>0</v>
      </c>
      <c r="U36" s="1055">
        <f t="shared" si="11"/>
        <v>0</v>
      </c>
      <c r="V36" s="231">
        <f t="shared" si="31"/>
        <v>45380</v>
      </c>
      <c r="W36" s="1053">
        <f t="shared" si="2"/>
        <v>0</v>
      </c>
      <c r="X36" s="1054">
        <f t="shared" si="3"/>
        <v>0</v>
      </c>
      <c r="Y36" s="1054">
        <f t="shared" si="4"/>
        <v>0</v>
      </c>
      <c r="Z36" s="1055">
        <f t="shared" si="5"/>
        <v>0</v>
      </c>
      <c r="AA36" s="822">
        <f>VLOOKUP(V36,CASSA!$B$114:$C$479,2,FALSE)</f>
        <v>0</v>
      </c>
      <c r="AB36" s="1053">
        <f t="shared" si="12"/>
        <v>0</v>
      </c>
      <c r="AC36" s="1054">
        <f t="shared" si="13"/>
        <v>0</v>
      </c>
      <c r="AD36" s="1054">
        <f t="shared" si="14"/>
        <v>0</v>
      </c>
      <c r="AE36" s="1055">
        <f t="shared" si="15"/>
        <v>0</v>
      </c>
      <c r="AF36" s="2"/>
      <c r="AG36" s="1090">
        <f t="shared" si="16"/>
        <v>0</v>
      </c>
      <c r="AH36" s="1091">
        <f t="shared" si="17"/>
        <v>0</v>
      </c>
      <c r="AI36" s="1054">
        <f t="shared" si="18"/>
        <v>0</v>
      </c>
      <c r="AJ36" s="1054">
        <f t="shared" si="19"/>
        <v>0</v>
      </c>
      <c r="AK36" s="1092">
        <f t="shared" si="6"/>
        <v>0</v>
      </c>
      <c r="AL36" s="2"/>
      <c r="AM36" s="1090">
        <f t="shared" si="7"/>
        <v>0</v>
      </c>
      <c r="AN36" s="1105">
        <f t="shared" si="20"/>
        <v>0</v>
      </c>
      <c r="AO36" s="1054">
        <f t="shared" si="21"/>
        <v>0</v>
      </c>
      <c r="AP36" s="1054">
        <f t="shared" si="22"/>
        <v>0</v>
      </c>
      <c r="AQ36" s="1092">
        <f t="shared" si="23"/>
        <v>0</v>
      </c>
      <c r="AR36" s="2"/>
      <c r="AS36" s="1090">
        <f t="shared" si="24"/>
        <v>0</v>
      </c>
      <c r="AT36" s="1091">
        <f t="shared" si="25"/>
        <v>0</v>
      </c>
      <c r="AU36" s="1054">
        <f t="shared" si="26"/>
        <v>0</v>
      </c>
      <c r="AV36" s="1054">
        <f t="shared" si="27"/>
        <v>0</v>
      </c>
      <c r="AW36" s="1092">
        <f t="shared" si="28"/>
        <v>0</v>
      </c>
      <c r="AX36" s="2"/>
      <c r="AY36" s="1090">
        <f t="shared" si="29"/>
        <v>0</v>
      </c>
      <c r="AZ36" s="1385"/>
      <c r="BA36" s="2"/>
    </row>
    <row r="37" spans="1:54" ht="20.25" customHeight="1" x14ac:dyDescent="0.2">
      <c r="A37" s="2"/>
      <c r="B37" s="18">
        <v>30</v>
      </c>
      <c r="C37" s="234">
        <f t="shared" si="30"/>
        <v>30</v>
      </c>
      <c r="D37" s="235">
        <f t="shared" si="8"/>
        <v>3</v>
      </c>
      <c r="E37" s="2159">
        <f t="shared" si="0"/>
        <v>0</v>
      </c>
      <c r="F37" s="2160"/>
      <c r="G37" s="237"/>
      <c r="H37" s="237"/>
      <c r="I37" s="828"/>
      <c r="J37" s="829"/>
      <c r="K37" s="237"/>
      <c r="L37" s="828"/>
      <c r="M37" s="829"/>
      <c r="N37" s="237"/>
      <c r="O37" s="828"/>
      <c r="P37" s="829"/>
      <c r="Q37" s="6"/>
      <c r="R37" s="1053">
        <f t="shared" si="9"/>
        <v>0</v>
      </c>
      <c r="S37" s="1054">
        <f t="shared" si="1"/>
        <v>0</v>
      </c>
      <c r="T37" s="1054">
        <f t="shared" si="10"/>
        <v>0</v>
      </c>
      <c r="U37" s="1055">
        <f t="shared" si="11"/>
        <v>0</v>
      </c>
      <c r="V37" s="231">
        <f t="shared" si="31"/>
        <v>45381</v>
      </c>
      <c r="W37" s="1053">
        <f t="shared" si="2"/>
        <v>0</v>
      </c>
      <c r="X37" s="1054">
        <f t="shared" si="3"/>
        <v>0</v>
      </c>
      <c r="Y37" s="1054">
        <f t="shared" si="4"/>
        <v>0</v>
      </c>
      <c r="Z37" s="1055">
        <f t="shared" si="5"/>
        <v>0</v>
      </c>
      <c r="AA37" s="822">
        <f>VLOOKUP(V37,CASSA!$B$114:$C$479,2,FALSE)</f>
        <v>0</v>
      </c>
      <c r="AB37" s="1053">
        <f t="shared" si="12"/>
        <v>0</v>
      </c>
      <c r="AC37" s="1054">
        <f t="shared" si="13"/>
        <v>0</v>
      </c>
      <c r="AD37" s="1054">
        <f t="shared" si="14"/>
        <v>0</v>
      </c>
      <c r="AE37" s="1055">
        <f t="shared" si="15"/>
        <v>0</v>
      </c>
      <c r="AF37" s="2"/>
      <c r="AG37" s="1090">
        <f t="shared" si="16"/>
        <v>0</v>
      </c>
      <c r="AH37" s="1091">
        <f t="shared" si="17"/>
        <v>0</v>
      </c>
      <c r="AI37" s="1054">
        <f t="shared" si="18"/>
        <v>0</v>
      </c>
      <c r="AJ37" s="1054">
        <f t="shared" si="19"/>
        <v>0</v>
      </c>
      <c r="AK37" s="1092">
        <f t="shared" si="6"/>
        <v>0</v>
      </c>
      <c r="AL37" s="2"/>
      <c r="AM37" s="1090">
        <f t="shared" si="7"/>
        <v>0</v>
      </c>
      <c r="AN37" s="1105">
        <f t="shared" si="20"/>
        <v>0</v>
      </c>
      <c r="AO37" s="1054">
        <f t="shared" si="21"/>
        <v>0</v>
      </c>
      <c r="AP37" s="1054">
        <f t="shared" si="22"/>
        <v>0</v>
      </c>
      <c r="AQ37" s="1092">
        <f t="shared" si="23"/>
        <v>0</v>
      </c>
      <c r="AR37" s="2"/>
      <c r="AS37" s="1090">
        <f t="shared" si="24"/>
        <v>0</v>
      </c>
      <c r="AT37" s="1091">
        <f t="shared" si="25"/>
        <v>0</v>
      </c>
      <c r="AU37" s="1054">
        <f t="shared" si="26"/>
        <v>0</v>
      </c>
      <c r="AV37" s="1054">
        <f t="shared" si="27"/>
        <v>0</v>
      </c>
      <c r="AW37" s="1092">
        <f t="shared" si="28"/>
        <v>0</v>
      </c>
      <c r="AX37" s="2"/>
      <c r="AY37" s="1090">
        <f t="shared" si="29"/>
        <v>0</v>
      </c>
      <c r="AZ37" s="1385"/>
      <c r="BA37" s="2"/>
    </row>
    <row r="38" spans="1:54" ht="20.25" customHeight="1" x14ac:dyDescent="0.2">
      <c r="A38" s="2"/>
      <c r="B38" s="18">
        <v>31</v>
      </c>
      <c r="C38" s="234">
        <f t="shared" si="30"/>
        <v>31</v>
      </c>
      <c r="D38" s="235">
        <f t="shared" si="8"/>
        <v>3</v>
      </c>
      <c r="E38" s="2162">
        <f t="shared" si="0"/>
        <v>0</v>
      </c>
      <c r="F38" s="2163"/>
      <c r="G38" s="824"/>
      <c r="H38" s="824"/>
      <c r="I38" s="836"/>
      <c r="J38" s="837"/>
      <c r="K38" s="824"/>
      <c r="L38" s="836"/>
      <c r="M38" s="837"/>
      <c r="N38" s="824"/>
      <c r="O38" s="836"/>
      <c r="P38" s="837"/>
      <c r="Q38" s="6"/>
      <c r="R38" s="1056">
        <f t="shared" si="9"/>
        <v>0</v>
      </c>
      <c r="S38" s="1057">
        <f t="shared" si="1"/>
        <v>0</v>
      </c>
      <c r="T38" s="1057">
        <f t="shared" si="10"/>
        <v>0</v>
      </c>
      <c r="U38" s="1058">
        <f t="shared" si="11"/>
        <v>0</v>
      </c>
      <c r="V38" s="231">
        <f t="shared" si="31"/>
        <v>45382</v>
      </c>
      <c r="W38" s="1056">
        <f t="shared" si="2"/>
        <v>0</v>
      </c>
      <c r="X38" s="1057">
        <f t="shared" si="3"/>
        <v>0</v>
      </c>
      <c r="Y38" s="1057">
        <f t="shared" si="4"/>
        <v>0</v>
      </c>
      <c r="Z38" s="1058">
        <f t="shared" si="5"/>
        <v>0</v>
      </c>
      <c r="AA38" s="822">
        <f>VLOOKUP(V38,CASSA!$B$114:$C$479,2,FALSE)</f>
        <v>0</v>
      </c>
      <c r="AB38" s="1056">
        <f t="shared" si="12"/>
        <v>0</v>
      </c>
      <c r="AC38" s="1057">
        <f t="shared" si="13"/>
        <v>0</v>
      </c>
      <c r="AD38" s="1057">
        <f t="shared" si="14"/>
        <v>0</v>
      </c>
      <c r="AE38" s="1058">
        <f t="shared" si="15"/>
        <v>0</v>
      </c>
      <c r="AF38" s="2"/>
      <c r="AG38" s="1093">
        <f t="shared" si="16"/>
        <v>0</v>
      </c>
      <c r="AH38" s="1094">
        <f t="shared" si="17"/>
        <v>0</v>
      </c>
      <c r="AI38" s="1057">
        <f t="shared" si="18"/>
        <v>0</v>
      </c>
      <c r="AJ38" s="1057">
        <f t="shared" si="19"/>
        <v>0</v>
      </c>
      <c r="AK38" s="1095">
        <f t="shared" si="6"/>
        <v>0</v>
      </c>
      <c r="AL38" s="2"/>
      <c r="AM38" s="1093">
        <f t="shared" si="7"/>
        <v>0</v>
      </c>
      <c r="AN38" s="1106">
        <f t="shared" si="20"/>
        <v>0</v>
      </c>
      <c r="AO38" s="1057">
        <f t="shared" si="21"/>
        <v>0</v>
      </c>
      <c r="AP38" s="1057">
        <f t="shared" si="22"/>
        <v>0</v>
      </c>
      <c r="AQ38" s="1095">
        <f t="shared" si="23"/>
        <v>0</v>
      </c>
      <c r="AR38" s="2"/>
      <c r="AS38" s="1093">
        <f t="shared" si="24"/>
        <v>0</v>
      </c>
      <c r="AT38" s="1094">
        <f t="shared" si="25"/>
        <v>0</v>
      </c>
      <c r="AU38" s="1057">
        <f t="shared" si="26"/>
        <v>0</v>
      </c>
      <c r="AV38" s="1057">
        <f t="shared" si="27"/>
        <v>0</v>
      </c>
      <c r="AW38" s="1095">
        <f t="shared" si="28"/>
        <v>0</v>
      </c>
      <c r="AX38" s="2"/>
      <c r="AY38" s="1093">
        <f t="shared" si="29"/>
        <v>0</v>
      </c>
      <c r="AZ38" s="1386"/>
      <c r="BA38" s="2"/>
    </row>
    <row r="39" spans="1:54" ht="20.25" customHeight="1" x14ac:dyDescent="0.2">
      <c r="A39" s="2"/>
      <c r="B39" s="7"/>
      <c r="C39" s="2077" t="s">
        <v>177</v>
      </c>
      <c r="D39" s="2078"/>
      <c r="E39" s="2074">
        <f>IMPOSTAZIONI!J265</f>
        <v>0</v>
      </c>
      <c r="F39" s="2075"/>
      <c r="G39" s="1440">
        <f>IF(ISERROR(G$155),0,SUM(G7:G38)-SUMIF($E8:$E38,$V4,G8:G38))</f>
        <v>0</v>
      </c>
      <c r="H39" s="1440">
        <f>IF(ISERROR(H$155),0,SUM(H7:H38)-SUMIF($E8:$E38,$V4,H8:H38))</f>
        <v>0</v>
      </c>
      <c r="I39" s="838"/>
      <c r="J39" s="839"/>
      <c r="K39" s="1440">
        <f>IF(ISERROR(I$155),0,SUM(K7:K38)-SUMIF($E8:$E38,$V4,K8:K38))</f>
        <v>0</v>
      </c>
      <c r="L39" s="838"/>
      <c r="M39" s="839"/>
      <c r="N39" s="1440">
        <f>IF(ISERROR(J$155),0,SUM(N7:N38)-SUMIF($E8:$E38,$V4,N8:N38))</f>
        <v>0</v>
      </c>
      <c r="O39" s="838"/>
      <c r="P39" s="839"/>
      <c r="Q39" s="6"/>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1383"/>
      <c r="BA39" s="2"/>
    </row>
    <row r="40" spans="1:54" ht="3" customHeight="1" x14ac:dyDescent="0.2">
      <c r="A40" s="2"/>
      <c r="B40" s="2"/>
      <c r="C40" s="8"/>
      <c r="D40" s="9"/>
      <c r="E40" s="825"/>
      <c r="F40" s="826"/>
      <c r="G40" s="827"/>
      <c r="H40" s="827"/>
      <c r="I40" s="825"/>
      <c r="J40" s="826"/>
      <c r="K40" s="827"/>
      <c r="L40" s="825"/>
      <c r="M40" s="826"/>
      <c r="N40" s="827"/>
      <c r="O40" s="825"/>
      <c r="P40" s="826"/>
      <c r="Q40" s="6"/>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row>
    <row r="41" spans="1:54" ht="6" customHeight="1" x14ac:dyDescent="0.2">
      <c r="A41" s="2"/>
      <c r="B41" s="2"/>
      <c r="C41" s="10"/>
      <c r="D41" s="10"/>
      <c r="E41" s="11"/>
      <c r="F41" s="11"/>
      <c r="G41" s="11"/>
      <c r="H41" s="11"/>
      <c r="I41" s="11"/>
      <c r="J41" s="11"/>
      <c r="K41" s="11"/>
      <c r="L41" s="11"/>
      <c r="M41" s="11"/>
      <c r="N41" s="11"/>
      <c r="O41" s="11"/>
      <c r="P41" s="11"/>
      <c r="Q41" s="1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row>
    <row r="42" spans="1:54" ht="18.75" customHeight="1" x14ac:dyDescent="0.2">
      <c r="A42" s="2"/>
      <c r="B42" s="2"/>
      <c r="C42" s="946" t="s">
        <v>657</v>
      </c>
      <c r="D42" s="14"/>
      <c r="E42" s="12"/>
      <c r="F42" s="12"/>
      <c r="G42" s="957">
        <f>IMPOSTAZIONI!I33</f>
        <v>0</v>
      </c>
      <c r="H42" s="957">
        <f>IMPOSTAZIONI!M33</f>
        <v>0</v>
      </c>
      <c r="I42" s="12"/>
      <c r="J42" s="12"/>
      <c r="K42" s="957">
        <f>IMPOSTAZIONI!U33</f>
        <v>0</v>
      </c>
      <c r="L42" s="12"/>
      <c r="M42" s="12"/>
      <c r="N42" s="957">
        <f>IMPOSTAZIONI!AC33</f>
        <v>0</v>
      </c>
      <c r="O42" s="12"/>
      <c r="P42" s="12"/>
      <c r="Q42" s="12"/>
      <c r="R42" s="2"/>
      <c r="S42" s="591"/>
      <c r="T42" s="591"/>
      <c r="U42" s="591"/>
      <c r="V42" s="591"/>
      <c r="W42" s="591"/>
      <c r="X42" s="591"/>
      <c r="Y42" s="591"/>
      <c r="Z42" s="591"/>
      <c r="AA42" s="591"/>
      <c r="AB42" s="591"/>
      <c r="AC42" s="591"/>
      <c r="AD42" s="591"/>
      <c r="AE42" s="591"/>
      <c r="AF42" s="591"/>
      <c r="AG42" s="591"/>
      <c r="AH42" s="591"/>
      <c r="AI42" s="591"/>
      <c r="AJ42" s="591"/>
      <c r="AK42" s="591"/>
      <c r="AL42" s="591"/>
      <c r="AM42" s="591"/>
      <c r="AN42" s="591"/>
      <c r="AO42" s="591"/>
      <c r="AP42" s="591"/>
      <c r="AQ42" s="591"/>
      <c r="AR42" s="591"/>
      <c r="AS42" s="591"/>
      <c r="AT42" s="591"/>
      <c r="AU42" s="591"/>
      <c r="AV42" s="591"/>
      <c r="AW42" s="591"/>
      <c r="AX42" s="591"/>
      <c r="AY42" s="591"/>
      <c r="AZ42" s="2"/>
      <c r="BA42" s="2"/>
      <c r="BB42" s="591"/>
    </row>
    <row r="43" spans="1:54" ht="18" customHeight="1" x14ac:dyDescent="0.2">
      <c r="A43" s="2"/>
      <c r="B43" s="2"/>
      <c r="C43" s="2161" t="s">
        <v>175</v>
      </c>
      <c r="D43" s="2161"/>
      <c r="E43" s="2076">
        <f>C6</f>
        <v>2024</v>
      </c>
      <c r="F43" s="2076"/>
      <c r="G43" s="888" t="str">
        <f>G6</f>
        <v/>
      </c>
      <c r="H43" s="889" t="str">
        <f>H6</f>
        <v/>
      </c>
      <c r="I43" s="2"/>
      <c r="J43" s="2"/>
      <c r="K43" s="887" t="str">
        <f>K6</f>
        <v/>
      </c>
      <c r="L43" s="2"/>
      <c r="M43" s="2"/>
      <c r="N43" s="887" t="str">
        <f>N6</f>
        <v/>
      </c>
      <c r="O43" s="2"/>
      <c r="P43" s="2"/>
      <c r="Q43" s="12"/>
      <c r="R43" s="2"/>
      <c r="S43" s="591"/>
      <c r="T43" s="591"/>
      <c r="U43" s="591"/>
      <c r="V43" s="591"/>
      <c r="W43" s="591"/>
      <c r="X43" s="591"/>
      <c r="Y43" s="591"/>
      <c r="Z43" s="591"/>
      <c r="AA43" s="591"/>
      <c r="AB43" s="591"/>
      <c r="AC43" s="591"/>
      <c r="AD43" s="591"/>
      <c r="AE43" s="591"/>
      <c r="AF43" s="591"/>
      <c r="AG43" s="591"/>
      <c r="AH43" s="591"/>
      <c r="AI43" s="591"/>
      <c r="AJ43" s="591"/>
      <c r="AK43" s="591"/>
      <c r="AL43" s="591"/>
      <c r="AM43" s="591"/>
      <c r="AN43" s="591"/>
      <c r="AO43" s="591"/>
      <c r="AP43" s="591"/>
      <c r="AQ43" s="591"/>
      <c r="AR43" s="591"/>
      <c r="AS43" s="591"/>
      <c r="AT43" s="591"/>
      <c r="AU43" s="591"/>
      <c r="AV43" s="591"/>
      <c r="AW43" s="591"/>
      <c r="AX43" s="591"/>
      <c r="AY43" s="591"/>
      <c r="AZ43" s="2"/>
      <c r="BA43" s="2"/>
      <c r="BB43" s="591"/>
    </row>
    <row r="44" spans="1:54" ht="22.5" customHeight="1" x14ac:dyDescent="0.2">
      <c r="A44" s="2"/>
      <c r="B44" s="2"/>
      <c r="C44" s="2091" t="s">
        <v>298</v>
      </c>
      <c r="D44" s="2091"/>
      <c r="E44" s="2091"/>
      <c r="F44" s="2091"/>
      <c r="G44" s="57" t="str">
        <f t="shared" ref="G44:K45" si="32">G4</f>
        <v/>
      </c>
      <c r="H44" s="57" t="str">
        <f t="shared" si="32"/>
        <v/>
      </c>
      <c r="I44" s="2034">
        <f>IF(I4=K130,"",I4)</f>
        <v>0</v>
      </c>
      <c r="J44" s="2034"/>
      <c r="K44" s="57" t="str">
        <f t="shared" si="32"/>
        <v/>
      </c>
      <c r="L44" s="2034">
        <f>IF(L4=K130,"",L4)</f>
        <v>0</v>
      </c>
      <c r="M44" s="2034"/>
      <c r="N44" s="57" t="str">
        <f>N4</f>
        <v/>
      </c>
      <c r="O44" s="2034">
        <f>IF(O4=K130,"",O4)</f>
        <v>0</v>
      </c>
      <c r="P44" s="2034"/>
      <c r="Q44" s="12"/>
      <c r="R44" s="2"/>
      <c r="S44" s="591"/>
      <c r="T44" s="591"/>
      <c r="U44" s="591"/>
      <c r="V44" s="591"/>
      <c r="W44" s="591"/>
      <c r="X44" s="591"/>
      <c r="Y44" s="591"/>
      <c r="Z44" s="591"/>
      <c r="AA44" s="591"/>
      <c r="AB44" s="591"/>
      <c r="AC44" s="591"/>
      <c r="AD44" s="591"/>
      <c r="AE44" s="591"/>
      <c r="AF44" s="591"/>
      <c r="AG44" s="591"/>
      <c r="AH44" s="591"/>
      <c r="AI44" s="591"/>
      <c r="AJ44" s="591"/>
      <c r="AK44" s="591"/>
      <c r="AL44" s="591"/>
      <c r="AM44" s="591"/>
      <c r="AN44" s="591"/>
      <c r="AO44" s="591"/>
      <c r="AP44" s="591"/>
      <c r="AQ44" s="591"/>
      <c r="AR44" s="591"/>
      <c r="AS44" s="591"/>
      <c r="AT44" s="591"/>
      <c r="AU44" s="591"/>
      <c r="AV44" s="591"/>
      <c r="AW44" s="591"/>
      <c r="AX44" s="591"/>
      <c r="AY44" s="591"/>
      <c r="AZ44" s="2"/>
      <c r="BA44" s="2"/>
      <c r="BB44" s="591"/>
    </row>
    <row r="45" spans="1:54" ht="22.5" customHeight="1" x14ac:dyDescent="0.2">
      <c r="A45" s="2"/>
      <c r="B45" s="2"/>
      <c r="C45" s="2081" t="s">
        <v>309</v>
      </c>
      <c r="D45" s="2081"/>
      <c r="E45" s="2082"/>
      <c r="F45" s="2082"/>
      <c r="G45" s="58" t="str">
        <f t="shared" si="32"/>
        <v/>
      </c>
      <c r="H45" s="58" t="str">
        <f t="shared" si="32"/>
        <v/>
      </c>
      <c r="I45" s="488" t="str">
        <f>I6</f>
        <v>DAL</v>
      </c>
      <c r="J45" s="489" t="str">
        <f>J6</f>
        <v>AL</v>
      </c>
      <c r="K45" s="58" t="str">
        <f t="shared" si="32"/>
        <v/>
      </c>
      <c r="L45" s="488" t="str">
        <f>L6</f>
        <v>DAL</v>
      </c>
      <c r="M45" s="489" t="str">
        <f>M6</f>
        <v>AL</v>
      </c>
      <c r="N45" s="58" t="str">
        <f>N5</f>
        <v/>
      </c>
      <c r="O45" s="488" t="str">
        <f>O6</f>
        <v>DAL</v>
      </c>
      <c r="P45" s="489" t="str">
        <f>P6</f>
        <v>AL</v>
      </c>
      <c r="Q45" s="12"/>
      <c r="R45" s="2"/>
      <c r="S45" s="591"/>
      <c r="T45" s="591"/>
      <c r="U45" s="591"/>
      <c r="V45" s="591"/>
      <c r="W45" s="591"/>
      <c r="X45" s="591"/>
      <c r="Y45" s="591"/>
      <c r="Z45" s="591"/>
      <c r="AA45" s="591"/>
      <c r="AB45" s="591"/>
      <c r="AC45" s="591"/>
      <c r="AD45" s="591"/>
      <c r="AE45" s="591"/>
      <c r="AF45" s="591"/>
      <c r="AG45" s="591"/>
      <c r="AH45" s="591"/>
      <c r="AI45" s="591"/>
      <c r="AJ45" s="591"/>
      <c r="AK45" s="591"/>
      <c r="AL45" s="591"/>
      <c r="AM45" s="591"/>
      <c r="AN45" s="591"/>
      <c r="AO45" s="591"/>
      <c r="AP45" s="591"/>
      <c r="AQ45" s="591"/>
      <c r="AR45" s="591"/>
      <c r="AS45" s="591"/>
      <c r="AT45" s="591"/>
      <c r="AU45" s="591"/>
      <c r="AV45" s="591"/>
      <c r="AW45" s="591"/>
      <c r="AX45" s="591"/>
      <c r="AY45" s="591"/>
      <c r="AZ45" s="2"/>
      <c r="BA45" s="2"/>
      <c r="BB45" s="591"/>
    </row>
    <row r="46" spans="1:54" ht="21.95" customHeight="1" x14ac:dyDescent="0.2">
      <c r="A46" s="2"/>
      <c r="B46" s="7"/>
      <c r="C46" s="2079" t="s">
        <v>193</v>
      </c>
      <c r="D46" s="2080"/>
      <c r="E46" s="2157">
        <f>IF(E150=1,SUM(E8:E38),SUM(G46:H46)+K46+N46-SUMIF(G42:N42,K134,G46:N46))</f>
        <v>0</v>
      </c>
      <c r="F46" s="2158"/>
      <c r="G46" s="881">
        <f>IF(ISERROR(G$155),0,SUM(G8:G38)-SUMIF($E8:$E38,$V4,G8:G38)+IF(ISERROR(VLOOKUP(G1,IMPOSTAZIONI!$B$401:$AM$407,$E$149,FALSE)),0,VLOOKUP(G1,IMPOSTAZIONI!$B$401:$AM$407,$E$149,FALSE)))</f>
        <v>0</v>
      </c>
      <c r="H46" s="882">
        <f>IF(ISERROR(H$155),0,SUM(H8:H38)-SUMIF($E8:$E38,$V4,H8:H38)+IF(ISERROR(VLOOKUP(H1,IMPOSTAZIONI!$B$401:$AM$407,$E$149,FALSE)),0,VLOOKUP(H1,IMPOSTAZIONI!$B$401:$AM$407,$E$149,FALSE)))</f>
        <v>0</v>
      </c>
      <c r="I46" s="884"/>
      <c r="J46" s="883"/>
      <c r="K46" s="297">
        <f>IF(ISERROR(I$155),0,SUM(K8:K38)-SUMIF($E8:$E38,$V4,K8:K38)+IF(ISERROR(VLOOKUP(K1,IMPOSTAZIONI!$B$401:$AM$407,$E$149,FALSE)),0,VLOOKUP(K1,IMPOSTAZIONI!$B$401:$AM$407,$E$149,FALSE)))</f>
        <v>0</v>
      </c>
      <c r="L46" s="884"/>
      <c r="M46" s="883"/>
      <c r="N46" s="297">
        <f>IF(ISERROR(J$155),0,SUM(N8:N38)-SUMIF($E8:$E38,$V4,N8:N38)+IF(ISERROR(VLOOKUP(N1,IMPOSTAZIONI!$B$401:$AM$407,$E$149,FALSE)),0,VLOOKUP(N1,IMPOSTAZIONI!$B$401:$AM$407,$E$149,FALSE)))</f>
        <v>0</v>
      </c>
      <c r="O46" s="885"/>
      <c r="P46" s="886"/>
      <c r="Q46" s="12"/>
      <c r="R46" s="2"/>
      <c r="S46" s="591"/>
      <c r="T46" s="591"/>
      <c r="U46" s="591"/>
      <c r="V46" s="591"/>
      <c r="W46" s="591"/>
      <c r="X46" s="591"/>
      <c r="Y46" s="591"/>
      <c r="Z46" s="591"/>
      <c r="AA46" s="591"/>
      <c r="AB46" s="591"/>
      <c r="AC46" s="591"/>
      <c r="AD46" s="591"/>
      <c r="AE46" s="591"/>
      <c r="AF46" s="591"/>
      <c r="AG46" s="591"/>
      <c r="AH46" s="591"/>
      <c r="AI46" s="591"/>
      <c r="AJ46" s="591"/>
      <c r="AK46" s="591"/>
      <c r="AL46" s="591"/>
      <c r="AM46" s="591"/>
      <c r="AN46" s="591"/>
      <c r="AO46" s="591"/>
      <c r="AP46" s="591"/>
      <c r="AQ46" s="591"/>
      <c r="AR46" s="591"/>
      <c r="AS46" s="591"/>
      <c r="AT46" s="591"/>
      <c r="AU46" s="591"/>
      <c r="AV46" s="591"/>
      <c r="AW46" s="591"/>
      <c r="AX46" s="591"/>
      <c r="AY46" s="591"/>
      <c r="AZ46" s="2"/>
      <c r="BA46" s="2"/>
      <c r="BB46" s="591"/>
    </row>
    <row r="47" spans="1:54" ht="16.5" customHeight="1" x14ac:dyDescent="0.2">
      <c r="A47" s="2"/>
      <c r="B47" s="7"/>
      <c r="C47" s="2179" t="s">
        <v>194</v>
      </c>
      <c r="D47" s="2180"/>
      <c r="E47" s="2177">
        <f>E46-E48</f>
        <v>0</v>
      </c>
      <c r="F47" s="2178"/>
      <c r="G47" s="238">
        <f>G46-G48</f>
        <v>0</v>
      </c>
      <c r="H47" s="652">
        <f>H46-H48</f>
        <v>0</v>
      </c>
      <c r="I47" s="2"/>
      <c r="J47" s="2"/>
      <c r="K47" s="654">
        <f>K46-K48</f>
        <v>0</v>
      </c>
      <c r="L47" s="2"/>
      <c r="M47" s="2"/>
      <c r="N47" s="654">
        <f>N46-N48</f>
        <v>0</v>
      </c>
      <c r="O47" s="2"/>
      <c r="P47" s="2"/>
      <c r="Q47" s="12"/>
      <c r="R47" s="2"/>
      <c r="S47" s="591"/>
      <c r="T47" s="591"/>
      <c r="U47" s="591"/>
      <c r="V47" s="591"/>
      <c r="W47" s="591"/>
      <c r="X47" s="591"/>
      <c r="Y47" s="591"/>
      <c r="Z47" s="591"/>
      <c r="AA47" s="591"/>
      <c r="AB47" s="591"/>
      <c r="AC47" s="591"/>
      <c r="AD47" s="591"/>
      <c r="AE47" s="591"/>
      <c r="AF47" s="591"/>
      <c r="AG47" s="591"/>
      <c r="AH47" s="591"/>
      <c r="AI47" s="591"/>
      <c r="AJ47" s="591"/>
      <c r="AK47" s="591"/>
      <c r="AL47" s="591"/>
      <c r="AM47" s="591"/>
      <c r="AN47" s="591"/>
      <c r="AO47" s="591"/>
      <c r="AP47" s="591"/>
      <c r="AQ47" s="591"/>
      <c r="AR47" s="591"/>
      <c r="AS47" s="591"/>
      <c r="AT47" s="591"/>
      <c r="AU47" s="591"/>
      <c r="AV47" s="591"/>
      <c r="AW47" s="591"/>
      <c r="AX47" s="591"/>
      <c r="AY47" s="591"/>
      <c r="AZ47" s="2"/>
      <c r="BA47" s="2"/>
      <c r="BB47" s="591"/>
    </row>
    <row r="48" spans="1:54" ht="16.5" customHeight="1" x14ac:dyDescent="0.2">
      <c r="A48" s="2"/>
      <c r="B48" s="7"/>
      <c r="C48" s="2070" t="s">
        <v>195</v>
      </c>
      <c r="D48" s="2071"/>
      <c r="E48" s="2181">
        <f>IF(I163=0,0,SUM(G48:H48)+K48+N48-SUMIF(G42:N42,K134,G48:N48))</f>
        <v>0</v>
      </c>
      <c r="F48" s="2182"/>
      <c r="G48" s="239">
        <f>IF(AND(C61=1,G63&lt;&gt;0),G87,IF(G152=0,SUM(R8:R38)-SUMIF($E8:$E38,$V4,R8:R38)+VLOOKUP(G1,IMPOSTAZIONI!$B$419:$AK$425,$E$149,FALSE),G98))</f>
        <v>0</v>
      </c>
      <c r="H48" s="653">
        <f>IF(AND(C61=1,H63&lt;&gt;0),H87,IF(H152=0,SUM(S8:S38)-SUMIF($E8:$E38,$V4,S8:S38)+VLOOKUP(H1,IMPOSTAZIONI!$B$419:$AK$425,$E$149,FALSE),H98))</f>
        <v>0</v>
      </c>
      <c r="I48" s="59"/>
      <c r="J48" s="139"/>
      <c r="K48" s="655">
        <f>IF(AND(C61=1,K63&lt;&gt;0),I87,IF(I152=0,SUM(T8:T38)-SUMIF($E8:$E38,$V4,T8:T38)+VLOOKUP(K1,IMPOSTAZIONI!$B$419:$AK$425,$E$149,FALSE),K98))</f>
        <v>0</v>
      </c>
      <c r="L48" s="59"/>
      <c r="M48" s="139"/>
      <c r="N48" s="655">
        <f>IF(AND(C61=1,N63&lt;&gt;0),K87,IF(J152=0,SUM(U8:U38)-SUMIF($E8:$E38,$V4,U8:U38)+VLOOKUP(N1,IMPOSTAZIONI!$B$419:$AK$425,$E$149,FALSE),N98))</f>
        <v>0</v>
      </c>
      <c r="O48" s="2"/>
      <c r="P48" s="2"/>
      <c r="Q48" s="13"/>
      <c r="R48" s="2"/>
      <c r="S48" s="591"/>
      <c r="T48" s="591"/>
      <c r="U48" s="591"/>
      <c r="V48" s="591"/>
      <c r="W48" s="591"/>
      <c r="X48" s="591"/>
      <c r="Y48" s="591"/>
      <c r="Z48" s="591"/>
      <c r="AA48" s="591"/>
      <c r="AB48" s="591"/>
      <c r="AC48" s="591"/>
      <c r="AD48" s="591"/>
      <c r="AE48" s="591"/>
      <c r="AF48" s="591"/>
      <c r="AG48" s="591"/>
      <c r="AH48" s="591"/>
      <c r="AI48" s="591"/>
      <c r="AJ48" s="591"/>
      <c r="AK48" s="591"/>
      <c r="AL48" s="591"/>
      <c r="AM48" s="591"/>
      <c r="AN48" s="591"/>
      <c r="AO48" s="591"/>
      <c r="AP48" s="591"/>
      <c r="AQ48" s="591"/>
      <c r="AR48" s="591"/>
      <c r="AS48" s="591"/>
      <c r="AT48" s="591"/>
      <c r="AU48" s="591"/>
      <c r="AV48" s="591"/>
      <c r="AW48" s="591"/>
      <c r="AX48" s="591"/>
      <c r="AY48" s="591"/>
      <c r="AZ48" s="2"/>
      <c r="BA48" s="2"/>
      <c r="BB48" s="591"/>
    </row>
    <row r="49" spans="1:54" ht="37.5" customHeight="1" x14ac:dyDescent="0.2">
      <c r="A49" s="2"/>
      <c r="B49" s="2"/>
      <c r="C49" s="14"/>
      <c r="D49" s="14"/>
      <c r="E49" s="12"/>
      <c r="F49" s="12"/>
      <c r="G49" s="11"/>
      <c r="H49" s="11"/>
      <c r="I49" s="12"/>
      <c r="J49" s="12"/>
      <c r="K49" s="11"/>
      <c r="L49" s="12"/>
      <c r="M49" s="12"/>
      <c r="N49" s="11"/>
      <c r="O49" s="12"/>
      <c r="P49" s="12"/>
      <c r="Q49" s="12"/>
      <c r="R49" s="12"/>
      <c r="S49" s="1308"/>
      <c r="T49" s="1308"/>
      <c r="U49" s="591"/>
      <c r="V49" s="591"/>
      <c r="W49" s="591"/>
      <c r="X49" s="591"/>
      <c r="Y49" s="591"/>
      <c r="Z49" s="591"/>
      <c r="AA49" s="591"/>
      <c r="AB49" s="591"/>
      <c r="AC49" s="591"/>
      <c r="AD49" s="591"/>
      <c r="AE49" s="591"/>
      <c r="AF49" s="591"/>
      <c r="AG49" s="591"/>
      <c r="AH49" s="591"/>
      <c r="AI49" s="591"/>
      <c r="AJ49" s="591"/>
      <c r="AK49" s="591"/>
      <c r="AL49" s="591"/>
      <c r="AM49" s="591"/>
      <c r="AN49" s="591"/>
      <c r="AO49" s="591"/>
      <c r="AP49" s="591"/>
      <c r="AQ49" s="591"/>
      <c r="AR49" s="591"/>
      <c r="AS49" s="591"/>
      <c r="AT49" s="591"/>
      <c r="AU49" s="591"/>
      <c r="AV49" s="591"/>
      <c r="AW49" s="591"/>
      <c r="AX49" s="591"/>
      <c r="AY49" s="591"/>
      <c r="AZ49" s="2"/>
      <c r="BA49" s="2"/>
      <c r="BB49" s="591"/>
    </row>
    <row r="50" spans="1:54" ht="18.75" customHeight="1" x14ac:dyDescent="0.2">
      <c r="A50" s="2"/>
      <c r="B50" s="2"/>
      <c r="C50" s="2174" t="s">
        <v>196</v>
      </c>
      <c r="D50" s="2174"/>
      <c r="E50" s="2174"/>
      <c r="F50" s="96"/>
      <c r="G50" s="2225" t="s">
        <v>488</v>
      </c>
      <c r="H50" s="2226"/>
      <c r="I50" s="2226"/>
      <c r="J50" s="2226"/>
      <c r="K50" s="2226"/>
      <c r="L50" s="2226"/>
      <c r="M50" s="2227"/>
      <c r="N50" s="656"/>
      <c r="O50" s="656"/>
      <c r="P50" s="14"/>
      <c r="Q50" s="2"/>
      <c r="R50" s="15"/>
      <c r="S50" s="1309"/>
      <c r="T50" s="591"/>
      <c r="U50" s="591"/>
      <c r="V50" s="591"/>
      <c r="W50" s="591"/>
      <c r="X50" s="591"/>
      <c r="Y50" s="591"/>
      <c r="Z50" s="1308"/>
      <c r="AA50" s="1309"/>
      <c r="AB50" s="591"/>
      <c r="AC50" s="591"/>
      <c r="AD50" s="591"/>
      <c r="AE50" s="591"/>
      <c r="AF50" s="591"/>
      <c r="AG50" s="591"/>
      <c r="AH50" s="591"/>
      <c r="AI50" s="591"/>
      <c r="AJ50" s="591"/>
      <c r="AK50" s="591"/>
      <c r="AL50" s="591"/>
      <c r="AM50" s="591"/>
      <c r="AN50" s="591"/>
      <c r="AO50" s="591"/>
      <c r="AP50" s="591"/>
      <c r="AQ50" s="591"/>
      <c r="AR50" s="591"/>
      <c r="AS50" s="591"/>
      <c r="AT50" s="591"/>
      <c r="AU50" s="591"/>
      <c r="AV50" s="591"/>
      <c r="AW50" s="591"/>
      <c r="AX50" s="591"/>
      <c r="AY50" s="591"/>
      <c r="AZ50" s="2"/>
      <c r="BA50" s="2"/>
      <c r="BB50" s="591"/>
    </row>
    <row r="51" spans="1:54" ht="16.5" customHeight="1" x14ac:dyDescent="0.25">
      <c r="A51" s="2"/>
      <c r="B51" s="2"/>
      <c r="C51" s="2126" t="s">
        <v>197</v>
      </c>
      <c r="D51" s="2127"/>
      <c r="E51" s="2128"/>
      <c r="F51" s="554"/>
      <c r="G51" s="293" t="str">
        <f>VLOOKUP(M3,K144:M148,3,FALSE)</f>
        <v>IVA a debito</v>
      </c>
      <c r="H51" s="294" t="str">
        <f>VLOOKUP(M3,K144:O148,5,FALSE)</f>
        <v>IVA a credito</v>
      </c>
      <c r="I51" s="2214" t="s">
        <v>200</v>
      </c>
      <c r="J51" s="2215"/>
      <c r="K51" s="1303" t="s">
        <v>201</v>
      </c>
      <c r="L51" s="2214" t="s">
        <v>71</v>
      </c>
      <c r="M51" s="2215"/>
      <c r="N51" s="14"/>
      <c r="O51" s="14"/>
      <c r="P51" s="14"/>
      <c r="Q51" s="12"/>
      <c r="R51" s="2"/>
      <c r="S51" s="591"/>
      <c r="T51" s="591"/>
      <c r="U51" s="591"/>
      <c r="V51" s="591"/>
      <c r="W51" s="591"/>
      <c r="X51" s="591"/>
      <c r="Y51" s="591"/>
      <c r="Z51" s="591"/>
      <c r="AA51" s="591"/>
      <c r="AB51" s="591"/>
      <c r="AC51" s="591"/>
      <c r="AD51" s="591"/>
      <c r="AE51" s="591"/>
      <c r="AF51" s="591"/>
      <c r="AG51" s="591"/>
      <c r="AH51" s="591"/>
      <c r="AI51" s="591"/>
      <c r="AJ51" s="591"/>
      <c r="AK51" s="591"/>
      <c r="AL51" s="591"/>
      <c r="AM51" s="591"/>
      <c r="AN51" s="591"/>
      <c r="AO51" s="591"/>
      <c r="AP51" s="591"/>
      <c r="AQ51" s="591"/>
      <c r="AR51" s="591"/>
      <c r="AS51" s="591"/>
      <c r="AT51" s="591"/>
      <c r="AU51" s="591"/>
      <c r="AV51" s="591"/>
      <c r="AW51" s="591"/>
      <c r="AX51" s="591"/>
      <c r="AY51" s="591"/>
      <c r="AZ51" s="2"/>
      <c r="BA51" s="2"/>
      <c r="BB51" s="591"/>
    </row>
    <row r="52" spans="1:54" ht="16.5" customHeight="1" x14ac:dyDescent="0.2">
      <c r="A52" s="2"/>
      <c r="B52" s="2"/>
      <c r="C52" s="2129"/>
      <c r="D52" s="2130"/>
      <c r="E52" s="2131"/>
      <c r="F52" s="576"/>
      <c r="G52" s="295" t="str">
        <f>VLOOKUP(M3,K144:N148,4,FALSE)</f>
        <v>corrispettivi</v>
      </c>
      <c r="H52" s="296" t="str">
        <f>VLOOKUP(M3,K144:P148,6,FALSE)</f>
        <v>ACQUISTI</v>
      </c>
      <c r="I52" s="2212" t="s">
        <v>201</v>
      </c>
      <c r="J52" s="2213"/>
      <c r="K52" s="1304" t="s">
        <v>204</v>
      </c>
      <c r="L52" s="2212" t="s">
        <v>205</v>
      </c>
      <c r="M52" s="2213"/>
      <c r="N52" s="14"/>
      <c r="O52" s="14"/>
      <c r="P52" s="14"/>
      <c r="Q52" s="12"/>
      <c r="R52" s="2"/>
      <c r="S52" s="591"/>
      <c r="T52" s="591"/>
      <c r="U52" s="591"/>
      <c r="V52" s="591"/>
      <c r="W52" s="591"/>
      <c r="X52" s="591"/>
      <c r="Y52" s="591"/>
      <c r="Z52" s="591"/>
      <c r="AA52" s="591"/>
      <c r="AB52" s="591"/>
      <c r="AC52" s="591"/>
      <c r="AD52" s="591"/>
      <c r="AE52" s="591"/>
      <c r="AF52" s="591"/>
      <c r="AG52" s="591"/>
      <c r="AH52" s="591"/>
      <c r="AI52" s="591"/>
      <c r="AJ52" s="591"/>
      <c r="AK52" s="591"/>
      <c r="AL52" s="591"/>
      <c r="AM52" s="591"/>
      <c r="AN52" s="591"/>
      <c r="AO52" s="591"/>
      <c r="AP52" s="591"/>
      <c r="AQ52" s="591"/>
      <c r="AR52" s="591"/>
      <c r="AS52" s="591"/>
      <c r="AT52" s="591"/>
      <c r="AU52" s="591"/>
      <c r="AV52" s="591"/>
      <c r="AW52" s="591"/>
      <c r="AX52" s="591"/>
      <c r="AY52" s="591"/>
      <c r="AZ52" s="2"/>
      <c r="BA52" s="2"/>
      <c r="BB52" s="591"/>
    </row>
    <row r="53" spans="1:54" ht="16.5" customHeight="1" x14ac:dyDescent="0.2">
      <c r="A53" s="2"/>
      <c r="B53" s="2"/>
      <c r="C53" s="2132" t="s">
        <v>816</v>
      </c>
      <c r="D53" s="2133"/>
      <c r="E53" s="2134"/>
      <c r="F53" s="554"/>
      <c r="G53" s="2045">
        <f>E48</f>
        <v>0</v>
      </c>
      <c r="H53" s="2047"/>
      <c r="I53" s="2066">
        <f>G53+H53</f>
        <v>0</v>
      </c>
      <c r="J53" s="2067"/>
      <c r="K53" s="2183"/>
      <c r="L53" s="2066">
        <f>I53+K53</f>
        <v>0</v>
      </c>
      <c r="M53" s="2067"/>
      <c r="N53" s="14"/>
      <c r="O53" s="14"/>
      <c r="P53" s="14"/>
      <c r="Q53" s="12"/>
      <c r="R53" s="2"/>
      <c r="S53" s="591"/>
      <c r="T53" s="591"/>
      <c r="U53" s="591"/>
      <c r="V53" s="591"/>
      <c r="W53" s="591"/>
      <c r="X53" s="591"/>
      <c r="Y53" s="591"/>
      <c r="Z53" s="591"/>
      <c r="AA53" s="591"/>
      <c r="AB53" s="591"/>
      <c r="AC53" s="591"/>
      <c r="AD53" s="591"/>
      <c r="AE53" s="591"/>
      <c r="AF53" s="591"/>
      <c r="AG53" s="591"/>
      <c r="AH53" s="591"/>
      <c r="AI53" s="591"/>
      <c r="AJ53" s="591"/>
      <c r="AK53" s="591"/>
      <c r="AL53" s="591"/>
      <c r="AM53" s="591"/>
      <c r="AN53" s="591"/>
      <c r="AO53" s="591"/>
      <c r="AP53" s="591"/>
      <c r="AQ53" s="591"/>
      <c r="AR53" s="591"/>
      <c r="AS53" s="591"/>
      <c r="AT53" s="591"/>
      <c r="AU53" s="591"/>
      <c r="AV53" s="591"/>
      <c r="AW53" s="591"/>
      <c r="AX53" s="591"/>
      <c r="AY53" s="591"/>
      <c r="AZ53" s="2"/>
      <c r="BA53" s="2"/>
      <c r="BB53" s="591"/>
    </row>
    <row r="54" spans="1:54" ht="16.5" customHeight="1" x14ac:dyDescent="0.2">
      <c r="A54" s="2"/>
      <c r="B54" s="2"/>
      <c r="C54" s="2042"/>
      <c r="D54" s="2043"/>
      <c r="E54" s="2044"/>
      <c r="F54" s="577"/>
      <c r="G54" s="2046"/>
      <c r="H54" s="2048"/>
      <c r="I54" s="2068"/>
      <c r="J54" s="2069"/>
      <c r="K54" s="2184"/>
      <c r="L54" s="2068"/>
      <c r="M54" s="2069"/>
      <c r="N54" s="14"/>
      <c r="O54" s="14"/>
      <c r="P54" s="14"/>
      <c r="Q54" s="12"/>
      <c r="R54" s="2"/>
      <c r="S54" s="591"/>
      <c r="T54" s="591"/>
      <c r="U54" s="591"/>
      <c r="V54" s="591"/>
      <c r="W54" s="591"/>
      <c r="X54" s="591"/>
      <c r="Y54" s="591"/>
      <c r="Z54" s="591"/>
      <c r="AA54" s="591"/>
      <c r="AB54" s="591"/>
      <c r="AC54" s="591"/>
      <c r="AD54" s="591"/>
      <c r="AE54" s="591"/>
      <c r="AF54" s="591"/>
      <c r="AG54" s="591"/>
      <c r="AH54" s="591"/>
      <c r="AI54" s="591"/>
      <c r="AJ54" s="591"/>
      <c r="AK54" s="591"/>
      <c r="AL54" s="591"/>
      <c r="AM54" s="591"/>
      <c r="AN54" s="591"/>
      <c r="AO54" s="591"/>
      <c r="AP54" s="591"/>
      <c r="AQ54" s="591"/>
      <c r="AR54" s="591"/>
      <c r="AS54" s="591"/>
      <c r="AT54" s="591"/>
      <c r="AU54" s="591"/>
      <c r="AV54" s="591"/>
      <c r="AW54" s="591"/>
      <c r="AX54" s="591"/>
      <c r="AY54" s="591"/>
      <c r="AZ54" s="2"/>
      <c r="BA54" s="2"/>
      <c r="BB54" s="591"/>
    </row>
    <row r="55" spans="1:54" ht="16.5" customHeight="1" x14ac:dyDescent="0.2">
      <c r="A55" s="2"/>
      <c r="B55" s="2"/>
      <c r="C55" s="2132" t="s">
        <v>815</v>
      </c>
      <c r="D55" s="2133"/>
      <c r="E55" s="2134"/>
      <c r="F55" s="555"/>
      <c r="G55" s="16" t="s">
        <v>206</v>
      </c>
      <c r="H55" s="890" t="s">
        <v>207</v>
      </c>
      <c r="I55" s="2120" t="str">
        <f>VLOOKUP(M3,K144:Q148,7,FALSE)</f>
        <v>DEBITO +</v>
      </c>
      <c r="J55" s="2121"/>
      <c r="K55" s="891" t="s">
        <v>208</v>
      </c>
      <c r="L55" s="2120" t="str">
        <f>VLOOKUP(M3,K144:T148,9,FALSE)</f>
        <v>DEBITO +</v>
      </c>
      <c r="M55" s="2121"/>
      <c r="N55" s="14"/>
      <c r="O55" s="14"/>
      <c r="P55" s="12"/>
      <c r="Q55" s="2"/>
      <c r="R55" s="2"/>
      <c r="S55" s="591"/>
      <c r="T55" s="591"/>
      <c r="U55" s="591"/>
      <c r="V55" s="591"/>
      <c r="W55" s="591"/>
      <c r="X55" s="591"/>
      <c r="Y55" s="591"/>
      <c r="Z55" s="591"/>
      <c r="AA55" s="591"/>
      <c r="AB55" s="591"/>
      <c r="AC55" s="591"/>
      <c r="AD55" s="591"/>
      <c r="AE55" s="591"/>
      <c r="AF55" s="591"/>
      <c r="AG55" s="591"/>
      <c r="AH55" s="591"/>
      <c r="AI55" s="591"/>
      <c r="AJ55" s="591"/>
      <c r="AK55" s="591"/>
      <c r="AL55" s="591"/>
      <c r="AM55" s="591"/>
      <c r="AN55" s="591"/>
      <c r="AO55" s="591"/>
      <c r="AP55" s="591"/>
      <c r="AQ55" s="591"/>
      <c r="AR55" s="591"/>
      <c r="AS55" s="591"/>
      <c r="AT55" s="591"/>
      <c r="AU55" s="591"/>
      <c r="AV55" s="591"/>
      <c r="AW55" s="591"/>
      <c r="AX55" s="591"/>
      <c r="AY55" s="591"/>
      <c r="AZ55" s="2"/>
      <c r="BA55" s="2"/>
      <c r="BB55" s="591"/>
    </row>
    <row r="56" spans="1:54" ht="16.5" customHeight="1" x14ac:dyDescent="0.2">
      <c r="A56" s="2"/>
      <c r="B56" s="2"/>
      <c r="C56" s="2138"/>
      <c r="D56" s="2139"/>
      <c r="E56" s="1215"/>
      <c r="F56" s="514"/>
      <c r="G56" s="97"/>
      <c r="H56" s="14"/>
      <c r="I56" s="2123" t="str">
        <f>VLOOKUP(M3,K144:R148,8,FALSE)</f>
        <v>CREDITO -</v>
      </c>
      <c r="J56" s="2124"/>
      <c r="K56" s="14"/>
      <c r="L56" s="2123" t="str">
        <f>VLOOKUP(M3,K144:T148,10,FALSE)</f>
        <v>CREDITO -</v>
      </c>
      <c r="M56" s="2124"/>
      <c r="N56" s="14"/>
      <c r="O56" s="2122"/>
      <c r="P56" s="2122"/>
      <c r="Q56" s="14"/>
      <c r="R56" s="2"/>
      <c r="S56" s="591"/>
      <c r="T56" s="591"/>
      <c r="U56" s="591"/>
      <c r="V56" s="591"/>
      <c r="W56" s="591"/>
      <c r="X56" s="591"/>
      <c r="Y56" s="591"/>
      <c r="Z56" s="591"/>
      <c r="AA56" s="591"/>
      <c r="AB56" s="591"/>
      <c r="AC56" s="591"/>
      <c r="AD56" s="591"/>
      <c r="AE56" s="591"/>
      <c r="AF56" s="591"/>
      <c r="AG56" s="591"/>
      <c r="AH56" s="591"/>
      <c r="AI56" s="591"/>
      <c r="AJ56" s="591"/>
      <c r="AK56" s="591"/>
      <c r="AL56" s="591"/>
      <c r="AM56" s="591"/>
      <c r="AN56" s="591"/>
      <c r="AO56" s="591"/>
      <c r="AP56" s="591"/>
      <c r="AQ56" s="591"/>
      <c r="AR56" s="591"/>
      <c r="AS56" s="591"/>
      <c r="AT56" s="591"/>
      <c r="AU56" s="591"/>
      <c r="AV56" s="591"/>
      <c r="AW56" s="591"/>
      <c r="AX56" s="591"/>
      <c r="AY56" s="591"/>
      <c r="AZ56" s="2"/>
      <c r="BA56" s="2"/>
      <c r="BB56" s="591"/>
    </row>
    <row r="57" spans="1:54" ht="30" customHeight="1" x14ac:dyDescent="0.2">
      <c r="A57" s="2"/>
      <c r="B57" s="17"/>
      <c r="C57" s="2144" t="s">
        <v>346</v>
      </c>
      <c r="D57" s="2144"/>
      <c r="E57" s="2145"/>
      <c r="F57" s="2145"/>
      <c r="G57" s="892" t="s">
        <v>347</v>
      </c>
      <c r="H57" s="892"/>
      <c r="I57" s="892"/>
      <c r="J57" s="892"/>
      <c r="K57" s="892"/>
      <c r="L57" s="892"/>
      <c r="M57" s="892"/>
      <c r="N57" s="892"/>
      <c r="O57" s="2211" t="s">
        <v>405</v>
      </c>
      <c r="P57" s="2211"/>
      <c r="Q57" s="255"/>
      <c r="R57" s="255"/>
      <c r="S57" s="1307"/>
      <c r="T57" s="1307"/>
      <c r="U57" s="591"/>
      <c r="V57" s="591"/>
      <c r="W57" s="591"/>
      <c r="X57" s="591"/>
      <c r="Y57" s="591"/>
      <c r="Z57" s="591"/>
      <c r="AA57" s="1307"/>
      <c r="AB57" s="1307"/>
      <c r="AC57" s="591"/>
      <c r="AD57" s="591"/>
      <c r="AE57" s="591"/>
      <c r="AF57" s="591"/>
      <c r="AG57" s="591"/>
      <c r="AH57" s="591"/>
      <c r="AI57" s="591"/>
      <c r="AJ57" s="591"/>
      <c r="AK57" s="591"/>
      <c r="AL57" s="591"/>
      <c r="AM57" s="591"/>
      <c r="AN57" s="591"/>
      <c r="AO57" s="591"/>
      <c r="AP57" s="591"/>
      <c r="AQ57" s="591"/>
      <c r="AR57" s="591"/>
      <c r="AS57" s="591"/>
      <c r="AT57" s="591"/>
      <c r="AU57" s="591"/>
      <c r="AV57" s="591"/>
      <c r="AW57" s="591"/>
      <c r="AX57" s="591"/>
      <c r="AY57" s="591"/>
      <c r="AZ57" s="2"/>
      <c r="BA57" s="2"/>
      <c r="BB57" s="591"/>
    </row>
    <row r="58" spans="1:54" ht="24.75" customHeight="1" x14ac:dyDescent="0.2">
      <c r="A58" s="2"/>
      <c r="B58" s="2"/>
      <c r="C58" s="2143">
        <f>IMPOSTAZIONI!T73</f>
        <v>0</v>
      </c>
      <c r="D58" s="2143"/>
      <c r="E58" s="2143"/>
      <c r="F58" s="2143"/>
      <c r="G58" s="893" t="str">
        <f>IMPOSTAZIONI!Y75</f>
        <v>Indirizzo esteso UBICAZIONE dell' Esercizio (facoltativo)</v>
      </c>
      <c r="H58" s="893"/>
      <c r="I58" s="893"/>
      <c r="J58" s="893"/>
      <c r="K58" s="893"/>
      <c r="L58" s="893"/>
      <c r="M58" s="893"/>
      <c r="N58" s="893"/>
      <c r="O58" s="1113" t="s">
        <v>344</v>
      </c>
      <c r="P58" s="2119">
        <v>3</v>
      </c>
      <c r="Q58" s="2119"/>
      <c r="R58" s="14"/>
      <c r="S58" s="591"/>
      <c r="T58" s="591"/>
      <c r="U58" s="591"/>
      <c r="V58" s="591"/>
      <c r="W58" s="591"/>
      <c r="X58" s="591"/>
      <c r="Y58" s="591"/>
      <c r="Z58" s="591"/>
      <c r="AA58" s="591"/>
      <c r="AB58" s="591"/>
      <c r="AC58" s="591"/>
      <c r="AD58" s="591"/>
      <c r="AE58" s="591"/>
      <c r="AF58" s="591"/>
      <c r="AG58" s="591"/>
      <c r="AH58" s="591"/>
      <c r="AI58" s="591"/>
      <c r="AJ58" s="591"/>
      <c r="AK58" s="591"/>
      <c r="AL58" s="591"/>
      <c r="AM58" s="591"/>
      <c r="AN58" s="591"/>
      <c r="AO58" s="591"/>
      <c r="AP58" s="591"/>
      <c r="AQ58" s="591"/>
      <c r="AR58" s="591"/>
      <c r="AS58" s="591"/>
      <c r="AT58" s="591"/>
      <c r="AU58" s="591"/>
      <c r="AV58" s="591"/>
      <c r="AW58" s="591"/>
      <c r="AX58" s="591"/>
      <c r="AY58" s="591"/>
      <c r="AZ58" s="2"/>
      <c r="BA58" s="2"/>
      <c r="BB58" s="591"/>
    </row>
    <row r="59" spans="1:54" ht="15.75" customHeight="1" x14ac:dyDescent="0.2">
      <c r="A59" s="2"/>
      <c r="B59" s="2"/>
      <c r="C59" s="2146" t="s">
        <v>248</v>
      </c>
      <c r="D59" s="2146"/>
      <c r="E59" s="2146"/>
      <c r="F59" s="2"/>
      <c r="G59" s="2"/>
      <c r="H59" s="2"/>
      <c r="I59" s="2"/>
      <c r="J59" s="2"/>
      <c r="K59" s="2"/>
      <c r="L59" s="2"/>
      <c r="M59" s="2"/>
      <c r="N59" s="2"/>
      <c r="O59" s="2"/>
      <c r="P59" s="2"/>
      <c r="Q59" s="2"/>
      <c r="R59" s="2"/>
      <c r="S59" s="591"/>
      <c r="T59" s="591"/>
      <c r="U59" s="591"/>
      <c r="V59" s="591"/>
      <c r="W59" s="591"/>
      <c r="X59" s="591"/>
      <c r="Y59" s="591"/>
      <c r="Z59" s="591"/>
      <c r="AA59" s="591"/>
      <c r="AB59" s="591"/>
      <c r="AC59" s="591"/>
      <c r="AD59" s="591"/>
      <c r="AE59" s="591"/>
      <c r="AF59" s="591"/>
      <c r="AG59" s="591"/>
      <c r="AH59" s="591"/>
      <c r="AI59" s="591"/>
      <c r="AJ59" s="591"/>
      <c r="AK59" s="591"/>
      <c r="AL59" s="591"/>
      <c r="AM59" s="591"/>
      <c r="AN59" s="591"/>
      <c r="AO59" s="591"/>
      <c r="AP59" s="591"/>
      <c r="AQ59" s="591"/>
      <c r="AR59" s="591"/>
      <c r="AS59" s="591"/>
      <c r="AT59" s="591"/>
      <c r="AU59" s="591"/>
      <c r="AV59" s="591"/>
      <c r="AW59" s="591"/>
      <c r="AX59" s="591"/>
      <c r="AY59" s="591"/>
      <c r="AZ59" s="591"/>
      <c r="BA59" s="591"/>
      <c r="BB59" s="591"/>
    </row>
    <row r="60" spans="1:54" ht="15" hidden="1" customHeight="1" x14ac:dyDescent="0.2">
      <c r="A60" s="2"/>
      <c r="B60" s="2"/>
      <c r="C60" s="2"/>
      <c r="D60" s="2"/>
      <c r="E60" s="2"/>
      <c r="F60" s="2"/>
      <c r="G60" s="2"/>
      <c r="H60" s="2"/>
      <c r="I60" s="2"/>
      <c r="J60" s="2"/>
      <c r="K60" s="2"/>
      <c r="L60" s="2"/>
      <c r="M60" s="2"/>
      <c r="N60" s="2"/>
      <c r="O60" s="2"/>
      <c r="P60" s="1012" t="s">
        <v>765</v>
      </c>
      <c r="Q60" s="2"/>
      <c r="R60" s="2"/>
      <c r="S60" s="591"/>
      <c r="T60" s="591"/>
      <c r="U60" s="591"/>
      <c r="V60" s="591"/>
      <c r="W60" s="591"/>
      <c r="X60" s="591"/>
      <c r="Y60" s="591"/>
      <c r="Z60" s="591"/>
      <c r="AA60" s="591"/>
      <c r="AB60" s="591"/>
      <c r="AC60" s="591"/>
      <c r="AD60" s="591"/>
      <c r="AE60" s="591"/>
      <c r="AF60" s="591"/>
      <c r="AG60" s="591"/>
      <c r="AH60" s="591"/>
      <c r="AI60" s="591"/>
      <c r="AJ60" s="591"/>
      <c r="AK60" s="591"/>
      <c r="AL60" s="591"/>
      <c r="AM60" s="591"/>
      <c r="AN60" s="591"/>
      <c r="AO60" s="591"/>
      <c r="AP60" s="591"/>
      <c r="AQ60" s="591"/>
      <c r="AR60" s="591"/>
      <c r="AS60" s="591"/>
      <c r="AT60" s="591"/>
      <c r="AU60" s="591"/>
      <c r="AV60" s="591"/>
      <c r="AW60" s="591"/>
      <c r="AX60" s="591"/>
      <c r="AY60" s="591"/>
      <c r="AZ60" s="591"/>
      <c r="BA60" s="591"/>
      <c r="BB60" s="591"/>
    </row>
    <row r="61" spans="1:54" ht="16.5" hidden="1" customHeight="1" x14ac:dyDescent="0.2">
      <c r="A61" s="2"/>
      <c r="B61" s="2"/>
      <c r="C61" s="1369">
        <f>IF(M3=K147,0,IF(T65=0,0,IF(E8=CONCATENATE(L131,"  "),0,IF(COUNTIF(G62:N62,$L$134)&gt;0,1,0))))</f>
        <v>0</v>
      </c>
      <c r="D61" s="1369">
        <f>IMPOSTAZIONI!H35</f>
        <v>0</v>
      </c>
      <c r="E61" s="2"/>
      <c r="F61" s="2"/>
      <c r="G61" s="1010" t="str">
        <f>IMPOSTAZIONI!$I$19</f>
        <v>Colonna 1</v>
      </c>
      <c r="H61" s="1010" t="str">
        <f>IMPOSTAZIONI!$M$19</f>
        <v>Colonna 2</v>
      </c>
      <c r="I61" s="101"/>
      <c r="J61" s="101"/>
      <c r="K61" s="1010" t="str">
        <f>IMPOSTAZIONI!$U$19</f>
        <v>Colonna 3</v>
      </c>
      <c r="L61" s="101"/>
      <c r="M61" s="101"/>
      <c r="N61" s="1010" t="str">
        <f>IMPOSTAZIONI!$AC$19</f>
        <v>Colonna 4</v>
      </c>
      <c r="O61" s="2"/>
      <c r="P61" s="1013" t="s">
        <v>766</v>
      </c>
      <c r="Q61" s="2"/>
      <c r="R61" s="2"/>
      <c r="S61" s="591"/>
      <c r="T61" s="591"/>
      <c r="U61" s="591"/>
      <c r="V61" s="591"/>
      <c r="W61" s="591"/>
      <c r="X61" s="591"/>
      <c r="Y61" s="591"/>
      <c r="Z61" s="591"/>
      <c r="AA61" s="591"/>
      <c r="AB61" s="591"/>
      <c r="AC61" s="591"/>
      <c r="AD61" s="591"/>
      <c r="AE61" s="591"/>
      <c r="AF61" s="591"/>
      <c r="AG61" s="591"/>
      <c r="AH61" s="591"/>
      <c r="AI61" s="591"/>
      <c r="AJ61" s="591"/>
      <c r="AK61" s="591"/>
      <c r="AL61" s="591"/>
      <c r="AM61" s="591"/>
      <c r="AN61" s="591"/>
      <c r="AO61" s="591"/>
      <c r="AP61" s="591"/>
      <c r="AQ61" s="591"/>
      <c r="AR61" s="591"/>
      <c r="AS61" s="591"/>
      <c r="AT61" s="591"/>
      <c r="AU61" s="591"/>
      <c r="AV61" s="591"/>
      <c r="AW61" s="591"/>
      <c r="AX61" s="591"/>
      <c r="AY61" s="591"/>
      <c r="AZ61" s="591"/>
      <c r="BA61" s="591"/>
      <c r="BB61" s="591"/>
    </row>
    <row r="62" spans="1:54" ht="20.25" hidden="1" customHeight="1" x14ac:dyDescent="0.2">
      <c r="A62" s="2"/>
      <c r="B62" s="2"/>
      <c r="C62" s="2"/>
      <c r="D62" s="2"/>
      <c r="E62" s="2"/>
      <c r="F62" s="2"/>
      <c r="G62" s="1011" t="str">
        <f>IF(IMPOSTAZIONI!$I$35=0,$L$135,IMPOSTAZIONI!$I$35)</f>
        <v>SCORPORO</v>
      </c>
      <c r="H62" s="1011" t="str">
        <f>IF(IMPOSTAZIONI!$M$35=0,$L$135,IMPOSTAZIONI!$M$35)</f>
        <v>SCORPORO</v>
      </c>
      <c r="I62" s="101"/>
      <c r="J62" s="101"/>
      <c r="K62" s="1011" t="str">
        <f>IF(IMPOSTAZIONI!$U$35=0,$L$135,IMPOSTAZIONI!$U$35)</f>
        <v>SCORPORO</v>
      </c>
      <c r="L62" s="101"/>
      <c r="M62" s="101"/>
      <c r="N62" s="1011" t="str">
        <f>IF(IMPOSTAZIONI!$AC$35=0,$L$135,IMPOSTAZIONI!$AC$35)</f>
        <v>SCORPORO</v>
      </c>
      <c r="O62" s="2"/>
      <c r="P62" s="2"/>
      <c r="Q62" s="2"/>
      <c r="R62" s="2"/>
      <c r="S62" s="2"/>
      <c r="T62" s="2"/>
      <c r="U62" s="2"/>
      <c r="V62" s="2"/>
      <c r="W62" s="2"/>
      <c r="X62" s="2"/>
      <c r="Y62" s="2"/>
      <c r="Z62" s="2"/>
      <c r="AA62" s="2"/>
      <c r="AB62" s="591"/>
      <c r="AC62" s="591"/>
      <c r="AD62" s="591"/>
      <c r="AE62" s="591"/>
      <c r="AF62" s="591"/>
      <c r="AG62" s="591"/>
      <c r="AH62" s="591"/>
      <c r="AI62" s="591"/>
      <c r="AJ62" s="591"/>
      <c r="AK62" s="591"/>
      <c r="AL62" s="591"/>
      <c r="AM62" s="591"/>
      <c r="AN62" s="591"/>
      <c r="AO62" s="591"/>
      <c r="AP62" s="591"/>
      <c r="AQ62" s="591"/>
      <c r="AR62" s="591"/>
      <c r="AS62" s="591"/>
      <c r="AT62" s="591"/>
      <c r="AU62" s="591"/>
      <c r="AV62" s="591"/>
      <c r="AW62" s="591"/>
      <c r="AX62" s="591"/>
      <c r="AY62" s="591"/>
      <c r="AZ62" s="591"/>
      <c r="BA62" s="591"/>
      <c r="BB62" s="591"/>
    </row>
    <row r="63" spans="1:54" ht="20.25" hidden="1" customHeight="1" x14ac:dyDescent="0.2">
      <c r="A63" s="2"/>
      <c r="B63" s="2"/>
      <c r="C63" s="2"/>
      <c r="D63" s="2"/>
      <c r="E63" s="2"/>
      <c r="F63" s="966" t="s">
        <v>814</v>
      </c>
      <c r="G63" s="965">
        <f>IF(G62=$L134,ROUND(G46,2),0)</f>
        <v>0</v>
      </c>
      <c r="H63" s="964">
        <f>IF(H62=$L134,ROUND(H46,2),0)</f>
        <v>0</v>
      </c>
      <c r="I63" s="2"/>
      <c r="J63" s="2"/>
      <c r="K63" s="963">
        <f>IF(K62=$L134,ROUND(K46,2),0)</f>
        <v>0</v>
      </c>
      <c r="L63" s="2"/>
      <c r="M63" s="2"/>
      <c r="N63" s="963">
        <f>IF(N62=$L134,ROUND(N46,2),0)</f>
        <v>0</v>
      </c>
      <c r="O63" s="2"/>
      <c r="P63" s="2"/>
      <c r="Q63" s="2"/>
      <c r="R63" s="2"/>
      <c r="S63" s="2"/>
      <c r="T63" s="2"/>
      <c r="U63" s="2"/>
      <c r="V63" s="2"/>
      <c r="W63" s="2"/>
      <c r="X63" s="2"/>
      <c r="Y63" s="2"/>
      <c r="Z63" s="2"/>
      <c r="AA63" s="2"/>
      <c r="AB63" s="591"/>
      <c r="AC63" s="591"/>
      <c r="AD63" s="591"/>
      <c r="AE63" s="591"/>
      <c r="AF63" s="591"/>
      <c r="AG63" s="591"/>
      <c r="AH63" s="591"/>
      <c r="AI63" s="591"/>
      <c r="AJ63" s="591"/>
      <c r="AK63" s="591"/>
      <c r="AL63" s="591"/>
      <c r="AM63" s="591"/>
      <c r="AN63" s="591"/>
      <c r="AO63" s="591"/>
      <c r="AP63" s="591"/>
      <c r="AQ63" s="591"/>
      <c r="AR63" s="591"/>
      <c r="AS63" s="591"/>
      <c r="AT63" s="591"/>
      <c r="AU63" s="591"/>
      <c r="AV63" s="591"/>
      <c r="AW63" s="591"/>
      <c r="AX63" s="591"/>
      <c r="AY63" s="591"/>
      <c r="AZ63" s="591"/>
      <c r="BA63" s="591"/>
      <c r="BB63" s="591"/>
    </row>
    <row r="64" spans="1:54" ht="3.75" hidden="1"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591"/>
      <c r="AC64" s="591"/>
      <c r="AD64" s="591"/>
      <c r="AE64" s="591"/>
      <c r="AF64" s="591"/>
      <c r="AG64" s="591"/>
      <c r="AH64" s="591"/>
      <c r="AI64" s="591"/>
      <c r="AJ64" s="591"/>
      <c r="AK64" s="591"/>
      <c r="AL64" s="591"/>
      <c r="AM64" s="591"/>
      <c r="AN64" s="591"/>
      <c r="AO64" s="591"/>
      <c r="AP64" s="591"/>
      <c r="AQ64" s="591"/>
      <c r="AR64" s="591"/>
      <c r="AS64" s="591"/>
      <c r="AT64" s="591"/>
      <c r="AU64" s="591"/>
      <c r="AV64" s="591"/>
      <c r="AW64" s="591"/>
      <c r="AX64" s="591"/>
      <c r="AY64" s="591"/>
      <c r="AZ64" s="591"/>
      <c r="BA64" s="591"/>
      <c r="BB64" s="591"/>
    </row>
    <row r="65" spans="1:54" ht="20.25" hidden="1" customHeight="1" x14ac:dyDescent="0.2">
      <c r="A65" s="2"/>
      <c r="B65" s="2"/>
      <c r="C65" s="2"/>
      <c r="D65" s="2"/>
      <c r="E65" s="2"/>
      <c r="F65" s="966" t="s">
        <v>744</v>
      </c>
      <c r="G65" s="967">
        <f>G63+H63+K63+N63</f>
        <v>0</v>
      </c>
      <c r="H65" s="1114" t="str">
        <f>IF(M3=K147,"",CONCATENATE("VENTILAZIONE ",IMPOSTAZIONI!D35,IMPOSTAZIONI!B32))</f>
        <v xml:space="preserve">VENTILAZIONE </v>
      </c>
      <c r="I65" s="2"/>
      <c r="J65" s="2"/>
      <c r="K65" s="2"/>
      <c r="L65" s="2"/>
      <c r="M65" s="2"/>
      <c r="N65" s="2"/>
      <c r="O65" s="2"/>
      <c r="P65" s="2"/>
      <c r="Q65" s="2"/>
      <c r="R65" s="2"/>
      <c r="S65" s="1111" t="str">
        <f>IMPOSTAZIONI!H143</f>
        <v>MENSILE</v>
      </c>
      <c r="T65" s="2019">
        <f>IMPOSTAZIONI!D35</f>
        <v>0</v>
      </c>
      <c r="U65" s="1116" t="str">
        <f>$C182</f>
        <v>01/01 - 31/03</v>
      </c>
      <c r="V65" s="1081" t="s">
        <v>790</v>
      </c>
      <c r="W65" s="2"/>
      <c r="X65" s="2"/>
      <c r="Y65" s="1081" t="s">
        <v>792</v>
      </c>
      <c r="Z65" s="2"/>
      <c r="AA65" s="2"/>
      <c r="AB65" s="591"/>
      <c r="AC65" s="591"/>
      <c r="AD65" s="591"/>
      <c r="AE65" s="591"/>
      <c r="AF65" s="591"/>
      <c r="AG65" s="591"/>
      <c r="AH65" s="591"/>
      <c r="AI65" s="591"/>
      <c r="AJ65" s="591"/>
      <c r="AK65" s="591"/>
      <c r="AL65" s="591"/>
      <c r="AM65" s="591"/>
      <c r="AN65" s="591"/>
      <c r="AO65" s="591"/>
      <c r="AP65" s="591"/>
      <c r="AQ65" s="591"/>
      <c r="AR65" s="591"/>
      <c r="AS65" s="591"/>
      <c r="AT65" s="591"/>
      <c r="AU65" s="591"/>
      <c r="AV65" s="591"/>
      <c r="AW65" s="591"/>
      <c r="AX65" s="591"/>
      <c r="AY65" s="591"/>
      <c r="AZ65" s="591"/>
      <c r="BA65" s="591"/>
      <c r="BB65" s="591"/>
    </row>
    <row r="66" spans="1:54" ht="20.25" hidden="1" customHeight="1" x14ac:dyDescent="0.2">
      <c r="A66" s="2"/>
      <c r="B66" s="2"/>
      <c r="C66" s="2"/>
      <c r="D66" s="2"/>
      <c r="E66" s="2"/>
      <c r="F66" s="2"/>
      <c r="G66" s="2"/>
      <c r="H66" s="10"/>
      <c r="I66" s="10"/>
      <c r="J66" s="10"/>
      <c r="K66" s="10"/>
      <c r="L66" s="10"/>
      <c r="M66" s="10"/>
      <c r="N66" s="1008" t="s">
        <v>746</v>
      </c>
      <c r="O66" s="2"/>
      <c r="P66" s="2"/>
      <c r="Q66" s="2"/>
      <c r="R66" s="2"/>
      <c r="S66" s="1112" t="str">
        <f>IMPOSTAZIONI!H144</f>
        <v>TRIMESTRALE</v>
      </c>
      <c r="T66" s="2020"/>
      <c r="U66" s="806" t="str">
        <f>U65</f>
        <v>01/01 - 31/03</v>
      </c>
      <c r="V66" s="478" t="s">
        <v>790</v>
      </c>
      <c r="W66" s="2"/>
      <c r="X66" s="2"/>
      <c r="Y66" s="478" t="s">
        <v>792</v>
      </c>
      <c r="Z66" s="2"/>
      <c r="AA66" s="2"/>
      <c r="AB66" s="591"/>
      <c r="AC66" s="591"/>
      <c r="AD66" s="591"/>
      <c r="AE66" s="591"/>
      <c r="AF66" s="591"/>
      <c r="AG66" s="591"/>
      <c r="AH66" s="591"/>
      <c r="AI66" s="591"/>
      <c r="AJ66" s="591"/>
      <c r="AK66" s="591"/>
      <c r="AM66" s="591"/>
      <c r="AN66" s="591"/>
      <c r="AO66" s="591"/>
      <c r="AP66" s="591"/>
      <c r="AQ66" s="591"/>
      <c r="AS66" s="591"/>
      <c r="AT66" s="591"/>
      <c r="AU66" s="591"/>
      <c r="AV66" s="591"/>
      <c r="AW66" s="591"/>
      <c r="AY66" s="591"/>
    </row>
    <row r="67" spans="1:54" ht="24" hidden="1" customHeight="1" x14ac:dyDescent="0.2">
      <c r="A67" s="2"/>
      <c r="B67" s="2"/>
      <c r="C67" s="1183" t="s">
        <v>747</v>
      </c>
      <c r="D67" s="1165"/>
      <c r="E67" s="1165"/>
      <c r="F67" s="1165"/>
      <c r="G67" s="1197" t="e">
        <f>VLOOKUP(T65,S65:V66,4,FALSE)</f>
        <v>#N/A</v>
      </c>
      <c r="H67" s="1165"/>
      <c r="I67" s="2136" t="s">
        <v>748</v>
      </c>
      <c r="J67" s="2136"/>
      <c r="K67" s="1167"/>
      <c r="L67" s="14"/>
      <c r="M67" s="14"/>
      <c r="N67" s="1009" t="s">
        <v>749</v>
      </c>
      <c r="O67" s="2"/>
      <c r="P67" s="2"/>
      <c r="Q67" s="2"/>
      <c r="R67" s="2"/>
      <c r="S67" s="1129" t="e">
        <f>VLOOKUP(G67,V65:Y66,4,FALSE)</f>
        <v>#N/A</v>
      </c>
      <c r="T67" s="1115" t="str">
        <f>IF(T65=S66,U66,U65)</f>
        <v>01/01 - 31/03</v>
      </c>
      <c r="U67" s="2"/>
      <c r="V67" s="2"/>
      <c r="W67" s="2"/>
      <c r="X67" s="2"/>
      <c r="Y67" s="2"/>
      <c r="Z67" s="2"/>
      <c r="AA67" s="2"/>
      <c r="AB67" s="591"/>
      <c r="AC67" s="591"/>
      <c r="AD67" s="591"/>
      <c r="AE67" s="591"/>
      <c r="AF67" s="591"/>
      <c r="AG67" s="591"/>
      <c r="AH67" s="591"/>
      <c r="AI67" s="591"/>
      <c r="AJ67" s="591"/>
      <c r="AK67" s="591"/>
      <c r="AM67" s="591"/>
      <c r="AN67" s="591"/>
      <c r="AO67" s="591"/>
      <c r="AP67" s="591"/>
      <c r="AQ67" s="591"/>
      <c r="AS67" s="591"/>
      <c r="AT67" s="591"/>
      <c r="AU67" s="591"/>
      <c r="AV67" s="591"/>
      <c r="AW67" s="591"/>
      <c r="AY67" s="591"/>
    </row>
    <row r="68" spans="1:54" ht="20.25" hidden="1" customHeight="1" x14ac:dyDescent="0.2">
      <c r="A68" s="2"/>
      <c r="B68" s="2"/>
      <c r="C68" s="1169" t="s">
        <v>750</v>
      </c>
      <c r="D68" s="14"/>
      <c r="E68" s="14"/>
      <c r="F68" s="14"/>
      <c r="G68" s="1209" t="str">
        <f>C95</f>
        <v>01/03 - 31/03</v>
      </c>
      <c r="H68" s="971" t="s">
        <v>751</v>
      </c>
      <c r="I68" s="2137" t="str">
        <f>T67</f>
        <v>01/01 - 31/03</v>
      </c>
      <c r="J68" s="2137"/>
      <c r="K68" s="1208" t="s">
        <v>752</v>
      </c>
      <c r="L68" s="2022" t="s">
        <v>195</v>
      </c>
      <c r="M68" s="2022"/>
      <c r="N68" s="972" t="s">
        <v>353</v>
      </c>
      <c r="O68" s="2"/>
      <c r="P68" s="2"/>
      <c r="Q68" s="2"/>
      <c r="R68" s="2"/>
      <c r="S68" s="2"/>
      <c r="T68" s="2"/>
      <c r="U68" s="2"/>
      <c r="V68" s="2"/>
      <c r="W68" s="2"/>
      <c r="X68" s="2"/>
      <c r="Y68" s="2"/>
      <c r="Z68" s="2"/>
      <c r="AA68" s="2"/>
      <c r="AB68" s="591"/>
      <c r="AC68" s="591"/>
      <c r="AD68" s="591"/>
      <c r="AE68" s="591"/>
      <c r="AF68" s="591"/>
      <c r="AG68" s="591"/>
      <c r="AH68" s="591"/>
      <c r="AI68" s="591"/>
      <c r="AJ68" s="591"/>
      <c r="AK68" s="591"/>
      <c r="AM68" s="591"/>
      <c r="AN68" s="591"/>
      <c r="AO68" s="591"/>
      <c r="AP68" s="591"/>
      <c r="AQ68" s="591"/>
      <c r="AS68" s="591"/>
      <c r="AT68" s="591"/>
      <c r="AU68" s="591"/>
      <c r="AV68" s="591"/>
      <c r="AW68" s="591"/>
      <c r="AY68" s="591"/>
    </row>
    <row r="69" spans="1:54" ht="20.25" hidden="1" customHeight="1" x14ac:dyDescent="0.2">
      <c r="A69" s="2"/>
      <c r="B69" s="2"/>
      <c r="C69" s="1198" t="s">
        <v>753</v>
      </c>
      <c r="D69" s="14"/>
      <c r="E69" s="14"/>
      <c r="F69" s="14"/>
      <c r="G69" s="1015"/>
      <c r="H69" s="1202">
        <f>IF(AND(IMPOSTAZIONI!AF$147="",G69&lt;&gt;0),E$163,IMPOSTAZIONI!AF$147)</f>
        <v>22</v>
      </c>
      <c r="I69" s="2024">
        <f>IF($T$65=$S$66,Z69,G69+FEB!I69)</f>
        <v>0</v>
      </c>
      <c r="J69" s="2025"/>
      <c r="K69" s="1201">
        <f>IF(I73=0,0,K73-SUM(K70:K72))</f>
        <v>0</v>
      </c>
      <c r="L69" s="2023" t="str">
        <f>CONCATENATE("al ",H69," %")</f>
        <v>al 22 %</v>
      </c>
      <c r="M69" s="2023"/>
      <c r="N69" s="973">
        <f>IF(SUM(I69:J72)=0,0,ROUND(G65-SUM(N70:N72),2))</f>
        <v>0</v>
      </c>
      <c r="O69" s="2"/>
      <c r="P69" s="2"/>
      <c r="Q69" s="2"/>
      <c r="R69" s="2"/>
      <c r="S69" s="974">
        <f>IF(ISERROR(G77),0,G77)</f>
        <v>0</v>
      </c>
      <c r="T69" s="975">
        <f>IF(ISERROR(G78),0,G78)</f>
        <v>0</v>
      </c>
      <c r="U69" s="976">
        <f>IF(ISERROR(G79),0,G79)</f>
        <v>0</v>
      </c>
      <c r="V69" s="2"/>
      <c r="W69" s="1117">
        <f>GEN!$G69</f>
        <v>0</v>
      </c>
      <c r="X69" s="1118">
        <f>FEB!$G69</f>
        <v>0</v>
      </c>
      <c r="Y69" s="1119">
        <f>MAR!$G69</f>
        <v>0</v>
      </c>
      <c r="Z69" s="1120">
        <f>SUM(W69:Y69)</f>
        <v>0</v>
      </c>
      <c r="AA69" s="2"/>
      <c r="AB69" s="591"/>
      <c r="AC69" s="591"/>
      <c r="AD69" s="591"/>
      <c r="AE69" s="591"/>
      <c r="AF69" s="591"/>
      <c r="AG69" s="591"/>
      <c r="AH69" s="591"/>
      <c r="AI69" s="591"/>
      <c r="AJ69" s="591"/>
      <c r="AK69" s="591"/>
      <c r="AM69" s="591"/>
      <c r="AN69" s="591"/>
      <c r="AO69" s="591"/>
      <c r="AP69" s="591"/>
      <c r="AQ69" s="591"/>
      <c r="AS69" s="591"/>
      <c r="AT69" s="591"/>
      <c r="AU69" s="591"/>
      <c r="AV69" s="591"/>
      <c r="AW69" s="591"/>
      <c r="AY69" s="591"/>
    </row>
    <row r="70" spans="1:54" ht="20.25" hidden="1" customHeight="1" x14ac:dyDescent="0.25">
      <c r="A70" s="2"/>
      <c r="B70" s="2"/>
      <c r="C70" s="1199" t="s">
        <v>754</v>
      </c>
      <c r="D70" s="14"/>
      <c r="E70" s="14"/>
      <c r="F70" s="14"/>
      <c r="G70" s="1016"/>
      <c r="H70" s="1202">
        <f>IF(AND(IMPOSTAZIONI!AG$147="",G70&lt;&gt;0),E$163,IMPOSTAZIONI!AG$147)</f>
        <v>10</v>
      </c>
      <c r="I70" s="2026">
        <f>IF($T$65=$S$66,Z70,G70+FEB!I70)</f>
        <v>0</v>
      </c>
      <c r="J70" s="2027"/>
      <c r="K70" s="1201">
        <f>IF(I$73=0,0,ROUND(I70/I$73*100,2))</f>
        <v>0</v>
      </c>
      <c r="L70" s="2023" t="str">
        <f>CONCATENATE("al ",H70," %")</f>
        <v>al 10 %</v>
      </c>
      <c r="M70" s="2023"/>
      <c r="N70" s="977">
        <f>ROUND(G$65*K70/100,2)</f>
        <v>0</v>
      </c>
      <c r="O70" s="2"/>
      <c r="P70" s="2"/>
      <c r="Q70" s="2"/>
      <c r="R70" s="2"/>
      <c r="S70" s="978">
        <f>IF(ISERROR(H77),0,H77)</f>
        <v>0</v>
      </c>
      <c r="T70" s="968">
        <f>IF(ISERROR(H78),0,H78)</f>
        <v>0</v>
      </c>
      <c r="U70" s="979">
        <f>IF(ISERROR(H79),0,H79)</f>
        <v>0</v>
      </c>
      <c r="V70" s="2"/>
      <c r="W70" s="1121">
        <f>GEN!$G70</f>
        <v>0</v>
      </c>
      <c r="X70" s="1122">
        <f>FEB!$G70</f>
        <v>0</v>
      </c>
      <c r="Y70" s="1123">
        <f>MAR!$G70</f>
        <v>0</v>
      </c>
      <c r="Z70" s="1124">
        <f>SUM(W70:Y70)</f>
        <v>0</v>
      </c>
      <c r="AA70" s="2"/>
      <c r="AB70" s="591"/>
      <c r="AC70" s="591"/>
      <c r="AD70" s="591"/>
      <c r="AE70" s="591"/>
      <c r="AF70" s="591"/>
      <c r="AG70" s="591"/>
      <c r="AH70" s="591"/>
      <c r="AI70" s="591"/>
      <c r="AJ70" s="591"/>
      <c r="AK70" s="591"/>
      <c r="AM70" s="591"/>
      <c r="AN70" s="591"/>
      <c r="AO70" s="591"/>
      <c r="AP70" s="591"/>
      <c r="AQ70" s="591"/>
      <c r="AS70" s="591"/>
      <c r="AT70" s="591"/>
      <c r="AU70" s="591"/>
      <c r="AV70" s="591"/>
      <c r="AW70" s="591"/>
      <c r="AY70" s="591"/>
    </row>
    <row r="71" spans="1:54" ht="20.25" hidden="1" customHeight="1" x14ac:dyDescent="0.2">
      <c r="A71" s="2"/>
      <c r="B71" s="2"/>
      <c r="C71" s="1200" t="s">
        <v>755</v>
      </c>
      <c r="D71" s="14"/>
      <c r="E71" s="14"/>
      <c r="F71" s="14"/>
      <c r="G71" s="1016"/>
      <c r="H71" s="1202">
        <f>IF(AND(IMPOSTAZIONI!AH$147="",G71&lt;&gt;0),E$163,IMPOSTAZIONI!AH$147)</f>
        <v>4</v>
      </c>
      <c r="I71" s="2026">
        <f>IF($T$65=$S$66,Z71,G71+FEB!I71)</f>
        <v>0</v>
      </c>
      <c r="J71" s="2027"/>
      <c r="K71" s="1201">
        <f>IF(I$73=0,0,ROUND(I71/I$73*100,2))</f>
        <v>0</v>
      </c>
      <c r="L71" s="2023" t="str">
        <f>CONCATENATE("al ",H71," %")</f>
        <v>al 4 %</v>
      </c>
      <c r="M71" s="2023"/>
      <c r="N71" s="977">
        <f>ROUND(G$65*K71/100,2)</f>
        <v>0</v>
      </c>
      <c r="O71" s="2"/>
      <c r="P71" s="2"/>
      <c r="Q71" s="2"/>
      <c r="R71" s="2"/>
      <c r="S71" s="978">
        <f>IF(ISERROR(I77),0,I77)</f>
        <v>0</v>
      </c>
      <c r="T71" s="968">
        <f>IF(ISERROR(I78),0,I78)</f>
        <v>0</v>
      </c>
      <c r="U71" s="979">
        <f>IF(ISERROR(I79),0,I79)</f>
        <v>0</v>
      </c>
      <c r="V71" s="2"/>
      <c r="W71" s="1121">
        <f>GEN!$G71</f>
        <v>0</v>
      </c>
      <c r="X71" s="1122">
        <f>FEB!$G71</f>
        <v>0</v>
      </c>
      <c r="Y71" s="1123">
        <f>MAR!$G71</f>
        <v>0</v>
      </c>
      <c r="Z71" s="1124">
        <f>SUM(W71:Y71)</f>
        <v>0</v>
      </c>
      <c r="AA71" s="2"/>
      <c r="AB71" s="591"/>
      <c r="AC71" s="591"/>
      <c r="AD71" s="591"/>
      <c r="AE71" s="591"/>
      <c r="AF71" s="591"/>
      <c r="AG71" s="591"/>
      <c r="AH71" s="591"/>
      <c r="AI71" s="591"/>
      <c r="AJ71" s="591"/>
      <c r="AK71" s="591"/>
      <c r="AM71" s="591"/>
      <c r="AN71" s="591"/>
      <c r="AO71" s="591"/>
      <c r="AP71" s="591"/>
      <c r="AQ71" s="591"/>
      <c r="AS71" s="591"/>
      <c r="AT71" s="591"/>
      <c r="AU71" s="591"/>
      <c r="AV71" s="591"/>
      <c r="AW71" s="591"/>
      <c r="AY71" s="591"/>
    </row>
    <row r="72" spans="1:54" ht="20.25" hidden="1" customHeight="1" x14ac:dyDescent="0.2">
      <c r="A72" s="2"/>
      <c r="B72" s="2"/>
      <c r="C72" s="1171"/>
      <c r="D72" s="14"/>
      <c r="E72" s="14"/>
      <c r="F72" s="14"/>
      <c r="G72" s="1017"/>
      <c r="H72" s="1202" t="str">
        <f>IF(AND(IMPOSTAZIONI!AI$147="",G72&lt;&gt;0),E$163,IMPOSTAZIONI!AI$147)</f>
        <v/>
      </c>
      <c r="I72" s="2039">
        <f>IF($T$65=$S$66,Z72,G72+FEB!I72)</f>
        <v>0</v>
      </c>
      <c r="J72" s="2040"/>
      <c r="K72" s="1201">
        <f>IF(I$73=0,0,ROUND(I72/I$73*100,2))</f>
        <v>0</v>
      </c>
      <c r="L72" s="2023" t="str">
        <f>CONCATENATE("al ",H72," %")</f>
        <v>al  %</v>
      </c>
      <c r="M72" s="2023"/>
      <c r="N72" s="980">
        <f>ROUND(G$65*K72/100,2)</f>
        <v>0</v>
      </c>
      <c r="O72" s="2"/>
      <c r="P72" s="2"/>
      <c r="Q72" s="2"/>
      <c r="R72" s="2"/>
      <c r="S72" s="981">
        <f>IF(ISERROR(K77),0,K77)</f>
        <v>0</v>
      </c>
      <c r="T72" s="969">
        <f>IF(ISERROR(K78),0,K78)</f>
        <v>0</v>
      </c>
      <c r="U72" s="982">
        <f>IF(ISERROR(K79),0,K79)</f>
        <v>0</v>
      </c>
      <c r="V72" s="2"/>
      <c r="W72" s="1125">
        <f>GEN!$G72</f>
        <v>0</v>
      </c>
      <c r="X72" s="1126">
        <f>FEB!$G72</f>
        <v>0</v>
      </c>
      <c r="Y72" s="1127">
        <f>MAR!$G72</f>
        <v>0</v>
      </c>
      <c r="Z72" s="1128">
        <f>SUM(W72:Y72)</f>
        <v>0</v>
      </c>
      <c r="AA72" s="2"/>
      <c r="AB72" s="591"/>
      <c r="AC72" s="591"/>
      <c r="AD72" s="591"/>
      <c r="AE72" s="591"/>
      <c r="AF72" s="591"/>
      <c r="AG72" s="591"/>
      <c r="AH72" s="591"/>
      <c r="AI72" s="591"/>
      <c r="AJ72" s="591"/>
      <c r="AK72" s="591"/>
      <c r="AM72" s="591"/>
      <c r="AN72" s="591"/>
      <c r="AO72" s="591"/>
      <c r="AP72" s="591"/>
      <c r="AQ72" s="591"/>
      <c r="AS72" s="591"/>
      <c r="AT72" s="591"/>
      <c r="AU72" s="591"/>
      <c r="AV72" s="591"/>
      <c r="AW72" s="591"/>
      <c r="AY72" s="591"/>
    </row>
    <row r="73" spans="1:54" ht="20.25" hidden="1" customHeight="1" x14ac:dyDescent="0.2">
      <c r="A73" s="2"/>
      <c r="B73" s="2"/>
      <c r="C73" s="1171"/>
      <c r="D73" s="14"/>
      <c r="E73" s="14"/>
      <c r="F73" s="983" t="s">
        <v>105</v>
      </c>
      <c r="G73" s="1014">
        <f>SUM(G69:G72)</f>
        <v>0</v>
      </c>
      <c r="H73" s="866"/>
      <c r="I73" s="2041">
        <f>SUM(I69:I72)</f>
        <v>0</v>
      </c>
      <c r="J73" s="2041"/>
      <c r="K73" s="1196">
        <v>100</v>
      </c>
      <c r="L73" s="2"/>
      <c r="M73" s="2"/>
      <c r="N73" s="967">
        <f>SUM(N69:N72)</f>
        <v>0</v>
      </c>
      <c r="O73" s="503" t="str">
        <f>IF(C61=0,"",IF(G65=N73,"OK",E163))</f>
        <v/>
      </c>
      <c r="P73" s="2"/>
      <c r="Q73" s="2"/>
      <c r="R73" s="2"/>
      <c r="S73" s="2"/>
      <c r="T73" s="2"/>
      <c r="U73" s="2"/>
      <c r="V73" s="2"/>
      <c r="W73" s="2"/>
      <c r="X73" s="2"/>
      <c r="Y73" s="2"/>
      <c r="Z73" s="2"/>
      <c r="AA73" s="2"/>
      <c r="AB73" s="591"/>
      <c r="AC73" s="591"/>
      <c r="AD73" s="591"/>
      <c r="AE73" s="591"/>
      <c r="AF73" s="591"/>
      <c r="AG73" s="591"/>
      <c r="AH73" s="591"/>
      <c r="AI73" s="591"/>
      <c r="AJ73" s="591"/>
      <c r="AK73" s="591"/>
      <c r="AM73" s="591"/>
      <c r="AN73" s="591"/>
      <c r="AO73" s="591"/>
      <c r="AP73" s="591"/>
      <c r="AQ73" s="591"/>
      <c r="AS73" s="591"/>
      <c r="AT73" s="591"/>
      <c r="AU73" s="591"/>
      <c r="AV73" s="591"/>
      <c r="AW73" s="591"/>
      <c r="AY73" s="591"/>
    </row>
    <row r="74" spans="1:54" ht="20.25" hidden="1" customHeight="1" x14ac:dyDescent="0.2">
      <c r="A74" s="2"/>
      <c r="B74" s="2"/>
      <c r="C74" s="1172"/>
      <c r="D74" s="1173"/>
      <c r="E74" s="1173"/>
      <c r="F74" s="1173"/>
      <c r="G74" s="1173"/>
      <c r="H74" s="1173"/>
      <c r="I74" s="2051" t="s">
        <v>756</v>
      </c>
      <c r="J74" s="2051"/>
      <c r="K74" s="2052"/>
      <c r="L74" s="14"/>
      <c r="M74" s="14"/>
      <c r="N74" s="139"/>
      <c r="O74" s="2"/>
      <c r="P74" s="2"/>
      <c r="Q74" s="2"/>
      <c r="R74" s="2"/>
      <c r="S74" s="2"/>
      <c r="T74" s="2"/>
      <c r="U74" s="2"/>
      <c r="V74" s="2"/>
      <c r="W74" s="2"/>
      <c r="X74" s="2"/>
      <c r="Y74" s="2"/>
      <c r="Z74" s="2"/>
      <c r="AA74" s="2"/>
      <c r="AB74" s="591"/>
      <c r="AC74" s="591"/>
      <c r="AD74" s="591"/>
      <c r="AE74" s="591"/>
      <c r="AF74" s="591"/>
      <c r="AG74" s="591"/>
      <c r="AH74" s="591"/>
      <c r="AI74" s="591"/>
      <c r="AJ74" s="591"/>
      <c r="AK74" s="591"/>
      <c r="AM74" s="591"/>
      <c r="AN74" s="591"/>
      <c r="AO74" s="591"/>
      <c r="AP74" s="591"/>
      <c r="AQ74" s="591"/>
      <c r="AS74" s="591"/>
      <c r="AT74" s="591"/>
      <c r="AU74" s="591"/>
      <c r="AV74" s="591"/>
      <c r="AW74" s="591"/>
      <c r="AY74" s="591"/>
    </row>
    <row r="75" spans="1:54" ht="11.25" hidden="1" customHeight="1" x14ac:dyDescent="0.2">
      <c r="A75" s="2"/>
      <c r="B75" s="2"/>
      <c r="C75" s="2"/>
      <c r="D75" s="2"/>
      <c r="E75" s="2"/>
      <c r="F75" s="2"/>
      <c r="G75" s="2"/>
      <c r="H75" s="2"/>
      <c r="I75" s="2"/>
      <c r="J75" s="2"/>
      <c r="K75" s="2"/>
      <c r="L75" s="14"/>
      <c r="M75" s="14"/>
      <c r="N75" s="139"/>
      <c r="O75" s="2"/>
      <c r="P75" s="2"/>
      <c r="Q75" s="2"/>
      <c r="R75" s="2"/>
      <c r="S75" s="2"/>
      <c r="T75" s="2"/>
      <c r="U75" s="2"/>
      <c r="V75" s="2"/>
      <c r="W75" s="2"/>
      <c r="X75" s="2"/>
      <c r="Y75" s="2"/>
      <c r="Z75" s="2"/>
      <c r="AA75" s="2"/>
      <c r="AB75" s="591"/>
      <c r="AC75" s="591"/>
      <c r="AD75" s="591"/>
      <c r="AE75" s="591"/>
      <c r="AF75" s="591"/>
      <c r="AG75" s="591"/>
      <c r="AH75" s="591"/>
      <c r="AI75" s="591"/>
      <c r="AJ75" s="591"/>
      <c r="AK75" s="591"/>
      <c r="AM75" s="591"/>
      <c r="AN75" s="591"/>
      <c r="AO75" s="591"/>
      <c r="AP75" s="591"/>
      <c r="AQ75" s="591"/>
      <c r="AS75" s="591"/>
      <c r="AT75" s="591"/>
      <c r="AU75" s="591"/>
      <c r="AV75" s="591"/>
      <c r="AW75" s="591"/>
      <c r="AY75" s="591"/>
    </row>
    <row r="76" spans="1:54" ht="20.25" hidden="1" customHeight="1" x14ac:dyDescent="0.2">
      <c r="A76" s="2"/>
      <c r="B76" s="2"/>
      <c r="C76" s="2"/>
      <c r="D76" s="2"/>
      <c r="E76" s="20"/>
      <c r="F76" s="984" t="s">
        <v>764</v>
      </c>
      <c r="G76" s="985">
        <f>H69</f>
        <v>22</v>
      </c>
      <c r="H76" s="985">
        <f>H70</f>
        <v>10</v>
      </c>
      <c r="I76" s="2142">
        <f>H71</f>
        <v>4</v>
      </c>
      <c r="J76" s="2142"/>
      <c r="K76" s="1162" t="str">
        <f>H72</f>
        <v/>
      </c>
      <c r="L76" s="2"/>
      <c r="M76" s="2"/>
      <c r="N76" s="986"/>
      <c r="O76" s="2"/>
      <c r="P76" s="2"/>
      <c r="Q76" s="2"/>
      <c r="R76" s="2"/>
      <c r="S76" s="2"/>
      <c r="T76" s="2"/>
      <c r="U76" s="2"/>
      <c r="V76" s="2"/>
      <c r="W76" s="2"/>
      <c r="X76" s="591"/>
      <c r="Y76" s="591"/>
      <c r="AB76" s="591"/>
      <c r="AC76" s="591"/>
      <c r="AD76" s="591"/>
      <c r="AE76" s="591"/>
      <c r="AF76" s="591"/>
      <c r="AG76" s="591"/>
      <c r="AH76" s="591"/>
      <c r="AI76" s="591"/>
      <c r="AJ76" s="591"/>
      <c r="AK76" s="591"/>
      <c r="AM76" s="591"/>
      <c r="AN76" s="591"/>
      <c r="AO76" s="591"/>
      <c r="AP76" s="591"/>
      <c r="AQ76" s="591"/>
      <c r="AS76" s="591"/>
      <c r="AT76" s="591"/>
      <c r="AU76" s="591"/>
      <c r="AV76" s="591"/>
      <c r="AW76" s="591"/>
      <c r="AY76" s="591"/>
    </row>
    <row r="77" spans="1:54" ht="20.25" hidden="1" customHeight="1" x14ac:dyDescent="0.2">
      <c r="A77" s="2"/>
      <c r="B77" s="2"/>
      <c r="C77" s="2"/>
      <c r="D77" s="2"/>
      <c r="E77" s="2"/>
      <c r="F77" s="987" t="s">
        <v>757</v>
      </c>
      <c r="G77" s="988">
        <f>N69-G78</f>
        <v>0</v>
      </c>
      <c r="H77" s="989">
        <f>N70-H78</f>
        <v>0</v>
      </c>
      <c r="I77" s="2037">
        <f>N71-I78</f>
        <v>0</v>
      </c>
      <c r="J77" s="2038"/>
      <c r="K77" s="989">
        <f>N72-K78</f>
        <v>0</v>
      </c>
      <c r="L77" s="2233">
        <f>SUM(S69:S72)</f>
        <v>0</v>
      </c>
      <c r="M77" s="2234"/>
      <c r="N77" s="990" t="s">
        <v>758</v>
      </c>
      <c r="O77" s="2"/>
      <c r="P77" s="2"/>
      <c r="Q77" s="2"/>
      <c r="R77" s="2"/>
      <c r="S77" s="2"/>
      <c r="T77" s="2"/>
      <c r="U77" s="2"/>
      <c r="V77" s="2"/>
      <c r="W77" s="2"/>
      <c r="X77" s="591"/>
      <c r="Y77" s="591"/>
      <c r="AG77" s="591"/>
      <c r="AH77" s="591"/>
      <c r="AI77" s="591"/>
      <c r="AJ77" s="591"/>
      <c r="AK77" s="591"/>
      <c r="AM77" s="591"/>
      <c r="AN77" s="591"/>
      <c r="AO77" s="591"/>
      <c r="AP77" s="591"/>
      <c r="AQ77" s="591"/>
      <c r="AS77" s="591"/>
      <c r="AT77" s="591"/>
      <c r="AU77" s="591"/>
      <c r="AV77" s="591"/>
      <c r="AW77" s="591"/>
      <c r="AY77" s="591"/>
    </row>
    <row r="78" spans="1:54" ht="20.25" hidden="1" customHeight="1" x14ac:dyDescent="0.2">
      <c r="A78" s="2"/>
      <c r="B78" s="2"/>
      <c r="C78" s="2"/>
      <c r="D78" s="2"/>
      <c r="E78" s="2"/>
      <c r="F78" s="991" t="s">
        <v>759</v>
      </c>
      <c r="G78" s="992">
        <f>IF(G76="",0,ROUND(N69*G76/(100+G76),2))</f>
        <v>0</v>
      </c>
      <c r="H78" s="993">
        <f>IF(H76="",0,ROUND(N70*H76/(100+H76),2))</f>
        <v>0</v>
      </c>
      <c r="I78" s="2140">
        <f>IF(I76="",0,ROUND(N71*I76/(100+I76),2))</f>
        <v>0</v>
      </c>
      <c r="J78" s="2141"/>
      <c r="K78" s="993">
        <f>IF(K76="",0,ROUND(N72*K76/(100+K76),2))</f>
        <v>0</v>
      </c>
      <c r="L78" s="2235">
        <f>SUM(T69:T72)</f>
        <v>0</v>
      </c>
      <c r="M78" s="2236"/>
      <c r="N78" s="994" t="s">
        <v>760</v>
      </c>
      <c r="O78" s="2"/>
      <c r="P78" s="2"/>
      <c r="Q78" s="2"/>
      <c r="R78" s="2"/>
      <c r="S78" s="2"/>
      <c r="T78" s="2"/>
      <c r="U78" s="128" t="s">
        <v>783</v>
      </c>
      <c r="V78" s="2"/>
      <c r="W78" s="2"/>
      <c r="X78" s="591"/>
      <c r="Y78" s="591"/>
      <c r="AG78" s="591"/>
      <c r="AH78" s="591"/>
      <c r="AI78" s="591"/>
      <c r="AJ78" s="591"/>
      <c r="AK78" s="591"/>
      <c r="AM78" s="591"/>
      <c r="AN78" s="591"/>
      <c r="AO78" s="591"/>
      <c r="AP78" s="591"/>
      <c r="AQ78" s="591"/>
      <c r="AS78" s="591"/>
      <c r="AT78" s="591"/>
      <c r="AU78" s="591"/>
      <c r="AV78" s="591"/>
      <c r="AW78" s="591"/>
      <c r="AY78" s="591"/>
    </row>
    <row r="79" spans="1:54" ht="20.25" hidden="1" customHeight="1" x14ac:dyDescent="0.2">
      <c r="A79" s="2"/>
      <c r="B79" s="2"/>
      <c r="C79" s="2"/>
      <c r="D79" s="2"/>
      <c r="E79" s="287"/>
      <c r="F79" s="995" t="s">
        <v>105</v>
      </c>
      <c r="G79" s="996">
        <f>G77+G78</f>
        <v>0</v>
      </c>
      <c r="H79" s="996">
        <f>H77+H78</f>
        <v>0</v>
      </c>
      <c r="I79" s="2135">
        <f>I77+I78</f>
        <v>0</v>
      </c>
      <c r="J79" s="2135"/>
      <c r="K79" s="996">
        <f>K77+K78</f>
        <v>0</v>
      </c>
      <c r="L79" s="287"/>
      <c r="M79" s="287"/>
      <c r="N79" s="996">
        <f>SUM(U69:U72)</f>
        <v>0</v>
      </c>
      <c r="O79" s="503" t="str">
        <f>IF(N79=N73,"OK",E163)</f>
        <v>OK</v>
      </c>
      <c r="P79" s="2"/>
      <c r="Q79" s="2"/>
      <c r="R79" s="924" t="str">
        <f>G62</f>
        <v>SCORPORO</v>
      </c>
      <c r="S79" s="997">
        <f>IF(R79=L$134,G$63,0)</f>
        <v>0</v>
      </c>
      <c r="T79" s="92">
        <f>G42</f>
        <v>0</v>
      </c>
      <c r="U79" s="997">
        <f>IF(T79=K$134,S79,0)</f>
        <v>0</v>
      </c>
      <c r="V79" s="2"/>
      <c r="W79" s="2"/>
      <c r="X79" s="591"/>
      <c r="Y79" s="591"/>
      <c r="AG79" s="591"/>
      <c r="AH79" s="591"/>
      <c r="AI79" s="591"/>
      <c r="AJ79" s="591"/>
      <c r="AK79" s="591"/>
      <c r="AM79" s="591"/>
      <c r="AN79" s="591"/>
      <c r="AO79" s="591"/>
      <c r="AP79" s="591"/>
      <c r="AQ79" s="591"/>
      <c r="AS79" s="591"/>
      <c r="AT79" s="591"/>
      <c r="AU79" s="591"/>
      <c r="AV79" s="591"/>
      <c r="AW79" s="591"/>
      <c r="AY79" s="591"/>
    </row>
    <row r="80" spans="1:54" ht="20.25" hidden="1" customHeight="1" x14ac:dyDescent="0.2">
      <c r="A80" s="2"/>
      <c r="B80" s="2"/>
      <c r="C80" s="2"/>
      <c r="D80" s="2"/>
      <c r="E80" s="2"/>
      <c r="F80" s="2"/>
      <c r="G80" s="2"/>
      <c r="H80" s="2"/>
      <c r="I80" s="2"/>
      <c r="J80" s="2"/>
      <c r="K80" s="2"/>
      <c r="L80" s="2"/>
      <c r="M80" s="2"/>
      <c r="N80" s="10"/>
      <c r="O80" s="2"/>
      <c r="P80" s="2"/>
      <c r="Q80" s="2"/>
      <c r="R80" s="924" t="str">
        <f>H62</f>
        <v>SCORPORO</v>
      </c>
      <c r="S80" s="998">
        <f>IF(R80=L$134,H63,0)</f>
        <v>0</v>
      </c>
      <c r="T80" s="92">
        <f>H42</f>
        <v>0</v>
      </c>
      <c r="U80" s="998">
        <f>IF(T80=K$134,S80,0)</f>
        <v>0</v>
      </c>
      <c r="V80" s="2"/>
      <c r="W80" s="2"/>
      <c r="X80" s="591"/>
      <c r="Y80" s="591"/>
      <c r="AG80" s="591"/>
      <c r="AH80" s="591"/>
      <c r="AI80" s="591"/>
      <c r="AJ80" s="591"/>
      <c r="AK80" s="591"/>
      <c r="AM80" s="591"/>
      <c r="AN80" s="591"/>
      <c r="AO80" s="591"/>
      <c r="AP80" s="591"/>
      <c r="AQ80" s="591"/>
      <c r="AS80" s="591"/>
      <c r="AT80" s="591"/>
      <c r="AU80" s="591"/>
      <c r="AV80" s="591"/>
      <c r="AW80" s="591"/>
      <c r="AY80" s="591"/>
    </row>
    <row r="81" spans="1:51" ht="20.25" hidden="1" customHeight="1" x14ac:dyDescent="0.2">
      <c r="A81" s="2"/>
      <c r="B81" s="2"/>
      <c r="C81" s="2"/>
      <c r="D81" s="2"/>
      <c r="E81" s="2"/>
      <c r="F81" s="2"/>
      <c r="G81" s="103" t="str">
        <f>G61</f>
        <v>Colonna 1</v>
      </c>
      <c r="H81" s="103" t="str">
        <f>H61</f>
        <v>Colonna 2</v>
      </c>
      <c r="I81" s="2053" t="str">
        <f>K61</f>
        <v>Colonna 3</v>
      </c>
      <c r="J81" s="2053"/>
      <c r="K81" s="103" t="str">
        <f>N61</f>
        <v>Colonna 4</v>
      </c>
      <c r="L81" s="2"/>
      <c r="M81" s="2"/>
      <c r="N81" s="14"/>
      <c r="O81" s="2"/>
      <c r="P81" s="2"/>
      <c r="Q81" s="2"/>
      <c r="R81" s="924" t="str">
        <f>K62</f>
        <v>SCORPORO</v>
      </c>
      <c r="S81" s="998">
        <f>IF(R81=L$134,K63,0)</f>
        <v>0</v>
      </c>
      <c r="T81" s="92">
        <f>K42</f>
        <v>0</v>
      </c>
      <c r="U81" s="998">
        <f>IF(T81=K$134,S81,0)</f>
        <v>0</v>
      </c>
      <c r="V81" s="2"/>
      <c r="W81" s="2"/>
      <c r="X81" s="591"/>
      <c r="Y81" s="591"/>
      <c r="AG81" s="591"/>
      <c r="AH81" s="591"/>
      <c r="AI81" s="591"/>
      <c r="AJ81" s="591"/>
      <c r="AK81" s="591"/>
      <c r="AM81" s="591"/>
      <c r="AN81" s="591"/>
      <c r="AO81" s="591"/>
      <c r="AP81" s="591"/>
      <c r="AQ81" s="591"/>
      <c r="AS81" s="591"/>
      <c r="AT81" s="591"/>
      <c r="AU81" s="591"/>
      <c r="AV81" s="591"/>
      <c r="AW81" s="591"/>
      <c r="AY81" s="591"/>
    </row>
    <row r="82" spans="1:51" ht="18" hidden="1" customHeight="1" x14ac:dyDescent="0.2">
      <c r="A82" s="2"/>
      <c r="B82" s="2"/>
      <c r="C82" s="2"/>
      <c r="D82" s="2"/>
      <c r="E82" s="2"/>
      <c r="F82" s="2"/>
      <c r="G82" s="1203" t="str">
        <f t="shared" ref="G82:H84" si="33">G43</f>
        <v/>
      </c>
      <c r="H82" s="1204" t="str">
        <f t="shared" si="33"/>
        <v/>
      </c>
      <c r="I82" s="2031" t="str">
        <f>K43</f>
        <v/>
      </c>
      <c r="J82" s="2031"/>
      <c r="K82" s="1205" t="str">
        <f>N43</f>
        <v/>
      </c>
      <c r="L82" s="2"/>
      <c r="M82" s="2"/>
      <c r="N82" s="14"/>
      <c r="O82" s="2"/>
      <c r="P82" s="2"/>
      <c r="Q82" s="2"/>
      <c r="R82" s="924" t="str">
        <f>N62</f>
        <v>SCORPORO</v>
      </c>
      <c r="S82" s="1007">
        <f>IF(R82=L$134,N63,0)</f>
        <v>0</v>
      </c>
      <c r="T82" s="92">
        <f>N42</f>
        <v>0</v>
      </c>
      <c r="U82" s="1007">
        <f>IF(T82=K$134,S82,0)</f>
        <v>0</v>
      </c>
      <c r="V82" s="2"/>
      <c r="W82" s="2"/>
      <c r="X82" s="591"/>
      <c r="Y82" s="591"/>
      <c r="AG82" s="591"/>
      <c r="AH82" s="591"/>
      <c r="AI82" s="591"/>
      <c r="AJ82" s="591"/>
      <c r="AK82" s="591"/>
      <c r="AM82" s="591"/>
      <c r="AN82" s="591"/>
      <c r="AO82" s="591"/>
      <c r="AP82" s="591"/>
      <c r="AQ82" s="591"/>
      <c r="AS82" s="591"/>
      <c r="AT82" s="591"/>
      <c r="AU82" s="591"/>
      <c r="AV82" s="591"/>
      <c r="AW82" s="591"/>
      <c r="AY82" s="591"/>
    </row>
    <row r="83" spans="1:51" ht="18" hidden="1" customHeight="1" x14ac:dyDescent="0.2">
      <c r="A83" s="2"/>
      <c r="B83" s="2"/>
      <c r="C83" s="2"/>
      <c r="D83" s="2"/>
      <c r="E83" s="2"/>
      <c r="F83" s="2"/>
      <c r="G83" s="1000" t="str">
        <f t="shared" si="33"/>
        <v/>
      </c>
      <c r="H83" s="1000" t="str">
        <f t="shared" si="33"/>
        <v/>
      </c>
      <c r="I83" s="2054" t="str">
        <f>K44</f>
        <v/>
      </c>
      <c r="J83" s="2054"/>
      <c r="K83" s="1000" t="str">
        <f>N44</f>
        <v/>
      </c>
      <c r="L83" s="2"/>
      <c r="M83" s="2"/>
      <c r="N83" s="14"/>
      <c r="O83" s="2"/>
      <c r="P83" s="2"/>
      <c r="Q83" s="2"/>
      <c r="R83" s="2"/>
      <c r="S83" s="999"/>
      <c r="T83" s="2"/>
      <c r="U83" s="999"/>
      <c r="V83" s="2"/>
      <c r="W83" s="2"/>
      <c r="X83" s="591"/>
      <c r="Y83" s="591"/>
      <c r="AG83" s="591"/>
      <c r="AH83" s="591"/>
      <c r="AI83" s="591"/>
      <c r="AJ83" s="591"/>
      <c r="AK83" s="591"/>
      <c r="AM83" s="591"/>
      <c r="AN83" s="591"/>
      <c r="AO83" s="591"/>
      <c r="AP83" s="591"/>
      <c r="AQ83" s="591"/>
      <c r="AS83" s="591"/>
      <c r="AT83" s="591"/>
      <c r="AU83" s="591"/>
      <c r="AV83" s="591"/>
      <c r="AW83" s="591"/>
      <c r="AY83" s="591"/>
    </row>
    <row r="84" spans="1:51" ht="18" hidden="1" customHeight="1" x14ac:dyDescent="0.2">
      <c r="A84" s="2"/>
      <c r="B84" s="2"/>
      <c r="C84" s="2"/>
      <c r="D84" s="2"/>
      <c r="E84" s="2"/>
      <c r="F84" s="2"/>
      <c r="G84" s="1001" t="str">
        <f t="shared" si="33"/>
        <v/>
      </c>
      <c r="H84" s="1001" t="str">
        <f t="shared" si="33"/>
        <v/>
      </c>
      <c r="I84" s="2055" t="str">
        <f>K45</f>
        <v/>
      </c>
      <c r="J84" s="2055"/>
      <c r="K84" s="1001" t="str">
        <f>N45</f>
        <v/>
      </c>
      <c r="L84" s="2"/>
      <c r="M84" s="2"/>
      <c r="N84" s="14"/>
      <c r="O84" s="2"/>
      <c r="P84" s="2"/>
      <c r="Q84" s="2"/>
      <c r="R84" s="2"/>
      <c r="S84" s="999"/>
      <c r="T84" s="2"/>
      <c r="U84" s="999"/>
      <c r="V84" s="2"/>
      <c r="W84" s="2"/>
      <c r="X84" s="591"/>
      <c r="Y84" s="591"/>
      <c r="AG84" s="591"/>
      <c r="AH84" s="591"/>
      <c r="AI84" s="591"/>
      <c r="AJ84" s="591"/>
      <c r="AK84" s="591"/>
      <c r="AM84" s="591"/>
      <c r="AN84" s="591"/>
      <c r="AO84" s="591"/>
      <c r="AP84" s="591"/>
      <c r="AQ84" s="591"/>
      <c r="AS84" s="591"/>
      <c r="AT84" s="591"/>
      <c r="AU84" s="591"/>
      <c r="AV84" s="591"/>
      <c r="AW84" s="591"/>
      <c r="AY84" s="591"/>
    </row>
    <row r="85" spans="1:51" ht="18" hidden="1" customHeight="1" x14ac:dyDescent="0.2">
      <c r="A85" s="2"/>
      <c r="B85" s="2"/>
      <c r="C85" s="2"/>
      <c r="D85" s="2"/>
      <c r="E85" s="2"/>
      <c r="F85" s="2"/>
      <c r="G85" s="1011" t="str">
        <f>VLOOKUP(G62,$L$134:$M$135,2,FALSE)</f>
        <v>SCORPORO</v>
      </c>
      <c r="H85" s="1011" t="str">
        <f>VLOOKUP(H62,$L$134:$M$135,2,FALSE)</f>
        <v>SCORPORO</v>
      </c>
      <c r="I85" s="2056" t="str">
        <f>VLOOKUP(K62,$L$134:$M$135,2,FALSE)</f>
        <v>SCORPORO</v>
      </c>
      <c r="J85" s="2056"/>
      <c r="K85" s="1011" t="str">
        <f>VLOOKUP(N62,$L$134:$M$135,2,FALSE)</f>
        <v>SCORPORO</v>
      </c>
      <c r="L85" s="2"/>
      <c r="M85" s="2"/>
      <c r="N85" s="14"/>
      <c r="O85" s="2"/>
      <c r="P85" s="2"/>
      <c r="Q85" s="2"/>
      <c r="R85" s="2"/>
      <c r="S85" s="999"/>
      <c r="T85" s="2"/>
      <c r="U85" s="999"/>
      <c r="V85" s="2"/>
      <c r="W85" s="2"/>
      <c r="X85" s="591"/>
      <c r="Y85" s="591"/>
      <c r="AG85" s="591"/>
      <c r="AH85" s="591"/>
      <c r="AI85" s="591"/>
      <c r="AJ85" s="591"/>
      <c r="AK85" s="591"/>
      <c r="AM85" s="591"/>
      <c r="AN85" s="591"/>
      <c r="AO85" s="591"/>
      <c r="AP85" s="591"/>
      <c r="AQ85" s="591"/>
      <c r="AS85" s="591"/>
      <c r="AT85" s="591"/>
      <c r="AU85" s="591"/>
      <c r="AV85" s="591"/>
      <c r="AW85" s="591"/>
      <c r="AY85" s="591"/>
    </row>
    <row r="86" spans="1:51" ht="20.25" hidden="1" customHeight="1" x14ac:dyDescent="0.2">
      <c r="A86" s="2"/>
      <c r="B86" s="2"/>
      <c r="C86" s="2"/>
      <c r="D86" s="2"/>
      <c r="E86" s="2"/>
      <c r="F86" s="1002" t="s">
        <v>761</v>
      </c>
      <c r="G86" s="1206">
        <f>IF($L77=0,0,$S79-G87)</f>
        <v>0</v>
      </c>
      <c r="H86" s="1206">
        <f>IF($L77=0,0,S80-H87)</f>
        <v>0</v>
      </c>
      <c r="I86" s="2035">
        <f>IF($L77=0,0,S81-I87)</f>
        <v>0</v>
      </c>
      <c r="J86" s="2036"/>
      <c r="K86" s="1206">
        <f>IF($L77=0,0,S82-K87)</f>
        <v>0</v>
      </c>
      <c r="L86" s="2237">
        <f>SUM(G86:K86)</f>
        <v>0</v>
      </c>
      <c r="M86" s="2237"/>
      <c r="N86" s="1003" t="s">
        <v>758</v>
      </c>
      <c r="O86" s="2"/>
      <c r="P86" s="2"/>
      <c r="Q86" s="2"/>
      <c r="R86" s="2"/>
      <c r="S86" s="999"/>
      <c r="T86" s="2"/>
      <c r="U86" s="999"/>
      <c r="V86" s="2"/>
      <c r="W86" s="2"/>
      <c r="X86" s="591"/>
      <c r="Y86" s="591"/>
      <c r="AG86" s="591"/>
      <c r="AH86" s="591"/>
      <c r="AI86" s="591"/>
      <c r="AJ86" s="591"/>
      <c r="AK86" s="591"/>
      <c r="AM86" s="591"/>
      <c r="AN86" s="591"/>
      <c r="AO86" s="591"/>
      <c r="AP86" s="591"/>
      <c r="AQ86" s="591"/>
      <c r="AS86" s="591"/>
      <c r="AT86" s="591"/>
      <c r="AU86" s="591"/>
      <c r="AV86" s="591"/>
      <c r="AW86" s="591"/>
      <c r="AY86" s="591"/>
    </row>
    <row r="87" spans="1:51" ht="20.25" hidden="1" customHeight="1" x14ac:dyDescent="0.2">
      <c r="A87" s="2"/>
      <c r="B87" s="2"/>
      <c r="C87" s="2"/>
      <c r="D87" s="2"/>
      <c r="E87" s="2"/>
      <c r="F87" s="1004" t="s">
        <v>762</v>
      </c>
      <c r="G87" s="1207">
        <f>IF($C$61=0,0,ROUND($L78*G89/100,2))</f>
        <v>0</v>
      </c>
      <c r="H87" s="1207">
        <f>IF($C$61=0,0,ROUND($L78*H89/100,2))</f>
        <v>0</v>
      </c>
      <c r="I87" s="2028">
        <f>IF($C$61=0,0,ROUND($L78*I89/100,2))</f>
        <v>0</v>
      </c>
      <c r="J87" s="2029"/>
      <c r="K87" s="1207">
        <f>IF($C$61=0,0,L78-G87-H87-I87)</f>
        <v>0</v>
      </c>
      <c r="L87" s="2125">
        <f>SUM(G87:K87)</f>
        <v>0</v>
      </c>
      <c r="M87" s="2125"/>
      <c r="N87" s="1005" t="s">
        <v>760</v>
      </c>
      <c r="O87" s="2"/>
      <c r="P87" s="2"/>
      <c r="Q87" s="2"/>
      <c r="R87" s="2"/>
      <c r="S87" s="999"/>
      <c r="T87" s="2"/>
      <c r="U87" s="999"/>
      <c r="V87" s="2"/>
      <c r="W87" s="2"/>
      <c r="X87" s="591"/>
      <c r="Y87" s="591"/>
      <c r="AG87" s="591"/>
      <c r="AH87" s="591"/>
      <c r="AI87" s="591"/>
      <c r="AJ87" s="591"/>
      <c r="AK87" s="591"/>
      <c r="AM87" s="591"/>
      <c r="AN87" s="591"/>
      <c r="AO87" s="591"/>
      <c r="AP87" s="591"/>
      <c r="AQ87" s="591"/>
      <c r="AS87" s="591"/>
      <c r="AT87" s="591"/>
      <c r="AU87" s="591"/>
      <c r="AV87" s="591"/>
      <c r="AW87" s="591"/>
      <c r="AY87" s="591"/>
    </row>
    <row r="88" spans="1:51" ht="20.25" hidden="1" customHeight="1" x14ac:dyDescent="0.2">
      <c r="A88" s="2"/>
      <c r="B88" s="2"/>
      <c r="C88" s="2"/>
      <c r="D88" s="2"/>
      <c r="E88" s="287"/>
      <c r="F88" s="995" t="s">
        <v>105</v>
      </c>
      <c r="G88" s="1020">
        <f>IF(G85=$M135,0,G86+G87)</f>
        <v>0</v>
      </c>
      <c r="H88" s="1020">
        <f>IF(H85=$M135,0,H86+H87)</f>
        <v>0</v>
      </c>
      <c r="I88" s="2216">
        <f>IF(I85=$M135,0,I86+I87)</f>
        <v>0</v>
      </c>
      <c r="J88" s="2216"/>
      <c r="K88" s="1020">
        <f>IF(K85=$M135,0,K86+K87)</f>
        <v>0</v>
      </c>
      <c r="L88" s="287"/>
      <c r="M88" s="287"/>
      <c r="N88" s="996">
        <f>SUM(G88:K88)</f>
        <v>0</v>
      </c>
      <c r="O88" s="503" t="str">
        <f>IF(N88=N79,"OK",E163)</f>
        <v>OK</v>
      </c>
      <c r="P88" s="2"/>
      <c r="Q88" s="2"/>
      <c r="R88" s="2"/>
      <c r="S88" s="1006"/>
      <c r="T88" s="2"/>
      <c r="U88" s="1006"/>
      <c r="V88" s="2"/>
      <c r="W88" s="2"/>
      <c r="X88" s="591"/>
      <c r="Y88" s="591"/>
      <c r="AG88" s="591"/>
      <c r="AH88" s="591"/>
      <c r="AI88" s="591"/>
      <c r="AJ88" s="591"/>
      <c r="AK88" s="591"/>
      <c r="AM88" s="591"/>
      <c r="AN88" s="591"/>
      <c r="AO88" s="591"/>
      <c r="AP88" s="591"/>
      <c r="AQ88" s="591"/>
      <c r="AS88" s="591"/>
      <c r="AT88" s="591"/>
      <c r="AU88" s="591"/>
      <c r="AV88" s="591"/>
      <c r="AW88" s="591"/>
      <c r="AY88" s="591"/>
    </row>
    <row r="89" spans="1:51" ht="20.25" hidden="1" customHeight="1" x14ac:dyDescent="0.2">
      <c r="A89" s="2"/>
      <c r="B89" s="2"/>
      <c r="C89" s="2"/>
      <c r="D89" s="2"/>
      <c r="E89" s="2"/>
      <c r="F89" s="970" t="s">
        <v>763</v>
      </c>
      <c r="G89" s="1021">
        <f>IF($C$61=0,0,IF(S79=0,0,ROUND($S79/$S89*100,10)))</f>
        <v>0</v>
      </c>
      <c r="H89" s="1021">
        <f>IF($C$61=0,0,IF(S80=0,0,ROUND(S80/$S89*100,10)))</f>
        <v>0</v>
      </c>
      <c r="I89" s="2101">
        <f>IF($C$61=0,0,IF(S81=0,0,ROUND(S81/$S89*100,10)))</f>
        <v>0</v>
      </c>
      <c r="J89" s="2101"/>
      <c r="K89" s="1021">
        <f>IF($C$61=0,0,IF(S82=0,0,100-G89-H89-I89))</f>
        <v>0</v>
      </c>
      <c r="L89" s="2"/>
      <c r="M89" s="2"/>
      <c r="N89" s="2"/>
      <c r="O89" s="2"/>
      <c r="P89" s="2"/>
      <c r="Q89" s="2"/>
      <c r="R89" s="2"/>
      <c r="S89" s="1006">
        <f>SUM(S79:S88)</f>
        <v>0</v>
      </c>
      <c r="T89" s="2"/>
      <c r="U89" s="1006">
        <f>SUM(U79:U88)</f>
        <v>0</v>
      </c>
      <c r="V89" s="2"/>
      <c r="W89" s="2"/>
      <c r="X89" s="591"/>
      <c r="Y89" s="591"/>
      <c r="Z89" s="591"/>
      <c r="AA89" s="591"/>
      <c r="AB89" s="591"/>
      <c r="AC89" s="591"/>
      <c r="AG89" s="591"/>
      <c r="AH89" s="591"/>
      <c r="AI89" s="591"/>
      <c r="AJ89" s="591"/>
      <c r="AK89" s="591"/>
      <c r="AM89" s="591"/>
      <c r="AN89" s="591"/>
      <c r="AO89" s="591"/>
      <c r="AP89" s="591"/>
      <c r="AQ89" s="591"/>
      <c r="AS89" s="591"/>
      <c r="AT89" s="591"/>
      <c r="AU89" s="591"/>
      <c r="AV89" s="591"/>
      <c r="AW89" s="591"/>
      <c r="AY89" s="591"/>
    </row>
    <row r="90" spans="1:51" ht="20.25" customHeight="1" x14ac:dyDescent="0.2">
      <c r="A90" s="2"/>
      <c r="B90" s="2"/>
      <c r="C90" s="2"/>
      <c r="D90" s="2"/>
      <c r="E90" s="2"/>
      <c r="F90" s="2"/>
      <c r="G90" s="2"/>
      <c r="H90" s="2"/>
      <c r="I90" s="2"/>
      <c r="J90" s="2"/>
      <c r="K90" s="2"/>
      <c r="L90" s="2"/>
      <c r="M90" s="2"/>
      <c r="N90" s="2"/>
      <c r="O90" s="2"/>
      <c r="P90" s="2"/>
      <c r="Q90" s="2"/>
      <c r="R90" s="2"/>
      <c r="S90" s="2"/>
      <c r="T90" s="2"/>
      <c r="U90" s="1110" t="e">
        <f>U89/S89*100</f>
        <v>#DIV/0!</v>
      </c>
      <c r="V90" s="2"/>
      <c r="W90" s="2"/>
      <c r="X90" s="591"/>
      <c r="Y90" s="591"/>
      <c r="Z90" s="591"/>
      <c r="AA90" s="591"/>
      <c r="AB90" s="591"/>
      <c r="AC90" s="591"/>
      <c r="AG90" s="591"/>
      <c r="AH90" s="591"/>
      <c r="AI90" s="591"/>
      <c r="AJ90" s="591"/>
      <c r="AK90" s="591"/>
      <c r="AM90" s="591"/>
      <c r="AN90" s="591"/>
      <c r="AO90" s="591"/>
      <c r="AP90" s="591"/>
      <c r="AQ90" s="591"/>
      <c r="AS90" s="591"/>
      <c r="AT90" s="591"/>
      <c r="AU90" s="591"/>
      <c r="AV90" s="591"/>
      <c r="AW90" s="591"/>
      <c r="AY90" s="591"/>
    </row>
    <row r="91" spans="1:51" ht="30" customHeight="1" x14ac:dyDescent="0.2">
      <c r="A91" s="2"/>
      <c r="B91" s="2"/>
      <c r="C91" s="2030" t="str">
        <f>IF(SUM(G150:J150)&gt;0,G151,IMPOSTAZIONI!Y383)</f>
        <v>Quest' area si attiva con colonne IVA "Aliquote diverse" - Al momento non c'è nessun importo da scorporare manualmente.</v>
      </c>
      <c r="D91" s="2030"/>
      <c r="E91" s="2030"/>
      <c r="F91" s="2030"/>
      <c r="G91" s="2030"/>
      <c r="H91" s="2030"/>
      <c r="I91" s="2030"/>
      <c r="J91" s="2030"/>
      <c r="K91" s="2030"/>
      <c r="L91" s="2030"/>
      <c r="M91" s="2030"/>
      <c r="N91" s="2030"/>
      <c r="O91" s="2030"/>
      <c r="P91" s="2030"/>
      <c r="Q91" s="98"/>
      <c r="R91" s="98"/>
      <c r="S91" s="98"/>
      <c r="T91" s="2"/>
      <c r="U91" s="2"/>
      <c r="V91" s="2"/>
      <c r="W91" s="2"/>
      <c r="X91" s="591"/>
      <c r="Y91" s="591"/>
      <c r="Z91" s="591"/>
      <c r="AA91" s="591"/>
      <c r="AB91" s="591"/>
      <c r="AC91" s="591"/>
      <c r="AG91" s="591"/>
      <c r="AH91" s="591"/>
      <c r="AI91" s="591"/>
      <c r="AJ91" s="591"/>
      <c r="AK91" s="591"/>
      <c r="AM91" s="591"/>
      <c r="AN91" s="591"/>
      <c r="AO91" s="591"/>
      <c r="AP91" s="591"/>
      <c r="AQ91" s="591"/>
      <c r="AS91" s="591"/>
      <c r="AT91" s="591"/>
      <c r="AU91" s="591"/>
      <c r="AV91" s="591"/>
      <c r="AW91" s="591"/>
      <c r="AY91" s="591"/>
    </row>
    <row r="92" spans="1:51" ht="5.25" customHeight="1" x14ac:dyDescent="0.2">
      <c r="A92" s="2"/>
      <c r="B92" s="2"/>
      <c r="C92" s="2"/>
      <c r="D92" s="2"/>
      <c r="E92" s="2"/>
      <c r="F92" s="2"/>
      <c r="G92" s="2"/>
      <c r="H92" s="2"/>
      <c r="I92" s="2"/>
      <c r="J92" s="2"/>
      <c r="K92" s="2"/>
      <c r="L92" s="2"/>
      <c r="M92" s="2"/>
      <c r="N92" s="2"/>
      <c r="O92" s="2"/>
      <c r="P92" s="2"/>
      <c r="Q92" s="2"/>
      <c r="R92" s="2"/>
      <c r="S92" s="2"/>
      <c r="T92" s="2"/>
      <c r="U92" s="2"/>
      <c r="V92" s="2"/>
      <c r="W92" s="2"/>
      <c r="X92" s="591"/>
      <c r="Y92" s="591"/>
      <c r="Z92" s="591"/>
      <c r="AA92" s="591"/>
      <c r="AB92" s="591"/>
      <c r="AC92" s="591"/>
      <c r="AG92" s="591"/>
      <c r="AH92" s="591"/>
      <c r="AI92" s="591"/>
      <c r="AJ92" s="591"/>
      <c r="AK92" s="591"/>
      <c r="AM92" s="591"/>
      <c r="AN92" s="591"/>
      <c r="AO92" s="591"/>
      <c r="AP92" s="591"/>
      <c r="AQ92" s="591"/>
      <c r="AS92" s="591"/>
      <c r="AT92" s="591"/>
      <c r="AU92" s="591"/>
      <c r="AV92" s="591"/>
      <c r="AW92" s="591"/>
      <c r="AY92" s="591"/>
    </row>
    <row r="93" spans="1:51" ht="18" customHeight="1" x14ac:dyDescent="0.2">
      <c r="A93" s="2"/>
      <c r="B93" s="2"/>
      <c r="C93" s="2111"/>
      <c r="D93" s="2111"/>
      <c r="E93" s="2112"/>
      <c r="F93" s="2113"/>
      <c r="G93" s="298" t="str">
        <f t="shared" ref="G93:H95" si="34">IF(G$155="X",G43,"")</f>
        <v/>
      </c>
      <c r="H93" s="298" t="str">
        <f t="shared" si="34"/>
        <v/>
      </c>
      <c r="I93" s="298"/>
      <c r="J93" s="298"/>
      <c r="K93" s="298" t="str">
        <f>IF(I$155="X",K43,"")</f>
        <v/>
      </c>
      <c r="L93" s="298"/>
      <c r="M93" s="298"/>
      <c r="N93" s="298" t="str">
        <f>IF(J$155="X",N43,"")</f>
        <v/>
      </c>
      <c r="O93" s="2033"/>
      <c r="P93" s="2033"/>
      <c r="Q93" s="12"/>
      <c r="R93" s="2"/>
      <c r="S93" s="2"/>
      <c r="T93" s="2"/>
      <c r="U93" s="2"/>
      <c r="V93" s="2"/>
      <c r="W93" s="2"/>
      <c r="X93" s="591"/>
      <c r="Y93" s="591"/>
      <c r="Z93" s="591"/>
      <c r="AA93" s="591"/>
      <c r="AB93" s="591"/>
      <c r="AC93" s="591"/>
      <c r="AG93" s="591"/>
      <c r="AH93" s="591"/>
      <c r="AI93" s="591"/>
      <c r="AJ93" s="591"/>
      <c r="AK93" s="591"/>
      <c r="AM93" s="591"/>
      <c r="AN93" s="591"/>
      <c r="AO93" s="591"/>
      <c r="AP93" s="591"/>
      <c r="AQ93" s="591"/>
      <c r="AS93" s="591"/>
      <c r="AT93" s="591"/>
      <c r="AU93" s="591"/>
      <c r="AV93" s="591"/>
      <c r="AW93" s="591"/>
      <c r="AY93" s="591"/>
    </row>
    <row r="94" spans="1:51" ht="18" customHeight="1" x14ac:dyDescent="0.2">
      <c r="A94" s="2"/>
      <c r="B94" s="2"/>
      <c r="C94" s="2114" t="str">
        <f>C44</f>
        <v>TOTALI DEL PERIODO:</v>
      </c>
      <c r="D94" s="2091"/>
      <c r="E94" s="2091"/>
      <c r="F94" s="2091"/>
      <c r="G94" s="57" t="str">
        <f t="shared" si="34"/>
        <v/>
      </c>
      <c r="H94" s="57" t="str">
        <f t="shared" si="34"/>
        <v/>
      </c>
      <c r="I94" s="57" t="s">
        <v>288</v>
      </c>
      <c r="J94" s="57"/>
      <c r="K94" s="57" t="str">
        <f>IF(I$155="X",K44,"")</f>
        <v/>
      </c>
      <c r="L94" s="57" t="s">
        <v>288</v>
      </c>
      <c r="M94" s="57"/>
      <c r="N94" s="57" t="str">
        <f>IF(J$155="X",N44,"")</f>
        <v/>
      </c>
      <c r="O94" s="85"/>
      <c r="P94" s="85"/>
      <c r="Q94" s="12"/>
      <c r="R94" s="2"/>
      <c r="S94" s="2"/>
      <c r="T94" s="2"/>
      <c r="U94" s="2"/>
      <c r="V94" s="2"/>
      <c r="W94" s="2"/>
      <c r="X94" s="591"/>
      <c r="Y94" s="591"/>
      <c r="Z94" s="591"/>
      <c r="AA94" s="591"/>
      <c r="AB94" s="591"/>
      <c r="AC94" s="591"/>
      <c r="AG94" s="591"/>
      <c r="AH94" s="591"/>
      <c r="AI94" s="591"/>
      <c r="AJ94" s="591"/>
      <c r="AK94" s="591"/>
      <c r="AM94" s="591"/>
      <c r="AN94" s="591"/>
      <c r="AO94" s="591"/>
      <c r="AP94" s="591"/>
      <c r="AQ94" s="591"/>
      <c r="AS94" s="591"/>
      <c r="AT94" s="591"/>
      <c r="AU94" s="591"/>
      <c r="AV94" s="591"/>
      <c r="AW94" s="591"/>
      <c r="AY94" s="591"/>
    </row>
    <row r="95" spans="1:51" ht="18" customHeight="1" x14ac:dyDescent="0.2">
      <c r="A95" s="2"/>
      <c r="B95" s="2"/>
      <c r="C95" s="2115" t="str">
        <f>C45</f>
        <v>01/03 - 31/03</v>
      </c>
      <c r="D95" s="2115"/>
      <c r="E95" s="2115"/>
      <c r="F95" s="2115"/>
      <c r="G95" s="90" t="str">
        <f t="shared" si="34"/>
        <v/>
      </c>
      <c r="H95" s="90" t="str">
        <f t="shared" si="34"/>
        <v/>
      </c>
      <c r="I95" s="90" t="s">
        <v>288</v>
      </c>
      <c r="J95" s="90"/>
      <c r="K95" s="90" t="str">
        <f>IF(I$155="X",K45,"")</f>
        <v/>
      </c>
      <c r="L95" s="90" t="s">
        <v>288</v>
      </c>
      <c r="M95" s="90"/>
      <c r="N95" s="90" t="str">
        <f>IF(J$155="X",N45,"")</f>
        <v/>
      </c>
      <c r="O95" s="89"/>
      <c r="P95" s="89"/>
      <c r="Q95" s="12"/>
      <c r="R95" s="2"/>
      <c r="S95" s="2"/>
      <c r="T95" s="2"/>
      <c r="U95" s="2"/>
      <c r="V95" s="2"/>
      <c r="W95" s="2"/>
      <c r="X95" s="591"/>
      <c r="Y95" s="591"/>
      <c r="Z95" s="591"/>
      <c r="AA95" s="591"/>
      <c r="AB95" s="591"/>
      <c r="AC95" s="591"/>
      <c r="AG95" s="591"/>
      <c r="AH95" s="591"/>
      <c r="AI95" s="591"/>
      <c r="AJ95" s="591"/>
      <c r="AK95" s="591"/>
      <c r="AM95" s="591"/>
      <c r="AN95" s="591"/>
      <c r="AO95" s="591"/>
      <c r="AP95" s="591"/>
      <c r="AQ95" s="591"/>
      <c r="AS95" s="591"/>
      <c r="AT95" s="591"/>
      <c r="AU95" s="591"/>
      <c r="AV95" s="591"/>
      <c r="AW95" s="591"/>
      <c r="AY95" s="591"/>
    </row>
    <row r="96" spans="1:51" ht="18.75" customHeight="1" x14ac:dyDescent="0.2">
      <c r="A96" s="2"/>
      <c r="B96" s="7"/>
      <c r="C96" s="2110"/>
      <c r="D96" s="2110"/>
      <c r="E96" s="2109"/>
      <c r="F96" s="2109"/>
      <c r="G96" s="297">
        <f>IF(G155="X",G46,0)</f>
        <v>0</v>
      </c>
      <c r="H96" s="297">
        <f>IF(H155="X",H46,0)</f>
        <v>0</v>
      </c>
      <c r="I96" s="657"/>
      <c r="J96" s="657"/>
      <c r="K96" s="297">
        <f>IF(I155="X",K46,0)</f>
        <v>0</v>
      </c>
      <c r="L96" s="657"/>
      <c r="M96" s="657"/>
      <c r="N96" s="297">
        <f>IF(J155="X",N46,0)</f>
        <v>0</v>
      </c>
      <c r="O96" s="2210" t="s">
        <v>353</v>
      </c>
      <c r="P96" s="2210"/>
      <c r="Q96" s="12"/>
      <c r="R96" s="462">
        <f>R97+R98</f>
        <v>0</v>
      </c>
      <c r="S96" s="2"/>
      <c r="T96" s="2"/>
      <c r="U96" s="2"/>
      <c r="V96" s="591"/>
      <c r="W96" s="591"/>
      <c r="X96" s="591"/>
      <c r="Y96" s="591"/>
      <c r="Z96" s="591"/>
      <c r="AA96" s="591"/>
      <c r="AB96" s="591"/>
      <c r="AC96" s="591"/>
      <c r="AG96" s="591"/>
      <c r="AH96" s="591"/>
      <c r="AI96" s="591"/>
      <c r="AJ96" s="591"/>
      <c r="AK96" s="591"/>
      <c r="AM96" s="591"/>
      <c r="AN96" s="591"/>
      <c r="AO96" s="591"/>
      <c r="AP96" s="591"/>
      <c r="AQ96" s="591"/>
      <c r="AS96" s="591"/>
      <c r="AT96" s="591"/>
      <c r="AU96" s="591"/>
      <c r="AV96" s="591"/>
      <c r="AW96" s="591"/>
      <c r="AY96" s="591"/>
    </row>
    <row r="97" spans="1:51" ht="18.75" customHeight="1" x14ac:dyDescent="0.25">
      <c r="A97" s="2"/>
      <c r="B97" s="7"/>
      <c r="C97" s="2032" t="s">
        <v>350</v>
      </c>
      <c r="D97" s="2032"/>
      <c r="E97" s="2032"/>
      <c r="F97" s="2032"/>
      <c r="G97" s="299"/>
      <c r="H97" s="299"/>
      <c r="I97" s="658"/>
      <c r="J97" s="658"/>
      <c r="K97" s="299"/>
      <c r="L97" s="658"/>
      <c r="M97" s="658"/>
      <c r="N97" s="299"/>
      <c r="O97" s="2221" t="s">
        <v>355</v>
      </c>
      <c r="P97" s="2221"/>
      <c r="Q97" s="12"/>
      <c r="R97" s="462">
        <f>SUM(G97:N97)</f>
        <v>0</v>
      </c>
      <c r="S97" s="462">
        <f>SUMIF($G$42:N$42,K$134,$G97:N97)</f>
        <v>0</v>
      </c>
      <c r="T97" s="1110" t="e">
        <f>S97/R97*100</f>
        <v>#DIV/0!</v>
      </c>
      <c r="U97" s="2"/>
      <c r="V97" s="591"/>
      <c r="W97" s="591"/>
      <c r="X97" s="591"/>
      <c r="Y97" s="591"/>
      <c r="Z97" s="591"/>
      <c r="AA97" s="591"/>
      <c r="AB97" s="591"/>
      <c r="AC97" s="591"/>
      <c r="AG97" s="591"/>
      <c r="AH97" s="591"/>
      <c r="AI97" s="591"/>
      <c r="AJ97" s="591"/>
      <c r="AK97" s="591"/>
      <c r="AM97" s="591"/>
      <c r="AN97" s="591"/>
      <c r="AO97" s="591"/>
      <c r="AP97" s="591"/>
      <c r="AQ97" s="591"/>
      <c r="AS97" s="591"/>
      <c r="AT97" s="591"/>
      <c r="AU97" s="591"/>
      <c r="AV97" s="591"/>
      <c r="AW97" s="591"/>
      <c r="AY97" s="591"/>
    </row>
    <row r="98" spans="1:51" ht="18.75" customHeight="1" x14ac:dyDescent="0.2">
      <c r="A98" s="2"/>
      <c r="B98" s="7"/>
      <c r="C98" s="2108" t="s">
        <v>490</v>
      </c>
      <c r="D98" s="2108"/>
      <c r="E98" s="2108"/>
      <c r="F98" s="2108"/>
      <c r="G98" s="300"/>
      <c r="H98" s="660"/>
      <c r="I98" s="659"/>
      <c r="J98" s="659"/>
      <c r="K98" s="660"/>
      <c r="L98" s="659"/>
      <c r="M98" s="659"/>
      <c r="N98" s="660"/>
      <c r="O98" s="2018" t="s">
        <v>349</v>
      </c>
      <c r="P98" s="2018"/>
      <c r="Q98" s="13"/>
      <c r="R98" s="462">
        <f>SUM(G98:N98)</f>
        <v>0</v>
      </c>
      <c r="S98" s="2"/>
      <c r="T98" s="2"/>
      <c r="U98" s="2"/>
      <c r="V98" s="591"/>
      <c r="W98" s="591"/>
      <c r="X98" s="591"/>
      <c r="Y98" s="591"/>
      <c r="Z98" s="591"/>
      <c r="AA98" s="591"/>
      <c r="AB98" s="591"/>
      <c r="AC98" s="591"/>
      <c r="AG98" s="591"/>
      <c r="AH98" s="591"/>
      <c r="AI98" s="591"/>
      <c r="AJ98" s="591"/>
      <c r="AK98" s="591"/>
      <c r="AM98" s="591"/>
      <c r="AN98" s="591"/>
      <c r="AO98" s="591"/>
      <c r="AP98" s="591"/>
      <c r="AQ98" s="591"/>
      <c r="AS98" s="591"/>
      <c r="AT98" s="591"/>
      <c r="AU98" s="591"/>
      <c r="AV98" s="591"/>
      <c r="AW98" s="591"/>
      <c r="AY98" s="591"/>
    </row>
    <row r="99" spans="1:51" ht="15" customHeight="1" x14ac:dyDescent="0.2">
      <c r="A99" s="2"/>
      <c r="B99" s="2"/>
      <c r="C99" s="10"/>
      <c r="D99" s="10"/>
      <c r="E99" s="10"/>
      <c r="F99" s="10"/>
      <c r="G99" s="91" t="str">
        <f>IF(AND(SUM(G97:G98)&lt;&gt;0,G152=0),$L$152,IF(G152=0,"",IF(G97=0,IMPOSTAZIONI!$J$383,IF((G97+G98)&lt;&gt;G96,IMPOSTAZIONI!$M$383,IMPOSTAZIONI!$H$383))))</f>
        <v/>
      </c>
      <c r="H99" s="91" t="str">
        <f>IF(AND(SUM(H97:H98)&lt;&gt;0,H152=0),$L$152,IF(H152=0,"",IF(H97=0,IMPOSTAZIONI!$J$383,IF((H97+H98)&lt;&gt;H96,IMPOSTAZIONI!$M$383,IMPOSTAZIONI!$H$383))))</f>
        <v/>
      </c>
      <c r="I99" s="91"/>
      <c r="J99" s="91"/>
      <c r="K99" s="91" t="str">
        <f>IF(AND(SUM(K97:K98)&lt;&gt;0,I152=0),$L$152,IF(I152=0,"",IF(K97=0,IMPOSTAZIONI!$J$383,IF((K97+K98)&lt;&gt;K96,IMPOSTAZIONI!$M$383,IMPOSTAZIONI!$H$383))))</f>
        <v/>
      </c>
      <c r="L99" s="91"/>
      <c r="M99" s="91"/>
      <c r="N99" s="91" t="str">
        <f>IF(AND(SUM(N97:N98)&lt;&gt;0,J152=0),$L$152,IF(J152=0,"",IF(N97=0,IMPOSTAZIONI!$J$383,IF((N97+N98)&lt;&gt;N96,IMPOSTAZIONI!$M$383,IMPOSTAZIONI!$H$383))))</f>
        <v/>
      </c>
      <c r="O99" s="10"/>
      <c r="P99" s="10"/>
      <c r="Q99" s="2"/>
      <c r="R99" s="2"/>
      <c r="S99" s="2"/>
      <c r="T99" s="2"/>
      <c r="U99" s="2"/>
      <c r="V99" s="591"/>
      <c r="W99" s="591"/>
      <c r="X99" s="591"/>
      <c r="Y99" s="591"/>
      <c r="Z99" s="591"/>
      <c r="AA99" s="591"/>
      <c r="AB99" s="591"/>
      <c r="AC99" s="591"/>
      <c r="AG99" s="591"/>
      <c r="AH99" s="591"/>
      <c r="AI99" s="591"/>
      <c r="AJ99" s="591"/>
      <c r="AK99" s="591"/>
      <c r="AM99" s="591"/>
      <c r="AN99" s="591"/>
      <c r="AO99" s="591"/>
      <c r="AP99" s="591"/>
      <c r="AQ99" s="591"/>
      <c r="AS99" s="591"/>
      <c r="AT99" s="591"/>
      <c r="AU99" s="591"/>
      <c r="AV99" s="591"/>
      <c r="AW99" s="591"/>
      <c r="AY99" s="591"/>
    </row>
    <row r="100" spans="1:51" ht="21" customHeight="1" x14ac:dyDescent="0.2">
      <c r="A100" s="2"/>
      <c r="B100" s="2"/>
      <c r="C100" s="2116" t="s">
        <v>354</v>
      </c>
      <c r="D100" s="2116"/>
      <c r="E100" s="2116"/>
      <c r="F100" s="2116"/>
      <c r="G100" s="2"/>
      <c r="H100" s="2"/>
      <c r="I100" s="2"/>
      <c r="J100" s="2"/>
      <c r="K100" s="2"/>
      <c r="L100" s="2"/>
      <c r="M100" s="2"/>
      <c r="N100" s="2"/>
      <c r="O100" s="2"/>
      <c r="P100" s="2"/>
      <c r="Q100" s="2"/>
      <c r="R100" s="2"/>
      <c r="S100" s="2"/>
      <c r="T100" s="128" t="s">
        <v>783</v>
      </c>
      <c r="U100" s="2"/>
      <c r="V100" s="591"/>
      <c r="W100" s="591"/>
      <c r="X100" s="591"/>
      <c r="Y100" s="591"/>
      <c r="Z100" s="591"/>
      <c r="AA100" s="591"/>
      <c r="AB100" s="591"/>
      <c r="AC100" s="591"/>
      <c r="AG100" s="591"/>
      <c r="AH100" s="591"/>
      <c r="AI100" s="591"/>
      <c r="AJ100" s="591"/>
      <c r="AK100" s="591"/>
      <c r="AM100" s="591"/>
      <c r="AN100" s="591"/>
      <c r="AO100" s="591"/>
      <c r="AP100" s="591"/>
      <c r="AQ100" s="591"/>
      <c r="AS100" s="591"/>
      <c r="AT100" s="591"/>
      <c r="AU100" s="591"/>
      <c r="AV100" s="591"/>
      <c r="AW100" s="591"/>
      <c r="AY100" s="591"/>
    </row>
    <row r="101" spans="1:51" ht="16.5" customHeight="1" x14ac:dyDescent="0.2">
      <c r="A101" s="2"/>
      <c r="B101" s="18" t="e">
        <f>VERIFICA!#REF!</f>
        <v>#REF!</v>
      </c>
      <c r="C101" s="2106" t="str">
        <f>IF(AND(RIEPILOGO!B8="",SUM(G101:N101)&gt;0),"ERROR",RIEPILOGO!B8)</f>
        <v>Aliquota 22 %</v>
      </c>
      <c r="D101" s="2106"/>
      <c r="E101" s="2106"/>
      <c r="F101" s="2106"/>
      <c r="G101" s="236"/>
      <c r="H101" s="236"/>
      <c r="I101" s="658"/>
      <c r="J101" s="658"/>
      <c r="K101" s="236"/>
      <c r="L101" s="658"/>
      <c r="M101" s="658"/>
      <c r="N101" s="236"/>
      <c r="O101" s="2218" t="s">
        <v>349</v>
      </c>
      <c r="P101" s="2218"/>
      <c r="Q101" s="12"/>
      <c r="R101" s="93">
        <f>SUM(G101:N101)</f>
        <v>0</v>
      </c>
      <c r="S101" s="93">
        <f>SUMIF($G$42:N$42,K$134,$G101:N101)</f>
        <v>0</v>
      </c>
      <c r="T101" s="1110" t="e">
        <f>S101/R101*100</f>
        <v>#DIV/0!</v>
      </c>
      <c r="U101" s="2"/>
      <c r="V101" s="591"/>
      <c r="W101" s="591"/>
      <c r="X101" s="591"/>
      <c r="Y101" s="591"/>
      <c r="Z101" s="591"/>
      <c r="AA101" s="591"/>
      <c r="AB101" s="591"/>
      <c r="AC101" s="591"/>
      <c r="AG101" s="591"/>
      <c r="AH101" s="591"/>
      <c r="AI101" s="591"/>
      <c r="AJ101" s="591"/>
      <c r="AK101" s="591"/>
      <c r="AM101" s="591"/>
      <c r="AN101" s="591"/>
      <c r="AO101" s="591"/>
      <c r="AP101" s="591"/>
      <c r="AQ101" s="591"/>
      <c r="AS101" s="591"/>
      <c r="AT101" s="591"/>
      <c r="AU101" s="591"/>
      <c r="AV101" s="591"/>
      <c r="AW101" s="591"/>
      <c r="AY101" s="591"/>
    </row>
    <row r="102" spans="1:51" ht="16.5" customHeight="1" x14ac:dyDescent="0.2">
      <c r="A102" s="2"/>
      <c r="B102" s="18" t="e">
        <f>VERIFICA!#REF!</f>
        <v>#REF!</v>
      </c>
      <c r="C102" s="2106" t="str">
        <f>IF(AND(RIEPILOGO!B9="",SUM(G102:N102)&gt;0),"ERROR",RIEPILOGO!B9)</f>
        <v>Aliquota 10 %</v>
      </c>
      <c r="D102" s="2106"/>
      <c r="E102" s="2106"/>
      <c r="F102" s="2106"/>
      <c r="G102" s="237"/>
      <c r="H102" s="237"/>
      <c r="I102" s="658"/>
      <c r="J102" s="658"/>
      <c r="K102" s="237"/>
      <c r="L102" s="658"/>
      <c r="M102" s="658"/>
      <c r="N102" s="237"/>
      <c r="O102" s="2218" t="s">
        <v>349</v>
      </c>
      <c r="P102" s="2218"/>
      <c r="Q102" s="12"/>
      <c r="R102" s="94">
        <f>SUM(G102:N102)</f>
        <v>0</v>
      </c>
      <c r="S102" s="94">
        <f>SUMIF($G$42:N$42,K$134,$G102:N102)</f>
        <v>0</v>
      </c>
      <c r="T102" s="1110" t="e">
        <f>S102/R102*100</f>
        <v>#DIV/0!</v>
      </c>
      <c r="U102" s="2"/>
      <c r="V102" s="591"/>
      <c r="W102" s="591"/>
      <c r="X102" s="591"/>
      <c r="Y102" s="591"/>
      <c r="Z102" s="591"/>
      <c r="AA102" s="591"/>
      <c r="AB102" s="591"/>
      <c r="AC102" s="591"/>
      <c r="AG102" s="591"/>
      <c r="AH102" s="591"/>
      <c r="AI102" s="591"/>
      <c r="AJ102" s="591"/>
      <c r="AK102" s="591"/>
      <c r="AM102" s="591"/>
      <c r="AN102" s="591"/>
      <c r="AO102" s="591"/>
      <c r="AP102" s="591"/>
      <c r="AQ102" s="591"/>
      <c r="AS102" s="591"/>
      <c r="AT102" s="591"/>
      <c r="AU102" s="591"/>
      <c r="AV102" s="591"/>
      <c r="AW102" s="591"/>
      <c r="AY102" s="591"/>
    </row>
    <row r="103" spans="1:51" ht="16.5" customHeight="1" x14ac:dyDescent="0.2">
      <c r="A103" s="2"/>
      <c r="B103" s="18" t="e">
        <f>VERIFICA!#REF!</f>
        <v>#REF!</v>
      </c>
      <c r="C103" s="2106" t="str">
        <f>IF(AND(RIEPILOGO!B10="",SUM(G103:N103)&gt;0),"ERROR",RIEPILOGO!B10)</f>
        <v>Aliquota 4 %</v>
      </c>
      <c r="D103" s="2106"/>
      <c r="E103" s="2106"/>
      <c r="F103" s="2106"/>
      <c r="G103" s="304"/>
      <c r="H103" s="304"/>
      <c r="I103" s="658"/>
      <c r="J103" s="658"/>
      <c r="K103" s="304"/>
      <c r="L103" s="658"/>
      <c r="M103" s="658"/>
      <c r="N103" s="304"/>
      <c r="O103" s="2218" t="s">
        <v>349</v>
      </c>
      <c r="P103" s="2218"/>
      <c r="Q103" s="12"/>
      <c r="R103" s="94">
        <f>SUM(G103:N103)</f>
        <v>0</v>
      </c>
      <c r="S103" s="94">
        <f>SUMIF($G$42:N$42,K$134,$G103:N103)</f>
        <v>0</v>
      </c>
      <c r="T103" s="1110" t="e">
        <f>S103/R103*100</f>
        <v>#DIV/0!</v>
      </c>
      <c r="U103" s="2"/>
      <c r="V103" s="591"/>
      <c r="W103" s="591"/>
      <c r="X103" s="591"/>
      <c r="Y103" s="591"/>
      <c r="Z103" s="591"/>
      <c r="AA103" s="591"/>
      <c r="AB103" s="591"/>
      <c r="AC103" s="591"/>
      <c r="AG103" s="591"/>
      <c r="AH103" s="591"/>
      <c r="AI103" s="591"/>
      <c r="AJ103" s="591"/>
      <c r="AK103" s="591"/>
      <c r="AM103" s="591"/>
      <c r="AN103" s="591"/>
      <c r="AO103" s="591"/>
      <c r="AP103" s="591"/>
      <c r="AQ103" s="591"/>
      <c r="AS103" s="591"/>
      <c r="AT103" s="591"/>
      <c r="AU103" s="591"/>
      <c r="AV103" s="591"/>
      <c r="AW103" s="591"/>
      <c r="AY103" s="591"/>
    </row>
    <row r="104" spans="1:51" ht="16.5" customHeight="1" x14ac:dyDescent="0.2">
      <c r="A104" s="2"/>
      <c r="B104" s="18" t="e">
        <f>VERIFICA!#REF!</f>
        <v>#REF!</v>
      </c>
      <c r="C104" s="2106" t="str">
        <f>IF(AND(RIEPILOGO!B11="",SUM(G104:N104)&gt;0),"ERROR",RIEPILOGO!B11)</f>
        <v/>
      </c>
      <c r="D104" s="2106"/>
      <c r="E104" s="2106"/>
      <c r="F104" s="2106"/>
      <c r="G104" s="304"/>
      <c r="H104" s="660"/>
      <c r="I104" s="659"/>
      <c r="J104" s="659"/>
      <c r="K104" s="660"/>
      <c r="L104" s="659"/>
      <c r="M104" s="659"/>
      <c r="N104" s="660"/>
      <c r="O104" s="2217" t="s">
        <v>349</v>
      </c>
      <c r="P104" s="2217"/>
      <c r="Q104" s="12"/>
      <c r="R104" s="95">
        <f>SUM(G104:N104)</f>
        <v>0</v>
      </c>
      <c r="S104" s="95">
        <f>SUMIF($G$42:N$42,K$134,$G104:N104)</f>
        <v>0</v>
      </c>
      <c r="T104" s="1110" t="e">
        <f>S104/R104*100</f>
        <v>#DIV/0!</v>
      </c>
      <c r="U104" s="2"/>
      <c r="V104" s="591"/>
      <c r="W104" s="591"/>
      <c r="X104" s="591"/>
      <c r="Y104" s="591"/>
      <c r="Z104" s="591"/>
      <c r="AA104" s="591"/>
      <c r="AB104" s="591"/>
      <c r="AC104" s="591"/>
      <c r="AG104" s="591"/>
      <c r="AH104" s="591"/>
      <c r="AI104" s="591"/>
      <c r="AJ104" s="591"/>
      <c r="AK104" s="591"/>
      <c r="AM104" s="591"/>
      <c r="AN104" s="591"/>
      <c r="AO104" s="591"/>
      <c r="AP104" s="591"/>
      <c r="AQ104" s="591"/>
      <c r="AS104" s="591"/>
      <c r="AT104" s="591"/>
      <c r="AU104" s="591"/>
      <c r="AV104" s="591"/>
      <c r="AW104" s="591"/>
      <c r="AY104" s="591"/>
    </row>
    <row r="105" spans="1:51" ht="15" customHeight="1" x14ac:dyDescent="0.2">
      <c r="A105" s="2"/>
      <c r="B105" s="2"/>
      <c r="C105" s="10"/>
      <c r="D105" s="10"/>
      <c r="E105" s="10"/>
      <c r="F105" s="10"/>
      <c r="G105" s="91" t="str">
        <f>IF(AND(SUM(G101:G104)&lt;&gt;0,G152=0),$L$152,IF(G152=0,"",IF(SUM(G101:G104)&lt;&gt;G98,IMPOSTAZIONI!$J$383,IF(SUM(G101:G104)&lt;&gt;G98,IMPOSTAZIONI!$M$383,IMPOSTAZIONI!$H$383))))</f>
        <v/>
      </c>
      <c r="H105" s="91" t="str">
        <f>IF(AND(SUM(H101:H104)&lt;&gt;0,H152=0),$L$152,IF(H152=0,"",IF(SUM(H101:H104)&lt;&gt;H98,IMPOSTAZIONI!$J$383,IF(SUM(H101:H104)&lt;&gt;H98,IMPOSTAZIONI!$M$383,IMPOSTAZIONI!$H$383))))</f>
        <v/>
      </c>
      <c r="I105" s="91"/>
      <c r="J105" s="91"/>
      <c r="K105" s="91" t="str">
        <f>IF(AND(SUM(K101:K104)&lt;&gt;0,I152=0),$L$152,IF(I152=0,"",IF(SUM(K101:K104)&lt;&gt;K98,IMPOSTAZIONI!$J$383,IF(SUM(K101:K104)&lt;&gt;K98,IMPOSTAZIONI!$M$383,IMPOSTAZIONI!$H$383))))</f>
        <v/>
      </c>
      <c r="L105" s="91"/>
      <c r="M105" s="91"/>
      <c r="N105" s="91" t="str">
        <f>IF(AND(SUM(N101:N104)&lt;&gt;0,J152=0),$L$152,IF(J152=0,"",IF(SUM(N101:N104)&lt;&gt;N98,IMPOSTAZIONI!$J$383,IF(SUM(N101:N104)&lt;&gt;N98,IMPOSTAZIONI!$M$383,IMPOSTAZIONI!$H$383))))</f>
        <v/>
      </c>
      <c r="O105" s="10"/>
      <c r="P105" s="10"/>
      <c r="Q105" s="2"/>
      <c r="R105" s="2"/>
      <c r="S105" s="2"/>
      <c r="T105" s="2"/>
      <c r="U105" s="2"/>
      <c r="V105" s="591"/>
      <c r="W105" s="591"/>
      <c r="X105" s="591"/>
      <c r="Y105" s="591"/>
      <c r="Z105" s="591"/>
      <c r="AA105" s="591"/>
      <c r="AB105" s="591"/>
      <c r="AC105" s="591"/>
      <c r="AG105" s="591"/>
      <c r="AH105" s="591"/>
      <c r="AI105" s="591"/>
      <c r="AJ105" s="591"/>
      <c r="AK105" s="591"/>
      <c r="AM105" s="591"/>
      <c r="AN105" s="591"/>
      <c r="AO105" s="591"/>
      <c r="AP105" s="591"/>
      <c r="AQ105" s="591"/>
      <c r="AS105" s="591"/>
      <c r="AT105" s="591"/>
      <c r="AU105" s="591"/>
      <c r="AV105" s="591"/>
      <c r="AW105" s="591"/>
      <c r="AY105" s="591"/>
    </row>
    <row r="106" spans="1:51" ht="21" customHeight="1" x14ac:dyDescent="0.2">
      <c r="A106" s="2"/>
      <c r="B106" s="2"/>
      <c r="C106" s="2"/>
      <c r="D106" s="2"/>
      <c r="E106" s="2"/>
      <c r="F106" s="2"/>
      <c r="G106" s="2"/>
      <c r="H106" s="2"/>
      <c r="I106" s="2"/>
      <c r="J106" s="2"/>
      <c r="K106" s="2"/>
      <c r="L106" s="2"/>
      <c r="M106" s="2"/>
      <c r="N106" s="2"/>
      <c r="O106" s="2"/>
      <c r="P106" s="2"/>
      <c r="Q106" s="2"/>
      <c r="R106" s="2"/>
      <c r="S106" s="2"/>
      <c r="T106" s="2"/>
      <c r="U106" s="2"/>
      <c r="V106" s="591"/>
      <c r="W106" s="591"/>
      <c r="X106" s="591"/>
      <c r="Y106" s="591"/>
      <c r="Z106" s="591"/>
      <c r="AA106" s="591"/>
      <c r="AB106" s="591"/>
      <c r="AC106" s="591"/>
      <c r="AG106" s="591"/>
      <c r="AH106" s="591"/>
      <c r="AI106" s="591"/>
      <c r="AJ106" s="591"/>
      <c r="AK106" s="591"/>
      <c r="AM106" s="591"/>
      <c r="AN106" s="591"/>
      <c r="AO106" s="591"/>
      <c r="AP106" s="591"/>
      <c r="AQ106" s="591"/>
      <c r="AS106" s="591"/>
      <c r="AT106" s="591"/>
      <c r="AU106" s="591"/>
      <c r="AV106" s="591"/>
      <c r="AW106" s="591"/>
      <c r="AY106" s="591"/>
    </row>
    <row r="107" spans="1:51" ht="21" customHeight="1" x14ac:dyDescent="0.2">
      <c r="A107" s="2"/>
      <c r="B107" s="2"/>
      <c r="C107" s="2"/>
      <c r="D107" s="2"/>
      <c r="E107" s="2"/>
      <c r="F107" s="278" t="s">
        <v>324</v>
      </c>
      <c r="G107" s="2"/>
      <c r="H107" s="2"/>
      <c r="I107" s="256"/>
      <c r="J107" s="256"/>
      <c r="K107" s="256"/>
      <c r="L107" s="2"/>
      <c r="M107" s="2"/>
      <c r="N107" s="2"/>
      <c r="O107" s="2"/>
      <c r="P107" s="2"/>
      <c r="Q107" s="2"/>
      <c r="R107" s="2"/>
      <c r="S107" s="2"/>
      <c r="T107" s="2"/>
      <c r="U107" s="2"/>
      <c r="V107" s="591"/>
      <c r="W107" s="591"/>
      <c r="X107" s="591"/>
      <c r="Y107" s="591"/>
      <c r="Z107" s="591"/>
      <c r="AA107" s="591"/>
      <c r="AB107" s="591"/>
      <c r="AC107" s="591"/>
      <c r="AG107" s="591"/>
      <c r="AH107" s="591"/>
      <c r="AI107" s="591"/>
      <c r="AJ107" s="591"/>
      <c r="AK107" s="591"/>
      <c r="AM107" s="591"/>
      <c r="AN107" s="591"/>
      <c r="AO107" s="591"/>
      <c r="AP107" s="591"/>
      <c r="AQ107" s="591"/>
      <c r="AS107" s="591"/>
      <c r="AT107" s="591"/>
      <c r="AU107" s="591"/>
      <c r="AV107" s="591"/>
      <c r="AW107" s="591"/>
      <c r="AY107" s="591"/>
    </row>
    <row r="108" spans="1:51" ht="18.75" customHeight="1" x14ac:dyDescent="0.2">
      <c r="A108" s="2"/>
      <c r="B108" s="2"/>
      <c r="C108" s="2"/>
      <c r="D108" s="2"/>
      <c r="E108" s="2"/>
      <c r="F108" s="763" t="s">
        <v>735</v>
      </c>
      <c r="G108" s="763"/>
      <c r="H108" s="763"/>
      <c r="I108" s="763"/>
      <c r="J108" s="2"/>
      <c r="K108" s="666">
        <f>E7</f>
        <v>0</v>
      </c>
      <c r="L108" s="2245">
        <f>K108-(SUM(G7:H7)+K7+N7)+SUMIF(G42:N42,K134,G7:N7)</f>
        <v>0</v>
      </c>
      <c r="M108" s="2246"/>
      <c r="N108" s="1045" t="s">
        <v>492</v>
      </c>
      <c r="O108" s="2"/>
      <c r="P108" s="2"/>
      <c r="Q108" s="2"/>
      <c r="R108" s="2"/>
      <c r="S108" s="2"/>
      <c r="T108" s="2"/>
      <c r="U108" s="2"/>
      <c r="V108" s="591"/>
      <c r="W108" s="591"/>
      <c r="X108" s="591"/>
      <c r="Y108" s="591"/>
      <c r="Z108" s="591"/>
      <c r="AA108" s="591"/>
      <c r="AB108" s="591"/>
      <c r="AC108" s="591"/>
      <c r="AG108" s="591"/>
      <c r="AH108" s="591"/>
      <c r="AI108" s="591"/>
      <c r="AJ108" s="591"/>
      <c r="AK108" s="591"/>
      <c r="AM108" s="591"/>
      <c r="AN108" s="591"/>
      <c r="AO108" s="591"/>
      <c r="AP108" s="591"/>
      <c r="AQ108" s="591"/>
      <c r="AS108" s="591"/>
      <c r="AT108" s="591"/>
      <c r="AU108" s="591"/>
      <c r="AV108" s="591"/>
      <c r="AW108" s="591"/>
      <c r="AY108" s="591"/>
    </row>
    <row r="109" spans="1:51" ht="18.75" customHeight="1" x14ac:dyDescent="0.2">
      <c r="A109" s="2"/>
      <c r="B109" s="2"/>
      <c r="C109" s="2"/>
      <c r="D109" s="2"/>
      <c r="E109" s="2"/>
      <c r="F109" s="764" t="s">
        <v>736</v>
      </c>
      <c r="G109" s="764"/>
      <c r="H109" s="764"/>
      <c r="I109" s="764"/>
      <c r="J109" s="2"/>
      <c r="K109" s="279">
        <f>E39</f>
        <v>0</v>
      </c>
      <c r="L109" s="2247">
        <f>K109-(SUM(G39:H39)+K39+N39)+SUMIF(G42:N42,K134,G39:N39)</f>
        <v>0</v>
      </c>
      <c r="M109" s="2248"/>
      <c r="N109" s="1046" t="s">
        <v>493</v>
      </c>
      <c r="O109" s="2"/>
      <c r="P109" s="2"/>
      <c r="Q109" s="2"/>
      <c r="R109" s="2"/>
      <c r="S109" s="2"/>
      <c r="T109" s="2"/>
      <c r="U109" s="2"/>
      <c r="V109" s="591"/>
      <c r="W109" s="591"/>
      <c r="X109" s="591"/>
      <c r="Y109" s="591"/>
      <c r="Z109" s="591"/>
      <c r="AA109" s="591"/>
      <c r="AB109" s="591"/>
      <c r="AC109" s="591"/>
      <c r="AG109" s="591"/>
      <c r="AH109" s="591"/>
      <c r="AI109" s="591"/>
      <c r="AJ109" s="591"/>
      <c r="AK109" s="591"/>
      <c r="AM109" s="591"/>
      <c r="AN109" s="591"/>
      <c r="AO109" s="591"/>
      <c r="AP109" s="591"/>
      <c r="AQ109" s="591"/>
      <c r="AS109" s="591"/>
      <c r="AT109" s="591"/>
      <c r="AU109" s="591"/>
      <c r="AV109" s="591"/>
      <c r="AW109" s="591"/>
      <c r="AY109" s="591"/>
    </row>
    <row r="110" spans="1:51" ht="19.5" customHeight="1" x14ac:dyDescent="0.25">
      <c r="A110" s="2"/>
      <c r="B110" s="2"/>
      <c r="C110" s="2"/>
      <c r="D110" s="2"/>
      <c r="E110" s="2"/>
      <c r="F110" s="661" t="s">
        <v>485</v>
      </c>
      <c r="G110" s="661"/>
      <c r="H110" s="661"/>
      <c r="I110" s="661"/>
      <c r="J110" s="2"/>
      <c r="K110" s="661"/>
      <c r="L110" s="668"/>
      <c r="M110" s="662"/>
      <c r="N110" s="2"/>
      <c r="O110" s="2"/>
      <c r="P110" s="2"/>
      <c r="Q110" s="2"/>
      <c r="R110" s="2"/>
      <c r="S110" s="2"/>
      <c r="T110" s="2"/>
      <c r="U110" s="2"/>
      <c r="V110" s="591"/>
      <c r="W110" s="591"/>
      <c r="X110" s="591"/>
      <c r="Y110" s="591"/>
      <c r="Z110" s="591"/>
      <c r="AA110" s="591"/>
      <c r="AB110" s="591"/>
      <c r="AC110" s="591"/>
      <c r="AG110" s="591"/>
      <c r="AH110" s="591"/>
      <c r="AI110" s="591"/>
      <c r="AJ110" s="591"/>
      <c r="AK110" s="591"/>
      <c r="AM110" s="591"/>
      <c r="AN110" s="591"/>
      <c r="AO110" s="591"/>
      <c r="AP110" s="591"/>
      <c r="AQ110" s="591"/>
      <c r="AS110" s="591"/>
      <c r="AT110" s="591"/>
      <c r="AU110" s="591"/>
      <c r="AV110" s="591"/>
      <c r="AW110" s="591"/>
      <c r="AY110" s="591"/>
    </row>
    <row r="111" spans="1:51" ht="19.5" customHeight="1" x14ac:dyDescent="0.2">
      <c r="A111" s="2"/>
      <c r="B111" s="2"/>
      <c r="C111" s="2"/>
      <c r="D111" s="2"/>
      <c r="E111" s="2"/>
      <c r="F111" s="663" t="s">
        <v>480</v>
      </c>
      <c r="G111" s="663"/>
      <c r="H111" s="663"/>
      <c r="I111" s="663"/>
      <c r="J111" s="2"/>
      <c r="K111" s="663"/>
      <c r="L111" s="669"/>
      <c r="M111" s="664"/>
      <c r="N111" s="2"/>
      <c r="O111" s="2"/>
      <c r="P111" s="2"/>
      <c r="Q111" s="2"/>
      <c r="R111" s="2"/>
      <c r="S111" s="2"/>
      <c r="T111" s="2"/>
      <c r="U111" s="2"/>
      <c r="V111" s="591"/>
      <c r="W111" s="591"/>
      <c r="X111" s="591"/>
      <c r="Y111" s="591"/>
      <c r="Z111" s="591"/>
      <c r="AA111" s="591"/>
      <c r="AB111" s="591"/>
      <c r="AC111" s="591"/>
      <c r="AG111" s="591"/>
      <c r="AH111" s="591"/>
      <c r="AI111" s="591"/>
      <c r="AJ111" s="591"/>
      <c r="AK111" s="591"/>
      <c r="AM111" s="591"/>
      <c r="AN111" s="591"/>
      <c r="AO111" s="591"/>
      <c r="AP111" s="591"/>
      <c r="AQ111" s="591"/>
      <c r="AS111" s="591"/>
      <c r="AT111" s="591"/>
      <c r="AU111" s="591"/>
      <c r="AV111" s="591"/>
      <c r="AW111" s="591"/>
      <c r="AY111" s="591"/>
    </row>
    <row r="112" spans="1:51" ht="21" customHeight="1" x14ac:dyDescent="0.2">
      <c r="A112" s="2"/>
      <c r="B112" s="2"/>
      <c r="C112" s="2"/>
      <c r="D112" s="2"/>
      <c r="E112" s="2"/>
      <c r="F112" s="104" t="s">
        <v>97</v>
      </c>
      <c r="G112" s="104"/>
      <c r="H112" s="104"/>
      <c r="I112" s="104"/>
      <c r="J112" s="2"/>
      <c r="K112" s="104"/>
      <c r="L112" s="484"/>
      <c r="M112" s="665"/>
      <c r="N112" s="2"/>
      <c r="O112" s="2"/>
      <c r="P112" s="2"/>
      <c r="Q112" s="2"/>
      <c r="R112" s="2"/>
      <c r="S112" s="2"/>
      <c r="T112" s="2"/>
      <c r="U112" s="2"/>
      <c r="V112" s="591"/>
      <c r="W112" s="591"/>
      <c r="X112" s="591"/>
      <c r="Y112" s="591"/>
      <c r="Z112" s="591"/>
      <c r="AA112" s="591"/>
      <c r="AB112" s="591"/>
      <c r="AC112" s="591"/>
      <c r="AG112" s="591"/>
      <c r="AH112" s="591"/>
      <c r="AI112" s="591"/>
      <c r="AJ112" s="591"/>
      <c r="AK112" s="591"/>
      <c r="AM112" s="591"/>
      <c r="AN112" s="591"/>
      <c r="AO112" s="591"/>
      <c r="AP112" s="591"/>
      <c r="AQ112" s="591"/>
      <c r="AS112" s="591"/>
      <c r="AT112" s="591"/>
      <c r="AU112" s="591"/>
      <c r="AV112" s="591"/>
      <c r="AW112" s="591"/>
      <c r="AY112" s="591"/>
    </row>
    <row r="113" spans="1:51" ht="12" customHeight="1" x14ac:dyDescent="0.2">
      <c r="A113" s="2"/>
      <c r="B113" s="2"/>
      <c r="C113" s="2"/>
      <c r="D113" s="2"/>
      <c r="E113" s="2"/>
      <c r="F113" s="2"/>
      <c r="G113" s="2"/>
      <c r="H113" s="2"/>
      <c r="I113" s="2"/>
      <c r="J113" s="2"/>
      <c r="K113" s="2"/>
      <c r="L113" s="14"/>
      <c r="M113" s="139"/>
      <c r="N113" s="2"/>
      <c r="O113" s="2"/>
      <c r="P113" s="2"/>
      <c r="Q113" s="2"/>
      <c r="R113" s="2"/>
      <c r="S113" s="2"/>
      <c r="T113" s="2"/>
      <c r="U113" s="2"/>
      <c r="V113" s="591"/>
      <c r="W113" s="591"/>
      <c r="X113" s="591"/>
      <c r="Y113" s="591"/>
      <c r="Z113" s="591"/>
      <c r="AA113" s="591"/>
      <c r="AB113" s="591"/>
      <c r="AC113" s="591"/>
      <c r="AG113" s="591"/>
      <c r="AH113" s="591"/>
      <c r="AI113" s="591"/>
      <c r="AJ113" s="591"/>
      <c r="AK113" s="591"/>
      <c r="AM113" s="591"/>
      <c r="AN113" s="591"/>
      <c r="AO113" s="591"/>
      <c r="AP113" s="591"/>
      <c r="AQ113" s="591"/>
      <c r="AS113" s="591"/>
      <c r="AT113" s="591"/>
      <c r="AU113" s="591"/>
      <c r="AV113" s="591"/>
      <c r="AW113" s="591"/>
      <c r="AY113" s="591"/>
    </row>
    <row r="114" spans="1:51" ht="15" hidden="1" customHeight="1" x14ac:dyDescent="0.2">
      <c r="A114" s="2"/>
      <c r="B114" s="2"/>
      <c r="C114" s="2"/>
      <c r="D114" s="2"/>
      <c r="E114" s="2"/>
      <c r="F114" s="2"/>
      <c r="G114" s="103">
        <f>IF(ISERROR(G$135),HLOOKUP(L$138,$J$138:$L$138,1,FALSE),HLOOKUP(G$135,$G$129:$I129,1,FALSE))</f>
        <v>3</v>
      </c>
      <c r="H114" s="103">
        <f>IF(ISERROR(H$135),HLOOKUP(K$138,$J$138:$L$138,1,FALSE),HLOOKUP(H$135,$G$129:$I129,1,FALSE))</f>
        <v>2</v>
      </c>
      <c r="I114" s="2053">
        <f>IF(ISERROR(I$135),HLOOKUP(J$138,$J$138:$L$138,1,FALSE),HLOOKUP(I$135,$G$129:$I129,1,FALSE))</f>
        <v>1</v>
      </c>
      <c r="J114" s="2053"/>
      <c r="K114" s="2"/>
      <c r="L114" s="14"/>
      <c r="M114" s="139"/>
      <c r="N114" s="2"/>
      <c r="O114" s="2"/>
      <c r="P114" s="2"/>
      <c r="Q114" s="2"/>
      <c r="R114" s="2"/>
      <c r="S114" s="2"/>
      <c r="T114" s="2"/>
      <c r="U114" s="2"/>
      <c r="V114" s="591"/>
      <c r="W114" s="591"/>
      <c r="X114" s="591"/>
      <c r="Y114" s="591"/>
      <c r="Z114" s="591"/>
      <c r="AA114" s="591"/>
      <c r="AB114" s="591"/>
      <c r="AC114" s="591"/>
      <c r="AG114" s="591"/>
      <c r="AH114" s="591"/>
      <c r="AI114" s="591"/>
      <c r="AJ114" s="591"/>
      <c r="AK114" s="591"/>
      <c r="AM114" s="591"/>
      <c r="AN114" s="591"/>
      <c r="AO114" s="591"/>
      <c r="AP114" s="591"/>
      <c r="AQ114" s="591"/>
      <c r="AS114" s="591"/>
      <c r="AT114" s="591"/>
      <c r="AU114" s="591"/>
      <c r="AV114" s="591"/>
      <c r="AW114" s="591"/>
      <c r="AY114" s="591"/>
    </row>
    <row r="115" spans="1:51" ht="21" hidden="1" customHeight="1" x14ac:dyDescent="0.2">
      <c r="A115" s="2"/>
      <c r="B115" s="2"/>
      <c r="C115" s="2"/>
      <c r="D115" s="2"/>
      <c r="E115" s="2"/>
      <c r="F115" s="2"/>
      <c r="G115" s="129">
        <f>IF(ISERROR(G$135),0,HLOOKUP(G$135,$G$129:$I130,2,FALSE))</f>
        <v>0</v>
      </c>
      <c r="H115" s="129">
        <f>IF(ISERROR(H$135),0,HLOOKUP(H$135,$G$129:$I130,2,FALSE))</f>
        <v>0</v>
      </c>
      <c r="I115" s="2244">
        <f>IF(ISERROR(I$135),0,HLOOKUP(I$135,$G$129:$I130,2,FALSE))</f>
        <v>0</v>
      </c>
      <c r="J115" s="2244"/>
      <c r="K115" s="2"/>
      <c r="L115" s="14"/>
      <c r="M115" s="139"/>
      <c r="N115" s="2"/>
      <c r="O115" s="2"/>
      <c r="P115" s="2"/>
      <c r="Q115" s="2"/>
      <c r="R115" s="2"/>
      <c r="S115" s="2"/>
      <c r="T115" s="2"/>
      <c r="U115" s="2"/>
      <c r="V115" s="591"/>
      <c r="W115" s="591"/>
      <c r="X115" s="591"/>
      <c r="Y115" s="591"/>
      <c r="Z115" s="591"/>
      <c r="AA115" s="591"/>
      <c r="AB115" s="591"/>
      <c r="AC115" s="591"/>
      <c r="AG115" s="591"/>
      <c r="AH115" s="591"/>
      <c r="AI115" s="591"/>
      <c r="AJ115" s="591"/>
      <c r="AK115" s="591"/>
      <c r="AM115" s="591"/>
      <c r="AN115" s="591"/>
      <c r="AO115" s="591"/>
      <c r="AP115" s="591"/>
      <c r="AQ115" s="591"/>
      <c r="AS115" s="591"/>
      <c r="AT115" s="591"/>
      <c r="AU115" s="591"/>
      <c r="AV115" s="591"/>
      <c r="AW115" s="591"/>
      <c r="AY115" s="591"/>
    </row>
    <row r="116" spans="1:51" ht="18" customHeight="1" x14ac:dyDescent="0.2">
      <c r="A116" s="2"/>
      <c r="B116" s="2"/>
      <c r="C116" s="2"/>
      <c r="D116" s="2"/>
      <c r="E116" s="2"/>
      <c r="F116" s="2"/>
      <c r="G116" s="280">
        <f>IF(ISERROR(G$135),HLOOKUP(L$138,$J$138:$L140,3,FALSE),HLOOKUP(G$135,$G$129:$I131,3,FALSE))</f>
        <v>0</v>
      </c>
      <c r="H116" s="280">
        <f>IF(ISERROR(H$135),HLOOKUP(K$138,$J$138:$L140,3,FALSE),HLOOKUP(H$135,$G$129:$I131,3,FALSE))</f>
        <v>0</v>
      </c>
      <c r="I116" s="2249">
        <f>IF(ISERROR(I$135),HLOOKUP(J$138,$J$138:$L140,3,FALSE),HLOOKUP(I$135,$G$129:$I131,3,FALSE))</f>
        <v>0</v>
      </c>
      <c r="J116" s="2250"/>
      <c r="K116" s="2"/>
      <c r="L116" s="14"/>
      <c r="M116" s="139"/>
      <c r="N116" s="2"/>
      <c r="O116" s="2"/>
      <c r="P116" s="2"/>
      <c r="Q116" s="2"/>
      <c r="R116" s="2"/>
      <c r="S116" s="2"/>
      <c r="T116" s="2"/>
      <c r="U116" s="2"/>
      <c r="V116" s="591"/>
      <c r="W116" s="591"/>
      <c r="X116" s="591"/>
      <c r="Y116" s="591"/>
      <c r="Z116" s="591"/>
      <c r="AA116" s="591"/>
      <c r="AB116" s="591"/>
      <c r="AC116" s="591"/>
      <c r="AG116" s="591"/>
      <c r="AH116" s="591"/>
      <c r="AI116" s="591"/>
      <c r="AJ116" s="591"/>
      <c r="AK116" s="591"/>
      <c r="AM116" s="591"/>
      <c r="AN116" s="591"/>
      <c r="AO116" s="591"/>
      <c r="AP116" s="591"/>
      <c r="AQ116" s="591"/>
      <c r="AS116" s="591"/>
      <c r="AT116" s="591"/>
      <c r="AU116" s="591"/>
      <c r="AV116" s="591"/>
      <c r="AW116" s="591"/>
      <c r="AY116" s="591"/>
    </row>
    <row r="117" spans="1:51" ht="18" customHeight="1" x14ac:dyDescent="0.2">
      <c r="A117" s="2"/>
      <c r="B117" s="2"/>
      <c r="C117" s="2"/>
      <c r="D117" s="2"/>
      <c r="E117" s="2"/>
      <c r="F117" s="2"/>
      <c r="G117" s="281">
        <f>IF(ISERROR(G$135),HLOOKUP(L$138,$J$138:$L141,4,FALSE),HLOOKUP(G$135,$G$129:$I132,4,FALSE))</f>
        <v>0</v>
      </c>
      <c r="H117" s="281">
        <f>IF(ISERROR(H$135),HLOOKUP(K$138,$J$138:$L141,4,FALSE),HLOOKUP(H$135,$G$129:$I132,4,FALSE))</f>
        <v>0</v>
      </c>
      <c r="I117" s="2251">
        <f>IF(ISERROR(I$135),HLOOKUP(J$138,$J$138:$L141,4,FALSE),HLOOKUP(I$135,$G$129:$I132,4,FALSE))</f>
        <v>0</v>
      </c>
      <c r="J117" s="2252"/>
      <c r="K117" s="2"/>
      <c r="L117" s="14"/>
      <c r="M117" s="139"/>
      <c r="N117" s="2"/>
      <c r="O117" s="2"/>
      <c r="P117" s="2"/>
      <c r="Q117" s="2"/>
      <c r="R117" s="2"/>
      <c r="S117" s="2"/>
      <c r="T117" s="2"/>
      <c r="U117" s="2"/>
      <c r="V117" s="591"/>
      <c r="W117" s="591"/>
      <c r="X117" s="591"/>
      <c r="Y117" s="591"/>
      <c r="Z117" s="591"/>
      <c r="AA117" s="591"/>
      <c r="AB117" s="591"/>
      <c r="AC117" s="591"/>
      <c r="AG117" s="591"/>
      <c r="AH117" s="591"/>
      <c r="AI117" s="591"/>
      <c r="AJ117" s="591"/>
      <c r="AK117" s="591"/>
      <c r="AM117" s="591"/>
      <c r="AN117" s="591"/>
      <c r="AO117" s="591"/>
      <c r="AP117" s="591"/>
      <c r="AQ117" s="591"/>
      <c r="AS117" s="591"/>
      <c r="AT117" s="591"/>
      <c r="AU117" s="591"/>
      <c r="AV117" s="591"/>
      <c r="AW117" s="591"/>
      <c r="AY117" s="591"/>
    </row>
    <row r="118" spans="1:51" ht="18" customHeight="1" x14ac:dyDescent="0.2">
      <c r="A118" s="2"/>
      <c r="B118" s="2"/>
      <c r="C118" s="2"/>
      <c r="D118" s="2"/>
      <c r="E118" s="2"/>
      <c r="F118" s="2"/>
      <c r="G118" s="282">
        <f>IF(ISERROR(G$135),HLOOKUP(L$138,$J$138:$L142,5,FALSE),HLOOKUP(G$135,$G$129:$I133,5,FALSE))</f>
        <v>0</v>
      </c>
      <c r="H118" s="282">
        <f>IF(ISERROR(H$135),HLOOKUP(K$138,$J$138:$L142,5,FALSE),HLOOKUP(H$135,$G$129:$I133,5,FALSE))</f>
        <v>0</v>
      </c>
      <c r="I118" s="2257">
        <f>IF(ISERROR(I$135),HLOOKUP(J$138,$J$138:$L142,5,FALSE),HLOOKUP(I$135,$G$129:$I133,5,FALSE))</f>
        <v>0</v>
      </c>
      <c r="J118" s="2258"/>
      <c r="K118" s="2"/>
      <c r="L118" s="14"/>
      <c r="M118" s="139"/>
      <c r="N118" s="2"/>
      <c r="O118" s="2"/>
      <c r="P118" s="2"/>
      <c r="Q118" s="2"/>
      <c r="R118" s="2"/>
      <c r="S118" s="2"/>
      <c r="T118" s="2"/>
      <c r="U118" s="2"/>
      <c r="V118" s="591"/>
      <c r="W118" s="591"/>
      <c r="X118" s="591"/>
      <c r="Y118" s="591"/>
      <c r="Z118" s="591"/>
      <c r="AA118" s="591"/>
      <c r="AB118" s="591"/>
      <c r="AC118" s="591"/>
      <c r="AG118" s="591"/>
      <c r="AH118" s="591"/>
      <c r="AI118" s="591"/>
      <c r="AJ118" s="591"/>
      <c r="AK118" s="591"/>
      <c r="AM118" s="591"/>
      <c r="AN118" s="591"/>
      <c r="AO118" s="591"/>
      <c r="AP118" s="591"/>
      <c r="AQ118" s="591"/>
      <c r="AS118" s="591"/>
      <c r="AT118" s="591"/>
      <c r="AU118" s="591"/>
      <c r="AV118" s="591"/>
      <c r="AW118" s="591"/>
      <c r="AY118" s="591"/>
    </row>
    <row r="119" spans="1:51" ht="21" hidden="1" customHeight="1" x14ac:dyDescent="0.2">
      <c r="A119" s="2"/>
      <c r="B119" s="2"/>
      <c r="C119" s="2"/>
      <c r="D119" s="2"/>
      <c r="E119" s="2"/>
      <c r="F119" s="2"/>
      <c r="G119" s="117" t="e">
        <f>IF(ISERROR(G$135),HLOOKUP(L$138,$J$138:$L139,2,FALSE),HLOOKUP(G$135,$G$129:$I136,8,FALSE))</f>
        <v>#N/A</v>
      </c>
      <c r="H119" s="117" t="e">
        <f>IF(ISERROR(H$135),HLOOKUP(K$138,$J$138:$L139,2,FALSE),HLOOKUP(H$135,$G$129:$I136,8,FALSE))</f>
        <v>#N/A</v>
      </c>
      <c r="I119" s="2259" t="e">
        <f>IF(ISERROR(I$135),HLOOKUP(J$138,$J$138:$L139,2,FALSE),HLOOKUP(I$135,$G$129:$I136,8,FALSE))</f>
        <v>#N/A</v>
      </c>
      <c r="J119" s="2259"/>
      <c r="K119" s="2"/>
      <c r="L119" s="14"/>
      <c r="M119" s="139"/>
      <c r="N119" s="2"/>
      <c r="O119" s="2"/>
      <c r="P119" s="2"/>
      <c r="Q119" s="2"/>
      <c r="R119" s="2"/>
      <c r="S119" s="2"/>
      <c r="T119" s="2"/>
      <c r="U119" s="2"/>
      <c r="V119" s="591"/>
      <c r="W119" s="591"/>
      <c r="X119" s="591"/>
      <c r="Y119" s="591"/>
      <c r="Z119" s="591"/>
      <c r="AA119" s="591"/>
      <c r="AB119" s="591"/>
      <c r="AC119" s="591"/>
      <c r="AG119" s="591"/>
      <c r="AH119" s="591"/>
      <c r="AI119" s="591"/>
      <c r="AJ119" s="591"/>
      <c r="AK119" s="591"/>
      <c r="AM119" s="591"/>
      <c r="AN119" s="591"/>
      <c r="AO119" s="591"/>
      <c r="AP119" s="591"/>
      <c r="AQ119" s="591"/>
      <c r="AS119" s="591"/>
      <c r="AT119" s="591"/>
      <c r="AU119" s="591"/>
      <c r="AV119" s="591"/>
      <c r="AW119" s="591"/>
      <c r="AY119" s="591"/>
    </row>
    <row r="120" spans="1:51" ht="4.5" customHeight="1" x14ac:dyDescent="0.2">
      <c r="A120" s="2"/>
      <c r="B120" s="2"/>
      <c r="C120" s="2"/>
      <c r="D120" s="2"/>
      <c r="E120" s="2"/>
      <c r="F120" s="2"/>
      <c r="G120" s="14"/>
      <c r="H120" s="14"/>
      <c r="I120" s="2202"/>
      <c r="J120" s="2202"/>
      <c r="K120" s="2"/>
      <c r="L120" s="14"/>
      <c r="M120" s="139"/>
      <c r="N120" s="2"/>
      <c r="O120" s="2"/>
      <c r="P120" s="2"/>
      <c r="Q120" s="2"/>
      <c r="R120" s="2"/>
      <c r="S120" s="2"/>
      <c r="T120" s="2"/>
      <c r="U120" s="2"/>
      <c r="V120" s="591"/>
      <c r="W120" s="591"/>
      <c r="X120" s="591"/>
      <c r="Y120" s="591"/>
      <c r="Z120" s="591"/>
      <c r="AA120" s="591"/>
      <c r="AB120" s="591"/>
      <c r="AC120" s="591"/>
      <c r="AG120" s="591"/>
      <c r="AH120" s="591"/>
      <c r="AI120" s="591"/>
      <c r="AJ120" s="591"/>
      <c r="AK120" s="591"/>
      <c r="AM120" s="591"/>
      <c r="AN120" s="591"/>
      <c r="AO120" s="591"/>
      <c r="AP120" s="591"/>
      <c r="AQ120" s="591"/>
      <c r="AS120" s="591"/>
      <c r="AT120" s="591"/>
      <c r="AU120" s="591"/>
      <c r="AV120" s="591"/>
      <c r="AW120" s="591"/>
      <c r="AY120" s="591"/>
    </row>
    <row r="121" spans="1:51" ht="18" customHeight="1" x14ac:dyDescent="0.25">
      <c r="A121" s="2"/>
      <c r="B121" s="2"/>
      <c r="C121" s="2"/>
      <c r="D121" s="2"/>
      <c r="E121" s="2"/>
      <c r="F121" s="283" t="s">
        <v>483</v>
      </c>
      <c r="G121" s="285">
        <f>IMPOSTAZIONI!T285</f>
        <v>0</v>
      </c>
      <c r="H121" s="285">
        <f>IMPOSTAZIONI!T286</f>
        <v>0</v>
      </c>
      <c r="I121" s="2253">
        <f>IMPOSTAZIONI!T287</f>
        <v>0</v>
      </c>
      <c r="J121" s="2254"/>
      <c r="K121" s="667">
        <f>SUM(G121:I121)</f>
        <v>0</v>
      </c>
      <c r="L121" s="14"/>
      <c r="M121" s="139"/>
      <c r="N121" s="2"/>
      <c r="O121" s="2"/>
      <c r="P121" s="2"/>
      <c r="Q121" s="2"/>
      <c r="R121" s="2"/>
      <c r="S121" s="2"/>
      <c r="T121" s="2"/>
      <c r="U121" s="2"/>
      <c r="V121" s="591"/>
      <c r="W121" s="591"/>
      <c r="X121" s="591"/>
      <c r="Y121" s="591"/>
      <c r="Z121" s="591"/>
      <c r="AA121" s="591"/>
      <c r="AB121" s="591"/>
      <c r="AC121" s="591"/>
      <c r="AG121" s="591"/>
      <c r="AH121" s="591"/>
      <c r="AI121" s="591"/>
      <c r="AJ121" s="591"/>
      <c r="AK121" s="591"/>
      <c r="AM121" s="591"/>
      <c r="AN121" s="591"/>
      <c r="AO121" s="591"/>
      <c r="AP121" s="591"/>
      <c r="AQ121" s="591"/>
      <c r="AS121" s="591"/>
      <c r="AT121" s="591"/>
      <c r="AU121" s="591"/>
      <c r="AV121" s="591"/>
      <c r="AW121" s="591"/>
      <c r="AY121" s="591"/>
    </row>
    <row r="122" spans="1:51" ht="18" customHeight="1" x14ac:dyDescent="0.2">
      <c r="A122" s="2"/>
      <c r="B122" s="2"/>
      <c r="C122" s="2"/>
      <c r="D122" s="2"/>
      <c r="E122" s="2"/>
      <c r="F122" s="284" t="s">
        <v>484</v>
      </c>
      <c r="G122" s="286">
        <f>IMPOSTAZIONI!Y285</f>
        <v>0</v>
      </c>
      <c r="H122" s="286">
        <f>IMPOSTAZIONI!Y286</f>
        <v>0</v>
      </c>
      <c r="I122" s="2255">
        <f>IMPOSTAZIONI!Y287</f>
        <v>0</v>
      </c>
      <c r="J122" s="2256"/>
      <c r="K122" s="310">
        <f>SUM(G122:I122)</f>
        <v>0</v>
      </c>
      <c r="L122" s="287"/>
      <c r="M122" s="311"/>
      <c r="N122" s="2"/>
      <c r="O122" s="2"/>
      <c r="P122" s="2"/>
      <c r="Q122" s="2"/>
      <c r="R122" s="2"/>
      <c r="S122" s="2"/>
      <c r="T122" s="2"/>
      <c r="U122" s="2"/>
      <c r="V122" s="591"/>
      <c r="W122" s="591"/>
      <c r="X122" s="591"/>
      <c r="Y122" s="591"/>
      <c r="Z122" s="591"/>
      <c r="AA122" s="591"/>
      <c r="AB122" s="591"/>
      <c r="AC122" s="591"/>
      <c r="AG122" s="591"/>
      <c r="AH122" s="591"/>
      <c r="AI122" s="591"/>
      <c r="AJ122" s="591"/>
      <c r="AK122" s="591"/>
      <c r="AM122" s="591"/>
      <c r="AN122" s="591"/>
      <c r="AO122" s="591"/>
      <c r="AP122" s="591"/>
      <c r="AQ122" s="591"/>
      <c r="AS122" s="591"/>
      <c r="AT122" s="591"/>
      <c r="AU122" s="591"/>
      <c r="AV122" s="591"/>
      <c r="AW122" s="591"/>
      <c r="AY122" s="591"/>
    </row>
    <row r="123" spans="1:51" ht="21" customHeight="1" x14ac:dyDescent="0.2">
      <c r="A123" s="2"/>
      <c r="B123" s="2"/>
      <c r="C123" s="2"/>
      <c r="D123" s="2"/>
      <c r="E123" s="2"/>
      <c r="F123" s="2"/>
      <c r="G123" s="2"/>
      <c r="H123" s="2"/>
      <c r="I123" s="2"/>
      <c r="J123" s="2"/>
      <c r="K123" s="2"/>
      <c r="L123" s="2"/>
      <c r="M123" s="2"/>
      <c r="N123" s="2"/>
      <c r="O123" s="2"/>
      <c r="P123" s="2"/>
      <c r="Q123" s="2"/>
      <c r="R123" s="2"/>
      <c r="S123" s="2"/>
      <c r="T123" s="2"/>
      <c r="U123" s="2"/>
      <c r="V123" s="591"/>
      <c r="W123" s="591"/>
      <c r="X123" s="591"/>
      <c r="Y123" s="591"/>
      <c r="Z123" s="591"/>
      <c r="AA123" s="591"/>
      <c r="AB123" s="591"/>
      <c r="AC123" s="591"/>
      <c r="AG123" s="591"/>
      <c r="AH123" s="591"/>
      <c r="AI123" s="591"/>
      <c r="AJ123" s="591"/>
      <c r="AK123" s="591"/>
      <c r="AM123" s="591"/>
      <c r="AN123" s="591"/>
      <c r="AO123" s="591"/>
      <c r="AP123" s="591"/>
      <c r="AQ123" s="591"/>
      <c r="AS123" s="591"/>
      <c r="AT123" s="591"/>
      <c r="AU123" s="591"/>
      <c r="AV123" s="591"/>
      <c r="AW123" s="591"/>
      <c r="AY123" s="591"/>
    </row>
    <row r="124" spans="1:51" ht="21" customHeight="1" x14ac:dyDescent="0.2">
      <c r="A124" s="2"/>
      <c r="B124" s="2"/>
      <c r="C124" s="287"/>
      <c r="D124" s="287"/>
      <c r="E124" s="287"/>
      <c r="F124" s="287"/>
      <c r="G124" s="287"/>
      <c r="H124" s="287"/>
      <c r="I124" s="287"/>
      <c r="J124" s="287"/>
      <c r="K124" s="287"/>
      <c r="L124" s="287"/>
      <c r="M124" s="287"/>
      <c r="N124" s="287"/>
      <c r="O124" s="287"/>
      <c r="P124" s="2"/>
      <c r="Q124" s="2"/>
      <c r="R124" s="2"/>
      <c r="S124" s="2"/>
      <c r="T124" s="2"/>
      <c r="U124" s="2"/>
      <c r="V124" s="591"/>
      <c r="W124" s="591"/>
      <c r="X124" s="591"/>
      <c r="Y124" s="591"/>
      <c r="Z124" s="591"/>
      <c r="AA124" s="591"/>
      <c r="AB124" s="591"/>
      <c r="AC124" s="591"/>
      <c r="AG124" s="591"/>
      <c r="AH124" s="591"/>
      <c r="AI124" s="591"/>
      <c r="AJ124" s="591"/>
      <c r="AK124" s="591"/>
      <c r="AM124" s="591"/>
      <c r="AN124" s="591"/>
      <c r="AO124" s="591"/>
      <c r="AP124" s="591"/>
      <c r="AQ124" s="591"/>
      <c r="AS124" s="591"/>
      <c r="AT124" s="591"/>
      <c r="AU124" s="591"/>
      <c r="AV124" s="591"/>
      <c r="AW124" s="591"/>
      <c r="AY124" s="591"/>
    </row>
    <row r="125" spans="1:51" ht="13.5" hidden="1" customHeight="1" x14ac:dyDescent="0.2">
      <c r="A125" s="2"/>
      <c r="B125" s="2"/>
      <c r="C125" s="2"/>
      <c r="D125" s="2"/>
      <c r="E125" s="2"/>
      <c r="F125" s="2"/>
      <c r="G125" s="2"/>
      <c r="H125" s="2"/>
      <c r="I125" s="2"/>
      <c r="J125" s="2"/>
      <c r="K125" s="2"/>
      <c r="L125" s="2"/>
      <c r="M125" s="2"/>
      <c r="N125" s="2"/>
      <c r="O125" s="2"/>
      <c r="P125" s="2"/>
      <c r="Q125" s="2"/>
      <c r="R125" s="2"/>
      <c r="S125" s="2"/>
      <c r="T125" s="2"/>
      <c r="U125" s="2"/>
      <c r="V125" s="591"/>
      <c r="W125" s="591"/>
      <c r="X125" s="591"/>
      <c r="Y125" s="591"/>
      <c r="Z125" s="591"/>
      <c r="AA125" s="591"/>
      <c r="AB125" s="591"/>
      <c r="AC125" s="591"/>
      <c r="AG125" s="591"/>
      <c r="AH125" s="591"/>
      <c r="AI125" s="591"/>
      <c r="AJ125" s="591"/>
      <c r="AK125" s="591"/>
      <c r="AM125" s="591"/>
      <c r="AN125" s="591"/>
      <c r="AO125" s="591"/>
      <c r="AP125" s="591"/>
      <c r="AQ125" s="591"/>
      <c r="AS125" s="591"/>
      <c r="AT125" s="591"/>
      <c r="AU125" s="591"/>
      <c r="AV125" s="591"/>
      <c r="AW125" s="591"/>
      <c r="AY125" s="591"/>
    </row>
    <row r="126" spans="1:51" ht="18.75" customHeight="1" x14ac:dyDescent="0.2">
      <c r="A126" s="2"/>
      <c r="B126" s="2"/>
      <c r="C126" s="2083" t="str">
        <f ca="1">Presentazione!D70</f>
        <v>Questo file risulta al momento completamente funzionante ed il sistema rileva tutti i suoi fogli.</v>
      </c>
      <c r="D126" s="2083"/>
      <c r="E126" s="2083"/>
      <c r="F126" s="2083"/>
      <c r="G126" s="2083"/>
      <c r="H126" s="2083"/>
      <c r="I126" s="2083"/>
      <c r="J126" s="2083"/>
      <c r="K126" s="2083"/>
      <c r="L126" s="2083"/>
      <c r="M126" s="2083"/>
      <c r="N126" s="553"/>
      <c r="O126" s="553"/>
      <c r="P126" s="553"/>
      <c r="Q126" s="2"/>
      <c r="R126" s="2"/>
      <c r="S126" s="2"/>
      <c r="T126" s="2"/>
      <c r="U126" s="2"/>
      <c r="V126" s="591"/>
      <c r="W126" s="591"/>
      <c r="X126" s="591"/>
      <c r="Y126" s="591"/>
      <c r="Z126" s="591"/>
      <c r="AA126" s="591"/>
      <c r="AB126" s="591"/>
      <c r="AC126" s="591"/>
      <c r="AG126" s="591"/>
      <c r="AH126" s="591"/>
      <c r="AI126" s="591"/>
      <c r="AJ126" s="591"/>
      <c r="AK126" s="591"/>
      <c r="AM126" s="591"/>
      <c r="AN126" s="591"/>
      <c r="AO126" s="591"/>
      <c r="AP126" s="591"/>
      <c r="AQ126" s="591"/>
      <c r="AS126" s="591"/>
      <c r="AT126" s="591"/>
      <c r="AU126" s="591"/>
      <c r="AV126" s="591"/>
      <c r="AW126" s="591"/>
      <c r="AY126" s="591"/>
    </row>
    <row r="127" spans="1:51" ht="33" customHeight="1" x14ac:dyDescent="0.25">
      <c r="A127" s="2"/>
      <c r="B127" s="2"/>
      <c r="C127" s="930" t="s">
        <v>716</v>
      </c>
      <c r="D127" s="930"/>
      <c r="E127" s="930"/>
      <c r="F127" s="930"/>
      <c r="G127" s="930"/>
      <c r="H127" s="2"/>
      <c r="I127" s="2"/>
      <c r="J127" s="2"/>
      <c r="K127" s="2"/>
      <c r="L127" s="2"/>
      <c r="M127" s="908" t="s">
        <v>581</v>
      </c>
      <c r="N127" s="2"/>
      <c r="O127" s="2"/>
      <c r="P127" s="2"/>
      <c r="Q127" s="2"/>
      <c r="R127" s="2"/>
      <c r="S127" s="2"/>
      <c r="T127" s="2"/>
      <c r="U127" s="2"/>
      <c r="V127" s="591"/>
      <c r="W127" s="591"/>
      <c r="X127" s="591"/>
      <c r="Y127" s="591"/>
      <c r="Z127" s="591"/>
      <c r="AA127" s="591"/>
      <c r="AB127" s="591"/>
      <c r="AC127" s="591"/>
      <c r="AG127" s="591"/>
      <c r="AH127" s="591"/>
      <c r="AI127" s="591"/>
      <c r="AJ127" s="591"/>
      <c r="AK127" s="591"/>
      <c r="AM127" s="591"/>
      <c r="AN127" s="591"/>
      <c r="AO127" s="591"/>
      <c r="AP127" s="591"/>
      <c r="AQ127" s="591"/>
      <c r="AS127" s="591"/>
      <c r="AT127" s="591"/>
      <c r="AU127" s="591"/>
      <c r="AV127" s="591"/>
      <c r="AW127" s="591"/>
      <c r="AY127" s="591"/>
    </row>
    <row r="128" spans="1:51" ht="21" hidden="1" customHeight="1" x14ac:dyDescent="0.2">
      <c r="A128" s="2"/>
      <c r="B128" s="2"/>
      <c r="C128" s="2"/>
      <c r="D128" s="2"/>
      <c r="E128" s="2"/>
      <c r="F128" s="2"/>
      <c r="G128" s="2"/>
      <c r="H128" s="2"/>
      <c r="I128" s="2"/>
      <c r="J128" s="2"/>
      <c r="K128" s="2"/>
      <c r="L128" s="2"/>
      <c r="M128" s="2"/>
      <c r="N128" s="2"/>
      <c r="O128" s="2"/>
      <c r="P128" s="2"/>
      <c r="Q128" s="2"/>
      <c r="R128" s="2"/>
      <c r="S128" s="2"/>
      <c r="T128" s="2"/>
      <c r="U128" s="2"/>
      <c r="V128" s="591"/>
      <c r="W128" s="591"/>
      <c r="X128" s="591"/>
      <c r="Y128" s="591"/>
      <c r="Z128" s="591"/>
      <c r="AA128" s="591"/>
      <c r="AB128" s="591"/>
      <c r="AC128" s="591"/>
      <c r="AG128" s="591"/>
      <c r="AH128" s="591"/>
      <c r="AI128" s="591"/>
      <c r="AJ128" s="591"/>
      <c r="AK128" s="591"/>
      <c r="AM128" s="591"/>
      <c r="AN128" s="591"/>
      <c r="AO128" s="591"/>
      <c r="AP128" s="591"/>
      <c r="AQ128" s="591"/>
      <c r="AS128" s="591"/>
      <c r="AT128" s="591"/>
      <c r="AU128" s="591"/>
      <c r="AV128" s="591"/>
      <c r="AW128" s="591"/>
      <c r="AY128" s="591"/>
    </row>
    <row r="129" spans="1:51" ht="15.75" hidden="1" customHeight="1" x14ac:dyDescent="0.2">
      <c r="A129" s="2"/>
      <c r="B129" s="2"/>
      <c r="C129" s="2"/>
      <c r="D129" s="2"/>
      <c r="E129" s="2"/>
      <c r="F129" s="2"/>
      <c r="G129" s="257">
        <v>1</v>
      </c>
      <c r="H129" s="257">
        <v>2</v>
      </c>
      <c r="I129" s="257">
        <v>3</v>
      </c>
      <c r="J129" s="2"/>
      <c r="K129" s="2"/>
      <c r="L129" s="2"/>
      <c r="M129" s="2"/>
      <c r="N129" s="2"/>
      <c r="O129" s="2"/>
      <c r="P129" s="2"/>
      <c r="Q129" s="2"/>
      <c r="R129" s="2"/>
      <c r="S129" s="2"/>
      <c r="T129" s="2"/>
      <c r="U129" s="2"/>
      <c r="V129" s="591"/>
      <c r="W129" s="591"/>
      <c r="X129" s="591"/>
      <c r="Y129" s="591"/>
      <c r="Z129" s="591"/>
      <c r="AA129" s="591"/>
      <c r="AB129" s="591"/>
      <c r="AC129" s="591"/>
      <c r="AG129" s="591"/>
      <c r="AH129" s="591"/>
      <c r="AI129" s="591"/>
      <c r="AJ129" s="591"/>
      <c r="AK129" s="591"/>
      <c r="AM129" s="591"/>
      <c r="AN129" s="591"/>
      <c r="AO129" s="591"/>
      <c r="AP129" s="591"/>
      <c r="AQ129" s="591"/>
      <c r="AS129" s="591"/>
      <c r="AT129" s="591"/>
      <c r="AU129" s="591"/>
      <c r="AV129" s="591"/>
      <c r="AW129" s="591"/>
      <c r="AY129" s="591"/>
    </row>
    <row r="130" spans="1:51" ht="15.75" hidden="1" customHeight="1" x14ac:dyDescent="0.2">
      <c r="A130" s="2"/>
      <c r="B130" s="2"/>
      <c r="C130" s="2"/>
      <c r="D130" s="2"/>
      <c r="E130" s="2"/>
      <c r="F130" s="2"/>
      <c r="G130" s="263">
        <f>IF(E$131=1,IMPOSTAZIONI!J94,0)</f>
        <v>0</v>
      </c>
      <c r="H130" s="263">
        <f>IF(E$132=1,IMPOSTAZIONI!J102,0)</f>
        <v>0</v>
      </c>
      <c r="I130" s="263">
        <f>IF(E$133=1,IMPOSTAZIONI!J110,0)</f>
        <v>0</v>
      </c>
      <c r="J130" s="2"/>
      <c r="K130" s="263" t="str">
        <f>IMPOSTAZIONI!C154</f>
        <v>Note</v>
      </c>
      <c r="L130" s="2"/>
      <c r="M130" s="2"/>
      <c r="N130" s="2"/>
      <c r="O130" s="2"/>
      <c r="P130" s="2"/>
      <c r="Q130" s="2"/>
      <c r="R130" s="2"/>
      <c r="S130" s="2"/>
      <c r="T130" s="2"/>
      <c r="U130" s="2"/>
      <c r="V130" s="591"/>
      <c r="W130" s="591"/>
      <c r="X130" s="591"/>
      <c r="Y130" s="591"/>
      <c r="Z130" s="591"/>
      <c r="AA130" s="591"/>
      <c r="AB130" s="591"/>
      <c r="AC130" s="591"/>
      <c r="AG130" s="591"/>
      <c r="AH130" s="591"/>
      <c r="AI130" s="591"/>
      <c r="AJ130" s="591"/>
      <c r="AK130" s="591"/>
      <c r="AM130" s="591"/>
      <c r="AN130" s="591"/>
      <c r="AO130" s="591"/>
      <c r="AP130" s="591"/>
      <c r="AQ130" s="591"/>
      <c r="AS130" s="591"/>
      <c r="AT130" s="591"/>
      <c r="AU130" s="591"/>
      <c r="AV130" s="591"/>
      <c r="AW130" s="591"/>
      <c r="AY130" s="591"/>
    </row>
    <row r="131" spans="1:51" ht="15.75" hidden="1" customHeight="1" x14ac:dyDescent="0.2">
      <c r="A131" s="2"/>
      <c r="B131" s="2"/>
      <c r="C131" s="2"/>
      <c r="D131" s="2"/>
      <c r="E131" s="263">
        <f>IF(IMPOSTAZIONI!Q184=0,1,0)</f>
        <v>0</v>
      </c>
      <c r="F131" s="2"/>
      <c r="G131" s="267">
        <f>IF(E$131=1,IMPOSTAZIONI!J96,0)</f>
        <v>0</v>
      </c>
      <c r="H131" s="268">
        <f>IF(E$132=1,IMPOSTAZIONI!J104,0)</f>
        <v>0</v>
      </c>
      <c r="I131" s="269">
        <f>IF(E$133=1,IMPOSTAZIONI!J112,0)</f>
        <v>0</v>
      </c>
      <c r="J131" s="2"/>
      <c r="K131" s="2"/>
      <c r="L131" s="925" t="str">
        <f>Presentazione!$K$150</f>
        <v>attiva trim.</v>
      </c>
      <c r="M131" s="2"/>
      <c r="N131" s="2"/>
      <c r="O131" s="2"/>
      <c r="P131" s="2"/>
      <c r="Q131" s="2"/>
      <c r="R131" s="2"/>
      <c r="S131" s="2"/>
      <c r="T131" s="2"/>
      <c r="U131" s="2"/>
      <c r="V131" s="591"/>
      <c r="W131" s="591"/>
      <c r="X131" s="591"/>
      <c r="Y131" s="591"/>
      <c r="Z131" s="591"/>
      <c r="AA131" s="591"/>
      <c r="AB131" s="591"/>
      <c r="AC131" s="591"/>
      <c r="AG131" s="591"/>
      <c r="AH131" s="591"/>
      <c r="AI131" s="591"/>
      <c r="AJ131" s="591"/>
      <c r="AK131" s="591"/>
      <c r="AM131" s="591"/>
      <c r="AN131" s="591"/>
      <c r="AO131" s="591"/>
      <c r="AP131" s="591"/>
      <c r="AQ131" s="591"/>
      <c r="AS131" s="591"/>
      <c r="AT131" s="591"/>
      <c r="AU131" s="591"/>
      <c r="AV131" s="591"/>
      <c r="AW131" s="591"/>
      <c r="AY131" s="591"/>
    </row>
    <row r="132" spans="1:51" ht="15.75" hidden="1" customHeight="1" x14ac:dyDescent="0.2">
      <c r="A132" s="2"/>
      <c r="B132" s="2"/>
      <c r="C132" s="2"/>
      <c r="D132" s="2"/>
      <c r="E132" s="263">
        <f>IF(IMPOSTAZIONI!Q185=0,1,0)</f>
        <v>0</v>
      </c>
      <c r="F132" s="2"/>
      <c r="G132" s="264">
        <f>IF(E$131=1,IMPOSTAZIONI!J97,0)</f>
        <v>0</v>
      </c>
      <c r="H132" s="266">
        <f>IF(E$132=1,IMPOSTAZIONI!J105,0)</f>
        <v>0</v>
      </c>
      <c r="I132" s="265">
        <f>IF(E$133=1,IMPOSTAZIONI!J113,0)</f>
        <v>0</v>
      </c>
      <c r="J132" s="2"/>
      <c r="K132" s="263" t="s">
        <v>356</v>
      </c>
      <c r="L132" s="2"/>
      <c r="M132" s="2"/>
      <c r="N132" s="2"/>
      <c r="O132" s="2"/>
      <c r="P132" s="2"/>
      <c r="Q132" s="2"/>
      <c r="R132" s="2"/>
      <c r="S132" s="2"/>
      <c r="T132" s="2"/>
      <c r="U132" s="2"/>
      <c r="V132" s="591"/>
      <c r="W132" s="591"/>
      <c r="X132" s="591"/>
      <c r="Y132" s="591"/>
      <c r="Z132" s="591"/>
      <c r="AA132" s="591"/>
      <c r="AB132" s="591"/>
      <c r="AC132" s="591"/>
      <c r="AG132" s="591"/>
      <c r="AH132" s="591"/>
      <c r="AI132" s="591"/>
      <c r="AJ132" s="591"/>
      <c r="AK132" s="591"/>
      <c r="AM132" s="591"/>
      <c r="AN132" s="591"/>
      <c r="AO132" s="591"/>
      <c r="AP132" s="591"/>
      <c r="AQ132" s="591"/>
      <c r="AS132" s="591"/>
      <c r="AT132" s="591"/>
      <c r="AU132" s="591"/>
      <c r="AV132" s="591"/>
      <c r="AW132" s="591"/>
      <c r="AY132" s="591"/>
    </row>
    <row r="133" spans="1:51" ht="15.75" hidden="1" customHeight="1" x14ac:dyDescent="0.2">
      <c r="A133" s="2"/>
      <c r="B133" s="2"/>
      <c r="C133" s="2"/>
      <c r="D133" s="2"/>
      <c r="E133" s="263">
        <f>IF(IMPOSTAZIONI!Q186=0,1,0)</f>
        <v>0</v>
      </c>
      <c r="F133" s="2"/>
      <c r="G133" s="270">
        <f>IF(E$131=1,IMPOSTAZIONI!J98,0)</f>
        <v>0</v>
      </c>
      <c r="H133" s="271">
        <f>IF(E$132=1,IMPOSTAZIONI!J106,0)</f>
        <v>0</v>
      </c>
      <c r="I133" s="272">
        <f>IF(E$133=1,IMPOSTAZIONI!J114,0)</f>
        <v>0</v>
      </c>
      <c r="J133" s="2"/>
      <c r="K133" s="2"/>
      <c r="L133" s="2"/>
      <c r="M133" s="2"/>
      <c r="N133" s="2"/>
      <c r="O133" s="2"/>
      <c r="P133" s="2"/>
      <c r="Q133" s="2"/>
      <c r="R133" s="2"/>
      <c r="S133" s="2"/>
      <c r="T133" s="2"/>
      <c r="U133" s="2"/>
      <c r="V133" s="591"/>
      <c r="W133" s="591"/>
      <c r="X133" s="591"/>
      <c r="Y133" s="591"/>
      <c r="Z133" s="591"/>
      <c r="AA133" s="591"/>
      <c r="AB133" s="591"/>
      <c r="AC133" s="591"/>
      <c r="AG133" s="591"/>
      <c r="AH133" s="591"/>
      <c r="AI133" s="591"/>
      <c r="AJ133" s="591"/>
      <c r="AK133" s="591"/>
      <c r="AM133" s="591"/>
      <c r="AN133" s="591"/>
      <c r="AO133" s="591"/>
      <c r="AP133" s="591"/>
      <c r="AQ133" s="591"/>
      <c r="AS133" s="591"/>
      <c r="AT133" s="591"/>
      <c r="AU133" s="591"/>
      <c r="AV133" s="591"/>
      <c r="AW133" s="591"/>
      <c r="AY133" s="591"/>
    </row>
    <row r="134" spans="1:51" ht="15.75" hidden="1" customHeight="1" x14ac:dyDescent="0.2">
      <c r="A134" s="2"/>
      <c r="B134" s="2"/>
      <c r="C134" s="2"/>
      <c r="D134" s="2"/>
      <c r="E134" s="129"/>
      <c r="F134" s="2"/>
      <c r="G134" s="108">
        <f>IF(G130=0,0,G129)</f>
        <v>0</v>
      </c>
      <c r="H134" s="108">
        <f>IF(H130=0,0,H129)</f>
        <v>0</v>
      </c>
      <c r="I134" s="108">
        <f>IF(I130=0,0,I129)</f>
        <v>0</v>
      </c>
      <c r="J134" s="2"/>
      <c r="K134" s="263" t="str">
        <f>IMPOSTAZIONI!C146</f>
        <v>ESCLUDI</v>
      </c>
      <c r="L134" s="263" t="str">
        <f>IMPOSTAZIONI!H146</f>
        <v>VENTILAZIONE</v>
      </c>
      <c r="M134" s="306" t="s">
        <v>745</v>
      </c>
      <c r="N134" s="2"/>
      <c r="O134" s="2"/>
      <c r="P134" s="2"/>
      <c r="Q134" s="2"/>
      <c r="R134" s="2"/>
      <c r="S134" s="2"/>
      <c r="T134" s="2"/>
      <c r="U134" s="2"/>
      <c r="V134" s="591"/>
      <c r="W134" s="591"/>
      <c r="X134" s="591"/>
      <c r="Y134" s="591"/>
      <c r="Z134" s="591"/>
      <c r="AA134" s="591"/>
      <c r="AB134" s="591"/>
      <c r="AC134" s="591"/>
      <c r="AG134" s="591"/>
      <c r="AH134" s="591"/>
      <c r="AI134" s="591"/>
      <c r="AJ134" s="591"/>
      <c r="AK134" s="591"/>
      <c r="AM134" s="591"/>
      <c r="AN134" s="591"/>
      <c r="AO134" s="591"/>
      <c r="AP134" s="591"/>
      <c r="AQ134" s="591"/>
      <c r="AS134" s="591"/>
      <c r="AT134" s="591"/>
      <c r="AU134" s="591"/>
      <c r="AV134" s="591"/>
      <c r="AW134" s="591"/>
      <c r="AY134" s="591"/>
    </row>
    <row r="135" spans="1:51" ht="15.75" hidden="1" customHeight="1" x14ac:dyDescent="0.2">
      <c r="A135" s="2"/>
      <c r="B135" s="2"/>
      <c r="C135" s="2"/>
      <c r="D135" s="2"/>
      <c r="E135" s="274">
        <f>COUNTIF(G134:I134,0)</f>
        <v>3</v>
      </c>
      <c r="F135" s="2"/>
      <c r="G135" s="273" t="e">
        <f>SMALL($G134:$I134,$E135+1)</f>
        <v>#NUM!</v>
      </c>
      <c r="H135" s="273" t="e">
        <f>SMALL($G134:$I134,$E135+2)</f>
        <v>#NUM!</v>
      </c>
      <c r="I135" s="273" t="e">
        <f>SMALL($G134:$I134,$E135+3)</f>
        <v>#NUM!</v>
      </c>
      <c r="J135" s="2"/>
      <c r="K135" s="2"/>
      <c r="L135" s="263" t="str">
        <f>IMPOSTAZIONI!H148</f>
        <v>SCORPORO</v>
      </c>
      <c r="M135" s="306" t="s">
        <v>742</v>
      </c>
      <c r="N135" s="2"/>
      <c r="O135" s="2"/>
      <c r="P135" s="2"/>
      <c r="Q135" s="2"/>
      <c r="R135" s="2"/>
      <c r="S135" s="2"/>
      <c r="T135" s="2"/>
      <c r="U135" s="2"/>
      <c r="V135" s="591"/>
      <c r="W135" s="591"/>
      <c r="X135" s="591"/>
      <c r="Y135" s="591"/>
      <c r="Z135" s="591"/>
      <c r="AA135" s="591"/>
      <c r="AB135" s="591"/>
      <c r="AC135" s="591"/>
      <c r="AG135" s="591"/>
      <c r="AH135" s="591"/>
      <c r="AI135" s="591"/>
      <c r="AJ135" s="591"/>
      <c r="AK135" s="591"/>
      <c r="AM135" s="591"/>
      <c r="AN135" s="591"/>
      <c r="AO135" s="591"/>
      <c r="AP135" s="591"/>
      <c r="AQ135" s="591"/>
      <c r="AS135" s="591"/>
      <c r="AT135" s="591"/>
      <c r="AU135" s="591"/>
      <c r="AV135" s="591"/>
      <c r="AW135" s="591"/>
      <c r="AY135" s="591"/>
    </row>
    <row r="136" spans="1:51" ht="15.75" hidden="1" customHeight="1" x14ac:dyDescent="0.2">
      <c r="A136" s="2"/>
      <c r="B136" s="2"/>
      <c r="C136" s="2"/>
      <c r="D136" s="2"/>
      <c r="E136" s="274"/>
      <c r="F136" s="2"/>
      <c r="G136" s="275">
        <f>IF(E$131=1,CONCATENATE(IMPOSTAZIONI!I96,"-",IMPOSTAZIONI!I97,"-",IMPOSTAZIONI!I98),0)</f>
        <v>0</v>
      </c>
      <c r="H136" s="276">
        <f>IF(E$132=1,CONCATENATE(IMPOSTAZIONI!I104,"-",IMPOSTAZIONI!I105,"-",IMPOSTAZIONI!I106),0)</f>
        <v>0</v>
      </c>
      <c r="I136" s="277">
        <f>IF(E$133=1,CONCATENATE(IMPOSTAZIONI!I112,"-",IMPOSTAZIONI!I113,"-",IMPOSTAZIONI!I114),0)</f>
        <v>0</v>
      </c>
      <c r="J136" s="2"/>
      <c r="K136" s="2"/>
      <c r="L136" s="2"/>
      <c r="M136" s="2"/>
      <c r="N136" s="2"/>
      <c r="O136" s="2"/>
      <c r="P136" s="2"/>
      <c r="Q136" s="2"/>
      <c r="R136" s="2"/>
      <c r="S136" s="2"/>
      <c r="T136" s="2"/>
      <c r="U136" s="2"/>
      <c r="V136" s="591"/>
      <c r="W136" s="591"/>
      <c r="X136" s="591"/>
      <c r="Y136" s="591"/>
      <c r="Z136" s="591"/>
      <c r="AA136" s="591"/>
      <c r="AB136" s="591"/>
      <c r="AC136" s="591"/>
      <c r="AG136" s="591"/>
      <c r="AH136" s="591"/>
      <c r="AI136" s="591"/>
      <c r="AJ136" s="591"/>
      <c r="AK136" s="591"/>
      <c r="AM136" s="591"/>
      <c r="AN136" s="591"/>
      <c r="AO136" s="591"/>
      <c r="AP136" s="591"/>
      <c r="AQ136" s="591"/>
      <c r="AS136" s="591"/>
      <c r="AT136" s="591"/>
      <c r="AU136" s="591"/>
      <c r="AV136" s="591"/>
      <c r="AW136" s="591"/>
      <c r="AY136" s="591"/>
    </row>
    <row r="137" spans="1:51" ht="15.75" hidden="1" customHeight="1" x14ac:dyDescent="0.2">
      <c r="A137" s="2"/>
      <c r="B137" s="2"/>
      <c r="C137" s="2"/>
      <c r="D137" s="2"/>
      <c r="E137" s="129"/>
      <c r="F137" s="2"/>
      <c r="G137" s="273"/>
      <c r="H137" s="273"/>
      <c r="I137" s="2"/>
      <c r="J137" s="2"/>
      <c r="K137" s="2"/>
      <c r="L137" s="2"/>
      <c r="M137" s="2"/>
      <c r="N137" s="2"/>
      <c r="O137" s="2"/>
      <c r="P137" s="2"/>
      <c r="Q137" s="2"/>
      <c r="R137" s="2"/>
      <c r="S137" s="2"/>
      <c r="T137" s="2"/>
      <c r="U137" s="2"/>
      <c r="V137" s="591"/>
      <c r="W137" s="591"/>
      <c r="X137" s="591"/>
      <c r="Y137" s="591"/>
      <c r="Z137" s="591"/>
      <c r="AA137" s="591"/>
      <c r="AB137" s="591"/>
      <c r="AC137" s="591"/>
      <c r="AG137" s="591"/>
      <c r="AH137" s="591"/>
      <c r="AI137" s="591"/>
      <c r="AJ137" s="591"/>
      <c r="AK137" s="591"/>
      <c r="AM137" s="591"/>
      <c r="AN137" s="591"/>
      <c r="AO137" s="591"/>
      <c r="AP137" s="591"/>
      <c r="AQ137" s="591"/>
      <c r="AS137" s="591"/>
      <c r="AT137" s="591"/>
      <c r="AU137" s="591"/>
      <c r="AV137" s="591"/>
      <c r="AW137" s="591"/>
      <c r="AY137" s="591"/>
    </row>
    <row r="138" spans="1:51" ht="15.75" hidden="1" customHeight="1" x14ac:dyDescent="0.2">
      <c r="A138" s="2"/>
      <c r="B138" s="2"/>
      <c r="C138" s="2"/>
      <c r="D138" s="2"/>
      <c r="E138" s="129"/>
      <c r="F138" s="2"/>
      <c r="G138" s="273"/>
      <c r="H138" s="273"/>
      <c r="I138" s="273"/>
      <c r="J138" s="148">
        <v>1</v>
      </c>
      <c r="K138" s="148">
        <v>2</v>
      </c>
      <c r="L138" s="148">
        <v>3</v>
      </c>
      <c r="M138" s="2"/>
      <c r="N138" s="2"/>
      <c r="O138" s="2"/>
      <c r="P138" s="2"/>
      <c r="Q138" s="2"/>
      <c r="R138" s="2"/>
      <c r="S138" s="2"/>
      <c r="T138" s="2"/>
      <c r="U138" s="2"/>
      <c r="V138" s="591"/>
      <c r="W138" s="591"/>
      <c r="X138" s="591"/>
      <c r="Y138" s="591"/>
      <c r="Z138" s="591"/>
      <c r="AA138" s="591"/>
      <c r="AB138" s="591"/>
      <c r="AC138" s="591"/>
      <c r="AG138" s="591"/>
      <c r="AH138" s="591"/>
      <c r="AI138" s="591"/>
      <c r="AJ138" s="591"/>
      <c r="AK138" s="591"/>
      <c r="AM138" s="591"/>
      <c r="AN138" s="591"/>
      <c r="AO138" s="591"/>
      <c r="AP138" s="591"/>
      <c r="AQ138" s="591"/>
      <c r="AS138" s="591"/>
      <c r="AT138" s="591"/>
      <c r="AU138" s="591"/>
      <c r="AV138" s="591"/>
      <c r="AW138" s="591"/>
      <c r="AY138" s="591"/>
    </row>
    <row r="139" spans="1:51" ht="15.75" hidden="1" customHeight="1" x14ac:dyDescent="0.2">
      <c r="A139" s="2"/>
      <c r="B139" s="2"/>
      <c r="C139" s="148">
        <v>1</v>
      </c>
      <c r="D139" s="148">
        <f>IF(I139=0,0,1)</f>
        <v>0</v>
      </c>
      <c r="E139" s="263" t="str">
        <f>IMPOSTAZIONI!B298</f>
        <v>--</v>
      </c>
      <c r="F139" s="2"/>
      <c r="G139" s="305">
        <f>VLOOKUP(E139,IMPOSTAZIONI!$B$298:$AK$304,$E$149,FALSE)</f>
        <v>0</v>
      </c>
      <c r="H139" s="306" t="str">
        <f>IF(G139&gt;0,IF(AND(ISERROR(HLOOKUP(E139,G$136:I$136,1,FALSE)),ISERROR(HLOOKUP(E139,G$1:N$1,1,FALSE))),E139,"OK"),"")</f>
        <v/>
      </c>
      <c r="I139" s="307">
        <f>IF(H139="OK",0,IF(H139="",0,1))</f>
        <v>0</v>
      </c>
      <c r="J139" s="263" t="e">
        <f>VLOOKUP(C139,$D$139:$H$148,5,FALSE)</f>
        <v>#N/A</v>
      </c>
      <c r="K139" s="263" t="e">
        <f>VLOOKUP(C140,$D$139:$H$148,5,FALSE)</f>
        <v>#N/A</v>
      </c>
      <c r="L139" s="263" t="e">
        <f>VLOOKUP(C141,$D$139:$H$148,5,FALSE)</f>
        <v>#N/A</v>
      </c>
      <c r="M139" s="2"/>
      <c r="N139" s="2"/>
      <c r="O139" s="2"/>
      <c r="P139" s="2"/>
      <c r="Q139" s="2"/>
      <c r="R139" s="2"/>
      <c r="S139" s="2"/>
      <c r="T139" s="2"/>
      <c r="U139" s="2"/>
      <c r="V139" s="591"/>
      <c r="W139" s="591"/>
      <c r="X139" s="591"/>
      <c r="Y139" s="591"/>
      <c r="Z139" s="591"/>
      <c r="AA139" s="591"/>
      <c r="AB139" s="591"/>
      <c r="AC139" s="591"/>
      <c r="AG139" s="591"/>
      <c r="AH139" s="591"/>
      <c r="AI139" s="591"/>
      <c r="AJ139" s="591"/>
      <c r="AK139" s="591"/>
      <c r="AM139" s="591"/>
      <c r="AN139" s="591"/>
      <c r="AO139" s="591"/>
      <c r="AP139" s="591"/>
      <c r="AQ139" s="591"/>
      <c r="AS139" s="591"/>
      <c r="AT139" s="591"/>
      <c r="AU139" s="591"/>
      <c r="AV139" s="591"/>
      <c r="AW139" s="591"/>
      <c r="AY139" s="591"/>
    </row>
    <row r="140" spans="1:51" ht="15.75" hidden="1" customHeight="1" x14ac:dyDescent="0.2">
      <c r="A140" s="2"/>
      <c r="B140" s="2"/>
      <c r="C140" s="148">
        <v>2</v>
      </c>
      <c r="D140" s="103">
        <f>IF(I140=0,0,COUNTIF(D$139:D139,"&gt;0")+1)</f>
        <v>0</v>
      </c>
      <c r="E140" s="263" t="str">
        <f>IMPOSTAZIONI!B299</f>
        <v>--</v>
      </c>
      <c r="F140" s="2"/>
      <c r="G140" s="305">
        <f>VLOOKUP(E140,IMPOSTAZIONI!$B$298:$AK$304,$E$149,FALSE)</f>
        <v>0</v>
      </c>
      <c r="H140" s="306" t="str">
        <f>IF(G140&gt;0,IF(AND(ISERROR(HLOOKUP(E140,G$136:I$136,1,FALSE)),ISERROR(HLOOKUP(E140,G$1:N$1,1,FALSE))),E140,"OK"),"")</f>
        <v/>
      </c>
      <c r="I140" s="307">
        <f t="shared" ref="I140:I148" si="35">IF(H140="OK",0,IF(H140="",0,1))</f>
        <v>0</v>
      </c>
      <c r="J140" s="267">
        <f>IF(ISERROR(J$139),0,HLOOKUP(J$139,IMPOSTAZIONI!$AB$183:$AH$187,3,FALSE))</f>
        <v>0</v>
      </c>
      <c r="K140" s="267">
        <f>IF(ISERROR(K$139),0,HLOOKUP(K$139,IMPOSTAZIONI!$AB$183:$AH$187,3,FALSE))</f>
        <v>0</v>
      </c>
      <c r="L140" s="268">
        <f>IF(ISERROR(L$139),0,HLOOKUP(L$139,IMPOSTAZIONI!$AB$183:$AH$187,3,FALSE))</f>
        <v>0</v>
      </c>
      <c r="M140" s="2"/>
      <c r="N140" s="2"/>
      <c r="O140" s="2"/>
      <c r="P140" s="2"/>
      <c r="Q140" s="2"/>
      <c r="R140" s="2"/>
      <c r="S140" s="2"/>
      <c r="T140" s="2"/>
      <c r="U140" s="2"/>
      <c r="V140" s="591"/>
      <c r="W140" s="591"/>
      <c r="X140" s="591"/>
      <c r="Y140" s="591"/>
      <c r="Z140" s="591"/>
      <c r="AA140" s="591"/>
      <c r="AB140" s="591"/>
      <c r="AC140" s="591"/>
      <c r="AG140" s="591"/>
      <c r="AH140" s="591"/>
      <c r="AI140" s="591"/>
      <c r="AJ140" s="591"/>
      <c r="AK140" s="591"/>
      <c r="AM140" s="591"/>
      <c r="AN140" s="591"/>
      <c r="AO140" s="591"/>
      <c r="AP140" s="591"/>
      <c r="AQ140" s="591"/>
      <c r="AS140" s="591"/>
      <c r="AT140" s="591"/>
      <c r="AU140" s="591"/>
      <c r="AV140" s="591"/>
      <c r="AW140" s="591"/>
      <c r="AY140" s="591"/>
    </row>
    <row r="141" spans="1:51" ht="15.75" hidden="1" customHeight="1" x14ac:dyDescent="0.2">
      <c r="A141" s="2"/>
      <c r="B141" s="2"/>
      <c r="C141" s="148">
        <v>3</v>
      </c>
      <c r="D141" s="103">
        <f>IF(I141=0,0,COUNTIF(D$139:D140,"&gt;0")+1)</f>
        <v>0</v>
      </c>
      <c r="E141" s="263" t="str">
        <f>IMPOSTAZIONI!B300</f>
        <v>--</v>
      </c>
      <c r="F141" s="2"/>
      <c r="G141" s="305">
        <f>VLOOKUP(E141,IMPOSTAZIONI!$B$298:$AK$304,$E$149,FALSE)</f>
        <v>0</v>
      </c>
      <c r="H141" s="306" t="str">
        <f>IF(G141&gt;0,IF(AND(ISERROR(HLOOKUP(E141,G$136:I$136,1,FALSE)),ISERROR(HLOOKUP(E141,G$1:N$1,1,FALSE))),E141,"OK"),"")</f>
        <v/>
      </c>
      <c r="I141" s="307">
        <f t="shared" si="35"/>
        <v>0</v>
      </c>
      <c r="J141" s="264">
        <f>IF(ISERROR(J$139),0,HLOOKUP(J$139,IMPOSTAZIONI!$AB$183:$AH$187,4,FALSE))</f>
        <v>0</v>
      </c>
      <c r="K141" s="264">
        <f>IF(ISERROR(K$139),0,HLOOKUP(K$139,IMPOSTAZIONI!$AB$183:$AH$187,4,FALSE))</f>
        <v>0</v>
      </c>
      <c r="L141" s="266">
        <f>IF(ISERROR(L$139),0,HLOOKUP(L$139,IMPOSTAZIONI!$AB$183:$AH$187,4,FALSE))</f>
        <v>0</v>
      </c>
      <c r="M141" s="2"/>
      <c r="N141" s="2"/>
      <c r="O141" s="2"/>
      <c r="P141" s="2"/>
      <c r="Q141" s="2"/>
      <c r="R141" s="2"/>
      <c r="S141" s="2"/>
      <c r="T141" s="2"/>
      <c r="U141" s="2"/>
      <c r="V141" s="591"/>
      <c r="W141" s="591"/>
      <c r="X141" s="591"/>
      <c r="Y141" s="591"/>
      <c r="Z141" s="591"/>
      <c r="AA141" s="591"/>
      <c r="AB141" s="591"/>
      <c r="AC141" s="591"/>
      <c r="AG141" s="591"/>
      <c r="AH141" s="591"/>
      <c r="AI141" s="591"/>
      <c r="AJ141" s="591"/>
      <c r="AK141" s="591"/>
      <c r="AM141" s="591"/>
      <c r="AN141" s="591"/>
      <c r="AO141" s="591"/>
      <c r="AP141" s="591"/>
      <c r="AQ141" s="591"/>
      <c r="AS141" s="591"/>
      <c r="AT141" s="591"/>
      <c r="AU141" s="591"/>
      <c r="AV141" s="591"/>
      <c r="AW141" s="591"/>
      <c r="AY141" s="591"/>
    </row>
    <row r="142" spans="1:51" ht="15.75" hidden="1" customHeight="1" x14ac:dyDescent="0.2">
      <c r="A142" s="2"/>
      <c r="B142" s="2"/>
      <c r="C142" s="103"/>
      <c r="D142" s="591"/>
      <c r="E142" s="591"/>
      <c r="F142" s="591"/>
      <c r="G142" s="591"/>
      <c r="H142" s="591"/>
      <c r="I142" s="591"/>
      <c r="J142" s="270">
        <f>IF(ISERROR(J$139),0,HLOOKUP(J$139,IMPOSTAZIONI!$AB$183:$AH$187,5,FALSE))</f>
        <v>0</v>
      </c>
      <c r="K142" s="270">
        <f>IF(ISERROR(K$139),0,HLOOKUP(K$139,IMPOSTAZIONI!$AB$183:$AH$187,5,FALSE))</f>
        <v>0</v>
      </c>
      <c r="L142" s="271">
        <f>IF(ISERROR(L$139),0,HLOOKUP(L$139,IMPOSTAZIONI!$AB$183:$AH$187,5,FALSE))</f>
        <v>0</v>
      </c>
      <c r="M142" s="2"/>
      <c r="N142" s="2"/>
      <c r="O142" s="2"/>
      <c r="P142" s="2"/>
      <c r="Q142" s="2"/>
      <c r="R142" s="2"/>
      <c r="S142" s="2"/>
      <c r="T142" s="2"/>
      <c r="U142" s="2"/>
      <c r="V142" s="591"/>
      <c r="W142" s="591"/>
      <c r="X142" s="591"/>
      <c r="Y142" s="591"/>
      <c r="Z142" s="591"/>
      <c r="AA142" s="591"/>
      <c r="AB142" s="591"/>
      <c r="AC142" s="591"/>
      <c r="AG142" s="591"/>
      <c r="AH142" s="591"/>
      <c r="AI142" s="591"/>
      <c r="AJ142" s="591"/>
      <c r="AK142" s="591"/>
      <c r="AM142" s="591"/>
      <c r="AN142" s="591"/>
      <c r="AO142" s="591"/>
      <c r="AP142" s="591"/>
      <c r="AQ142" s="591"/>
      <c r="AS142" s="591"/>
      <c r="AT142" s="591"/>
      <c r="AU142" s="591"/>
      <c r="AV142" s="591"/>
      <c r="AW142" s="591"/>
      <c r="AY142" s="591"/>
    </row>
    <row r="143" spans="1:51" ht="15.75" hidden="1" customHeight="1" x14ac:dyDescent="0.2">
      <c r="A143" s="2"/>
      <c r="B143" s="2"/>
      <c r="C143" s="103"/>
      <c r="D143" s="591"/>
      <c r="E143" s="591"/>
      <c r="F143" s="591"/>
      <c r="G143" s="591"/>
      <c r="H143" s="591"/>
      <c r="I143" s="591"/>
      <c r="J143" s="2"/>
      <c r="K143" s="2"/>
      <c r="L143" s="2"/>
      <c r="M143" s="2"/>
      <c r="N143" s="2"/>
      <c r="O143" s="2"/>
      <c r="P143" s="2"/>
      <c r="Q143" s="2"/>
      <c r="R143" s="2"/>
      <c r="S143" s="2"/>
      <c r="T143" s="2"/>
      <c r="U143" s="2"/>
      <c r="V143" s="591"/>
      <c r="W143" s="591"/>
      <c r="X143" s="591"/>
      <c r="Y143" s="591"/>
      <c r="Z143" s="591"/>
      <c r="AA143" s="591"/>
      <c r="AB143" s="591"/>
      <c r="AC143" s="591"/>
      <c r="AG143" s="591"/>
      <c r="AH143" s="591"/>
      <c r="AI143" s="591"/>
      <c r="AJ143" s="591"/>
      <c r="AK143" s="591"/>
      <c r="AM143" s="591"/>
      <c r="AN143" s="591"/>
      <c r="AO143" s="591"/>
      <c r="AP143" s="591"/>
      <c r="AQ143" s="591"/>
      <c r="AS143" s="591"/>
      <c r="AT143" s="591"/>
      <c r="AU143" s="591"/>
      <c r="AV143" s="591"/>
      <c r="AW143" s="591"/>
      <c r="AY143" s="591"/>
    </row>
    <row r="144" spans="1:51" ht="15.75" hidden="1" customHeight="1" x14ac:dyDescent="0.2">
      <c r="A144" s="2"/>
      <c r="B144" s="2"/>
      <c r="C144" s="103"/>
      <c r="D144" s="591"/>
      <c r="E144" s="591"/>
      <c r="F144" s="591"/>
      <c r="G144" s="591"/>
      <c r="H144" s="591"/>
      <c r="I144" s="591"/>
      <c r="J144" s="2"/>
      <c r="K144" s="2102" t="s">
        <v>543</v>
      </c>
      <c r="L144" s="2103"/>
      <c r="M144" s="1297" t="s">
        <v>198</v>
      </c>
      <c r="N144" s="1298" t="s">
        <v>202</v>
      </c>
      <c r="O144" s="1297" t="s">
        <v>199</v>
      </c>
      <c r="P144" s="1298" t="s">
        <v>203</v>
      </c>
      <c r="Q144" s="1297" t="s">
        <v>65</v>
      </c>
      <c r="R144" s="1298" t="s">
        <v>66</v>
      </c>
      <c r="S144" s="1297" t="s">
        <v>65</v>
      </c>
      <c r="T144" s="1298" t="s">
        <v>66</v>
      </c>
      <c r="U144" s="2"/>
      <c r="V144" s="591"/>
      <c r="W144" s="591"/>
      <c r="X144" s="591"/>
      <c r="Y144" s="591"/>
      <c r="Z144" s="591"/>
      <c r="AA144" s="591"/>
      <c r="AB144" s="591"/>
      <c r="AC144" s="591"/>
      <c r="AG144" s="591"/>
      <c r="AH144" s="591"/>
      <c r="AI144" s="591"/>
      <c r="AJ144" s="591"/>
      <c r="AK144" s="591"/>
      <c r="AM144" s="591"/>
      <c r="AN144" s="591"/>
      <c r="AO144" s="591"/>
      <c r="AP144" s="591"/>
      <c r="AQ144" s="591"/>
      <c r="AS144" s="591"/>
      <c r="AT144" s="591"/>
      <c r="AU144" s="591"/>
      <c r="AV144" s="591"/>
      <c r="AW144" s="591"/>
      <c r="AY144" s="591"/>
    </row>
    <row r="145" spans="1:51" ht="15.75" hidden="1" customHeight="1" x14ac:dyDescent="0.2">
      <c r="A145" s="2"/>
      <c r="B145" s="2"/>
      <c r="C145" s="103"/>
      <c r="D145" s="103">
        <f>IF(I145=0,0,COUNTIF(D$139:D144,"&gt;0")+1)</f>
        <v>0</v>
      </c>
      <c r="E145" s="263" t="str">
        <f>IMPOSTAZIONI!B301</f>
        <v>--</v>
      </c>
      <c r="F145" s="2"/>
      <c r="G145" s="305">
        <f>VLOOKUP(E145,IMPOSTAZIONI!$B$298:$AK$304,$E$149,FALSE)</f>
        <v>0</v>
      </c>
      <c r="H145" s="306" t="str">
        <f>IF(G145&gt;0,IF(AND(ISERROR(HLOOKUP(E145,G$136:I$136,1,FALSE)),ISERROR(HLOOKUP(E145,G$1:N$1,1,FALSE))),E145,"OK"),"")</f>
        <v/>
      </c>
      <c r="I145" s="307">
        <f t="shared" si="35"/>
        <v>0</v>
      </c>
      <c r="J145" s="2"/>
      <c r="K145" s="2102" t="s">
        <v>58</v>
      </c>
      <c r="L145" s="2103"/>
      <c r="M145" s="100" t="s">
        <v>198</v>
      </c>
      <c r="N145" s="1299" t="s">
        <v>202</v>
      </c>
      <c r="O145" s="100" t="s">
        <v>199</v>
      </c>
      <c r="P145" s="1299" t="s">
        <v>203</v>
      </c>
      <c r="Q145" s="100" t="s">
        <v>65</v>
      </c>
      <c r="R145" s="1299" t="s">
        <v>66</v>
      </c>
      <c r="S145" s="100" t="s">
        <v>65</v>
      </c>
      <c r="T145" s="1299" t="s">
        <v>66</v>
      </c>
      <c r="U145" s="2"/>
      <c r="V145" s="591"/>
      <c r="W145" s="591"/>
      <c r="X145" s="591"/>
      <c r="Y145" s="591"/>
      <c r="Z145" s="591"/>
      <c r="AA145" s="591"/>
      <c r="AB145" s="591"/>
      <c r="AC145" s="591"/>
      <c r="AG145" s="591"/>
      <c r="AH145" s="591"/>
      <c r="AI145" s="591"/>
      <c r="AJ145" s="591"/>
      <c r="AK145" s="591"/>
      <c r="AM145" s="591"/>
      <c r="AN145" s="591"/>
      <c r="AO145" s="591"/>
      <c r="AP145" s="591"/>
      <c r="AQ145" s="591"/>
      <c r="AS145" s="591"/>
      <c r="AT145" s="591"/>
      <c r="AU145" s="591"/>
      <c r="AV145" s="591"/>
      <c r="AW145" s="591"/>
      <c r="AY145" s="591"/>
    </row>
    <row r="146" spans="1:51" ht="15.75" hidden="1" customHeight="1" x14ac:dyDescent="0.2">
      <c r="A146" s="2"/>
      <c r="B146" s="2"/>
      <c r="C146" s="103"/>
      <c r="D146" s="103">
        <f>IF(I146=0,0,COUNTIF(D$139:D145,"&gt;0")+1)</f>
        <v>0</v>
      </c>
      <c r="E146" s="263" t="str">
        <f>IMPOSTAZIONI!B302</f>
        <v/>
      </c>
      <c r="F146" s="2"/>
      <c r="G146" s="305">
        <f>VLOOKUP(E146,IMPOSTAZIONI!$B$298:$AK$304,$E$149,FALSE)</f>
        <v>0</v>
      </c>
      <c r="H146" s="306" t="str">
        <f>IF(G146&gt;0,IF(AND(ISERROR(HLOOKUP(E146,G$136:I$136,1,FALSE)),ISERROR(HLOOKUP(E146,G$1:N$1,1,FALSE))),E146,"OK"),"")</f>
        <v/>
      </c>
      <c r="I146" s="307">
        <f t="shared" si="35"/>
        <v>0</v>
      </c>
      <c r="J146" s="2"/>
      <c r="K146" s="2102" t="s">
        <v>59</v>
      </c>
      <c r="L146" s="2103"/>
      <c r="M146" s="100" t="s">
        <v>198</v>
      </c>
      <c r="N146" s="1299" t="s">
        <v>62</v>
      </c>
      <c r="O146" s="100" t="s">
        <v>199</v>
      </c>
      <c r="P146" s="1299" t="s">
        <v>203</v>
      </c>
      <c r="Q146" s="100" t="s">
        <v>65</v>
      </c>
      <c r="R146" s="1299" t="s">
        <v>66</v>
      </c>
      <c r="S146" s="100" t="s">
        <v>65</v>
      </c>
      <c r="T146" s="1299" t="s">
        <v>66</v>
      </c>
      <c r="U146" s="2"/>
      <c r="V146" s="591"/>
      <c r="W146" s="591"/>
      <c r="X146" s="591"/>
      <c r="Y146" s="591"/>
      <c r="Z146" s="591"/>
      <c r="AA146" s="591"/>
      <c r="AB146" s="591"/>
      <c r="AC146" s="591"/>
      <c r="AG146" s="591"/>
      <c r="AH146" s="591"/>
      <c r="AI146" s="591"/>
      <c r="AJ146" s="591"/>
      <c r="AK146" s="591"/>
      <c r="AM146" s="591"/>
      <c r="AN146" s="591"/>
      <c r="AO146" s="591"/>
      <c r="AP146" s="591"/>
      <c r="AQ146" s="591"/>
      <c r="AS146" s="591"/>
      <c r="AT146" s="591"/>
      <c r="AU146" s="591"/>
      <c r="AV146" s="591"/>
      <c r="AW146" s="591"/>
      <c r="AY146" s="591"/>
    </row>
    <row r="147" spans="1:51" ht="15.75" hidden="1" customHeight="1" x14ac:dyDescent="0.2">
      <c r="A147" s="2"/>
      <c r="B147" s="2"/>
      <c r="C147" s="103"/>
      <c r="D147" s="103">
        <f>IF(I147=0,0,COUNTIF(D$139:D146,"&gt;0")+1)</f>
        <v>0</v>
      </c>
      <c r="E147" s="263" t="str">
        <f>IMPOSTAZIONI!B303</f>
        <v/>
      </c>
      <c r="F147" s="2"/>
      <c r="G147" s="305">
        <f>VLOOKUP(E147,IMPOSTAZIONI!$B$298:$AK$304,$E$149,FALSE)</f>
        <v>0</v>
      </c>
      <c r="H147" s="306" t="str">
        <f>IF(G147&gt;0,IF(AND(ISERROR(HLOOKUP(E147,G$136:I$136,1,FALSE)),ISERROR(HLOOKUP(E147,G$1:N$1,1,FALSE))),E147,"OK"),"")</f>
        <v/>
      </c>
      <c r="I147" s="307">
        <f t="shared" si="35"/>
        <v>0</v>
      </c>
      <c r="J147" s="2"/>
      <c r="K147" s="2102" t="s">
        <v>60</v>
      </c>
      <c r="L147" s="2103"/>
      <c r="M147" s="100" t="s">
        <v>199</v>
      </c>
      <c r="N147" s="1299" t="s">
        <v>203</v>
      </c>
      <c r="O147" s="100" t="s">
        <v>198</v>
      </c>
      <c r="P147" s="1299" t="s">
        <v>63</v>
      </c>
      <c r="Q147" s="100" t="s">
        <v>67</v>
      </c>
      <c r="R147" s="1299" t="s">
        <v>68</v>
      </c>
      <c r="S147" s="100" t="s">
        <v>67</v>
      </c>
      <c r="T147" s="1299" t="s">
        <v>68</v>
      </c>
      <c r="U147" s="2"/>
      <c r="V147" s="591"/>
      <c r="W147" s="591"/>
      <c r="X147" s="591"/>
      <c r="Y147" s="591"/>
      <c r="Z147" s="591"/>
      <c r="AA147" s="591"/>
      <c r="AB147" s="591"/>
      <c r="AC147" s="591"/>
      <c r="AG147" s="591"/>
      <c r="AH147" s="591"/>
      <c r="AI147" s="591"/>
      <c r="AJ147" s="591"/>
      <c r="AK147" s="591"/>
      <c r="AM147" s="591"/>
      <c r="AN147" s="591"/>
      <c r="AO147" s="591"/>
      <c r="AP147" s="591"/>
      <c r="AQ147" s="591"/>
      <c r="AS147" s="591"/>
      <c r="AT147" s="591"/>
      <c r="AU147" s="591"/>
      <c r="AV147" s="591"/>
      <c r="AW147" s="591"/>
      <c r="AY147" s="591"/>
    </row>
    <row r="148" spans="1:51" ht="15.75" hidden="1" customHeight="1" x14ac:dyDescent="0.2">
      <c r="A148" s="2"/>
      <c r="B148" s="2"/>
      <c r="C148" s="103"/>
      <c r="D148" s="103">
        <f>IF(I148=0,0,COUNTIF(D$139:D147,"&gt;0")+1)</f>
        <v>0</v>
      </c>
      <c r="E148" s="263" t="str">
        <f>IMPOSTAZIONI!B304</f>
        <v/>
      </c>
      <c r="F148" s="2"/>
      <c r="G148" s="305">
        <f>VLOOKUP(E148,IMPOSTAZIONI!$B$298:$AK$304,$E$149,FALSE)</f>
        <v>0</v>
      </c>
      <c r="H148" s="306" t="str">
        <f>IF(G148&gt;0,IF(AND(ISERROR(HLOOKUP(E148,G$136:I$136,1,FALSE)),ISERROR(HLOOKUP(E148,G$1:N$1,1,FALSE))),E148,"OK"),"")</f>
        <v/>
      </c>
      <c r="I148" s="307">
        <f t="shared" si="35"/>
        <v>0</v>
      </c>
      <c r="J148" s="2"/>
      <c r="K148" s="2102" t="s">
        <v>61</v>
      </c>
      <c r="L148" s="2103"/>
      <c r="M148" s="100" t="s">
        <v>195</v>
      </c>
      <c r="N148" s="1301" t="s">
        <v>64</v>
      </c>
      <c r="O148" s="1300" t="s">
        <v>195</v>
      </c>
      <c r="P148" s="1301" t="s">
        <v>64</v>
      </c>
      <c r="Q148" s="1300" t="s">
        <v>69</v>
      </c>
      <c r="R148" s="1301"/>
      <c r="S148" s="1300" t="s">
        <v>70</v>
      </c>
      <c r="T148" s="1301"/>
      <c r="U148" s="2"/>
      <c r="V148" s="591"/>
      <c r="W148" s="591"/>
      <c r="X148" s="591"/>
      <c r="Y148" s="591"/>
      <c r="Z148" s="591"/>
      <c r="AA148" s="591"/>
      <c r="AB148" s="591"/>
      <c r="AC148" s="591"/>
      <c r="AG148" s="591"/>
      <c r="AH148" s="591"/>
      <c r="AI148" s="591"/>
      <c r="AJ148" s="591"/>
      <c r="AK148" s="591"/>
      <c r="AM148" s="591"/>
      <c r="AN148" s="591"/>
      <c r="AO148" s="591"/>
      <c r="AP148" s="591"/>
      <c r="AQ148" s="591"/>
      <c r="AS148" s="591"/>
      <c r="AT148" s="591"/>
      <c r="AU148" s="591"/>
      <c r="AV148" s="591"/>
      <c r="AW148" s="591"/>
      <c r="AY148" s="591"/>
    </row>
    <row r="149" spans="1:51" ht="15.75" hidden="1" customHeight="1" x14ac:dyDescent="0.2">
      <c r="A149" s="2"/>
      <c r="B149" s="2"/>
      <c r="C149" s="2"/>
      <c r="D149" s="2"/>
      <c r="E149" s="306">
        <v>9</v>
      </c>
      <c r="F149" s="2"/>
      <c r="G149" s="306" t="str">
        <f>IF(MAX(D139:D148)&gt;C141,K132,"")</f>
        <v/>
      </c>
      <c r="H149" s="308">
        <f>IF((MAX(D139:D148)+3-E135)&gt;3,K132,MAX(D139:D148))</f>
        <v>0</v>
      </c>
      <c r="I149" s="273"/>
      <c r="J149" s="2"/>
      <c r="K149" s="2099"/>
      <c r="L149" s="2099"/>
      <c r="M149" s="1302"/>
      <c r="N149" s="1302"/>
      <c r="O149" s="2"/>
      <c r="P149" s="2"/>
      <c r="Q149" s="2"/>
      <c r="R149" s="2"/>
      <c r="S149" s="2"/>
      <c r="T149" s="2"/>
      <c r="U149" s="2"/>
      <c r="V149" s="591"/>
      <c r="W149" s="591"/>
      <c r="X149" s="591"/>
      <c r="Y149" s="591"/>
      <c r="Z149" s="591"/>
      <c r="AA149" s="591"/>
      <c r="AB149" s="591"/>
      <c r="AC149" s="591"/>
      <c r="AG149" s="591"/>
      <c r="AH149" s="591"/>
      <c r="AI149" s="591"/>
      <c r="AJ149" s="591"/>
      <c r="AK149" s="591"/>
      <c r="AM149" s="591"/>
      <c r="AN149" s="591"/>
      <c r="AO149" s="591"/>
      <c r="AP149" s="591"/>
      <c r="AQ149" s="591"/>
      <c r="AS149" s="591"/>
      <c r="AT149" s="591"/>
      <c r="AU149" s="591"/>
      <c r="AV149" s="591"/>
      <c r="AW149" s="591"/>
      <c r="AY149" s="591"/>
    </row>
    <row r="150" spans="1:51" ht="21" hidden="1" customHeight="1" x14ac:dyDescent="0.2">
      <c r="A150" s="2"/>
      <c r="B150" s="2"/>
      <c r="C150" s="2"/>
      <c r="D150" s="2"/>
      <c r="E150" s="807">
        <f>VLOOKUP(E3,STORICO!C153:AO197,39,FALSE)</f>
        <v>1</v>
      </c>
      <c r="F150" s="2"/>
      <c r="G150" s="1211">
        <f>IF(AND(G152&gt;0,OR(G99&lt;&gt;"OK",G105&lt;&gt;"OK")),1,0)</f>
        <v>0</v>
      </c>
      <c r="H150" s="1211">
        <f>IF(AND(H152&gt;0,OR(H99&lt;&gt;"OK",H105&lt;&gt;"OK")),1,0)</f>
        <v>0</v>
      </c>
      <c r="I150" s="1211">
        <f>IF(AND(I152&gt;0,OR(K99&lt;&gt;"OK",K105&lt;&gt;"OK")),1,0)</f>
        <v>0</v>
      </c>
      <c r="J150" s="1211">
        <f>IF(AND(J152&gt;0,OR(N99&lt;&gt;"OK",N105&lt;&gt;"OK")),1,0)</f>
        <v>0</v>
      </c>
      <c r="K150" s="2"/>
      <c r="L150" s="2"/>
      <c r="M150" s="2"/>
      <c r="N150" s="2"/>
      <c r="O150" s="2"/>
      <c r="P150" s="2"/>
      <c r="Q150" s="2"/>
      <c r="R150" s="2"/>
      <c r="S150" s="2"/>
      <c r="T150" s="2"/>
      <c r="U150" s="2"/>
      <c r="V150" s="591"/>
      <c r="W150" s="591"/>
      <c r="X150" s="591"/>
      <c r="Y150" s="591"/>
      <c r="Z150" s="591"/>
      <c r="AA150" s="591"/>
      <c r="AB150" s="591"/>
      <c r="AC150" s="591"/>
      <c r="AG150" s="591"/>
      <c r="AH150" s="591"/>
      <c r="AI150" s="591"/>
      <c r="AJ150" s="591"/>
      <c r="AK150" s="591"/>
      <c r="AM150" s="591"/>
      <c r="AN150" s="591"/>
      <c r="AO150" s="591"/>
      <c r="AP150" s="591"/>
      <c r="AQ150" s="591"/>
      <c r="AS150" s="591"/>
      <c r="AT150" s="591"/>
      <c r="AU150" s="591"/>
      <c r="AV150" s="591"/>
      <c r="AW150" s="591"/>
      <c r="AY150" s="591"/>
    </row>
    <row r="151" spans="1:51" ht="21" hidden="1" customHeight="1" x14ac:dyDescent="0.2">
      <c r="A151" s="2"/>
      <c r="B151" s="2"/>
      <c r="C151" s="2"/>
      <c r="D151" s="2"/>
      <c r="E151" s="2"/>
      <c r="F151" s="2"/>
      <c r="G151" s="1212" t="str">
        <f>IMPOSTAZIONI!Y382</f>
        <v>Hai delle colonne ALIQUOTE DIVERSE che DEVI SCORPORARE manualmente qui.</v>
      </c>
      <c r="H151" s="1212"/>
      <c r="I151" s="1212"/>
      <c r="J151" s="1212"/>
      <c r="K151" s="1213"/>
      <c r="L151" s="1213"/>
      <c r="M151" s="1213"/>
      <c r="N151" s="1213"/>
      <c r="O151" s="688"/>
      <c r="P151" s="688"/>
      <c r="Q151" s="688"/>
      <c r="R151" s="99"/>
      <c r="S151" s="1306"/>
      <c r="T151" s="591"/>
      <c r="U151" s="591"/>
      <c r="V151" s="591"/>
      <c r="W151" s="591"/>
      <c r="X151" s="591"/>
      <c r="Y151" s="591"/>
      <c r="Z151" s="591"/>
      <c r="AA151" s="591"/>
      <c r="AB151" s="591"/>
      <c r="AC151" s="591"/>
      <c r="AG151" s="591"/>
      <c r="AH151" s="591"/>
      <c r="AI151" s="591"/>
      <c r="AJ151" s="591"/>
      <c r="AK151" s="591"/>
      <c r="AM151" s="591"/>
      <c r="AN151" s="591"/>
      <c r="AO151" s="591"/>
      <c r="AP151" s="591"/>
      <c r="AQ151" s="591"/>
      <c r="AS151" s="591"/>
      <c r="AT151" s="591"/>
      <c r="AU151" s="591"/>
      <c r="AV151" s="591"/>
      <c r="AW151" s="591"/>
      <c r="AY151" s="591"/>
    </row>
    <row r="152" spans="1:51" ht="21" hidden="1" customHeight="1" x14ac:dyDescent="0.2">
      <c r="A152" s="2"/>
      <c r="B152" s="2"/>
      <c r="C152" s="2"/>
      <c r="D152" s="2"/>
      <c r="E152" s="92" t="str">
        <f>IMPOSTAZIONI!J383</f>
        <v>INSERISCI</v>
      </c>
      <c r="F152" s="2"/>
      <c r="G152" s="86">
        <f>IF(G46=0,0,IF(AND(G62&lt;&gt;$L134,G155="X"),1,0))</f>
        <v>0</v>
      </c>
      <c r="H152" s="87">
        <f>IF(H46=0,0,IF(AND(H62&lt;&gt;$L134,H155="X"),1,0))</f>
        <v>0</v>
      </c>
      <c r="I152" s="87">
        <f>IF(K46=0,0,IF(AND(K62&lt;&gt;$L134,I155="X"),1,0))</f>
        <v>0</v>
      </c>
      <c r="J152" s="88">
        <f>IF(N46=0,0,IF(AND(N62&lt;&gt;$L134,J155="X"),1,0))</f>
        <v>0</v>
      </c>
      <c r="K152" s="100" t="str">
        <f>IMPOSTAZIONI!M383</f>
        <v>VERIFICA</v>
      </c>
      <c r="L152" s="92" t="str">
        <f>IMPOSTAZIONI!P383</f>
        <v>CANCELLA</v>
      </c>
      <c r="M152" s="2"/>
      <c r="N152" s="2"/>
      <c r="O152" s="2"/>
      <c r="P152" s="2"/>
      <c r="Q152" s="2"/>
      <c r="R152" s="2"/>
      <c r="S152" s="591"/>
      <c r="T152" s="591"/>
      <c r="U152" s="591"/>
      <c r="V152" s="591"/>
      <c r="W152" s="591"/>
      <c r="X152" s="591"/>
      <c r="Y152" s="591"/>
      <c r="Z152" s="591"/>
      <c r="AA152" s="591"/>
      <c r="AB152" s="591"/>
      <c r="AC152" s="591"/>
      <c r="AG152" s="591"/>
      <c r="AH152" s="591"/>
      <c r="AI152" s="591"/>
      <c r="AJ152" s="591"/>
      <c r="AK152" s="591"/>
      <c r="AM152" s="591"/>
      <c r="AN152" s="591"/>
      <c r="AO152" s="591"/>
      <c r="AP152" s="591"/>
      <c r="AQ152" s="591"/>
      <c r="AS152" s="591"/>
      <c r="AT152" s="591"/>
      <c r="AU152" s="591"/>
      <c r="AV152" s="591"/>
      <c r="AW152" s="591"/>
      <c r="AY152" s="591"/>
    </row>
    <row r="153" spans="1:51" hidden="1" x14ac:dyDescent="0.2">
      <c r="A153" s="2"/>
      <c r="B153" s="2"/>
      <c r="C153" s="2"/>
      <c r="D153" s="2"/>
      <c r="E153" s="2"/>
      <c r="F153" s="2"/>
      <c r="G153" s="756">
        <f>G46</f>
        <v>0</v>
      </c>
      <c r="H153" s="757">
        <f>H46</f>
        <v>0</v>
      </c>
      <c r="I153" s="757">
        <f>K46</f>
        <v>0</v>
      </c>
      <c r="J153" s="758">
        <f>N46</f>
        <v>0</v>
      </c>
      <c r="K153" s="2"/>
      <c r="L153" s="2"/>
      <c r="M153" s="2"/>
      <c r="N153" s="2"/>
      <c r="O153" s="2"/>
      <c r="P153" s="2"/>
      <c r="Q153" s="2"/>
      <c r="R153" s="2"/>
      <c r="S153" s="591"/>
      <c r="T153" s="591"/>
      <c r="U153" s="591"/>
      <c r="V153" s="591"/>
      <c r="W153" s="591"/>
      <c r="X153" s="591"/>
      <c r="Y153" s="591"/>
      <c r="Z153" s="591"/>
      <c r="AA153" s="591"/>
      <c r="AB153" s="591"/>
      <c r="AC153" s="591"/>
      <c r="AG153" s="591"/>
      <c r="AH153" s="591"/>
      <c r="AI153" s="591"/>
      <c r="AJ153" s="591"/>
      <c r="AK153" s="591"/>
      <c r="AM153" s="591"/>
      <c r="AN153" s="591"/>
      <c r="AO153" s="591"/>
      <c r="AP153" s="591"/>
      <c r="AQ153" s="591"/>
      <c r="AS153" s="591"/>
      <c r="AT153" s="591"/>
      <c r="AU153" s="591"/>
      <c r="AV153" s="591"/>
      <c r="AW153" s="591"/>
      <c r="AY153" s="591"/>
    </row>
    <row r="154" spans="1:51" ht="16.5" hidden="1" customHeight="1" x14ac:dyDescent="0.2">
      <c r="A154" s="2"/>
      <c r="B154" s="2"/>
      <c r="C154" s="2"/>
      <c r="D154" s="2"/>
      <c r="E154" s="2"/>
      <c r="F154" s="2"/>
      <c r="G154" s="756">
        <f>G48</f>
        <v>0</v>
      </c>
      <c r="H154" s="757">
        <f>H48</f>
        <v>0</v>
      </c>
      <c r="I154" s="757">
        <f>K48</f>
        <v>0</v>
      </c>
      <c r="J154" s="758">
        <f>N48</f>
        <v>0</v>
      </c>
      <c r="K154" s="2"/>
      <c r="L154" s="2"/>
      <c r="M154" s="2"/>
      <c r="N154" s="2"/>
      <c r="O154" s="2"/>
      <c r="P154" s="2"/>
      <c r="Q154" s="2"/>
      <c r="R154" s="2"/>
      <c r="S154" s="591"/>
      <c r="T154" s="591"/>
      <c r="U154" s="591"/>
      <c r="V154" s="591"/>
      <c r="W154" s="591"/>
      <c r="X154" s="591"/>
      <c r="Y154" s="591"/>
      <c r="Z154" s="591"/>
      <c r="AA154" s="591"/>
      <c r="AB154" s="591"/>
      <c r="AC154" s="591"/>
      <c r="AG154" s="591"/>
      <c r="AH154" s="591"/>
      <c r="AI154" s="591"/>
      <c r="AJ154" s="591"/>
      <c r="AK154" s="591"/>
      <c r="AM154" s="591"/>
      <c r="AN154" s="591"/>
      <c r="AO154" s="591"/>
      <c r="AP154" s="591"/>
      <c r="AQ154" s="591"/>
      <c r="AS154" s="591"/>
      <c r="AT154" s="591"/>
      <c r="AU154" s="591"/>
      <c r="AV154" s="591"/>
      <c r="AW154" s="591"/>
      <c r="AY154" s="591"/>
    </row>
    <row r="155" spans="1:51" ht="15" hidden="1" customHeight="1" x14ac:dyDescent="0.2">
      <c r="A155" s="2"/>
      <c r="B155" s="2"/>
      <c r="C155" s="2"/>
      <c r="D155" s="2"/>
      <c r="E155" s="2"/>
      <c r="F155" s="2"/>
      <c r="G155" s="753">
        <f>IF(G156="",0,VLOOKUP(G156,IMPOSTAZIONI!$R$131:$AD$145,13,FALSE))</f>
        <v>0</v>
      </c>
      <c r="H155" s="754">
        <f>IF(H156="",0,VLOOKUP(H156,IMPOSTAZIONI!$R$131:$AD$145,13,FALSE))</f>
        <v>0</v>
      </c>
      <c r="I155" s="754">
        <f>IF(I156="",0,VLOOKUP(I156,IMPOSTAZIONI!$R$131:$AD$145,13,FALSE))</f>
        <v>0</v>
      </c>
      <c r="J155" s="755">
        <f>IF(J156="",0,VLOOKUP(J156,IMPOSTAZIONI!$R$131:$AD$145,13,FALSE))</f>
        <v>0</v>
      </c>
      <c r="K155" s="2"/>
      <c r="L155" s="2"/>
      <c r="M155" s="2"/>
      <c r="N155" s="2"/>
      <c r="O155" s="2"/>
      <c r="P155" s="2"/>
      <c r="Q155" s="2"/>
      <c r="R155" s="2"/>
      <c r="S155" s="591"/>
      <c r="T155" s="591"/>
      <c r="U155" s="591"/>
      <c r="V155" s="591"/>
      <c r="W155" s="591"/>
      <c r="X155" s="591"/>
      <c r="Y155" s="591"/>
      <c r="Z155" s="591"/>
      <c r="AA155" s="591"/>
      <c r="AB155" s="591"/>
      <c r="AC155" s="591"/>
      <c r="AG155" s="591"/>
      <c r="AH155" s="591"/>
      <c r="AI155" s="591"/>
      <c r="AJ155" s="591"/>
      <c r="AK155" s="591"/>
      <c r="AM155" s="591"/>
      <c r="AN155" s="591"/>
      <c r="AO155" s="591"/>
      <c r="AP155" s="591"/>
      <c r="AQ155" s="591"/>
      <c r="AS155" s="591"/>
      <c r="AT155" s="591"/>
      <c r="AU155" s="591"/>
      <c r="AV155" s="591"/>
      <c r="AW155" s="591"/>
      <c r="AY155" s="591"/>
    </row>
    <row r="156" spans="1:51" ht="15" hidden="1" customHeight="1" x14ac:dyDescent="0.2">
      <c r="A156" s="2"/>
      <c r="B156" s="2"/>
      <c r="C156" s="2"/>
      <c r="D156" s="2"/>
      <c r="E156" s="2"/>
      <c r="F156" s="56"/>
      <c r="G156" s="752" t="str">
        <f>IMPOSTAZIONI!F200</f>
        <v/>
      </c>
      <c r="H156" s="752" t="str">
        <f>IMPOSTAZIONI!K200</f>
        <v/>
      </c>
      <c r="I156" s="752" t="str">
        <f>IMPOSTAZIONI!P200</f>
        <v/>
      </c>
      <c r="J156" s="752" t="str">
        <f>IMPOSTAZIONI!U200</f>
        <v/>
      </c>
      <c r="K156" s="2100" t="s">
        <v>195</v>
      </c>
      <c r="L156" s="2100"/>
      <c r="M156" s="2"/>
      <c r="N156" s="2"/>
      <c r="O156" s="2"/>
      <c r="P156" s="2"/>
      <c r="Q156" s="2"/>
      <c r="R156" s="2"/>
      <c r="S156" s="591"/>
      <c r="T156" s="591"/>
      <c r="U156" s="591"/>
      <c r="V156" s="591"/>
      <c r="W156" s="591"/>
      <c r="X156" s="591"/>
      <c r="Y156" s="591"/>
      <c r="Z156" s="591"/>
      <c r="AA156" s="591"/>
      <c r="AB156" s="591"/>
      <c r="AC156" s="591"/>
      <c r="AG156" s="591"/>
      <c r="AH156" s="591"/>
      <c r="AI156" s="591"/>
      <c r="AJ156" s="591"/>
      <c r="AK156" s="591"/>
      <c r="AM156" s="591"/>
      <c r="AN156" s="591"/>
      <c r="AO156" s="591"/>
      <c r="AP156" s="591"/>
      <c r="AQ156" s="591"/>
      <c r="AS156" s="591"/>
      <c r="AT156" s="591"/>
      <c r="AU156" s="591"/>
      <c r="AV156" s="591"/>
      <c r="AW156" s="591"/>
      <c r="AY156" s="591"/>
    </row>
    <row r="157" spans="1:51" ht="15" hidden="1" customHeight="1" x14ac:dyDescent="0.2">
      <c r="A157" s="2"/>
      <c r="B157" s="2"/>
      <c r="C157" s="2"/>
      <c r="D157" s="2"/>
      <c r="E157" s="288" t="str">
        <f>IMPOSTAZIONI!B321</f>
        <v>SC</v>
      </c>
      <c r="F157" s="56"/>
      <c r="G157" s="288" t="str">
        <f>IF(MID(G1,7,2)="",$E157,MID(G1,7,2))</f>
        <v>SC</v>
      </c>
      <c r="H157" s="288" t="str">
        <f>IF(MID(H1,7,2)="",$E157,MID(H1,7,2))</f>
        <v>SC</v>
      </c>
      <c r="I157" s="288" t="str">
        <f>IF(MID(K1,7,2)="",$E157,MID(K1,7,2))</f>
        <v>SC</v>
      </c>
      <c r="J157" s="288" t="str">
        <f>IF(MID(N1,7,2)="",$E157,MID(N1,7,2))</f>
        <v>SC</v>
      </c>
      <c r="K157" s="2100" t="str">
        <f>IMPOSTAZIONI!AH7</f>
        <v>Categoria</v>
      </c>
      <c r="L157" s="2100"/>
      <c r="M157" s="2"/>
      <c r="N157" s="2"/>
      <c r="O157" s="2"/>
      <c r="P157" s="2"/>
      <c r="Q157" s="2"/>
      <c r="R157" s="2"/>
      <c r="S157" s="591"/>
      <c r="T157" s="591"/>
      <c r="U157" s="591"/>
      <c r="V157" s="591"/>
      <c r="W157" s="591"/>
      <c r="X157" s="591"/>
      <c r="Y157" s="591"/>
      <c r="Z157" s="591"/>
      <c r="AA157" s="591"/>
      <c r="AB157" s="591"/>
      <c r="AC157" s="591"/>
      <c r="AG157" s="591"/>
      <c r="AH157" s="591"/>
      <c r="AI157" s="591"/>
      <c r="AJ157" s="591"/>
      <c r="AK157" s="591"/>
      <c r="AM157" s="591"/>
      <c r="AN157" s="591"/>
      <c r="AO157" s="591"/>
      <c r="AP157" s="591"/>
      <c r="AQ157" s="591"/>
      <c r="AS157" s="591"/>
      <c r="AT157" s="591"/>
      <c r="AU157" s="591"/>
      <c r="AV157" s="591"/>
      <c r="AW157" s="591"/>
      <c r="AY157" s="591"/>
    </row>
    <row r="158" spans="1:51" ht="15" hidden="1" customHeight="1" x14ac:dyDescent="0.2">
      <c r="A158" s="2"/>
      <c r="B158" s="2"/>
      <c r="C158" s="2"/>
      <c r="D158" s="2"/>
      <c r="E158" s="288" t="str">
        <f>IMPOSTAZIONI!B351</f>
        <v>%</v>
      </c>
      <c r="F158" s="56"/>
      <c r="G158" s="288" t="str">
        <f>IF(OR(G155&gt;0,G155="X"),$E158,IF(G156="","",MID(G1,4,2)))</f>
        <v/>
      </c>
      <c r="H158" s="288" t="str">
        <f>IF(OR(H155&gt;0,H155="X"),$E158,IF(H156="","",MID(H1,4,2)))</f>
        <v/>
      </c>
      <c r="I158" s="288" t="str">
        <f>IF(OR(I155&gt;0,I155="X"),$E158,IF(I156="","",MID(K1,4,2)))</f>
        <v/>
      </c>
      <c r="J158" s="288" t="str">
        <f>IF(OR(J155&gt;0,J155="X"),$E158,IF(J156="","",MID(N1,4,2)))</f>
        <v/>
      </c>
      <c r="K158" s="2100" t="str">
        <f>IMPOSTAZIONI!B337</f>
        <v>NO IVA</v>
      </c>
      <c r="L158" s="2100"/>
      <c r="M158" s="2"/>
      <c r="N158" s="2"/>
      <c r="O158" s="2"/>
      <c r="P158" s="2"/>
      <c r="Q158" s="2"/>
      <c r="R158" s="2"/>
      <c r="S158" s="591"/>
      <c r="T158" s="591"/>
      <c r="U158" s="591"/>
      <c r="V158" s="591"/>
      <c r="W158" s="591"/>
      <c r="X158" s="591"/>
      <c r="Y158" s="591"/>
      <c r="Z158" s="591"/>
      <c r="AA158" s="591"/>
      <c r="AB158" s="591"/>
      <c r="AC158" s="591"/>
      <c r="AG158" s="591"/>
      <c r="AH158" s="591"/>
      <c r="AI158" s="591"/>
      <c r="AJ158" s="591"/>
      <c r="AK158" s="591"/>
      <c r="AM158" s="591"/>
      <c r="AN158" s="591"/>
      <c r="AO158" s="591"/>
      <c r="AP158" s="591"/>
      <c r="AQ158" s="591"/>
      <c r="AS158" s="591"/>
      <c r="AT158" s="591"/>
      <c r="AU158" s="591"/>
      <c r="AV158" s="591"/>
      <c r="AW158" s="591"/>
      <c r="AY158" s="591"/>
    </row>
    <row r="159" spans="1:51" ht="15" hidden="1" customHeight="1" x14ac:dyDescent="0.2">
      <c r="A159" s="2"/>
      <c r="B159" s="2"/>
      <c r="C159" s="2"/>
      <c r="D159" s="2"/>
      <c r="E159" s="288"/>
      <c r="F159" s="56"/>
      <c r="G159" s="376" t="str">
        <f>MID(G1,1,2)</f>
        <v>--</v>
      </c>
      <c r="H159" s="376" t="str">
        <f>MID(H1,1,2)</f>
        <v>--</v>
      </c>
      <c r="I159" s="376" t="str">
        <f>MID(K1,1,2)</f>
        <v>--</v>
      </c>
      <c r="J159" s="376" t="str">
        <f>MID(N1,1,2)</f>
        <v>--</v>
      </c>
      <c r="K159" s="2100" t="str">
        <f>IMPOSTAZIONI!B354</f>
        <v>TIPO</v>
      </c>
      <c r="L159" s="2100"/>
      <c r="M159" s="2"/>
      <c r="N159" s="2"/>
      <c r="O159" s="2"/>
      <c r="P159" s="2"/>
      <c r="Q159" s="2"/>
      <c r="R159" s="2"/>
      <c r="S159" s="591"/>
      <c r="T159" s="591"/>
      <c r="U159" s="591"/>
      <c r="V159" s="591"/>
      <c r="W159" s="591"/>
      <c r="X159" s="591"/>
      <c r="Y159" s="591"/>
      <c r="Z159" s="591"/>
      <c r="AA159" s="591"/>
      <c r="AB159" s="591"/>
      <c r="AC159" s="591"/>
      <c r="AG159" s="591"/>
      <c r="AH159" s="591"/>
      <c r="AI159" s="591"/>
      <c r="AJ159" s="591"/>
      <c r="AK159" s="591"/>
      <c r="AM159" s="591"/>
      <c r="AN159" s="591"/>
      <c r="AO159" s="591"/>
      <c r="AP159" s="591"/>
      <c r="AQ159" s="591"/>
      <c r="AS159" s="591"/>
      <c r="AT159" s="591"/>
      <c r="AU159" s="591"/>
      <c r="AV159" s="591"/>
      <c r="AW159" s="591"/>
      <c r="AY159" s="591"/>
    </row>
    <row r="160" spans="1:51" ht="15" hidden="1" customHeight="1" x14ac:dyDescent="0.2">
      <c r="A160" s="2"/>
      <c r="B160" s="2"/>
      <c r="C160" s="2"/>
      <c r="D160" s="2"/>
      <c r="E160" s="288"/>
      <c r="F160" s="56"/>
      <c r="G160" s="951">
        <f>SUM(G101:G104)</f>
        <v>0</v>
      </c>
      <c r="H160" s="377">
        <f>SUM(H101:H104)</f>
        <v>0</v>
      </c>
      <c r="I160" s="377">
        <f>SUM(K101:K104)</f>
        <v>0</v>
      </c>
      <c r="J160" s="377">
        <f>SUM(N101:N104)</f>
        <v>0</v>
      </c>
      <c r="K160" s="2107" t="s">
        <v>529</v>
      </c>
      <c r="L160" s="2107"/>
      <c r="M160" s="14"/>
      <c r="N160" s="14"/>
      <c r="O160" s="14"/>
      <c r="P160" s="14"/>
      <c r="Q160" s="14"/>
      <c r="R160" s="2"/>
      <c r="S160" s="591"/>
      <c r="T160" s="591"/>
      <c r="U160" s="591"/>
      <c r="V160" s="591"/>
      <c r="W160" s="591"/>
      <c r="X160" s="591"/>
      <c r="Y160" s="591"/>
      <c r="Z160" s="591"/>
      <c r="AA160" s="591"/>
      <c r="AB160" s="591"/>
      <c r="AC160" s="591"/>
      <c r="AG160" s="591"/>
      <c r="AH160" s="591"/>
      <c r="AI160" s="591"/>
      <c r="AJ160" s="591"/>
      <c r="AK160" s="591"/>
      <c r="AM160" s="591"/>
      <c r="AN160" s="591"/>
      <c r="AO160" s="591"/>
      <c r="AP160" s="591"/>
      <c r="AQ160" s="591"/>
      <c r="AS160" s="591"/>
      <c r="AT160" s="591"/>
      <c r="AU160" s="591"/>
      <c r="AV160" s="591"/>
      <c r="AW160" s="591"/>
      <c r="AY160" s="591"/>
    </row>
    <row r="161" spans="1:51" ht="15" hidden="1" customHeight="1" x14ac:dyDescent="0.2">
      <c r="A161" s="2"/>
      <c r="B161" s="2"/>
      <c r="C161" s="2"/>
      <c r="D161" s="2"/>
      <c r="E161" s="72"/>
      <c r="F161" s="2"/>
      <c r="G161" s="950">
        <f>IF(AND(G42=$K134,G62=$L135),G48,0)</f>
        <v>0</v>
      </c>
      <c r="H161" s="950">
        <f>IF(AND(H42=$K134,H62=$L135),H48,0)</f>
        <v>0</v>
      </c>
      <c r="I161" s="950">
        <f>IF(AND(K42=$K134,K62=$L135),K48,0)</f>
        <v>0</v>
      </c>
      <c r="J161" s="950">
        <f>IF(AND(N42=$K134,N62=$L135),N48,0)</f>
        <v>0</v>
      </c>
      <c r="K161" s="211"/>
      <c r="L161" s="211"/>
      <c r="M161" s="211"/>
      <c r="N161" s="211"/>
      <c r="O161" s="211"/>
      <c r="P161" s="211"/>
      <c r="Q161" s="211"/>
      <c r="R161" s="2"/>
      <c r="S161" s="591"/>
      <c r="T161" s="591"/>
      <c r="U161" s="591"/>
      <c r="V161" s="591"/>
      <c r="W161" s="591"/>
      <c r="X161" s="591"/>
      <c r="Y161" s="591"/>
      <c r="Z161" s="591"/>
      <c r="AA161" s="591"/>
      <c r="AB161" s="591"/>
      <c r="AC161" s="591"/>
      <c r="AG161" s="591"/>
      <c r="AH161" s="591"/>
      <c r="AI161" s="591"/>
      <c r="AJ161" s="591"/>
      <c r="AK161" s="591"/>
      <c r="AM161" s="591"/>
      <c r="AN161" s="591"/>
      <c r="AO161" s="591"/>
      <c r="AP161" s="591"/>
      <c r="AQ161" s="591"/>
      <c r="AS161" s="591"/>
      <c r="AT161" s="591"/>
      <c r="AU161" s="591"/>
      <c r="AV161" s="591"/>
      <c r="AW161" s="591"/>
      <c r="AY161" s="591"/>
    </row>
    <row r="162" spans="1:51" hidden="1" x14ac:dyDescent="0.2">
      <c r="A162" s="2"/>
      <c r="B162" s="2086">
        <f>Presentazione!Q13</f>
        <v>45292</v>
      </c>
      <c r="C162" s="2087"/>
      <c r="D162" s="2088"/>
      <c r="E162" s="288" t="str">
        <f>CONCATENATE(CASSA!X485,"    ")</f>
        <v xml:space="preserve">Chiuso    </v>
      </c>
      <c r="F162" s="2"/>
      <c r="G162" s="950">
        <f>IF(G62&lt;&gt;$L134,G48-G161,0)</f>
        <v>0</v>
      </c>
      <c r="H162" s="950">
        <f>IF(H62&lt;&gt;$L134,H48-H161,0)</f>
        <v>0</v>
      </c>
      <c r="I162" s="950">
        <f>IF(K62&lt;&gt;$L134,K48-I161,0)</f>
        <v>0</v>
      </c>
      <c r="J162" s="950">
        <f>IF(N62&lt;&gt;$L134,N48-J161,0)</f>
        <v>0</v>
      </c>
      <c r="K162" s="2"/>
      <c r="L162" s="2"/>
      <c r="M162" s="2"/>
      <c r="N162" s="2"/>
      <c r="O162" s="2"/>
      <c r="P162" s="2"/>
      <c r="Q162" s="2"/>
      <c r="R162" s="2"/>
      <c r="S162" s="591"/>
      <c r="T162" s="591"/>
      <c r="U162" s="591"/>
      <c r="V162" s="591"/>
      <c r="W162" s="591"/>
      <c r="X162" s="591"/>
      <c r="Y162" s="591"/>
      <c r="Z162" s="591"/>
      <c r="AA162" s="591"/>
      <c r="AB162" s="591"/>
      <c r="AC162" s="591"/>
      <c r="AG162" s="591"/>
      <c r="AH162" s="591"/>
      <c r="AI162" s="591"/>
      <c r="AJ162" s="591"/>
      <c r="AK162" s="591"/>
      <c r="AM162" s="591"/>
      <c r="AN162" s="591"/>
      <c r="AO162" s="591"/>
      <c r="AP162" s="591"/>
      <c r="AQ162" s="591"/>
      <c r="AS162" s="591"/>
      <c r="AT162" s="591"/>
      <c r="AU162" s="591"/>
      <c r="AV162" s="591"/>
      <c r="AW162" s="591"/>
      <c r="AY162" s="591"/>
    </row>
    <row r="163" spans="1:51" ht="15" hidden="1" customHeight="1" x14ac:dyDescent="0.2">
      <c r="A163" s="2"/>
      <c r="B163" s="2086">
        <f>Presentazione!R13</f>
        <v>45382</v>
      </c>
      <c r="C163" s="2087"/>
      <c r="D163" s="2088"/>
      <c r="E163" s="288" t="str">
        <f>CONCATENATE(IMPOSTAZIONI!L188,"    ")</f>
        <v xml:space="preserve">ERROR    </v>
      </c>
      <c r="F163" s="232"/>
      <c r="G163" s="233" t="s">
        <v>299</v>
      </c>
      <c r="H163" s="60">
        <f>IMPOSTAZIONI!N387</f>
        <v>18</v>
      </c>
      <c r="I163" s="288">
        <f>IMPOSTAZIONI!Y153</f>
        <v>0</v>
      </c>
      <c r="J163" s="140" t="s">
        <v>463</v>
      </c>
      <c r="K163" s="233" t="s">
        <v>549</v>
      </c>
      <c r="L163" s="60">
        <f>Presentazione!E159</f>
        <v>0</v>
      </c>
      <c r="M163" s="170" t="s">
        <v>398</v>
      </c>
      <c r="N163" s="79">
        <v>1</v>
      </c>
      <c r="O163" s="508">
        <f>IF(OR(COUNTIF(G99:N99,E152)&gt;0,COUNTIF(G99:N99,K152)&gt;0,COUNTIF(G99:N99,L152)&gt;0,COUNTIF(G105:N105,E152)&gt;0,COUNTIF(G105:N105,K152)&gt;0,COUNTIF(G105:N105,L152)&gt;0,COUNTIF(C101:F104,"ERROR")&gt;0,COUNTIF(E8:F38,E163)&gt;0),1,0)</f>
        <v>0</v>
      </c>
      <c r="P163" s="509" t="s">
        <v>550</v>
      </c>
      <c r="Q163" s="2"/>
      <c r="R163" s="2"/>
      <c r="S163" s="591"/>
      <c r="T163" s="591"/>
      <c r="U163" s="591"/>
      <c r="V163" s="591"/>
      <c r="W163" s="591"/>
      <c r="X163" s="591"/>
      <c r="Y163" s="591"/>
      <c r="Z163" s="591"/>
      <c r="AA163" s="591"/>
      <c r="AB163" s="591"/>
      <c r="AC163" s="591"/>
      <c r="AG163" s="591"/>
      <c r="AH163" s="591"/>
      <c r="AI163" s="591"/>
      <c r="AJ163" s="591"/>
      <c r="AK163" s="591"/>
      <c r="AM163" s="591"/>
      <c r="AN163" s="591"/>
      <c r="AO163" s="591"/>
      <c r="AP163" s="591"/>
      <c r="AQ163" s="591"/>
      <c r="AS163" s="591"/>
      <c r="AT163" s="591"/>
      <c r="AU163" s="591"/>
      <c r="AV163" s="591"/>
      <c r="AW163" s="591"/>
      <c r="AY163" s="591"/>
    </row>
    <row r="164" spans="1:51" ht="15" hidden="1" customHeight="1" x14ac:dyDescent="0.2">
      <c r="A164" s="2"/>
      <c r="B164" s="2"/>
      <c r="C164" s="2"/>
      <c r="D164" s="2"/>
      <c r="E164" s="2"/>
      <c r="F164" s="2"/>
      <c r="G164" s="950">
        <f>IF(G42=$K134,0,G87)</f>
        <v>0</v>
      </c>
      <c r="H164" s="950">
        <f>IF(H42=$K134,0,H87)</f>
        <v>0</v>
      </c>
      <c r="I164" s="950">
        <f>IF(K42=$K134,0,I87)</f>
        <v>0</v>
      </c>
      <c r="J164" s="950">
        <f>IF(N42=$K134,0,K87)</f>
        <v>0</v>
      </c>
      <c r="K164" s="2"/>
      <c r="L164" s="2"/>
      <c r="M164" s="2"/>
      <c r="N164" s="2"/>
      <c r="O164" s="2"/>
      <c r="P164" s="2"/>
      <c r="Q164" s="2"/>
      <c r="R164" s="2"/>
      <c r="S164" s="591"/>
      <c r="T164" s="591"/>
      <c r="U164" s="591"/>
      <c r="V164" s="591"/>
      <c r="W164" s="591"/>
      <c r="X164" s="591"/>
      <c r="Y164" s="591"/>
      <c r="Z164" s="591"/>
      <c r="AA164" s="591"/>
      <c r="AB164" s="591"/>
      <c r="AC164" s="591"/>
      <c r="AG164" s="591"/>
      <c r="AH164" s="591"/>
      <c r="AI164" s="591"/>
      <c r="AJ164" s="591"/>
      <c r="AK164" s="591"/>
      <c r="AM164" s="591"/>
      <c r="AN164" s="591"/>
      <c r="AO164" s="591"/>
      <c r="AP164" s="591"/>
      <c r="AQ164" s="591"/>
      <c r="AS164" s="591"/>
      <c r="AT164" s="591"/>
      <c r="AU164" s="591"/>
      <c r="AV164" s="591"/>
      <c r="AW164" s="591"/>
      <c r="AY164" s="591"/>
    </row>
    <row r="165" spans="1:51" hidden="1" x14ac:dyDescent="0.2">
      <c r="A165" s="2"/>
      <c r="B165" s="2"/>
      <c r="C165" s="2"/>
      <c r="D165" s="2"/>
      <c r="E165" s="2"/>
      <c r="F165" s="2"/>
      <c r="G165" s="2"/>
      <c r="H165" s="2"/>
      <c r="I165" s="2"/>
      <c r="J165" s="2"/>
      <c r="K165" s="2"/>
      <c r="L165" s="2"/>
      <c r="M165" s="2"/>
      <c r="N165" s="2"/>
      <c r="O165" s="2"/>
      <c r="P165" s="2"/>
      <c r="Q165" s="2"/>
      <c r="R165" s="2"/>
      <c r="S165" s="591"/>
      <c r="T165" s="591"/>
      <c r="U165" s="591"/>
      <c r="V165" s="591"/>
      <c r="W165" s="591"/>
      <c r="X165" s="591"/>
      <c r="Y165" s="591"/>
      <c r="Z165" s="591"/>
      <c r="AA165" s="591"/>
      <c r="AB165" s="591"/>
      <c r="AC165" s="591"/>
      <c r="AG165" s="591"/>
      <c r="AH165" s="591"/>
      <c r="AI165" s="591"/>
      <c r="AJ165" s="591"/>
      <c r="AK165" s="591"/>
      <c r="AM165" s="591"/>
      <c r="AN165" s="591"/>
      <c r="AO165" s="591"/>
      <c r="AP165" s="591"/>
      <c r="AQ165" s="591"/>
      <c r="AS165" s="591"/>
      <c r="AT165" s="591"/>
      <c r="AU165" s="591"/>
      <c r="AV165" s="591"/>
      <c r="AW165" s="591"/>
      <c r="AY165" s="591"/>
    </row>
    <row r="166" spans="1:51" ht="22.5" customHeight="1" x14ac:dyDescent="0.2">
      <c r="A166" s="2"/>
      <c r="B166" s="2"/>
      <c r="C166" s="2"/>
      <c r="D166" s="2"/>
      <c r="E166" s="2"/>
      <c r="F166" s="2"/>
      <c r="G166" s="624">
        <v>1</v>
      </c>
      <c r="H166" s="624">
        <v>2</v>
      </c>
      <c r="I166" s="2229">
        <v>5</v>
      </c>
      <c r="J166" s="2229"/>
      <c r="K166" s="624">
        <v>8</v>
      </c>
      <c r="L166" s="2"/>
      <c r="M166" s="2228" t="s">
        <v>193</v>
      </c>
      <c r="N166" s="2228"/>
      <c r="O166" s="2"/>
      <c r="P166" s="2"/>
      <c r="Q166" s="2"/>
      <c r="R166" s="591"/>
      <c r="S166" s="591"/>
      <c r="T166" s="591"/>
      <c r="U166" s="591"/>
      <c r="V166" s="591"/>
      <c r="W166" s="591"/>
      <c r="X166" s="591"/>
      <c r="Y166" s="591"/>
      <c r="Z166" s="591"/>
      <c r="AA166" s="591"/>
      <c r="AB166" s="591"/>
      <c r="AC166" s="591"/>
      <c r="AG166" s="591"/>
      <c r="AS166" s="591"/>
    </row>
    <row r="167" spans="1:51" ht="18" customHeight="1" x14ac:dyDescent="0.2">
      <c r="A167" s="2"/>
      <c r="B167" s="2"/>
      <c r="C167" s="2084" t="s">
        <v>175</v>
      </c>
      <c r="D167" s="2084"/>
      <c r="E167" s="2085">
        <f>E43</f>
        <v>2024</v>
      </c>
      <c r="F167" s="2085">
        <f>F43</f>
        <v>0</v>
      </c>
      <c r="G167" s="590" t="str">
        <f>G43</f>
        <v/>
      </c>
      <c r="H167" s="590" t="str">
        <f>H43</f>
        <v/>
      </c>
      <c r="I167" s="2232" t="str">
        <f>K43</f>
        <v/>
      </c>
      <c r="J167" s="2232"/>
      <c r="K167" s="590" t="str">
        <f>N43</f>
        <v/>
      </c>
      <c r="L167" s="2"/>
      <c r="M167" s="908" t="s">
        <v>717</v>
      </c>
      <c r="N167" s="2"/>
      <c r="O167" s="2"/>
      <c r="P167" s="2"/>
      <c r="Q167" s="2"/>
      <c r="R167" s="591"/>
      <c r="S167" s="591"/>
      <c r="T167" s="591"/>
      <c r="U167" s="591"/>
      <c r="V167" s="591"/>
      <c r="W167" s="591"/>
      <c r="X167" s="591"/>
      <c r="Y167" s="591"/>
      <c r="Z167" s="591"/>
      <c r="AA167" s="591"/>
      <c r="AB167" s="591"/>
      <c r="AC167" s="591"/>
      <c r="AG167" s="591"/>
      <c r="AS167" s="591"/>
    </row>
    <row r="168" spans="1:51" ht="22.5" customHeight="1" x14ac:dyDescent="0.2">
      <c r="A168" s="2"/>
      <c r="B168" s="2"/>
      <c r="C168" s="2091" t="s">
        <v>298</v>
      </c>
      <c r="D168" s="2091"/>
      <c r="E168" s="2091"/>
      <c r="F168" s="2091"/>
      <c r="G168" s="57" t="str">
        <f>G44</f>
        <v/>
      </c>
      <c r="H168" s="57" t="str">
        <f>H44</f>
        <v/>
      </c>
      <c r="I168" s="2230" t="str">
        <f>K44</f>
        <v/>
      </c>
      <c r="J168" s="2230"/>
      <c r="K168" s="57" t="str">
        <f>N44</f>
        <v/>
      </c>
      <c r="L168" s="2"/>
      <c r="M168" s="2228" t="s">
        <v>719</v>
      </c>
      <c r="N168" s="2228"/>
      <c r="O168" s="2"/>
      <c r="P168" s="2"/>
      <c r="Q168" s="2"/>
      <c r="R168" s="591"/>
      <c r="S168" s="591"/>
      <c r="T168" s="591"/>
      <c r="U168" s="591"/>
      <c r="V168" s="591"/>
      <c r="W168" s="591"/>
      <c r="X168" s="591"/>
      <c r="Y168" s="591"/>
      <c r="Z168" s="591"/>
      <c r="AA168" s="591"/>
      <c r="AB168" s="591"/>
      <c r="AC168" s="591"/>
      <c r="AG168" s="591"/>
      <c r="AS168" s="591"/>
    </row>
    <row r="169" spans="1:51" ht="19.5" customHeight="1" x14ac:dyDescent="0.2">
      <c r="A169" s="2"/>
      <c r="B169" s="2"/>
      <c r="C169" s="2094" t="str">
        <f>C95</f>
        <v>01/03 - 31/03</v>
      </c>
      <c r="D169" s="2095"/>
      <c r="E169" s="2095"/>
      <c r="F169" s="2095"/>
      <c r="G169" s="90" t="str">
        <f>G45</f>
        <v/>
      </c>
      <c r="H169" s="90" t="str">
        <f>H45</f>
        <v/>
      </c>
      <c r="I169" s="2231" t="str">
        <f>K45</f>
        <v/>
      </c>
      <c r="J169" s="2231"/>
      <c r="K169" s="90" t="str">
        <f>N45</f>
        <v/>
      </c>
      <c r="L169" s="2"/>
      <c r="M169" s="12"/>
      <c r="N169" s="2"/>
      <c r="O169" s="2"/>
      <c r="P169" s="2"/>
      <c r="Q169" s="2"/>
      <c r="R169" s="591"/>
      <c r="S169" s="591"/>
      <c r="T169" s="591"/>
      <c r="U169" s="591"/>
      <c r="V169" s="591"/>
      <c r="W169" s="591"/>
      <c r="X169" s="591"/>
      <c r="Y169" s="591"/>
      <c r="Z169" s="591"/>
      <c r="AA169" s="591"/>
      <c r="AB169" s="591"/>
      <c r="AC169" s="591"/>
      <c r="AG169" s="591"/>
      <c r="AS169" s="591"/>
    </row>
    <row r="170" spans="1:51" ht="7.5" customHeight="1" x14ac:dyDescent="0.2">
      <c r="A170" s="2"/>
      <c r="B170" s="2"/>
      <c r="C170" s="2089"/>
      <c r="D170" s="2090"/>
      <c r="E170" s="484"/>
      <c r="F170" s="2"/>
      <c r="G170" s="597">
        <f>IF(AND(G$180&lt;&gt;0,G$180&gt;0),IF(($E$171*9)&gt;=G$180,0,1),IF(AND(G$180&lt;&gt;0,G$180&lt;0),IF(($E$171*9)&lt;=G$180,0,1),0))</f>
        <v>0</v>
      </c>
      <c r="H170" s="597">
        <f>IF(AND(H$180&lt;&gt;0,H$180&gt;0),IF(($E$171*9)&gt;=H$180,0,1),IF(AND(H$180&lt;&gt;0,H$180&lt;0),IF(($E$171*9)&lt;=H$180,0,1),0))</f>
        <v>0</v>
      </c>
      <c r="I170" s="2104">
        <f>IF(AND(I$180&lt;&gt;0,I$180&gt;0),IF(($E$171*9)&gt;=I$180,0,1),IF(AND(I$180&lt;&gt;0,I$180&lt;0),IF(($E$171*9)&lt;=I$180,0,1),0))</f>
        <v>0</v>
      </c>
      <c r="J170" s="2105"/>
      <c r="K170" s="597">
        <f>IF(AND(K$180&lt;&gt;0,K$180&gt;0),IF(($E$171*9)&gt;=K$180,0,1),IF(AND(K$180&lt;&gt;0,K$180&lt;0),IF(($E$171*9)&lt;=K$180,0,1),0))</f>
        <v>0</v>
      </c>
      <c r="L170" s="2"/>
      <c r="M170" s="2"/>
      <c r="N170" s="2"/>
      <c r="O170" s="2"/>
      <c r="P170" s="2"/>
      <c r="Q170" s="2"/>
      <c r="R170" s="591"/>
      <c r="S170" s="591"/>
      <c r="T170" s="591"/>
      <c r="U170" s="591"/>
      <c r="V170" s="591"/>
      <c r="W170" s="591"/>
      <c r="X170" s="591"/>
      <c r="Y170" s="591"/>
      <c r="Z170" s="591"/>
      <c r="AA170" s="591"/>
      <c r="AB170" s="591"/>
      <c r="AC170" s="591"/>
      <c r="AG170" s="591"/>
      <c r="AS170" s="591"/>
    </row>
    <row r="171" spans="1:51" ht="7.5" customHeight="1" x14ac:dyDescent="0.2">
      <c r="A171" s="2"/>
      <c r="B171" s="2"/>
      <c r="C171" s="2096" t="s">
        <v>587</v>
      </c>
      <c r="D171" s="2096"/>
      <c r="E171" s="2098">
        <f>IF(OR(M166=0,M168=""),0,IF(M168=E220,E221,MAX(G180:K180)/10))</f>
        <v>0</v>
      </c>
      <c r="F171" s="2"/>
      <c r="G171" s="598">
        <f>IF(AND(G$180&lt;&gt;0,G$180&gt;0),IF(($E$171*8)&gt;=G$180,0,1),IF(AND(G$180&lt;&gt;0,G$180&lt;0),IF(($E$171*8)&lt;=G$180,0,1),0))</f>
        <v>0</v>
      </c>
      <c r="H171" s="598">
        <f>IF(AND(H$180&lt;&gt;0,H$180&gt;0),IF(($E$171*8)&gt;=H$180,0,1),IF(AND(H$180&lt;&gt;0,H$180&lt;0),IF(($E$171*8)&lt;=H$180,0,1),0))</f>
        <v>0</v>
      </c>
      <c r="I171" s="2061">
        <f>IF(AND(I$180&lt;&gt;0,I$180&gt;0),IF(($E$171*8)&gt;=I$180,0,1),IF(AND(I$180&lt;&gt;0,I$180&lt;0),IF(($E$171*8)&lt;=I$180,0,1),0))</f>
        <v>0</v>
      </c>
      <c r="J171" s="2062"/>
      <c r="K171" s="598">
        <f>IF(AND(K$180&lt;&gt;0,K$180&gt;0),IF(($E$171*8)&gt;=K$180,0,1),IF(AND(K$180&lt;&gt;0,K$180&lt;0),IF(($E$171*8)&lt;=K$180,0,1),0))</f>
        <v>0</v>
      </c>
      <c r="L171" s="2"/>
      <c r="M171" s="2"/>
      <c r="N171" s="2"/>
      <c r="O171" s="2"/>
      <c r="P171" s="2"/>
      <c r="Q171" s="2"/>
      <c r="R171" s="591"/>
      <c r="S171" s="591"/>
      <c r="T171" s="591"/>
      <c r="U171" s="591"/>
      <c r="V171" s="591"/>
      <c r="W171" s="591"/>
      <c r="X171" s="591"/>
      <c r="AA171" s="591"/>
      <c r="AB171" s="591"/>
      <c r="AC171" s="591"/>
      <c r="AG171" s="591"/>
      <c r="AS171" s="591"/>
    </row>
    <row r="172" spans="1:51" ht="7.5" customHeight="1" x14ac:dyDescent="0.2">
      <c r="A172" s="2"/>
      <c r="B172" s="2"/>
      <c r="C172" s="2097"/>
      <c r="D172" s="2097"/>
      <c r="E172" s="2098"/>
      <c r="F172" s="2"/>
      <c r="G172" s="598">
        <f>IF(AND(G$180&lt;&gt;0,G$180&gt;0),IF(($E$171*7)&gt;=G$180,0,1),IF(AND(G$180&lt;&gt;0,G$180&lt;0),IF(($E$171*7)&lt;=G$180,0,1),0))</f>
        <v>0</v>
      </c>
      <c r="H172" s="598">
        <f>IF(AND(H$180&lt;&gt;0,H$180&gt;0),IF(($E$171*7)&gt;=H$180,0,1),IF(AND(H$180&lt;&gt;0,H$180&lt;0),IF(($E$171*7)&lt;=H$180,0,1),0))</f>
        <v>0</v>
      </c>
      <c r="I172" s="2061">
        <f>IF(AND(I$180&lt;&gt;0,I$180&gt;0),IF(($E$171*7)&gt;=I$180,0,1),IF(AND(I$180&lt;&gt;0,I$180&lt;0),IF(($E$171*7)&lt;=I$180,0,1),0))</f>
        <v>0</v>
      </c>
      <c r="J172" s="2062"/>
      <c r="K172" s="598">
        <f>IF(AND(K$180&lt;&gt;0,K$180&gt;0),IF(($E$171*7)&gt;=K$180,0,1),IF(AND(K$180&lt;&gt;0,K$180&lt;0),IF(($E$171*7)&lt;=K$180,0,1),0))</f>
        <v>0</v>
      </c>
      <c r="L172" s="2"/>
      <c r="M172" s="2"/>
      <c r="N172" s="2"/>
      <c r="O172" s="2"/>
      <c r="P172" s="2"/>
      <c r="Q172" s="2"/>
      <c r="R172" s="591"/>
      <c r="S172" s="591"/>
      <c r="T172" s="591"/>
      <c r="U172" s="591"/>
      <c r="V172" s="591"/>
      <c r="W172" s="591"/>
      <c r="X172" s="591"/>
      <c r="AA172" s="591"/>
      <c r="AB172" s="591"/>
      <c r="AC172" s="591"/>
      <c r="AG172" s="591"/>
      <c r="AS172" s="591"/>
    </row>
    <row r="173" spans="1:51" ht="7.5" customHeight="1" x14ac:dyDescent="0.2">
      <c r="A173" s="2"/>
      <c r="B173" s="2"/>
      <c r="C173" s="2"/>
      <c r="D173" s="2"/>
      <c r="E173" s="2"/>
      <c r="F173" s="2"/>
      <c r="G173" s="598">
        <f>IF(AND(G$180&lt;&gt;0,G$180&gt;0),IF(($E$171*6)&gt;=G$180,0,1),IF(AND(G$180&lt;&gt;0,G$180&lt;0),IF(($E$171*6)&lt;=G$180,0,1),0))</f>
        <v>0</v>
      </c>
      <c r="H173" s="598">
        <f>IF(AND(H$180&lt;&gt;0,H$180&gt;0),IF(($E$171*6)&gt;=H$180,0,1),IF(AND(H$180&lt;&gt;0,H$180&lt;0),IF(($E$171*6)&lt;=H$180,0,1),0))</f>
        <v>0</v>
      </c>
      <c r="I173" s="2061">
        <f>IF(AND(I$180&lt;&gt;0,I$180&gt;0),IF(($E$171*6)&gt;=I$180,0,1),IF(AND(I$180&lt;&gt;0,I$180&lt;0),IF(($E$171*6)&lt;=I$180,0,1),0))</f>
        <v>0</v>
      </c>
      <c r="J173" s="2062"/>
      <c r="K173" s="598">
        <f>IF(AND(K$180&lt;&gt;0,K$180&gt;0),IF(($E$171*6)&gt;=K$180,0,1),IF(AND(K$180&lt;&gt;0,K$180&lt;0),IF(($E$171*6)&lt;=K$180,0,1),0))</f>
        <v>0</v>
      </c>
      <c r="L173" s="2"/>
      <c r="M173" s="2"/>
      <c r="N173" s="2"/>
      <c r="O173" s="2"/>
      <c r="P173" s="2"/>
      <c r="Q173" s="2"/>
      <c r="R173" s="591"/>
      <c r="S173" s="591"/>
      <c r="T173" s="591"/>
      <c r="U173" s="591"/>
      <c r="V173" s="591"/>
      <c r="W173" s="591"/>
      <c r="X173" s="591"/>
      <c r="AA173" s="591"/>
      <c r="AB173" s="591"/>
      <c r="AC173" s="591"/>
      <c r="AG173" s="591"/>
      <c r="AS173" s="591"/>
    </row>
    <row r="174" spans="1:51" ht="7.5" customHeight="1" x14ac:dyDescent="0.2">
      <c r="A174" s="2"/>
      <c r="B174" s="2"/>
      <c r="C174" s="2"/>
      <c r="D174" s="2"/>
      <c r="E174" s="2"/>
      <c r="F174" s="2"/>
      <c r="G174" s="598">
        <f>IF(AND(G$180&lt;&gt;0,G$180&gt;0),IF(($E$171*5)&gt;=G$180,0,1),IF(AND(G$180&lt;&gt;0,G$180&lt;0),IF(($E$171*5)&lt;=G$180,0,1),0))</f>
        <v>0</v>
      </c>
      <c r="H174" s="598">
        <f>IF(AND(H$180&lt;&gt;0,H$180&gt;0),IF(($E$171*5)&gt;=H$180,0,1),IF(AND(H$180&lt;&gt;0,H$180&lt;0),IF(($E$171*5)&lt;=H$180,0,1),0))</f>
        <v>0</v>
      </c>
      <c r="I174" s="2061">
        <f>IF(AND(I$180&lt;&gt;0,I$180&gt;0),IF(($E$171*5)&gt;=I$180,0,1),IF(AND(I$180&lt;&gt;0,I$180&lt;0),IF(($E$171*5)&lt;=I$180,0,1),0))</f>
        <v>0</v>
      </c>
      <c r="J174" s="2062"/>
      <c r="K174" s="598">
        <f>IF(AND(K$180&lt;&gt;0,K$180&gt;0),IF(($E$171*5)&gt;=K$180,0,1),IF(AND(K$180&lt;&gt;0,K$180&lt;0),IF(($E$171*5)&lt;=K$180,0,1),0))</f>
        <v>0</v>
      </c>
      <c r="L174" s="2"/>
      <c r="M174" s="2"/>
      <c r="N174" s="2"/>
      <c r="O174" s="2"/>
      <c r="P174" s="2"/>
      <c r="Q174" s="2"/>
      <c r="R174" s="591"/>
      <c r="S174" s="591"/>
      <c r="T174" s="591"/>
      <c r="U174" s="591"/>
      <c r="V174" s="591"/>
      <c r="W174" s="591"/>
      <c r="X174" s="591"/>
      <c r="AA174" s="591"/>
      <c r="AB174" s="591"/>
      <c r="AC174" s="591"/>
      <c r="AG174" s="591"/>
      <c r="AS174" s="591"/>
    </row>
    <row r="175" spans="1:51" ht="7.5" customHeight="1" x14ac:dyDescent="0.2">
      <c r="A175" s="2"/>
      <c r="B175" s="2"/>
      <c r="C175" s="2"/>
      <c r="D175" s="2"/>
      <c r="E175" s="2"/>
      <c r="F175" s="2"/>
      <c r="G175" s="598">
        <f>IF(AND(G$180&lt;&gt;0,G$180&gt;0),IF(($E$171*4)&gt;=G$180,0,1),IF(AND(G$180&lt;&gt;0,G$180&lt;0),IF(($E$171*4)&lt;=G$180,0,1),0))</f>
        <v>0</v>
      </c>
      <c r="H175" s="598">
        <f>IF(AND(H$180&lt;&gt;0,H$180&gt;0),IF(($E$171*4)&gt;=H$180,0,1),IF(AND(H$180&lt;&gt;0,H$180&lt;0),IF(($E$171*4)&lt;=H$180,0,1),0))</f>
        <v>0</v>
      </c>
      <c r="I175" s="2061">
        <f>IF(AND(I$180&lt;&gt;0,I$180&gt;0),IF(($E$171*4)&gt;=I$180,0,1),IF(AND(I$180&lt;&gt;0,I$180&lt;0),IF(($E$171*4)&lt;=I$180,0,1),0))</f>
        <v>0</v>
      </c>
      <c r="J175" s="2062"/>
      <c r="K175" s="598">
        <f>IF(AND(K$180&lt;&gt;0,K$180&gt;0),IF(($E$171*4)&gt;=K$180,0,1),IF(AND(K$180&lt;&gt;0,K$180&lt;0),IF(($E$171*4)&lt;=K$180,0,1),0))</f>
        <v>0</v>
      </c>
      <c r="L175" s="2"/>
      <c r="M175" s="2"/>
      <c r="N175" s="2"/>
      <c r="O175" s="2"/>
      <c r="P175" s="2"/>
      <c r="Q175" s="2"/>
      <c r="R175" s="591"/>
      <c r="S175" s="591"/>
      <c r="T175" s="591"/>
      <c r="U175" s="591"/>
      <c r="V175" s="591"/>
      <c r="W175" s="591"/>
      <c r="X175" s="591"/>
      <c r="AA175" s="591"/>
      <c r="AB175" s="591"/>
      <c r="AC175" s="591"/>
      <c r="AG175" s="591"/>
      <c r="AS175" s="591"/>
    </row>
    <row r="176" spans="1:51" ht="7.5" customHeight="1" x14ac:dyDescent="0.2">
      <c r="A176" s="2"/>
      <c r="B176" s="2"/>
      <c r="C176" s="2"/>
      <c r="D176" s="2"/>
      <c r="E176" s="2"/>
      <c r="F176" s="2"/>
      <c r="G176" s="598">
        <f>IF(AND(G$180&lt;&gt;0,G$180&gt;0),IF(($E$171*3)&gt;=G$180,0,1),IF(AND(G$180&lt;&gt;0,G$180&lt;0),IF(($E$171*3)&lt;=G$180,0,1),0))</f>
        <v>0</v>
      </c>
      <c r="H176" s="598">
        <f>IF(AND(H$180&lt;&gt;0,H$180&gt;0),IF(($E$171*3)&gt;=H$180,0,1),IF(AND(H$180&lt;&gt;0,H$180&lt;0),IF(($E$171*3)&lt;=H$180,0,1),0))</f>
        <v>0</v>
      </c>
      <c r="I176" s="2061">
        <f>IF(AND(I$180&lt;&gt;0,I$180&gt;0),IF(($E$171*3)&gt;=I$180,0,1),IF(AND(I$180&lt;&gt;0,I$180&lt;0),IF(($E$171*3)&lt;=I$180,0,1),0))</f>
        <v>0</v>
      </c>
      <c r="J176" s="2062"/>
      <c r="K176" s="598">
        <f>IF(AND(K$180&lt;&gt;0,K$180&gt;0),IF(($E$171*3)&gt;=K$180,0,1),IF(AND(K$180&lt;&gt;0,K$180&lt;0),IF(($E$171*3)&lt;=K$180,0,1),0))</f>
        <v>0</v>
      </c>
      <c r="L176" s="2"/>
      <c r="M176" s="2"/>
      <c r="N176" s="2"/>
      <c r="O176" s="2"/>
      <c r="P176" s="2"/>
      <c r="Q176" s="2"/>
      <c r="R176" s="591"/>
      <c r="S176" s="591"/>
      <c r="T176" s="591"/>
      <c r="U176" s="591"/>
      <c r="V176" s="591"/>
      <c r="W176" s="591"/>
      <c r="X176" s="591"/>
      <c r="AA176" s="591"/>
      <c r="AB176" s="591"/>
      <c r="AC176" s="591"/>
      <c r="AG176" s="591"/>
      <c r="AS176" s="591"/>
    </row>
    <row r="177" spans="1:45" ht="7.5" customHeight="1" x14ac:dyDescent="0.2">
      <c r="A177" s="2"/>
      <c r="B177" s="2"/>
      <c r="C177" s="2"/>
      <c r="D177" s="2"/>
      <c r="E177" s="2"/>
      <c r="F177" s="2"/>
      <c r="G177" s="598">
        <f>IF(AND(G$180&lt;&gt;0,G$180&gt;0),IF(($E$171*2)&gt;=G$180,0,1),IF(AND(G$180&lt;&gt;0,G$180&lt;0),IF(($E$171*2)&lt;=G$180,0,1),0))</f>
        <v>0</v>
      </c>
      <c r="H177" s="598">
        <f>IF(AND(H$180&lt;&gt;0,H$180&gt;0),IF(($E$171*2)&gt;=H$180,0,1),IF(AND(H$180&lt;&gt;0,H$180&lt;0),IF(($E$171*2)&lt;=H$180,0,1),0))</f>
        <v>0</v>
      </c>
      <c r="I177" s="2061">
        <f>IF(AND(I$180&lt;&gt;0,I$180&gt;0),IF(($E$171*2)&gt;=I$180,0,1),IF(AND(I$180&lt;&gt;0,I$180&lt;0),IF(($E$171*2)&lt;=I$180,0,1),0))</f>
        <v>0</v>
      </c>
      <c r="J177" s="2062"/>
      <c r="K177" s="598">
        <f>IF(AND(K$180&lt;&gt;0,K$180&gt;0),IF(($E$171*2)&gt;=K$180,0,1),IF(AND(K$180&lt;&gt;0,K$180&lt;0),IF(($E$171*2)&lt;=K$180,0,1),0))</f>
        <v>0</v>
      </c>
      <c r="L177" s="2"/>
      <c r="M177" s="2"/>
      <c r="N177" s="2"/>
      <c r="O177" s="2"/>
      <c r="P177" s="2"/>
      <c r="Q177" s="2"/>
      <c r="R177" s="591"/>
      <c r="S177" s="591"/>
      <c r="T177" s="591"/>
      <c r="U177" s="591"/>
      <c r="V177" s="591"/>
      <c r="W177" s="591"/>
      <c r="X177" s="591"/>
      <c r="AA177" s="591"/>
      <c r="AB177" s="591"/>
      <c r="AC177" s="591"/>
      <c r="AG177" s="591"/>
      <c r="AS177" s="591"/>
    </row>
    <row r="178" spans="1:45" ht="7.5" customHeight="1" x14ac:dyDescent="0.2">
      <c r="A178" s="2"/>
      <c r="B178" s="2"/>
      <c r="C178" s="2"/>
      <c r="D178" s="2"/>
      <c r="E178" s="2"/>
      <c r="F178" s="2"/>
      <c r="G178" s="598">
        <f>IF(AND(G$180&lt;&gt;0,G$180&gt;0),IF(($E$171*1)&gt;=G$180,0,1),IF(AND(G$180&lt;&gt;0,G$180&lt;0),IF(($E$171*1)&lt;=G$180,0,1),0))</f>
        <v>0</v>
      </c>
      <c r="H178" s="598">
        <f>IF(AND(H$180&lt;&gt;0,H$180&gt;0),IF(($E$171*1)&gt;=H$180,0,1),IF(AND(H$180&lt;&gt;0,H$180&lt;0),IF(($E$171*1)&lt;=H$180,0,1),0))</f>
        <v>0</v>
      </c>
      <c r="I178" s="2061">
        <f>IF(AND(I$180&lt;&gt;0,I$180&gt;0),IF(($E$171*1)&gt;=I$180,0,1),IF(AND(I$180&lt;&gt;0,I$180&lt;0),IF(($E$171*1)&lt;=I$180,0,1),0))</f>
        <v>0</v>
      </c>
      <c r="J178" s="2062"/>
      <c r="K178" s="598">
        <f>IF(AND(K$180&lt;&gt;0,K$180&gt;0),IF(($E$171*1)&gt;=K$180,0,1),IF(AND(K$180&lt;&gt;0,K$180&lt;0),IF(($E$171*1)&lt;=K$180,0,1),0))</f>
        <v>0</v>
      </c>
      <c r="L178" s="2"/>
      <c r="M178" s="2"/>
      <c r="N178" s="2"/>
      <c r="O178" s="2"/>
      <c r="P178" s="2"/>
      <c r="Q178" s="2"/>
      <c r="R178" s="591"/>
      <c r="S178" s="591"/>
      <c r="T178" s="591"/>
      <c r="U178" s="591"/>
      <c r="V178" s="591"/>
      <c r="W178" s="591"/>
      <c r="X178" s="591"/>
      <c r="AA178" s="591"/>
      <c r="AB178" s="591"/>
      <c r="AC178" s="591"/>
      <c r="AG178" s="591"/>
      <c r="AS178" s="591"/>
    </row>
    <row r="179" spans="1:45" ht="7.5" customHeight="1" x14ac:dyDescent="0.2">
      <c r="A179" s="2"/>
      <c r="B179" s="2"/>
      <c r="C179" s="2"/>
      <c r="D179" s="2"/>
      <c r="E179" s="2"/>
      <c r="F179" s="2"/>
      <c r="G179" s="599">
        <f>IF(G180&lt;&gt;0,1,0)</f>
        <v>0</v>
      </c>
      <c r="H179" s="599">
        <f>IF(H180&lt;&gt;0,1,0)</f>
        <v>0</v>
      </c>
      <c r="I179" s="2199">
        <f>IF(I180&lt;&gt;0,1,0)</f>
        <v>0</v>
      </c>
      <c r="J179" s="2200"/>
      <c r="K179" s="599">
        <f>IF(K180&lt;&gt;0,1,0)</f>
        <v>0</v>
      </c>
      <c r="L179" s="2"/>
      <c r="M179" s="2"/>
      <c r="N179" s="2"/>
      <c r="O179" s="2"/>
      <c r="P179" s="2"/>
      <c r="Q179" s="2"/>
      <c r="R179" s="591"/>
      <c r="S179" s="591"/>
      <c r="T179" s="591"/>
      <c r="U179" s="591"/>
      <c r="V179" s="591"/>
      <c r="W179" s="591"/>
      <c r="X179" s="591"/>
      <c r="AA179" s="591"/>
      <c r="AB179" s="591"/>
      <c r="AC179" s="591"/>
      <c r="AG179" s="591"/>
      <c r="AS179" s="591"/>
    </row>
    <row r="180" spans="1:45" ht="21.95" customHeight="1" x14ac:dyDescent="0.2">
      <c r="A180" s="2"/>
      <c r="B180" s="7"/>
      <c r="C180" s="2092" t="s">
        <v>582</v>
      </c>
      <c r="D180" s="2092"/>
      <c r="E180" s="2093">
        <f>SUM(G180:K180)</f>
        <v>0</v>
      </c>
      <c r="F180" s="2093"/>
      <c r="G180" s="623">
        <f>VLOOKUP($M166,$C46:G48,G166+4,FALSE)</f>
        <v>0</v>
      </c>
      <c r="H180" s="623">
        <f>VLOOKUP($M166,$C46:H48,H166+4,FALSE)</f>
        <v>0</v>
      </c>
      <c r="I180" s="2196">
        <f>VLOOKUP($M166,$C46:K48,I166+4,FALSE)</f>
        <v>0</v>
      </c>
      <c r="J180" s="2196"/>
      <c r="K180" s="623">
        <f>VLOOKUP($M166,$C46:N48,K166+4,FALSE)</f>
        <v>0</v>
      </c>
      <c r="L180" s="2"/>
      <c r="M180" s="12"/>
      <c r="N180" s="2"/>
      <c r="O180" s="2"/>
      <c r="P180" s="2"/>
      <c r="Q180" s="2"/>
      <c r="R180" s="591"/>
      <c r="S180" s="591"/>
      <c r="T180" s="591"/>
      <c r="U180" s="591"/>
      <c r="V180" s="591"/>
      <c r="W180" s="591"/>
      <c r="X180" s="591"/>
      <c r="AA180" s="591"/>
      <c r="AB180" s="591"/>
      <c r="AC180" s="591"/>
      <c r="AG180" s="591"/>
      <c r="AS180" s="591"/>
    </row>
    <row r="181" spans="1:45" ht="11.25" customHeight="1" x14ac:dyDescent="0.2">
      <c r="A181" s="2"/>
      <c r="B181" s="2"/>
      <c r="C181" s="2"/>
      <c r="D181" s="2"/>
      <c r="E181" s="2"/>
      <c r="F181" s="2"/>
      <c r="G181" s="2"/>
      <c r="H181" s="2"/>
      <c r="I181" s="2201"/>
      <c r="J181" s="2201"/>
      <c r="K181" s="2"/>
      <c r="L181" s="2"/>
      <c r="M181" s="2"/>
      <c r="N181" s="2"/>
      <c r="O181" s="2"/>
      <c r="P181" s="2"/>
      <c r="Q181" s="2"/>
      <c r="R181" s="591"/>
      <c r="S181" s="591"/>
      <c r="T181" s="591"/>
      <c r="U181" s="591"/>
      <c r="V181" s="591"/>
      <c r="W181" s="591"/>
      <c r="X181" s="591"/>
      <c r="AA181" s="591"/>
      <c r="AB181" s="591"/>
      <c r="AC181" s="591"/>
      <c r="AG181" s="591"/>
      <c r="AS181" s="591"/>
    </row>
    <row r="182" spans="1:45" ht="19.5" customHeight="1" x14ac:dyDescent="0.2">
      <c r="A182" s="2"/>
      <c r="B182" s="2"/>
      <c r="C182" s="2095" t="str">
        <f>CONCATENATE("01/01 - ",RIGHT(C169,5))</f>
        <v>01/01 - 31/03</v>
      </c>
      <c r="D182" s="2095"/>
      <c r="E182" s="2095"/>
      <c r="F182" s="2095"/>
      <c r="G182" s="2"/>
      <c r="H182" s="2"/>
      <c r="I182" s="2202"/>
      <c r="J182" s="2202"/>
      <c r="K182" s="2"/>
      <c r="L182" s="2"/>
      <c r="M182" s="2"/>
      <c r="N182" s="2"/>
      <c r="O182" s="2"/>
      <c r="P182" s="2"/>
      <c r="Q182" s="2"/>
      <c r="R182" s="591"/>
      <c r="S182" s="591"/>
      <c r="T182" s="591"/>
      <c r="U182" s="591"/>
      <c r="V182" s="591"/>
      <c r="W182" s="591"/>
      <c r="X182" s="591"/>
      <c r="AA182" s="591"/>
      <c r="AB182" s="591"/>
      <c r="AC182" s="591"/>
      <c r="AG182" s="591"/>
      <c r="AS182" s="591"/>
    </row>
    <row r="183" spans="1:45" ht="7.5" customHeight="1" x14ac:dyDescent="0.2">
      <c r="A183" s="2"/>
      <c r="B183" s="2"/>
      <c r="C183" s="2089"/>
      <c r="D183" s="2090"/>
      <c r="E183" s="484"/>
      <c r="F183" s="2"/>
      <c r="G183" s="597">
        <f>IF(AND(G$193&lt;&gt;0,G$193&gt;0),IF(($E$184*9)&gt;=G$193,0,1),IF(AND(G$193&lt;&gt;0,G$193&lt;0),IF(($E$184*9)&lt;=G$193,0,1),0))</f>
        <v>0</v>
      </c>
      <c r="H183" s="597">
        <f>IF(AND(H$193&lt;&gt;0,H$193&gt;0),IF(($E$184*9)&gt;=H$193,0,1),IF(AND(H$193&lt;&gt;0,H$193&lt;0),IF(($E$184*9)&lt;=H$193,0,1),0))</f>
        <v>0</v>
      </c>
      <c r="I183" s="2104">
        <f>IF(AND(I$193&lt;&gt;0,I$193&gt;0),IF(($E$184*9)&gt;=I$193,0,1),IF(AND(I$193&lt;&gt;0,I$193&lt;0),IF(($E$184*9)&lt;=I$193,0,1),0))</f>
        <v>0</v>
      </c>
      <c r="J183" s="2105"/>
      <c r="K183" s="597">
        <f>IF(AND(K$193&lt;&gt;0,K$193&gt;0),IF(($E$184*9)&gt;=K$193,0,1),IF(AND(K$193&lt;&gt;0,K$193&lt;0),IF(($E$184*9)&lt;=K$193,0,1),0))</f>
        <v>0</v>
      </c>
      <c r="L183" s="2"/>
      <c r="M183" s="2"/>
      <c r="N183" s="2"/>
      <c r="O183" s="2"/>
      <c r="P183" s="2"/>
      <c r="Q183" s="2"/>
      <c r="R183" s="591"/>
      <c r="S183" s="591"/>
      <c r="T183" s="591"/>
      <c r="U183" s="591"/>
      <c r="V183" s="591"/>
      <c r="W183" s="591"/>
      <c r="X183" s="591"/>
      <c r="AA183" s="591"/>
      <c r="AB183" s="591"/>
      <c r="AC183" s="591"/>
      <c r="AG183" s="591"/>
      <c r="AS183" s="591"/>
    </row>
    <row r="184" spans="1:45" ht="7.5" customHeight="1" x14ac:dyDescent="0.2">
      <c r="A184" s="2"/>
      <c r="B184" s="2"/>
      <c r="C184" s="2096" t="s">
        <v>587</v>
      </c>
      <c r="D184" s="2096"/>
      <c r="E184" s="2098">
        <f>IF(OR(M166=0,M168=""),0,IF(M168=E220,E221,MAX(G193:K193)/10))</f>
        <v>0</v>
      </c>
      <c r="F184" s="2"/>
      <c r="G184" s="598">
        <f>IF(AND(G$193&lt;&gt;0,G$193&gt;0),IF(($E$184*8)&gt;=G$193,0,1),IF(AND(G$193&lt;&gt;0,G$193&lt;0),IF(($E$184*8)&lt;=G$193,0,1),0))</f>
        <v>0</v>
      </c>
      <c r="H184" s="598">
        <f>IF(AND(H$193&lt;&gt;0,H$193&gt;0),IF(($E$184*8)&gt;=H$193,0,1),IF(AND(H$193&lt;&gt;0,H$193&lt;0),IF(($E$184*8)&lt;=H$193,0,1),0))</f>
        <v>0</v>
      </c>
      <c r="I184" s="2061">
        <f>IF(AND(I$193&lt;&gt;0,I$193&gt;0),IF(($E$184*8)&gt;=I$193,0,1),IF(AND(I$193&lt;&gt;0,I$193&lt;0),IF(($E$184*8)&lt;=I$193,0,1),0))</f>
        <v>0</v>
      </c>
      <c r="J184" s="2062"/>
      <c r="K184" s="598">
        <f>IF(AND(K$193&lt;&gt;0,K$193&gt;0),IF(($E$184*8)&gt;=K$193,0,1),IF(AND(K$193&lt;&gt;0,K$193&lt;0),IF(($E$184*8)&lt;=K$193,0,1),0))</f>
        <v>0</v>
      </c>
      <c r="L184" s="2"/>
      <c r="M184" s="2"/>
      <c r="N184" s="2"/>
      <c r="O184" s="2"/>
      <c r="P184" s="2"/>
      <c r="Q184" s="2"/>
      <c r="R184" s="591"/>
      <c r="S184" s="591"/>
      <c r="T184" s="591"/>
      <c r="U184" s="591"/>
      <c r="V184" s="591"/>
      <c r="W184" s="591"/>
      <c r="X184" s="591"/>
      <c r="AA184" s="591"/>
      <c r="AB184" s="591"/>
      <c r="AC184" s="591"/>
      <c r="AG184" s="591"/>
      <c r="AS184" s="591"/>
    </row>
    <row r="185" spans="1:45" ht="7.5" customHeight="1" x14ac:dyDescent="0.2">
      <c r="A185" s="2"/>
      <c r="B185" s="2"/>
      <c r="C185" s="2097"/>
      <c r="D185" s="2097"/>
      <c r="E185" s="2098"/>
      <c r="F185" s="2"/>
      <c r="G185" s="598">
        <f>IF(AND(G$193&lt;&gt;0,G$193&gt;0),IF(($E$184*7)&gt;=G$193,0,1),IF(AND(G$193&lt;&gt;0,G$193&lt;0),IF(($E$184*7)&lt;=G$193,0,1),0))</f>
        <v>0</v>
      </c>
      <c r="H185" s="598">
        <f>IF(AND(H$193&lt;&gt;0,H$193&gt;0),IF(($E$184*7)&gt;=H$193,0,1),IF(AND(H$193&lt;&gt;0,H$193&lt;0),IF(($E$184*7)&lt;=H$193,0,1),0))</f>
        <v>0</v>
      </c>
      <c r="I185" s="2061">
        <f>IF(AND(I$193&lt;&gt;0,I$193&gt;0),IF(($E$184*7)&gt;=I$193,0,1),IF(AND(I$193&lt;&gt;0,I$193&lt;0),IF(($E$184*7)&lt;=I$193,0,1),0))</f>
        <v>0</v>
      </c>
      <c r="J185" s="2062"/>
      <c r="K185" s="598">
        <f>IF(AND(K$193&lt;&gt;0,K$193&gt;0),IF(($E$184*7)&gt;=K$193,0,1),IF(AND(K$193&lt;&gt;0,K$193&lt;0),IF(($E$184*7)&lt;=K$193,0,1),0))</f>
        <v>0</v>
      </c>
      <c r="L185" s="2"/>
      <c r="M185" s="2"/>
      <c r="N185" s="2"/>
      <c r="O185" s="2"/>
      <c r="P185" s="2"/>
      <c r="Q185" s="2"/>
      <c r="R185" s="591"/>
      <c r="S185" s="591"/>
      <c r="T185" s="591"/>
      <c r="U185" s="591"/>
      <c r="V185" s="591"/>
      <c r="W185" s="591"/>
      <c r="X185" s="591"/>
      <c r="AA185" s="591"/>
      <c r="AB185" s="591"/>
      <c r="AC185" s="591"/>
      <c r="AG185" s="591"/>
      <c r="AS185" s="591"/>
    </row>
    <row r="186" spans="1:45" ht="7.5" customHeight="1" x14ac:dyDescent="0.2">
      <c r="A186" s="2"/>
      <c r="B186" s="2"/>
      <c r="C186" s="2"/>
      <c r="D186" s="2"/>
      <c r="E186" s="2"/>
      <c r="F186" s="2"/>
      <c r="G186" s="598">
        <f>IF(AND(G$193&lt;&gt;0,G$193&gt;0),IF(($E$184*6)&gt;=G$193,0,1),IF(AND(G$193&lt;&gt;0,G$193&lt;0),IF(($E$184*6)&lt;=G$193,0,1),0))</f>
        <v>0</v>
      </c>
      <c r="H186" s="598">
        <f>IF(AND(H$193&lt;&gt;0,H$193&gt;0),IF(($E$184*6)&gt;=H$193,0,1),IF(AND(H$193&lt;&gt;0,H$193&lt;0),IF(($E$184*6)&lt;=H$193,0,1),0))</f>
        <v>0</v>
      </c>
      <c r="I186" s="2061">
        <f>IF(AND(I$193&lt;&gt;0,I$193&gt;0),IF(($E$184*6)&gt;=I$193,0,1),IF(AND(I$193&lt;&gt;0,I$193&lt;0),IF(($E$184*6)&lt;=I$193,0,1),0))</f>
        <v>0</v>
      </c>
      <c r="J186" s="2062"/>
      <c r="K186" s="598">
        <f>IF(AND(K$193&lt;&gt;0,K$193&gt;0),IF(($E$184*6)&gt;=K$193,0,1),IF(AND(K$193&lt;&gt;0,K$193&lt;0),IF(($E$184*6)&lt;=K$193,0,1),0))</f>
        <v>0</v>
      </c>
      <c r="L186" s="2"/>
      <c r="M186" s="2"/>
      <c r="N186" s="2"/>
      <c r="O186" s="2"/>
      <c r="P186" s="2"/>
      <c r="Q186" s="2"/>
      <c r="R186" s="591"/>
      <c r="S186" s="591"/>
      <c r="T186" s="591"/>
      <c r="U186" s="591"/>
      <c r="V186" s="591"/>
      <c r="W186" s="591"/>
      <c r="X186" s="591"/>
      <c r="AA186" s="591"/>
      <c r="AB186" s="591"/>
      <c r="AC186" s="591"/>
      <c r="AG186" s="591"/>
      <c r="AS186" s="591"/>
    </row>
    <row r="187" spans="1:45" ht="7.5" customHeight="1" x14ac:dyDescent="0.2">
      <c r="A187" s="2"/>
      <c r="B187" s="2"/>
      <c r="C187" s="2"/>
      <c r="D187" s="2"/>
      <c r="E187" s="2"/>
      <c r="F187" s="2"/>
      <c r="G187" s="598">
        <f>IF(AND(G$193&lt;&gt;0,G$193&gt;0),IF(($E$184*5)&gt;=G$193,0,1),IF(AND(G$193&lt;&gt;0,G$193&lt;0),IF(($E$184*5)&lt;=G$193,0,1),0))</f>
        <v>0</v>
      </c>
      <c r="H187" s="598">
        <f>IF(AND(H$193&lt;&gt;0,H$193&gt;0),IF(($E$184*5)&gt;=H$193,0,1),IF(AND(H$193&lt;&gt;0,H$193&lt;0),IF(($E$184*5)&lt;=H$193,0,1),0))</f>
        <v>0</v>
      </c>
      <c r="I187" s="2061">
        <f>IF(AND(I$193&lt;&gt;0,I$193&gt;0),IF(($E$184*5)&gt;=I$193,0,1),IF(AND(I$193&lt;&gt;0,I$193&lt;0),IF(($E$184*5)&lt;=I$193,0,1),0))</f>
        <v>0</v>
      </c>
      <c r="J187" s="2062"/>
      <c r="K187" s="598">
        <f>IF(AND(K$193&lt;&gt;0,K$193&gt;0),IF(($E$184*5)&gt;=K$193,0,1),IF(AND(K$193&lt;&gt;0,K$193&lt;0),IF(($E$184*5)&lt;=K$193,0,1),0))</f>
        <v>0</v>
      </c>
      <c r="L187" s="2"/>
      <c r="M187" s="2"/>
      <c r="N187" s="2"/>
      <c r="O187" s="2"/>
      <c r="P187" s="2"/>
      <c r="Q187" s="2"/>
      <c r="R187" s="591"/>
      <c r="S187" s="591"/>
      <c r="T187" s="591"/>
      <c r="U187" s="591"/>
      <c r="V187" s="591"/>
      <c r="W187" s="591"/>
      <c r="X187" s="591"/>
      <c r="AA187" s="591"/>
      <c r="AB187" s="591"/>
      <c r="AC187" s="591"/>
      <c r="AG187" s="591"/>
      <c r="AS187" s="591"/>
    </row>
    <row r="188" spans="1:45" ht="7.5" customHeight="1" x14ac:dyDescent="0.2">
      <c r="A188" s="2"/>
      <c r="B188" s="2"/>
      <c r="C188" s="2"/>
      <c r="D188" s="2"/>
      <c r="E188" s="2"/>
      <c r="F188" s="2"/>
      <c r="G188" s="598">
        <f>IF(AND(G$193&lt;&gt;0,G$193&gt;0),IF(($E$184*4)&gt;=G$193,0,1),IF(AND(G$193&lt;&gt;0,G$193&lt;0),IF(($E$184*4)&lt;=G$193,0,1),0))</f>
        <v>0</v>
      </c>
      <c r="H188" s="598">
        <f>IF(AND(H$193&lt;&gt;0,H$193&gt;0),IF(($E$184*4)&gt;=H$193,0,1),IF(AND(H$193&lt;&gt;0,H$193&lt;0),IF(($E$184*4)&lt;=H$193,0,1),0))</f>
        <v>0</v>
      </c>
      <c r="I188" s="2061">
        <f>IF(AND(I$193&lt;&gt;0,I$193&gt;0),IF(($E$184*4)&gt;=I$193,0,1),IF(AND(I$193&lt;&gt;0,I$193&lt;0),IF(($E$184*4)&lt;=I$193,0,1),0))</f>
        <v>0</v>
      </c>
      <c r="J188" s="2062"/>
      <c r="K188" s="598">
        <f>IF(AND(K$193&lt;&gt;0,K$193&gt;0),IF(($E$184*4)&gt;=K$193,0,1),IF(AND(K$193&lt;&gt;0,K$193&lt;0),IF(($E$184*4)&lt;=K$193,0,1),0))</f>
        <v>0</v>
      </c>
      <c r="L188" s="2"/>
      <c r="M188" s="2"/>
      <c r="N188" s="2"/>
      <c r="O188" s="2"/>
      <c r="P188" s="2"/>
      <c r="Q188" s="2"/>
      <c r="R188" s="591"/>
      <c r="S188" s="591"/>
      <c r="T188" s="591"/>
      <c r="U188" s="591"/>
      <c r="V188" s="591"/>
      <c r="W188" s="591"/>
      <c r="X188" s="591"/>
      <c r="AA188" s="591"/>
      <c r="AB188" s="591"/>
      <c r="AC188" s="591"/>
      <c r="AG188" s="591"/>
      <c r="AS188" s="591"/>
    </row>
    <row r="189" spans="1:45" ht="7.5" customHeight="1" x14ac:dyDescent="0.2">
      <c r="A189" s="2"/>
      <c r="B189" s="2"/>
      <c r="C189" s="2"/>
      <c r="D189" s="2"/>
      <c r="E189" s="2"/>
      <c r="F189" s="2"/>
      <c r="G189" s="598">
        <f>IF(AND(G$193&lt;&gt;0,G$193&gt;0),IF(($E$184*3)&gt;=G$193,0,1),IF(AND(G$193&lt;&gt;0,G$193&lt;0),IF(($E$184*3)&lt;=G$193,0,1),0))</f>
        <v>0</v>
      </c>
      <c r="H189" s="598">
        <f>IF(AND(H$193&lt;&gt;0,H$193&gt;0),IF(($E$184*3)&gt;=H$193,0,1),IF(AND(H$193&lt;&gt;0,H$193&lt;0),IF(($E$184*3)&lt;=H$193,0,1),0))</f>
        <v>0</v>
      </c>
      <c r="I189" s="2061">
        <f>IF(AND(I$193&lt;&gt;0,I$193&gt;0),IF(($E$184*3)&gt;=I$193,0,1),IF(AND(I$193&lt;&gt;0,I$193&lt;0),IF(($E$184*3)&lt;=I$193,0,1),0))</f>
        <v>0</v>
      </c>
      <c r="J189" s="2062"/>
      <c r="K189" s="598">
        <f>IF(AND(K$193&lt;&gt;0,K$193&gt;0),IF(($E$184*3)&gt;=K$193,0,1),IF(AND(K$193&lt;&gt;0,K$193&lt;0),IF(($E$184*3)&lt;=K$193,0,1),0))</f>
        <v>0</v>
      </c>
      <c r="L189" s="2"/>
      <c r="M189" s="2"/>
      <c r="N189" s="2"/>
      <c r="O189" s="2"/>
      <c r="P189" s="2"/>
      <c r="Q189" s="2"/>
      <c r="R189" s="591"/>
      <c r="S189" s="591"/>
      <c r="T189" s="591"/>
      <c r="U189" s="591"/>
      <c r="V189" s="591"/>
      <c r="W189" s="591"/>
      <c r="X189" s="591"/>
      <c r="AA189" s="591"/>
      <c r="AB189" s="591"/>
      <c r="AC189" s="591"/>
      <c r="AG189" s="591"/>
      <c r="AS189" s="591"/>
    </row>
    <row r="190" spans="1:45" ht="7.5" customHeight="1" x14ac:dyDescent="0.2">
      <c r="A190" s="2"/>
      <c r="B190" s="2"/>
      <c r="C190" s="2"/>
      <c r="D190" s="2"/>
      <c r="E190" s="2"/>
      <c r="F190" s="2"/>
      <c r="G190" s="598">
        <f>IF(AND(G$193&lt;&gt;0,G$193&gt;0),IF(($E$184*2)&gt;=G$193,0,1),IF(AND(G$193&lt;&gt;0,G$193&lt;0),IF(($E$184*2)&lt;=G$193,0,1),0))</f>
        <v>0</v>
      </c>
      <c r="H190" s="598">
        <f>IF(AND(H$193&lt;&gt;0,H$193&gt;0),IF(($E$184*2)&gt;=H$193,0,1),IF(AND(H$193&lt;&gt;0,H$193&lt;0),IF(($E$184*2)&lt;=H$193,0,1),0))</f>
        <v>0</v>
      </c>
      <c r="I190" s="2061">
        <f>IF(AND(I$193&lt;&gt;0,I$193&gt;0),IF(($E$184*2)&gt;=I$193,0,1),IF(AND(I$193&lt;&gt;0,I$193&lt;0),IF(($E$184*2)&lt;=I$193,0,1),0))</f>
        <v>0</v>
      </c>
      <c r="J190" s="2062"/>
      <c r="K190" s="598">
        <f>IF(AND(K$193&lt;&gt;0,K$193&gt;0),IF(($E$184*2)&gt;=K$193,0,1),IF(AND(K$193&lt;&gt;0,K$193&lt;0),IF(($E$184*2)&lt;=K$193,0,1),0))</f>
        <v>0</v>
      </c>
      <c r="L190" s="2"/>
      <c r="M190" s="2"/>
      <c r="N190" s="2"/>
      <c r="O190" s="2"/>
      <c r="P190" s="2"/>
      <c r="Q190" s="2"/>
      <c r="R190" s="591"/>
      <c r="S190" s="591"/>
      <c r="T190" s="591"/>
      <c r="U190" s="591"/>
      <c r="V190" s="591"/>
      <c r="W190" s="591"/>
      <c r="X190" s="591"/>
      <c r="AA190" s="591"/>
      <c r="AB190" s="591"/>
      <c r="AC190" s="591"/>
      <c r="AG190" s="591"/>
      <c r="AS190" s="591"/>
    </row>
    <row r="191" spans="1:45" ht="7.5" customHeight="1" x14ac:dyDescent="0.2">
      <c r="A191" s="2"/>
      <c r="B191" s="2"/>
      <c r="C191" s="2"/>
      <c r="D191" s="2"/>
      <c r="E191" s="2"/>
      <c r="F191" s="2"/>
      <c r="G191" s="598">
        <f>IF(AND(G$193&lt;&gt;0,G$193&gt;0),IF(($E$184*1)&gt;=G$193,0,1),IF(AND(G$193&lt;&gt;0,G$193&lt;0),IF(($E$184*1)&lt;=G$193,0,1),0))</f>
        <v>0</v>
      </c>
      <c r="H191" s="598">
        <f>IF(AND(H$193&lt;&gt;0,H$193&gt;0),IF(($E$184*1)&gt;=H$193,0,1),IF(AND(H$193&lt;&gt;0,H$193&lt;0),IF(($E$184*1)&lt;=H$193,0,1),0))</f>
        <v>0</v>
      </c>
      <c r="I191" s="2061">
        <f>IF(AND(I$193&lt;&gt;0,I$193&gt;0),IF(($E$184*1)&gt;=I$193,0,1),IF(AND(I$193&lt;&gt;0,I$193&lt;0),IF(($E$184*1)&lt;=I$193,0,1),0))</f>
        <v>0</v>
      </c>
      <c r="J191" s="2062"/>
      <c r="K191" s="598">
        <f>IF(AND(K$193&lt;&gt;0,K$193&gt;0),IF(($E$184*1)&gt;=K$193,0,1),IF(AND(K$193&lt;&gt;0,K$193&lt;0),IF(($E$184*1)&lt;=K$193,0,1),0))</f>
        <v>0</v>
      </c>
      <c r="L191" s="2"/>
      <c r="M191" s="2"/>
      <c r="N191" s="2"/>
      <c r="O191" s="2"/>
      <c r="P191" s="2"/>
      <c r="Q191" s="2"/>
      <c r="R191" s="591"/>
      <c r="S191" s="591"/>
      <c r="T191" s="591"/>
      <c r="U191" s="591"/>
      <c r="V191" s="591"/>
      <c r="W191" s="591"/>
      <c r="X191" s="591"/>
      <c r="AA191" s="591"/>
      <c r="AB191" s="591"/>
      <c r="AC191" s="591"/>
      <c r="AG191" s="591"/>
      <c r="AS191" s="591"/>
    </row>
    <row r="192" spans="1:45" ht="7.5" customHeight="1" x14ac:dyDescent="0.2">
      <c r="A192" s="2"/>
      <c r="B192" s="2"/>
      <c r="C192" s="2"/>
      <c r="D192" s="2"/>
      <c r="E192" s="2"/>
      <c r="F192" s="2"/>
      <c r="G192" s="599">
        <f>IF(G193&lt;&gt;0,1,0)</f>
        <v>0</v>
      </c>
      <c r="H192" s="599">
        <f>IF(H193&lt;&gt;0,1,0)</f>
        <v>0</v>
      </c>
      <c r="I192" s="2199">
        <f>IF(I193&lt;&gt;0,1,0)</f>
        <v>0</v>
      </c>
      <c r="J192" s="2200"/>
      <c r="K192" s="599">
        <f>IF(K193&lt;&gt;0,1,0)</f>
        <v>0</v>
      </c>
      <c r="L192" s="2"/>
      <c r="M192" s="2"/>
      <c r="N192" s="2"/>
      <c r="O192" s="2"/>
      <c r="P192" s="2"/>
      <c r="Q192" s="2"/>
      <c r="R192" s="591"/>
      <c r="S192" s="591"/>
      <c r="T192" s="591"/>
      <c r="U192" s="591"/>
      <c r="V192" s="591"/>
      <c r="W192" s="591"/>
      <c r="X192" s="591"/>
      <c r="AA192" s="591"/>
      <c r="AB192" s="591"/>
      <c r="AC192" s="591"/>
      <c r="AG192" s="591"/>
      <c r="AS192" s="591"/>
    </row>
    <row r="193" spans="1:45" ht="21.95" customHeight="1" x14ac:dyDescent="0.2">
      <c r="A193" s="2"/>
      <c r="B193" s="7"/>
      <c r="C193" s="2092" t="s">
        <v>582</v>
      </c>
      <c r="D193" s="2092"/>
      <c r="E193" s="2093">
        <f>SUM(G193:K193)</f>
        <v>0</v>
      </c>
      <c r="F193" s="2093"/>
      <c r="G193" s="623">
        <f>VLOOKUP($M166,$C215:G217,G214,FALSE)</f>
        <v>0</v>
      </c>
      <c r="H193" s="623">
        <f>VLOOKUP($M166,$C215:H217,H214,FALSE)</f>
        <v>0</v>
      </c>
      <c r="I193" s="2196">
        <f>VLOOKUP($M166,$C215:I217,I214,FALSE)</f>
        <v>0</v>
      </c>
      <c r="J193" s="2196"/>
      <c r="K193" s="623">
        <f>VLOOKUP($M166,$C215:J217,J214,FALSE)</f>
        <v>0</v>
      </c>
      <c r="L193" s="2"/>
      <c r="M193" s="12"/>
      <c r="N193" s="2"/>
      <c r="O193" s="2"/>
      <c r="P193" s="2"/>
      <c r="Q193" s="2"/>
      <c r="R193" s="591"/>
      <c r="S193" s="591"/>
      <c r="T193" s="591"/>
      <c r="U193" s="591"/>
      <c r="V193" s="591"/>
      <c r="W193" s="591"/>
      <c r="X193" s="591"/>
      <c r="AA193" s="591"/>
      <c r="AB193" s="591"/>
      <c r="AC193" s="591"/>
      <c r="AG193" s="591"/>
      <c r="AS193" s="591"/>
    </row>
    <row r="194" spans="1:45" ht="11.25" customHeight="1" x14ac:dyDescent="0.2">
      <c r="A194" s="2"/>
      <c r="B194" s="2"/>
      <c r="C194" s="2"/>
      <c r="D194" s="2"/>
      <c r="E194" s="2"/>
      <c r="F194" s="2"/>
      <c r="G194" s="2"/>
      <c r="H194" s="2"/>
      <c r="I194" s="2203"/>
      <c r="J194" s="2203"/>
      <c r="K194" s="2"/>
      <c r="L194" s="2"/>
      <c r="M194" s="2"/>
      <c r="N194" s="2"/>
      <c r="O194" s="2"/>
      <c r="P194" s="2"/>
      <c r="Q194" s="2"/>
      <c r="R194" s="591"/>
      <c r="S194" s="591"/>
      <c r="T194" s="591"/>
      <c r="U194" s="591"/>
      <c r="V194" s="591"/>
      <c r="W194" s="591"/>
      <c r="X194" s="591"/>
      <c r="AA194" s="591"/>
      <c r="AB194" s="591"/>
      <c r="AC194" s="591"/>
      <c r="AG194" s="591"/>
      <c r="AS194" s="591"/>
    </row>
    <row r="195" spans="1:45" ht="19.5" customHeight="1" x14ac:dyDescent="0.2">
      <c r="A195" s="2"/>
      <c r="B195" s="2"/>
      <c r="C195" s="2063" t="e">
        <f>VLOOKUP(I207,I220:K229,3,FALSE)</f>
        <v>#N/A</v>
      </c>
      <c r="D195" s="2063"/>
      <c r="E195" s="2063"/>
      <c r="F195" s="2063"/>
      <c r="G195" s="2063"/>
      <c r="H195" s="2063"/>
      <c r="I195" s="2202"/>
      <c r="J195" s="2202"/>
      <c r="K195" s="2"/>
      <c r="L195" s="2"/>
      <c r="M195" s="2"/>
      <c r="N195" s="2"/>
      <c r="O195" s="2"/>
      <c r="P195" s="2"/>
      <c r="Q195" s="2"/>
      <c r="R195" s="591"/>
      <c r="S195" s="591"/>
      <c r="T195" s="591"/>
      <c r="U195" s="591"/>
      <c r="V195" s="591"/>
      <c r="W195" s="591"/>
      <c r="X195" s="591"/>
      <c r="AA195" s="591"/>
      <c r="AB195" s="591"/>
      <c r="AC195" s="591"/>
      <c r="AG195" s="591"/>
      <c r="AS195" s="591"/>
    </row>
    <row r="196" spans="1:45" ht="7.5" customHeight="1" x14ac:dyDescent="0.2">
      <c r="A196" s="2"/>
      <c r="B196" s="2"/>
      <c r="C196" s="2064"/>
      <c r="D196" s="2065"/>
      <c r="E196" s="484"/>
      <c r="F196" s="2"/>
      <c r="G196" s="594" t="e">
        <f>IF(AND(G$206&lt;&gt;0,G$206&gt;0),IF(($E$197*9)&gt;=G$206,0,1),IF(AND(G$206&lt;&gt;0,G$206&lt;0),IF(($E$197*9)&lt;=G$206,0,1),0))</f>
        <v>#N/A</v>
      </c>
      <c r="H196" s="594" t="e">
        <f>IF(AND(H$206&lt;&gt;0,H$206&gt;0),IF(($E$197*9)&gt;=H$206,0,1),IF(AND(H$206&lt;&gt;0,H$206&lt;0),IF(($E$197*9)&lt;=H$206,0,1),0))</f>
        <v>#N/A</v>
      </c>
      <c r="I196" s="2197" t="e">
        <f>IF(AND(I$206&lt;&gt;0,I$206&gt;0),IF(($E$197*9)&gt;=I$206,0,1),IF(AND(I$206&lt;&gt;0,I$206&lt;0),IF(($E$197*9)&lt;=I$206,0,1),0))</f>
        <v>#N/A</v>
      </c>
      <c r="J196" s="2198"/>
      <c r="K196" s="594" t="e">
        <f>IF(AND(K$206&lt;&gt;0,K$206&gt;0),IF(($E$197*9)&gt;=K$206,0,1),IF(AND(K$206&lt;&gt;0,K$206&lt;0),IF(($E$197*9)&lt;=K$206,0,1),0))</f>
        <v>#N/A</v>
      </c>
      <c r="L196" s="2"/>
      <c r="M196" s="2"/>
      <c r="N196" s="2"/>
      <c r="O196" s="2"/>
      <c r="P196" s="2"/>
      <c r="Q196" s="2"/>
      <c r="R196" s="591"/>
      <c r="S196" s="591"/>
      <c r="T196" s="591"/>
      <c r="U196" s="591"/>
      <c r="V196" s="591"/>
      <c r="W196" s="591"/>
      <c r="X196" s="591"/>
      <c r="AA196" s="591"/>
      <c r="AB196" s="591"/>
      <c r="AC196" s="591"/>
      <c r="AG196" s="591"/>
      <c r="AS196" s="591"/>
    </row>
    <row r="197" spans="1:45" ht="7.5" customHeight="1" x14ac:dyDescent="0.2">
      <c r="A197" s="2"/>
      <c r="B197" s="2"/>
      <c r="C197" s="2096" t="s">
        <v>587</v>
      </c>
      <c r="D197" s="2096"/>
      <c r="E197" s="2098">
        <f>IF(OR(M166=0,M168=""),0,IF(M168=E220,E221,MAX(G206:K206)/10))</f>
        <v>0</v>
      </c>
      <c r="F197" s="2"/>
      <c r="G197" s="595" t="e">
        <f>IF(AND(G$206&lt;&gt;0,G$206&gt;0),IF(($E$197*8)&gt;=G$206,0,1),IF(AND(G$206&lt;&gt;0,G$206&lt;0),IF(($E$197*8)&lt;=G$206,0,1),0))</f>
        <v>#N/A</v>
      </c>
      <c r="H197" s="595" t="e">
        <f>IF(AND(H$206&lt;&gt;0,H$206&gt;0),IF(($E$197*8)&gt;=H$206,0,1),IF(AND(H$206&lt;&gt;0,H$206&lt;0),IF(($E$197*8)&lt;=H$206,0,1),0))</f>
        <v>#N/A</v>
      </c>
      <c r="I197" s="2049" t="e">
        <f>IF(AND(I$206&lt;&gt;0,I$206&gt;0),IF(($E$197*8)&gt;=I$206,0,1),IF(AND(I$206&lt;&gt;0,I$206&lt;0),IF(($E$197*8)&lt;=I$206,0,1),0))</f>
        <v>#N/A</v>
      </c>
      <c r="J197" s="2050"/>
      <c r="K197" s="595" t="e">
        <f>IF(AND(K$206&lt;&gt;0,K$206&gt;0),IF(($E$197*8)&gt;=K$206,0,1),IF(AND(K$206&lt;&gt;0,K$206&lt;0),IF(($E$197*8)&lt;=K$206,0,1),0))</f>
        <v>#N/A</v>
      </c>
      <c r="L197" s="2"/>
      <c r="M197" s="2"/>
      <c r="N197" s="2"/>
      <c r="O197" s="2"/>
      <c r="P197" s="2"/>
      <c r="Q197" s="2"/>
      <c r="R197" s="591"/>
      <c r="S197" s="591"/>
      <c r="T197" s="591"/>
      <c r="U197" s="591"/>
      <c r="V197" s="591"/>
      <c r="W197" s="591"/>
      <c r="X197" s="591"/>
      <c r="AA197" s="591"/>
      <c r="AB197" s="591"/>
      <c r="AC197" s="591"/>
      <c r="AG197" s="591"/>
      <c r="AS197" s="591"/>
    </row>
    <row r="198" spans="1:45" ht="7.5" customHeight="1" x14ac:dyDescent="0.2">
      <c r="A198" s="2"/>
      <c r="B198" s="2"/>
      <c r="C198" s="2097"/>
      <c r="D198" s="2097"/>
      <c r="E198" s="2098"/>
      <c r="F198" s="2"/>
      <c r="G198" s="595" t="e">
        <f>IF(AND(G$206&lt;&gt;0,G$206&gt;0),IF(($E$197*7)&gt;=G$206,0,1),IF(AND(G$206&lt;&gt;0,G$206&lt;0),IF(($E$197*7)&lt;=G$206,0,1),0))</f>
        <v>#N/A</v>
      </c>
      <c r="H198" s="595" t="e">
        <f>IF(AND(H$206&lt;&gt;0,H$206&gt;0),IF(($E$197*7)&gt;=H$206,0,1),IF(AND(H$206&lt;&gt;0,H$206&lt;0),IF(($E$197*7)&lt;=H$206,0,1),0))</f>
        <v>#N/A</v>
      </c>
      <c r="I198" s="2049" t="e">
        <f>IF(AND(I$206&lt;&gt;0,I$206&gt;0),IF(($E$197*7)&gt;=I$206,0,1),IF(AND(I$206&lt;&gt;0,I$206&lt;0),IF(($E$197*7)&lt;=I$206,0,1),0))</f>
        <v>#N/A</v>
      </c>
      <c r="J198" s="2050"/>
      <c r="K198" s="595" t="e">
        <f>IF(AND(K$206&lt;&gt;0,K$206&gt;0),IF(($E$197*7)&gt;=K$206,0,1),IF(AND(K$206&lt;&gt;0,K$206&lt;0),IF(($E$197*7)&lt;=K$206,0,1),0))</f>
        <v>#N/A</v>
      </c>
      <c r="L198" s="2"/>
      <c r="M198" s="2"/>
      <c r="N198" s="2"/>
      <c r="O198" s="2"/>
      <c r="P198" s="2"/>
      <c r="Q198" s="2"/>
      <c r="R198" s="591"/>
      <c r="S198" s="591"/>
      <c r="T198" s="591"/>
      <c r="U198" s="591"/>
      <c r="V198" s="591"/>
      <c r="W198" s="591"/>
      <c r="X198" s="591"/>
      <c r="AA198" s="591"/>
      <c r="AB198" s="591"/>
      <c r="AC198" s="591"/>
      <c r="AG198" s="591"/>
      <c r="AS198" s="591"/>
    </row>
    <row r="199" spans="1:45" ht="7.5" customHeight="1" x14ac:dyDescent="0.2">
      <c r="A199" s="2"/>
      <c r="B199" s="2"/>
      <c r="C199" s="2"/>
      <c r="D199" s="2"/>
      <c r="E199" s="2"/>
      <c r="F199" s="2"/>
      <c r="G199" s="595" t="e">
        <f>IF(AND(G$206&lt;&gt;0,G$206&gt;0),IF(($E$197*6)&gt;=G$206,0,1),IF(AND(G$206&lt;&gt;0,G$206&lt;0),IF(($E$197*6)&lt;=G$206,0,1),0))</f>
        <v>#N/A</v>
      </c>
      <c r="H199" s="595" t="e">
        <f>IF(AND(H$206&lt;&gt;0,H$206&gt;0),IF(($E$197*6)&gt;=H$206,0,1),IF(AND(H$206&lt;&gt;0,H$206&lt;0),IF(($E$197*6)&lt;=H$206,0,1),0))</f>
        <v>#N/A</v>
      </c>
      <c r="I199" s="2049" t="e">
        <f>IF(AND(I$206&lt;&gt;0,I$206&gt;0),IF(($E$197*6)&gt;=I$206,0,1),IF(AND(I$206&lt;&gt;0,I$206&lt;0),IF(($E$197*6)&lt;=I$206,0,1),0))</f>
        <v>#N/A</v>
      </c>
      <c r="J199" s="2050"/>
      <c r="K199" s="595" t="e">
        <f>IF(AND(K$206&lt;&gt;0,K$206&gt;0),IF(($E$197*6)&gt;=K$206,0,1),IF(AND(K$206&lt;&gt;0,K$206&lt;0),IF(($E$197*6)&lt;=K$206,0,1),0))</f>
        <v>#N/A</v>
      </c>
      <c r="L199" s="2"/>
      <c r="M199" s="2"/>
      <c r="N199" s="2"/>
      <c r="O199" s="2"/>
      <c r="P199" s="2"/>
      <c r="Q199" s="2"/>
      <c r="R199" s="591"/>
      <c r="S199" s="591"/>
      <c r="T199" s="591"/>
      <c r="U199" s="591"/>
      <c r="V199" s="591"/>
      <c r="W199" s="591"/>
      <c r="X199" s="591"/>
      <c r="AA199" s="591"/>
      <c r="AB199" s="591"/>
      <c r="AC199" s="591"/>
      <c r="AG199" s="591"/>
      <c r="AS199" s="591"/>
    </row>
    <row r="200" spans="1:45" ht="7.5" customHeight="1" x14ac:dyDescent="0.2">
      <c r="A200" s="2"/>
      <c r="B200" s="2"/>
      <c r="C200" s="2"/>
      <c r="D200" s="2"/>
      <c r="E200" s="2"/>
      <c r="F200" s="2"/>
      <c r="G200" s="595" t="e">
        <f>IF(AND(G$206&lt;&gt;0,G$206&gt;0),IF(($E$197*5)&gt;=G$206,0,1),IF(AND(G$206&lt;&gt;0,G$206&lt;0),IF(($E$197*5)&lt;=G$206,0,1),0))</f>
        <v>#N/A</v>
      </c>
      <c r="H200" s="595" t="e">
        <f>IF(AND(H$206&lt;&gt;0,H$206&gt;0),IF(($E$197*5)&gt;=H$206,0,1),IF(AND(H$206&lt;&gt;0,H$206&lt;0),IF(($E$197*5)&lt;=H$206,0,1),0))</f>
        <v>#N/A</v>
      </c>
      <c r="I200" s="2049" t="e">
        <f>IF(AND(I$206&lt;&gt;0,I$206&gt;0),IF(($E$197*5)&gt;=I$206,0,1),IF(AND(I$206&lt;&gt;0,I$206&lt;0),IF(($E$197*5)&lt;=I$206,0,1),0))</f>
        <v>#N/A</v>
      </c>
      <c r="J200" s="2050"/>
      <c r="K200" s="595" t="e">
        <f>IF(AND(K$206&lt;&gt;0,K$206&gt;0),IF(($E$197*5)&gt;=K$206,0,1),IF(AND(K$206&lt;&gt;0,K$206&lt;0),IF(($E$197*5)&lt;=K$206,0,1),0))</f>
        <v>#N/A</v>
      </c>
      <c r="L200" s="2"/>
      <c r="M200" s="2"/>
      <c r="N200" s="2"/>
      <c r="O200" s="2"/>
      <c r="P200" s="2"/>
      <c r="Q200" s="2"/>
      <c r="R200" s="591"/>
      <c r="S200" s="591"/>
      <c r="T200" s="591"/>
      <c r="U200" s="591"/>
      <c r="V200" s="591"/>
      <c r="W200" s="591"/>
      <c r="X200" s="591"/>
      <c r="AA200" s="591"/>
      <c r="AB200" s="591"/>
      <c r="AC200" s="591"/>
      <c r="AG200" s="591"/>
      <c r="AS200" s="591"/>
    </row>
    <row r="201" spans="1:45" ht="7.5" customHeight="1" x14ac:dyDescent="0.2">
      <c r="A201" s="2"/>
      <c r="B201" s="2"/>
      <c r="C201" s="2"/>
      <c r="D201" s="2"/>
      <c r="E201" s="2"/>
      <c r="F201" s="2"/>
      <c r="G201" s="595" t="e">
        <f>IF(AND(G$206&lt;&gt;0,G$206&gt;0),IF(($E$197*4)&gt;=G$206,0,1),IF(AND(G$206&lt;&gt;0,G$206&lt;0),IF(($E$197*4)&lt;=G$206,0,1),0))</f>
        <v>#N/A</v>
      </c>
      <c r="H201" s="595" t="e">
        <f>IF(AND(H$206&lt;&gt;0,H$206&gt;0),IF(($E$197*4)&gt;=H$206,0,1),IF(AND(H$206&lt;&gt;0,H$206&lt;0),IF(($E$197*4)&lt;=H$206,0,1),0))</f>
        <v>#N/A</v>
      </c>
      <c r="I201" s="2049" t="e">
        <f>IF(AND(I$206&lt;&gt;0,I$206&gt;0),IF(($E$197*4)&gt;=I$206,0,1),IF(AND(I$206&lt;&gt;0,I$206&lt;0),IF(($E$197*4)&lt;=I$206,0,1),0))</f>
        <v>#N/A</v>
      </c>
      <c r="J201" s="2050"/>
      <c r="K201" s="595" t="e">
        <f>IF(AND(K$206&lt;&gt;0,K$206&gt;0),IF(($E$197*4)&gt;=K$206,0,1),IF(AND(K$206&lt;&gt;0,K$206&lt;0),IF(($E$197*4)&lt;=K$206,0,1),0))</f>
        <v>#N/A</v>
      </c>
      <c r="L201" s="2"/>
      <c r="M201" s="2"/>
      <c r="N201" s="2"/>
      <c r="O201" s="2"/>
      <c r="P201" s="2"/>
      <c r="Q201" s="2"/>
      <c r="R201" s="591"/>
      <c r="S201" s="591"/>
      <c r="T201" s="591"/>
      <c r="U201" s="591"/>
      <c r="V201" s="591"/>
      <c r="W201" s="591"/>
      <c r="X201" s="591"/>
      <c r="AA201" s="591"/>
      <c r="AB201" s="591"/>
      <c r="AC201" s="591"/>
      <c r="AG201" s="591"/>
      <c r="AS201" s="591"/>
    </row>
    <row r="202" spans="1:45" ht="7.5" customHeight="1" x14ac:dyDescent="0.2">
      <c r="A202" s="2"/>
      <c r="B202" s="2"/>
      <c r="C202" s="2"/>
      <c r="D202" s="2"/>
      <c r="E202" s="2"/>
      <c r="F202" s="2"/>
      <c r="G202" s="595" t="e">
        <f>IF(AND(G$206&lt;&gt;0,G$206&gt;0),IF(($E$197*3)&gt;=G$206,0,1),IF(AND(G$206&lt;&gt;0,G$206&lt;0),IF(($E$197*3)&lt;=G$206,0,1),0))</f>
        <v>#N/A</v>
      </c>
      <c r="H202" s="595" t="e">
        <f>IF(AND(H$206&lt;&gt;0,H$206&gt;0),IF(($E$197*3)&gt;=H$206,0,1),IF(AND(H$206&lt;&gt;0,H$206&lt;0),IF(($E$197*3)&lt;=H$206,0,1),0))</f>
        <v>#N/A</v>
      </c>
      <c r="I202" s="2049" t="e">
        <f>IF(AND(I$206&lt;&gt;0,I$206&gt;0),IF(($E$197*3)&gt;=I$206,0,1),IF(AND(I$206&lt;&gt;0,I$206&lt;0),IF(($E$197*3)&lt;=I$206,0,1),0))</f>
        <v>#N/A</v>
      </c>
      <c r="J202" s="2050"/>
      <c r="K202" s="595" t="e">
        <f>IF(AND(K$206&lt;&gt;0,K$206&gt;0),IF(($E$197*3)&gt;=K$206,0,1),IF(AND(K$206&lt;&gt;0,K$206&lt;0),IF(($E$197*3)&lt;=K$206,0,1),0))</f>
        <v>#N/A</v>
      </c>
      <c r="L202" s="2"/>
      <c r="M202" s="2"/>
      <c r="N202" s="2"/>
      <c r="O202" s="2"/>
      <c r="P202" s="2"/>
      <c r="Q202" s="2"/>
      <c r="R202" s="591"/>
      <c r="S202" s="591"/>
      <c r="T202" s="591"/>
      <c r="U202" s="591"/>
      <c r="V202" s="591"/>
      <c r="W202" s="591"/>
      <c r="X202" s="591"/>
      <c r="AA202" s="591"/>
      <c r="AB202" s="591"/>
      <c r="AC202" s="591"/>
      <c r="AG202" s="591"/>
      <c r="AS202" s="591"/>
    </row>
    <row r="203" spans="1:45" ht="7.5" customHeight="1" x14ac:dyDescent="0.2">
      <c r="A203" s="2"/>
      <c r="B203" s="2"/>
      <c r="C203" s="2"/>
      <c r="D203" s="2"/>
      <c r="E203" s="2"/>
      <c r="F203" s="2"/>
      <c r="G203" s="595" t="e">
        <f>IF(AND(G$206&lt;&gt;0,G$206&gt;0),IF(($E$197*2)&gt;=G$206,0,1),IF(AND(G$206&lt;&gt;0,G$206&lt;0),IF(($E$197*2)&lt;=G$206,0,1),0))</f>
        <v>#N/A</v>
      </c>
      <c r="H203" s="595" t="e">
        <f>IF(AND(H$206&lt;&gt;0,H$206&gt;0),IF(($E$197*2)&gt;=H$206,0,1),IF(AND(H$206&lt;&gt;0,H$206&lt;0),IF(($E$197*2)&lt;=H$206,0,1),0))</f>
        <v>#N/A</v>
      </c>
      <c r="I203" s="2049" t="e">
        <f>IF(AND(I$206&lt;&gt;0,I$206&gt;0),IF(($E$197*2)&gt;=I$206,0,1),IF(AND(I$206&lt;&gt;0,I$206&lt;0),IF(($E$197*2)&lt;=I$206,0,1),0))</f>
        <v>#N/A</v>
      </c>
      <c r="J203" s="2050"/>
      <c r="K203" s="595" t="e">
        <f>IF(AND(K$206&lt;&gt;0,K$206&gt;0),IF(($E$197*2)&gt;=K$206,0,1),IF(AND(K$206&lt;&gt;0,K$206&lt;0),IF(($E$197*2)&lt;=K$206,0,1),0))</f>
        <v>#N/A</v>
      </c>
      <c r="L203" s="2"/>
      <c r="M203" s="2"/>
      <c r="N203" s="2"/>
      <c r="O203" s="2"/>
      <c r="P203" s="2"/>
      <c r="Q203" s="2"/>
      <c r="R203" s="591"/>
      <c r="S203" s="591"/>
      <c r="T203" s="591"/>
      <c r="U203" s="591"/>
      <c r="V203" s="591"/>
      <c r="W203" s="591"/>
      <c r="X203" s="591"/>
      <c r="AA203" s="591"/>
      <c r="AB203" s="591"/>
      <c r="AC203" s="591"/>
      <c r="AG203" s="591"/>
      <c r="AS203" s="591"/>
    </row>
    <row r="204" spans="1:45" ht="7.5" customHeight="1" x14ac:dyDescent="0.2">
      <c r="A204" s="2"/>
      <c r="B204" s="2"/>
      <c r="C204" s="2"/>
      <c r="D204" s="2"/>
      <c r="E204" s="2"/>
      <c r="F204" s="2"/>
      <c r="G204" s="595" t="e">
        <f>IF(AND(G$206&lt;&gt;0,G$206&gt;0),IF(($E$197*1)&gt;=G$206,0,1),IF(AND(G$206&lt;&gt;0,G$206&lt;0),IF(($E$197*1)&lt;=G$206,0,1),0))</f>
        <v>#N/A</v>
      </c>
      <c r="H204" s="595" t="e">
        <f>IF(AND(H$206&lt;&gt;0,H$206&gt;0),IF(($E$197*1)&gt;=H$206,0,1),IF(AND(H$206&lt;&gt;0,H$206&lt;0),IF(($E$197*1)&lt;=H$206,0,1),0))</f>
        <v>#N/A</v>
      </c>
      <c r="I204" s="2049" t="e">
        <f>IF(AND(I$206&lt;&gt;0,I$206&gt;0),IF(($E$197*1)&gt;=I$206,0,1),IF(AND(I$206&lt;&gt;0,I$206&lt;0),IF(($E$197*1)&lt;=I$206,0,1),0))</f>
        <v>#N/A</v>
      </c>
      <c r="J204" s="2050"/>
      <c r="K204" s="595" t="e">
        <f>IF(AND(K$206&lt;&gt;0,K$206&gt;0),IF(($E$197*1)&gt;=K$206,0,1),IF(AND(K$206&lt;&gt;0,K$206&lt;0),IF(($E$197*1)&lt;=K$206,0,1),0))</f>
        <v>#N/A</v>
      </c>
      <c r="L204" s="2"/>
      <c r="M204" s="2"/>
      <c r="N204" s="2"/>
      <c r="O204" s="2"/>
      <c r="P204" s="2"/>
      <c r="Q204" s="2"/>
      <c r="R204" s="591"/>
      <c r="S204" s="591"/>
      <c r="T204" s="591"/>
      <c r="U204" s="591"/>
      <c r="V204" s="591"/>
      <c r="W204" s="591"/>
      <c r="X204" s="591"/>
      <c r="AA204" s="591"/>
      <c r="AB204" s="591"/>
      <c r="AC204" s="591"/>
      <c r="AG204" s="591"/>
      <c r="AS204" s="591"/>
    </row>
    <row r="205" spans="1:45" ht="7.5" customHeight="1" x14ac:dyDescent="0.2">
      <c r="A205" s="2"/>
      <c r="B205" s="2"/>
      <c r="C205" s="2"/>
      <c r="D205" s="2"/>
      <c r="E205" s="2"/>
      <c r="F205" s="2"/>
      <c r="G205" s="596" t="e">
        <f>IF(G206&lt;&gt;0,1,0)</f>
        <v>#N/A</v>
      </c>
      <c r="H205" s="596" t="e">
        <f>IF(H206&lt;&gt;0,1,0)</f>
        <v>#N/A</v>
      </c>
      <c r="I205" s="2194" t="e">
        <f>IF(I206&lt;&gt;0,1,0)</f>
        <v>#N/A</v>
      </c>
      <c r="J205" s="2195"/>
      <c r="K205" s="596" t="e">
        <f>IF(K206&lt;&gt;0,1,0)</f>
        <v>#N/A</v>
      </c>
      <c r="L205" s="2"/>
      <c r="M205" s="2"/>
      <c r="N205" s="2"/>
      <c r="O205" s="2"/>
      <c r="P205" s="2"/>
      <c r="Q205" s="2"/>
      <c r="R205" s="591"/>
      <c r="S205" s="591"/>
      <c r="T205" s="591"/>
      <c r="U205" s="591"/>
      <c r="V205" s="591"/>
      <c r="W205" s="591"/>
      <c r="X205" s="591"/>
      <c r="AA205" s="591"/>
      <c r="AB205" s="591"/>
      <c r="AC205" s="591"/>
      <c r="AG205" s="591"/>
      <c r="AS205" s="591"/>
    </row>
    <row r="206" spans="1:45" ht="21.95" customHeight="1" x14ac:dyDescent="0.2">
      <c r="A206" s="2"/>
      <c r="B206" s="7"/>
      <c r="C206" s="2092" t="s">
        <v>582</v>
      </c>
      <c r="D206" s="2092"/>
      <c r="E206" s="2093" t="e">
        <f>SUM(G206:K206)</f>
        <v>#N/A</v>
      </c>
      <c r="F206" s="2093"/>
      <c r="G206" s="623" t="e">
        <f>HLOOKUP(G1,STORICO!$E$109:$Y$140,VLOOKUP(CONCATENATE($M166,$I207),STORICO!$AP$111:$AQ$140,2,FALSE),FALSE)</f>
        <v>#N/A</v>
      </c>
      <c r="H206" s="623" t="e">
        <f>HLOOKUP(H1,STORICO!$E$109:$Y$140,VLOOKUP(CONCATENATE($M166,$I207),STORICO!$AP$111:$AQ$140,2,FALSE),FALSE)</f>
        <v>#N/A</v>
      </c>
      <c r="I206" s="2196" t="e">
        <f>HLOOKUP(K1,STORICO!$E$109:$Y$140,VLOOKUP(CONCATENATE($M166,$I207),STORICO!$AP$111:$AQ$140,2,FALSE),FALSE)</f>
        <v>#N/A</v>
      </c>
      <c r="J206" s="2196"/>
      <c r="K206" s="623" t="e">
        <f>HLOOKUP(N1,STORICO!$E$109:$Y$140,VLOOKUP(CONCATENATE($M166,$I207),STORICO!$AP$111:$AQ$140,2,FALSE),FALSE)</f>
        <v>#N/A</v>
      </c>
      <c r="L206" s="2"/>
      <c r="M206" s="12"/>
      <c r="N206" s="2"/>
      <c r="O206" s="2"/>
      <c r="P206" s="2"/>
      <c r="Q206" s="2"/>
      <c r="R206" s="591"/>
      <c r="S206" s="591"/>
      <c r="T206" s="591"/>
      <c r="U206" s="591"/>
      <c r="V206" s="591"/>
      <c r="W206" s="591"/>
      <c r="X206" s="591"/>
      <c r="AA206" s="591"/>
      <c r="AB206" s="591"/>
      <c r="AC206" s="591"/>
      <c r="AG206" s="591"/>
      <c r="AS206" s="591"/>
    </row>
    <row r="207" spans="1:45" ht="18.75" customHeight="1" x14ac:dyDescent="0.2">
      <c r="A207" s="2"/>
      <c r="B207" s="2"/>
      <c r="C207" s="2059" t="s">
        <v>563</v>
      </c>
      <c r="D207" s="2059"/>
      <c r="E207" s="2059"/>
      <c r="F207" s="2059"/>
      <c r="G207" s="2059"/>
      <c r="H207" s="2060"/>
      <c r="I207" s="2191"/>
      <c r="J207" s="2192"/>
      <c r="K207" s="2193"/>
      <c r="L207" s="2"/>
      <c r="M207" s="2"/>
      <c r="N207" s="2"/>
      <c r="O207" s="2"/>
      <c r="P207" s="2"/>
      <c r="Q207" s="2"/>
      <c r="R207" s="591"/>
      <c r="S207" s="591"/>
      <c r="T207" s="591"/>
      <c r="U207" s="591"/>
      <c r="V207" s="591"/>
      <c r="W207" s="591"/>
      <c r="X207" s="591"/>
      <c r="AA207" s="591"/>
      <c r="AB207" s="591"/>
      <c r="AC207" s="591"/>
      <c r="AG207" s="591"/>
      <c r="AS207" s="591"/>
    </row>
    <row r="208" spans="1:45" ht="18.75" customHeight="1" x14ac:dyDescent="0.2">
      <c r="A208" s="2"/>
      <c r="B208" s="2"/>
      <c r="C208" s="14"/>
      <c r="D208" s="14"/>
      <c r="E208" s="14"/>
      <c r="F208" s="14"/>
      <c r="G208" s="14"/>
      <c r="H208" s="14"/>
      <c r="I208" s="14"/>
      <c r="J208" s="2"/>
      <c r="K208" s="2"/>
      <c r="L208" s="2"/>
      <c r="M208" s="2"/>
      <c r="N208" s="2"/>
      <c r="O208" s="2"/>
      <c r="P208" s="2"/>
      <c r="Q208" s="2"/>
      <c r="R208" s="591"/>
      <c r="S208" s="591"/>
      <c r="T208" s="591"/>
      <c r="U208" s="591"/>
      <c r="V208" s="591"/>
      <c r="W208" s="591"/>
      <c r="X208" s="591"/>
      <c r="AA208" s="591"/>
      <c r="AB208" s="591"/>
      <c r="AC208" s="591"/>
      <c r="AG208" s="591"/>
      <c r="AS208" s="591"/>
    </row>
    <row r="209" spans="1:45" ht="18.75" customHeight="1" x14ac:dyDescent="0.2">
      <c r="A209" s="2"/>
      <c r="B209" s="2"/>
      <c r="C209" s="2"/>
      <c r="D209" s="2"/>
      <c r="E209" s="2"/>
      <c r="F209" s="2"/>
      <c r="G209" s="2"/>
      <c r="H209" s="2"/>
      <c r="I209" s="2"/>
      <c r="J209" s="2"/>
      <c r="K209" s="638" t="str">
        <f ca="1">Presentazione!$H$13</f>
        <v/>
      </c>
      <c r="L209" s="2"/>
      <c r="M209" s="2"/>
      <c r="N209" s="2"/>
      <c r="O209" s="2"/>
      <c r="P209" s="2"/>
      <c r="Q209" s="2"/>
      <c r="R209" s="591"/>
      <c r="S209" s="591"/>
      <c r="T209" s="591"/>
      <c r="U209" s="591"/>
      <c r="V209" s="591"/>
      <c r="W209" s="591"/>
      <c r="X209" s="591"/>
      <c r="AA209" s="591"/>
      <c r="AB209" s="591"/>
      <c r="AC209" s="591"/>
      <c r="AG209" s="591"/>
      <c r="AS209" s="591"/>
    </row>
    <row r="210" spans="1:45" ht="18.75" customHeight="1" x14ac:dyDescent="0.2">
      <c r="A210" s="2"/>
      <c r="B210" s="2"/>
      <c r="C210" s="2"/>
      <c r="D210" s="2"/>
      <c r="E210" s="2"/>
      <c r="F210" s="2"/>
      <c r="G210" s="2"/>
      <c r="H210" s="2"/>
      <c r="I210" s="2"/>
      <c r="J210" s="2"/>
      <c r="K210" s="639" t="str">
        <f ca="1">IF(Presentazione!$J$165=Presentazione!$K$83,CONCATENATE(Presentazione!$F$77,"   -   ","P.I./C.F ",Presentazione!$K$79),Presentazione!$I$157)</f>
        <v>Sistema parzialmente attivato. Inserisci il tuo CODICE di PROPRIETA' nel foglio Presentazione.</v>
      </c>
      <c r="L210" s="2"/>
      <c r="M210" s="2"/>
      <c r="N210" s="2"/>
      <c r="O210" s="2"/>
      <c r="P210" s="2"/>
      <c r="Q210" s="2"/>
      <c r="R210" s="591"/>
      <c r="S210" s="591"/>
      <c r="T210" s="591"/>
      <c r="U210" s="591"/>
      <c r="V210" s="591"/>
      <c r="W210" s="591"/>
      <c r="X210" s="591"/>
      <c r="AA210" s="591"/>
      <c r="AB210" s="591"/>
      <c r="AC210" s="591"/>
      <c r="AG210" s="591"/>
      <c r="AS210" s="591"/>
    </row>
    <row r="211" spans="1:45" ht="18.75" customHeight="1" x14ac:dyDescent="0.2">
      <c r="A211" s="2"/>
      <c r="B211" s="2"/>
      <c r="C211" s="2"/>
      <c r="D211" s="2"/>
      <c r="E211" s="2"/>
      <c r="F211" s="2"/>
      <c r="G211" s="2"/>
      <c r="H211" s="2"/>
      <c r="I211" s="2"/>
      <c r="J211" s="2"/>
      <c r="K211" s="2"/>
      <c r="L211" s="2"/>
      <c r="M211" s="2"/>
      <c r="N211" s="2"/>
      <c r="O211" s="2"/>
      <c r="P211" s="2"/>
      <c r="Q211" s="2"/>
      <c r="R211" s="591"/>
      <c r="S211" s="591"/>
      <c r="T211" s="591"/>
      <c r="U211" s="591"/>
      <c r="V211" s="591"/>
      <c r="W211" s="591"/>
      <c r="X211" s="591"/>
      <c r="AA211" s="591"/>
      <c r="AB211" s="591"/>
      <c r="AC211" s="591"/>
      <c r="AG211" s="591"/>
      <c r="AS211" s="591"/>
    </row>
    <row r="212" spans="1:45" ht="18.75" customHeight="1" x14ac:dyDescent="0.2">
      <c r="A212" s="2"/>
      <c r="B212" s="2"/>
      <c r="C212" s="637" t="str">
        <f>CASSA!B108</f>
        <v>www.marcopiccoli.it   -   Registro dei Corrispettivi 5.2.4 3txt - per EXCEL .xlsm</v>
      </c>
      <c r="D212" s="2"/>
      <c r="E212" s="2"/>
      <c r="F212" s="2"/>
      <c r="G212" s="2"/>
      <c r="H212" s="2"/>
      <c r="I212" s="2"/>
      <c r="J212" s="2"/>
      <c r="K212" s="2"/>
      <c r="L212" s="2"/>
      <c r="M212" s="2"/>
      <c r="N212" s="2"/>
      <c r="O212" s="2"/>
      <c r="P212" s="2"/>
      <c r="Q212" s="2"/>
      <c r="R212" s="591"/>
      <c r="S212" s="591"/>
      <c r="T212" s="591"/>
      <c r="U212" s="591"/>
      <c r="V212" s="591"/>
      <c r="W212" s="591"/>
      <c r="X212" s="591"/>
      <c r="AA212" s="591"/>
      <c r="AB212" s="591"/>
      <c r="AC212" s="591"/>
      <c r="AG212" s="591"/>
      <c r="AS212" s="591"/>
    </row>
    <row r="213" spans="1:45" ht="18.75" customHeight="1" x14ac:dyDescent="0.2">
      <c r="A213" s="2"/>
      <c r="B213" s="2"/>
      <c r="C213" s="2"/>
      <c r="D213" s="2"/>
      <c r="E213" s="2"/>
      <c r="F213" s="2"/>
      <c r="G213" s="2"/>
      <c r="H213" s="2"/>
      <c r="I213" s="2"/>
      <c r="J213" s="2"/>
      <c r="K213" s="2"/>
      <c r="L213" s="2"/>
      <c r="M213" s="2"/>
      <c r="N213" s="2"/>
      <c r="O213" s="2"/>
      <c r="P213" s="2"/>
      <c r="Q213" s="2"/>
      <c r="R213" s="591"/>
      <c r="S213" s="591"/>
      <c r="T213" s="591"/>
      <c r="U213" s="591"/>
      <c r="V213" s="591"/>
      <c r="W213" s="591"/>
      <c r="X213" s="591"/>
      <c r="AA213" s="591"/>
      <c r="AB213" s="591"/>
      <c r="AC213" s="591"/>
      <c r="AG213" s="591"/>
      <c r="AS213" s="591"/>
    </row>
    <row r="214" spans="1:45" ht="18.75" hidden="1" customHeight="1" x14ac:dyDescent="0.2">
      <c r="A214" s="2"/>
      <c r="B214" s="2"/>
      <c r="C214" s="2"/>
      <c r="D214" s="600">
        <v>9</v>
      </c>
      <c r="E214" s="2"/>
      <c r="F214" s="2"/>
      <c r="G214" s="148">
        <v>5</v>
      </c>
      <c r="H214" s="148">
        <v>6</v>
      </c>
      <c r="I214" s="148">
        <v>7</v>
      </c>
      <c r="J214" s="148">
        <v>8</v>
      </c>
      <c r="K214" s="2"/>
      <c r="L214" s="2"/>
      <c r="M214" s="2"/>
      <c r="N214" s="2"/>
      <c r="O214" s="2"/>
      <c r="P214" s="2"/>
      <c r="Q214" s="2"/>
      <c r="R214" s="591"/>
      <c r="S214" s="591"/>
      <c r="T214" s="591"/>
      <c r="U214" s="591"/>
      <c r="V214" s="591"/>
      <c r="W214" s="591"/>
      <c r="X214" s="591"/>
      <c r="AA214" s="591"/>
      <c r="AB214" s="591"/>
      <c r="AC214" s="591"/>
      <c r="AG214" s="591"/>
      <c r="AS214" s="591"/>
    </row>
    <row r="215" spans="1:45" ht="21.95" hidden="1" customHeight="1" x14ac:dyDescent="0.2">
      <c r="A215" s="2"/>
      <c r="B215" s="7"/>
      <c r="C215" s="2187" t="str">
        <f>C46</f>
        <v>LORDO</v>
      </c>
      <c r="D215" s="2187"/>
      <c r="E215" s="2188">
        <f>SUM(G215:J215)</f>
        <v>0</v>
      </c>
      <c r="F215" s="2188"/>
      <c r="G215" s="602">
        <f>VLOOKUP(G$1,IMPOSTAZIONI!$B$298:$AM$304,$D$214,FALSE)</f>
        <v>0</v>
      </c>
      <c r="H215" s="602">
        <f>VLOOKUP(H$1,IMPOSTAZIONI!$B$298:$AM$304,$D$214,FALSE)</f>
        <v>0</v>
      </c>
      <c r="I215" s="602">
        <f>VLOOKUP(K$1,IMPOSTAZIONI!$B$298:$AM$304,$D$214,FALSE)</f>
        <v>0</v>
      </c>
      <c r="J215" s="602">
        <f>VLOOKUP(N$1,IMPOSTAZIONI!$B$298:$AM$304,$D$214,FALSE)</f>
        <v>0</v>
      </c>
      <c r="K215" s="14"/>
      <c r="L215" s="2"/>
      <c r="M215" s="12"/>
      <c r="N215" s="2"/>
      <c r="O215" s="2"/>
      <c r="P215" s="2"/>
      <c r="Q215" s="2"/>
      <c r="R215" s="591"/>
      <c r="S215" s="591"/>
      <c r="T215" s="591"/>
      <c r="U215" s="591"/>
      <c r="V215" s="591"/>
      <c r="W215" s="591"/>
      <c r="X215" s="591"/>
      <c r="AA215" s="591"/>
      <c r="AB215" s="591"/>
      <c r="AC215" s="591"/>
      <c r="AG215" s="591"/>
      <c r="AS215" s="591"/>
    </row>
    <row r="216" spans="1:45" hidden="1" x14ac:dyDescent="0.2">
      <c r="A216" s="2"/>
      <c r="B216" s="7"/>
      <c r="C216" s="2189" t="str">
        <f>C47</f>
        <v>NETTO</v>
      </c>
      <c r="D216" s="2189"/>
      <c r="E216" s="2190">
        <f>SUM(G216:J216)</f>
        <v>4000</v>
      </c>
      <c r="F216" s="2190"/>
      <c r="G216" s="601">
        <f>VLOOKUP(G$1,IMPOSTAZIONI!$B$391:$AM$397,$D$214,FALSE)</f>
        <v>1000</v>
      </c>
      <c r="H216" s="601">
        <f>VLOOKUP(H$1,IMPOSTAZIONI!$B$391:$AM$397,$D$214,FALSE)</f>
        <v>1000</v>
      </c>
      <c r="I216" s="601">
        <f>VLOOKUP(K$1,IMPOSTAZIONI!$B$391:$AM$397,$D$214,FALSE)</f>
        <v>1000</v>
      </c>
      <c r="J216" s="601">
        <f>VLOOKUP(N$1,IMPOSTAZIONI!$B$391:$AM$397,$D$214,FALSE)</f>
        <v>1000</v>
      </c>
      <c r="K216" s="14"/>
      <c r="L216" s="2"/>
      <c r="M216" s="12"/>
      <c r="N216" s="2"/>
      <c r="O216" s="2"/>
      <c r="P216" s="2"/>
      <c r="Q216" s="2"/>
      <c r="R216" s="591"/>
      <c r="S216" s="591"/>
      <c r="T216" s="591"/>
      <c r="U216" s="591"/>
      <c r="V216" s="591"/>
      <c r="W216" s="591"/>
      <c r="X216" s="591"/>
      <c r="AA216" s="591"/>
      <c r="AB216" s="591"/>
      <c r="AC216" s="591"/>
      <c r="AG216" s="591"/>
      <c r="AS216" s="591"/>
    </row>
    <row r="217" spans="1:45" ht="21.95" hidden="1" customHeight="1" x14ac:dyDescent="0.2">
      <c r="A217" s="2"/>
      <c r="B217" s="7"/>
      <c r="C217" s="2185" t="str">
        <f>C48</f>
        <v>IVA</v>
      </c>
      <c r="D217" s="2185"/>
      <c r="E217" s="2186">
        <f>SUM(G217:J217)</f>
        <v>-4000</v>
      </c>
      <c r="F217" s="2186"/>
      <c r="G217" s="603">
        <f>G215-G216</f>
        <v>-1000</v>
      </c>
      <c r="H217" s="603">
        <f>H215-H216</f>
        <v>-1000</v>
      </c>
      <c r="I217" s="603">
        <f>I215-I216</f>
        <v>-1000</v>
      </c>
      <c r="J217" s="603">
        <f>J215-J216</f>
        <v>-1000</v>
      </c>
      <c r="K217" s="14"/>
      <c r="L217" s="2"/>
      <c r="M217" s="12"/>
      <c r="N217" s="2"/>
      <c r="O217" s="2"/>
      <c r="P217" s="2"/>
      <c r="Q217" s="2"/>
      <c r="R217" s="591"/>
      <c r="S217" s="591"/>
      <c r="T217" s="591"/>
      <c r="U217" s="591"/>
      <c r="V217" s="591"/>
      <c r="W217" s="591"/>
      <c r="X217" s="591"/>
      <c r="AA217" s="591"/>
      <c r="AB217" s="591"/>
      <c r="AC217" s="591"/>
      <c r="AG217" s="591"/>
      <c r="AS217" s="591"/>
    </row>
    <row r="218" spans="1:45" ht="18.75" hidden="1" customHeight="1" x14ac:dyDescent="0.2">
      <c r="A218" s="2"/>
      <c r="B218" s="2"/>
      <c r="C218" s="2"/>
      <c r="D218" s="2"/>
      <c r="E218" s="2"/>
      <c r="F218" s="2"/>
      <c r="G218" s="2"/>
      <c r="H218" s="2"/>
      <c r="I218" s="2"/>
      <c r="J218" s="2"/>
      <c r="K218" s="2"/>
      <c r="L218" s="2"/>
      <c r="M218" s="2"/>
      <c r="N218" s="2"/>
      <c r="O218" s="2"/>
      <c r="P218" s="2"/>
      <c r="Q218" s="2"/>
      <c r="R218" s="591"/>
      <c r="S218" s="591"/>
      <c r="T218" s="591"/>
      <c r="U218" s="591"/>
      <c r="V218" s="591"/>
      <c r="W218" s="591"/>
      <c r="X218" s="591"/>
      <c r="AA218" s="591"/>
      <c r="AB218" s="591"/>
      <c r="AC218" s="591"/>
      <c r="AG218" s="591"/>
      <c r="AS218" s="591"/>
    </row>
    <row r="219" spans="1:45" hidden="1" x14ac:dyDescent="0.2">
      <c r="A219" s="2"/>
      <c r="B219" s="2"/>
      <c r="C219" s="2"/>
      <c r="D219" s="2"/>
      <c r="E219" s="931" t="s">
        <v>718</v>
      </c>
      <c r="F219" s="2"/>
      <c r="G219" s="592" t="s">
        <v>175</v>
      </c>
      <c r="H219" s="2"/>
      <c r="I219" s="2"/>
      <c r="J219" s="2"/>
      <c r="K219" s="2"/>
      <c r="L219" s="2"/>
      <c r="M219" s="2"/>
      <c r="N219" s="2"/>
      <c r="O219" s="2"/>
      <c r="P219" s="2"/>
      <c r="Q219" s="2"/>
      <c r="R219" s="591"/>
      <c r="S219" s="591"/>
      <c r="T219" s="591"/>
      <c r="U219" s="591"/>
      <c r="V219" s="591"/>
      <c r="W219" s="591"/>
      <c r="X219" s="591"/>
      <c r="AA219" s="591"/>
      <c r="AB219" s="591"/>
      <c r="AC219" s="591"/>
      <c r="AG219" s="591"/>
      <c r="AS219" s="591"/>
    </row>
    <row r="220" spans="1:45" ht="14.25" hidden="1" customHeight="1" x14ac:dyDescent="0.2">
      <c r="A220" s="2"/>
      <c r="B220" s="2"/>
      <c r="C220" s="2"/>
      <c r="D220" s="2"/>
      <c r="E220" s="932" t="s">
        <v>719</v>
      </c>
      <c r="F220" s="2"/>
      <c r="G220" s="593">
        <f>STORICO!C16</f>
        <v>2024</v>
      </c>
      <c r="H220" s="2"/>
      <c r="I220" s="592" t="str">
        <f t="shared" ref="I220:I229" si="36">CONCATENATE(G$219,"   ",G220)</f>
        <v>ANNO   2024</v>
      </c>
      <c r="J220" s="2"/>
      <c r="K220" s="592" t="s">
        <v>583</v>
      </c>
      <c r="L220" s="2"/>
      <c r="M220" s="2"/>
      <c r="N220" s="2"/>
      <c r="O220" s="2"/>
      <c r="P220" s="2"/>
      <c r="Q220" s="2"/>
      <c r="R220" s="591"/>
      <c r="S220" s="591"/>
      <c r="T220" s="591"/>
      <c r="U220" s="591"/>
      <c r="V220" s="591"/>
      <c r="W220" s="591"/>
      <c r="X220" s="591"/>
      <c r="AA220" s="591"/>
      <c r="AB220" s="591"/>
      <c r="AC220" s="591"/>
      <c r="AG220" s="591"/>
      <c r="AS220" s="591"/>
    </row>
    <row r="221" spans="1:45" ht="14.25" hidden="1" customHeight="1" x14ac:dyDescent="0.2">
      <c r="A221" s="2"/>
      <c r="B221" s="2"/>
      <c r="C221" s="2"/>
      <c r="D221" s="2"/>
      <c r="E221" s="933">
        <f>IF(ISERROR(G206),MAX(G180:K180,G193:K193)/10,MAX(G180:K180,G193:K193,G206:K206)/10)</f>
        <v>0</v>
      </c>
      <c r="F221" s="2"/>
      <c r="G221" s="593">
        <f>STORICO!C27</f>
        <v>2023</v>
      </c>
      <c r="H221" s="2"/>
      <c r="I221" s="592" t="str">
        <f t="shared" si="36"/>
        <v>ANNO   2023</v>
      </c>
      <c r="J221" s="2"/>
      <c r="K221" s="592" t="s">
        <v>584</v>
      </c>
      <c r="L221" s="2"/>
      <c r="M221" s="2"/>
      <c r="N221" s="2"/>
      <c r="O221" s="2"/>
      <c r="P221" s="2"/>
      <c r="Q221" s="2"/>
      <c r="AA221" s="591"/>
      <c r="AB221" s="591"/>
      <c r="AC221" s="591"/>
      <c r="AG221" s="591"/>
      <c r="AS221" s="591"/>
    </row>
    <row r="222" spans="1:45" ht="14.25" hidden="1" customHeight="1" x14ac:dyDescent="0.2">
      <c r="A222" s="2"/>
      <c r="B222" s="2"/>
      <c r="C222" s="2"/>
      <c r="D222" s="2"/>
      <c r="E222" s="2"/>
      <c r="F222" s="2"/>
      <c r="G222" s="593">
        <f>STORICO!C33</f>
        <v>2022</v>
      </c>
      <c r="H222" s="2"/>
      <c r="I222" s="592" t="str">
        <f t="shared" si="36"/>
        <v>ANNO   2022</v>
      </c>
      <c r="J222" s="2"/>
      <c r="K222" s="592" t="s">
        <v>585</v>
      </c>
      <c r="L222" s="2"/>
      <c r="M222" s="2"/>
      <c r="N222" s="2"/>
      <c r="O222" s="2"/>
      <c r="P222" s="2"/>
      <c r="Q222" s="2"/>
      <c r="AA222" s="591"/>
      <c r="AB222" s="591"/>
      <c r="AC222" s="591"/>
      <c r="AG222" s="591"/>
      <c r="AS222" s="591"/>
    </row>
    <row r="223" spans="1:45" ht="14.25" hidden="1" customHeight="1" x14ac:dyDescent="0.2">
      <c r="A223" s="2"/>
      <c r="B223" s="2"/>
      <c r="C223" s="2"/>
      <c r="D223" s="2"/>
      <c r="E223" s="2"/>
      <c r="F223" s="2"/>
      <c r="G223" s="593">
        <f>STORICO!C39</f>
        <v>2021</v>
      </c>
      <c r="H223" s="2"/>
      <c r="I223" s="592" t="str">
        <f t="shared" si="36"/>
        <v>ANNO   2021</v>
      </c>
      <c r="J223" s="2"/>
      <c r="K223" s="592" t="s">
        <v>586</v>
      </c>
      <c r="L223" s="2"/>
      <c r="M223" s="2"/>
      <c r="N223" s="2"/>
      <c r="O223" s="2"/>
      <c r="P223" s="2"/>
      <c r="Q223" s="2"/>
      <c r="AA223" s="591"/>
      <c r="AB223" s="591"/>
      <c r="AC223" s="591"/>
      <c r="AG223" s="591"/>
      <c r="AS223" s="591"/>
    </row>
    <row r="224" spans="1:45" ht="14.25" hidden="1" customHeight="1" x14ac:dyDescent="0.2">
      <c r="A224" s="2"/>
      <c r="B224" s="2"/>
      <c r="C224" s="2"/>
      <c r="D224" s="2"/>
      <c r="E224" s="934" t="str">
        <f>C215</f>
        <v>LORDO</v>
      </c>
      <c r="F224" s="2"/>
      <c r="G224" s="593" t="str">
        <f>CONCATENATE(G220," + ",G221)</f>
        <v>2024 + 2023</v>
      </c>
      <c r="H224" s="2"/>
      <c r="I224" s="592" t="str">
        <f t="shared" si="36"/>
        <v>ANNO   2024 + 2023</v>
      </c>
      <c r="J224" s="2"/>
      <c r="K224" s="592" t="str">
        <f>CONCATENATE(K220," + ",K221)</f>
        <v>ANNO IN CORSO + ANNO PRECEDENTE 1</v>
      </c>
      <c r="L224" s="2"/>
      <c r="M224" s="2"/>
      <c r="N224" s="2"/>
      <c r="O224" s="2"/>
      <c r="P224" s="2"/>
      <c r="Q224" s="2"/>
      <c r="AA224" s="591"/>
      <c r="AB224" s="591"/>
      <c r="AC224" s="591"/>
      <c r="AG224" s="591"/>
      <c r="AS224" s="591"/>
    </row>
    <row r="225" spans="1:45" ht="14.25" hidden="1" customHeight="1" x14ac:dyDescent="0.2">
      <c r="A225" s="2"/>
      <c r="B225" s="2"/>
      <c r="C225" s="2"/>
      <c r="D225" s="2"/>
      <c r="E225" s="934" t="str">
        <f>C216</f>
        <v>NETTO</v>
      </c>
      <c r="F225" s="2"/>
      <c r="G225" s="593" t="str">
        <f>CONCATENATE(G220," + ",G221," + ",G222)</f>
        <v>2024 + 2023 + 2022</v>
      </c>
      <c r="H225" s="2"/>
      <c r="I225" s="592" t="str">
        <f t="shared" si="36"/>
        <v>ANNO   2024 + 2023 + 2022</v>
      </c>
      <c r="J225" s="2"/>
      <c r="K225" s="592" t="str">
        <f>CONCATENATE(K220," + ",K221," + 2")</f>
        <v>ANNO IN CORSO + ANNO PRECEDENTE 1 + 2</v>
      </c>
      <c r="L225" s="2"/>
      <c r="M225" s="2"/>
      <c r="N225" s="2"/>
      <c r="O225" s="2"/>
      <c r="P225" s="2"/>
      <c r="Q225" s="2"/>
      <c r="AA225" s="591"/>
      <c r="AB225" s="591"/>
      <c r="AC225" s="591"/>
      <c r="AG225" s="591"/>
      <c r="AS225" s="591"/>
    </row>
    <row r="226" spans="1:45" ht="14.25" hidden="1" customHeight="1" x14ac:dyDescent="0.2">
      <c r="A226" s="2"/>
      <c r="B226" s="2"/>
      <c r="C226" s="2"/>
      <c r="D226" s="2"/>
      <c r="E226" s="934" t="str">
        <f>C217</f>
        <v>IVA</v>
      </c>
      <c r="F226" s="2"/>
      <c r="G226" s="593" t="str">
        <f>CONCATENATE(G220," + ",G221," + ",G222," + ",G223)</f>
        <v>2024 + 2023 + 2022 + 2021</v>
      </c>
      <c r="H226" s="2"/>
      <c r="I226" s="592" t="str">
        <f t="shared" si="36"/>
        <v>ANNO   2024 + 2023 + 2022 + 2021</v>
      </c>
      <c r="J226" s="2"/>
      <c r="K226" s="592" t="str">
        <f>CONCATENATE(K220," + ",K221," + 2 + 3")</f>
        <v>ANNO IN CORSO + ANNO PRECEDENTE 1 + 2 + 3</v>
      </c>
      <c r="L226" s="2"/>
      <c r="M226" s="2"/>
      <c r="N226" s="2"/>
      <c r="O226" s="2"/>
      <c r="P226" s="2"/>
      <c r="Q226" s="2"/>
      <c r="AA226" s="591"/>
      <c r="AB226" s="591"/>
      <c r="AC226" s="591"/>
      <c r="AG226" s="591"/>
      <c r="AS226" s="591"/>
    </row>
    <row r="227" spans="1:45" ht="14.25" hidden="1" customHeight="1" x14ac:dyDescent="0.2">
      <c r="A227" s="2"/>
      <c r="B227" s="2"/>
      <c r="C227" s="2"/>
      <c r="D227" s="2"/>
      <c r="E227" s="2"/>
      <c r="F227" s="2"/>
      <c r="G227" s="593" t="str">
        <f>CONCATENATE(G221," + ",G222)</f>
        <v>2023 + 2022</v>
      </c>
      <c r="H227" s="2"/>
      <c r="I227" s="592" t="str">
        <f t="shared" si="36"/>
        <v>ANNO   2023 + 2022</v>
      </c>
      <c r="J227" s="2"/>
      <c r="K227" s="592" t="str">
        <f>CONCATENATE(K221," + 2")</f>
        <v>ANNO PRECEDENTE 1 + 2</v>
      </c>
      <c r="L227" s="2"/>
      <c r="M227" s="2"/>
      <c r="N227" s="2"/>
      <c r="O227" s="2"/>
      <c r="P227" s="2"/>
      <c r="Q227" s="2"/>
      <c r="AA227" s="591"/>
      <c r="AB227" s="591"/>
      <c r="AC227" s="591"/>
      <c r="AG227" s="591"/>
      <c r="AS227" s="591"/>
    </row>
    <row r="228" spans="1:45" ht="14.25" hidden="1" customHeight="1" x14ac:dyDescent="0.2">
      <c r="A228" s="2"/>
      <c r="B228" s="2"/>
      <c r="C228" s="2"/>
      <c r="D228" s="2"/>
      <c r="E228" s="2"/>
      <c r="F228" s="2"/>
      <c r="G228" s="593" t="str">
        <f>CONCATENATE(G221," + ",G222," + ",G223)</f>
        <v>2023 + 2022 + 2021</v>
      </c>
      <c r="H228" s="2"/>
      <c r="I228" s="592" t="str">
        <f t="shared" si="36"/>
        <v>ANNO   2023 + 2022 + 2021</v>
      </c>
      <c r="J228" s="2"/>
      <c r="K228" s="592" t="str">
        <f>CONCATENATE(K221," + 2 + 3")</f>
        <v>ANNO PRECEDENTE 1 + 2 + 3</v>
      </c>
      <c r="L228" s="2"/>
      <c r="M228" s="2"/>
      <c r="N228" s="2"/>
      <c r="O228" s="2"/>
      <c r="P228" s="2"/>
      <c r="Q228" s="2"/>
      <c r="AA228" s="591"/>
      <c r="AB228" s="591"/>
      <c r="AC228" s="591"/>
      <c r="AG228" s="591"/>
      <c r="AS228" s="591"/>
    </row>
    <row r="229" spans="1:45" ht="14.25" hidden="1" customHeight="1" x14ac:dyDescent="0.2">
      <c r="A229" s="2"/>
      <c r="B229" s="2"/>
      <c r="C229" s="2"/>
      <c r="D229" s="2"/>
      <c r="E229" s="2"/>
      <c r="F229" s="2"/>
      <c r="G229" s="593" t="str">
        <f>CONCATENATE(G222," + ",G223)</f>
        <v>2022 + 2021</v>
      </c>
      <c r="H229" s="2"/>
      <c r="I229" s="592" t="str">
        <f t="shared" si="36"/>
        <v>ANNO   2022 + 2021</v>
      </c>
      <c r="J229" s="2"/>
      <c r="K229" s="592" t="str">
        <f>CONCATENATE(K222," + 3")</f>
        <v>ANNO PRECEDENTE 2 + 3</v>
      </c>
      <c r="L229" s="2"/>
      <c r="M229" s="2"/>
      <c r="N229" s="2"/>
      <c r="O229" s="2"/>
      <c r="P229" s="2"/>
      <c r="Q229" s="2"/>
      <c r="AA229" s="591"/>
      <c r="AB229" s="591"/>
      <c r="AC229" s="591"/>
      <c r="AG229" s="591"/>
      <c r="AS229" s="591"/>
    </row>
    <row r="230" spans="1:45" hidden="1" x14ac:dyDescent="0.2">
      <c r="A230" s="2"/>
      <c r="B230" s="2"/>
      <c r="C230" s="2"/>
      <c r="D230" s="2"/>
      <c r="E230" s="2"/>
      <c r="F230" s="2"/>
      <c r="G230" s="2"/>
      <c r="H230" s="2"/>
      <c r="I230" s="2"/>
      <c r="J230" s="2"/>
      <c r="K230" s="2"/>
      <c r="L230" s="2"/>
      <c r="M230" s="2"/>
      <c r="N230" s="2"/>
      <c r="O230" s="2"/>
      <c r="P230" s="2"/>
      <c r="Q230" s="2"/>
      <c r="AA230" s="591"/>
      <c r="AB230" s="591"/>
      <c r="AC230" s="591"/>
      <c r="AG230" s="591"/>
      <c r="AS230" s="591"/>
    </row>
    <row r="231" spans="1:45" x14ac:dyDescent="0.2">
      <c r="A231" s="2"/>
      <c r="B231" s="2"/>
      <c r="C231" s="2"/>
      <c r="D231" s="2"/>
      <c r="E231" s="2"/>
      <c r="F231" s="2"/>
      <c r="G231" s="1433" t="s">
        <v>572</v>
      </c>
      <c r="H231" s="1434" t="s">
        <v>869</v>
      </c>
      <c r="I231" s="2"/>
      <c r="J231" s="2"/>
      <c r="K231" s="2"/>
      <c r="L231" s="1433" t="s">
        <v>572</v>
      </c>
      <c r="M231" s="1434" t="s">
        <v>870</v>
      </c>
      <c r="N231" s="2"/>
      <c r="O231" s="2"/>
      <c r="P231" s="2"/>
      <c r="Q231" s="2"/>
      <c r="AA231" s="591"/>
      <c r="AB231" s="591"/>
      <c r="AC231" s="591"/>
      <c r="AG231" s="591"/>
      <c r="AS231" s="591"/>
    </row>
  </sheetData>
  <sheetProtection algorithmName="SHA-512" hashValue="kRXciW0TxybipSrpAmVWXMq3DjShzN+/988cHDWt8HMavUFsEBL2t2EAlo7n25NS46x4IedL+caEiOdZdAFJ7g==" saltValue="2G4adhv+myVYFpvbz0vqvg==" spinCount="100000" sheet="1" objects="1" scenarios="1" selectLockedCells="1"/>
  <mergeCells count="242">
    <mergeCell ref="I205:J205"/>
    <mergeCell ref="I206:J206"/>
    <mergeCell ref="I200:J200"/>
    <mergeCell ref="I201:J201"/>
    <mergeCell ref="I202:J202"/>
    <mergeCell ref="C3:D3"/>
    <mergeCell ref="E3:G3"/>
    <mergeCell ref="I187:J187"/>
    <mergeCell ref="I188:J188"/>
    <mergeCell ref="I189:J189"/>
    <mergeCell ref="I182:J182"/>
    <mergeCell ref="I183:J183"/>
    <mergeCell ref="I166:J166"/>
    <mergeCell ref="I167:J167"/>
    <mergeCell ref="I118:J118"/>
    <mergeCell ref="I119:J119"/>
    <mergeCell ref="I203:J203"/>
    <mergeCell ref="I204:J204"/>
    <mergeCell ref="I199:J199"/>
    <mergeCell ref="I190:J190"/>
    <mergeCell ref="I191:J191"/>
    <mergeCell ref="I192:J192"/>
    <mergeCell ref="I193:J193"/>
    <mergeCell ref="I196:J196"/>
    <mergeCell ref="C2:I2"/>
    <mergeCell ref="J2:P2"/>
    <mergeCell ref="M3:P3"/>
    <mergeCell ref="H3:L3"/>
    <mergeCell ref="K160:L160"/>
    <mergeCell ref="K156:L156"/>
    <mergeCell ref="K158:L158"/>
    <mergeCell ref="K157:L157"/>
    <mergeCell ref="AN6:AQ6"/>
    <mergeCell ref="C58:F58"/>
    <mergeCell ref="C46:D46"/>
    <mergeCell ref="C57:F57"/>
    <mergeCell ref="C45:F45"/>
    <mergeCell ref="C55:E55"/>
    <mergeCell ref="C52:E52"/>
    <mergeCell ref="C50:E50"/>
    <mergeCell ref="E47:F47"/>
    <mergeCell ref="C48:D48"/>
    <mergeCell ref="E48:F48"/>
    <mergeCell ref="C103:F103"/>
    <mergeCell ref="O97:P97"/>
    <mergeCell ref="E93:F93"/>
    <mergeCell ref="O103:P103"/>
    <mergeCell ref="C94:F94"/>
    <mergeCell ref="I197:J197"/>
    <mergeCell ref="I198:J198"/>
    <mergeCell ref="I186:J186"/>
    <mergeCell ref="I176:J176"/>
    <mergeCell ref="I177:J177"/>
    <mergeCell ref="I184:J184"/>
    <mergeCell ref="I185:J185"/>
    <mergeCell ref="I178:J178"/>
    <mergeCell ref="I179:J179"/>
    <mergeCell ref="I180:J180"/>
    <mergeCell ref="I181:J181"/>
    <mergeCell ref="I170:J170"/>
    <mergeCell ref="I171:J171"/>
    <mergeCell ref="I172:J172"/>
    <mergeCell ref="I173:J173"/>
    <mergeCell ref="I174:J174"/>
    <mergeCell ref="I175:J175"/>
    <mergeCell ref="M168:N168"/>
    <mergeCell ref="I122:J122"/>
    <mergeCell ref="K159:L159"/>
    <mergeCell ref="I169:J169"/>
    <mergeCell ref="I168:J168"/>
    <mergeCell ref="K147:L147"/>
    <mergeCell ref="K148:L148"/>
    <mergeCell ref="K149:L149"/>
    <mergeCell ref="B162:D162"/>
    <mergeCell ref="C217:D217"/>
    <mergeCell ref="E217:F217"/>
    <mergeCell ref="C215:D215"/>
    <mergeCell ref="E215:F215"/>
    <mergeCell ref="C216:D216"/>
    <mergeCell ref="E216:F216"/>
    <mergeCell ref="C167:D167"/>
    <mergeCell ref="C182:F182"/>
    <mergeCell ref="E193:F193"/>
    <mergeCell ref="C170:D170"/>
    <mergeCell ref="C183:D183"/>
    <mergeCell ref="C168:F168"/>
    <mergeCell ref="B163:D163"/>
    <mergeCell ref="E167:F167"/>
    <mergeCell ref="C180:D180"/>
    <mergeCell ref="E180:F180"/>
    <mergeCell ref="C169:F169"/>
    <mergeCell ref="C206:D206"/>
    <mergeCell ref="E206:F206"/>
    <mergeCell ref="C193:D193"/>
    <mergeCell ref="I207:K207"/>
    <mergeCell ref="I195:J195"/>
    <mergeCell ref="I194:J194"/>
    <mergeCell ref="K146:L146"/>
    <mergeCell ref="C126:M126"/>
    <mergeCell ref="I114:J114"/>
    <mergeCell ref="I115:J115"/>
    <mergeCell ref="K145:L145"/>
    <mergeCell ref="L108:M108"/>
    <mergeCell ref="L109:M109"/>
    <mergeCell ref="I116:J116"/>
    <mergeCell ref="I117:J117"/>
    <mergeCell ref="I120:J120"/>
    <mergeCell ref="I121:J121"/>
    <mergeCell ref="K144:L144"/>
    <mergeCell ref="C171:D172"/>
    <mergeCell ref="E171:E172"/>
    <mergeCell ref="C207:H207"/>
    <mergeCell ref="C197:D198"/>
    <mergeCell ref="E197:E198"/>
    <mergeCell ref="C184:D185"/>
    <mergeCell ref="E184:E185"/>
    <mergeCell ref="C196:D196"/>
    <mergeCell ref="C195:H195"/>
    <mergeCell ref="C101:F101"/>
    <mergeCell ref="C98:F98"/>
    <mergeCell ref="O102:P102"/>
    <mergeCell ref="E96:F96"/>
    <mergeCell ref="O98:P98"/>
    <mergeCell ref="O96:P96"/>
    <mergeCell ref="O101:P101"/>
    <mergeCell ref="C95:F95"/>
    <mergeCell ref="O93:P93"/>
    <mergeCell ref="C96:D96"/>
    <mergeCell ref="C97:F97"/>
    <mergeCell ref="C93:D93"/>
    <mergeCell ref="C102:F102"/>
    <mergeCell ref="L4:M5"/>
    <mergeCell ref="E7:F7"/>
    <mergeCell ref="I4:J5"/>
    <mergeCell ref="O4:P5"/>
    <mergeCell ref="E6:F6"/>
    <mergeCell ref="E4:F5"/>
    <mergeCell ref="G53:G54"/>
    <mergeCell ref="E20:F20"/>
    <mergeCell ref="E18:F18"/>
    <mergeCell ref="E24:F24"/>
    <mergeCell ref="E23:F23"/>
    <mergeCell ref="E22:F22"/>
    <mergeCell ref="C53:E53"/>
    <mergeCell ref="C39:D39"/>
    <mergeCell ref="E46:F46"/>
    <mergeCell ref="C51:E51"/>
    <mergeCell ref="C4:D5"/>
    <mergeCell ref="C7:D7"/>
    <mergeCell ref="E8:F8"/>
    <mergeCell ref="E25:F25"/>
    <mergeCell ref="E19:F19"/>
    <mergeCell ref="C6:D6"/>
    <mergeCell ref="E37:F37"/>
    <mergeCell ref="E39:F39"/>
    <mergeCell ref="E9:F9"/>
    <mergeCell ref="E10:F10"/>
    <mergeCell ref="C44:F44"/>
    <mergeCell ref="E43:F43"/>
    <mergeCell ref="E13:F13"/>
    <mergeCell ref="E14:F14"/>
    <mergeCell ref="C43:D43"/>
    <mergeCell ref="E38:F38"/>
    <mergeCell ref="E36:F36"/>
    <mergeCell ref="E17:F17"/>
    <mergeCell ref="E15:F15"/>
    <mergeCell ref="E16:F16"/>
    <mergeCell ref="E11:F11"/>
    <mergeCell ref="E12:F12"/>
    <mergeCell ref="E26:F26"/>
    <mergeCell ref="E21:F21"/>
    <mergeCell ref="E28:F28"/>
    <mergeCell ref="E27:F27"/>
    <mergeCell ref="E29:F29"/>
    <mergeCell ref="E30:F30"/>
    <mergeCell ref="E35:F35"/>
    <mergeCell ref="E31:F31"/>
    <mergeCell ref="E33:F33"/>
    <mergeCell ref="E34:F34"/>
    <mergeCell ref="C104:F104"/>
    <mergeCell ref="C100:F100"/>
    <mergeCell ref="C91:P91"/>
    <mergeCell ref="I67:J67"/>
    <mergeCell ref="I68:J68"/>
    <mergeCell ref="L68:M68"/>
    <mergeCell ref="I70:J70"/>
    <mergeCell ref="L70:M70"/>
    <mergeCell ref="I71:J71"/>
    <mergeCell ref="L71:M71"/>
    <mergeCell ref="I77:J77"/>
    <mergeCell ref="L77:M77"/>
    <mergeCell ref="I78:J78"/>
    <mergeCell ref="L78:M78"/>
    <mergeCell ref="L72:M72"/>
    <mergeCell ref="I89:J89"/>
    <mergeCell ref="I85:J85"/>
    <mergeCell ref="I86:J86"/>
    <mergeCell ref="L86:M86"/>
    <mergeCell ref="I87:J87"/>
    <mergeCell ref="L87:M87"/>
    <mergeCell ref="I79:J79"/>
    <mergeCell ref="I88:J88"/>
    <mergeCell ref="I81:J81"/>
    <mergeCell ref="E32:F32"/>
    <mergeCell ref="I76:J76"/>
    <mergeCell ref="I72:J72"/>
    <mergeCell ref="I73:J73"/>
    <mergeCell ref="I74:K74"/>
    <mergeCell ref="I69:J69"/>
    <mergeCell ref="K53:K54"/>
    <mergeCell ref="I53:J54"/>
    <mergeCell ref="I55:J55"/>
    <mergeCell ref="I56:J56"/>
    <mergeCell ref="C59:E59"/>
    <mergeCell ref="C56:D56"/>
    <mergeCell ref="I52:J52"/>
    <mergeCell ref="H53:H54"/>
    <mergeCell ref="C54:E54"/>
    <mergeCell ref="C47:D47"/>
    <mergeCell ref="I44:J44"/>
    <mergeCell ref="I82:J82"/>
    <mergeCell ref="I83:J83"/>
    <mergeCell ref="I84:J84"/>
    <mergeCell ref="M166:N166"/>
    <mergeCell ref="T65:T66"/>
    <mergeCell ref="AS7:AW7"/>
    <mergeCell ref="AB7:AE7"/>
    <mergeCell ref="AG7:AK7"/>
    <mergeCell ref="P58:Q58"/>
    <mergeCell ref="L55:M55"/>
    <mergeCell ref="L56:M56"/>
    <mergeCell ref="O44:P44"/>
    <mergeCell ref="O56:P56"/>
    <mergeCell ref="L69:M69"/>
    <mergeCell ref="L52:M52"/>
    <mergeCell ref="L53:M54"/>
    <mergeCell ref="O57:P57"/>
    <mergeCell ref="L44:M44"/>
    <mergeCell ref="I51:J51"/>
    <mergeCell ref="L51:M51"/>
    <mergeCell ref="G50:M50"/>
    <mergeCell ref="O104:P104"/>
  </mergeCells>
  <phoneticPr fontId="24" type="noConversion"/>
  <conditionalFormatting sqref="C57 G57">
    <cfRule type="expression" dxfId="4827" priority="1" stopIfTrue="1">
      <formula>C58=0</formula>
    </cfRule>
  </conditionalFormatting>
  <conditionalFormatting sqref="F121:F122">
    <cfRule type="expression" dxfId="4826" priority="2" stopIfTrue="1">
      <formula>SUM($G121:$I121)=0</formula>
    </cfRule>
  </conditionalFormatting>
  <conditionalFormatting sqref="G184:H192 K197:K205 K184:K192 K171:K179 G171:H179 G197:H205">
    <cfRule type="cellIs" dxfId="4825" priority="3" stopIfTrue="1" operator="equal">
      <formula>0</formula>
    </cfRule>
    <cfRule type="expression" dxfId="4824" priority="4" stopIfTrue="1">
      <formula>AND(G171=1,G170=0)</formula>
    </cfRule>
  </conditionalFormatting>
  <conditionalFormatting sqref="I171:J179 I184:J192 I197:J205">
    <cfRule type="cellIs" dxfId="4823" priority="5" stopIfTrue="1" operator="equal">
      <formula>0</formula>
    </cfRule>
    <cfRule type="expression" dxfId="4822" priority="6" stopIfTrue="1">
      <formula>AND($I171=1,$I170=0)</formula>
    </cfRule>
  </conditionalFormatting>
  <conditionalFormatting sqref="I93">
    <cfRule type="expression" dxfId="4821" priority="7" stopIfTrue="1">
      <formula>AND(I$155="X",I$93&lt;&gt;"")</formula>
    </cfRule>
  </conditionalFormatting>
  <conditionalFormatting sqref="I97">
    <cfRule type="expression" dxfId="4820" priority="8" stopIfTrue="1">
      <formula>AND(I$152=0,I$97&lt;&gt;0)</formula>
    </cfRule>
    <cfRule type="expression" dxfId="4819" priority="9" stopIfTrue="1">
      <formula>I$152=0</formula>
    </cfRule>
  </conditionalFormatting>
  <conditionalFormatting sqref="G98:I98">
    <cfRule type="expression" dxfId="4818" priority="10" stopIfTrue="1">
      <formula>AND(G$152=0,G$98&lt;&gt;0)</formula>
    </cfRule>
    <cfRule type="expression" dxfId="4817" priority="11" stopIfTrue="1">
      <formula>G$152=0</formula>
    </cfRule>
  </conditionalFormatting>
  <conditionalFormatting sqref="J93">
    <cfRule type="expression" dxfId="4816" priority="12" stopIfTrue="1">
      <formula>AND(I$155="X",J$93&lt;&gt;"")</formula>
    </cfRule>
  </conditionalFormatting>
  <conditionalFormatting sqref="J97">
    <cfRule type="expression" dxfId="4815" priority="13" stopIfTrue="1">
      <formula>AND(I$152=0,J$97&lt;&gt;0)</formula>
    </cfRule>
    <cfRule type="expression" dxfId="4814" priority="14" stopIfTrue="1">
      <formula>I$152=0</formula>
    </cfRule>
  </conditionalFormatting>
  <conditionalFormatting sqref="J98">
    <cfRule type="expression" dxfId="4813" priority="15" stopIfTrue="1">
      <formula>AND(I$152=0,J$98&lt;&gt;0)</formula>
    </cfRule>
    <cfRule type="expression" dxfId="4812" priority="16" stopIfTrue="1">
      <formula>I$152=0</formula>
    </cfRule>
  </conditionalFormatting>
  <conditionalFormatting sqref="G101:I101">
    <cfRule type="expression" dxfId="4811" priority="17" stopIfTrue="1">
      <formula>AND(G$152=0,G$101&lt;&gt;0)</formula>
    </cfRule>
    <cfRule type="expression" dxfId="4810" priority="18" stopIfTrue="1">
      <formula>AND($C101="ERROR",G101&gt;0)</formula>
    </cfRule>
    <cfRule type="expression" dxfId="4809" priority="19" stopIfTrue="1">
      <formula>G$152=0</formula>
    </cfRule>
  </conditionalFormatting>
  <conditionalFormatting sqref="G102:I102">
    <cfRule type="expression" dxfId="4808" priority="20" stopIfTrue="1">
      <formula>AND(G$152=0,G$102&lt;&gt;0)</formula>
    </cfRule>
    <cfRule type="expression" dxfId="4807" priority="21" stopIfTrue="1">
      <formula>AND($C102="ERROR",G102&gt;0)</formula>
    </cfRule>
    <cfRule type="expression" dxfId="4806" priority="22" stopIfTrue="1">
      <formula>G$152=0</formula>
    </cfRule>
  </conditionalFormatting>
  <conditionalFormatting sqref="G103:I103">
    <cfRule type="expression" dxfId="4805" priority="23" stopIfTrue="1">
      <formula>AND(G$152=0,G$103&lt;&gt;0)</formula>
    </cfRule>
    <cfRule type="expression" dxfId="4804" priority="24" stopIfTrue="1">
      <formula>AND($C103="ERROR",G103&gt;0)</formula>
    </cfRule>
    <cfRule type="expression" dxfId="4803" priority="25" stopIfTrue="1">
      <formula>G$152=0</formula>
    </cfRule>
  </conditionalFormatting>
  <conditionalFormatting sqref="G104:I104">
    <cfRule type="expression" dxfId="4802" priority="26" stopIfTrue="1">
      <formula>AND(G$152=0,G$104&lt;&gt;0)</formula>
    </cfRule>
    <cfRule type="expression" dxfId="4801" priority="27" stopIfTrue="1">
      <formula>AND($C104="ERROR",G104&gt;0)</formula>
    </cfRule>
    <cfRule type="expression" dxfId="4800" priority="28" stopIfTrue="1">
      <formula>G$152=0</formula>
    </cfRule>
  </conditionalFormatting>
  <conditionalFormatting sqref="J101">
    <cfRule type="expression" dxfId="4799" priority="29" stopIfTrue="1">
      <formula>AND(I$152=0,J$101&lt;&gt;0)</formula>
    </cfRule>
    <cfRule type="expression" dxfId="4798" priority="30" stopIfTrue="1">
      <formula>AND($C101="ERROR",J101&gt;0)</formula>
    </cfRule>
    <cfRule type="expression" dxfId="4797" priority="31" stopIfTrue="1">
      <formula>I$152=0</formula>
    </cfRule>
  </conditionalFormatting>
  <conditionalFormatting sqref="J102">
    <cfRule type="expression" dxfId="4796" priority="32" stopIfTrue="1">
      <formula>AND(I$152=0,J$102&lt;&gt;0)</formula>
    </cfRule>
    <cfRule type="expression" dxfId="4795" priority="33" stopIfTrue="1">
      <formula>AND($C102="ERROR",J102&gt;0)</formula>
    </cfRule>
    <cfRule type="expression" dxfId="4794" priority="34" stopIfTrue="1">
      <formula>I$152=0</formula>
    </cfRule>
  </conditionalFormatting>
  <conditionalFormatting sqref="J103">
    <cfRule type="expression" dxfId="4793" priority="35" stopIfTrue="1">
      <formula>AND(I$152=0,J$103&lt;&gt;0)</formula>
    </cfRule>
    <cfRule type="expression" dxfId="4792" priority="36" stopIfTrue="1">
      <formula>AND($C103="ERROR",J103&gt;0)</formula>
    </cfRule>
    <cfRule type="expression" dxfId="4791" priority="37" stopIfTrue="1">
      <formula>I$152=0</formula>
    </cfRule>
  </conditionalFormatting>
  <conditionalFormatting sqref="J104">
    <cfRule type="expression" dxfId="4790" priority="38" stopIfTrue="1">
      <formula>AND(I$152=0,J$104&lt;&gt;0)</formula>
    </cfRule>
    <cfRule type="expression" dxfId="4789" priority="39" stopIfTrue="1">
      <formula>AND($C104="ERROR",J104&gt;0)</formula>
    </cfRule>
    <cfRule type="expression" dxfId="4788" priority="40" stopIfTrue="1">
      <formula>I$152=0</formula>
    </cfRule>
  </conditionalFormatting>
  <conditionalFormatting sqref="O101:P104">
    <cfRule type="expression" dxfId="4787" priority="41" stopIfTrue="1">
      <formula>SUM($G$152:$J$152)=0</formula>
    </cfRule>
    <cfRule type="expression" dxfId="4786" priority="42" stopIfTrue="1">
      <formula>$B101=""</formula>
    </cfRule>
  </conditionalFormatting>
  <conditionalFormatting sqref="E8:F38">
    <cfRule type="expression" dxfId="4785" priority="43" stopIfTrue="1">
      <formula>$AA8=$Y$6</formula>
    </cfRule>
    <cfRule type="expression" dxfId="4784" priority="44" stopIfTrue="1">
      <formula>AND($AA8=0,$E8=0)</formula>
    </cfRule>
    <cfRule type="expression" dxfId="4783" priority="45" stopIfTrue="1">
      <formula>$AA8=0</formula>
    </cfRule>
  </conditionalFormatting>
  <conditionalFormatting sqref="I6 L6 O6">
    <cfRule type="expression" dxfId="4782" priority="46" stopIfTrue="1">
      <formula>I6=""</formula>
    </cfRule>
    <cfRule type="expression" dxfId="4781" priority="47" stopIfTrue="1">
      <formula>OR(I4=0,I4=$K$130)</formula>
    </cfRule>
    <cfRule type="expression" dxfId="4780" priority="48" stopIfTrue="1">
      <formula>I4&lt;&gt;$K$130</formula>
    </cfRule>
  </conditionalFormatting>
  <conditionalFormatting sqref="J6 M6 P6">
    <cfRule type="expression" dxfId="4779" priority="49" stopIfTrue="1">
      <formula>J6=""</formula>
    </cfRule>
    <cfRule type="expression" dxfId="4778" priority="50" stopIfTrue="1">
      <formula>OR(I4=0,I4=$K$130)</formula>
    </cfRule>
    <cfRule type="expression" dxfId="4777" priority="51" stopIfTrue="1">
      <formula>I4&lt;&gt;$K$130</formula>
    </cfRule>
  </conditionalFormatting>
  <conditionalFormatting sqref="I53">
    <cfRule type="expression" dxfId="4776" priority="52" stopIfTrue="1">
      <formula>ISERROR($G$155)</formula>
    </cfRule>
    <cfRule type="expression" dxfId="4775" priority="53" stopIfTrue="1">
      <formula>ISERROR($I53)</formula>
    </cfRule>
  </conditionalFormatting>
  <conditionalFormatting sqref="G39:H39">
    <cfRule type="expression" dxfId="4774" priority="54" stopIfTrue="1">
      <formula>ISERROR($G$155)</formula>
    </cfRule>
    <cfRule type="expression" dxfId="4773" priority="55" stopIfTrue="1">
      <formula>OR($I$163=0,G$4="")</formula>
    </cfRule>
    <cfRule type="expression" dxfId="4772" priority="56" stopIfTrue="1">
      <formula>OR(G$4="",ISERROR(G$155))</formula>
    </cfRule>
  </conditionalFormatting>
  <conditionalFormatting sqref="G97:H97">
    <cfRule type="expression" dxfId="4771" priority="57" stopIfTrue="1">
      <formula>AND(G$152=0,G$97&lt;&gt;0)</formula>
    </cfRule>
    <cfRule type="expression" dxfId="4770" priority="58" stopIfTrue="1">
      <formula>G$152=0</formula>
    </cfRule>
    <cfRule type="expression" dxfId="4769" priority="59" stopIfTrue="1">
      <formula>AND(G$96&lt;&gt;0,G$97="")</formula>
    </cfRule>
  </conditionalFormatting>
  <conditionalFormatting sqref="C101:F104">
    <cfRule type="cellIs" dxfId="4768" priority="60" stopIfTrue="1" operator="equal">
      <formula>"ERROR"</formula>
    </cfRule>
    <cfRule type="expression" dxfId="4767" priority="61" stopIfTrue="1">
      <formula>ISBLANK($B101)</formula>
    </cfRule>
    <cfRule type="expression" dxfId="4766" priority="62" stopIfTrue="1">
      <formula>SUM($G$152:$J$152)=0</formula>
    </cfRule>
  </conditionalFormatting>
  <conditionalFormatting sqref="K73">
    <cfRule type="expression" dxfId="4765" priority="63" stopIfTrue="1">
      <formula>ISERROR(K73)</formula>
    </cfRule>
    <cfRule type="expression" dxfId="4764" priority="64" stopIfTrue="1">
      <formula>I73=0</formula>
    </cfRule>
    <cfRule type="expression" dxfId="4763" priority="65" stopIfTrue="1">
      <formula>$C$61=0</formula>
    </cfRule>
  </conditionalFormatting>
  <conditionalFormatting sqref="G70:G71">
    <cfRule type="expression" dxfId="4762" priority="66" stopIfTrue="1">
      <formula>$C$61=0</formula>
    </cfRule>
    <cfRule type="expression" dxfId="4761" priority="67" stopIfTrue="1">
      <formula>SUM($G$69:$G$72)=0</formula>
    </cfRule>
    <cfRule type="expression" dxfId="4760" priority="68" stopIfTrue="1">
      <formula>AND(G70&lt;&gt;0,ISERROR(H70))</formula>
    </cfRule>
  </conditionalFormatting>
  <conditionalFormatting sqref="G72">
    <cfRule type="expression" dxfId="4759" priority="69" stopIfTrue="1">
      <formula>$C$61=0</formula>
    </cfRule>
    <cfRule type="expression" dxfId="4758" priority="70" stopIfTrue="1">
      <formula>SUM($G$69:$G$72)=0</formula>
    </cfRule>
    <cfRule type="expression" dxfId="4757" priority="71" stopIfTrue="1">
      <formula>AND(G72&lt;&gt;0,ISERROR(H72))</formula>
    </cfRule>
  </conditionalFormatting>
  <conditionalFormatting sqref="G69">
    <cfRule type="expression" dxfId="4756" priority="72" stopIfTrue="1">
      <formula>$C$61=0</formula>
    </cfRule>
    <cfRule type="expression" dxfId="4755" priority="73" stopIfTrue="1">
      <formula>SUM($G$69:$G$72)=0</formula>
    </cfRule>
    <cfRule type="expression" dxfId="4754" priority="74" stopIfTrue="1">
      <formula>AND(G69&lt;&gt;0,ISERROR(H69))</formula>
    </cfRule>
  </conditionalFormatting>
  <conditionalFormatting sqref="I74">
    <cfRule type="expression" dxfId="4753" priority="75" stopIfTrue="1">
      <formula>$C$61=0</formula>
    </cfRule>
    <cfRule type="expression" dxfId="4752" priority="76" stopIfTrue="1">
      <formula>I73=0</formula>
    </cfRule>
  </conditionalFormatting>
  <conditionalFormatting sqref="G89:K89">
    <cfRule type="cellIs" dxfId="4751" priority="77" stopIfTrue="1" operator="equal">
      <formula>0</formula>
    </cfRule>
    <cfRule type="expression" dxfId="4750" priority="78" stopIfTrue="1">
      <formula>G$88=0</formula>
    </cfRule>
  </conditionalFormatting>
  <conditionalFormatting sqref="I77:J78">
    <cfRule type="expression" dxfId="4749" priority="79" stopIfTrue="1">
      <formula>$C$61=0</formula>
    </cfRule>
    <cfRule type="expression" dxfId="4748" priority="80" stopIfTrue="1">
      <formula>ISERROR($I77)</formula>
    </cfRule>
    <cfRule type="cellIs" dxfId="4747" priority="81" stopIfTrue="1" operator="equal">
      <formula>0</formula>
    </cfRule>
  </conditionalFormatting>
  <conditionalFormatting sqref="I79:J79">
    <cfRule type="expression" dxfId="4746" priority="82" stopIfTrue="1">
      <formula>ISERROR($I79)</formula>
    </cfRule>
    <cfRule type="expression" dxfId="4745" priority="83" stopIfTrue="1">
      <formula>$C$61=0</formula>
    </cfRule>
    <cfRule type="cellIs" dxfId="4744" priority="84" stopIfTrue="1" operator="equal">
      <formula>0</formula>
    </cfRule>
  </conditionalFormatting>
  <conditionalFormatting sqref="L77:M78">
    <cfRule type="expression" dxfId="4743" priority="85" stopIfTrue="1">
      <formula>ISERROR($L77)</formula>
    </cfRule>
    <cfRule type="expression" dxfId="4742" priority="86" stopIfTrue="1">
      <formula>$C$61=0</formula>
    </cfRule>
  </conditionalFormatting>
  <conditionalFormatting sqref="G93:H93">
    <cfRule type="expression" dxfId="4741" priority="87" stopIfTrue="1">
      <formula>AND(G$155="X",G$93&lt;&gt;"")</formula>
    </cfRule>
  </conditionalFormatting>
  <conditionalFormatting sqref="G81:K81">
    <cfRule type="expression" dxfId="4740" priority="88" stopIfTrue="1">
      <formula>$C$61=0</formula>
    </cfRule>
    <cfRule type="expression" dxfId="4739" priority="89" stopIfTrue="1">
      <formula>G$89&lt;&gt;0</formula>
    </cfRule>
  </conditionalFormatting>
  <conditionalFormatting sqref="I88:J88">
    <cfRule type="expression" dxfId="4738" priority="90" stopIfTrue="1">
      <formula>ISERROR($I88)</formula>
    </cfRule>
    <cfRule type="cellIs" dxfId="4737" priority="91" stopIfTrue="1" operator="equal">
      <formula>0</formula>
    </cfRule>
    <cfRule type="expression" dxfId="4736" priority="92" stopIfTrue="1">
      <formula>$C$61=0</formula>
    </cfRule>
  </conditionalFormatting>
  <conditionalFormatting sqref="H69:H72">
    <cfRule type="expression" dxfId="4735" priority="93" stopIfTrue="1">
      <formula>ISERROR(H69)</formula>
    </cfRule>
    <cfRule type="expression" dxfId="4734" priority="94" stopIfTrue="1">
      <formula>$C$61=0</formula>
    </cfRule>
    <cfRule type="expression" dxfId="4733" priority="95" stopIfTrue="1">
      <formula>$H69=$E$163</formula>
    </cfRule>
  </conditionalFormatting>
  <conditionalFormatting sqref="G76:H76 K76">
    <cfRule type="expression" dxfId="4732" priority="96" stopIfTrue="1">
      <formula>ISERROR(G76)</formula>
    </cfRule>
    <cfRule type="expression" dxfId="4731" priority="97" stopIfTrue="1">
      <formula>$C$61=0</formula>
    </cfRule>
    <cfRule type="expression" dxfId="4730" priority="98" stopIfTrue="1">
      <formula>G$76=$E$163</formula>
    </cfRule>
  </conditionalFormatting>
  <conditionalFormatting sqref="I76:J76">
    <cfRule type="expression" dxfId="4729" priority="99" stopIfTrue="1">
      <formula>ISERROR($I76)</formula>
    </cfRule>
    <cfRule type="expression" dxfId="4728" priority="100" stopIfTrue="1">
      <formula>$C$61=0</formula>
    </cfRule>
    <cfRule type="expression" dxfId="4727" priority="101" stopIfTrue="1">
      <formula>$I76=$E$163</formula>
    </cfRule>
  </conditionalFormatting>
  <conditionalFormatting sqref="K69:K72">
    <cfRule type="expression" dxfId="4726" priority="102" stopIfTrue="1">
      <formula>OR(ISERROR(H69),ISERROR(K69))</formula>
    </cfRule>
    <cfRule type="expression" dxfId="4725" priority="103" stopIfTrue="1">
      <formula>AND($I69=0,$C$61&lt;&gt;0,$G69=0)</formula>
    </cfRule>
    <cfRule type="expression" dxfId="4724" priority="104" stopIfTrue="1">
      <formula>$C$61=0</formula>
    </cfRule>
  </conditionalFormatting>
  <conditionalFormatting sqref="L93">
    <cfRule type="expression" dxfId="4723" priority="105" stopIfTrue="1">
      <formula>AND(J$155="X",L$93&lt;&gt;"")</formula>
    </cfRule>
  </conditionalFormatting>
  <conditionalFormatting sqref="L97">
    <cfRule type="expression" dxfId="4722" priority="106" stopIfTrue="1">
      <formula>AND(J$152=0,L$97&lt;&gt;0)</formula>
    </cfRule>
    <cfRule type="expression" dxfId="4721" priority="107" stopIfTrue="1">
      <formula>J$152=0</formula>
    </cfRule>
  </conditionalFormatting>
  <conditionalFormatting sqref="K98:L98">
    <cfRule type="expression" dxfId="4720" priority="108" stopIfTrue="1">
      <formula>AND(I$152=0,K$98&lt;&gt;0)</formula>
    </cfRule>
    <cfRule type="expression" dxfId="4719" priority="109" stopIfTrue="1">
      <formula>I$152=0</formula>
    </cfRule>
  </conditionalFormatting>
  <conditionalFormatting sqref="N98">
    <cfRule type="expression" dxfId="4718" priority="110" stopIfTrue="1">
      <formula>AND(J$152=0,N$98&lt;&gt;0)</formula>
    </cfRule>
    <cfRule type="expression" dxfId="4717" priority="111" stopIfTrue="1">
      <formula>J$152=0</formula>
    </cfRule>
  </conditionalFormatting>
  <conditionalFormatting sqref="M93">
    <cfRule type="expression" dxfId="4716" priority="112" stopIfTrue="1">
      <formula>AND(J$155="X",M$93&lt;&gt;"")</formula>
    </cfRule>
  </conditionalFormatting>
  <conditionalFormatting sqref="M97">
    <cfRule type="expression" dxfId="4715" priority="113" stopIfTrue="1">
      <formula>AND(J$152=0,M$97&lt;&gt;0)</formula>
    </cfRule>
    <cfRule type="expression" dxfId="4714" priority="114" stopIfTrue="1">
      <formula>J$152=0</formula>
    </cfRule>
  </conditionalFormatting>
  <conditionalFormatting sqref="M98">
    <cfRule type="expression" dxfId="4713" priority="115" stopIfTrue="1">
      <formula>AND(J$152=0,M$98&lt;&gt;0)</formula>
    </cfRule>
    <cfRule type="expression" dxfId="4712" priority="116" stopIfTrue="1">
      <formula>J$152=0</formula>
    </cfRule>
  </conditionalFormatting>
  <conditionalFormatting sqref="K101:L101">
    <cfRule type="expression" dxfId="4711" priority="117" stopIfTrue="1">
      <formula>AND(I$152=0,K$101&lt;&gt;0)</formula>
    </cfRule>
    <cfRule type="expression" dxfId="4710" priority="118" stopIfTrue="1">
      <formula>AND($C101="ERROR",K101&gt;0)</formula>
    </cfRule>
    <cfRule type="expression" dxfId="4709" priority="119" stopIfTrue="1">
      <formula>I$152=0</formula>
    </cfRule>
  </conditionalFormatting>
  <conditionalFormatting sqref="K102:L102">
    <cfRule type="expression" dxfId="4708" priority="120" stopIfTrue="1">
      <formula>AND(I$152=0,K$102&lt;&gt;0)</formula>
    </cfRule>
    <cfRule type="expression" dxfId="4707" priority="121" stopIfTrue="1">
      <formula>AND($C102="ERROR",K102&gt;0)</formula>
    </cfRule>
    <cfRule type="expression" dxfId="4706" priority="122" stopIfTrue="1">
      <formula>I$152=0</formula>
    </cfRule>
  </conditionalFormatting>
  <conditionalFormatting sqref="K103:L103">
    <cfRule type="expression" dxfId="4705" priority="123" stopIfTrue="1">
      <formula>AND(I$152=0,K$103&lt;&gt;0)</formula>
    </cfRule>
    <cfRule type="expression" dxfId="4704" priority="124" stopIfTrue="1">
      <formula>AND($C103="ERROR",K103&gt;0)</formula>
    </cfRule>
    <cfRule type="expression" dxfId="4703" priority="125" stopIfTrue="1">
      <formula>I$152=0</formula>
    </cfRule>
  </conditionalFormatting>
  <conditionalFormatting sqref="K104:L104">
    <cfRule type="expression" dxfId="4702" priority="126" stopIfTrue="1">
      <formula>AND(I$152=0,K$104&lt;&gt;0)</formula>
    </cfRule>
    <cfRule type="expression" dxfId="4701" priority="127" stopIfTrue="1">
      <formula>AND($C104="ERROR",K104&gt;0)</formula>
    </cfRule>
    <cfRule type="expression" dxfId="4700" priority="128" stopIfTrue="1">
      <formula>I$152=0</formula>
    </cfRule>
  </conditionalFormatting>
  <conditionalFormatting sqref="N101">
    <cfRule type="expression" dxfId="4699" priority="129" stopIfTrue="1">
      <formula>AND(J$152=0,N$101&lt;&gt;0)</formula>
    </cfRule>
    <cfRule type="expression" dxfId="4698" priority="130" stopIfTrue="1">
      <formula>AND($C101="ERROR",N101&gt;0)</formula>
    </cfRule>
    <cfRule type="expression" dxfId="4697" priority="131" stopIfTrue="1">
      <formula>J$152=0</formula>
    </cfRule>
  </conditionalFormatting>
  <conditionalFormatting sqref="N102">
    <cfRule type="expression" dxfId="4696" priority="132" stopIfTrue="1">
      <formula>AND(J$152=0,N$102&lt;&gt;0)</formula>
    </cfRule>
    <cfRule type="expression" dxfId="4695" priority="133" stopIfTrue="1">
      <formula>AND($C102="ERROR",N102&gt;0)</formula>
    </cfRule>
    <cfRule type="expression" dxfId="4694" priority="134" stopIfTrue="1">
      <formula>J$152=0</formula>
    </cfRule>
  </conditionalFormatting>
  <conditionalFormatting sqref="N103">
    <cfRule type="expression" dxfId="4693" priority="135" stopIfTrue="1">
      <formula>AND(J$152=0,N$103&lt;&gt;0)</formula>
    </cfRule>
    <cfRule type="expression" dxfId="4692" priority="136" stopIfTrue="1">
      <formula>AND($C103="ERROR",N103&gt;0)</formula>
    </cfRule>
    <cfRule type="expression" dxfId="4691" priority="137" stopIfTrue="1">
      <formula>J$152=0</formula>
    </cfRule>
  </conditionalFormatting>
  <conditionalFormatting sqref="N104">
    <cfRule type="expression" dxfId="4690" priority="138" stopIfTrue="1">
      <formula>AND(J$152=0,N$104&lt;&gt;0)</formula>
    </cfRule>
    <cfRule type="expression" dxfId="4689" priority="139" stopIfTrue="1">
      <formula>AND($C104="ERROR",N104&gt;0)</formula>
    </cfRule>
    <cfRule type="expression" dxfId="4688" priority="140" stopIfTrue="1">
      <formula>J$152=0</formula>
    </cfRule>
  </conditionalFormatting>
  <conditionalFormatting sqref="M101">
    <cfRule type="expression" dxfId="4687" priority="141" stopIfTrue="1">
      <formula>AND(J$152=0,M$101&lt;&gt;0)</formula>
    </cfRule>
    <cfRule type="expression" dxfId="4686" priority="142" stopIfTrue="1">
      <formula>AND($C101="ERROR",M101&gt;0)</formula>
    </cfRule>
    <cfRule type="expression" dxfId="4685" priority="143" stopIfTrue="1">
      <formula>J$152=0</formula>
    </cfRule>
  </conditionalFormatting>
  <conditionalFormatting sqref="M102">
    <cfRule type="expression" dxfId="4684" priority="144" stopIfTrue="1">
      <formula>AND(J$152=0,M$102&lt;&gt;0)</formula>
    </cfRule>
    <cfRule type="expression" dxfId="4683" priority="145" stopIfTrue="1">
      <formula>AND($C102="ERROR",M102&gt;0)</formula>
    </cfRule>
    <cfRule type="expression" dxfId="4682" priority="146" stopIfTrue="1">
      <formula>J$152=0</formula>
    </cfRule>
  </conditionalFormatting>
  <conditionalFormatting sqref="M103">
    <cfRule type="expression" dxfId="4681" priority="147" stopIfTrue="1">
      <formula>AND(J$152=0,M$103&lt;&gt;0)</formula>
    </cfRule>
    <cfRule type="expression" dxfId="4680" priority="148" stopIfTrue="1">
      <formula>AND($C103="ERROR",M103&gt;0)</formula>
    </cfRule>
    <cfRule type="expression" dxfId="4679" priority="149" stopIfTrue="1">
      <formula>J$152=0</formula>
    </cfRule>
  </conditionalFormatting>
  <conditionalFormatting sqref="M104">
    <cfRule type="expression" dxfId="4678" priority="150" stopIfTrue="1">
      <formula>AND(J$152=0,M$104&lt;&gt;0)</formula>
    </cfRule>
    <cfRule type="expression" dxfId="4677" priority="151" stopIfTrue="1">
      <formula>AND($C104="ERROR",M104&gt;0)</formula>
    </cfRule>
    <cfRule type="expression" dxfId="4676" priority="152" stopIfTrue="1">
      <formula>J$152=0</formula>
    </cfRule>
  </conditionalFormatting>
  <conditionalFormatting sqref="K97">
    <cfRule type="expression" dxfId="4675" priority="153" stopIfTrue="1">
      <formula>AND(I$152=0,K$97&lt;&gt;0)</formula>
    </cfRule>
    <cfRule type="expression" dxfId="4674" priority="154" stopIfTrue="1">
      <formula>I$152=0</formula>
    </cfRule>
    <cfRule type="expression" dxfId="4673" priority="155" stopIfTrue="1">
      <formula>AND(K$96&lt;&gt;0,K$97="")</formula>
    </cfRule>
  </conditionalFormatting>
  <conditionalFormatting sqref="N97">
    <cfRule type="expression" dxfId="4672" priority="156" stopIfTrue="1">
      <formula>AND(J$152=0,N$97&lt;&gt;0)</formula>
    </cfRule>
    <cfRule type="expression" dxfId="4671" priority="157" stopIfTrue="1">
      <formula>J$152=0</formula>
    </cfRule>
    <cfRule type="expression" dxfId="4670" priority="158" stopIfTrue="1">
      <formula>AND(N$96&lt;&gt;0,N$97="")</formula>
    </cfRule>
  </conditionalFormatting>
  <conditionalFormatting sqref="G83:I83 K83">
    <cfRule type="expression" dxfId="4669" priority="159" stopIfTrue="1">
      <formula>$C$61=0</formula>
    </cfRule>
    <cfRule type="expression" dxfId="4668" priority="160" stopIfTrue="1">
      <formula>G85=$M$135</formula>
    </cfRule>
    <cfRule type="cellIs" dxfId="4667" priority="161" stopIfTrue="1" operator="equal">
      <formula>0</formula>
    </cfRule>
  </conditionalFormatting>
  <conditionalFormatting sqref="G84:I84 K84">
    <cfRule type="expression" dxfId="4666" priority="162" stopIfTrue="1">
      <formula>$C$61=0</formula>
    </cfRule>
    <cfRule type="expression" dxfId="4665" priority="163" stopIfTrue="1">
      <formula>G85=$M$135</formula>
    </cfRule>
    <cfRule type="cellIs" dxfId="4664" priority="164" stopIfTrue="1" operator="equal">
      <formula>0</formula>
    </cfRule>
  </conditionalFormatting>
  <conditionalFormatting sqref="K86 G86:H86">
    <cfRule type="expression" dxfId="4663" priority="165" stopIfTrue="1">
      <formula>$C$61=0</formula>
    </cfRule>
    <cfRule type="expression" dxfId="4662" priority="166" stopIfTrue="1">
      <formula>G85=$M$135</formula>
    </cfRule>
  </conditionalFormatting>
  <conditionalFormatting sqref="G82:K82">
    <cfRule type="expression" dxfId="4661" priority="167" stopIfTrue="1">
      <formula>$C$61=0</formula>
    </cfRule>
    <cfRule type="expression" dxfId="4660" priority="168" stopIfTrue="1">
      <formula>G85=$M$135</formula>
    </cfRule>
    <cfRule type="cellIs" dxfId="4659" priority="169" stopIfTrue="1" operator="equal">
      <formula>0</formula>
    </cfRule>
  </conditionalFormatting>
  <conditionalFormatting sqref="I86:J86">
    <cfRule type="expression" dxfId="4658" priority="170" stopIfTrue="1">
      <formula>$C$61=0</formula>
    </cfRule>
    <cfRule type="expression" dxfId="4657" priority="171" stopIfTrue="1">
      <formula>$I85=$M$135</formula>
    </cfRule>
  </conditionalFormatting>
  <conditionalFormatting sqref="G87:H87 K87">
    <cfRule type="expression" dxfId="4656" priority="172" stopIfTrue="1">
      <formula>G85=$M$135</formula>
    </cfRule>
    <cfRule type="expression" dxfId="4655" priority="173" stopIfTrue="1">
      <formula>$C$61=0</formula>
    </cfRule>
  </conditionalFormatting>
  <conditionalFormatting sqref="I87:J87">
    <cfRule type="expression" dxfId="4654" priority="174" stopIfTrue="1">
      <formula>$I85=$M$135</formula>
    </cfRule>
    <cfRule type="expression" dxfId="4653" priority="175" stopIfTrue="1">
      <formula>$C$61=0</formula>
    </cfRule>
  </conditionalFormatting>
  <conditionalFormatting sqref="K93">
    <cfRule type="expression" dxfId="4652" priority="176" stopIfTrue="1">
      <formula>AND(I$155="X",K$93&lt;&gt;"")</formula>
    </cfRule>
  </conditionalFormatting>
  <conditionalFormatting sqref="N93">
    <cfRule type="expression" dxfId="4651" priority="177" stopIfTrue="1">
      <formula>AND(J$155="X",N$93&lt;&gt;"")</formula>
    </cfRule>
  </conditionalFormatting>
  <conditionalFormatting sqref="L69:M72">
    <cfRule type="expression" dxfId="4650" priority="178" stopIfTrue="1">
      <formula>OR(ISERROR($L69),$H69="")</formula>
    </cfRule>
    <cfRule type="expression" dxfId="4649" priority="179" stopIfTrue="1">
      <formula>$C$61=0</formula>
    </cfRule>
    <cfRule type="expression" dxfId="4648" priority="180" stopIfTrue="1">
      <formula>$H69=$E$163</formula>
    </cfRule>
  </conditionalFormatting>
  <conditionalFormatting sqref="I85:J85">
    <cfRule type="expression" dxfId="4647" priority="181" stopIfTrue="1">
      <formula>$C$61=0</formula>
    </cfRule>
    <cfRule type="expression" dxfId="4646" priority="182" stopIfTrue="1">
      <formula>$I85=$M$135</formula>
    </cfRule>
  </conditionalFormatting>
  <conditionalFormatting sqref="I51:J52 L51:M52">
    <cfRule type="expression" dxfId="4645" priority="183" stopIfTrue="1">
      <formula>ISERROR(I55)</formula>
    </cfRule>
  </conditionalFormatting>
  <conditionalFormatting sqref="K51:K52">
    <cfRule type="expression" dxfId="4644" priority="184" stopIfTrue="1">
      <formula>ISERROR(G51)</formula>
    </cfRule>
  </conditionalFormatting>
  <conditionalFormatting sqref="I7:I39">
    <cfRule type="expression" dxfId="4643" priority="185" stopIfTrue="1">
      <formula>OR($I$4=0,$I$4&lt;&gt;$K$130)</formula>
    </cfRule>
    <cfRule type="expression" dxfId="4642" priority="186" stopIfTrue="1">
      <formula>$AA7&lt;&gt;0</formula>
    </cfRule>
  </conditionalFormatting>
  <conditionalFormatting sqref="J7:J39">
    <cfRule type="expression" dxfId="4641" priority="187" stopIfTrue="1">
      <formula>OR($I$4=0,$I$4&lt;&gt;$K$130)</formula>
    </cfRule>
    <cfRule type="expression" dxfId="4640" priority="188" stopIfTrue="1">
      <formula>$AA7&lt;&gt;0</formula>
    </cfRule>
  </conditionalFormatting>
  <conditionalFormatting sqref="L7:L39">
    <cfRule type="expression" dxfId="4639" priority="189" stopIfTrue="1">
      <formula>OR($L$4=0,$L$4&lt;&gt;$K$130)</formula>
    </cfRule>
    <cfRule type="expression" dxfId="4638" priority="190" stopIfTrue="1">
      <formula>$AA7&lt;&gt;0</formula>
    </cfRule>
  </conditionalFormatting>
  <conditionalFormatting sqref="M7:M39">
    <cfRule type="expression" dxfId="4637" priority="191" stopIfTrue="1">
      <formula>OR($L$4=0,$L$4&lt;&gt;$K$130)</formula>
    </cfRule>
    <cfRule type="expression" dxfId="4636" priority="192" stopIfTrue="1">
      <formula>$AA7&lt;&gt;0</formula>
    </cfRule>
  </conditionalFormatting>
  <conditionalFormatting sqref="O7:O39">
    <cfRule type="expression" dxfId="4635" priority="193" stopIfTrue="1">
      <formula>OR($O$4=0,$O$4&lt;&gt;$K$130)</formula>
    </cfRule>
    <cfRule type="expression" dxfId="4634" priority="194" stopIfTrue="1">
      <formula>$AA7&lt;&gt;0</formula>
    </cfRule>
  </conditionalFormatting>
  <conditionalFormatting sqref="P7:P39">
    <cfRule type="expression" dxfId="4633" priority="195" stopIfTrue="1">
      <formula>OR($O$4=0,$O$4&lt;&gt;$K$130)</formula>
    </cfRule>
    <cfRule type="expression" dxfId="4632" priority="196" stopIfTrue="1">
      <formula>$AA7&lt;&gt;0</formula>
    </cfRule>
  </conditionalFormatting>
  <conditionalFormatting sqref="K39">
    <cfRule type="expression" dxfId="4631" priority="197" stopIfTrue="1">
      <formula>ISERROR($G$155)</formula>
    </cfRule>
    <cfRule type="expression" dxfId="4630" priority="198" stopIfTrue="1">
      <formula>OR($I$163=0,K$4="")</formula>
    </cfRule>
    <cfRule type="expression" dxfId="4629" priority="199" stopIfTrue="1">
      <formula>OR(K$4="",ISERROR(I$155))</formula>
    </cfRule>
  </conditionalFormatting>
  <conditionalFormatting sqref="N39">
    <cfRule type="expression" dxfId="4628" priority="200" stopIfTrue="1">
      <formula>ISERROR($G$155)</formula>
    </cfRule>
    <cfRule type="expression" dxfId="4627" priority="201" stopIfTrue="1">
      <formula>OR($I$163=0,N$4="")</formula>
    </cfRule>
    <cfRule type="expression" dxfId="4626" priority="202" stopIfTrue="1">
      <formula>OR(N$4="",ISERROR(J$155))</formula>
    </cfRule>
  </conditionalFormatting>
  <conditionalFormatting sqref="G8:H38 K8:K38 N8:N38">
    <cfRule type="expression" dxfId="4625" priority="203" stopIfTrue="1">
      <formula>$AA8=$Y$6</formula>
    </cfRule>
    <cfRule type="expression" dxfId="4624" priority="204" stopIfTrue="1">
      <formula>OR($AA8=0,$E8=$E$162)</formula>
    </cfRule>
  </conditionalFormatting>
  <conditionalFormatting sqref="C8:D38">
    <cfRule type="expression" dxfId="4623" priority="205" stopIfTrue="1">
      <formula>$AA8=$Y$6</formula>
    </cfRule>
    <cfRule type="expression" dxfId="4622" priority="206" stopIfTrue="1">
      <formula>AND($L$163=0,OR($V8&lt;$B$162,$V8&gt;$B$163))</formula>
    </cfRule>
    <cfRule type="expression" dxfId="4621" priority="207" stopIfTrue="1">
      <formula>AND($AA8=0,$E8=0)</formula>
    </cfRule>
  </conditionalFormatting>
  <conditionalFormatting sqref="G46:H46 K46 N46">
    <cfRule type="expression" dxfId="4620" priority="208" stopIfTrue="1">
      <formula>G$42=$K$134</formula>
    </cfRule>
    <cfRule type="expression" dxfId="4619" priority="209" stopIfTrue="1">
      <formula>OR($I$163=0,G$4="")</formula>
    </cfRule>
    <cfRule type="expression" dxfId="4618" priority="210" stopIfTrue="1">
      <formula>G44=""</formula>
    </cfRule>
  </conditionalFormatting>
  <conditionalFormatting sqref="G47:H47 K47 N47">
    <cfRule type="expression" dxfId="4617" priority="211" stopIfTrue="1">
      <formula>OR(ISERROR(G47),G$4="")</formula>
    </cfRule>
    <cfRule type="expression" dxfId="4616" priority="212" stopIfTrue="1">
      <formula>G$42=$K$134</formula>
    </cfRule>
    <cfRule type="expression" dxfId="4615" priority="213" stopIfTrue="1">
      <formula>AND(G$46&gt;0,OR(G$99=$E$152,G$99=$K$152))</formula>
    </cfRule>
  </conditionalFormatting>
  <conditionalFormatting sqref="G48:H48 K48 N48">
    <cfRule type="expression" dxfId="4614" priority="214" stopIfTrue="1">
      <formula>OR(ISERROR(G48),G$4="")</formula>
    </cfRule>
    <cfRule type="expression" dxfId="4613" priority="215" stopIfTrue="1">
      <formula>G$42=$K$134</formula>
    </cfRule>
    <cfRule type="expression" dxfId="4612" priority="216" stopIfTrue="1">
      <formula>AND(G$46&gt;0,OR(G$99=$E$152,G$99=$K$152,COUNTIF($C$101:$F$104,"ERROR")&gt;0,G$105=$E$152,G$105=$K$152))</formula>
    </cfRule>
  </conditionalFormatting>
  <conditionalFormatting sqref="I69:J72">
    <cfRule type="expression" dxfId="4611" priority="217" stopIfTrue="1">
      <formula>$C$61=0</formula>
    </cfRule>
    <cfRule type="expression" dxfId="4610" priority="218" stopIfTrue="1">
      <formula>$Z69=0</formula>
    </cfRule>
    <cfRule type="expression" dxfId="4609" priority="219" stopIfTrue="1">
      <formula>$I69=0</formula>
    </cfRule>
  </conditionalFormatting>
  <conditionalFormatting sqref="G61:H62 K61:K62 N61:N62">
    <cfRule type="expression" dxfId="4608" priority="220" stopIfTrue="1">
      <formula>$C$61=0</formula>
    </cfRule>
    <cfRule type="expression" dxfId="4607" priority="221" stopIfTrue="1">
      <formula>G$62=$L$135</formula>
    </cfRule>
  </conditionalFormatting>
  <conditionalFormatting sqref="M166:N166">
    <cfRule type="expression" dxfId="4606" priority="222" stopIfTrue="1">
      <formula>ISBLANK($M166)</formula>
    </cfRule>
  </conditionalFormatting>
  <conditionalFormatting sqref="F107 N108:N109 F108:I109 K108:K109">
    <cfRule type="expression" dxfId="4605" priority="223" stopIfTrue="1">
      <formula>$L$108=0</formula>
    </cfRule>
  </conditionalFormatting>
  <conditionalFormatting sqref="G116:J118 K121:K122 L108:M109">
    <cfRule type="cellIs" dxfId="4604" priority="224" stopIfTrue="1" operator="equal">
      <formula>0</formula>
    </cfRule>
  </conditionalFormatting>
  <conditionalFormatting sqref="L113:M121">
    <cfRule type="expression" dxfId="4603" priority="225" stopIfTrue="1">
      <formula>$L$109=0</formula>
    </cfRule>
  </conditionalFormatting>
  <conditionalFormatting sqref="L122:M122">
    <cfRule type="expression" dxfId="4602" priority="226" stopIfTrue="1">
      <formula>$K$122=0</formula>
    </cfRule>
  </conditionalFormatting>
  <conditionalFormatting sqref="K53:K54 H53:H54">
    <cfRule type="expression" dxfId="4601" priority="227" stopIfTrue="1">
      <formula>ISERROR($G$155)</formula>
    </cfRule>
  </conditionalFormatting>
  <conditionalFormatting sqref="L180 P46 L193 L206 L215:L217">
    <cfRule type="expression" dxfId="4600" priority="228" stopIfTrue="1">
      <formula>$O$44=""</formula>
    </cfRule>
    <cfRule type="expression" dxfId="4599" priority="229" stopIfTrue="1">
      <formula>$O$44=0</formula>
    </cfRule>
  </conditionalFormatting>
  <conditionalFormatting sqref="G180:I180 K180 G215:J217 G193:I193 K206 K193 G206:I206">
    <cfRule type="expression" dxfId="4598" priority="230" stopIfTrue="1">
      <formula>ISERROR(G180)</formula>
    </cfRule>
    <cfRule type="cellIs" dxfId="4597" priority="231" stopIfTrue="1" operator="equal">
      <formula>0</formula>
    </cfRule>
  </conditionalFormatting>
  <conditionalFormatting sqref="G183:K183 G170:K170 G196:K196 G121:J122">
    <cfRule type="cellIs" dxfId="4596" priority="232" stopIfTrue="1" operator="equal">
      <formula>0</formula>
    </cfRule>
  </conditionalFormatting>
  <conditionalFormatting sqref="C126:P126">
    <cfRule type="expression" dxfId="4595" priority="233" stopIfTrue="1">
      <formula>ISERROR($H$163)</formula>
    </cfRule>
  </conditionalFormatting>
  <conditionalFormatting sqref="G53:G54">
    <cfRule type="expression" dxfId="4594" priority="234" stopIfTrue="1">
      <formula>ISERROR($G$155)</formula>
    </cfRule>
    <cfRule type="expression" dxfId="4593" priority="235" stopIfTrue="1">
      <formula>ISERROR(G53)</formula>
    </cfRule>
  </conditionalFormatting>
  <conditionalFormatting sqref="O95:P95">
    <cfRule type="expression" dxfId="4592" priority="236" stopIfTrue="1">
      <formula>$O$44=""</formula>
    </cfRule>
  </conditionalFormatting>
  <conditionalFormatting sqref="O94:P94">
    <cfRule type="expression" dxfId="4591" priority="237" stopIfTrue="1">
      <formula>$O$44=""</formula>
    </cfRule>
  </conditionalFormatting>
  <conditionalFormatting sqref="AA8:AA38 O44:P44 G58 C58 I44:J44 L44:M44 G152:J152 L168 E6:F6 K42 N42 G42:H42">
    <cfRule type="cellIs" dxfId="4590" priority="238" stopIfTrue="1" operator="equal">
      <formula>0</formula>
    </cfRule>
  </conditionalFormatting>
  <conditionalFormatting sqref="W8:Z38 R8:U38 AB8:AE38 AG8:AK38 AM8:AQ38 AS8:AW38 AY8:AY38">
    <cfRule type="cellIs" dxfId="4589" priority="239" stopIfTrue="1" operator="equal">
      <formula>0</formula>
    </cfRule>
  </conditionalFormatting>
  <conditionalFormatting sqref="O45:P45 L169">
    <cfRule type="expression" dxfId="4588" priority="240" stopIfTrue="1">
      <formula>$O$4=$K$130</formula>
    </cfRule>
    <cfRule type="expression" dxfId="4587" priority="241" stopIfTrue="1">
      <formula>$O$44=0</formula>
    </cfRule>
  </conditionalFormatting>
  <conditionalFormatting sqref="E47:F48">
    <cfRule type="expression" dxfId="4586" priority="242" stopIfTrue="1">
      <formula>ISERROR(E47)</formula>
    </cfRule>
  </conditionalFormatting>
  <conditionalFormatting sqref="G168:I169 K168:K169 E197:E198 E206:F206 E171:E172 E180:F180 E184:E185 E193:F193 G94:N95 N44:N45 G44:H45 K44:K45 E221 G51:H52">
    <cfRule type="expression" dxfId="4585" priority="243" stopIfTrue="1">
      <formula>ISERROR(E44)</formula>
    </cfRule>
  </conditionalFormatting>
  <conditionalFormatting sqref="G167:I167 K167 N43 G43:H43 K43">
    <cfRule type="cellIs" dxfId="4584" priority="244" stopIfTrue="1" operator="equal">
      <formula>0</formula>
    </cfRule>
  </conditionalFormatting>
  <conditionalFormatting sqref="G99:N99 G105:N105 H139:H141 H145:H148">
    <cfRule type="cellIs" dxfId="4583" priority="245" stopIfTrue="1" operator="equal">
      <formula>"OK"</formula>
    </cfRule>
  </conditionalFormatting>
  <conditionalFormatting sqref="I139:I141 I145:I148">
    <cfRule type="cellIs" dxfId="4582" priority="246" stopIfTrue="1" operator="greaterThan">
      <formula>0</formula>
    </cfRule>
  </conditionalFormatting>
  <conditionalFormatting sqref="F110:I112 K110:M112">
    <cfRule type="expression" dxfId="4581" priority="247" stopIfTrue="1">
      <formula>$L$108=0</formula>
    </cfRule>
  </conditionalFormatting>
  <conditionalFormatting sqref="C195:H195">
    <cfRule type="expression" dxfId="4580" priority="248" stopIfTrue="1">
      <formula>ISERROR($C$195)</formula>
    </cfRule>
  </conditionalFormatting>
  <conditionalFormatting sqref="C2:J2">
    <cfRule type="expression" dxfId="4579" priority="249" stopIfTrue="1">
      <formula>$I$163=0</formula>
    </cfRule>
  </conditionalFormatting>
  <conditionalFormatting sqref="L96:M96 I96:J96">
    <cfRule type="expression" dxfId="4578" priority="250" stopIfTrue="1">
      <formula>ISERROR($G$155)</formula>
    </cfRule>
    <cfRule type="expression" dxfId="4577" priority="251" stopIfTrue="1">
      <formula>I96=0</formula>
    </cfRule>
  </conditionalFormatting>
  <conditionalFormatting sqref="N7 G7:H7 K7">
    <cfRule type="expression" dxfId="4576" priority="252" stopIfTrue="1">
      <formula>$I$163=0</formula>
    </cfRule>
  </conditionalFormatting>
  <conditionalFormatting sqref="I48:J48">
    <cfRule type="expression" dxfId="4575" priority="253" stopIfTrue="1">
      <formula>$I$4=$K$130</formula>
    </cfRule>
  </conditionalFormatting>
  <conditionalFormatting sqref="L48:M48">
    <cfRule type="expression" dxfId="4574" priority="254" stopIfTrue="1">
      <formula>$L$4=$K$130</formula>
    </cfRule>
  </conditionalFormatting>
  <conditionalFormatting sqref="I45:J45">
    <cfRule type="expression" dxfId="4573" priority="255" stopIfTrue="1">
      <formula>$I$4=$K$130</formula>
    </cfRule>
    <cfRule type="expression" dxfId="4572" priority="256" stopIfTrue="1">
      <formula>$I$44=0</formula>
    </cfRule>
  </conditionalFormatting>
  <conditionalFormatting sqref="L45:M45">
    <cfRule type="expression" dxfId="4571" priority="257" stopIfTrue="1">
      <formula>$L$4=$K$130</formula>
    </cfRule>
    <cfRule type="expression" dxfId="4570" priority="258" stopIfTrue="1">
      <formula>$L$44=0</formula>
    </cfRule>
  </conditionalFormatting>
  <conditionalFormatting sqref="L53">
    <cfRule type="expression" dxfId="4569" priority="259" stopIfTrue="1">
      <formula>ISERROR($G$155)</formula>
    </cfRule>
    <cfRule type="expression" dxfId="4568" priority="260" stopIfTrue="1">
      <formula>ISERROR($L$53)</formula>
    </cfRule>
  </conditionalFormatting>
  <conditionalFormatting sqref="O96:P98 C97:F98">
    <cfRule type="expression" dxfId="4567" priority="261" stopIfTrue="1">
      <formula>SUM($G$152:$J$152)=0</formula>
    </cfRule>
  </conditionalFormatting>
  <conditionalFormatting sqref="G155:J155">
    <cfRule type="cellIs" dxfId="4566" priority="262" stopIfTrue="1" operator="equal">
      <formula>0</formula>
    </cfRule>
  </conditionalFormatting>
  <conditionalFormatting sqref="G157:J159">
    <cfRule type="cellIs" dxfId="4565" priority="263" stopIfTrue="1" operator="equal">
      <formula>$E$157</formula>
    </cfRule>
  </conditionalFormatting>
  <conditionalFormatting sqref="Q91:S91">
    <cfRule type="expression" dxfId="4564" priority="264" stopIfTrue="1">
      <formula>SUM($G$152:$J$152)=0</formula>
    </cfRule>
  </conditionalFormatting>
  <conditionalFormatting sqref="I4:J5">
    <cfRule type="expression" dxfId="4563" priority="265" stopIfTrue="1">
      <formula>$I$6=""</formula>
    </cfRule>
    <cfRule type="cellIs" dxfId="4562" priority="266" stopIfTrue="1" operator="equal">
      <formula>0</formula>
    </cfRule>
    <cfRule type="expression" dxfId="4561" priority="267" stopIfTrue="1">
      <formula>$I$4=$K$130</formula>
    </cfRule>
  </conditionalFormatting>
  <conditionalFormatting sqref="L4:M5">
    <cfRule type="expression" dxfId="4560" priority="268" stopIfTrue="1">
      <formula>$L$6=""</formula>
    </cfRule>
    <cfRule type="cellIs" dxfId="4559" priority="269" stopIfTrue="1" operator="equal">
      <formula>0</formula>
    </cfRule>
    <cfRule type="expression" dxfId="4558" priority="270" stopIfTrue="1">
      <formula>$L$4=$K$130</formula>
    </cfRule>
  </conditionalFormatting>
  <conditionalFormatting sqref="O4:P5">
    <cfRule type="expression" dxfId="4557" priority="271" stopIfTrue="1">
      <formula>$O$6=""</formula>
    </cfRule>
    <cfRule type="cellIs" dxfId="4556" priority="272" stopIfTrue="1" operator="equal">
      <formula>0</formula>
    </cfRule>
    <cfRule type="expression" dxfId="4555" priority="273" stopIfTrue="1">
      <formula>$O$4=$K$130</formula>
    </cfRule>
  </conditionalFormatting>
  <conditionalFormatting sqref="E46:F46">
    <cfRule type="expression" dxfId="4554" priority="274" stopIfTrue="1">
      <formula>ISERROR($E$46)</formula>
    </cfRule>
  </conditionalFormatting>
  <conditionalFormatting sqref="I46">
    <cfRule type="expression" dxfId="4553" priority="275" stopIfTrue="1">
      <formula>$I$44=""</formula>
    </cfRule>
    <cfRule type="expression" dxfId="4552" priority="276" stopIfTrue="1">
      <formula>$I$44=0</formula>
    </cfRule>
  </conditionalFormatting>
  <conditionalFormatting sqref="L46">
    <cfRule type="expression" dxfId="4551" priority="277" stopIfTrue="1">
      <formula>$L$44=""</formula>
    </cfRule>
    <cfRule type="expression" dxfId="4550" priority="278" stopIfTrue="1">
      <formula>$L$44=0</formula>
    </cfRule>
  </conditionalFormatting>
  <conditionalFormatting sqref="O46">
    <cfRule type="expression" dxfId="4549" priority="279" stopIfTrue="1">
      <formula>$O$44=""</formula>
    </cfRule>
    <cfRule type="expression" dxfId="4548" priority="280" stopIfTrue="1">
      <formula>$O$44=0</formula>
    </cfRule>
  </conditionalFormatting>
  <conditionalFormatting sqref="J46">
    <cfRule type="expression" dxfId="4547" priority="281" stopIfTrue="1">
      <formula>$I$44=""</formula>
    </cfRule>
    <cfRule type="expression" dxfId="4546" priority="282" stopIfTrue="1">
      <formula>$I$44=0</formula>
    </cfRule>
  </conditionalFormatting>
  <conditionalFormatting sqref="M46">
    <cfRule type="expression" dxfId="4545" priority="283" stopIfTrue="1">
      <formula>$L$44=""</formula>
    </cfRule>
    <cfRule type="expression" dxfId="4544" priority="284" stopIfTrue="1">
      <formula>$L$44=0</formula>
    </cfRule>
  </conditionalFormatting>
  <conditionalFormatting sqref="G96:H96 K96 N96">
    <cfRule type="expression" dxfId="4543" priority="285" stopIfTrue="1">
      <formula>ISERROR($G$155)</formula>
    </cfRule>
    <cfRule type="expression" dxfId="4542" priority="286" stopIfTrue="1">
      <formula>G96=0</formula>
    </cfRule>
    <cfRule type="expression" dxfId="4541" priority="287" stopIfTrue="1">
      <formula>G96&lt;&gt;0</formula>
    </cfRule>
  </conditionalFormatting>
  <conditionalFormatting sqref="M168:N168">
    <cfRule type="expression" dxfId="4540" priority="288" stopIfTrue="1">
      <formula>$M$168=""</formula>
    </cfRule>
  </conditionalFormatting>
  <conditionalFormatting sqref="G63:H63 K63 N63">
    <cfRule type="expression" dxfId="4539" priority="289" stopIfTrue="1">
      <formula>$C$61=0</formula>
    </cfRule>
    <cfRule type="cellIs" dxfId="4538" priority="290" stopIfTrue="1" operator="equal">
      <formula>0</formula>
    </cfRule>
  </conditionalFormatting>
  <conditionalFormatting sqref="F63 F65 F73 F76:F79 F86:F89 N78:N79 N88 L86:N87 K68 C68:C69 I67:J68">
    <cfRule type="expression" dxfId="4537" priority="291" stopIfTrue="1">
      <formula>$C$61=0</formula>
    </cfRule>
  </conditionalFormatting>
  <conditionalFormatting sqref="G65">
    <cfRule type="expression" dxfId="4536" priority="292" stopIfTrue="1">
      <formula>$C$61=0</formula>
    </cfRule>
    <cfRule type="cellIs" dxfId="4535" priority="293" stopIfTrue="1" operator="equal">
      <formula>0</formula>
    </cfRule>
  </conditionalFormatting>
  <conditionalFormatting sqref="N66:N67 N74:N77 L68:N68">
    <cfRule type="expression" dxfId="4534" priority="294" stopIfTrue="1">
      <formula>$C$61=0</formula>
    </cfRule>
  </conditionalFormatting>
  <conditionalFormatting sqref="G68:H68">
    <cfRule type="expression" dxfId="4533" priority="295" stopIfTrue="1">
      <formula>ISERROR(G68)</formula>
    </cfRule>
    <cfRule type="expression" dxfId="4532" priority="296" stopIfTrue="1">
      <formula>$C$61=0</formula>
    </cfRule>
  </conditionalFormatting>
  <conditionalFormatting sqref="N73">
    <cfRule type="expression" dxfId="4531" priority="297" stopIfTrue="1">
      <formula>$C$61=0</formula>
    </cfRule>
    <cfRule type="expression" dxfId="4530" priority="298" stopIfTrue="1">
      <formula>ISERROR(N73)</formula>
    </cfRule>
  </conditionalFormatting>
  <conditionalFormatting sqref="O73 O79 O88">
    <cfRule type="expression" dxfId="4529" priority="299" stopIfTrue="1">
      <formula>O73=$E$163</formula>
    </cfRule>
    <cfRule type="expression" dxfId="4528" priority="300" stopIfTrue="1">
      <formula>$C$61=0</formula>
    </cfRule>
    <cfRule type="expression" dxfId="4527" priority="301" stopIfTrue="1">
      <formula>ISERROR(O73)</formula>
    </cfRule>
  </conditionalFormatting>
  <conditionalFormatting sqref="C67">
    <cfRule type="expression" dxfId="4526" priority="302" stopIfTrue="1">
      <formula>$C$61=0</formula>
    </cfRule>
  </conditionalFormatting>
  <conditionalFormatting sqref="G73 I73">
    <cfRule type="expression" dxfId="4525" priority="303" stopIfTrue="1">
      <formula>ISERROR(G73)</formula>
    </cfRule>
    <cfRule type="expression" dxfId="4524" priority="304" stopIfTrue="1">
      <formula>G73=0</formula>
    </cfRule>
    <cfRule type="expression" dxfId="4523" priority="305" stopIfTrue="1">
      <formula>$C$61=0</formula>
    </cfRule>
  </conditionalFormatting>
  <conditionalFormatting sqref="G77:H78 K77:K78">
    <cfRule type="expression" dxfId="4522" priority="306" stopIfTrue="1">
      <formula>$C$61=0</formula>
    </cfRule>
    <cfRule type="expression" dxfId="4521" priority="307" stopIfTrue="1">
      <formula>ISERROR(G77)</formula>
    </cfRule>
    <cfRule type="cellIs" dxfId="4520" priority="308" stopIfTrue="1" operator="equal">
      <formula>0</formula>
    </cfRule>
  </conditionalFormatting>
  <conditionalFormatting sqref="G79:H79 K79">
    <cfRule type="expression" dxfId="4519" priority="309" stopIfTrue="1">
      <formula>ISERROR(G79)</formula>
    </cfRule>
    <cfRule type="expression" dxfId="4518" priority="310" stopIfTrue="1">
      <formula>$C$61=0</formula>
    </cfRule>
    <cfRule type="cellIs" dxfId="4517" priority="311" stopIfTrue="1" operator="equal">
      <formula>0</formula>
    </cfRule>
  </conditionalFormatting>
  <conditionalFormatting sqref="N69:N72">
    <cfRule type="expression" dxfId="4516" priority="312" stopIfTrue="1">
      <formula>$C$61=0</formula>
    </cfRule>
    <cfRule type="cellIs" dxfId="4515" priority="313" stopIfTrue="1" operator="equal">
      <formula>0</formula>
    </cfRule>
    <cfRule type="expression" dxfId="4514" priority="314" stopIfTrue="1">
      <formula>ISERROR(N69)</formula>
    </cfRule>
  </conditionalFormatting>
  <conditionalFormatting sqref="C70:C71">
    <cfRule type="expression" dxfId="4513" priority="315" stopIfTrue="1">
      <formula>$C$61=0</formula>
    </cfRule>
    <cfRule type="expression" dxfId="4512" priority="316" stopIfTrue="1">
      <formula>$G$73&lt;&gt;0</formula>
    </cfRule>
  </conditionalFormatting>
  <conditionalFormatting sqref="P60:P61">
    <cfRule type="expression" dxfId="4511" priority="317" stopIfTrue="1">
      <formula>$C$61=1</formula>
    </cfRule>
  </conditionalFormatting>
  <conditionalFormatting sqref="H66:M66">
    <cfRule type="expression" dxfId="4510" priority="318" stopIfTrue="1">
      <formula>$C$61=0</formula>
    </cfRule>
  </conditionalFormatting>
  <conditionalFormatting sqref="H65">
    <cfRule type="expression" dxfId="4509" priority="319" stopIfTrue="1">
      <formula>AND($C$61=0,$D$61&gt;0)</formula>
    </cfRule>
    <cfRule type="expression" dxfId="4508" priority="320" stopIfTrue="1">
      <formula>$C$61=0</formula>
    </cfRule>
  </conditionalFormatting>
  <conditionalFormatting sqref="G67">
    <cfRule type="expression" dxfId="4507" priority="321" stopIfTrue="1">
      <formula>$C$61=0</formula>
    </cfRule>
    <cfRule type="expression" dxfId="4506" priority="322" stopIfTrue="1">
      <formula>ISERROR(G67)</formula>
    </cfRule>
  </conditionalFormatting>
  <conditionalFormatting sqref="G88:H88 K88">
    <cfRule type="expression" dxfId="4505" priority="323" stopIfTrue="1">
      <formula>ISERROR(G88)</formula>
    </cfRule>
    <cfRule type="cellIs" dxfId="4504" priority="324" stopIfTrue="1" operator="equal">
      <formula>0</formula>
    </cfRule>
    <cfRule type="expression" dxfId="4503" priority="325" stopIfTrue="1">
      <formula>$C$61=0</formula>
    </cfRule>
  </conditionalFormatting>
  <conditionalFormatting sqref="C91:P91">
    <cfRule type="expression" dxfId="4502" priority="326" stopIfTrue="1">
      <formula>SUM($G$150:$J$150)=0</formula>
    </cfRule>
  </conditionalFormatting>
  <conditionalFormatting sqref="G85:H85 K85">
    <cfRule type="expression" dxfId="4501" priority="327" stopIfTrue="1">
      <formula>$C$61=0</formula>
    </cfRule>
    <cfRule type="expression" dxfId="4500" priority="328" stopIfTrue="1">
      <formula>G85=$M$135</formula>
    </cfRule>
  </conditionalFormatting>
  <conditionalFormatting sqref="I55:J56 L55:M56">
    <cfRule type="cellIs" dxfId="4499" priority="329" stopIfTrue="1" operator="equal">
      <formula>0</formula>
    </cfRule>
    <cfRule type="expression" dxfId="4498" priority="330" stopIfTrue="1">
      <formula>ISERROR(I55)</formula>
    </cfRule>
  </conditionalFormatting>
  <dataValidations count="7">
    <dataValidation type="whole" operator="lessThanOrEqual" allowBlank="1" showInputMessage="1" showErrorMessage="1" sqref="F52">
      <formula1>E162</formula1>
    </dataValidation>
    <dataValidation type="list" allowBlank="1" showInputMessage="1" showErrorMessage="1" sqref="I207">
      <formula1>$I$219:$I$229</formula1>
    </dataValidation>
    <dataValidation type="decimal" operator="greaterThan" allowBlank="1" showInputMessage="1" showErrorMessage="1" errorTitle="ATTENZIONE !!!" error="E' ammesso solo un valore POSITIVO" sqref="G53:G54">
      <formula1>0</formula1>
    </dataValidation>
    <dataValidation type="decimal" operator="lessThan" allowBlank="1" showInputMessage="1" showErrorMessage="1" errorTitle="ATTENZIONE !!!" error="E' ammesso solo un valore NEGATIVO" sqref="H53:H54">
      <formula1>0</formula1>
    </dataValidation>
    <dataValidation type="list" allowBlank="1" showInputMessage="1" showErrorMessage="1" sqref="M168:N168">
      <formula1>$E$218:$E$220</formula1>
    </dataValidation>
    <dataValidation type="list" allowBlank="1" showInputMessage="1" showErrorMessage="1" sqref="M166">
      <formula1>$E$223:$E$226</formula1>
    </dataValidation>
    <dataValidation type="list" allowBlank="1" showInputMessage="1" showErrorMessage="1" sqref="M3:P3">
      <formula1>$K$144:$K$149</formula1>
    </dataValidation>
  </dataValidations>
  <hyperlinks>
    <hyperlink ref="G231" location="Presentazione!I106" display="QUI"/>
    <hyperlink ref="L231" location="Presentazione!K83" display="QUI"/>
  </hyperlinks>
  <printOptions horizontalCentered="1"/>
  <pageMargins left="0.39370078740157483" right="0" top="0.39370078740157483" bottom="0" header="0" footer="0"/>
  <pageSetup paperSize="9" scale="72"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7">
    <pageSetUpPr autoPageBreaks="0"/>
  </sheetPr>
  <dimension ref="A1:BB231"/>
  <sheetViews>
    <sheetView showGridLines="0" showRowColHeaders="0" topLeftCell="A2" zoomScaleNormal="100" workbookViewId="0">
      <selection activeCell="G8" sqref="G8"/>
    </sheetView>
  </sheetViews>
  <sheetFormatPr defaultRowHeight="12.75" x14ac:dyDescent="0.2"/>
  <cols>
    <col min="1" max="2" width="2.85546875" style="4" customWidth="1"/>
    <col min="3" max="4" width="5" style="4" customWidth="1"/>
    <col min="5" max="5" width="15.7109375" style="4" customWidth="1"/>
    <col min="6" max="6" width="1.42578125" style="4" customWidth="1"/>
    <col min="7" max="8" width="15.7109375" style="4" customWidth="1"/>
    <col min="9" max="10" width="7.85546875" style="4" customWidth="1"/>
    <col min="11" max="11" width="15.7109375" style="4" customWidth="1"/>
    <col min="12" max="13" width="7.85546875" style="4" customWidth="1"/>
    <col min="14" max="14" width="15.7109375" style="4" customWidth="1"/>
    <col min="15" max="16" width="7.85546875" style="4" customWidth="1"/>
    <col min="17" max="17" width="2.140625" style="4" customWidth="1"/>
    <col min="18" max="31" width="11" style="4" hidden="1" customWidth="1"/>
    <col min="32" max="32" width="6.42578125" style="4" hidden="1" customWidth="1"/>
    <col min="33" max="37" width="11" style="4" hidden="1" customWidth="1"/>
    <col min="38" max="38" width="6.42578125" style="4" hidden="1" customWidth="1"/>
    <col min="39" max="43" width="11" style="4" hidden="1" customWidth="1"/>
    <col min="44" max="44" width="6.42578125" style="4" hidden="1" customWidth="1"/>
    <col min="45" max="49" width="11" style="4" hidden="1" customWidth="1"/>
    <col min="50" max="50" width="6.42578125" style="4" hidden="1" customWidth="1"/>
    <col min="51" max="51" width="11" style="4" hidden="1" customWidth="1"/>
    <col min="52" max="52" width="35.7109375" style="4" customWidth="1"/>
    <col min="53" max="16384" width="9.140625" style="4"/>
  </cols>
  <sheetData>
    <row r="1" spans="1:53" ht="15" hidden="1" customHeight="1" x14ac:dyDescent="0.2">
      <c r="A1" s="540"/>
      <c r="B1" s="2"/>
      <c r="C1" s="2"/>
      <c r="D1" s="2"/>
      <c r="E1" s="2"/>
      <c r="F1" s="2"/>
      <c r="G1" s="252" t="str">
        <f>CONCATENATE(IMPOSTAZIONI!F202,"-",IMPOSTAZIONI!F203,"-",IMPOSTAZIONI!F204)</f>
        <v>--</v>
      </c>
      <c r="H1" s="252" t="str">
        <f>CONCATENATE(IMPOSTAZIONI!K202,"-",IMPOSTAZIONI!K203,"-",IMPOSTAZIONI!K204)</f>
        <v>--</v>
      </c>
      <c r="I1" s="252"/>
      <c r="J1" s="252"/>
      <c r="K1" s="252" t="str">
        <f>CONCATENATE(IMPOSTAZIONI!P202,"-",IMPOSTAZIONI!P203,"-",IMPOSTAZIONI!P204)</f>
        <v>--</v>
      </c>
      <c r="L1" s="252"/>
      <c r="M1" s="252"/>
      <c r="N1" s="252" t="str">
        <f>CONCATENATE(IMPOSTAZIONI!U202,"-",IMPOSTAZIONI!U203,"-",IMPOSTAZIONI!U204)</f>
        <v>--</v>
      </c>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591"/>
    </row>
    <row r="2" spans="1:53" ht="18" customHeight="1" x14ac:dyDescent="0.2">
      <c r="A2" s="540"/>
      <c r="B2" s="2"/>
      <c r="C2" s="2057" t="str">
        <f>CONCATENATE(IMPOSTAZIONI!C73," - P.I. ",IMPOSTAZIONI!O73)</f>
        <v>Inserisci la tua Ragione Sociale - P.I. 01234567891</v>
      </c>
      <c r="D2" s="2057"/>
      <c r="E2" s="2057"/>
      <c r="F2" s="2057"/>
      <c r="G2" s="2057"/>
      <c r="H2" s="2057"/>
      <c r="I2" s="2057"/>
      <c r="J2" s="2058" t="str">
        <f>CONCATENATE(IMPOSTAZIONI!C75," - ",IMPOSTAZIONI!M75," - ",IMPOSTAZIONI!O75," - ",IMPOSTAZIONI!V75)</f>
        <v xml:space="preserve">Indirizzo per esteso -  -  - </v>
      </c>
      <c r="K2" s="2058"/>
      <c r="L2" s="2058"/>
      <c r="M2" s="2058"/>
      <c r="N2" s="2058"/>
      <c r="O2" s="2058"/>
      <c r="P2" s="2058"/>
      <c r="Q2" s="3"/>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row>
    <row r="3" spans="1:53" ht="24.75" customHeight="1" x14ac:dyDescent="0.2">
      <c r="A3" s="2"/>
      <c r="B3" s="5"/>
      <c r="C3" s="2222" t="s">
        <v>98</v>
      </c>
      <c r="D3" s="2222"/>
      <c r="E3" s="2223" t="s">
        <v>303</v>
      </c>
      <c r="F3" s="2223"/>
      <c r="G3" s="2223"/>
      <c r="H3" s="2073" t="str">
        <f>IF(I163=0,IMPOSTAZIONI!Y384,"")</f>
        <v>Devi convalidare il foglio IMPOSTAZIONI</v>
      </c>
      <c r="I3" s="2073"/>
      <c r="J3" s="2073"/>
      <c r="K3" s="2073"/>
      <c r="L3" s="2073"/>
      <c r="M3" s="2072" t="s">
        <v>543</v>
      </c>
      <c r="N3" s="2072"/>
      <c r="O3" s="2072"/>
      <c r="P3" s="2072"/>
      <c r="Q3" s="3"/>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row>
    <row r="4" spans="1:53" ht="18" customHeight="1" x14ac:dyDescent="0.2">
      <c r="A4" s="2"/>
      <c r="B4" s="2"/>
      <c r="C4" s="2147" t="s">
        <v>175</v>
      </c>
      <c r="D4" s="2148"/>
      <c r="E4" s="2170" t="str">
        <f>IMPOSTAZIONI!E24</f>
        <v>TOTALE</v>
      </c>
      <c r="F4" s="2171"/>
      <c r="G4" s="291" t="str">
        <f>IF($I$163=0,"",IMPOSTAZIONI!G202)</f>
        <v/>
      </c>
      <c r="H4" s="291" t="str">
        <f>IF($I$163=0,"",IMPOSTAZIONI!L202)</f>
        <v/>
      </c>
      <c r="I4" s="2164">
        <f>IMPOSTAZIONI!Q25</f>
        <v>0</v>
      </c>
      <c r="J4" s="2165"/>
      <c r="K4" s="291" t="str">
        <f>IF($I$163=0,"",IMPOSTAZIONI!Q202)</f>
        <v/>
      </c>
      <c r="L4" s="2164">
        <f>IMPOSTAZIONI!Y25</f>
        <v>0</v>
      </c>
      <c r="M4" s="2165"/>
      <c r="N4" s="291" t="str">
        <f>IF($I$163=0,"",IMPOSTAZIONI!V202)</f>
        <v/>
      </c>
      <c r="O4" s="2164">
        <f>IMPOSTAZIONI!AG25</f>
        <v>0</v>
      </c>
      <c r="P4" s="2165"/>
      <c r="Q4" s="83"/>
      <c r="R4" s="2"/>
      <c r="S4" s="2"/>
      <c r="T4" s="2"/>
      <c r="U4" s="2"/>
      <c r="V4" s="251" t="str">
        <f>CONCATENATE(L131,"  ")</f>
        <v xml:space="preserve">attiva trim.  </v>
      </c>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row>
    <row r="5" spans="1:53" ht="18" customHeight="1" x14ac:dyDescent="0.2">
      <c r="A5" s="2"/>
      <c r="B5" s="2"/>
      <c r="C5" s="2149"/>
      <c r="D5" s="2150"/>
      <c r="E5" s="2172"/>
      <c r="F5" s="2173"/>
      <c r="G5" s="292" t="str">
        <f>IF($I$163=0,"",IMPOSTAZIONI!G203)</f>
        <v/>
      </c>
      <c r="H5" s="292" t="str">
        <f>IF($I$163=0,"",IMPOSTAZIONI!L203)</f>
        <v/>
      </c>
      <c r="I5" s="2166"/>
      <c r="J5" s="2167"/>
      <c r="K5" s="292" t="str">
        <f>IF($I$163=0,"",IMPOSTAZIONI!Q203)</f>
        <v/>
      </c>
      <c r="L5" s="2166"/>
      <c r="M5" s="2167"/>
      <c r="N5" s="292" t="str">
        <f>IF($I$163=0,"",IMPOSTAZIONI!V203)</f>
        <v/>
      </c>
      <c r="O5" s="2166"/>
      <c r="P5" s="2167"/>
      <c r="Q5" s="83"/>
      <c r="R5" s="2"/>
      <c r="S5" s="2"/>
      <c r="T5" s="2"/>
      <c r="U5" s="2"/>
      <c r="V5" s="257"/>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row>
    <row r="6" spans="1:53" ht="18" customHeight="1" x14ac:dyDescent="0.2">
      <c r="A6" s="2"/>
      <c r="B6" s="2"/>
      <c r="C6" s="2151">
        <f>IMPOSTAZIONI!$AH$52</f>
        <v>2024</v>
      </c>
      <c r="D6" s="2152"/>
      <c r="E6" s="2153">
        <f>IMPOSTAZIONI!E25</f>
        <v>0</v>
      </c>
      <c r="F6" s="2154"/>
      <c r="G6" s="55" t="str">
        <f>IF($I$163=0,"",IMPOSTAZIONI!G204)</f>
        <v/>
      </c>
      <c r="H6" s="55" t="str">
        <f>IF($I$163=0,"",IMPOSTAZIONI!L204)</f>
        <v/>
      </c>
      <c r="I6" s="834" t="str">
        <f>IMPOSTAZIONI!Q26</f>
        <v>DAL</v>
      </c>
      <c r="J6" s="835" t="str">
        <f>IMPOSTAZIONI!S26</f>
        <v>AL</v>
      </c>
      <c r="K6" s="55" t="str">
        <f>IF($I$163=0,"",IMPOSTAZIONI!Q204)</f>
        <v/>
      </c>
      <c r="L6" s="834" t="str">
        <f>IMPOSTAZIONI!Y26</f>
        <v>DAL</v>
      </c>
      <c r="M6" s="835" t="str">
        <f>IMPOSTAZIONI!AA26</f>
        <v>AL</v>
      </c>
      <c r="N6" s="55" t="str">
        <f>IF($I$163=0,"",IMPOSTAZIONI!V204)</f>
        <v/>
      </c>
      <c r="O6" s="834" t="str">
        <f>IMPOSTAZIONI!AG26</f>
        <v>DAL</v>
      </c>
      <c r="P6" s="835" t="str">
        <f>IMPOSTAZIONI!AI26</f>
        <v>AL</v>
      </c>
      <c r="Q6" s="83"/>
      <c r="R6" s="2"/>
      <c r="S6" s="2"/>
      <c r="T6" s="2"/>
      <c r="U6" s="2"/>
      <c r="V6" s="2"/>
      <c r="W6" s="2"/>
      <c r="X6" s="2"/>
      <c r="Y6" s="501" t="str">
        <f>CASSA!W484</f>
        <v>F</v>
      </c>
      <c r="Z6" s="502" t="str">
        <f>CASSA!W485</f>
        <v>C</v>
      </c>
      <c r="AA6" s="2"/>
      <c r="AB6" s="2"/>
      <c r="AC6" s="2"/>
      <c r="AD6" s="2"/>
      <c r="AE6" s="2"/>
      <c r="AF6" s="2"/>
      <c r="AG6" s="148">
        <f>IF(SUM(G152:J152)&gt;0,1,0)</f>
        <v>0</v>
      </c>
      <c r="AH6" s="1096" t="str">
        <f>$C101</f>
        <v>Aliquota 22 %</v>
      </c>
      <c r="AI6" s="1096" t="str">
        <f>$C102</f>
        <v>Aliquota 10 %</v>
      </c>
      <c r="AJ6" s="1096" t="str">
        <f>$C103</f>
        <v>Aliquota 4 %</v>
      </c>
      <c r="AK6" s="1096" t="str">
        <f>$C104</f>
        <v/>
      </c>
      <c r="AL6" s="2"/>
      <c r="AM6" s="1097" t="s">
        <v>537</v>
      </c>
      <c r="AN6" s="2204" t="s">
        <v>782</v>
      </c>
      <c r="AO6" s="2204"/>
      <c r="AP6" s="2204"/>
      <c r="AQ6" s="2204"/>
      <c r="AR6" s="2"/>
      <c r="AS6" s="148"/>
      <c r="AT6" s="1096" t="str">
        <f>$C101</f>
        <v>Aliquota 22 %</v>
      </c>
      <c r="AU6" s="1096" t="str">
        <f>$C102</f>
        <v>Aliquota 10 %</v>
      </c>
      <c r="AV6" s="1096" t="str">
        <f>$C103</f>
        <v>Aliquota 4 %</v>
      </c>
      <c r="AW6" s="1096" t="str">
        <f>$C104</f>
        <v/>
      </c>
      <c r="AX6" s="2"/>
      <c r="AY6" s="1097" t="s">
        <v>537</v>
      </c>
      <c r="AZ6" s="1382" t="s">
        <v>14</v>
      </c>
      <c r="BA6" s="2"/>
    </row>
    <row r="7" spans="1:53" ht="20.25" customHeight="1" x14ac:dyDescent="0.2">
      <c r="A7" s="2"/>
      <c r="B7" s="2"/>
      <c r="C7" s="2242" t="s">
        <v>177</v>
      </c>
      <c r="D7" s="2243"/>
      <c r="E7" s="2175">
        <f>IMPOSTAZIONI!J265</f>
        <v>0</v>
      </c>
      <c r="F7" s="2176"/>
      <c r="G7" s="1439">
        <f>IMPOSTAZIONI!$AC269</f>
        <v>0</v>
      </c>
      <c r="H7" s="1439">
        <f>IMPOSTAZIONI!$AC270</f>
        <v>0</v>
      </c>
      <c r="I7" s="832"/>
      <c r="J7" s="833"/>
      <c r="K7" s="1439">
        <f>IMPOSTAZIONI!$AC271</f>
        <v>0</v>
      </c>
      <c r="L7" s="832"/>
      <c r="M7" s="833"/>
      <c r="N7" s="1439">
        <f>IMPOSTAZIONI!$AC272</f>
        <v>0</v>
      </c>
      <c r="O7" s="832"/>
      <c r="P7" s="833"/>
      <c r="Q7" s="83"/>
      <c r="R7" s="552" t="s">
        <v>195</v>
      </c>
      <c r="S7" s="552"/>
      <c r="T7" s="552"/>
      <c r="U7" s="552"/>
      <c r="V7" s="507">
        <f>V8-1</f>
        <v>45382</v>
      </c>
      <c r="W7" s="2"/>
      <c r="X7" s="2"/>
      <c r="Y7" s="2"/>
      <c r="Z7" s="2"/>
      <c r="AA7" s="2"/>
      <c r="AB7" s="2021" t="s">
        <v>739</v>
      </c>
      <c r="AC7" s="2021"/>
      <c r="AD7" s="2021"/>
      <c r="AE7" s="2021"/>
      <c r="AF7" s="2"/>
      <c r="AG7" s="2021" t="s">
        <v>781</v>
      </c>
      <c r="AH7" s="2021"/>
      <c r="AI7" s="2021"/>
      <c r="AJ7" s="2021"/>
      <c r="AK7" s="2021"/>
      <c r="AL7" s="2"/>
      <c r="AM7" s="2"/>
      <c r="AN7" s="2"/>
      <c r="AO7" s="2"/>
      <c r="AP7" s="2"/>
      <c r="AQ7" s="2"/>
      <c r="AR7" s="2"/>
      <c r="AS7" s="2021" t="s">
        <v>784</v>
      </c>
      <c r="AT7" s="2021"/>
      <c r="AU7" s="2021"/>
      <c r="AV7" s="2021"/>
      <c r="AW7" s="2021"/>
      <c r="AX7" s="2"/>
      <c r="AY7" s="1097" t="s">
        <v>739</v>
      </c>
      <c r="AZ7" s="1383"/>
      <c r="BA7" s="2"/>
    </row>
    <row r="8" spans="1:53" ht="20.25" customHeight="1" x14ac:dyDescent="0.2">
      <c r="A8" s="2"/>
      <c r="B8" s="18">
        <v>1</v>
      </c>
      <c r="C8" s="234">
        <f>B8</f>
        <v>1</v>
      </c>
      <c r="D8" s="235">
        <v>4</v>
      </c>
      <c r="E8" s="2168" t="str">
        <f t="shared" ref="E8:E37" si="0">IF(AND(L$163=0,OR(V8&lt;B$162,V8&gt;B$163)),CONCATENATE(L$131,"  "),IF(AND((SUM(G8:H8)+K8+N8)&lt;&gt;0,AA8=Z$6),E$163,IF(AND((SUM(G8:H8)+K8+N8)=0,AA8=Z$6),E$162,IF(ISERROR($H$163),0,SUM(G8:H8)+K8+N8-SUMIF(G$42:N$42,K$134,G8:N8)))))</f>
        <v xml:space="preserve">attiva trim.  </v>
      </c>
      <c r="F8" s="2169"/>
      <c r="G8" s="304"/>
      <c r="H8" s="304"/>
      <c r="I8" s="830"/>
      <c r="J8" s="831"/>
      <c r="K8" s="304"/>
      <c r="L8" s="830"/>
      <c r="M8" s="831"/>
      <c r="N8" s="304"/>
      <c r="O8" s="830"/>
      <c r="P8" s="831"/>
      <c r="Q8" s="83"/>
      <c r="R8" s="1050">
        <f>IF(G$62=$L$134,0,IF(AND($L$163=0,$V8&gt;$B$163),0,IF(G$155="X",0,ROUND((G8*G$155)/(100+G$155),2))))</f>
        <v>0</v>
      </c>
      <c r="S8" s="1051">
        <f t="shared" ref="S8:S37" si="1">IF(H$62=$L$134,0,IF(AND($L$163=0,$V8&gt;$B$163),0,IF(H$155="X",0,ROUND((H8*H$155)/(100+H$155),2))))</f>
        <v>0</v>
      </c>
      <c r="T8" s="1051">
        <f>IF(K$62=$L$134,0,IF(AND($L$163=0,$V8&gt;$B$163),0,IF(I$155="X",0,ROUND((K8*I$155)/(100+I$155),2))))</f>
        <v>0</v>
      </c>
      <c r="U8" s="1052">
        <f>IF(N$62=$L$134,0,IF(AND($L$163=0,$V8&gt;$B$163),0,IF(J$155="X",0,ROUND((N8*J$155)/(100+J$155),2))))</f>
        <v>0</v>
      </c>
      <c r="V8" s="231">
        <f>DATE(C$6,D8,C8)</f>
        <v>45383</v>
      </c>
      <c r="W8" s="1050">
        <f t="shared" ref="W8:W37" si="2">IF(AND($L$163=0,$V8&gt;$B$163),0,G8-R8)</f>
        <v>0</v>
      </c>
      <c r="X8" s="1051">
        <f t="shared" ref="X8:X37" si="3">IF(AND($L$163=0,$V8&gt;$B$163),0,H8-S8)</f>
        <v>0</v>
      </c>
      <c r="Y8" s="1051">
        <f t="shared" ref="Y8:Y37" si="4">IF(AND($L$163=0,$V8&gt;$B$163),0,K8-T8)</f>
        <v>0</v>
      </c>
      <c r="Z8" s="1052">
        <f t="shared" ref="Z8:Z37" si="5">IF(AND($L$163=0,$V8&gt;$B$163),0,N8-U8)</f>
        <v>0</v>
      </c>
      <c r="AA8" s="822">
        <f>VLOOKUP(V8,CASSA!$B$114:$C$479,2,FALSE)</f>
        <v>0</v>
      </c>
      <c r="AB8" s="1050">
        <f>IF(AND(G$62=$L$134,$L$78&lt;&gt;0),$L$78/$G$65*G8,0)</f>
        <v>0</v>
      </c>
      <c r="AC8" s="1051">
        <f>IF(AND(H$62=$L$134,$L$78&lt;&gt;0),$L$78/$G$65*H8,0)</f>
        <v>0</v>
      </c>
      <c r="AD8" s="1051">
        <f>IF(AND(K$62=$L$134,$L$78&lt;&gt;0),$L$78/$G$65*K8,0)</f>
        <v>0</v>
      </c>
      <c r="AE8" s="1052">
        <f>IF(AND(N$62=$L$134,$L$78&lt;&gt;0),$L$78/$G$65*N8,0)</f>
        <v>0</v>
      </c>
      <c r="AF8" s="2"/>
      <c r="AG8" s="1087">
        <f>SUMIF($G$152:$J$152,1,W8:Z8)-SUM(AH8:AK8)</f>
        <v>0</v>
      </c>
      <c r="AH8" s="1088">
        <f>IF(AND($AG$6=1,$R$101&lt;&gt;0),$R$101/$R$96*SUMIF($G$152:$J$152,1,$W8:$Z8),0)</f>
        <v>0</v>
      </c>
      <c r="AI8" s="1051">
        <f>IF(AND($AG$6=1,$R$102&lt;&gt;0),$R$102/$R$96*SUMIF($G$152:$J$152,1,$W8:$Z8),0)</f>
        <v>0</v>
      </c>
      <c r="AJ8" s="1051">
        <f>IF(AND($AG$6=1,$R$103&lt;&gt;0),$R$103/$R$96*SUMIF($G$152:$J$152,1,$W8:$Z8),0)</f>
        <v>0</v>
      </c>
      <c r="AK8" s="1089">
        <f t="shared" ref="AK8:AK37" si="6">IF(AND($AG$6=1,$R$104&lt;&gt;0),$R$104/$R$96*SUMIF($G$152:$J$152,1,$W8:$Z8),0)</f>
        <v>0</v>
      </c>
      <c r="AL8" s="2"/>
      <c r="AM8" s="1087">
        <f t="shared" ref="AM8:AM37" si="7">SUMIF($G$42:$N$42,$K$134,$G8:$N8)</f>
        <v>0</v>
      </c>
      <c r="AN8" s="1104">
        <f>IF(G$42=$K$134,R8,0)</f>
        <v>0</v>
      </c>
      <c r="AO8" s="1051">
        <f>IF(H$42=$K$134,S8,0)</f>
        <v>0</v>
      </c>
      <c r="AP8" s="1051">
        <f>IF(K$42=$K$134,T8,0)</f>
        <v>0</v>
      </c>
      <c r="AQ8" s="1089">
        <f>IF(N$42=$K$134,U8,0)</f>
        <v>0</v>
      </c>
      <c r="AR8" s="2"/>
      <c r="AS8" s="1087">
        <f>IF(AG8&lt;&gt;0,AG8*$T$97/100,0)</f>
        <v>0</v>
      </c>
      <c r="AT8" s="1088">
        <f>IF(AH8&lt;&gt;0,AH8*$T$101/100,0)</f>
        <v>0</v>
      </c>
      <c r="AU8" s="1051">
        <f>IF(AI8&lt;&gt;0,AI8*$T$102/100,0)</f>
        <v>0</v>
      </c>
      <c r="AV8" s="1051">
        <f>IF(AJ8&lt;&gt;0,AJ8*$T$103/100,0)</f>
        <v>0</v>
      </c>
      <c r="AW8" s="1089">
        <f>IF(AK8&lt;&gt;0,AK8*$T$104/100,0)</f>
        <v>0</v>
      </c>
      <c r="AX8" s="2"/>
      <c r="AY8" s="1087">
        <f>IF(SUM(AB8:AE8)=0,0,SUM(AB8:AE8)*U$90/100)</f>
        <v>0</v>
      </c>
      <c r="AZ8" s="1384" t="s">
        <v>850</v>
      </c>
      <c r="BA8" s="2"/>
    </row>
    <row r="9" spans="1:53" ht="20.25" customHeight="1" x14ac:dyDescent="0.2">
      <c r="A9" s="2"/>
      <c r="B9" s="18">
        <v>2</v>
      </c>
      <c r="C9" s="234">
        <f>IF(D9="--","--",C8+1)</f>
        <v>2</v>
      </c>
      <c r="D9" s="235">
        <f t="shared" ref="D9:D38" si="8">IF(MONTH(V9)=D$8,D8,"--")</f>
        <v>4</v>
      </c>
      <c r="E9" s="2159" t="str">
        <f t="shared" si="0"/>
        <v xml:space="preserve">attiva trim.  </v>
      </c>
      <c r="F9" s="2160"/>
      <c r="G9" s="237"/>
      <c r="H9" s="237"/>
      <c r="I9" s="828"/>
      <c r="J9" s="829"/>
      <c r="K9" s="237"/>
      <c r="L9" s="828"/>
      <c r="M9" s="829"/>
      <c r="N9" s="237"/>
      <c r="O9" s="828"/>
      <c r="P9" s="829"/>
      <c r="Q9" s="83"/>
      <c r="R9" s="1053">
        <f t="shared" ref="R9:R37" si="9">IF(G$62=$L$134,0,IF(AND($L$163=0,$V9&gt;$B$163),0,IF(G$155="X",0,ROUND((G9*G$155)/(100+G$155),2))))</f>
        <v>0</v>
      </c>
      <c r="S9" s="1054">
        <f t="shared" si="1"/>
        <v>0</v>
      </c>
      <c r="T9" s="1054">
        <f t="shared" ref="T9:T37" si="10">IF(K$62=$L$134,0,IF(AND($L$163=0,$V9&gt;$B$163),0,IF(I$155="X",0,ROUND((K9*I$155)/(100+I$155),2))))</f>
        <v>0</v>
      </c>
      <c r="U9" s="1055">
        <f t="shared" ref="U9:U37" si="11">IF(N$62=$L$134,0,IF(AND($L$163=0,$V9&gt;$B$163),0,IF(J$155="X",0,ROUND((N9*J$155)/(100+J$155),2))))</f>
        <v>0</v>
      </c>
      <c r="V9" s="231">
        <f>V8+1</f>
        <v>45384</v>
      </c>
      <c r="W9" s="1053">
        <f t="shared" si="2"/>
        <v>0</v>
      </c>
      <c r="X9" s="1054">
        <f t="shared" si="3"/>
        <v>0</v>
      </c>
      <c r="Y9" s="1054">
        <f t="shared" si="4"/>
        <v>0</v>
      </c>
      <c r="Z9" s="1055">
        <f t="shared" si="5"/>
        <v>0</v>
      </c>
      <c r="AA9" s="822">
        <f>VLOOKUP(V9,CASSA!$B$114:$C$479,2,FALSE)</f>
        <v>0</v>
      </c>
      <c r="AB9" s="1053">
        <f t="shared" ref="AB9:AB37" si="12">IF(AND(G$62=$L$134,$L$78&lt;&gt;0),$L$78/$G$65*G9,0)</f>
        <v>0</v>
      </c>
      <c r="AC9" s="1054">
        <f t="shared" ref="AC9:AC37" si="13">IF(AND(H$62=$L$134,$L$78&lt;&gt;0),$L$78/$G$65*H9,0)</f>
        <v>0</v>
      </c>
      <c r="AD9" s="1054">
        <f t="shared" ref="AD9:AD37" si="14">IF(AND(K$62=$L$134,$L$78&lt;&gt;0),$L$78/$G$65*K9,0)</f>
        <v>0</v>
      </c>
      <c r="AE9" s="1055">
        <f t="shared" ref="AE9:AE37" si="15">IF(AND(N$62=$L$134,$L$78&lt;&gt;0),$L$78/$G$65*N9,0)</f>
        <v>0</v>
      </c>
      <c r="AF9" s="2"/>
      <c r="AG9" s="1090">
        <f t="shared" ref="AG9:AG37" si="16">SUMIF($G$152:$J$152,1,W9:Z9)-SUM(AH9:AK9)</f>
        <v>0</v>
      </c>
      <c r="AH9" s="1091">
        <f t="shared" ref="AH9:AH37" si="17">IF(AND($AG$6=1,$R$101&lt;&gt;0),$R$101/$R$96*SUMIF($G$152:$J$152,1,$W9:$Z9),0)</f>
        <v>0</v>
      </c>
      <c r="AI9" s="1054">
        <f t="shared" ref="AI9:AI37" si="18">IF(AND($AG$6=1,$R$102&lt;&gt;0),$R$102/$R$96*SUMIF($G$152:$J$152,1,$W9:$Z9),0)</f>
        <v>0</v>
      </c>
      <c r="AJ9" s="1054">
        <f t="shared" ref="AJ9:AJ37" si="19">IF(AND($AG$6=1,$R$103&lt;&gt;0),$R$103/$R$96*SUMIF($G$152:$J$152,1,$W9:$Z9),0)</f>
        <v>0</v>
      </c>
      <c r="AK9" s="1092">
        <f t="shared" si="6"/>
        <v>0</v>
      </c>
      <c r="AL9" s="2"/>
      <c r="AM9" s="1090">
        <f t="shared" si="7"/>
        <v>0</v>
      </c>
      <c r="AN9" s="1105">
        <f t="shared" ref="AN9:AN37" si="20">IF(G$42=$K$134,R9,0)</f>
        <v>0</v>
      </c>
      <c r="AO9" s="1054">
        <f t="shared" ref="AO9:AO37" si="21">IF(H$42=$K$134,S9,0)</f>
        <v>0</v>
      </c>
      <c r="AP9" s="1054">
        <f t="shared" ref="AP9:AP37" si="22">IF(K$42=$K$134,T9,0)</f>
        <v>0</v>
      </c>
      <c r="AQ9" s="1092">
        <f t="shared" ref="AQ9:AQ37" si="23">IF(N$42=$K$134,U9,0)</f>
        <v>0</v>
      </c>
      <c r="AR9" s="2"/>
      <c r="AS9" s="1090">
        <f t="shared" ref="AS9:AS37" si="24">IF(AG9&lt;&gt;0,AG9*$T$97/100,0)</f>
        <v>0</v>
      </c>
      <c r="AT9" s="1091">
        <f t="shared" ref="AT9:AT37" si="25">IF(AH9&lt;&gt;0,AH9*$T$101/100,0)</f>
        <v>0</v>
      </c>
      <c r="AU9" s="1054">
        <f t="shared" ref="AU9:AU37" si="26">IF(AI9&lt;&gt;0,AI9*$T$102/100,0)</f>
        <v>0</v>
      </c>
      <c r="AV9" s="1054">
        <f t="shared" ref="AV9:AV37" si="27">IF(AJ9&lt;&gt;0,AJ9*$T$103/100,0)</f>
        <v>0</v>
      </c>
      <c r="AW9" s="1092">
        <f t="shared" ref="AW9:AW37" si="28">IF(AK9&lt;&gt;0,AK9*$T$104/100,0)</f>
        <v>0</v>
      </c>
      <c r="AX9" s="2"/>
      <c r="AY9" s="1090">
        <f t="shared" ref="AY9:AY37" si="29">IF(SUM(AB9:AE9)=0,0,SUM(AB9:AE9)*U$90/100)</f>
        <v>0</v>
      </c>
      <c r="AZ9" s="1385" t="s">
        <v>851</v>
      </c>
      <c r="BA9" s="2"/>
    </row>
    <row r="10" spans="1:53" ht="20.25" customHeight="1" x14ac:dyDescent="0.2">
      <c r="A10" s="2"/>
      <c r="B10" s="18">
        <v>3</v>
      </c>
      <c r="C10" s="234">
        <f t="shared" ref="C10:C38" si="30">IF(D10="--","--",C9+1)</f>
        <v>3</v>
      </c>
      <c r="D10" s="235">
        <f t="shared" si="8"/>
        <v>4</v>
      </c>
      <c r="E10" s="2159" t="str">
        <f t="shared" si="0"/>
        <v xml:space="preserve">attiva trim.  </v>
      </c>
      <c r="F10" s="2160"/>
      <c r="G10" s="237"/>
      <c r="H10" s="237"/>
      <c r="I10" s="828"/>
      <c r="J10" s="829"/>
      <c r="K10" s="237"/>
      <c r="L10" s="828"/>
      <c r="M10" s="829"/>
      <c r="N10" s="237"/>
      <c r="O10" s="828"/>
      <c r="P10" s="829"/>
      <c r="Q10" s="83"/>
      <c r="R10" s="1053">
        <f t="shared" si="9"/>
        <v>0</v>
      </c>
      <c r="S10" s="1054">
        <f t="shared" si="1"/>
        <v>0</v>
      </c>
      <c r="T10" s="1054">
        <f t="shared" si="10"/>
        <v>0</v>
      </c>
      <c r="U10" s="1055">
        <f t="shared" si="11"/>
        <v>0</v>
      </c>
      <c r="V10" s="231">
        <f t="shared" ref="V10:V37" si="31">V9+1</f>
        <v>45385</v>
      </c>
      <c r="W10" s="1053">
        <f t="shared" si="2"/>
        <v>0</v>
      </c>
      <c r="X10" s="1054">
        <f t="shared" si="3"/>
        <v>0</v>
      </c>
      <c r="Y10" s="1054">
        <f t="shared" si="4"/>
        <v>0</v>
      </c>
      <c r="Z10" s="1055">
        <f t="shared" si="5"/>
        <v>0</v>
      </c>
      <c r="AA10" s="822">
        <f>VLOOKUP(V10,CASSA!$B$114:$C$479,2,FALSE)</f>
        <v>0</v>
      </c>
      <c r="AB10" s="1053">
        <f t="shared" si="12"/>
        <v>0</v>
      </c>
      <c r="AC10" s="1054">
        <f t="shared" si="13"/>
        <v>0</v>
      </c>
      <c r="AD10" s="1054">
        <f t="shared" si="14"/>
        <v>0</v>
      </c>
      <c r="AE10" s="1055">
        <f t="shared" si="15"/>
        <v>0</v>
      </c>
      <c r="AF10" s="2"/>
      <c r="AG10" s="1090">
        <f t="shared" si="16"/>
        <v>0</v>
      </c>
      <c r="AH10" s="1091">
        <f t="shared" si="17"/>
        <v>0</v>
      </c>
      <c r="AI10" s="1054">
        <f t="shared" si="18"/>
        <v>0</v>
      </c>
      <c r="AJ10" s="1054">
        <f t="shared" si="19"/>
        <v>0</v>
      </c>
      <c r="AK10" s="1092">
        <f t="shared" si="6"/>
        <v>0</v>
      </c>
      <c r="AL10" s="2"/>
      <c r="AM10" s="1090">
        <f t="shared" si="7"/>
        <v>0</v>
      </c>
      <c r="AN10" s="1105">
        <f t="shared" si="20"/>
        <v>0</v>
      </c>
      <c r="AO10" s="1054">
        <f t="shared" si="21"/>
        <v>0</v>
      </c>
      <c r="AP10" s="1054">
        <f t="shared" si="22"/>
        <v>0</v>
      </c>
      <c r="AQ10" s="1092">
        <f t="shared" si="23"/>
        <v>0</v>
      </c>
      <c r="AR10" s="2"/>
      <c r="AS10" s="1090">
        <f t="shared" si="24"/>
        <v>0</v>
      </c>
      <c r="AT10" s="1091">
        <f t="shared" si="25"/>
        <v>0</v>
      </c>
      <c r="AU10" s="1054">
        <f t="shared" si="26"/>
        <v>0</v>
      </c>
      <c r="AV10" s="1054">
        <f t="shared" si="27"/>
        <v>0</v>
      </c>
      <c r="AW10" s="1092">
        <f t="shared" si="28"/>
        <v>0</v>
      </c>
      <c r="AX10" s="2"/>
      <c r="AY10" s="1090">
        <f t="shared" si="29"/>
        <v>0</v>
      </c>
      <c r="AZ10" s="1385" t="s">
        <v>852</v>
      </c>
      <c r="BA10" s="2"/>
    </row>
    <row r="11" spans="1:53" ht="20.25" customHeight="1" x14ac:dyDescent="0.2">
      <c r="A11" s="2"/>
      <c r="B11" s="18">
        <v>4</v>
      </c>
      <c r="C11" s="234">
        <f t="shared" si="30"/>
        <v>4</v>
      </c>
      <c r="D11" s="235">
        <f t="shared" si="8"/>
        <v>4</v>
      </c>
      <c r="E11" s="2159" t="str">
        <f t="shared" si="0"/>
        <v xml:space="preserve">attiva trim.  </v>
      </c>
      <c r="F11" s="2160"/>
      <c r="G11" s="237"/>
      <c r="H11" s="237"/>
      <c r="I11" s="828"/>
      <c r="J11" s="829"/>
      <c r="K11" s="237"/>
      <c r="L11" s="828"/>
      <c r="M11" s="829"/>
      <c r="N11" s="237"/>
      <c r="O11" s="828"/>
      <c r="P11" s="829"/>
      <c r="Q11" s="6"/>
      <c r="R11" s="1053">
        <f t="shared" si="9"/>
        <v>0</v>
      </c>
      <c r="S11" s="1054">
        <f t="shared" si="1"/>
        <v>0</v>
      </c>
      <c r="T11" s="1054">
        <f t="shared" si="10"/>
        <v>0</v>
      </c>
      <c r="U11" s="1055">
        <f t="shared" si="11"/>
        <v>0</v>
      </c>
      <c r="V11" s="231">
        <f t="shared" si="31"/>
        <v>45386</v>
      </c>
      <c r="W11" s="1053">
        <f t="shared" si="2"/>
        <v>0</v>
      </c>
      <c r="X11" s="1054">
        <f t="shared" si="3"/>
        <v>0</v>
      </c>
      <c r="Y11" s="1054">
        <f t="shared" si="4"/>
        <v>0</v>
      </c>
      <c r="Z11" s="1055">
        <f t="shared" si="5"/>
        <v>0</v>
      </c>
      <c r="AA11" s="822">
        <f>VLOOKUP(V11,CASSA!$B$114:$C$479,2,FALSE)</f>
        <v>0</v>
      </c>
      <c r="AB11" s="1053">
        <f t="shared" si="12"/>
        <v>0</v>
      </c>
      <c r="AC11" s="1054">
        <f t="shared" si="13"/>
        <v>0</v>
      </c>
      <c r="AD11" s="1054">
        <f t="shared" si="14"/>
        <v>0</v>
      </c>
      <c r="AE11" s="1055">
        <f t="shared" si="15"/>
        <v>0</v>
      </c>
      <c r="AF11" s="2"/>
      <c r="AG11" s="1090">
        <f t="shared" si="16"/>
        <v>0</v>
      </c>
      <c r="AH11" s="1091">
        <f t="shared" si="17"/>
        <v>0</v>
      </c>
      <c r="AI11" s="1054">
        <f t="shared" si="18"/>
        <v>0</v>
      </c>
      <c r="AJ11" s="1054">
        <f t="shared" si="19"/>
        <v>0</v>
      </c>
      <c r="AK11" s="1092">
        <f t="shared" si="6"/>
        <v>0</v>
      </c>
      <c r="AL11" s="2"/>
      <c r="AM11" s="1090">
        <f t="shared" si="7"/>
        <v>0</v>
      </c>
      <c r="AN11" s="1105">
        <f t="shared" si="20"/>
        <v>0</v>
      </c>
      <c r="AO11" s="1054">
        <f t="shared" si="21"/>
        <v>0</v>
      </c>
      <c r="AP11" s="1054">
        <f t="shared" si="22"/>
        <v>0</v>
      </c>
      <c r="AQ11" s="1092">
        <f t="shared" si="23"/>
        <v>0</v>
      </c>
      <c r="AR11" s="2"/>
      <c r="AS11" s="1090">
        <f t="shared" si="24"/>
        <v>0</v>
      </c>
      <c r="AT11" s="1091">
        <f t="shared" si="25"/>
        <v>0</v>
      </c>
      <c r="AU11" s="1054">
        <f t="shared" si="26"/>
        <v>0</v>
      </c>
      <c r="AV11" s="1054">
        <f t="shared" si="27"/>
        <v>0</v>
      </c>
      <c r="AW11" s="1092">
        <f t="shared" si="28"/>
        <v>0</v>
      </c>
      <c r="AX11" s="2"/>
      <c r="AY11" s="1090">
        <f t="shared" si="29"/>
        <v>0</v>
      </c>
      <c r="AZ11" s="1385" t="s">
        <v>853</v>
      </c>
      <c r="BA11" s="2"/>
    </row>
    <row r="12" spans="1:53" ht="20.25" customHeight="1" x14ac:dyDescent="0.2">
      <c r="A12" s="2"/>
      <c r="B12" s="18">
        <v>5</v>
      </c>
      <c r="C12" s="234">
        <f t="shared" si="30"/>
        <v>5</v>
      </c>
      <c r="D12" s="235">
        <f t="shared" si="8"/>
        <v>4</v>
      </c>
      <c r="E12" s="2159" t="str">
        <f t="shared" si="0"/>
        <v xml:space="preserve">attiva trim.  </v>
      </c>
      <c r="F12" s="2160"/>
      <c r="G12" s="237"/>
      <c r="H12" s="237"/>
      <c r="I12" s="828"/>
      <c r="J12" s="829"/>
      <c r="K12" s="237"/>
      <c r="L12" s="828"/>
      <c r="M12" s="829"/>
      <c r="N12" s="237"/>
      <c r="O12" s="828"/>
      <c r="P12" s="829"/>
      <c r="Q12" s="6"/>
      <c r="R12" s="1053">
        <f t="shared" si="9"/>
        <v>0</v>
      </c>
      <c r="S12" s="1054">
        <f t="shared" si="1"/>
        <v>0</v>
      </c>
      <c r="T12" s="1054">
        <f t="shared" si="10"/>
        <v>0</v>
      </c>
      <c r="U12" s="1055">
        <f t="shared" si="11"/>
        <v>0</v>
      </c>
      <c r="V12" s="231">
        <f t="shared" si="31"/>
        <v>45387</v>
      </c>
      <c r="W12" s="1053">
        <f t="shared" si="2"/>
        <v>0</v>
      </c>
      <c r="X12" s="1054">
        <f t="shared" si="3"/>
        <v>0</v>
      </c>
      <c r="Y12" s="1054">
        <f t="shared" si="4"/>
        <v>0</v>
      </c>
      <c r="Z12" s="1055">
        <f t="shared" si="5"/>
        <v>0</v>
      </c>
      <c r="AA12" s="822">
        <f>VLOOKUP(V12,CASSA!$B$114:$C$479,2,FALSE)</f>
        <v>0</v>
      </c>
      <c r="AB12" s="1053">
        <f t="shared" si="12"/>
        <v>0</v>
      </c>
      <c r="AC12" s="1054">
        <f t="shared" si="13"/>
        <v>0</v>
      </c>
      <c r="AD12" s="1054">
        <f t="shared" si="14"/>
        <v>0</v>
      </c>
      <c r="AE12" s="1055">
        <f t="shared" si="15"/>
        <v>0</v>
      </c>
      <c r="AF12" s="2"/>
      <c r="AG12" s="1090">
        <f t="shared" si="16"/>
        <v>0</v>
      </c>
      <c r="AH12" s="1091">
        <f t="shared" si="17"/>
        <v>0</v>
      </c>
      <c r="AI12" s="1054">
        <f t="shared" si="18"/>
        <v>0</v>
      </c>
      <c r="AJ12" s="1054">
        <f t="shared" si="19"/>
        <v>0</v>
      </c>
      <c r="AK12" s="1092">
        <f t="shared" si="6"/>
        <v>0</v>
      </c>
      <c r="AL12" s="2"/>
      <c r="AM12" s="1090">
        <f t="shared" si="7"/>
        <v>0</v>
      </c>
      <c r="AN12" s="1105">
        <f t="shared" si="20"/>
        <v>0</v>
      </c>
      <c r="AO12" s="1054">
        <f t="shared" si="21"/>
        <v>0</v>
      </c>
      <c r="AP12" s="1054">
        <f t="shared" si="22"/>
        <v>0</v>
      </c>
      <c r="AQ12" s="1092">
        <f t="shared" si="23"/>
        <v>0</v>
      </c>
      <c r="AR12" s="2"/>
      <c r="AS12" s="1090">
        <f t="shared" si="24"/>
        <v>0</v>
      </c>
      <c r="AT12" s="1091">
        <f t="shared" si="25"/>
        <v>0</v>
      </c>
      <c r="AU12" s="1054">
        <f t="shared" si="26"/>
        <v>0</v>
      </c>
      <c r="AV12" s="1054">
        <f t="shared" si="27"/>
        <v>0</v>
      </c>
      <c r="AW12" s="1092">
        <f t="shared" si="28"/>
        <v>0</v>
      </c>
      <c r="AX12" s="2"/>
      <c r="AY12" s="1090">
        <f t="shared" si="29"/>
        <v>0</v>
      </c>
      <c r="AZ12" s="1385"/>
      <c r="BA12" s="2"/>
    </row>
    <row r="13" spans="1:53" ht="20.25" customHeight="1" x14ac:dyDescent="0.2">
      <c r="A13" s="2"/>
      <c r="B13" s="18">
        <v>6</v>
      </c>
      <c r="C13" s="234">
        <f t="shared" si="30"/>
        <v>6</v>
      </c>
      <c r="D13" s="235">
        <f t="shared" si="8"/>
        <v>4</v>
      </c>
      <c r="E13" s="2159" t="str">
        <f t="shared" si="0"/>
        <v xml:space="preserve">attiva trim.  </v>
      </c>
      <c r="F13" s="2160"/>
      <c r="G13" s="237"/>
      <c r="H13" s="237"/>
      <c r="I13" s="828"/>
      <c r="J13" s="829"/>
      <c r="K13" s="237"/>
      <c r="L13" s="828"/>
      <c r="M13" s="829"/>
      <c r="N13" s="237"/>
      <c r="O13" s="828"/>
      <c r="P13" s="829"/>
      <c r="Q13" s="6"/>
      <c r="R13" s="1053">
        <f t="shared" si="9"/>
        <v>0</v>
      </c>
      <c r="S13" s="1054">
        <f t="shared" si="1"/>
        <v>0</v>
      </c>
      <c r="T13" s="1054">
        <f t="shared" si="10"/>
        <v>0</v>
      </c>
      <c r="U13" s="1055">
        <f t="shared" si="11"/>
        <v>0</v>
      </c>
      <c r="V13" s="231">
        <f t="shared" si="31"/>
        <v>45388</v>
      </c>
      <c r="W13" s="1053">
        <f t="shared" si="2"/>
        <v>0</v>
      </c>
      <c r="X13" s="1054">
        <f t="shared" si="3"/>
        <v>0</v>
      </c>
      <c r="Y13" s="1054">
        <f t="shared" si="4"/>
        <v>0</v>
      </c>
      <c r="Z13" s="1055">
        <f t="shared" si="5"/>
        <v>0</v>
      </c>
      <c r="AA13" s="822">
        <f>VLOOKUP(V13,CASSA!$B$114:$C$479,2,FALSE)</f>
        <v>0</v>
      </c>
      <c r="AB13" s="1053">
        <f t="shared" si="12"/>
        <v>0</v>
      </c>
      <c r="AC13" s="1054">
        <f t="shared" si="13"/>
        <v>0</v>
      </c>
      <c r="AD13" s="1054">
        <f t="shared" si="14"/>
        <v>0</v>
      </c>
      <c r="AE13" s="1055">
        <f t="shared" si="15"/>
        <v>0</v>
      </c>
      <c r="AF13" s="2"/>
      <c r="AG13" s="1090">
        <f t="shared" si="16"/>
        <v>0</v>
      </c>
      <c r="AH13" s="1091">
        <f t="shared" si="17"/>
        <v>0</v>
      </c>
      <c r="AI13" s="1054">
        <f t="shared" si="18"/>
        <v>0</v>
      </c>
      <c r="AJ13" s="1054">
        <f t="shared" si="19"/>
        <v>0</v>
      </c>
      <c r="AK13" s="1092">
        <f t="shared" si="6"/>
        <v>0</v>
      </c>
      <c r="AL13" s="2"/>
      <c r="AM13" s="1090">
        <f t="shared" si="7"/>
        <v>0</v>
      </c>
      <c r="AN13" s="1105">
        <f t="shared" si="20"/>
        <v>0</v>
      </c>
      <c r="AO13" s="1054">
        <f t="shared" si="21"/>
        <v>0</v>
      </c>
      <c r="AP13" s="1054">
        <f t="shared" si="22"/>
        <v>0</v>
      </c>
      <c r="AQ13" s="1092">
        <f t="shared" si="23"/>
        <v>0</v>
      </c>
      <c r="AR13" s="2"/>
      <c r="AS13" s="1090">
        <f t="shared" si="24"/>
        <v>0</v>
      </c>
      <c r="AT13" s="1091">
        <f t="shared" si="25"/>
        <v>0</v>
      </c>
      <c r="AU13" s="1054">
        <f t="shared" si="26"/>
        <v>0</v>
      </c>
      <c r="AV13" s="1054">
        <f t="shared" si="27"/>
        <v>0</v>
      </c>
      <c r="AW13" s="1092">
        <f t="shared" si="28"/>
        <v>0</v>
      </c>
      <c r="AX13" s="2"/>
      <c r="AY13" s="1090">
        <f t="shared" si="29"/>
        <v>0</v>
      </c>
      <c r="AZ13" s="1385"/>
      <c r="BA13" s="2"/>
    </row>
    <row r="14" spans="1:53" ht="20.25" customHeight="1" x14ac:dyDescent="0.2">
      <c r="A14" s="2"/>
      <c r="B14" s="18">
        <v>7</v>
      </c>
      <c r="C14" s="234">
        <f t="shared" si="30"/>
        <v>7</v>
      </c>
      <c r="D14" s="235">
        <f t="shared" si="8"/>
        <v>4</v>
      </c>
      <c r="E14" s="2159" t="str">
        <f t="shared" si="0"/>
        <v xml:space="preserve">attiva trim.  </v>
      </c>
      <c r="F14" s="2160"/>
      <c r="G14" s="237"/>
      <c r="H14" s="237"/>
      <c r="I14" s="828"/>
      <c r="J14" s="829"/>
      <c r="K14" s="237"/>
      <c r="L14" s="828"/>
      <c r="M14" s="829"/>
      <c r="N14" s="237"/>
      <c r="O14" s="828"/>
      <c r="P14" s="829"/>
      <c r="Q14" s="6"/>
      <c r="R14" s="1053">
        <f t="shared" si="9"/>
        <v>0</v>
      </c>
      <c r="S14" s="1054">
        <f t="shared" si="1"/>
        <v>0</v>
      </c>
      <c r="T14" s="1054">
        <f t="shared" si="10"/>
        <v>0</v>
      </c>
      <c r="U14" s="1055">
        <f t="shared" si="11"/>
        <v>0</v>
      </c>
      <c r="V14" s="231">
        <f t="shared" si="31"/>
        <v>45389</v>
      </c>
      <c r="W14" s="1053">
        <f t="shared" si="2"/>
        <v>0</v>
      </c>
      <c r="X14" s="1054">
        <f t="shared" si="3"/>
        <v>0</v>
      </c>
      <c r="Y14" s="1054">
        <f t="shared" si="4"/>
        <v>0</v>
      </c>
      <c r="Z14" s="1055">
        <f t="shared" si="5"/>
        <v>0</v>
      </c>
      <c r="AA14" s="822">
        <f>VLOOKUP(V14,CASSA!$B$114:$C$479,2,FALSE)</f>
        <v>0</v>
      </c>
      <c r="AB14" s="1053">
        <f t="shared" si="12"/>
        <v>0</v>
      </c>
      <c r="AC14" s="1054">
        <f t="shared" si="13"/>
        <v>0</v>
      </c>
      <c r="AD14" s="1054">
        <f t="shared" si="14"/>
        <v>0</v>
      </c>
      <c r="AE14" s="1055">
        <f t="shared" si="15"/>
        <v>0</v>
      </c>
      <c r="AF14" s="2"/>
      <c r="AG14" s="1090">
        <f t="shared" si="16"/>
        <v>0</v>
      </c>
      <c r="AH14" s="1091">
        <f t="shared" si="17"/>
        <v>0</v>
      </c>
      <c r="AI14" s="1054">
        <f t="shared" si="18"/>
        <v>0</v>
      </c>
      <c r="AJ14" s="1054">
        <f t="shared" si="19"/>
        <v>0</v>
      </c>
      <c r="AK14" s="1092">
        <f t="shared" si="6"/>
        <v>0</v>
      </c>
      <c r="AL14" s="2"/>
      <c r="AM14" s="1090">
        <f t="shared" si="7"/>
        <v>0</v>
      </c>
      <c r="AN14" s="1105">
        <f t="shared" si="20"/>
        <v>0</v>
      </c>
      <c r="AO14" s="1054">
        <f t="shared" si="21"/>
        <v>0</v>
      </c>
      <c r="AP14" s="1054">
        <f t="shared" si="22"/>
        <v>0</v>
      </c>
      <c r="AQ14" s="1092">
        <f t="shared" si="23"/>
        <v>0</v>
      </c>
      <c r="AR14" s="2"/>
      <c r="AS14" s="1090">
        <f t="shared" si="24"/>
        <v>0</v>
      </c>
      <c r="AT14" s="1091">
        <f t="shared" si="25"/>
        <v>0</v>
      </c>
      <c r="AU14" s="1054">
        <f t="shared" si="26"/>
        <v>0</v>
      </c>
      <c r="AV14" s="1054">
        <f t="shared" si="27"/>
        <v>0</v>
      </c>
      <c r="AW14" s="1092">
        <f t="shared" si="28"/>
        <v>0</v>
      </c>
      <c r="AX14" s="2"/>
      <c r="AY14" s="1090">
        <f t="shared" si="29"/>
        <v>0</v>
      </c>
      <c r="AZ14" s="1385"/>
      <c r="BA14" s="2"/>
    </row>
    <row r="15" spans="1:53" ht="20.25" customHeight="1" x14ac:dyDescent="0.2">
      <c r="A15" s="2"/>
      <c r="B15" s="18">
        <v>8</v>
      </c>
      <c r="C15" s="234">
        <f t="shared" si="30"/>
        <v>8</v>
      </c>
      <c r="D15" s="235">
        <f t="shared" si="8"/>
        <v>4</v>
      </c>
      <c r="E15" s="2159" t="str">
        <f t="shared" si="0"/>
        <v xml:space="preserve">attiva trim.  </v>
      </c>
      <c r="F15" s="2160"/>
      <c r="G15" s="237"/>
      <c r="H15" s="237"/>
      <c r="I15" s="828"/>
      <c r="J15" s="829"/>
      <c r="K15" s="237"/>
      <c r="L15" s="828"/>
      <c r="M15" s="829"/>
      <c r="N15" s="237"/>
      <c r="O15" s="828"/>
      <c r="P15" s="829"/>
      <c r="Q15" s="6"/>
      <c r="R15" s="1053">
        <f t="shared" si="9"/>
        <v>0</v>
      </c>
      <c r="S15" s="1054">
        <f t="shared" si="1"/>
        <v>0</v>
      </c>
      <c r="T15" s="1054">
        <f t="shared" si="10"/>
        <v>0</v>
      </c>
      <c r="U15" s="1055">
        <f t="shared" si="11"/>
        <v>0</v>
      </c>
      <c r="V15" s="231">
        <f t="shared" si="31"/>
        <v>45390</v>
      </c>
      <c r="W15" s="1053">
        <f t="shared" si="2"/>
        <v>0</v>
      </c>
      <c r="X15" s="1054">
        <f t="shared" si="3"/>
        <v>0</v>
      </c>
      <c r="Y15" s="1054">
        <f t="shared" si="4"/>
        <v>0</v>
      </c>
      <c r="Z15" s="1055">
        <f t="shared" si="5"/>
        <v>0</v>
      </c>
      <c r="AA15" s="822">
        <f>VLOOKUP(V15,CASSA!$B$114:$C$479,2,FALSE)</f>
        <v>0</v>
      </c>
      <c r="AB15" s="1053">
        <f t="shared" si="12"/>
        <v>0</v>
      </c>
      <c r="AC15" s="1054">
        <f t="shared" si="13"/>
        <v>0</v>
      </c>
      <c r="AD15" s="1054">
        <f t="shared" si="14"/>
        <v>0</v>
      </c>
      <c r="AE15" s="1055">
        <f t="shared" si="15"/>
        <v>0</v>
      </c>
      <c r="AF15" s="2"/>
      <c r="AG15" s="1090">
        <f t="shared" si="16"/>
        <v>0</v>
      </c>
      <c r="AH15" s="1091">
        <f t="shared" si="17"/>
        <v>0</v>
      </c>
      <c r="AI15" s="1054">
        <f t="shared" si="18"/>
        <v>0</v>
      </c>
      <c r="AJ15" s="1054">
        <f t="shared" si="19"/>
        <v>0</v>
      </c>
      <c r="AK15" s="1092">
        <f t="shared" si="6"/>
        <v>0</v>
      </c>
      <c r="AL15" s="2"/>
      <c r="AM15" s="1090">
        <f t="shared" si="7"/>
        <v>0</v>
      </c>
      <c r="AN15" s="1105">
        <f t="shared" si="20"/>
        <v>0</v>
      </c>
      <c r="AO15" s="1054">
        <f t="shared" si="21"/>
        <v>0</v>
      </c>
      <c r="AP15" s="1054">
        <f t="shared" si="22"/>
        <v>0</v>
      </c>
      <c r="AQ15" s="1092">
        <f t="shared" si="23"/>
        <v>0</v>
      </c>
      <c r="AR15" s="2"/>
      <c r="AS15" s="1090">
        <f t="shared" si="24"/>
        <v>0</v>
      </c>
      <c r="AT15" s="1091">
        <f t="shared" si="25"/>
        <v>0</v>
      </c>
      <c r="AU15" s="1054">
        <f t="shared" si="26"/>
        <v>0</v>
      </c>
      <c r="AV15" s="1054">
        <f t="shared" si="27"/>
        <v>0</v>
      </c>
      <c r="AW15" s="1092">
        <f t="shared" si="28"/>
        <v>0</v>
      </c>
      <c r="AX15" s="2"/>
      <c r="AY15" s="1090">
        <f t="shared" si="29"/>
        <v>0</v>
      </c>
      <c r="AZ15" s="1385"/>
      <c r="BA15" s="2"/>
    </row>
    <row r="16" spans="1:53" ht="20.25" customHeight="1" x14ac:dyDescent="0.2">
      <c r="A16" s="2"/>
      <c r="B16" s="18">
        <v>9</v>
      </c>
      <c r="C16" s="234">
        <f t="shared" si="30"/>
        <v>9</v>
      </c>
      <c r="D16" s="235">
        <f t="shared" si="8"/>
        <v>4</v>
      </c>
      <c r="E16" s="2159" t="str">
        <f t="shared" si="0"/>
        <v xml:space="preserve">attiva trim.  </v>
      </c>
      <c r="F16" s="2160"/>
      <c r="G16" s="237"/>
      <c r="H16" s="237"/>
      <c r="I16" s="828"/>
      <c r="J16" s="829"/>
      <c r="K16" s="237"/>
      <c r="L16" s="828"/>
      <c r="M16" s="829"/>
      <c r="N16" s="237"/>
      <c r="O16" s="828"/>
      <c r="P16" s="829"/>
      <c r="Q16" s="6"/>
      <c r="R16" s="1053">
        <f t="shared" si="9"/>
        <v>0</v>
      </c>
      <c r="S16" s="1054">
        <f t="shared" si="1"/>
        <v>0</v>
      </c>
      <c r="T16" s="1054">
        <f t="shared" si="10"/>
        <v>0</v>
      </c>
      <c r="U16" s="1055">
        <f t="shared" si="11"/>
        <v>0</v>
      </c>
      <c r="V16" s="231">
        <f t="shared" si="31"/>
        <v>45391</v>
      </c>
      <c r="W16" s="1053">
        <f t="shared" si="2"/>
        <v>0</v>
      </c>
      <c r="X16" s="1054">
        <f t="shared" si="3"/>
        <v>0</v>
      </c>
      <c r="Y16" s="1054">
        <f t="shared" si="4"/>
        <v>0</v>
      </c>
      <c r="Z16" s="1055">
        <f t="shared" si="5"/>
        <v>0</v>
      </c>
      <c r="AA16" s="822">
        <f>VLOOKUP(V16,CASSA!$B$114:$C$479,2,FALSE)</f>
        <v>0</v>
      </c>
      <c r="AB16" s="1053">
        <f t="shared" si="12"/>
        <v>0</v>
      </c>
      <c r="AC16" s="1054">
        <f t="shared" si="13"/>
        <v>0</v>
      </c>
      <c r="AD16" s="1054">
        <f t="shared" si="14"/>
        <v>0</v>
      </c>
      <c r="AE16" s="1055">
        <f t="shared" si="15"/>
        <v>0</v>
      </c>
      <c r="AF16" s="2"/>
      <c r="AG16" s="1090">
        <f t="shared" si="16"/>
        <v>0</v>
      </c>
      <c r="AH16" s="1091">
        <f t="shared" si="17"/>
        <v>0</v>
      </c>
      <c r="AI16" s="1054">
        <f t="shared" si="18"/>
        <v>0</v>
      </c>
      <c r="AJ16" s="1054">
        <f t="shared" si="19"/>
        <v>0</v>
      </c>
      <c r="AK16" s="1092">
        <f t="shared" si="6"/>
        <v>0</v>
      </c>
      <c r="AL16" s="2"/>
      <c r="AM16" s="1090">
        <f t="shared" si="7"/>
        <v>0</v>
      </c>
      <c r="AN16" s="1105">
        <f t="shared" si="20"/>
        <v>0</v>
      </c>
      <c r="AO16" s="1054">
        <f t="shared" si="21"/>
        <v>0</v>
      </c>
      <c r="AP16" s="1054">
        <f t="shared" si="22"/>
        <v>0</v>
      </c>
      <c r="AQ16" s="1092">
        <f t="shared" si="23"/>
        <v>0</v>
      </c>
      <c r="AR16" s="2"/>
      <c r="AS16" s="1090">
        <f t="shared" si="24"/>
        <v>0</v>
      </c>
      <c r="AT16" s="1091">
        <f t="shared" si="25"/>
        <v>0</v>
      </c>
      <c r="AU16" s="1054">
        <f t="shared" si="26"/>
        <v>0</v>
      </c>
      <c r="AV16" s="1054">
        <f t="shared" si="27"/>
        <v>0</v>
      </c>
      <c r="AW16" s="1092">
        <f t="shared" si="28"/>
        <v>0</v>
      </c>
      <c r="AX16" s="2"/>
      <c r="AY16" s="1090">
        <f t="shared" si="29"/>
        <v>0</v>
      </c>
      <c r="AZ16" s="1385"/>
      <c r="BA16" s="2"/>
    </row>
    <row r="17" spans="1:53" ht="20.25" customHeight="1" x14ac:dyDescent="0.2">
      <c r="A17" s="2"/>
      <c r="B17" s="18">
        <v>10</v>
      </c>
      <c r="C17" s="234">
        <f t="shared" si="30"/>
        <v>10</v>
      </c>
      <c r="D17" s="235">
        <f t="shared" si="8"/>
        <v>4</v>
      </c>
      <c r="E17" s="2159" t="str">
        <f t="shared" si="0"/>
        <v xml:space="preserve">attiva trim.  </v>
      </c>
      <c r="F17" s="2160"/>
      <c r="G17" s="237"/>
      <c r="H17" s="237"/>
      <c r="I17" s="828"/>
      <c r="J17" s="829"/>
      <c r="K17" s="237"/>
      <c r="L17" s="828"/>
      <c r="M17" s="829"/>
      <c r="N17" s="237"/>
      <c r="O17" s="828"/>
      <c r="P17" s="829"/>
      <c r="Q17" s="6"/>
      <c r="R17" s="1053">
        <f t="shared" si="9"/>
        <v>0</v>
      </c>
      <c r="S17" s="1054">
        <f t="shared" si="1"/>
        <v>0</v>
      </c>
      <c r="T17" s="1054">
        <f t="shared" si="10"/>
        <v>0</v>
      </c>
      <c r="U17" s="1055">
        <f t="shared" si="11"/>
        <v>0</v>
      </c>
      <c r="V17" s="231">
        <f t="shared" si="31"/>
        <v>45392</v>
      </c>
      <c r="W17" s="1053">
        <f t="shared" si="2"/>
        <v>0</v>
      </c>
      <c r="X17" s="1054">
        <f t="shared" si="3"/>
        <v>0</v>
      </c>
      <c r="Y17" s="1054">
        <f t="shared" si="4"/>
        <v>0</v>
      </c>
      <c r="Z17" s="1055">
        <f t="shared" si="5"/>
        <v>0</v>
      </c>
      <c r="AA17" s="822">
        <f>VLOOKUP(V17,CASSA!$B$114:$C$479,2,FALSE)</f>
        <v>0</v>
      </c>
      <c r="AB17" s="1053">
        <f t="shared" si="12"/>
        <v>0</v>
      </c>
      <c r="AC17" s="1054">
        <f t="shared" si="13"/>
        <v>0</v>
      </c>
      <c r="AD17" s="1054">
        <f t="shared" si="14"/>
        <v>0</v>
      </c>
      <c r="AE17" s="1055">
        <f t="shared" si="15"/>
        <v>0</v>
      </c>
      <c r="AF17" s="2"/>
      <c r="AG17" s="1090">
        <f t="shared" si="16"/>
        <v>0</v>
      </c>
      <c r="AH17" s="1091">
        <f t="shared" si="17"/>
        <v>0</v>
      </c>
      <c r="AI17" s="1054">
        <f t="shared" si="18"/>
        <v>0</v>
      </c>
      <c r="AJ17" s="1054">
        <f t="shared" si="19"/>
        <v>0</v>
      </c>
      <c r="AK17" s="1092">
        <f t="shared" si="6"/>
        <v>0</v>
      </c>
      <c r="AL17" s="2"/>
      <c r="AM17" s="1090">
        <f t="shared" si="7"/>
        <v>0</v>
      </c>
      <c r="AN17" s="1105">
        <f t="shared" si="20"/>
        <v>0</v>
      </c>
      <c r="AO17" s="1054">
        <f t="shared" si="21"/>
        <v>0</v>
      </c>
      <c r="AP17" s="1054">
        <f t="shared" si="22"/>
        <v>0</v>
      </c>
      <c r="AQ17" s="1092">
        <f t="shared" si="23"/>
        <v>0</v>
      </c>
      <c r="AR17" s="2"/>
      <c r="AS17" s="1090">
        <f t="shared" si="24"/>
        <v>0</v>
      </c>
      <c r="AT17" s="1091">
        <f t="shared" si="25"/>
        <v>0</v>
      </c>
      <c r="AU17" s="1054">
        <f t="shared" si="26"/>
        <v>0</v>
      </c>
      <c r="AV17" s="1054">
        <f t="shared" si="27"/>
        <v>0</v>
      </c>
      <c r="AW17" s="1092">
        <f t="shared" si="28"/>
        <v>0</v>
      </c>
      <c r="AX17" s="2"/>
      <c r="AY17" s="1090">
        <f t="shared" si="29"/>
        <v>0</v>
      </c>
      <c r="AZ17" s="1385"/>
      <c r="BA17" s="2"/>
    </row>
    <row r="18" spans="1:53" ht="20.25" customHeight="1" x14ac:dyDescent="0.2">
      <c r="A18" s="2"/>
      <c r="B18" s="18">
        <v>11</v>
      </c>
      <c r="C18" s="234">
        <f t="shared" si="30"/>
        <v>11</v>
      </c>
      <c r="D18" s="235">
        <f t="shared" si="8"/>
        <v>4</v>
      </c>
      <c r="E18" s="2159" t="str">
        <f t="shared" si="0"/>
        <v xml:space="preserve">attiva trim.  </v>
      </c>
      <c r="F18" s="2160"/>
      <c r="G18" s="237"/>
      <c r="H18" s="237"/>
      <c r="I18" s="828"/>
      <c r="J18" s="829"/>
      <c r="K18" s="237"/>
      <c r="L18" s="828"/>
      <c r="M18" s="829"/>
      <c r="N18" s="237"/>
      <c r="O18" s="828"/>
      <c r="P18" s="829"/>
      <c r="Q18" s="6"/>
      <c r="R18" s="1053">
        <f t="shared" si="9"/>
        <v>0</v>
      </c>
      <c r="S18" s="1054">
        <f t="shared" si="1"/>
        <v>0</v>
      </c>
      <c r="T18" s="1054">
        <f t="shared" si="10"/>
        <v>0</v>
      </c>
      <c r="U18" s="1055">
        <f t="shared" si="11"/>
        <v>0</v>
      </c>
      <c r="V18" s="231">
        <f t="shared" si="31"/>
        <v>45393</v>
      </c>
      <c r="W18" s="1053">
        <f t="shared" si="2"/>
        <v>0</v>
      </c>
      <c r="X18" s="1054">
        <f t="shared" si="3"/>
        <v>0</v>
      </c>
      <c r="Y18" s="1054">
        <f t="shared" si="4"/>
        <v>0</v>
      </c>
      <c r="Z18" s="1055">
        <f t="shared" si="5"/>
        <v>0</v>
      </c>
      <c r="AA18" s="822">
        <f>VLOOKUP(V18,CASSA!$B$114:$C$479,2,FALSE)</f>
        <v>0</v>
      </c>
      <c r="AB18" s="1053">
        <f t="shared" si="12"/>
        <v>0</v>
      </c>
      <c r="AC18" s="1054">
        <f t="shared" si="13"/>
        <v>0</v>
      </c>
      <c r="AD18" s="1054">
        <f t="shared" si="14"/>
        <v>0</v>
      </c>
      <c r="AE18" s="1055">
        <f t="shared" si="15"/>
        <v>0</v>
      </c>
      <c r="AF18" s="2"/>
      <c r="AG18" s="1090">
        <f t="shared" si="16"/>
        <v>0</v>
      </c>
      <c r="AH18" s="1091">
        <f t="shared" si="17"/>
        <v>0</v>
      </c>
      <c r="AI18" s="1054">
        <f t="shared" si="18"/>
        <v>0</v>
      </c>
      <c r="AJ18" s="1054">
        <f t="shared" si="19"/>
        <v>0</v>
      </c>
      <c r="AK18" s="1092">
        <f t="shared" si="6"/>
        <v>0</v>
      </c>
      <c r="AL18" s="2"/>
      <c r="AM18" s="1090">
        <f t="shared" si="7"/>
        <v>0</v>
      </c>
      <c r="AN18" s="1105">
        <f t="shared" si="20"/>
        <v>0</v>
      </c>
      <c r="AO18" s="1054">
        <f t="shared" si="21"/>
        <v>0</v>
      </c>
      <c r="AP18" s="1054">
        <f t="shared" si="22"/>
        <v>0</v>
      </c>
      <c r="AQ18" s="1092">
        <f t="shared" si="23"/>
        <v>0</v>
      </c>
      <c r="AR18" s="2"/>
      <c r="AS18" s="1090">
        <f t="shared" si="24"/>
        <v>0</v>
      </c>
      <c r="AT18" s="1091">
        <f t="shared" si="25"/>
        <v>0</v>
      </c>
      <c r="AU18" s="1054">
        <f t="shared" si="26"/>
        <v>0</v>
      </c>
      <c r="AV18" s="1054">
        <f t="shared" si="27"/>
        <v>0</v>
      </c>
      <c r="AW18" s="1092">
        <f t="shared" si="28"/>
        <v>0</v>
      </c>
      <c r="AX18" s="2"/>
      <c r="AY18" s="1090">
        <f t="shared" si="29"/>
        <v>0</v>
      </c>
      <c r="AZ18" s="1385"/>
      <c r="BA18" s="2"/>
    </row>
    <row r="19" spans="1:53" ht="20.25" customHeight="1" x14ac:dyDescent="0.2">
      <c r="A19" s="2"/>
      <c r="B19" s="18">
        <v>12</v>
      </c>
      <c r="C19" s="234">
        <f t="shared" si="30"/>
        <v>12</v>
      </c>
      <c r="D19" s="235">
        <f t="shared" si="8"/>
        <v>4</v>
      </c>
      <c r="E19" s="2159" t="str">
        <f t="shared" si="0"/>
        <v xml:space="preserve">attiva trim.  </v>
      </c>
      <c r="F19" s="2160"/>
      <c r="G19" s="237"/>
      <c r="H19" s="237"/>
      <c r="I19" s="828"/>
      <c r="J19" s="829"/>
      <c r="K19" s="237"/>
      <c r="L19" s="828"/>
      <c r="M19" s="829"/>
      <c r="N19" s="237"/>
      <c r="O19" s="828"/>
      <c r="P19" s="829"/>
      <c r="Q19" s="6"/>
      <c r="R19" s="1053">
        <f t="shared" si="9"/>
        <v>0</v>
      </c>
      <c r="S19" s="1054">
        <f t="shared" si="1"/>
        <v>0</v>
      </c>
      <c r="T19" s="1054">
        <f t="shared" si="10"/>
        <v>0</v>
      </c>
      <c r="U19" s="1055">
        <f t="shared" si="11"/>
        <v>0</v>
      </c>
      <c r="V19" s="231">
        <f t="shared" si="31"/>
        <v>45394</v>
      </c>
      <c r="W19" s="1053">
        <f t="shared" si="2"/>
        <v>0</v>
      </c>
      <c r="X19" s="1054">
        <f t="shared" si="3"/>
        <v>0</v>
      </c>
      <c r="Y19" s="1054">
        <f t="shared" si="4"/>
        <v>0</v>
      </c>
      <c r="Z19" s="1055">
        <f t="shared" si="5"/>
        <v>0</v>
      </c>
      <c r="AA19" s="822">
        <f>VLOOKUP(V19,CASSA!$B$114:$C$479,2,FALSE)</f>
        <v>0</v>
      </c>
      <c r="AB19" s="1053">
        <f t="shared" si="12"/>
        <v>0</v>
      </c>
      <c r="AC19" s="1054">
        <f t="shared" si="13"/>
        <v>0</v>
      </c>
      <c r="AD19" s="1054">
        <f t="shared" si="14"/>
        <v>0</v>
      </c>
      <c r="AE19" s="1055">
        <f t="shared" si="15"/>
        <v>0</v>
      </c>
      <c r="AF19" s="2"/>
      <c r="AG19" s="1090">
        <f t="shared" si="16"/>
        <v>0</v>
      </c>
      <c r="AH19" s="1091">
        <f t="shared" si="17"/>
        <v>0</v>
      </c>
      <c r="AI19" s="1054">
        <f t="shared" si="18"/>
        <v>0</v>
      </c>
      <c r="AJ19" s="1054">
        <f t="shared" si="19"/>
        <v>0</v>
      </c>
      <c r="AK19" s="1092">
        <f t="shared" si="6"/>
        <v>0</v>
      </c>
      <c r="AL19" s="2"/>
      <c r="AM19" s="1090">
        <f t="shared" si="7"/>
        <v>0</v>
      </c>
      <c r="AN19" s="1105">
        <f t="shared" si="20"/>
        <v>0</v>
      </c>
      <c r="AO19" s="1054">
        <f t="shared" si="21"/>
        <v>0</v>
      </c>
      <c r="AP19" s="1054">
        <f t="shared" si="22"/>
        <v>0</v>
      </c>
      <c r="AQ19" s="1092">
        <f t="shared" si="23"/>
        <v>0</v>
      </c>
      <c r="AR19" s="2"/>
      <c r="AS19" s="1090">
        <f t="shared" si="24"/>
        <v>0</v>
      </c>
      <c r="AT19" s="1091">
        <f t="shared" si="25"/>
        <v>0</v>
      </c>
      <c r="AU19" s="1054">
        <f t="shared" si="26"/>
        <v>0</v>
      </c>
      <c r="AV19" s="1054">
        <f t="shared" si="27"/>
        <v>0</v>
      </c>
      <c r="AW19" s="1092">
        <f t="shared" si="28"/>
        <v>0</v>
      </c>
      <c r="AX19" s="2"/>
      <c r="AY19" s="1090">
        <f t="shared" si="29"/>
        <v>0</v>
      </c>
      <c r="AZ19" s="1385"/>
      <c r="BA19" s="2"/>
    </row>
    <row r="20" spans="1:53" ht="20.25" customHeight="1" x14ac:dyDescent="0.2">
      <c r="A20" s="2"/>
      <c r="B20" s="18">
        <v>13</v>
      </c>
      <c r="C20" s="234">
        <f t="shared" si="30"/>
        <v>13</v>
      </c>
      <c r="D20" s="235">
        <f t="shared" si="8"/>
        <v>4</v>
      </c>
      <c r="E20" s="2159" t="str">
        <f t="shared" si="0"/>
        <v xml:space="preserve">attiva trim.  </v>
      </c>
      <c r="F20" s="2160"/>
      <c r="G20" s="237"/>
      <c r="H20" s="237"/>
      <c r="I20" s="828"/>
      <c r="J20" s="829"/>
      <c r="K20" s="237"/>
      <c r="L20" s="828"/>
      <c r="M20" s="829"/>
      <c r="N20" s="237"/>
      <c r="O20" s="828"/>
      <c r="P20" s="829"/>
      <c r="Q20" s="6"/>
      <c r="R20" s="1053">
        <f t="shared" si="9"/>
        <v>0</v>
      </c>
      <c r="S20" s="1054">
        <f t="shared" si="1"/>
        <v>0</v>
      </c>
      <c r="T20" s="1054">
        <f t="shared" si="10"/>
        <v>0</v>
      </c>
      <c r="U20" s="1055">
        <f t="shared" si="11"/>
        <v>0</v>
      </c>
      <c r="V20" s="231">
        <f t="shared" si="31"/>
        <v>45395</v>
      </c>
      <c r="W20" s="1053">
        <f t="shared" si="2"/>
        <v>0</v>
      </c>
      <c r="X20" s="1054">
        <f t="shared" si="3"/>
        <v>0</v>
      </c>
      <c r="Y20" s="1054">
        <f t="shared" si="4"/>
        <v>0</v>
      </c>
      <c r="Z20" s="1055">
        <f t="shared" si="5"/>
        <v>0</v>
      </c>
      <c r="AA20" s="822">
        <f>VLOOKUP(V20,CASSA!$B$114:$C$479,2,FALSE)</f>
        <v>0</v>
      </c>
      <c r="AB20" s="1053">
        <f t="shared" si="12"/>
        <v>0</v>
      </c>
      <c r="AC20" s="1054">
        <f t="shared" si="13"/>
        <v>0</v>
      </c>
      <c r="AD20" s="1054">
        <f t="shared" si="14"/>
        <v>0</v>
      </c>
      <c r="AE20" s="1055">
        <f t="shared" si="15"/>
        <v>0</v>
      </c>
      <c r="AF20" s="2"/>
      <c r="AG20" s="1090">
        <f t="shared" si="16"/>
        <v>0</v>
      </c>
      <c r="AH20" s="1091">
        <f t="shared" si="17"/>
        <v>0</v>
      </c>
      <c r="AI20" s="1054">
        <f t="shared" si="18"/>
        <v>0</v>
      </c>
      <c r="AJ20" s="1054">
        <f t="shared" si="19"/>
        <v>0</v>
      </c>
      <c r="AK20" s="1092">
        <f t="shared" si="6"/>
        <v>0</v>
      </c>
      <c r="AL20" s="2"/>
      <c r="AM20" s="1090">
        <f t="shared" si="7"/>
        <v>0</v>
      </c>
      <c r="AN20" s="1105">
        <f t="shared" si="20"/>
        <v>0</v>
      </c>
      <c r="AO20" s="1054">
        <f t="shared" si="21"/>
        <v>0</v>
      </c>
      <c r="AP20" s="1054">
        <f t="shared" si="22"/>
        <v>0</v>
      </c>
      <c r="AQ20" s="1092">
        <f t="shared" si="23"/>
        <v>0</v>
      </c>
      <c r="AR20" s="2"/>
      <c r="AS20" s="1090">
        <f t="shared" si="24"/>
        <v>0</v>
      </c>
      <c r="AT20" s="1091">
        <f t="shared" si="25"/>
        <v>0</v>
      </c>
      <c r="AU20" s="1054">
        <f t="shared" si="26"/>
        <v>0</v>
      </c>
      <c r="AV20" s="1054">
        <f t="shared" si="27"/>
        <v>0</v>
      </c>
      <c r="AW20" s="1092">
        <f t="shared" si="28"/>
        <v>0</v>
      </c>
      <c r="AX20" s="2"/>
      <c r="AY20" s="1090">
        <f t="shared" si="29"/>
        <v>0</v>
      </c>
      <c r="AZ20" s="1385"/>
      <c r="BA20" s="2"/>
    </row>
    <row r="21" spans="1:53" ht="20.25" customHeight="1" x14ac:dyDescent="0.2">
      <c r="A21" s="2"/>
      <c r="B21" s="18">
        <v>14</v>
      </c>
      <c r="C21" s="234">
        <f t="shared" si="30"/>
        <v>14</v>
      </c>
      <c r="D21" s="235">
        <f t="shared" si="8"/>
        <v>4</v>
      </c>
      <c r="E21" s="2159" t="str">
        <f t="shared" si="0"/>
        <v xml:space="preserve">attiva trim.  </v>
      </c>
      <c r="F21" s="2160"/>
      <c r="G21" s="237"/>
      <c r="H21" s="237"/>
      <c r="I21" s="828"/>
      <c r="J21" s="829"/>
      <c r="K21" s="237"/>
      <c r="L21" s="828"/>
      <c r="M21" s="829"/>
      <c r="N21" s="237"/>
      <c r="O21" s="828"/>
      <c r="P21" s="829"/>
      <c r="Q21" s="6"/>
      <c r="R21" s="1053">
        <f t="shared" si="9"/>
        <v>0</v>
      </c>
      <c r="S21" s="1054">
        <f t="shared" si="1"/>
        <v>0</v>
      </c>
      <c r="T21" s="1054">
        <f t="shared" si="10"/>
        <v>0</v>
      </c>
      <c r="U21" s="1055">
        <f t="shared" si="11"/>
        <v>0</v>
      </c>
      <c r="V21" s="231">
        <f t="shared" si="31"/>
        <v>45396</v>
      </c>
      <c r="W21" s="1053">
        <f t="shared" si="2"/>
        <v>0</v>
      </c>
      <c r="X21" s="1054">
        <f t="shared" si="3"/>
        <v>0</v>
      </c>
      <c r="Y21" s="1054">
        <f t="shared" si="4"/>
        <v>0</v>
      </c>
      <c r="Z21" s="1055">
        <f t="shared" si="5"/>
        <v>0</v>
      </c>
      <c r="AA21" s="822">
        <f>VLOOKUP(V21,CASSA!$B$114:$C$479,2,FALSE)</f>
        <v>0</v>
      </c>
      <c r="AB21" s="1053">
        <f t="shared" si="12"/>
        <v>0</v>
      </c>
      <c r="AC21" s="1054">
        <f t="shared" si="13"/>
        <v>0</v>
      </c>
      <c r="AD21" s="1054">
        <f t="shared" si="14"/>
        <v>0</v>
      </c>
      <c r="AE21" s="1055">
        <f t="shared" si="15"/>
        <v>0</v>
      </c>
      <c r="AF21" s="2"/>
      <c r="AG21" s="1090">
        <f t="shared" si="16"/>
        <v>0</v>
      </c>
      <c r="AH21" s="1091">
        <f t="shared" si="17"/>
        <v>0</v>
      </c>
      <c r="AI21" s="1054">
        <f t="shared" si="18"/>
        <v>0</v>
      </c>
      <c r="AJ21" s="1054">
        <f t="shared" si="19"/>
        <v>0</v>
      </c>
      <c r="AK21" s="1092">
        <f t="shared" si="6"/>
        <v>0</v>
      </c>
      <c r="AL21" s="2"/>
      <c r="AM21" s="1090">
        <f t="shared" si="7"/>
        <v>0</v>
      </c>
      <c r="AN21" s="1105">
        <f t="shared" si="20"/>
        <v>0</v>
      </c>
      <c r="AO21" s="1054">
        <f t="shared" si="21"/>
        <v>0</v>
      </c>
      <c r="AP21" s="1054">
        <f t="shared" si="22"/>
        <v>0</v>
      </c>
      <c r="AQ21" s="1092">
        <f t="shared" si="23"/>
        <v>0</v>
      </c>
      <c r="AR21" s="2"/>
      <c r="AS21" s="1090">
        <f t="shared" si="24"/>
        <v>0</v>
      </c>
      <c r="AT21" s="1091">
        <f t="shared" si="25"/>
        <v>0</v>
      </c>
      <c r="AU21" s="1054">
        <f t="shared" si="26"/>
        <v>0</v>
      </c>
      <c r="AV21" s="1054">
        <f t="shared" si="27"/>
        <v>0</v>
      </c>
      <c r="AW21" s="1092">
        <f t="shared" si="28"/>
        <v>0</v>
      </c>
      <c r="AX21" s="2"/>
      <c r="AY21" s="1090">
        <f t="shared" si="29"/>
        <v>0</v>
      </c>
      <c r="AZ21" s="1385"/>
      <c r="BA21" s="2"/>
    </row>
    <row r="22" spans="1:53" ht="20.25" customHeight="1" x14ac:dyDescent="0.2">
      <c r="A22" s="2"/>
      <c r="B22" s="18">
        <v>15</v>
      </c>
      <c r="C22" s="234">
        <f t="shared" si="30"/>
        <v>15</v>
      </c>
      <c r="D22" s="235">
        <f t="shared" si="8"/>
        <v>4</v>
      </c>
      <c r="E22" s="2159" t="str">
        <f t="shared" si="0"/>
        <v xml:space="preserve">attiva trim.  </v>
      </c>
      <c r="F22" s="2160"/>
      <c r="G22" s="237"/>
      <c r="H22" s="237"/>
      <c r="I22" s="828"/>
      <c r="J22" s="829"/>
      <c r="K22" s="237"/>
      <c r="L22" s="828"/>
      <c r="M22" s="829"/>
      <c r="N22" s="237"/>
      <c r="O22" s="828"/>
      <c r="P22" s="829"/>
      <c r="Q22" s="6"/>
      <c r="R22" s="1053">
        <f t="shared" si="9"/>
        <v>0</v>
      </c>
      <c r="S22" s="1054">
        <f t="shared" si="1"/>
        <v>0</v>
      </c>
      <c r="T22" s="1054">
        <f t="shared" si="10"/>
        <v>0</v>
      </c>
      <c r="U22" s="1055">
        <f t="shared" si="11"/>
        <v>0</v>
      </c>
      <c r="V22" s="231">
        <f t="shared" si="31"/>
        <v>45397</v>
      </c>
      <c r="W22" s="1053">
        <f t="shared" si="2"/>
        <v>0</v>
      </c>
      <c r="X22" s="1054">
        <f t="shared" si="3"/>
        <v>0</v>
      </c>
      <c r="Y22" s="1054">
        <f t="shared" si="4"/>
        <v>0</v>
      </c>
      <c r="Z22" s="1055">
        <f t="shared" si="5"/>
        <v>0</v>
      </c>
      <c r="AA22" s="822">
        <f>VLOOKUP(V22,CASSA!$B$114:$C$479,2,FALSE)</f>
        <v>0</v>
      </c>
      <c r="AB22" s="1053">
        <f t="shared" si="12"/>
        <v>0</v>
      </c>
      <c r="AC22" s="1054">
        <f t="shared" si="13"/>
        <v>0</v>
      </c>
      <c r="AD22" s="1054">
        <f t="shared" si="14"/>
        <v>0</v>
      </c>
      <c r="AE22" s="1055">
        <f t="shared" si="15"/>
        <v>0</v>
      </c>
      <c r="AF22" s="2"/>
      <c r="AG22" s="1090">
        <f t="shared" si="16"/>
        <v>0</v>
      </c>
      <c r="AH22" s="1091">
        <f t="shared" si="17"/>
        <v>0</v>
      </c>
      <c r="AI22" s="1054">
        <f t="shared" si="18"/>
        <v>0</v>
      </c>
      <c r="AJ22" s="1054">
        <f t="shared" si="19"/>
        <v>0</v>
      </c>
      <c r="AK22" s="1092">
        <f t="shared" si="6"/>
        <v>0</v>
      </c>
      <c r="AL22" s="2"/>
      <c r="AM22" s="1090">
        <f t="shared" si="7"/>
        <v>0</v>
      </c>
      <c r="AN22" s="1105">
        <f t="shared" si="20"/>
        <v>0</v>
      </c>
      <c r="AO22" s="1054">
        <f t="shared" si="21"/>
        <v>0</v>
      </c>
      <c r="AP22" s="1054">
        <f t="shared" si="22"/>
        <v>0</v>
      </c>
      <c r="AQ22" s="1092">
        <f t="shared" si="23"/>
        <v>0</v>
      </c>
      <c r="AR22" s="2"/>
      <c r="AS22" s="1090">
        <f t="shared" si="24"/>
        <v>0</v>
      </c>
      <c r="AT22" s="1091">
        <f t="shared" si="25"/>
        <v>0</v>
      </c>
      <c r="AU22" s="1054">
        <f t="shared" si="26"/>
        <v>0</v>
      </c>
      <c r="AV22" s="1054">
        <f t="shared" si="27"/>
        <v>0</v>
      </c>
      <c r="AW22" s="1092">
        <f t="shared" si="28"/>
        <v>0</v>
      </c>
      <c r="AX22" s="2"/>
      <c r="AY22" s="1090">
        <f t="shared" si="29"/>
        <v>0</v>
      </c>
      <c r="AZ22" s="1385"/>
      <c r="BA22" s="2"/>
    </row>
    <row r="23" spans="1:53" ht="20.25" customHeight="1" x14ac:dyDescent="0.2">
      <c r="A23" s="2"/>
      <c r="B23" s="18">
        <v>16</v>
      </c>
      <c r="C23" s="234">
        <f t="shared" si="30"/>
        <v>16</v>
      </c>
      <c r="D23" s="235">
        <f t="shared" si="8"/>
        <v>4</v>
      </c>
      <c r="E23" s="2159" t="str">
        <f t="shared" si="0"/>
        <v xml:space="preserve">attiva trim.  </v>
      </c>
      <c r="F23" s="2160"/>
      <c r="G23" s="237"/>
      <c r="H23" s="237"/>
      <c r="I23" s="828"/>
      <c r="J23" s="829"/>
      <c r="K23" s="237"/>
      <c r="L23" s="828"/>
      <c r="M23" s="829"/>
      <c r="N23" s="237"/>
      <c r="O23" s="828"/>
      <c r="P23" s="829"/>
      <c r="Q23" s="6"/>
      <c r="R23" s="1053">
        <f t="shared" si="9"/>
        <v>0</v>
      </c>
      <c r="S23" s="1054">
        <f t="shared" si="1"/>
        <v>0</v>
      </c>
      <c r="T23" s="1054">
        <f t="shared" si="10"/>
        <v>0</v>
      </c>
      <c r="U23" s="1055">
        <f t="shared" si="11"/>
        <v>0</v>
      </c>
      <c r="V23" s="231">
        <f t="shared" si="31"/>
        <v>45398</v>
      </c>
      <c r="W23" s="1053">
        <f t="shared" si="2"/>
        <v>0</v>
      </c>
      <c r="X23" s="1054">
        <f t="shared" si="3"/>
        <v>0</v>
      </c>
      <c r="Y23" s="1054">
        <f t="shared" si="4"/>
        <v>0</v>
      </c>
      <c r="Z23" s="1055">
        <f t="shared" si="5"/>
        <v>0</v>
      </c>
      <c r="AA23" s="822">
        <f>VLOOKUP(V23,CASSA!$B$114:$C$479,2,FALSE)</f>
        <v>0</v>
      </c>
      <c r="AB23" s="1053">
        <f t="shared" si="12"/>
        <v>0</v>
      </c>
      <c r="AC23" s="1054">
        <f t="shared" si="13"/>
        <v>0</v>
      </c>
      <c r="AD23" s="1054">
        <f t="shared" si="14"/>
        <v>0</v>
      </c>
      <c r="AE23" s="1055">
        <f t="shared" si="15"/>
        <v>0</v>
      </c>
      <c r="AF23" s="2"/>
      <c r="AG23" s="1090">
        <f t="shared" si="16"/>
        <v>0</v>
      </c>
      <c r="AH23" s="1091">
        <f t="shared" si="17"/>
        <v>0</v>
      </c>
      <c r="AI23" s="1054">
        <f t="shared" si="18"/>
        <v>0</v>
      </c>
      <c r="AJ23" s="1054">
        <f t="shared" si="19"/>
        <v>0</v>
      </c>
      <c r="AK23" s="1092">
        <f t="shared" si="6"/>
        <v>0</v>
      </c>
      <c r="AL23" s="2"/>
      <c r="AM23" s="1090">
        <f t="shared" si="7"/>
        <v>0</v>
      </c>
      <c r="AN23" s="1105">
        <f t="shared" si="20"/>
        <v>0</v>
      </c>
      <c r="AO23" s="1054">
        <f t="shared" si="21"/>
        <v>0</v>
      </c>
      <c r="AP23" s="1054">
        <f t="shared" si="22"/>
        <v>0</v>
      </c>
      <c r="AQ23" s="1092">
        <f t="shared" si="23"/>
        <v>0</v>
      </c>
      <c r="AR23" s="2"/>
      <c r="AS23" s="1090">
        <f t="shared" si="24"/>
        <v>0</v>
      </c>
      <c r="AT23" s="1091">
        <f t="shared" si="25"/>
        <v>0</v>
      </c>
      <c r="AU23" s="1054">
        <f t="shared" si="26"/>
        <v>0</v>
      </c>
      <c r="AV23" s="1054">
        <f t="shared" si="27"/>
        <v>0</v>
      </c>
      <c r="AW23" s="1092">
        <f t="shared" si="28"/>
        <v>0</v>
      </c>
      <c r="AX23" s="2"/>
      <c r="AY23" s="1090">
        <f t="shared" si="29"/>
        <v>0</v>
      </c>
      <c r="AZ23" s="1385"/>
      <c r="BA23" s="2"/>
    </row>
    <row r="24" spans="1:53" ht="20.25" customHeight="1" x14ac:dyDescent="0.2">
      <c r="A24" s="2"/>
      <c r="B24" s="18">
        <v>17</v>
      </c>
      <c r="C24" s="234">
        <f t="shared" si="30"/>
        <v>17</v>
      </c>
      <c r="D24" s="235">
        <f t="shared" si="8"/>
        <v>4</v>
      </c>
      <c r="E24" s="2159" t="str">
        <f t="shared" si="0"/>
        <v xml:space="preserve">attiva trim.  </v>
      </c>
      <c r="F24" s="2160"/>
      <c r="G24" s="237"/>
      <c r="H24" s="237"/>
      <c r="I24" s="828"/>
      <c r="J24" s="829"/>
      <c r="K24" s="237"/>
      <c r="L24" s="828"/>
      <c r="M24" s="829"/>
      <c r="N24" s="237"/>
      <c r="O24" s="828"/>
      <c r="P24" s="829"/>
      <c r="Q24" s="6"/>
      <c r="R24" s="1053">
        <f t="shared" si="9"/>
        <v>0</v>
      </c>
      <c r="S24" s="1054">
        <f t="shared" si="1"/>
        <v>0</v>
      </c>
      <c r="T24" s="1054">
        <f t="shared" si="10"/>
        <v>0</v>
      </c>
      <c r="U24" s="1055">
        <f t="shared" si="11"/>
        <v>0</v>
      </c>
      <c r="V24" s="231">
        <f t="shared" si="31"/>
        <v>45399</v>
      </c>
      <c r="W24" s="1053">
        <f t="shared" si="2"/>
        <v>0</v>
      </c>
      <c r="X24" s="1054">
        <f t="shared" si="3"/>
        <v>0</v>
      </c>
      <c r="Y24" s="1054">
        <f t="shared" si="4"/>
        <v>0</v>
      </c>
      <c r="Z24" s="1055">
        <f t="shared" si="5"/>
        <v>0</v>
      </c>
      <c r="AA24" s="822">
        <f>VLOOKUP(V24,CASSA!$B$114:$C$479,2,FALSE)</f>
        <v>0</v>
      </c>
      <c r="AB24" s="1053">
        <f t="shared" si="12"/>
        <v>0</v>
      </c>
      <c r="AC24" s="1054">
        <f t="shared" si="13"/>
        <v>0</v>
      </c>
      <c r="AD24" s="1054">
        <f t="shared" si="14"/>
        <v>0</v>
      </c>
      <c r="AE24" s="1055">
        <f t="shared" si="15"/>
        <v>0</v>
      </c>
      <c r="AF24" s="2"/>
      <c r="AG24" s="1090">
        <f t="shared" si="16"/>
        <v>0</v>
      </c>
      <c r="AH24" s="1091">
        <f t="shared" si="17"/>
        <v>0</v>
      </c>
      <c r="AI24" s="1054">
        <f t="shared" si="18"/>
        <v>0</v>
      </c>
      <c r="AJ24" s="1054">
        <f t="shared" si="19"/>
        <v>0</v>
      </c>
      <c r="AK24" s="1092">
        <f t="shared" si="6"/>
        <v>0</v>
      </c>
      <c r="AL24" s="2"/>
      <c r="AM24" s="1090">
        <f t="shared" si="7"/>
        <v>0</v>
      </c>
      <c r="AN24" s="1105">
        <f t="shared" si="20"/>
        <v>0</v>
      </c>
      <c r="AO24" s="1054">
        <f t="shared" si="21"/>
        <v>0</v>
      </c>
      <c r="AP24" s="1054">
        <f t="shared" si="22"/>
        <v>0</v>
      </c>
      <c r="AQ24" s="1092">
        <f t="shared" si="23"/>
        <v>0</v>
      </c>
      <c r="AR24" s="2"/>
      <c r="AS24" s="1090">
        <f t="shared" si="24"/>
        <v>0</v>
      </c>
      <c r="AT24" s="1091">
        <f t="shared" si="25"/>
        <v>0</v>
      </c>
      <c r="AU24" s="1054">
        <f t="shared" si="26"/>
        <v>0</v>
      </c>
      <c r="AV24" s="1054">
        <f t="shared" si="27"/>
        <v>0</v>
      </c>
      <c r="AW24" s="1092">
        <f t="shared" si="28"/>
        <v>0</v>
      </c>
      <c r="AX24" s="2"/>
      <c r="AY24" s="1090">
        <f t="shared" si="29"/>
        <v>0</v>
      </c>
      <c r="AZ24" s="1385"/>
      <c r="BA24" s="2"/>
    </row>
    <row r="25" spans="1:53" ht="20.25" customHeight="1" x14ac:dyDescent="0.2">
      <c r="A25" s="2"/>
      <c r="B25" s="18">
        <v>18</v>
      </c>
      <c r="C25" s="234">
        <f t="shared" si="30"/>
        <v>18</v>
      </c>
      <c r="D25" s="235">
        <f t="shared" si="8"/>
        <v>4</v>
      </c>
      <c r="E25" s="2159" t="str">
        <f t="shared" si="0"/>
        <v xml:space="preserve">attiva trim.  </v>
      </c>
      <c r="F25" s="2160"/>
      <c r="G25" s="237"/>
      <c r="H25" s="237"/>
      <c r="I25" s="828"/>
      <c r="J25" s="829"/>
      <c r="K25" s="237"/>
      <c r="L25" s="828"/>
      <c r="M25" s="829"/>
      <c r="N25" s="237"/>
      <c r="O25" s="828"/>
      <c r="P25" s="829"/>
      <c r="Q25" s="6"/>
      <c r="R25" s="1053">
        <f t="shared" si="9"/>
        <v>0</v>
      </c>
      <c r="S25" s="1054">
        <f t="shared" si="1"/>
        <v>0</v>
      </c>
      <c r="T25" s="1054">
        <f t="shared" si="10"/>
        <v>0</v>
      </c>
      <c r="U25" s="1055">
        <f t="shared" si="11"/>
        <v>0</v>
      </c>
      <c r="V25" s="231">
        <f t="shared" si="31"/>
        <v>45400</v>
      </c>
      <c r="W25" s="1053">
        <f t="shared" si="2"/>
        <v>0</v>
      </c>
      <c r="X25" s="1054">
        <f t="shared" si="3"/>
        <v>0</v>
      </c>
      <c r="Y25" s="1054">
        <f t="shared" si="4"/>
        <v>0</v>
      </c>
      <c r="Z25" s="1055">
        <f t="shared" si="5"/>
        <v>0</v>
      </c>
      <c r="AA25" s="822">
        <f>VLOOKUP(V25,CASSA!$B$114:$C$479,2,FALSE)</f>
        <v>0</v>
      </c>
      <c r="AB25" s="1053">
        <f t="shared" si="12"/>
        <v>0</v>
      </c>
      <c r="AC25" s="1054">
        <f t="shared" si="13"/>
        <v>0</v>
      </c>
      <c r="AD25" s="1054">
        <f t="shared" si="14"/>
        <v>0</v>
      </c>
      <c r="AE25" s="1055">
        <f t="shared" si="15"/>
        <v>0</v>
      </c>
      <c r="AF25" s="2"/>
      <c r="AG25" s="1090">
        <f t="shared" si="16"/>
        <v>0</v>
      </c>
      <c r="AH25" s="1091">
        <f t="shared" si="17"/>
        <v>0</v>
      </c>
      <c r="AI25" s="1054">
        <f t="shared" si="18"/>
        <v>0</v>
      </c>
      <c r="AJ25" s="1054">
        <f t="shared" si="19"/>
        <v>0</v>
      </c>
      <c r="AK25" s="1092">
        <f t="shared" si="6"/>
        <v>0</v>
      </c>
      <c r="AL25" s="2"/>
      <c r="AM25" s="1090">
        <f t="shared" si="7"/>
        <v>0</v>
      </c>
      <c r="AN25" s="1105">
        <f t="shared" si="20"/>
        <v>0</v>
      </c>
      <c r="AO25" s="1054">
        <f t="shared" si="21"/>
        <v>0</v>
      </c>
      <c r="AP25" s="1054">
        <f t="shared" si="22"/>
        <v>0</v>
      </c>
      <c r="AQ25" s="1092">
        <f t="shared" si="23"/>
        <v>0</v>
      </c>
      <c r="AR25" s="2"/>
      <c r="AS25" s="1090">
        <f t="shared" si="24"/>
        <v>0</v>
      </c>
      <c r="AT25" s="1091">
        <f t="shared" si="25"/>
        <v>0</v>
      </c>
      <c r="AU25" s="1054">
        <f t="shared" si="26"/>
        <v>0</v>
      </c>
      <c r="AV25" s="1054">
        <f t="shared" si="27"/>
        <v>0</v>
      </c>
      <c r="AW25" s="1092">
        <f t="shared" si="28"/>
        <v>0</v>
      </c>
      <c r="AX25" s="2"/>
      <c r="AY25" s="1090">
        <f t="shared" si="29"/>
        <v>0</v>
      </c>
      <c r="AZ25" s="1385"/>
      <c r="BA25" s="2"/>
    </row>
    <row r="26" spans="1:53" ht="20.25" customHeight="1" x14ac:dyDescent="0.2">
      <c r="A26" s="2"/>
      <c r="B26" s="18">
        <v>19</v>
      </c>
      <c r="C26" s="234">
        <f t="shared" si="30"/>
        <v>19</v>
      </c>
      <c r="D26" s="235">
        <f t="shared" si="8"/>
        <v>4</v>
      </c>
      <c r="E26" s="2159" t="str">
        <f t="shared" si="0"/>
        <v xml:space="preserve">attiva trim.  </v>
      </c>
      <c r="F26" s="2160"/>
      <c r="G26" s="237"/>
      <c r="H26" s="237"/>
      <c r="I26" s="828"/>
      <c r="J26" s="829"/>
      <c r="K26" s="237"/>
      <c r="L26" s="828"/>
      <c r="M26" s="829"/>
      <c r="N26" s="237"/>
      <c r="O26" s="828"/>
      <c r="P26" s="829"/>
      <c r="Q26" s="6"/>
      <c r="R26" s="1053">
        <f t="shared" si="9"/>
        <v>0</v>
      </c>
      <c r="S26" s="1054">
        <f t="shared" si="1"/>
        <v>0</v>
      </c>
      <c r="T26" s="1054">
        <f t="shared" si="10"/>
        <v>0</v>
      </c>
      <c r="U26" s="1055">
        <f t="shared" si="11"/>
        <v>0</v>
      </c>
      <c r="V26" s="231">
        <f t="shared" si="31"/>
        <v>45401</v>
      </c>
      <c r="W26" s="1053">
        <f t="shared" si="2"/>
        <v>0</v>
      </c>
      <c r="X26" s="1054">
        <f t="shared" si="3"/>
        <v>0</v>
      </c>
      <c r="Y26" s="1054">
        <f t="shared" si="4"/>
        <v>0</v>
      </c>
      <c r="Z26" s="1055">
        <f t="shared" si="5"/>
        <v>0</v>
      </c>
      <c r="AA26" s="822">
        <f>VLOOKUP(V26,CASSA!$B$114:$C$479,2,FALSE)</f>
        <v>0</v>
      </c>
      <c r="AB26" s="1053">
        <f t="shared" si="12"/>
        <v>0</v>
      </c>
      <c r="AC26" s="1054">
        <f t="shared" si="13"/>
        <v>0</v>
      </c>
      <c r="AD26" s="1054">
        <f t="shared" si="14"/>
        <v>0</v>
      </c>
      <c r="AE26" s="1055">
        <f t="shared" si="15"/>
        <v>0</v>
      </c>
      <c r="AF26" s="2"/>
      <c r="AG26" s="1090">
        <f t="shared" si="16"/>
        <v>0</v>
      </c>
      <c r="AH26" s="1091">
        <f t="shared" si="17"/>
        <v>0</v>
      </c>
      <c r="AI26" s="1054">
        <f t="shared" si="18"/>
        <v>0</v>
      </c>
      <c r="AJ26" s="1054">
        <f t="shared" si="19"/>
        <v>0</v>
      </c>
      <c r="AK26" s="1092">
        <f t="shared" si="6"/>
        <v>0</v>
      </c>
      <c r="AL26" s="2"/>
      <c r="AM26" s="1090">
        <f t="shared" si="7"/>
        <v>0</v>
      </c>
      <c r="AN26" s="1105">
        <f t="shared" si="20"/>
        <v>0</v>
      </c>
      <c r="AO26" s="1054">
        <f t="shared" si="21"/>
        <v>0</v>
      </c>
      <c r="AP26" s="1054">
        <f t="shared" si="22"/>
        <v>0</v>
      </c>
      <c r="AQ26" s="1092">
        <f t="shared" si="23"/>
        <v>0</v>
      </c>
      <c r="AR26" s="2"/>
      <c r="AS26" s="1090">
        <f t="shared" si="24"/>
        <v>0</v>
      </c>
      <c r="AT26" s="1091">
        <f t="shared" si="25"/>
        <v>0</v>
      </c>
      <c r="AU26" s="1054">
        <f t="shared" si="26"/>
        <v>0</v>
      </c>
      <c r="AV26" s="1054">
        <f t="shared" si="27"/>
        <v>0</v>
      </c>
      <c r="AW26" s="1092">
        <f t="shared" si="28"/>
        <v>0</v>
      </c>
      <c r="AX26" s="2"/>
      <c r="AY26" s="1090">
        <f t="shared" si="29"/>
        <v>0</v>
      </c>
      <c r="AZ26" s="1385"/>
      <c r="BA26" s="2"/>
    </row>
    <row r="27" spans="1:53" ht="20.25" customHeight="1" x14ac:dyDescent="0.2">
      <c r="A27" s="2"/>
      <c r="B27" s="18">
        <v>20</v>
      </c>
      <c r="C27" s="234">
        <f t="shared" si="30"/>
        <v>20</v>
      </c>
      <c r="D27" s="235">
        <f t="shared" si="8"/>
        <v>4</v>
      </c>
      <c r="E27" s="2159" t="str">
        <f t="shared" si="0"/>
        <v xml:space="preserve">attiva trim.  </v>
      </c>
      <c r="F27" s="2160"/>
      <c r="G27" s="237"/>
      <c r="H27" s="237"/>
      <c r="I27" s="828"/>
      <c r="J27" s="829"/>
      <c r="K27" s="237"/>
      <c r="L27" s="828"/>
      <c r="M27" s="829"/>
      <c r="N27" s="237"/>
      <c r="O27" s="828"/>
      <c r="P27" s="829"/>
      <c r="Q27" s="6"/>
      <c r="R27" s="1053">
        <f t="shared" si="9"/>
        <v>0</v>
      </c>
      <c r="S27" s="1054">
        <f t="shared" si="1"/>
        <v>0</v>
      </c>
      <c r="T27" s="1054">
        <f t="shared" si="10"/>
        <v>0</v>
      </c>
      <c r="U27" s="1055">
        <f t="shared" si="11"/>
        <v>0</v>
      </c>
      <c r="V27" s="231">
        <f t="shared" si="31"/>
        <v>45402</v>
      </c>
      <c r="W27" s="1053">
        <f t="shared" si="2"/>
        <v>0</v>
      </c>
      <c r="X27" s="1054">
        <f t="shared" si="3"/>
        <v>0</v>
      </c>
      <c r="Y27" s="1054">
        <f t="shared" si="4"/>
        <v>0</v>
      </c>
      <c r="Z27" s="1055">
        <f t="shared" si="5"/>
        <v>0</v>
      </c>
      <c r="AA27" s="822">
        <f>VLOOKUP(V27,CASSA!$B$114:$C$479,2,FALSE)</f>
        <v>0</v>
      </c>
      <c r="AB27" s="1053">
        <f t="shared" si="12"/>
        <v>0</v>
      </c>
      <c r="AC27" s="1054">
        <f t="shared" si="13"/>
        <v>0</v>
      </c>
      <c r="AD27" s="1054">
        <f t="shared" si="14"/>
        <v>0</v>
      </c>
      <c r="AE27" s="1055">
        <f t="shared" si="15"/>
        <v>0</v>
      </c>
      <c r="AF27" s="2"/>
      <c r="AG27" s="1090">
        <f t="shared" si="16"/>
        <v>0</v>
      </c>
      <c r="AH27" s="1091">
        <f t="shared" si="17"/>
        <v>0</v>
      </c>
      <c r="AI27" s="1054">
        <f t="shared" si="18"/>
        <v>0</v>
      </c>
      <c r="AJ27" s="1054">
        <f t="shared" si="19"/>
        <v>0</v>
      </c>
      <c r="AK27" s="1092">
        <f t="shared" si="6"/>
        <v>0</v>
      </c>
      <c r="AL27" s="2"/>
      <c r="AM27" s="1090">
        <f t="shared" si="7"/>
        <v>0</v>
      </c>
      <c r="AN27" s="1105">
        <f t="shared" si="20"/>
        <v>0</v>
      </c>
      <c r="AO27" s="1054">
        <f t="shared" si="21"/>
        <v>0</v>
      </c>
      <c r="AP27" s="1054">
        <f t="shared" si="22"/>
        <v>0</v>
      </c>
      <c r="AQ27" s="1092">
        <f t="shared" si="23"/>
        <v>0</v>
      </c>
      <c r="AR27" s="2"/>
      <c r="AS27" s="1090">
        <f t="shared" si="24"/>
        <v>0</v>
      </c>
      <c r="AT27" s="1091">
        <f t="shared" si="25"/>
        <v>0</v>
      </c>
      <c r="AU27" s="1054">
        <f t="shared" si="26"/>
        <v>0</v>
      </c>
      <c r="AV27" s="1054">
        <f t="shared" si="27"/>
        <v>0</v>
      </c>
      <c r="AW27" s="1092">
        <f t="shared" si="28"/>
        <v>0</v>
      </c>
      <c r="AX27" s="2"/>
      <c r="AY27" s="1090">
        <f t="shared" si="29"/>
        <v>0</v>
      </c>
      <c r="AZ27" s="1385"/>
      <c r="BA27" s="2"/>
    </row>
    <row r="28" spans="1:53" ht="20.25" customHeight="1" x14ac:dyDescent="0.2">
      <c r="A28" s="2"/>
      <c r="B28" s="18">
        <v>21</v>
      </c>
      <c r="C28" s="234">
        <f t="shared" si="30"/>
        <v>21</v>
      </c>
      <c r="D28" s="235">
        <f t="shared" si="8"/>
        <v>4</v>
      </c>
      <c r="E28" s="2159" t="str">
        <f t="shared" si="0"/>
        <v xml:space="preserve">attiva trim.  </v>
      </c>
      <c r="F28" s="2160"/>
      <c r="G28" s="237"/>
      <c r="H28" s="237"/>
      <c r="I28" s="828"/>
      <c r="J28" s="829"/>
      <c r="K28" s="237"/>
      <c r="L28" s="828"/>
      <c r="M28" s="829"/>
      <c r="N28" s="237"/>
      <c r="O28" s="828"/>
      <c r="P28" s="829"/>
      <c r="Q28" s="6"/>
      <c r="R28" s="1053">
        <f t="shared" si="9"/>
        <v>0</v>
      </c>
      <c r="S28" s="1054">
        <f t="shared" si="1"/>
        <v>0</v>
      </c>
      <c r="T28" s="1054">
        <f t="shared" si="10"/>
        <v>0</v>
      </c>
      <c r="U28" s="1055">
        <f t="shared" si="11"/>
        <v>0</v>
      </c>
      <c r="V28" s="231">
        <f t="shared" si="31"/>
        <v>45403</v>
      </c>
      <c r="W28" s="1053">
        <f t="shared" si="2"/>
        <v>0</v>
      </c>
      <c r="X28" s="1054">
        <f t="shared" si="3"/>
        <v>0</v>
      </c>
      <c r="Y28" s="1054">
        <f t="shared" si="4"/>
        <v>0</v>
      </c>
      <c r="Z28" s="1055">
        <f t="shared" si="5"/>
        <v>0</v>
      </c>
      <c r="AA28" s="822">
        <f>VLOOKUP(V28,CASSA!$B$114:$C$479,2,FALSE)</f>
        <v>0</v>
      </c>
      <c r="AB28" s="1053">
        <f t="shared" si="12"/>
        <v>0</v>
      </c>
      <c r="AC28" s="1054">
        <f t="shared" si="13"/>
        <v>0</v>
      </c>
      <c r="AD28" s="1054">
        <f t="shared" si="14"/>
        <v>0</v>
      </c>
      <c r="AE28" s="1055">
        <f t="shared" si="15"/>
        <v>0</v>
      </c>
      <c r="AF28" s="2"/>
      <c r="AG28" s="1090">
        <f t="shared" si="16"/>
        <v>0</v>
      </c>
      <c r="AH28" s="1091">
        <f t="shared" si="17"/>
        <v>0</v>
      </c>
      <c r="AI28" s="1054">
        <f t="shared" si="18"/>
        <v>0</v>
      </c>
      <c r="AJ28" s="1054">
        <f t="shared" si="19"/>
        <v>0</v>
      </c>
      <c r="AK28" s="1092">
        <f t="shared" si="6"/>
        <v>0</v>
      </c>
      <c r="AL28" s="2"/>
      <c r="AM28" s="1090">
        <f t="shared" si="7"/>
        <v>0</v>
      </c>
      <c r="AN28" s="1105">
        <f t="shared" si="20"/>
        <v>0</v>
      </c>
      <c r="AO28" s="1054">
        <f t="shared" si="21"/>
        <v>0</v>
      </c>
      <c r="AP28" s="1054">
        <f t="shared" si="22"/>
        <v>0</v>
      </c>
      <c r="AQ28" s="1092">
        <f t="shared" si="23"/>
        <v>0</v>
      </c>
      <c r="AR28" s="2"/>
      <c r="AS28" s="1090">
        <f t="shared" si="24"/>
        <v>0</v>
      </c>
      <c r="AT28" s="1091">
        <f t="shared" si="25"/>
        <v>0</v>
      </c>
      <c r="AU28" s="1054">
        <f t="shared" si="26"/>
        <v>0</v>
      </c>
      <c r="AV28" s="1054">
        <f t="shared" si="27"/>
        <v>0</v>
      </c>
      <c r="AW28" s="1092">
        <f t="shared" si="28"/>
        <v>0</v>
      </c>
      <c r="AX28" s="2"/>
      <c r="AY28" s="1090">
        <f t="shared" si="29"/>
        <v>0</v>
      </c>
      <c r="AZ28" s="1385"/>
      <c r="BA28" s="2"/>
    </row>
    <row r="29" spans="1:53" ht="20.25" customHeight="1" x14ac:dyDescent="0.2">
      <c r="A29" s="2"/>
      <c r="B29" s="18">
        <v>22</v>
      </c>
      <c r="C29" s="234">
        <f t="shared" si="30"/>
        <v>22</v>
      </c>
      <c r="D29" s="235">
        <f t="shared" si="8"/>
        <v>4</v>
      </c>
      <c r="E29" s="2159" t="str">
        <f t="shared" si="0"/>
        <v xml:space="preserve">attiva trim.  </v>
      </c>
      <c r="F29" s="2160"/>
      <c r="G29" s="237"/>
      <c r="H29" s="237"/>
      <c r="I29" s="828"/>
      <c r="J29" s="829"/>
      <c r="K29" s="237"/>
      <c r="L29" s="828"/>
      <c r="M29" s="829"/>
      <c r="N29" s="237"/>
      <c r="O29" s="828"/>
      <c r="P29" s="829"/>
      <c r="Q29" s="6"/>
      <c r="R29" s="1053">
        <f t="shared" si="9"/>
        <v>0</v>
      </c>
      <c r="S29" s="1054">
        <f t="shared" si="1"/>
        <v>0</v>
      </c>
      <c r="T29" s="1054">
        <f t="shared" si="10"/>
        <v>0</v>
      </c>
      <c r="U29" s="1055">
        <f t="shared" si="11"/>
        <v>0</v>
      </c>
      <c r="V29" s="231">
        <f t="shared" si="31"/>
        <v>45404</v>
      </c>
      <c r="W29" s="1053">
        <f t="shared" si="2"/>
        <v>0</v>
      </c>
      <c r="X29" s="1054">
        <f t="shared" si="3"/>
        <v>0</v>
      </c>
      <c r="Y29" s="1054">
        <f t="shared" si="4"/>
        <v>0</v>
      </c>
      <c r="Z29" s="1055">
        <f t="shared" si="5"/>
        <v>0</v>
      </c>
      <c r="AA29" s="822">
        <f>VLOOKUP(V29,CASSA!$B$114:$C$479,2,FALSE)</f>
        <v>0</v>
      </c>
      <c r="AB29" s="1053">
        <f t="shared" si="12"/>
        <v>0</v>
      </c>
      <c r="AC29" s="1054">
        <f t="shared" si="13"/>
        <v>0</v>
      </c>
      <c r="AD29" s="1054">
        <f t="shared" si="14"/>
        <v>0</v>
      </c>
      <c r="AE29" s="1055">
        <f t="shared" si="15"/>
        <v>0</v>
      </c>
      <c r="AF29" s="2"/>
      <c r="AG29" s="1090">
        <f t="shared" si="16"/>
        <v>0</v>
      </c>
      <c r="AH29" s="1091">
        <f t="shared" si="17"/>
        <v>0</v>
      </c>
      <c r="AI29" s="1054">
        <f t="shared" si="18"/>
        <v>0</v>
      </c>
      <c r="AJ29" s="1054">
        <f t="shared" si="19"/>
        <v>0</v>
      </c>
      <c r="AK29" s="1092">
        <f t="shared" si="6"/>
        <v>0</v>
      </c>
      <c r="AL29" s="2"/>
      <c r="AM29" s="1090">
        <f t="shared" si="7"/>
        <v>0</v>
      </c>
      <c r="AN29" s="1105">
        <f t="shared" si="20"/>
        <v>0</v>
      </c>
      <c r="AO29" s="1054">
        <f t="shared" si="21"/>
        <v>0</v>
      </c>
      <c r="AP29" s="1054">
        <f t="shared" si="22"/>
        <v>0</v>
      </c>
      <c r="AQ29" s="1092">
        <f t="shared" si="23"/>
        <v>0</v>
      </c>
      <c r="AR29" s="2"/>
      <c r="AS29" s="1090">
        <f t="shared" si="24"/>
        <v>0</v>
      </c>
      <c r="AT29" s="1091">
        <f t="shared" si="25"/>
        <v>0</v>
      </c>
      <c r="AU29" s="1054">
        <f t="shared" si="26"/>
        <v>0</v>
      </c>
      <c r="AV29" s="1054">
        <f t="shared" si="27"/>
        <v>0</v>
      </c>
      <c r="AW29" s="1092">
        <f t="shared" si="28"/>
        <v>0</v>
      </c>
      <c r="AX29" s="2"/>
      <c r="AY29" s="1090">
        <f t="shared" si="29"/>
        <v>0</v>
      </c>
      <c r="AZ29" s="1385"/>
      <c r="BA29" s="2"/>
    </row>
    <row r="30" spans="1:53" ht="20.25" customHeight="1" x14ac:dyDescent="0.2">
      <c r="A30" s="2"/>
      <c r="B30" s="18">
        <v>23</v>
      </c>
      <c r="C30" s="234">
        <f t="shared" si="30"/>
        <v>23</v>
      </c>
      <c r="D30" s="235">
        <f t="shared" si="8"/>
        <v>4</v>
      </c>
      <c r="E30" s="2159" t="str">
        <f t="shared" si="0"/>
        <v xml:space="preserve">attiva trim.  </v>
      </c>
      <c r="F30" s="2160"/>
      <c r="G30" s="237"/>
      <c r="H30" s="237"/>
      <c r="I30" s="828"/>
      <c r="J30" s="829"/>
      <c r="K30" s="237"/>
      <c r="L30" s="828"/>
      <c r="M30" s="829"/>
      <c r="N30" s="237"/>
      <c r="O30" s="828"/>
      <c r="P30" s="829"/>
      <c r="Q30" s="6"/>
      <c r="R30" s="1053">
        <f t="shared" si="9"/>
        <v>0</v>
      </c>
      <c r="S30" s="1054">
        <f t="shared" si="1"/>
        <v>0</v>
      </c>
      <c r="T30" s="1054">
        <f t="shared" si="10"/>
        <v>0</v>
      </c>
      <c r="U30" s="1055">
        <f t="shared" si="11"/>
        <v>0</v>
      </c>
      <c r="V30" s="231">
        <f t="shared" si="31"/>
        <v>45405</v>
      </c>
      <c r="W30" s="1053">
        <f t="shared" si="2"/>
        <v>0</v>
      </c>
      <c r="X30" s="1054">
        <f t="shared" si="3"/>
        <v>0</v>
      </c>
      <c r="Y30" s="1054">
        <f t="shared" si="4"/>
        <v>0</v>
      </c>
      <c r="Z30" s="1055">
        <f t="shared" si="5"/>
        <v>0</v>
      </c>
      <c r="AA30" s="822">
        <f>VLOOKUP(V30,CASSA!$B$114:$C$479,2,FALSE)</f>
        <v>0</v>
      </c>
      <c r="AB30" s="1053">
        <f t="shared" si="12"/>
        <v>0</v>
      </c>
      <c r="AC30" s="1054">
        <f t="shared" si="13"/>
        <v>0</v>
      </c>
      <c r="AD30" s="1054">
        <f t="shared" si="14"/>
        <v>0</v>
      </c>
      <c r="AE30" s="1055">
        <f t="shared" si="15"/>
        <v>0</v>
      </c>
      <c r="AF30" s="2"/>
      <c r="AG30" s="1090">
        <f t="shared" si="16"/>
        <v>0</v>
      </c>
      <c r="AH30" s="1091">
        <f t="shared" si="17"/>
        <v>0</v>
      </c>
      <c r="AI30" s="1054">
        <f t="shared" si="18"/>
        <v>0</v>
      </c>
      <c r="AJ30" s="1054">
        <f t="shared" si="19"/>
        <v>0</v>
      </c>
      <c r="AK30" s="1092">
        <f t="shared" si="6"/>
        <v>0</v>
      </c>
      <c r="AL30" s="2"/>
      <c r="AM30" s="1090">
        <f t="shared" si="7"/>
        <v>0</v>
      </c>
      <c r="AN30" s="1105">
        <f t="shared" si="20"/>
        <v>0</v>
      </c>
      <c r="AO30" s="1054">
        <f t="shared" si="21"/>
        <v>0</v>
      </c>
      <c r="AP30" s="1054">
        <f t="shared" si="22"/>
        <v>0</v>
      </c>
      <c r="AQ30" s="1092">
        <f t="shared" si="23"/>
        <v>0</v>
      </c>
      <c r="AR30" s="2"/>
      <c r="AS30" s="1090">
        <f t="shared" si="24"/>
        <v>0</v>
      </c>
      <c r="AT30" s="1091">
        <f t="shared" si="25"/>
        <v>0</v>
      </c>
      <c r="AU30" s="1054">
        <f t="shared" si="26"/>
        <v>0</v>
      </c>
      <c r="AV30" s="1054">
        <f t="shared" si="27"/>
        <v>0</v>
      </c>
      <c r="AW30" s="1092">
        <f t="shared" si="28"/>
        <v>0</v>
      </c>
      <c r="AX30" s="2"/>
      <c r="AY30" s="1090">
        <f t="shared" si="29"/>
        <v>0</v>
      </c>
      <c r="AZ30" s="1385"/>
      <c r="BA30" s="2"/>
    </row>
    <row r="31" spans="1:53" ht="20.25" customHeight="1" x14ac:dyDescent="0.2">
      <c r="A31" s="2"/>
      <c r="B31" s="18">
        <v>24</v>
      </c>
      <c r="C31" s="234">
        <f t="shared" si="30"/>
        <v>24</v>
      </c>
      <c r="D31" s="235">
        <f t="shared" si="8"/>
        <v>4</v>
      </c>
      <c r="E31" s="2159" t="str">
        <f t="shared" si="0"/>
        <v xml:space="preserve">attiva trim.  </v>
      </c>
      <c r="F31" s="2160"/>
      <c r="G31" s="237"/>
      <c r="H31" s="237"/>
      <c r="I31" s="828"/>
      <c r="J31" s="829"/>
      <c r="K31" s="237"/>
      <c r="L31" s="828"/>
      <c r="M31" s="829"/>
      <c r="N31" s="237"/>
      <c r="O31" s="828"/>
      <c r="P31" s="829"/>
      <c r="Q31" s="6"/>
      <c r="R31" s="1053">
        <f t="shared" si="9"/>
        <v>0</v>
      </c>
      <c r="S31" s="1054">
        <f t="shared" si="1"/>
        <v>0</v>
      </c>
      <c r="T31" s="1054">
        <f t="shared" si="10"/>
        <v>0</v>
      </c>
      <c r="U31" s="1055">
        <f t="shared" si="11"/>
        <v>0</v>
      </c>
      <c r="V31" s="231">
        <f t="shared" si="31"/>
        <v>45406</v>
      </c>
      <c r="W31" s="1053">
        <f t="shared" si="2"/>
        <v>0</v>
      </c>
      <c r="X31" s="1054">
        <f t="shared" si="3"/>
        <v>0</v>
      </c>
      <c r="Y31" s="1054">
        <f t="shared" si="4"/>
        <v>0</v>
      </c>
      <c r="Z31" s="1055">
        <f t="shared" si="5"/>
        <v>0</v>
      </c>
      <c r="AA31" s="822">
        <f>VLOOKUP(V31,CASSA!$B$114:$C$479,2,FALSE)</f>
        <v>0</v>
      </c>
      <c r="AB31" s="1053">
        <f t="shared" si="12"/>
        <v>0</v>
      </c>
      <c r="AC31" s="1054">
        <f t="shared" si="13"/>
        <v>0</v>
      </c>
      <c r="AD31" s="1054">
        <f t="shared" si="14"/>
        <v>0</v>
      </c>
      <c r="AE31" s="1055">
        <f t="shared" si="15"/>
        <v>0</v>
      </c>
      <c r="AF31" s="2"/>
      <c r="AG31" s="1090">
        <f t="shared" si="16"/>
        <v>0</v>
      </c>
      <c r="AH31" s="1091">
        <f t="shared" si="17"/>
        <v>0</v>
      </c>
      <c r="AI31" s="1054">
        <f t="shared" si="18"/>
        <v>0</v>
      </c>
      <c r="AJ31" s="1054">
        <f t="shared" si="19"/>
        <v>0</v>
      </c>
      <c r="AK31" s="1092">
        <f t="shared" si="6"/>
        <v>0</v>
      </c>
      <c r="AL31" s="2"/>
      <c r="AM31" s="1090">
        <f t="shared" si="7"/>
        <v>0</v>
      </c>
      <c r="AN31" s="1105">
        <f t="shared" si="20"/>
        <v>0</v>
      </c>
      <c r="AO31" s="1054">
        <f t="shared" si="21"/>
        <v>0</v>
      </c>
      <c r="AP31" s="1054">
        <f t="shared" si="22"/>
        <v>0</v>
      </c>
      <c r="AQ31" s="1092">
        <f t="shared" si="23"/>
        <v>0</v>
      </c>
      <c r="AR31" s="2"/>
      <c r="AS31" s="1090">
        <f t="shared" si="24"/>
        <v>0</v>
      </c>
      <c r="AT31" s="1091">
        <f t="shared" si="25"/>
        <v>0</v>
      </c>
      <c r="AU31" s="1054">
        <f t="shared" si="26"/>
        <v>0</v>
      </c>
      <c r="AV31" s="1054">
        <f t="shared" si="27"/>
        <v>0</v>
      </c>
      <c r="AW31" s="1092">
        <f t="shared" si="28"/>
        <v>0</v>
      </c>
      <c r="AX31" s="2"/>
      <c r="AY31" s="1090">
        <f t="shared" si="29"/>
        <v>0</v>
      </c>
      <c r="AZ31" s="1385"/>
      <c r="BA31" s="2"/>
    </row>
    <row r="32" spans="1:53" ht="20.25" customHeight="1" x14ac:dyDescent="0.2">
      <c r="A32" s="2"/>
      <c r="B32" s="18">
        <v>25</v>
      </c>
      <c r="C32" s="234">
        <f t="shared" si="30"/>
        <v>25</v>
      </c>
      <c r="D32" s="235">
        <f t="shared" si="8"/>
        <v>4</v>
      </c>
      <c r="E32" s="2159" t="str">
        <f t="shared" si="0"/>
        <v xml:space="preserve">attiva trim.  </v>
      </c>
      <c r="F32" s="2160"/>
      <c r="G32" s="237"/>
      <c r="H32" s="237"/>
      <c r="I32" s="828"/>
      <c r="J32" s="829"/>
      <c r="K32" s="237"/>
      <c r="L32" s="828"/>
      <c r="M32" s="829"/>
      <c r="N32" s="237"/>
      <c r="O32" s="828"/>
      <c r="P32" s="829"/>
      <c r="Q32" s="6"/>
      <c r="R32" s="1053">
        <f t="shared" si="9"/>
        <v>0</v>
      </c>
      <c r="S32" s="1054">
        <f t="shared" si="1"/>
        <v>0</v>
      </c>
      <c r="T32" s="1054">
        <f t="shared" si="10"/>
        <v>0</v>
      </c>
      <c r="U32" s="1055">
        <f t="shared" si="11"/>
        <v>0</v>
      </c>
      <c r="V32" s="231">
        <f t="shared" si="31"/>
        <v>45407</v>
      </c>
      <c r="W32" s="1053">
        <f t="shared" si="2"/>
        <v>0</v>
      </c>
      <c r="X32" s="1054">
        <f t="shared" si="3"/>
        <v>0</v>
      </c>
      <c r="Y32" s="1054">
        <f t="shared" si="4"/>
        <v>0</v>
      </c>
      <c r="Z32" s="1055">
        <f t="shared" si="5"/>
        <v>0</v>
      </c>
      <c r="AA32" s="822">
        <f>VLOOKUP(V32,CASSA!$B$114:$C$479,2,FALSE)</f>
        <v>0</v>
      </c>
      <c r="AB32" s="1053">
        <f t="shared" si="12"/>
        <v>0</v>
      </c>
      <c r="AC32" s="1054">
        <f t="shared" si="13"/>
        <v>0</v>
      </c>
      <c r="AD32" s="1054">
        <f t="shared" si="14"/>
        <v>0</v>
      </c>
      <c r="AE32" s="1055">
        <f t="shared" si="15"/>
        <v>0</v>
      </c>
      <c r="AF32" s="2"/>
      <c r="AG32" s="1090">
        <f t="shared" si="16"/>
        <v>0</v>
      </c>
      <c r="AH32" s="1091">
        <f t="shared" si="17"/>
        <v>0</v>
      </c>
      <c r="AI32" s="1054">
        <f t="shared" si="18"/>
        <v>0</v>
      </c>
      <c r="AJ32" s="1054">
        <f t="shared" si="19"/>
        <v>0</v>
      </c>
      <c r="AK32" s="1092">
        <f t="shared" si="6"/>
        <v>0</v>
      </c>
      <c r="AL32" s="2"/>
      <c r="AM32" s="1090">
        <f t="shared" si="7"/>
        <v>0</v>
      </c>
      <c r="AN32" s="1105">
        <f t="shared" si="20"/>
        <v>0</v>
      </c>
      <c r="AO32" s="1054">
        <f t="shared" si="21"/>
        <v>0</v>
      </c>
      <c r="AP32" s="1054">
        <f t="shared" si="22"/>
        <v>0</v>
      </c>
      <c r="AQ32" s="1092">
        <f t="shared" si="23"/>
        <v>0</v>
      </c>
      <c r="AR32" s="2"/>
      <c r="AS32" s="1090">
        <f t="shared" si="24"/>
        <v>0</v>
      </c>
      <c r="AT32" s="1091">
        <f t="shared" si="25"/>
        <v>0</v>
      </c>
      <c r="AU32" s="1054">
        <f t="shared" si="26"/>
        <v>0</v>
      </c>
      <c r="AV32" s="1054">
        <f t="shared" si="27"/>
        <v>0</v>
      </c>
      <c r="AW32" s="1092">
        <f t="shared" si="28"/>
        <v>0</v>
      </c>
      <c r="AX32" s="2"/>
      <c r="AY32" s="1090">
        <f t="shared" si="29"/>
        <v>0</v>
      </c>
      <c r="AZ32" s="1385"/>
      <c r="BA32" s="2"/>
    </row>
    <row r="33" spans="1:54" ht="20.25" customHeight="1" x14ac:dyDescent="0.2">
      <c r="A33" s="2"/>
      <c r="B33" s="18">
        <v>26</v>
      </c>
      <c r="C33" s="234">
        <f t="shared" si="30"/>
        <v>26</v>
      </c>
      <c r="D33" s="235">
        <f t="shared" si="8"/>
        <v>4</v>
      </c>
      <c r="E33" s="2159" t="str">
        <f t="shared" si="0"/>
        <v xml:space="preserve">attiva trim.  </v>
      </c>
      <c r="F33" s="2160"/>
      <c r="G33" s="237"/>
      <c r="H33" s="237"/>
      <c r="I33" s="828"/>
      <c r="J33" s="829"/>
      <c r="K33" s="237"/>
      <c r="L33" s="828"/>
      <c r="M33" s="829"/>
      <c r="N33" s="237"/>
      <c r="O33" s="828"/>
      <c r="P33" s="829"/>
      <c r="Q33" s="6"/>
      <c r="R33" s="1053">
        <f t="shared" si="9"/>
        <v>0</v>
      </c>
      <c r="S33" s="1054">
        <f t="shared" si="1"/>
        <v>0</v>
      </c>
      <c r="T33" s="1054">
        <f t="shared" si="10"/>
        <v>0</v>
      </c>
      <c r="U33" s="1055">
        <f t="shared" si="11"/>
        <v>0</v>
      </c>
      <c r="V33" s="231">
        <f t="shared" si="31"/>
        <v>45408</v>
      </c>
      <c r="W33" s="1053">
        <f t="shared" si="2"/>
        <v>0</v>
      </c>
      <c r="X33" s="1054">
        <f t="shared" si="3"/>
        <v>0</v>
      </c>
      <c r="Y33" s="1054">
        <f t="shared" si="4"/>
        <v>0</v>
      </c>
      <c r="Z33" s="1055">
        <f t="shared" si="5"/>
        <v>0</v>
      </c>
      <c r="AA33" s="822">
        <f>VLOOKUP(V33,CASSA!$B$114:$C$479,2,FALSE)</f>
        <v>0</v>
      </c>
      <c r="AB33" s="1053">
        <f t="shared" si="12"/>
        <v>0</v>
      </c>
      <c r="AC33" s="1054">
        <f t="shared" si="13"/>
        <v>0</v>
      </c>
      <c r="AD33" s="1054">
        <f t="shared" si="14"/>
        <v>0</v>
      </c>
      <c r="AE33" s="1055">
        <f t="shared" si="15"/>
        <v>0</v>
      </c>
      <c r="AF33" s="2"/>
      <c r="AG33" s="1090">
        <f t="shared" si="16"/>
        <v>0</v>
      </c>
      <c r="AH33" s="1091">
        <f t="shared" si="17"/>
        <v>0</v>
      </c>
      <c r="AI33" s="1054">
        <f t="shared" si="18"/>
        <v>0</v>
      </c>
      <c r="AJ33" s="1054">
        <f t="shared" si="19"/>
        <v>0</v>
      </c>
      <c r="AK33" s="1092">
        <f t="shared" si="6"/>
        <v>0</v>
      </c>
      <c r="AL33" s="2"/>
      <c r="AM33" s="1090">
        <f t="shared" si="7"/>
        <v>0</v>
      </c>
      <c r="AN33" s="1105">
        <f t="shared" si="20"/>
        <v>0</v>
      </c>
      <c r="AO33" s="1054">
        <f t="shared" si="21"/>
        <v>0</v>
      </c>
      <c r="AP33" s="1054">
        <f t="shared" si="22"/>
        <v>0</v>
      </c>
      <c r="AQ33" s="1092">
        <f t="shared" si="23"/>
        <v>0</v>
      </c>
      <c r="AR33" s="2"/>
      <c r="AS33" s="1090">
        <f t="shared" si="24"/>
        <v>0</v>
      </c>
      <c r="AT33" s="1091">
        <f t="shared" si="25"/>
        <v>0</v>
      </c>
      <c r="AU33" s="1054">
        <f t="shared" si="26"/>
        <v>0</v>
      </c>
      <c r="AV33" s="1054">
        <f t="shared" si="27"/>
        <v>0</v>
      </c>
      <c r="AW33" s="1092">
        <f t="shared" si="28"/>
        <v>0</v>
      </c>
      <c r="AX33" s="2"/>
      <c r="AY33" s="1090">
        <f t="shared" si="29"/>
        <v>0</v>
      </c>
      <c r="AZ33" s="1385"/>
      <c r="BA33" s="2"/>
    </row>
    <row r="34" spans="1:54" ht="20.25" customHeight="1" x14ac:dyDescent="0.2">
      <c r="A34" s="2"/>
      <c r="B34" s="18">
        <v>27</v>
      </c>
      <c r="C34" s="234">
        <f t="shared" si="30"/>
        <v>27</v>
      </c>
      <c r="D34" s="235">
        <f t="shared" si="8"/>
        <v>4</v>
      </c>
      <c r="E34" s="2159" t="str">
        <f t="shared" si="0"/>
        <v xml:space="preserve">attiva trim.  </v>
      </c>
      <c r="F34" s="2160"/>
      <c r="G34" s="237"/>
      <c r="H34" s="237"/>
      <c r="I34" s="828"/>
      <c r="J34" s="829"/>
      <c r="K34" s="237"/>
      <c r="L34" s="828"/>
      <c r="M34" s="829"/>
      <c r="N34" s="237"/>
      <c r="O34" s="828"/>
      <c r="P34" s="829"/>
      <c r="Q34" s="6"/>
      <c r="R34" s="1053">
        <f t="shared" si="9"/>
        <v>0</v>
      </c>
      <c r="S34" s="1054">
        <f t="shared" si="1"/>
        <v>0</v>
      </c>
      <c r="T34" s="1054">
        <f t="shared" si="10"/>
        <v>0</v>
      </c>
      <c r="U34" s="1055">
        <f t="shared" si="11"/>
        <v>0</v>
      </c>
      <c r="V34" s="231">
        <f t="shared" si="31"/>
        <v>45409</v>
      </c>
      <c r="W34" s="1053">
        <f t="shared" si="2"/>
        <v>0</v>
      </c>
      <c r="X34" s="1054">
        <f t="shared" si="3"/>
        <v>0</v>
      </c>
      <c r="Y34" s="1054">
        <f t="shared" si="4"/>
        <v>0</v>
      </c>
      <c r="Z34" s="1055">
        <f t="shared" si="5"/>
        <v>0</v>
      </c>
      <c r="AA34" s="822">
        <f>VLOOKUP(V34,CASSA!$B$114:$C$479,2,FALSE)</f>
        <v>0</v>
      </c>
      <c r="AB34" s="1053">
        <f t="shared" si="12"/>
        <v>0</v>
      </c>
      <c r="AC34" s="1054">
        <f t="shared" si="13"/>
        <v>0</v>
      </c>
      <c r="AD34" s="1054">
        <f t="shared" si="14"/>
        <v>0</v>
      </c>
      <c r="AE34" s="1055">
        <f t="shared" si="15"/>
        <v>0</v>
      </c>
      <c r="AF34" s="2"/>
      <c r="AG34" s="1090">
        <f t="shared" si="16"/>
        <v>0</v>
      </c>
      <c r="AH34" s="1091">
        <f t="shared" si="17"/>
        <v>0</v>
      </c>
      <c r="AI34" s="1054">
        <f t="shared" si="18"/>
        <v>0</v>
      </c>
      <c r="AJ34" s="1054">
        <f t="shared" si="19"/>
        <v>0</v>
      </c>
      <c r="AK34" s="1092">
        <f t="shared" si="6"/>
        <v>0</v>
      </c>
      <c r="AL34" s="2"/>
      <c r="AM34" s="1090">
        <f t="shared" si="7"/>
        <v>0</v>
      </c>
      <c r="AN34" s="1105">
        <f t="shared" si="20"/>
        <v>0</v>
      </c>
      <c r="AO34" s="1054">
        <f t="shared" si="21"/>
        <v>0</v>
      </c>
      <c r="AP34" s="1054">
        <f t="shared" si="22"/>
        <v>0</v>
      </c>
      <c r="AQ34" s="1092">
        <f t="shared" si="23"/>
        <v>0</v>
      </c>
      <c r="AR34" s="2"/>
      <c r="AS34" s="1090">
        <f t="shared" si="24"/>
        <v>0</v>
      </c>
      <c r="AT34" s="1091">
        <f t="shared" si="25"/>
        <v>0</v>
      </c>
      <c r="AU34" s="1054">
        <f t="shared" si="26"/>
        <v>0</v>
      </c>
      <c r="AV34" s="1054">
        <f t="shared" si="27"/>
        <v>0</v>
      </c>
      <c r="AW34" s="1092">
        <f t="shared" si="28"/>
        <v>0</v>
      </c>
      <c r="AX34" s="2"/>
      <c r="AY34" s="1090">
        <f t="shared" si="29"/>
        <v>0</v>
      </c>
      <c r="AZ34" s="1385"/>
      <c r="BA34" s="2"/>
    </row>
    <row r="35" spans="1:54" ht="20.25" customHeight="1" x14ac:dyDescent="0.2">
      <c r="A35" s="2"/>
      <c r="B35" s="18">
        <v>28</v>
      </c>
      <c r="C35" s="234">
        <f t="shared" si="30"/>
        <v>28</v>
      </c>
      <c r="D35" s="235">
        <f t="shared" si="8"/>
        <v>4</v>
      </c>
      <c r="E35" s="2159" t="str">
        <f t="shared" si="0"/>
        <v xml:space="preserve">attiva trim.  </v>
      </c>
      <c r="F35" s="2160"/>
      <c r="G35" s="237"/>
      <c r="H35" s="237"/>
      <c r="I35" s="828"/>
      <c r="J35" s="829"/>
      <c r="K35" s="237"/>
      <c r="L35" s="828"/>
      <c r="M35" s="829"/>
      <c r="N35" s="237"/>
      <c r="O35" s="828"/>
      <c r="P35" s="829"/>
      <c r="Q35" s="6"/>
      <c r="R35" s="1053">
        <f t="shared" si="9"/>
        <v>0</v>
      </c>
      <c r="S35" s="1054">
        <f t="shared" si="1"/>
        <v>0</v>
      </c>
      <c r="T35" s="1054">
        <f t="shared" si="10"/>
        <v>0</v>
      </c>
      <c r="U35" s="1055">
        <f t="shared" si="11"/>
        <v>0</v>
      </c>
      <c r="V35" s="231">
        <f t="shared" si="31"/>
        <v>45410</v>
      </c>
      <c r="W35" s="1053">
        <f t="shared" si="2"/>
        <v>0</v>
      </c>
      <c r="X35" s="1054">
        <f t="shared" si="3"/>
        <v>0</v>
      </c>
      <c r="Y35" s="1054">
        <f t="shared" si="4"/>
        <v>0</v>
      </c>
      <c r="Z35" s="1055">
        <f t="shared" si="5"/>
        <v>0</v>
      </c>
      <c r="AA35" s="822">
        <f>VLOOKUP(V35,CASSA!$B$114:$C$479,2,FALSE)</f>
        <v>0</v>
      </c>
      <c r="AB35" s="1053">
        <f t="shared" si="12"/>
        <v>0</v>
      </c>
      <c r="AC35" s="1054">
        <f t="shared" si="13"/>
        <v>0</v>
      </c>
      <c r="AD35" s="1054">
        <f t="shared" si="14"/>
        <v>0</v>
      </c>
      <c r="AE35" s="1055">
        <f t="shared" si="15"/>
        <v>0</v>
      </c>
      <c r="AF35" s="2"/>
      <c r="AG35" s="1090">
        <f t="shared" si="16"/>
        <v>0</v>
      </c>
      <c r="AH35" s="1091">
        <f t="shared" si="17"/>
        <v>0</v>
      </c>
      <c r="AI35" s="1054">
        <f t="shared" si="18"/>
        <v>0</v>
      </c>
      <c r="AJ35" s="1054">
        <f t="shared" si="19"/>
        <v>0</v>
      </c>
      <c r="AK35" s="1092">
        <f t="shared" si="6"/>
        <v>0</v>
      </c>
      <c r="AL35" s="2"/>
      <c r="AM35" s="1090">
        <f t="shared" si="7"/>
        <v>0</v>
      </c>
      <c r="AN35" s="1105">
        <f t="shared" si="20"/>
        <v>0</v>
      </c>
      <c r="AO35" s="1054">
        <f t="shared" si="21"/>
        <v>0</v>
      </c>
      <c r="AP35" s="1054">
        <f t="shared" si="22"/>
        <v>0</v>
      </c>
      <c r="AQ35" s="1092">
        <f t="shared" si="23"/>
        <v>0</v>
      </c>
      <c r="AR35" s="2"/>
      <c r="AS35" s="1090">
        <f t="shared" si="24"/>
        <v>0</v>
      </c>
      <c r="AT35" s="1091">
        <f t="shared" si="25"/>
        <v>0</v>
      </c>
      <c r="AU35" s="1054">
        <f t="shared" si="26"/>
        <v>0</v>
      </c>
      <c r="AV35" s="1054">
        <f t="shared" si="27"/>
        <v>0</v>
      </c>
      <c r="AW35" s="1092">
        <f t="shared" si="28"/>
        <v>0</v>
      </c>
      <c r="AX35" s="2"/>
      <c r="AY35" s="1090">
        <f t="shared" si="29"/>
        <v>0</v>
      </c>
      <c r="AZ35" s="1385"/>
      <c r="BA35" s="2"/>
    </row>
    <row r="36" spans="1:54" ht="20.25" customHeight="1" x14ac:dyDescent="0.2">
      <c r="A36" s="2"/>
      <c r="B36" s="18">
        <v>29</v>
      </c>
      <c r="C36" s="234">
        <f t="shared" si="30"/>
        <v>29</v>
      </c>
      <c r="D36" s="235">
        <f t="shared" si="8"/>
        <v>4</v>
      </c>
      <c r="E36" s="2159" t="str">
        <f t="shared" si="0"/>
        <v xml:space="preserve">attiva trim.  </v>
      </c>
      <c r="F36" s="2160"/>
      <c r="G36" s="237"/>
      <c r="H36" s="237"/>
      <c r="I36" s="828"/>
      <c r="J36" s="829"/>
      <c r="K36" s="237"/>
      <c r="L36" s="828"/>
      <c r="M36" s="829"/>
      <c r="N36" s="237"/>
      <c r="O36" s="828"/>
      <c r="P36" s="829"/>
      <c r="Q36" s="6"/>
      <c r="R36" s="1053">
        <f t="shared" si="9"/>
        <v>0</v>
      </c>
      <c r="S36" s="1054">
        <f t="shared" si="1"/>
        <v>0</v>
      </c>
      <c r="T36" s="1054">
        <f t="shared" si="10"/>
        <v>0</v>
      </c>
      <c r="U36" s="1055">
        <f t="shared" si="11"/>
        <v>0</v>
      </c>
      <c r="V36" s="231">
        <f t="shared" si="31"/>
        <v>45411</v>
      </c>
      <c r="W36" s="1053">
        <f t="shared" si="2"/>
        <v>0</v>
      </c>
      <c r="X36" s="1054">
        <f t="shared" si="3"/>
        <v>0</v>
      </c>
      <c r="Y36" s="1054">
        <f t="shared" si="4"/>
        <v>0</v>
      </c>
      <c r="Z36" s="1055">
        <f t="shared" si="5"/>
        <v>0</v>
      </c>
      <c r="AA36" s="822">
        <f>VLOOKUP(V36,CASSA!$B$114:$C$479,2,FALSE)</f>
        <v>0</v>
      </c>
      <c r="AB36" s="1053">
        <f t="shared" si="12"/>
        <v>0</v>
      </c>
      <c r="AC36" s="1054">
        <f t="shared" si="13"/>
        <v>0</v>
      </c>
      <c r="AD36" s="1054">
        <f t="shared" si="14"/>
        <v>0</v>
      </c>
      <c r="AE36" s="1055">
        <f t="shared" si="15"/>
        <v>0</v>
      </c>
      <c r="AF36" s="2"/>
      <c r="AG36" s="1090">
        <f t="shared" si="16"/>
        <v>0</v>
      </c>
      <c r="AH36" s="1091">
        <f t="shared" si="17"/>
        <v>0</v>
      </c>
      <c r="AI36" s="1054">
        <f t="shared" si="18"/>
        <v>0</v>
      </c>
      <c r="AJ36" s="1054">
        <f t="shared" si="19"/>
        <v>0</v>
      </c>
      <c r="AK36" s="1092">
        <f t="shared" si="6"/>
        <v>0</v>
      </c>
      <c r="AL36" s="2"/>
      <c r="AM36" s="1090">
        <f t="shared" si="7"/>
        <v>0</v>
      </c>
      <c r="AN36" s="1105">
        <f t="shared" si="20"/>
        <v>0</v>
      </c>
      <c r="AO36" s="1054">
        <f t="shared" si="21"/>
        <v>0</v>
      </c>
      <c r="AP36" s="1054">
        <f t="shared" si="22"/>
        <v>0</v>
      </c>
      <c r="AQ36" s="1092">
        <f t="shared" si="23"/>
        <v>0</v>
      </c>
      <c r="AR36" s="2"/>
      <c r="AS36" s="1090">
        <f t="shared" si="24"/>
        <v>0</v>
      </c>
      <c r="AT36" s="1091">
        <f t="shared" si="25"/>
        <v>0</v>
      </c>
      <c r="AU36" s="1054">
        <f t="shared" si="26"/>
        <v>0</v>
      </c>
      <c r="AV36" s="1054">
        <f t="shared" si="27"/>
        <v>0</v>
      </c>
      <c r="AW36" s="1092">
        <f t="shared" si="28"/>
        <v>0</v>
      </c>
      <c r="AX36" s="2"/>
      <c r="AY36" s="1090">
        <f t="shared" si="29"/>
        <v>0</v>
      </c>
      <c r="AZ36" s="1385"/>
      <c r="BA36" s="2"/>
    </row>
    <row r="37" spans="1:54" ht="20.25" customHeight="1" x14ac:dyDescent="0.2">
      <c r="A37" s="2"/>
      <c r="B37" s="18">
        <v>30</v>
      </c>
      <c r="C37" s="234">
        <f t="shared" si="30"/>
        <v>30</v>
      </c>
      <c r="D37" s="235">
        <f t="shared" si="8"/>
        <v>4</v>
      </c>
      <c r="E37" s="2240" t="str">
        <f t="shared" si="0"/>
        <v xml:space="preserve">attiva trim.  </v>
      </c>
      <c r="F37" s="2241"/>
      <c r="G37" s="823"/>
      <c r="H37" s="823"/>
      <c r="I37" s="842"/>
      <c r="J37" s="843"/>
      <c r="K37" s="823"/>
      <c r="L37" s="842"/>
      <c r="M37" s="843"/>
      <c r="N37" s="823"/>
      <c r="O37" s="842"/>
      <c r="P37" s="843"/>
      <c r="Q37" s="6"/>
      <c r="R37" s="1056">
        <f t="shared" si="9"/>
        <v>0</v>
      </c>
      <c r="S37" s="1057">
        <f t="shared" si="1"/>
        <v>0</v>
      </c>
      <c r="T37" s="1057">
        <f t="shared" si="10"/>
        <v>0</v>
      </c>
      <c r="U37" s="1058">
        <f t="shared" si="11"/>
        <v>0</v>
      </c>
      <c r="V37" s="231">
        <f t="shared" si="31"/>
        <v>45412</v>
      </c>
      <c r="W37" s="1056">
        <f t="shared" si="2"/>
        <v>0</v>
      </c>
      <c r="X37" s="1057">
        <f t="shared" si="3"/>
        <v>0</v>
      </c>
      <c r="Y37" s="1057">
        <f t="shared" si="4"/>
        <v>0</v>
      </c>
      <c r="Z37" s="1058">
        <f t="shared" si="5"/>
        <v>0</v>
      </c>
      <c r="AA37" s="822">
        <f>VLOOKUP(V37,CASSA!$B$114:$C$479,2,FALSE)</f>
        <v>0</v>
      </c>
      <c r="AB37" s="1056">
        <f t="shared" si="12"/>
        <v>0</v>
      </c>
      <c r="AC37" s="1057">
        <f t="shared" si="13"/>
        <v>0</v>
      </c>
      <c r="AD37" s="1057">
        <f t="shared" si="14"/>
        <v>0</v>
      </c>
      <c r="AE37" s="1058">
        <f t="shared" si="15"/>
        <v>0</v>
      </c>
      <c r="AF37" s="2"/>
      <c r="AG37" s="1093">
        <f t="shared" si="16"/>
        <v>0</v>
      </c>
      <c r="AH37" s="1094">
        <f t="shared" si="17"/>
        <v>0</v>
      </c>
      <c r="AI37" s="1057">
        <f t="shared" si="18"/>
        <v>0</v>
      </c>
      <c r="AJ37" s="1057">
        <f t="shared" si="19"/>
        <v>0</v>
      </c>
      <c r="AK37" s="1095">
        <f t="shared" si="6"/>
        <v>0</v>
      </c>
      <c r="AL37" s="2"/>
      <c r="AM37" s="1093">
        <f t="shared" si="7"/>
        <v>0</v>
      </c>
      <c r="AN37" s="1106">
        <f t="shared" si="20"/>
        <v>0</v>
      </c>
      <c r="AO37" s="1057">
        <f t="shared" si="21"/>
        <v>0</v>
      </c>
      <c r="AP37" s="1057">
        <f t="shared" si="22"/>
        <v>0</v>
      </c>
      <c r="AQ37" s="1095">
        <f t="shared" si="23"/>
        <v>0</v>
      </c>
      <c r="AR37" s="2"/>
      <c r="AS37" s="1093">
        <f t="shared" si="24"/>
        <v>0</v>
      </c>
      <c r="AT37" s="1094">
        <f t="shared" si="25"/>
        <v>0</v>
      </c>
      <c r="AU37" s="1057">
        <f t="shared" si="26"/>
        <v>0</v>
      </c>
      <c r="AV37" s="1057">
        <f t="shared" si="27"/>
        <v>0</v>
      </c>
      <c r="AW37" s="1095">
        <f t="shared" si="28"/>
        <v>0</v>
      </c>
      <c r="AX37" s="2"/>
      <c r="AY37" s="1093">
        <f t="shared" si="29"/>
        <v>0</v>
      </c>
      <c r="AZ37" s="1385"/>
      <c r="BA37" s="2"/>
    </row>
    <row r="38" spans="1:54" ht="20.25" customHeight="1" x14ac:dyDescent="0.2">
      <c r="A38" s="2"/>
      <c r="B38" s="18">
        <v>31</v>
      </c>
      <c r="C38" s="234" t="str">
        <f t="shared" si="30"/>
        <v>--</v>
      </c>
      <c r="D38" s="235" t="str">
        <f t="shared" si="8"/>
        <v>--</v>
      </c>
      <c r="E38" s="2238"/>
      <c r="F38" s="2239"/>
      <c r="G38" s="300"/>
      <c r="H38" s="300"/>
      <c r="I38" s="840"/>
      <c r="J38" s="841"/>
      <c r="K38" s="300"/>
      <c r="L38" s="840"/>
      <c r="M38" s="841"/>
      <c r="N38" s="300"/>
      <c r="O38" s="840"/>
      <c r="P38" s="841"/>
      <c r="Q38" s="6"/>
      <c r="R38" s="1059"/>
      <c r="S38" s="1059"/>
      <c r="T38" s="1059"/>
      <c r="U38" s="1059"/>
      <c r="V38" s="1060"/>
      <c r="W38" s="1059"/>
      <c r="X38" s="1059"/>
      <c r="Y38" s="1059"/>
      <c r="Z38" s="1059"/>
      <c r="AA38" s="822"/>
      <c r="AB38" s="1059"/>
      <c r="AC38" s="1059"/>
      <c r="AD38" s="1059"/>
      <c r="AE38" s="1059"/>
      <c r="AF38" s="2"/>
      <c r="AG38" s="2"/>
      <c r="AH38" s="2"/>
      <c r="AI38" s="2"/>
      <c r="AJ38" s="2"/>
      <c r="AK38" s="2"/>
      <c r="AL38" s="2"/>
      <c r="AM38" s="2"/>
      <c r="AN38" s="2"/>
      <c r="AO38" s="2"/>
      <c r="AP38" s="2"/>
      <c r="AQ38" s="2"/>
      <c r="AR38" s="2"/>
      <c r="AS38" s="2"/>
      <c r="AT38" s="2"/>
      <c r="AU38" s="2"/>
      <c r="AV38" s="2"/>
      <c r="AW38" s="2"/>
      <c r="AX38" s="2"/>
      <c r="AY38" s="2"/>
      <c r="AZ38" s="1386"/>
      <c r="BA38" s="2"/>
    </row>
    <row r="39" spans="1:54" ht="20.25" customHeight="1" x14ac:dyDescent="0.2">
      <c r="A39" s="2"/>
      <c r="B39" s="7"/>
      <c r="C39" s="2077" t="s">
        <v>177</v>
      </c>
      <c r="D39" s="2078"/>
      <c r="E39" s="2074">
        <f>IMPOSTAZIONI!M265</f>
        <v>0</v>
      </c>
      <c r="F39" s="2075"/>
      <c r="G39" s="1440">
        <f>IF(ISERROR(G$155),0,SUM(G7:G38)-SUMIF($E8:$E38,$V4,G8:G38))</f>
        <v>0</v>
      </c>
      <c r="H39" s="1440">
        <f>IF(ISERROR(H$155),0,SUM(H7:H38)-SUMIF($E8:$E38,$V4,H8:H38))</f>
        <v>0</v>
      </c>
      <c r="I39" s="838"/>
      <c r="J39" s="839"/>
      <c r="K39" s="1440">
        <f>IF(ISERROR(I$155),0,SUM(K7:K38)-SUMIF($E8:$E38,$V4,K8:K38))</f>
        <v>0</v>
      </c>
      <c r="L39" s="838"/>
      <c r="M39" s="839"/>
      <c r="N39" s="1440">
        <f>IF(ISERROR(J$155),0,SUM(N7:N38)-SUMIF($E8:$E38,$V4,N8:N38))</f>
        <v>0</v>
      </c>
      <c r="O39" s="838"/>
      <c r="P39" s="839"/>
      <c r="Q39" s="6"/>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1383"/>
      <c r="BA39" s="2"/>
    </row>
    <row r="40" spans="1:54" ht="3" customHeight="1" x14ac:dyDescent="0.2">
      <c r="A40" s="2"/>
      <c r="B40" s="2"/>
      <c r="C40" s="8"/>
      <c r="D40" s="9"/>
      <c r="E40" s="825"/>
      <c r="F40" s="826"/>
      <c r="G40" s="827"/>
      <c r="H40" s="827"/>
      <c r="I40" s="825"/>
      <c r="J40" s="826"/>
      <c r="K40" s="827"/>
      <c r="L40" s="825"/>
      <c r="M40" s="826"/>
      <c r="N40" s="827"/>
      <c r="O40" s="825"/>
      <c r="P40" s="826"/>
      <c r="Q40" s="6"/>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row>
    <row r="41" spans="1:54" ht="6" customHeight="1" x14ac:dyDescent="0.2">
      <c r="A41" s="2"/>
      <c r="B41" s="2"/>
      <c r="C41" s="10"/>
      <c r="D41" s="10"/>
      <c r="E41" s="11"/>
      <c r="F41" s="11"/>
      <c r="G41" s="11"/>
      <c r="H41" s="11"/>
      <c r="I41" s="11"/>
      <c r="J41" s="11"/>
      <c r="K41" s="11"/>
      <c r="L41" s="11"/>
      <c r="M41" s="11"/>
      <c r="N41" s="11"/>
      <c r="O41" s="11"/>
      <c r="P41" s="11"/>
      <c r="Q41" s="1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row>
    <row r="42" spans="1:54" ht="18.75" customHeight="1" x14ac:dyDescent="0.2">
      <c r="A42" s="2"/>
      <c r="B42" s="2"/>
      <c r="C42" s="946" t="s">
        <v>657</v>
      </c>
      <c r="D42" s="14"/>
      <c r="E42" s="12"/>
      <c r="F42" s="12"/>
      <c r="G42" s="957">
        <f>IMPOSTAZIONI!I33</f>
        <v>0</v>
      </c>
      <c r="H42" s="957">
        <f>IMPOSTAZIONI!M33</f>
        <v>0</v>
      </c>
      <c r="I42" s="12"/>
      <c r="J42" s="12"/>
      <c r="K42" s="957">
        <f>IMPOSTAZIONI!U33</f>
        <v>0</v>
      </c>
      <c r="L42" s="12"/>
      <c r="M42" s="12"/>
      <c r="N42" s="957">
        <f>IMPOSTAZIONI!AC33</f>
        <v>0</v>
      </c>
      <c r="O42" s="12"/>
      <c r="P42" s="12"/>
      <c r="Q42" s="12"/>
      <c r="R42" s="2"/>
      <c r="S42" s="591"/>
      <c r="T42" s="591"/>
      <c r="U42" s="591"/>
      <c r="V42" s="591"/>
      <c r="W42" s="591"/>
      <c r="X42" s="591"/>
      <c r="Y42" s="591"/>
      <c r="Z42" s="591"/>
      <c r="AA42" s="591"/>
      <c r="AB42" s="591"/>
      <c r="AC42" s="591"/>
      <c r="AD42" s="591"/>
      <c r="AE42" s="591"/>
      <c r="AF42" s="591"/>
      <c r="AG42" s="591"/>
      <c r="AH42" s="591"/>
      <c r="AI42" s="591"/>
      <c r="AJ42" s="591"/>
      <c r="AK42" s="591"/>
      <c r="AL42" s="591"/>
      <c r="AM42" s="591"/>
      <c r="AN42" s="591"/>
      <c r="AO42" s="591"/>
      <c r="AP42" s="591"/>
      <c r="AQ42" s="591"/>
      <c r="AR42" s="591"/>
      <c r="AS42" s="591"/>
      <c r="AT42" s="591"/>
      <c r="AU42" s="591"/>
      <c r="AV42" s="591"/>
      <c r="AW42" s="591"/>
      <c r="AX42" s="591"/>
      <c r="AY42" s="591"/>
      <c r="AZ42" s="2"/>
      <c r="BA42" s="2"/>
      <c r="BB42" s="591"/>
    </row>
    <row r="43" spans="1:54" ht="18" customHeight="1" x14ac:dyDescent="0.2">
      <c r="A43" s="2"/>
      <c r="B43" s="2"/>
      <c r="C43" s="2161" t="s">
        <v>175</v>
      </c>
      <c r="D43" s="2161"/>
      <c r="E43" s="2076">
        <f>C6</f>
        <v>2024</v>
      </c>
      <c r="F43" s="2076"/>
      <c r="G43" s="888" t="str">
        <f>G6</f>
        <v/>
      </c>
      <c r="H43" s="889" t="str">
        <f>H6</f>
        <v/>
      </c>
      <c r="I43" s="2"/>
      <c r="J43" s="2"/>
      <c r="K43" s="887" t="str">
        <f>K6</f>
        <v/>
      </c>
      <c r="L43" s="2"/>
      <c r="M43" s="2"/>
      <c r="N43" s="887" t="str">
        <f>N6</f>
        <v/>
      </c>
      <c r="O43" s="2"/>
      <c r="P43" s="2"/>
      <c r="Q43" s="12"/>
      <c r="R43" s="2"/>
      <c r="S43" s="591"/>
      <c r="T43" s="591"/>
      <c r="U43" s="591"/>
      <c r="V43" s="591"/>
      <c r="W43" s="591"/>
      <c r="X43" s="591"/>
      <c r="Y43" s="591"/>
      <c r="Z43" s="591"/>
      <c r="AA43" s="591"/>
      <c r="AB43" s="591"/>
      <c r="AC43" s="591"/>
      <c r="AD43" s="591"/>
      <c r="AE43" s="591"/>
      <c r="AF43" s="591"/>
      <c r="AG43" s="591"/>
      <c r="AH43" s="591"/>
      <c r="AI43" s="591"/>
      <c r="AJ43" s="591"/>
      <c r="AK43" s="591"/>
      <c r="AL43" s="591"/>
      <c r="AM43" s="591"/>
      <c r="AN43" s="591"/>
      <c r="AO43" s="591"/>
      <c r="AP43" s="591"/>
      <c r="AQ43" s="591"/>
      <c r="AR43" s="591"/>
      <c r="AS43" s="591"/>
      <c r="AT43" s="591"/>
      <c r="AU43" s="591"/>
      <c r="AV43" s="591"/>
      <c r="AW43" s="591"/>
      <c r="AX43" s="591"/>
      <c r="AY43" s="591"/>
      <c r="AZ43" s="2"/>
      <c r="BA43" s="2"/>
      <c r="BB43" s="591"/>
    </row>
    <row r="44" spans="1:54" ht="22.5" customHeight="1" x14ac:dyDescent="0.2">
      <c r="A44" s="2"/>
      <c r="B44" s="2"/>
      <c r="C44" s="2091" t="s">
        <v>298</v>
      </c>
      <c r="D44" s="2091"/>
      <c r="E44" s="2091"/>
      <c r="F44" s="2091"/>
      <c r="G44" s="57" t="str">
        <f t="shared" ref="G44:K45" si="32">G4</f>
        <v/>
      </c>
      <c r="H44" s="57" t="str">
        <f t="shared" si="32"/>
        <v/>
      </c>
      <c r="I44" s="2034">
        <f>IF(I4=K130,"",I4)</f>
        <v>0</v>
      </c>
      <c r="J44" s="2034"/>
      <c r="K44" s="57" t="str">
        <f t="shared" si="32"/>
        <v/>
      </c>
      <c r="L44" s="2034">
        <f>IF(L4=K130,"",L4)</f>
        <v>0</v>
      </c>
      <c r="M44" s="2034"/>
      <c r="N44" s="57" t="str">
        <f>N4</f>
        <v/>
      </c>
      <c r="O44" s="2034">
        <f>IF(O4=K130,"",O4)</f>
        <v>0</v>
      </c>
      <c r="P44" s="2034"/>
      <c r="Q44" s="12"/>
      <c r="R44" s="2"/>
      <c r="S44" s="591"/>
      <c r="T44" s="591"/>
      <c r="U44" s="591"/>
      <c r="V44" s="591"/>
      <c r="W44" s="591"/>
      <c r="X44" s="591"/>
      <c r="Y44" s="591"/>
      <c r="Z44" s="591"/>
      <c r="AA44" s="591"/>
      <c r="AB44" s="591"/>
      <c r="AC44" s="591"/>
      <c r="AD44" s="591"/>
      <c r="AE44" s="591"/>
      <c r="AF44" s="591"/>
      <c r="AG44" s="591"/>
      <c r="AH44" s="591"/>
      <c r="AI44" s="591"/>
      <c r="AJ44" s="591"/>
      <c r="AK44" s="591"/>
      <c r="AL44" s="591"/>
      <c r="AM44" s="591"/>
      <c r="AN44" s="591"/>
      <c r="AO44" s="591"/>
      <c r="AP44" s="591"/>
      <c r="AQ44" s="591"/>
      <c r="AR44" s="591"/>
      <c r="AS44" s="591"/>
      <c r="AT44" s="591"/>
      <c r="AU44" s="591"/>
      <c r="AV44" s="591"/>
      <c r="AW44" s="591"/>
      <c r="AX44" s="591"/>
      <c r="AY44" s="591"/>
      <c r="AZ44" s="2"/>
      <c r="BA44" s="2"/>
      <c r="BB44" s="591"/>
    </row>
    <row r="45" spans="1:54" ht="22.5" customHeight="1" x14ac:dyDescent="0.2">
      <c r="A45" s="2"/>
      <c r="B45" s="2"/>
      <c r="C45" s="2081" t="s">
        <v>308</v>
      </c>
      <c r="D45" s="2081"/>
      <c r="E45" s="2082"/>
      <c r="F45" s="2082"/>
      <c r="G45" s="58" t="str">
        <f t="shared" si="32"/>
        <v/>
      </c>
      <c r="H45" s="58" t="str">
        <f t="shared" si="32"/>
        <v/>
      </c>
      <c r="I45" s="488" t="str">
        <f>I6</f>
        <v>DAL</v>
      </c>
      <c r="J45" s="489" t="str">
        <f>J6</f>
        <v>AL</v>
      </c>
      <c r="K45" s="58" t="str">
        <f t="shared" si="32"/>
        <v/>
      </c>
      <c r="L45" s="488" t="str">
        <f>L6</f>
        <v>DAL</v>
      </c>
      <c r="M45" s="489" t="str">
        <f>M6</f>
        <v>AL</v>
      </c>
      <c r="N45" s="58" t="str">
        <f>N5</f>
        <v/>
      </c>
      <c r="O45" s="488" t="str">
        <f>O6</f>
        <v>DAL</v>
      </c>
      <c r="P45" s="489" t="str">
        <f>P6</f>
        <v>AL</v>
      </c>
      <c r="Q45" s="12"/>
      <c r="R45" s="2"/>
      <c r="S45" s="591"/>
      <c r="T45" s="591"/>
      <c r="U45" s="591"/>
      <c r="V45" s="591"/>
      <c r="W45" s="591"/>
      <c r="X45" s="591"/>
      <c r="Y45" s="591"/>
      <c r="Z45" s="591"/>
      <c r="AA45" s="591"/>
      <c r="AB45" s="591"/>
      <c r="AC45" s="591"/>
      <c r="AD45" s="591"/>
      <c r="AE45" s="591"/>
      <c r="AF45" s="591"/>
      <c r="AG45" s="591"/>
      <c r="AH45" s="591"/>
      <c r="AI45" s="591"/>
      <c r="AJ45" s="591"/>
      <c r="AK45" s="591"/>
      <c r="AL45" s="591"/>
      <c r="AM45" s="591"/>
      <c r="AN45" s="591"/>
      <c r="AO45" s="591"/>
      <c r="AP45" s="591"/>
      <c r="AQ45" s="591"/>
      <c r="AR45" s="591"/>
      <c r="AS45" s="591"/>
      <c r="AT45" s="591"/>
      <c r="AU45" s="591"/>
      <c r="AV45" s="591"/>
      <c r="AW45" s="591"/>
      <c r="AX45" s="591"/>
      <c r="AY45" s="591"/>
      <c r="AZ45" s="2"/>
      <c r="BA45" s="2"/>
      <c r="BB45" s="591"/>
    </row>
    <row r="46" spans="1:54" ht="21.95" customHeight="1" x14ac:dyDescent="0.2">
      <c r="A46" s="2"/>
      <c r="B46" s="7"/>
      <c r="C46" s="2079" t="s">
        <v>193</v>
      </c>
      <c r="D46" s="2080"/>
      <c r="E46" s="2157">
        <f>IF(E150=1,SUM(E8:E38),SUM(G46:H46)+K46+N46-SUMIF(G42:N42,K134,G46:N46))</f>
        <v>0</v>
      </c>
      <c r="F46" s="2158"/>
      <c r="G46" s="881">
        <f>IF(ISERROR(G$155),0,SUM(G8:G38)-SUMIF($E8:$E38,$V4,G8:G38)+IF(ISERROR(VLOOKUP(G1,IMPOSTAZIONI!$B$401:$AM$407,$E$149,FALSE)),0,VLOOKUP(G1,IMPOSTAZIONI!$B$401:$AM$407,$E$149,FALSE)))</f>
        <v>0</v>
      </c>
      <c r="H46" s="882">
        <f>IF(ISERROR(H$155),0,SUM(H8:H38)-SUMIF($E8:$E38,$V4,H8:H38)+IF(ISERROR(VLOOKUP(H1,IMPOSTAZIONI!$B$401:$AM$407,$E$149,FALSE)),0,VLOOKUP(H1,IMPOSTAZIONI!$B$401:$AM$407,$E$149,FALSE)))</f>
        <v>0</v>
      </c>
      <c r="I46" s="884"/>
      <c r="J46" s="883"/>
      <c r="K46" s="297">
        <f>IF(ISERROR(I$155),0,SUM(K8:K38)-SUMIF($E8:$E38,$V4,K8:K38)+IF(ISERROR(VLOOKUP(K1,IMPOSTAZIONI!$B$401:$AM$407,$E$149,FALSE)),0,VLOOKUP(K1,IMPOSTAZIONI!$B$401:$AM$407,$E$149,FALSE)))</f>
        <v>0</v>
      </c>
      <c r="L46" s="884"/>
      <c r="M46" s="883"/>
      <c r="N46" s="297">
        <f>IF(ISERROR(J$155),0,SUM(N8:N38)-SUMIF($E8:$E38,$V4,N8:N38)+IF(ISERROR(VLOOKUP(N1,IMPOSTAZIONI!$B$401:$AM$407,$E$149,FALSE)),0,VLOOKUP(N1,IMPOSTAZIONI!$B$401:$AM$407,$E$149,FALSE)))</f>
        <v>0</v>
      </c>
      <c r="O46" s="885"/>
      <c r="P46" s="886"/>
      <c r="Q46" s="12"/>
      <c r="R46" s="2"/>
      <c r="S46" s="591"/>
      <c r="T46" s="591"/>
      <c r="U46" s="591"/>
      <c r="V46" s="591"/>
      <c r="W46" s="591"/>
      <c r="X46" s="591"/>
      <c r="Y46" s="591"/>
      <c r="Z46" s="591"/>
      <c r="AA46" s="591"/>
      <c r="AB46" s="591"/>
      <c r="AC46" s="591"/>
      <c r="AD46" s="591"/>
      <c r="AE46" s="591"/>
      <c r="AF46" s="591"/>
      <c r="AG46" s="591"/>
      <c r="AH46" s="591"/>
      <c r="AI46" s="591"/>
      <c r="AJ46" s="591"/>
      <c r="AK46" s="591"/>
      <c r="AL46" s="591"/>
      <c r="AM46" s="591"/>
      <c r="AN46" s="591"/>
      <c r="AO46" s="591"/>
      <c r="AP46" s="591"/>
      <c r="AQ46" s="591"/>
      <c r="AR46" s="591"/>
      <c r="AS46" s="591"/>
      <c r="AT46" s="591"/>
      <c r="AU46" s="591"/>
      <c r="AV46" s="591"/>
      <c r="AW46" s="591"/>
      <c r="AX46" s="591"/>
      <c r="AY46" s="591"/>
      <c r="AZ46" s="2"/>
      <c r="BA46" s="2"/>
      <c r="BB46" s="591"/>
    </row>
    <row r="47" spans="1:54" ht="16.5" customHeight="1" x14ac:dyDescent="0.2">
      <c r="A47" s="2"/>
      <c r="B47" s="7"/>
      <c r="C47" s="2179" t="s">
        <v>194</v>
      </c>
      <c r="D47" s="2180"/>
      <c r="E47" s="2177">
        <f>E46-E48</f>
        <v>0</v>
      </c>
      <c r="F47" s="2178"/>
      <c r="G47" s="238">
        <f>G46-G48</f>
        <v>0</v>
      </c>
      <c r="H47" s="652">
        <f>H46-H48</f>
        <v>0</v>
      </c>
      <c r="I47" s="2"/>
      <c r="J47" s="2"/>
      <c r="K47" s="654">
        <f>K46-K48</f>
        <v>0</v>
      </c>
      <c r="L47" s="2"/>
      <c r="M47" s="2"/>
      <c r="N47" s="654">
        <f>N46-N48</f>
        <v>0</v>
      </c>
      <c r="O47" s="2"/>
      <c r="P47" s="2"/>
      <c r="Q47" s="12"/>
      <c r="R47" s="2"/>
      <c r="S47" s="591"/>
      <c r="T47" s="591"/>
      <c r="U47" s="591"/>
      <c r="V47" s="591"/>
      <c r="W47" s="591"/>
      <c r="X47" s="591"/>
      <c r="Y47" s="591"/>
      <c r="Z47" s="591"/>
      <c r="AA47" s="591"/>
      <c r="AB47" s="591"/>
      <c r="AC47" s="591"/>
      <c r="AD47" s="591"/>
      <c r="AE47" s="591"/>
      <c r="AF47" s="591"/>
      <c r="AG47" s="591"/>
      <c r="AH47" s="591"/>
      <c r="AI47" s="591"/>
      <c r="AJ47" s="591"/>
      <c r="AK47" s="591"/>
      <c r="AL47" s="591"/>
      <c r="AM47" s="591"/>
      <c r="AN47" s="591"/>
      <c r="AO47" s="591"/>
      <c r="AP47" s="591"/>
      <c r="AQ47" s="591"/>
      <c r="AR47" s="591"/>
      <c r="AS47" s="591"/>
      <c r="AT47" s="591"/>
      <c r="AU47" s="591"/>
      <c r="AV47" s="591"/>
      <c r="AW47" s="591"/>
      <c r="AX47" s="591"/>
      <c r="AY47" s="591"/>
      <c r="AZ47" s="2"/>
      <c r="BA47" s="2"/>
      <c r="BB47" s="591"/>
    </row>
    <row r="48" spans="1:54" ht="16.5" customHeight="1" x14ac:dyDescent="0.2">
      <c r="A48" s="2"/>
      <c r="B48" s="7"/>
      <c r="C48" s="2070" t="s">
        <v>195</v>
      </c>
      <c r="D48" s="2071"/>
      <c r="E48" s="2181">
        <f>IF(I163=0,0,SUM(G48:H48)+K48+N48-SUMIF(G42:N42,K134,G48:N48))</f>
        <v>0</v>
      </c>
      <c r="F48" s="2182"/>
      <c r="G48" s="239">
        <f>IF(AND(C61=1,G63&lt;&gt;0),G87,IF(G152=0,SUM(R8:R38)-SUMIF($E8:$E38,$V4,R8:R38)+VLOOKUP(G1,IMPOSTAZIONI!$B$419:$AK$425,$E$149,FALSE),G98))</f>
        <v>0</v>
      </c>
      <c r="H48" s="653">
        <f>IF(AND(C61=1,H63&lt;&gt;0),H87,IF(H152=0,SUM(S8:S38)-SUMIF($E8:$E38,$V4,S8:S38)+VLOOKUP(H1,IMPOSTAZIONI!$B$419:$AK$425,$E$149,FALSE),H98))</f>
        <v>0</v>
      </c>
      <c r="I48" s="59"/>
      <c r="J48" s="139"/>
      <c r="K48" s="655">
        <f>IF(AND(C61=1,K63&lt;&gt;0),I87,IF(I152=0,SUM(T8:T38)-SUMIF($E8:$E38,$V4,T8:T38)+VLOOKUP(K1,IMPOSTAZIONI!$B$419:$AK$425,$E$149,FALSE),K98))</f>
        <v>0</v>
      </c>
      <c r="L48" s="59"/>
      <c r="M48" s="139"/>
      <c r="N48" s="655">
        <f>IF(AND(C61=1,N63&lt;&gt;0),K87,IF(J152=0,SUM(U8:U38)-SUMIF($E8:$E38,$V4,U8:U38)+VLOOKUP(N1,IMPOSTAZIONI!$B$419:$AK$425,$E$149,FALSE),N98))</f>
        <v>0</v>
      </c>
      <c r="O48" s="2"/>
      <c r="P48" s="2"/>
      <c r="Q48" s="13"/>
      <c r="R48" s="2"/>
      <c r="S48" s="591"/>
      <c r="T48" s="591"/>
      <c r="U48" s="591"/>
      <c r="V48" s="591"/>
      <c r="W48" s="591"/>
      <c r="X48" s="591"/>
      <c r="Y48" s="591"/>
      <c r="Z48" s="591"/>
      <c r="AA48" s="591"/>
      <c r="AB48" s="591"/>
      <c r="AC48" s="591"/>
      <c r="AD48" s="591"/>
      <c r="AE48" s="591"/>
      <c r="AF48" s="591"/>
      <c r="AG48" s="591"/>
      <c r="AH48" s="591"/>
      <c r="AI48" s="591"/>
      <c r="AJ48" s="591"/>
      <c r="AK48" s="591"/>
      <c r="AL48" s="591"/>
      <c r="AM48" s="591"/>
      <c r="AN48" s="591"/>
      <c r="AO48" s="591"/>
      <c r="AP48" s="591"/>
      <c r="AQ48" s="591"/>
      <c r="AR48" s="591"/>
      <c r="AS48" s="591"/>
      <c r="AT48" s="591"/>
      <c r="AU48" s="591"/>
      <c r="AV48" s="591"/>
      <c r="AW48" s="591"/>
      <c r="AX48" s="591"/>
      <c r="AY48" s="591"/>
      <c r="AZ48" s="2"/>
      <c r="BA48" s="2"/>
      <c r="BB48" s="591"/>
    </row>
    <row r="49" spans="1:54" ht="37.5" customHeight="1" x14ac:dyDescent="0.2">
      <c r="A49" s="2"/>
      <c r="B49" s="2"/>
      <c r="C49" s="14"/>
      <c r="D49" s="14"/>
      <c r="E49" s="12"/>
      <c r="F49" s="12"/>
      <c r="G49" s="11"/>
      <c r="H49" s="11"/>
      <c r="I49" s="12"/>
      <c r="J49" s="12"/>
      <c r="K49" s="11"/>
      <c r="L49" s="12"/>
      <c r="M49" s="12"/>
      <c r="N49" s="11"/>
      <c r="O49" s="12"/>
      <c r="P49" s="12"/>
      <c r="Q49" s="12"/>
      <c r="R49" s="12"/>
      <c r="S49" s="1308"/>
      <c r="T49" s="1308"/>
      <c r="U49" s="591"/>
      <c r="V49" s="591"/>
      <c r="W49" s="591"/>
      <c r="X49" s="591"/>
      <c r="Y49" s="591"/>
      <c r="Z49" s="591"/>
      <c r="AA49" s="591"/>
      <c r="AB49" s="591"/>
      <c r="AC49" s="591"/>
      <c r="AD49" s="591"/>
      <c r="AE49" s="591"/>
      <c r="AF49" s="591"/>
      <c r="AG49" s="591"/>
      <c r="AH49" s="591"/>
      <c r="AI49" s="591"/>
      <c r="AJ49" s="591"/>
      <c r="AK49" s="591"/>
      <c r="AL49" s="591"/>
      <c r="AM49" s="591"/>
      <c r="AN49" s="591"/>
      <c r="AO49" s="591"/>
      <c r="AP49" s="591"/>
      <c r="AQ49" s="591"/>
      <c r="AR49" s="591"/>
      <c r="AS49" s="591"/>
      <c r="AT49" s="591"/>
      <c r="AU49" s="591"/>
      <c r="AV49" s="591"/>
      <c r="AW49" s="591"/>
      <c r="AX49" s="591"/>
      <c r="AY49" s="591"/>
      <c r="AZ49" s="2"/>
      <c r="BA49" s="2"/>
      <c r="BB49" s="591"/>
    </row>
    <row r="50" spans="1:54" ht="18.75" customHeight="1" x14ac:dyDescent="0.2">
      <c r="A50" s="2"/>
      <c r="B50" s="2"/>
      <c r="C50" s="2174" t="s">
        <v>196</v>
      </c>
      <c r="D50" s="2174"/>
      <c r="E50" s="2174"/>
      <c r="F50" s="96"/>
      <c r="G50" s="2225" t="s">
        <v>488</v>
      </c>
      <c r="H50" s="2226"/>
      <c r="I50" s="2226"/>
      <c r="J50" s="2226"/>
      <c r="K50" s="2226"/>
      <c r="L50" s="2226"/>
      <c r="M50" s="2227"/>
      <c r="N50" s="656"/>
      <c r="O50" s="656"/>
      <c r="P50" s="14"/>
      <c r="Q50" s="2"/>
      <c r="R50" s="15"/>
      <c r="S50" s="1309"/>
      <c r="T50" s="591"/>
      <c r="U50" s="591"/>
      <c r="V50" s="591"/>
      <c r="W50" s="591"/>
      <c r="X50" s="591"/>
      <c r="Y50" s="591"/>
      <c r="Z50" s="1308"/>
      <c r="AA50" s="1309"/>
      <c r="AB50" s="591"/>
      <c r="AC50" s="591"/>
      <c r="AD50" s="591"/>
      <c r="AE50" s="591"/>
      <c r="AF50" s="591"/>
      <c r="AG50" s="591"/>
      <c r="AH50" s="591"/>
      <c r="AI50" s="591"/>
      <c r="AJ50" s="591"/>
      <c r="AK50" s="591"/>
      <c r="AL50" s="591"/>
      <c r="AM50" s="591"/>
      <c r="AN50" s="591"/>
      <c r="AO50" s="591"/>
      <c r="AP50" s="591"/>
      <c r="AQ50" s="591"/>
      <c r="AR50" s="591"/>
      <c r="AS50" s="591"/>
      <c r="AT50" s="591"/>
      <c r="AU50" s="591"/>
      <c r="AV50" s="591"/>
      <c r="AW50" s="591"/>
      <c r="AX50" s="591"/>
      <c r="AY50" s="591"/>
      <c r="AZ50" s="2"/>
      <c r="BA50" s="2"/>
      <c r="BB50" s="591"/>
    </row>
    <row r="51" spans="1:54" ht="16.5" customHeight="1" x14ac:dyDescent="0.25">
      <c r="A51" s="2"/>
      <c r="B51" s="2"/>
      <c r="C51" s="2126" t="s">
        <v>197</v>
      </c>
      <c r="D51" s="2127"/>
      <c r="E51" s="2128"/>
      <c r="F51" s="554"/>
      <c r="G51" s="293" t="str">
        <f>VLOOKUP(M3,K144:M148,3,FALSE)</f>
        <v>IVA a debito</v>
      </c>
      <c r="H51" s="294" t="str">
        <f>VLOOKUP(M3,K144:O148,5,FALSE)</f>
        <v>IVA a credito</v>
      </c>
      <c r="I51" s="2214" t="s">
        <v>200</v>
      </c>
      <c r="J51" s="2215"/>
      <c r="K51" s="1303" t="s">
        <v>201</v>
      </c>
      <c r="L51" s="2214" t="s">
        <v>71</v>
      </c>
      <c r="M51" s="2215"/>
      <c r="N51" s="14"/>
      <c r="O51" s="14"/>
      <c r="P51" s="14"/>
      <c r="Q51" s="12"/>
      <c r="R51" s="2"/>
      <c r="S51" s="591"/>
      <c r="T51" s="591"/>
      <c r="U51" s="591"/>
      <c r="V51" s="591"/>
      <c r="W51" s="591"/>
      <c r="X51" s="591"/>
      <c r="Y51" s="591"/>
      <c r="Z51" s="591"/>
      <c r="AA51" s="591"/>
      <c r="AB51" s="591"/>
      <c r="AC51" s="591"/>
      <c r="AD51" s="591"/>
      <c r="AE51" s="591"/>
      <c r="AF51" s="591"/>
      <c r="AG51" s="591"/>
      <c r="AH51" s="591"/>
      <c r="AI51" s="591"/>
      <c r="AJ51" s="591"/>
      <c r="AK51" s="591"/>
      <c r="AL51" s="591"/>
      <c r="AM51" s="591"/>
      <c r="AN51" s="591"/>
      <c r="AO51" s="591"/>
      <c r="AP51" s="591"/>
      <c r="AQ51" s="591"/>
      <c r="AR51" s="591"/>
      <c r="AS51" s="591"/>
      <c r="AT51" s="591"/>
      <c r="AU51" s="591"/>
      <c r="AV51" s="591"/>
      <c r="AW51" s="591"/>
      <c r="AX51" s="591"/>
      <c r="AY51" s="591"/>
      <c r="AZ51" s="2"/>
      <c r="BA51" s="2"/>
      <c r="BB51" s="591"/>
    </row>
    <row r="52" spans="1:54" ht="16.5" customHeight="1" x14ac:dyDescent="0.2">
      <c r="A52" s="2"/>
      <c r="B52" s="2"/>
      <c r="C52" s="2129"/>
      <c r="D52" s="2130"/>
      <c r="E52" s="2131"/>
      <c r="F52" s="576"/>
      <c r="G52" s="295" t="str">
        <f>VLOOKUP(M3,K144:N148,4,FALSE)</f>
        <v>corrispettivi</v>
      </c>
      <c r="H52" s="296" t="str">
        <f>VLOOKUP(M3,K144:P148,6,FALSE)</f>
        <v>ACQUISTI</v>
      </c>
      <c r="I52" s="2212" t="s">
        <v>201</v>
      </c>
      <c r="J52" s="2213"/>
      <c r="K52" s="1304" t="s">
        <v>204</v>
      </c>
      <c r="L52" s="2212" t="s">
        <v>205</v>
      </c>
      <c r="M52" s="2213"/>
      <c r="N52" s="14"/>
      <c r="O52" s="14"/>
      <c r="P52" s="14"/>
      <c r="Q52" s="12"/>
      <c r="R52" s="2"/>
      <c r="S52" s="591"/>
      <c r="T52" s="591"/>
      <c r="U52" s="591"/>
      <c r="V52" s="591"/>
      <c r="W52" s="591"/>
      <c r="X52" s="591"/>
      <c r="Y52" s="591"/>
      <c r="Z52" s="591"/>
      <c r="AA52" s="591"/>
      <c r="AB52" s="591"/>
      <c r="AC52" s="591"/>
      <c r="AD52" s="591"/>
      <c r="AE52" s="591"/>
      <c r="AF52" s="591"/>
      <c r="AG52" s="591"/>
      <c r="AH52" s="591"/>
      <c r="AI52" s="591"/>
      <c r="AJ52" s="591"/>
      <c r="AK52" s="591"/>
      <c r="AL52" s="591"/>
      <c r="AM52" s="591"/>
      <c r="AN52" s="591"/>
      <c r="AO52" s="591"/>
      <c r="AP52" s="591"/>
      <c r="AQ52" s="591"/>
      <c r="AR52" s="591"/>
      <c r="AS52" s="591"/>
      <c r="AT52" s="591"/>
      <c r="AU52" s="591"/>
      <c r="AV52" s="591"/>
      <c r="AW52" s="591"/>
      <c r="AX52" s="591"/>
      <c r="AY52" s="591"/>
      <c r="AZ52" s="2"/>
      <c r="BA52" s="2"/>
      <c r="BB52" s="591"/>
    </row>
    <row r="53" spans="1:54" ht="16.5" customHeight="1" x14ac:dyDescent="0.2">
      <c r="A53" s="2"/>
      <c r="B53" s="2"/>
      <c r="C53" s="2132" t="s">
        <v>816</v>
      </c>
      <c r="D53" s="2133"/>
      <c r="E53" s="2134"/>
      <c r="F53" s="554"/>
      <c r="G53" s="2045">
        <f>E48</f>
        <v>0</v>
      </c>
      <c r="H53" s="2047"/>
      <c r="I53" s="2066">
        <f>G53+H53</f>
        <v>0</v>
      </c>
      <c r="J53" s="2067"/>
      <c r="K53" s="2183"/>
      <c r="L53" s="2066">
        <f>I53+K53</f>
        <v>0</v>
      </c>
      <c r="M53" s="2067"/>
      <c r="N53" s="14"/>
      <c r="O53" s="14"/>
      <c r="P53" s="14"/>
      <c r="Q53" s="12"/>
      <c r="R53" s="2"/>
      <c r="S53" s="591"/>
      <c r="T53" s="591"/>
      <c r="U53" s="591"/>
      <c r="V53" s="591"/>
      <c r="W53" s="591"/>
      <c r="X53" s="591"/>
      <c r="Y53" s="591"/>
      <c r="Z53" s="591"/>
      <c r="AA53" s="591"/>
      <c r="AB53" s="591"/>
      <c r="AC53" s="591"/>
      <c r="AD53" s="591"/>
      <c r="AE53" s="591"/>
      <c r="AF53" s="591"/>
      <c r="AG53" s="591"/>
      <c r="AH53" s="591"/>
      <c r="AI53" s="591"/>
      <c r="AJ53" s="591"/>
      <c r="AK53" s="591"/>
      <c r="AL53" s="591"/>
      <c r="AM53" s="591"/>
      <c r="AN53" s="591"/>
      <c r="AO53" s="591"/>
      <c r="AP53" s="591"/>
      <c r="AQ53" s="591"/>
      <c r="AR53" s="591"/>
      <c r="AS53" s="591"/>
      <c r="AT53" s="591"/>
      <c r="AU53" s="591"/>
      <c r="AV53" s="591"/>
      <c r="AW53" s="591"/>
      <c r="AX53" s="591"/>
      <c r="AY53" s="591"/>
      <c r="AZ53" s="2"/>
      <c r="BA53" s="2"/>
      <c r="BB53" s="591"/>
    </row>
    <row r="54" spans="1:54" ht="16.5" customHeight="1" x14ac:dyDescent="0.2">
      <c r="A54" s="2"/>
      <c r="B54" s="2"/>
      <c r="C54" s="2042"/>
      <c r="D54" s="2043"/>
      <c r="E54" s="2044"/>
      <c r="F54" s="577"/>
      <c r="G54" s="2046"/>
      <c r="H54" s="2048"/>
      <c r="I54" s="2068"/>
      <c r="J54" s="2069"/>
      <c r="K54" s="2184"/>
      <c r="L54" s="2068"/>
      <c r="M54" s="2069"/>
      <c r="N54" s="14"/>
      <c r="O54" s="14"/>
      <c r="P54" s="14"/>
      <c r="Q54" s="12"/>
      <c r="R54" s="2"/>
      <c r="S54" s="591"/>
      <c r="T54" s="591"/>
      <c r="U54" s="591"/>
      <c r="V54" s="591"/>
      <c r="W54" s="591"/>
      <c r="X54" s="591"/>
      <c r="Y54" s="591"/>
      <c r="Z54" s="591"/>
      <c r="AA54" s="591"/>
      <c r="AB54" s="591"/>
      <c r="AC54" s="591"/>
      <c r="AD54" s="591"/>
      <c r="AE54" s="591"/>
      <c r="AF54" s="591"/>
      <c r="AG54" s="591"/>
      <c r="AH54" s="591"/>
      <c r="AI54" s="591"/>
      <c r="AJ54" s="591"/>
      <c r="AK54" s="591"/>
      <c r="AL54" s="591"/>
      <c r="AM54" s="591"/>
      <c r="AN54" s="591"/>
      <c r="AO54" s="591"/>
      <c r="AP54" s="591"/>
      <c r="AQ54" s="591"/>
      <c r="AR54" s="591"/>
      <c r="AS54" s="591"/>
      <c r="AT54" s="591"/>
      <c r="AU54" s="591"/>
      <c r="AV54" s="591"/>
      <c r="AW54" s="591"/>
      <c r="AX54" s="591"/>
      <c r="AY54" s="591"/>
      <c r="AZ54" s="2"/>
      <c r="BA54" s="2"/>
      <c r="BB54" s="591"/>
    </row>
    <row r="55" spans="1:54" ht="16.5" customHeight="1" x14ac:dyDescent="0.2">
      <c r="A55" s="2"/>
      <c r="B55" s="2"/>
      <c r="C55" s="2132" t="s">
        <v>815</v>
      </c>
      <c r="D55" s="2133"/>
      <c r="E55" s="2134"/>
      <c r="F55" s="555"/>
      <c r="G55" s="16" t="s">
        <v>206</v>
      </c>
      <c r="H55" s="890" t="s">
        <v>207</v>
      </c>
      <c r="I55" s="2120" t="str">
        <f>VLOOKUP(M3,K144:Q148,7,FALSE)</f>
        <v>DEBITO +</v>
      </c>
      <c r="J55" s="2121"/>
      <c r="K55" s="891" t="s">
        <v>208</v>
      </c>
      <c r="L55" s="2120" t="str">
        <f>VLOOKUP(M3,K144:T148,9,FALSE)</f>
        <v>DEBITO +</v>
      </c>
      <c r="M55" s="2121"/>
      <c r="N55" s="14"/>
      <c r="O55" s="14"/>
      <c r="P55" s="12"/>
      <c r="Q55" s="2"/>
      <c r="R55" s="2"/>
      <c r="S55" s="591"/>
      <c r="T55" s="591"/>
      <c r="U55" s="591"/>
      <c r="V55" s="591"/>
      <c r="W55" s="591"/>
      <c r="X55" s="591"/>
      <c r="Y55" s="591"/>
      <c r="Z55" s="591"/>
      <c r="AA55" s="591"/>
      <c r="AB55" s="591"/>
      <c r="AC55" s="591"/>
      <c r="AD55" s="591"/>
      <c r="AE55" s="591"/>
      <c r="AF55" s="591"/>
      <c r="AG55" s="591"/>
      <c r="AH55" s="591"/>
      <c r="AI55" s="591"/>
      <c r="AJ55" s="591"/>
      <c r="AK55" s="591"/>
      <c r="AL55" s="591"/>
      <c r="AM55" s="591"/>
      <c r="AN55" s="591"/>
      <c r="AO55" s="591"/>
      <c r="AP55" s="591"/>
      <c r="AQ55" s="591"/>
      <c r="AR55" s="591"/>
      <c r="AS55" s="591"/>
      <c r="AT55" s="591"/>
      <c r="AU55" s="591"/>
      <c r="AV55" s="591"/>
      <c r="AW55" s="591"/>
      <c r="AX55" s="591"/>
      <c r="AY55" s="591"/>
      <c r="AZ55" s="2"/>
      <c r="BA55" s="2"/>
      <c r="BB55" s="591"/>
    </row>
    <row r="56" spans="1:54" ht="16.5" customHeight="1" x14ac:dyDescent="0.2">
      <c r="A56" s="2"/>
      <c r="B56" s="2"/>
      <c r="C56" s="2138"/>
      <c r="D56" s="2139"/>
      <c r="E56" s="1215"/>
      <c r="F56" s="514"/>
      <c r="G56" s="97"/>
      <c r="H56" s="14"/>
      <c r="I56" s="2123" t="str">
        <f>VLOOKUP(M3,K144:R148,8,FALSE)</f>
        <v>CREDITO -</v>
      </c>
      <c r="J56" s="2124"/>
      <c r="K56" s="14"/>
      <c r="L56" s="2123" t="str">
        <f>VLOOKUP(M3,K144:T148,10,FALSE)</f>
        <v>CREDITO -</v>
      </c>
      <c r="M56" s="2124"/>
      <c r="N56" s="14"/>
      <c r="O56" s="2122"/>
      <c r="P56" s="2122"/>
      <c r="Q56" s="14"/>
      <c r="R56" s="2"/>
      <c r="S56" s="591"/>
      <c r="T56" s="591"/>
      <c r="U56" s="591"/>
      <c r="V56" s="591"/>
      <c r="W56" s="591"/>
      <c r="X56" s="591"/>
      <c r="Y56" s="591"/>
      <c r="Z56" s="591"/>
      <c r="AA56" s="591"/>
      <c r="AB56" s="591"/>
      <c r="AC56" s="591"/>
      <c r="AD56" s="591"/>
      <c r="AE56" s="591"/>
      <c r="AF56" s="591"/>
      <c r="AG56" s="591"/>
      <c r="AH56" s="591"/>
      <c r="AI56" s="591"/>
      <c r="AJ56" s="591"/>
      <c r="AK56" s="591"/>
      <c r="AL56" s="591"/>
      <c r="AM56" s="591"/>
      <c r="AN56" s="591"/>
      <c r="AO56" s="591"/>
      <c r="AP56" s="591"/>
      <c r="AQ56" s="591"/>
      <c r="AR56" s="591"/>
      <c r="AS56" s="591"/>
      <c r="AT56" s="591"/>
      <c r="AU56" s="591"/>
      <c r="AV56" s="591"/>
      <c r="AW56" s="591"/>
      <c r="AX56" s="591"/>
      <c r="AY56" s="591"/>
      <c r="AZ56" s="2"/>
      <c r="BA56" s="2"/>
      <c r="BB56" s="591"/>
    </row>
    <row r="57" spans="1:54" ht="30" customHeight="1" x14ac:dyDescent="0.2">
      <c r="A57" s="2"/>
      <c r="B57" s="17"/>
      <c r="C57" s="2144" t="s">
        <v>346</v>
      </c>
      <c r="D57" s="2144"/>
      <c r="E57" s="2145"/>
      <c r="F57" s="2145"/>
      <c r="G57" s="892" t="s">
        <v>347</v>
      </c>
      <c r="H57" s="892"/>
      <c r="I57" s="892"/>
      <c r="J57" s="892"/>
      <c r="K57" s="892"/>
      <c r="L57" s="892"/>
      <c r="M57" s="892"/>
      <c r="N57" s="892"/>
      <c r="O57" s="2211" t="s">
        <v>405</v>
      </c>
      <c r="P57" s="2211"/>
      <c r="Q57" s="255"/>
      <c r="R57" s="255"/>
      <c r="S57" s="1307"/>
      <c r="T57" s="1307"/>
      <c r="U57" s="591"/>
      <c r="V57" s="591"/>
      <c r="W57" s="591"/>
      <c r="X57" s="591"/>
      <c r="Y57" s="591"/>
      <c r="Z57" s="591"/>
      <c r="AA57" s="1307"/>
      <c r="AB57" s="1307"/>
      <c r="AC57" s="591"/>
      <c r="AD57" s="591"/>
      <c r="AE57" s="591"/>
      <c r="AF57" s="591"/>
      <c r="AG57" s="591"/>
      <c r="AH57" s="591"/>
      <c r="AI57" s="591"/>
      <c r="AJ57" s="591"/>
      <c r="AK57" s="591"/>
      <c r="AL57" s="591"/>
      <c r="AM57" s="591"/>
      <c r="AN57" s="591"/>
      <c r="AO57" s="591"/>
      <c r="AP57" s="591"/>
      <c r="AQ57" s="591"/>
      <c r="AR57" s="591"/>
      <c r="AS57" s="591"/>
      <c r="AT57" s="591"/>
      <c r="AU57" s="591"/>
      <c r="AV57" s="591"/>
      <c r="AW57" s="591"/>
      <c r="AX57" s="591"/>
      <c r="AY57" s="591"/>
      <c r="AZ57" s="2"/>
      <c r="BA57" s="2"/>
      <c r="BB57" s="591"/>
    </row>
    <row r="58" spans="1:54" ht="24.75" customHeight="1" x14ac:dyDescent="0.2">
      <c r="A58" s="2"/>
      <c r="B58" s="2"/>
      <c r="C58" s="2143">
        <f>IMPOSTAZIONI!T73</f>
        <v>0</v>
      </c>
      <c r="D58" s="2143"/>
      <c r="E58" s="2143"/>
      <c r="F58" s="2143"/>
      <c r="G58" s="893" t="str">
        <f>IMPOSTAZIONI!Y75</f>
        <v>Indirizzo esteso UBICAZIONE dell' Esercizio (facoltativo)</v>
      </c>
      <c r="H58" s="893"/>
      <c r="I58" s="893"/>
      <c r="J58" s="893"/>
      <c r="K58" s="893"/>
      <c r="L58" s="893"/>
      <c r="M58" s="893"/>
      <c r="N58" s="893"/>
      <c r="O58" s="1113" t="s">
        <v>344</v>
      </c>
      <c r="P58" s="2119">
        <v>4</v>
      </c>
      <c r="Q58" s="2119"/>
      <c r="R58" s="14"/>
      <c r="S58" s="591"/>
      <c r="T58" s="591"/>
      <c r="U58" s="591"/>
      <c r="V58" s="591"/>
      <c r="W58" s="591"/>
      <c r="X58" s="591"/>
      <c r="Y58" s="591"/>
      <c r="Z58" s="591"/>
      <c r="AA58" s="591"/>
      <c r="AB58" s="591"/>
      <c r="AC58" s="591"/>
      <c r="AD58" s="591"/>
      <c r="AE58" s="591"/>
      <c r="AF58" s="591"/>
      <c r="AG58" s="591"/>
      <c r="AH58" s="591"/>
      <c r="AI58" s="591"/>
      <c r="AJ58" s="591"/>
      <c r="AK58" s="591"/>
      <c r="AL58" s="591"/>
      <c r="AM58" s="591"/>
      <c r="AN58" s="591"/>
      <c r="AO58" s="591"/>
      <c r="AP58" s="591"/>
      <c r="AQ58" s="591"/>
      <c r="AR58" s="591"/>
      <c r="AS58" s="591"/>
      <c r="AT58" s="591"/>
      <c r="AU58" s="591"/>
      <c r="AV58" s="591"/>
      <c r="AW58" s="591"/>
      <c r="AX58" s="591"/>
      <c r="AY58" s="591"/>
      <c r="AZ58" s="2"/>
      <c r="BA58" s="2"/>
      <c r="BB58" s="591"/>
    </row>
    <row r="59" spans="1:54" ht="15.75" customHeight="1" x14ac:dyDescent="0.2">
      <c r="A59" s="2"/>
      <c r="B59" s="2"/>
      <c r="C59" s="2146" t="s">
        <v>248</v>
      </c>
      <c r="D59" s="2146"/>
      <c r="E59" s="2146"/>
      <c r="F59" s="2"/>
      <c r="G59" s="2"/>
      <c r="H59" s="2"/>
      <c r="I59" s="2"/>
      <c r="J59" s="2"/>
      <c r="K59" s="2"/>
      <c r="L59" s="2"/>
      <c r="M59" s="2"/>
      <c r="N59" s="2"/>
      <c r="O59" s="2"/>
      <c r="P59" s="2"/>
      <c r="Q59" s="2"/>
      <c r="R59" s="2"/>
      <c r="S59" s="591"/>
      <c r="T59" s="591"/>
      <c r="U59" s="591"/>
      <c r="V59" s="591"/>
      <c r="W59" s="591"/>
      <c r="X59" s="591"/>
      <c r="Y59" s="591"/>
      <c r="Z59" s="591"/>
      <c r="AA59" s="591"/>
      <c r="AB59" s="591"/>
      <c r="AC59" s="591"/>
      <c r="AD59" s="591"/>
      <c r="AE59" s="591"/>
      <c r="AF59" s="591"/>
      <c r="AG59" s="591"/>
      <c r="AH59" s="591"/>
      <c r="AI59" s="591"/>
      <c r="AJ59" s="591"/>
      <c r="AK59" s="591"/>
      <c r="AL59" s="591"/>
      <c r="AM59" s="591"/>
      <c r="AN59" s="591"/>
      <c r="AO59" s="591"/>
      <c r="AP59" s="591"/>
      <c r="AQ59" s="591"/>
      <c r="AR59" s="591"/>
      <c r="AS59" s="591"/>
      <c r="AT59" s="591"/>
      <c r="AU59" s="591"/>
      <c r="AV59" s="591"/>
      <c r="AW59" s="591"/>
      <c r="AX59" s="591"/>
      <c r="AY59" s="591"/>
      <c r="AZ59" s="591"/>
      <c r="BA59" s="591"/>
      <c r="BB59" s="591"/>
    </row>
    <row r="60" spans="1:54" ht="15" hidden="1" customHeight="1" x14ac:dyDescent="0.2">
      <c r="A60" s="2"/>
      <c r="B60" s="2"/>
      <c r="C60" s="2"/>
      <c r="D60" s="2"/>
      <c r="E60" s="2"/>
      <c r="F60" s="2"/>
      <c r="G60" s="2"/>
      <c r="H60" s="2"/>
      <c r="I60" s="2"/>
      <c r="J60" s="2"/>
      <c r="K60" s="2"/>
      <c r="L60" s="2"/>
      <c r="M60" s="2"/>
      <c r="N60" s="2"/>
      <c r="O60" s="2"/>
      <c r="P60" s="1012" t="s">
        <v>765</v>
      </c>
      <c r="Q60" s="2"/>
      <c r="R60" s="2"/>
      <c r="S60" s="591"/>
      <c r="T60" s="591"/>
      <c r="U60" s="591"/>
      <c r="V60" s="591"/>
      <c r="W60" s="591"/>
      <c r="X60" s="591"/>
      <c r="Y60" s="591"/>
      <c r="Z60" s="591"/>
      <c r="AA60" s="591"/>
      <c r="AB60" s="591"/>
      <c r="AC60" s="591"/>
      <c r="AD60" s="591"/>
      <c r="AE60" s="591"/>
      <c r="AF60" s="591"/>
      <c r="AG60" s="591"/>
      <c r="AH60" s="591"/>
      <c r="AI60" s="591"/>
      <c r="AJ60" s="591"/>
      <c r="AK60" s="591"/>
      <c r="AL60" s="591"/>
      <c r="AM60" s="591"/>
      <c r="AN60" s="591"/>
      <c r="AO60" s="591"/>
      <c r="AP60" s="591"/>
      <c r="AQ60" s="591"/>
      <c r="AR60" s="591"/>
      <c r="AS60" s="591"/>
      <c r="AT60" s="591"/>
      <c r="AU60" s="591"/>
      <c r="AV60" s="591"/>
      <c r="AW60" s="591"/>
      <c r="AX60" s="591"/>
      <c r="AY60" s="591"/>
      <c r="AZ60" s="591"/>
      <c r="BA60" s="591"/>
      <c r="BB60" s="591"/>
    </row>
    <row r="61" spans="1:54" ht="16.5" hidden="1" customHeight="1" x14ac:dyDescent="0.2">
      <c r="A61" s="2"/>
      <c r="B61" s="2"/>
      <c r="C61" s="1369">
        <f>IF(M3=K147,0,IF(T65=0,0,IF(E8=CONCATENATE(L131,"  "),0,IF(COUNTIF(G62:N62,$L$134)&gt;0,1,0))))</f>
        <v>0</v>
      </c>
      <c r="D61" s="1369">
        <f>IMPOSTAZIONI!H35</f>
        <v>0</v>
      </c>
      <c r="E61" s="2"/>
      <c r="F61" s="2"/>
      <c r="G61" s="1010" t="str">
        <f>IMPOSTAZIONI!$I$19</f>
        <v>Colonna 1</v>
      </c>
      <c r="H61" s="1010" t="str">
        <f>IMPOSTAZIONI!$M$19</f>
        <v>Colonna 2</v>
      </c>
      <c r="I61" s="101"/>
      <c r="J61" s="101"/>
      <c r="K61" s="1010" t="str">
        <f>IMPOSTAZIONI!$U$19</f>
        <v>Colonna 3</v>
      </c>
      <c r="L61" s="101"/>
      <c r="M61" s="101"/>
      <c r="N61" s="1010" t="str">
        <f>IMPOSTAZIONI!$AC$19</f>
        <v>Colonna 4</v>
      </c>
      <c r="O61" s="2"/>
      <c r="P61" s="1013" t="s">
        <v>766</v>
      </c>
      <c r="Q61" s="2"/>
      <c r="R61" s="2"/>
      <c r="S61" s="591"/>
      <c r="T61" s="591"/>
      <c r="U61" s="591"/>
      <c r="V61" s="591"/>
      <c r="W61" s="591"/>
      <c r="X61" s="591"/>
      <c r="Y61" s="591"/>
      <c r="Z61" s="591"/>
      <c r="AA61" s="591"/>
      <c r="AB61" s="591"/>
      <c r="AC61" s="591"/>
      <c r="AD61" s="591"/>
      <c r="AE61" s="591"/>
      <c r="AF61" s="591"/>
      <c r="AG61" s="591"/>
      <c r="AH61" s="591"/>
      <c r="AI61" s="591"/>
      <c r="AJ61" s="591"/>
      <c r="AK61" s="591"/>
      <c r="AL61" s="591"/>
      <c r="AM61" s="591"/>
      <c r="AN61" s="591"/>
      <c r="AO61" s="591"/>
      <c r="AP61" s="591"/>
      <c r="AQ61" s="591"/>
      <c r="AR61" s="591"/>
      <c r="AS61" s="591"/>
      <c r="AT61" s="591"/>
      <c r="AU61" s="591"/>
      <c r="AV61" s="591"/>
      <c r="AW61" s="591"/>
      <c r="AX61" s="591"/>
      <c r="AY61" s="591"/>
      <c r="AZ61" s="591"/>
      <c r="BA61" s="591"/>
      <c r="BB61" s="591"/>
    </row>
    <row r="62" spans="1:54" ht="20.25" hidden="1" customHeight="1" x14ac:dyDescent="0.2">
      <c r="A62" s="2"/>
      <c r="B62" s="2"/>
      <c r="C62" s="2"/>
      <c r="D62" s="2"/>
      <c r="E62" s="2"/>
      <c r="F62" s="2"/>
      <c r="G62" s="1011" t="str">
        <f>IF(IMPOSTAZIONI!$I$35=0,$L$135,IMPOSTAZIONI!$I$35)</f>
        <v>SCORPORO</v>
      </c>
      <c r="H62" s="1011" t="str">
        <f>IF(IMPOSTAZIONI!$M$35=0,$L$135,IMPOSTAZIONI!$M$35)</f>
        <v>SCORPORO</v>
      </c>
      <c r="I62" s="101"/>
      <c r="J62" s="101"/>
      <c r="K62" s="1011" t="str">
        <f>IF(IMPOSTAZIONI!$U$35=0,$L$135,IMPOSTAZIONI!$U$35)</f>
        <v>SCORPORO</v>
      </c>
      <c r="L62" s="101"/>
      <c r="M62" s="101"/>
      <c r="N62" s="1011" t="str">
        <f>IF(IMPOSTAZIONI!$AC$35=0,$L$135,IMPOSTAZIONI!$AC$35)</f>
        <v>SCORPORO</v>
      </c>
      <c r="O62" s="2"/>
      <c r="P62" s="2"/>
      <c r="Q62" s="2"/>
      <c r="R62" s="2"/>
      <c r="S62" s="2"/>
      <c r="T62" s="2"/>
      <c r="U62" s="2"/>
      <c r="V62" s="2"/>
      <c r="W62" s="2"/>
      <c r="X62" s="2"/>
      <c r="Y62" s="2"/>
      <c r="Z62" s="2"/>
      <c r="AA62" s="2"/>
      <c r="AB62" s="591"/>
      <c r="AC62" s="591"/>
      <c r="AD62" s="591"/>
      <c r="AE62" s="591"/>
      <c r="AF62" s="591"/>
      <c r="AG62" s="591"/>
      <c r="AH62" s="591"/>
      <c r="AI62" s="591"/>
      <c r="AJ62" s="591"/>
      <c r="AK62" s="591"/>
      <c r="AL62" s="591"/>
      <c r="AM62" s="591"/>
      <c r="AN62" s="591"/>
      <c r="AO62" s="591"/>
      <c r="AP62" s="591"/>
      <c r="AQ62" s="591"/>
      <c r="AR62" s="591"/>
      <c r="AS62" s="591"/>
      <c r="AT62" s="591"/>
      <c r="AU62" s="591"/>
      <c r="AV62" s="591"/>
      <c r="AW62" s="591"/>
      <c r="AX62" s="591"/>
      <c r="AY62" s="591"/>
      <c r="AZ62" s="591"/>
      <c r="BA62" s="591"/>
      <c r="BB62" s="591"/>
    </row>
    <row r="63" spans="1:54" ht="20.25" hidden="1" customHeight="1" x14ac:dyDescent="0.2">
      <c r="A63" s="2"/>
      <c r="B63" s="2"/>
      <c r="C63" s="2"/>
      <c r="D63" s="2"/>
      <c r="E63" s="2"/>
      <c r="F63" s="966" t="s">
        <v>814</v>
      </c>
      <c r="G63" s="965">
        <f>IF(G62=$L134,ROUND(G46,2),0)</f>
        <v>0</v>
      </c>
      <c r="H63" s="964">
        <f>IF(H62=$L134,ROUND(H46,2),0)</f>
        <v>0</v>
      </c>
      <c r="I63" s="2"/>
      <c r="J63" s="2"/>
      <c r="K63" s="963">
        <f>IF(K62=$L134,ROUND(K46,2),0)</f>
        <v>0</v>
      </c>
      <c r="L63" s="2"/>
      <c r="M63" s="2"/>
      <c r="N63" s="963">
        <f>IF(N62=$L134,ROUND(N46,2),0)</f>
        <v>0</v>
      </c>
      <c r="O63" s="2"/>
      <c r="P63" s="2"/>
      <c r="Q63" s="2"/>
      <c r="R63" s="2"/>
      <c r="S63" s="2"/>
      <c r="T63" s="2"/>
      <c r="U63" s="2"/>
      <c r="V63" s="2"/>
      <c r="W63" s="2"/>
      <c r="X63" s="2"/>
      <c r="Y63" s="2"/>
      <c r="Z63" s="2"/>
      <c r="AA63" s="2"/>
      <c r="AB63" s="591"/>
      <c r="AC63" s="591"/>
      <c r="AD63" s="591"/>
      <c r="AE63" s="591"/>
      <c r="AF63" s="591"/>
      <c r="AG63" s="591"/>
      <c r="AH63" s="591"/>
      <c r="AI63" s="591"/>
      <c r="AJ63" s="591"/>
      <c r="AK63" s="591"/>
      <c r="AL63" s="591"/>
      <c r="AM63" s="591"/>
      <c r="AN63" s="591"/>
      <c r="AO63" s="591"/>
      <c r="AP63" s="591"/>
      <c r="AQ63" s="591"/>
      <c r="AR63" s="591"/>
      <c r="AS63" s="591"/>
      <c r="AT63" s="591"/>
      <c r="AU63" s="591"/>
      <c r="AV63" s="591"/>
      <c r="AW63" s="591"/>
      <c r="AX63" s="591"/>
      <c r="AY63" s="591"/>
      <c r="AZ63" s="591"/>
      <c r="BA63" s="591"/>
      <c r="BB63" s="591"/>
    </row>
    <row r="64" spans="1:54" ht="3.75" hidden="1"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591"/>
      <c r="AC64" s="591"/>
      <c r="AD64" s="591"/>
      <c r="AE64" s="591"/>
      <c r="AF64" s="591"/>
      <c r="AG64" s="591"/>
      <c r="AH64" s="591"/>
      <c r="AI64" s="591"/>
      <c r="AJ64" s="591"/>
      <c r="AK64" s="591"/>
      <c r="AL64" s="591"/>
      <c r="AM64" s="591"/>
      <c r="AN64" s="591"/>
      <c r="AO64" s="591"/>
      <c r="AP64" s="591"/>
      <c r="AQ64" s="591"/>
      <c r="AR64" s="591"/>
      <c r="AS64" s="591"/>
      <c r="AT64" s="591"/>
      <c r="AU64" s="591"/>
      <c r="AV64" s="591"/>
      <c r="AW64" s="591"/>
      <c r="AX64" s="591"/>
      <c r="AY64" s="591"/>
      <c r="AZ64" s="591"/>
      <c r="BA64" s="591"/>
      <c r="BB64" s="591"/>
    </row>
    <row r="65" spans="1:54" ht="20.25" hidden="1" customHeight="1" x14ac:dyDescent="0.2">
      <c r="A65" s="2"/>
      <c r="B65" s="2"/>
      <c r="C65" s="2"/>
      <c r="D65" s="2"/>
      <c r="E65" s="2"/>
      <c r="F65" s="966" t="s">
        <v>744</v>
      </c>
      <c r="G65" s="967">
        <f>G63+H63+K63+N63</f>
        <v>0</v>
      </c>
      <c r="H65" s="1114" t="str">
        <f>IF(M3=K147,"",CONCATENATE("VENTILAZIONE ",IMPOSTAZIONI!D35,IMPOSTAZIONI!B32))</f>
        <v xml:space="preserve">VENTILAZIONE </v>
      </c>
      <c r="I65" s="2"/>
      <c r="J65" s="2"/>
      <c r="K65" s="2"/>
      <c r="L65" s="2"/>
      <c r="M65" s="2"/>
      <c r="N65" s="2"/>
      <c r="O65" s="2"/>
      <c r="P65" s="2"/>
      <c r="Q65" s="2"/>
      <c r="R65" s="2"/>
      <c r="S65" s="1111" t="str">
        <f>IMPOSTAZIONI!H143</f>
        <v>MENSILE</v>
      </c>
      <c r="T65" s="2019">
        <f>IMPOSTAZIONI!D35</f>
        <v>0</v>
      </c>
      <c r="U65" s="1116" t="str">
        <f>$C182</f>
        <v>01/01 - 30/04</v>
      </c>
      <c r="V65" s="1081" t="s">
        <v>790</v>
      </c>
      <c r="W65" s="2"/>
      <c r="X65" s="2"/>
      <c r="Y65" s="1081" t="s">
        <v>792</v>
      </c>
      <c r="Z65" s="2"/>
      <c r="AA65" s="2"/>
      <c r="AB65" s="591"/>
      <c r="AC65" s="591"/>
      <c r="AD65" s="591"/>
      <c r="AE65" s="591"/>
      <c r="AF65" s="591"/>
      <c r="AG65" s="591"/>
      <c r="AH65" s="591"/>
      <c r="AI65" s="591"/>
      <c r="AJ65" s="591"/>
      <c r="AK65" s="591"/>
      <c r="AL65" s="591"/>
      <c r="AM65" s="591"/>
      <c r="AN65" s="591"/>
      <c r="AO65" s="591"/>
      <c r="AP65" s="591"/>
      <c r="AQ65" s="591"/>
      <c r="AR65" s="591"/>
      <c r="AS65" s="591"/>
      <c r="AT65" s="591"/>
      <c r="AU65" s="591"/>
      <c r="AV65" s="591"/>
      <c r="AW65" s="591"/>
      <c r="AX65" s="591"/>
      <c r="AY65" s="591"/>
      <c r="AZ65" s="591"/>
      <c r="BA65" s="591"/>
      <c r="BB65" s="591"/>
    </row>
    <row r="66" spans="1:54" ht="20.25" hidden="1" customHeight="1" x14ac:dyDescent="0.2">
      <c r="A66" s="2"/>
      <c r="B66" s="2"/>
      <c r="C66" s="2"/>
      <c r="D66" s="2"/>
      <c r="E66" s="2"/>
      <c r="F66" s="2"/>
      <c r="G66" s="2"/>
      <c r="H66" s="10"/>
      <c r="I66" s="10"/>
      <c r="J66" s="10"/>
      <c r="K66" s="10"/>
      <c r="L66" s="10"/>
      <c r="M66" s="10"/>
      <c r="N66" s="1008" t="s">
        <v>746</v>
      </c>
      <c r="O66" s="2"/>
      <c r="P66" s="2"/>
      <c r="Q66" s="2"/>
      <c r="R66" s="2"/>
      <c r="S66" s="1112" t="str">
        <f>IMPOSTAZIONI!H144</f>
        <v>TRIMESTRALE</v>
      </c>
      <c r="T66" s="2020"/>
      <c r="U66" s="806" t="str">
        <f>GIU!U65</f>
        <v>01/01 - 30/06</v>
      </c>
      <c r="V66" s="478" t="s">
        <v>791</v>
      </c>
      <c r="W66" s="2"/>
      <c r="X66" s="2"/>
      <c r="Y66" s="478" t="s">
        <v>793</v>
      </c>
      <c r="Z66" s="2"/>
      <c r="AA66" s="2"/>
      <c r="AB66" s="591"/>
      <c r="AC66" s="591"/>
      <c r="AD66" s="591"/>
      <c r="AE66" s="591"/>
      <c r="AF66" s="591"/>
      <c r="AG66" s="591"/>
      <c r="AH66" s="591"/>
      <c r="AI66" s="591"/>
      <c r="AJ66" s="591"/>
      <c r="AK66" s="591"/>
      <c r="AM66" s="591"/>
      <c r="AN66" s="591"/>
      <c r="AO66" s="591"/>
      <c r="AP66" s="591"/>
      <c r="AQ66" s="591"/>
      <c r="AS66" s="591"/>
      <c r="AT66" s="591"/>
      <c r="AU66" s="591"/>
      <c r="AV66" s="591"/>
      <c r="AW66" s="591"/>
      <c r="AY66" s="591"/>
    </row>
    <row r="67" spans="1:54" ht="24" hidden="1" customHeight="1" x14ac:dyDescent="0.2">
      <c r="A67" s="2"/>
      <c r="B67" s="2"/>
      <c r="C67" s="1183" t="s">
        <v>747</v>
      </c>
      <c r="D67" s="1165"/>
      <c r="E67" s="1165"/>
      <c r="F67" s="1165"/>
      <c r="G67" s="1197" t="e">
        <f>VLOOKUP(T65,S65:V66,4,FALSE)</f>
        <v>#N/A</v>
      </c>
      <c r="H67" s="1165"/>
      <c r="I67" s="2136" t="s">
        <v>748</v>
      </c>
      <c r="J67" s="2136"/>
      <c r="K67" s="1167"/>
      <c r="L67" s="14"/>
      <c r="M67" s="14"/>
      <c r="N67" s="1009" t="s">
        <v>749</v>
      </c>
      <c r="O67" s="2"/>
      <c r="P67" s="2"/>
      <c r="Q67" s="2"/>
      <c r="R67" s="2"/>
      <c r="S67" s="1129" t="e">
        <f>VLOOKUP(G67,V65:Y66,4,FALSE)</f>
        <v>#N/A</v>
      </c>
      <c r="T67" s="1115" t="str">
        <f>IF(T65=S66,U66,U65)</f>
        <v>01/01 - 30/04</v>
      </c>
      <c r="U67" s="2"/>
      <c r="V67" s="2"/>
      <c r="W67" s="2"/>
      <c r="X67" s="2"/>
      <c r="Y67" s="2"/>
      <c r="Z67" s="2"/>
      <c r="AA67" s="2"/>
      <c r="AB67" s="591"/>
      <c r="AC67" s="591"/>
      <c r="AD67" s="591"/>
      <c r="AE67" s="591"/>
      <c r="AF67" s="591"/>
      <c r="AG67" s="591"/>
      <c r="AH67" s="591"/>
      <c r="AI67" s="591"/>
      <c r="AJ67" s="591"/>
      <c r="AK67" s="591"/>
      <c r="AM67" s="591"/>
      <c r="AN67" s="591"/>
      <c r="AO67" s="591"/>
      <c r="AP67" s="591"/>
      <c r="AQ67" s="591"/>
      <c r="AS67" s="591"/>
      <c r="AT67" s="591"/>
      <c r="AU67" s="591"/>
      <c r="AV67" s="591"/>
      <c r="AW67" s="591"/>
      <c r="AY67" s="591"/>
    </row>
    <row r="68" spans="1:54" ht="20.25" hidden="1" customHeight="1" x14ac:dyDescent="0.2">
      <c r="A68" s="2"/>
      <c r="B68" s="2"/>
      <c r="C68" s="1169" t="s">
        <v>750</v>
      </c>
      <c r="D68" s="14"/>
      <c r="E68" s="14"/>
      <c r="F68" s="14"/>
      <c r="G68" s="1209" t="str">
        <f>C95</f>
        <v>01/04 - 30/04</v>
      </c>
      <c r="H68" s="971" t="s">
        <v>751</v>
      </c>
      <c r="I68" s="2137" t="str">
        <f>T67</f>
        <v>01/01 - 30/04</v>
      </c>
      <c r="J68" s="2137"/>
      <c r="K68" s="1208" t="s">
        <v>752</v>
      </c>
      <c r="L68" s="2022" t="s">
        <v>195</v>
      </c>
      <c r="M68" s="2022"/>
      <c r="N68" s="972" t="s">
        <v>353</v>
      </c>
      <c r="O68" s="2"/>
      <c r="P68" s="2"/>
      <c r="Q68" s="2"/>
      <c r="R68" s="2"/>
      <c r="S68" s="2"/>
      <c r="T68" s="2"/>
      <c r="U68" s="2"/>
      <c r="V68" s="2"/>
      <c r="W68" s="2"/>
      <c r="X68" s="2"/>
      <c r="Y68" s="2"/>
      <c r="Z68" s="2"/>
      <c r="AA68" s="2"/>
      <c r="AB68" s="591"/>
      <c r="AC68" s="591"/>
      <c r="AD68" s="591"/>
      <c r="AE68" s="591"/>
      <c r="AF68" s="591"/>
      <c r="AG68" s="591"/>
      <c r="AH68" s="591"/>
      <c r="AI68" s="591"/>
      <c r="AJ68" s="591"/>
      <c r="AK68" s="591"/>
      <c r="AM68" s="591"/>
      <c r="AN68" s="591"/>
      <c r="AO68" s="591"/>
      <c r="AP68" s="591"/>
      <c r="AQ68" s="591"/>
      <c r="AS68" s="591"/>
      <c r="AT68" s="591"/>
      <c r="AU68" s="591"/>
      <c r="AV68" s="591"/>
      <c r="AW68" s="591"/>
      <c r="AY68" s="591"/>
    </row>
    <row r="69" spans="1:54" ht="20.25" hidden="1" customHeight="1" x14ac:dyDescent="0.2">
      <c r="A69" s="2"/>
      <c r="B69" s="2"/>
      <c r="C69" s="1198" t="s">
        <v>753</v>
      </c>
      <c r="D69" s="14"/>
      <c r="E69" s="14"/>
      <c r="F69" s="14"/>
      <c r="G69" s="1015"/>
      <c r="H69" s="1202">
        <f>IF(AND(IMPOSTAZIONI!AF$147="",G69&lt;&gt;0),E$163,IMPOSTAZIONI!AF$147)</f>
        <v>22</v>
      </c>
      <c r="I69" s="2024">
        <f>IF($T$65=$S$66,Z69,G69+MAR!I69)</f>
        <v>0</v>
      </c>
      <c r="J69" s="2025"/>
      <c r="K69" s="1201">
        <f>IF(I73=0,0,K73-SUM(K70:K72))</f>
        <v>0</v>
      </c>
      <c r="L69" s="2023" t="str">
        <f>CONCATENATE("al ",H69," %")</f>
        <v>al 22 %</v>
      </c>
      <c r="M69" s="2023"/>
      <c r="N69" s="973">
        <f>IF(SUM(I69:J72)=0,0,ROUND(G65-SUM(N70:N72),2))</f>
        <v>0</v>
      </c>
      <c r="O69" s="2"/>
      <c r="P69" s="2"/>
      <c r="Q69" s="2"/>
      <c r="R69" s="2"/>
      <c r="S69" s="974">
        <f>IF(ISERROR(G77),0,G77)</f>
        <v>0</v>
      </c>
      <c r="T69" s="975">
        <f>IF(ISERROR(G78),0,G78)</f>
        <v>0</v>
      </c>
      <c r="U69" s="976">
        <f>IF(ISERROR(G79),0,G79)</f>
        <v>0</v>
      </c>
      <c r="V69" s="2"/>
      <c r="W69" s="1117">
        <f>APR!$G69</f>
        <v>0</v>
      </c>
      <c r="X69" s="1118">
        <f>MAG!$G69</f>
        <v>0</v>
      </c>
      <c r="Y69" s="1119">
        <f>GIU!$G69</f>
        <v>0</v>
      </c>
      <c r="Z69" s="1120">
        <f>SUM(W69:Y69)+MAR!Z69</f>
        <v>0</v>
      </c>
      <c r="AA69" s="2"/>
      <c r="AB69" s="591"/>
      <c r="AC69" s="591"/>
      <c r="AD69" s="591"/>
      <c r="AE69" s="591"/>
      <c r="AF69" s="591"/>
      <c r="AG69" s="591"/>
      <c r="AH69" s="591"/>
      <c r="AI69" s="591"/>
      <c r="AJ69" s="591"/>
      <c r="AK69" s="591"/>
      <c r="AM69" s="591"/>
      <c r="AN69" s="591"/>
      <c r="AO69" s="591"/>
      <c r="AP69" s="591"/>
      <c r="AQ69" s="591"/>
      <c r="AS69" s="591"/>
      <c r="AT69" s="591"/>
      <c r="AU69" s="591"/>
      <c r="AV69" s="591"/>
      <c r="AW69" s="591"/>
      <c r="AY69" s="591"/>
    </row>
    <row r="70" spans="1:54" ht="20.25" hidden="1" customHeight="1" x14ac:dyDescent="0.25">
      <c r="A70" s="2"/>
      <c r="B70" s="2"/>
      <c r="C70" s="1199" t="s">
        <v>754</v>
      </c>
      <c r="D70" s="14"/>
      <c r="E70" s="14"/>
      <c r="F70" s="14"/>
      <c r="G70" s="1016"/>
      <c r="H70" s="1202">
        <f>IF(AND(IMPOSTAZIONI!AG$147="",G70&lt;&gt;0),E$163,IMPOSTAZIONI!AG$147)</f>
        <v>10</v>
      </c>
      <c r="I70" s="2026">
        <f>IF($T$65=$S$66,Z70,G70+MAR!I70)</f>
        <v>0</v>
      </c>
      <c r="J70" s="2027"/>
      <c r="K70" s="1201">
        <f>IF(I$73=0,0,ROUND(I70/I$73*100,2))</f>
        <v>0</v>
      </c>
      <c r="L70" s="2023" t="str">
        <f>CONCATENATE("al ",H70," %")</f>
        <v>al 10 %</v>
      </c>
      <c r="M70" s="2023"/>
      <c r="N70" s="977">
        <f>ROUND(G$65*K70/100,2)</f>
        <v>0</v>
      </c>
      <c r="O70" s="2"/>
      <c r="P70" s="2"/>
      <c r="Q70" s="2"/>
      <c r="R70" s="2"/>
      <c r="S70" s="978">
        <f>IF(ISERROR(H77),0,H77)</f>
        <v>0</v>
      </c>
      <c r="T70" s="968">
        <f>IF(ISERROR(H78),0,H78)</f>
        <v>0</v>
      </c>
      <c r="U70" s="979">
        <f>IF(ISERROR(H79),0,H79)</f>
        <v>0</v>
      </c>
      <c r="V70" s="2"/>
      <c r="W70" s="1121">
        <f>APR!$G70</f>
        <v>0</v>
      </c>
      <c r="X70" s="1122">
        <f>MAG!$G70</f>
        <v>0</v>
      </c>
      <c r="Y70" s="1123">
        <f>GIU!$G70</f>
        <v>0</v>
      </c>
      <c r="Z70" s="1124">
        <f>SUM(W70:Y70)+MAR!Z70</f>
        <v>0</v>
      </c>
      <c r="AA70" s="2"/>
      <c r="AB70" s="591"/>
      <c r="AC70" s="591"/>
      <c r="AD70" s="591"/>
      <c r="AE70" s="591"/>
      <c r="AF70" s="591"/>
      <c r="AG70" s="591"/>
      <c r="AH70" s="591"/>
      <c r="AI70" s="591"/>
      <c r="AJ70" s="591"/>
      <c r="AK70" s="591"/>
      <c r="AM70" s="591"/>
      <c r="AN70" s="591"/>
      <c r="AO70" s="591"/>
      <c r="AP70" s="591"/>
      <c r="AQ70" s="591"/>
      <c r="AS70" s="591"/>
      <c r="AT70" s="591"/>
      <c r="AU70" s="591"/>
      <c r="AV70" s="591"/>
      <c r="AW70" s="591"/>
      <c r="AY70" s="591"/>
    </row>
    <row r="71" spans="1:54" ht="20.25" hidden="1" customHeight="1" x14ac:dyDescent="0.2">
      <c r="A71" s="2"/>
      <c r="B71" s="2"/>
      <c r="C71" s="1200" t="s">
        <v>755</v>
      </c>
      <c r="D71" s="14"/>
      <c r="E71" s="14"/>
      <c r="F71" s="14"/>
      <c r="G71" s="1016"/>
      <c r="H71" s="1202">
        <f>IF(AND(IMPOSTAZIONI!AH$147="",G71&lt;&gt;0),E$163,IMPOSTAZIONI!AH$147)</f>
        <v>4</v>
      </c>
      <c r="I71" s="2026">
        <f>IF($T$65=$S$66,Z71,G71+MAR!I71)</f>
        <v>0</v>
      </c>
      <c r="J71" s="2027"/>
      <c r="K71" s="1201">
        <f>IF(I$73=0,0,ROUND(I71/I$73*100,2))</f>
        <v>0</v>
      </c>
      <c r="L71" s="2023" t="str">
        <f>CONCATENATE("al ",H71," %")</f>
        <v>al 4 %</v>
      </c>
      <c r="M71" s="2023"/>
      <c r="N71" s="977">
        <f>ROUND(G$65*K71/100,2)</f>
        <v>0</v>
      </c>
      <c r="O71" s="2"/>
      <c r="P71" s="2"/>
      <c r="Q71" s="2"/>
      <c r="R71" s="2"/>
      <c r="S71" s="978">
        <f>IF(ISERROR(I77),0,I77)</f>
        <v>0</v>
      </c>
      <c r="T71" s="968">
        <f>IF(ISERROR(I78),0,I78)</f>
        <v>0</v>
      </c>
      <c r="U71" s="979">
        <f>IF(ISERROR(I79),0,I79)</f>
        <v>0</v>
      </c>
      <c r="V71" s="2"/>
      <c r="W71" s="1121">
        <f>APR!$G71</f>
        <v>0</v>
      </c>
      <c r="X71" s="1122">
        <f>MAG!$G71</f>
        <v>0</v>
      </c>
      <c r="Y71" s="1123">
        <f>GIU!$G71</f>
        <v>0</v>
      </c>
      <c r="Z71" s="1124">
        <f>SUM(W71:Y71)+MAR!Z71</f>
        <v>0</v>
      </c>
      <c r="AA71" s="2"/>
      <c r="AB71" s="591"/>
      <c r="AC71" s="591"/>
      <c r="AD71" s="591"/>
      <c r="AE71" s="591"/>
      <c r="AF71" s="591"/>
      <c r="AG71" s="591"/>
      <c r="AH71" s="591"/>
      <c r="AI71" s="591"/>
      <c r="AJ71" s="591"/>
      <c r="AK71" s="591"/>
      <c r="AM71" s="591"/>
      <c r="AN71" s="591"/>
      <c r="AO71" s="591"/>
      <c r="AP71" s="591"/>
      <c r="AQ71" s="591"/>
      <c r="AS71" s="591"/>
      <c r="AT71" s="591"/>
      <c r="AU71" s="591"/>
      <c r="AV71" s="591"/>
      <c r="AW71" s="591"/>
      <c r="AY71" s="591"/>
    </row>
    <row r="72" spans="1:54" ht="20.25" hidden="1" customHeight="1" x14ac:dyDescent="0.2">
      <c r="A72" s="2"/>
      <c r="B72" s="2"/>
      <c r="C72" s="1171"/>
      <c r="D72" s="14"/>
      <c r="E72" s="14"/>
      <c r="F72" s="14"/>
      <c r="G72" s="1017"/>
      <c r="H72" s="1202" t="str">
        <f>IF(AND(IMPOSTAZIONI!AI$147="",G72&lt;&gt;0),E$163,IMPOSTAZIONI!AI$147)</f>
        <v/>
      </c>
      <c r="I72" s="2039">
        <f>IF($T$65=$S$66,Z72,G72+MAR!I72)</f>
        <v>0</v>
      </c>
      <c r="J72" s="2040"/>
      <c r="K72" s="1201">
        <f>IF(I$73=0,0,ROUND(I72/I$73*100,2))</f>
        <v>0</v>
      </c>
      <c r="L72" s="2023" t="str">
        <f>CONCATENATE("al ",H72," %")</f>
        <v>al  %</v>
      </c>
      <c r="M72" s="2023"/>
      <c r="N72" s="980">
        <f>ROUND(G$65*K72/100,2)</f>
        <v>0</v>
      </c>
      <c r="O72" s="2"/>
      <c r="P72" s="2"/>
      <c r="Q72" s="2"/>
      <c r="R72" s="2"/>
      <c r="S72" s="981">
        <f>IF(ISERROR(K77),0,K77)</f>
        <v>0</v>
      </c>
      <c r="T72" s="969">
        <f>IF(ISERROR(K78),0,K78)</f>
        <v>0</v>
      </c>
      <c r="U72" s="982">
        <f>IF(ISERROR(K79),0,K79)</f>
        <v>0</v>
      </c>
      <c r="V72" s="2"/>
      <c r="W72" s="1125">
        <f>APR!$G72</f>
        <v>0</v>
      </c>
      <c r="X72" s="1126">
        <f>MAG!$G72</f>
        <v>0</v>
      </c>
      <c r="Y72" s="1127">
        <f>GIU!$G72</f>
        <v>0</v>
      </c>
      <c r="Z72" s="1128">
        <f>SUM(W72:Y72)+MAR!Z72</f>
        <v>0</v>
      </c>
      <c r="AA72" s="2"/>
      <c r="AB72" s="591"/>
      <c r="AC72" s="591"/>
      <c r="AD72" s="591"/>
      <c r="AE72" s="591"/>
      <c r="AF72" s="591"/>
      <c r="AG72" s="591"/>
      <c r="AH72" s="591"/>
      <c r="AI72" s="591"/>
      <c r="AJ72" s="591"/>
      <c r="AK72" s="591"/>
      <c r="AM72" s="591"/>
      <c r="AN72" s="591"/>
      <c r="AO72" s="591"/>
      <c r="AP72" s="591"/>
      <c r="AQ72" s="591"/>
      <c r="AS72" s="591"/>
      <c r="AT72" s="591"/>
      <c r="AU72" s="591"/>
      <c r="AV72" s="591"/>
      <c r="AW72" s="591"/>
      <c r="AY72" s="591"/>
    </row>
    <row r="73" spans="1:54" ht="20.25" hidden="1" customHeight="1" x14ac:dyDescent="0.2">
      <c r="A73" s="2"/>
      <c r="B73" s="2"/>
      <c r="C73" s="1171"/>
      <c r="D73" s="14"/>
      <c r="E73" s="14"/>
      <c r="F73" s="983" t="s">
        <v>105</v>
      </c>
      <c r="G73" s="1014">
        <f>SUM(G69:G72)</f>
        <v>0</v>
      </c>
      <c r="H73" s="866"/>
      <c r="I73" s="2041">
        <f>SUM(I69:I72)</f>
        <v>0</v>
      </c>
      <c r="J73" s="2041"/>
      <c r="K73" s="1196">
        <v>100</v>
      </c>
      <c r="L73" s="2"/>
      <c r="M73" s="2"/>
      <c r="N73" s="967">
        <f>SUM(N69:N72)</f>
        <v>0</v>
      </c>
      <c r="O73" s="503" t="str">
        <f>IF(C61=0,"",IF(G65=N73,"OK",E163))</f>
        <v/>
      </c>
      <c r="P73" s="2"/>
      <c r="Q73" s="2"/>
      <c r="R73" s="2"/>
      <c r="S73" s="2"/>
      <c r="T73" s="2"/>
      <c r="U73" s="2"/>
      <c r="V73" s="2"/>
      <c r="W73" s="2"/>
      <c r="X73" s="2"/>
      <c r="Y73" s="2"/>
      <c r="Z73" s="2"/>
      <c r="AA73" s="2"/>
      <c r="AB73" s="591"/>
      <c r="AC73" s="591"/>
      <c r="AD73" s="591"/>
      <c r="AE73" s="591"/>
      <c r="AF73" s="591"/>
      <c r="AG73" s="591"/>
      <c r="AH73" s="591"/>
      <c r="AI73" s="591"/>
      <c r="AJ73" s="591"/>
      <c r="AK73" s="591"/>
      <c r="AM73" s="591"/>
      <c r="AN73" s="591"/>
      <c r="AO73" s="591"/>
      <c r="AP73" s="591"/>
      <c r="AQ73" s="591"/>
      <c r="AS73" s="591"/>
      <c r="AT73" s="591"/>
      <c r="AU73" s="591"/>
      <c r="AV73" s="591"/>
      <c r="AW73" s="591"/>
      <c r="AY73" s="591"/>
    </row>
    <row r="74" spans="1:54" ht="20.25" hidden="1" customHeight="1" x14ac:dyDescent="0.2">
      <c r="A74" s="2"/>
      <c r="B74" s="2"/>
      <c r="C74" s="1172"/>
      <c r="D74" s="1173"/>
      <c r="E74" s="1173"/>
      <c r="F74" s="1173"/>
      <c r="G74" s="1173"/>
      <c r="H74" s="1173"/>
      <c r="I74" s="2051" t="s">
        <v>756</v>
      </c>
      <c r="J74" s="2051"/>
      <c r="K74" s="2052"/>
      <c r="L74" s="14"/>
      <c r="M74" s="14"/>
      <c r="N74" s="139"/>
      <c r="O74" s="2"/>
      <c r="P74" s="2"/>
      <c r="Q74" s="2"/>
      <c r="R74" s="2"/>
      <c r="S74" s="2"/>
      <c r="T74" s="2"/>
      <c r="U74" s="2"/>
      <c r="V74" s="2"/>
      <c r="W74" s="2"/>
      <c r="X74" s="2"/>
      <c r="Y74" s="2"/>
      <c r="Z74" s="2"/>
      <c r="AA74" s="2"/>
      <c r="AB74" s="591"/>
      <c r="AC74" s="591"/>
      <c r="AD74" s="591"/>
      <c r="AE74" s="591"/>
      <c r="AF74" s="591"/>
      <c r="AG74" s="591"/>
      <c r="AH74" s="591"/>
      <c r="AI74" s="591"/>
      <c r="AJ74" s="591"/>
      <c r="AK74" s="591"/>
      <c r="AM74" s="591"/>
      <c r="AN74" s="591"/>
      <c r="AO74" s="591"/>
      <c r="AP74" s="591"/>
      <c r="AQ74" s="591"/>
      <c r="AS74" s="591"/>
      <c r="AT74" s="591"/>
      <c r="AU74" s="591"/>
      <c r="AV74" s="591"/>
      <c r="AW74" s="591"/>
      <c r="AY74" s="591"/>
    </row>
    <row r="75" spans="1:54" ht="11.25" hidden="1" customHeight="1" x14ac:dyDescent="0.2">
      <c r="A75" s="2"/>
      <c r="B75" s="2"/>
      <c r="C75" s="2"/>
      <c r="D75" s="2"/>
      <c r="E75" s="2"/>
      <c r="F75" s="2"/>
      <c r="G75" s="2"/>
      <c r="H75" s="2"/>
      <c r="I75" s="2"/>
      <c r="J75" s="2"/>
      <c r="K75" s="2"/>
      <c r="L75" s="14"/>
      <c r="M75" s="14"/>
      <c r="N75" s="139"/>
      <c r="O75" s="2"/>
      <c r="P75" s="2"/>
      <c r="Q75" s="2"/>
      <c r="R75" s="2"/>
      <c r="S75" s="2"/>
      <c r="T75" s="2"/>
      <c r="U75" s="2"/>
      <c r="V75" s="2"/>
      <c r="W75" s="2"/>
      <c r="X75" s="2"/>
      <c r="Y75" s="2"/>
      <c r="Z75" s="2"/>
      <c r="AA75" s="2"/>
      <c r="AB75" s="591"/>
      <c r="AC75" s="591"/>
      <c r="AD75" s="591"/>
      <c r="AE75" s="591"/>
      <c r="AF75" s="591"/>
      <c r="AG75" s="591"/>
      <c r="AH75" s="591"/>
      <c r="AI75" s="591"/>
      <c r="AJ75" s="591"/>
      <c r="AK75" s="591"/>
      <c r="AM75" s="591"/>
      <c r="AN75" s="591"/>
      <c r="AO75" s="591"/>
      <c r="AP75" s="591"/>
      <c r="AQ75" s="591"/>
      <c r="AS75" s="591"/>
      <c r="AT75" s="591"/>
      <c r="AU75" s="591"/>
      <c r="AV75" s="591"/>
      <c r="AW75" s="591"/>
      <c r="AY75" s="591"/>
    </row>
    <row r="76" spans="1:54" ht="20.25" hidden="1" customHeight="1" x14ac:dyDescent="0.2">
      <c r="A76" s="2"/>
      <c r="B76" s="2"/>
      <c r="C76" s="2"/>
      <c r="D76" s="2"/>
      <c r="E76" s="20"/>
      <c r="F76" s="984" t="s">
        <v>764</v>
      </c>
      <c r="G76" s="985">
        <f>H69</f>
        <v>22</v>
      </c>
      <c r="H76" s="985">
        <f>H70</f>
        <v>10</v>
      </c>
      <c r="I76" s="2142">
        <f>H71</f>
        <v>4</v>
      </c>
      <c r="J76" s="2142"/>
      <c r="K76" s="1162" t="str">
        <f>H72</f>
        <v/>
      </c>
      <c r="L76" s="2"/>
      <c r="M76" s="2"/>
      <c r="N76" s="986"/>
      <c r="O76" s="2"/>
      <c r="P76" s="2"/>
      <c r="Q76" s="2"/>
      <c r="R76" s="2"/>
      <c r="S76" s="2"/>
      <c r="T76" s="2"/>
      <c r="U76" s="2"/>
      <c r="V76" s="2"/>
      <c r="W76" s="2"/>
      <c r="X76" s="591"/>
      <c r="Y76" s="591"/>
      <c r="AB76" s="591"/>
      <c r="AC76" s="591"/>
      <c r="AD76" s="591"/>
      <c r="AE76" s="591"/>
      <c r="AF76" s="591"/>
      <c r="AG76" s="591"/>
      <c r="AH76" s="591"/>
      <c r="AI76" s="591"/>
      <c r="AJ76" s="591"/>
      <c r="AK76" s="591"/>
      <c r="AM76" s="591"/>
      <c r="AN76" s="591"/>
      <c r="AO76" s="591"/>
      <c r="AP76" s="591"/>
      <c r="AQ76" s="591"/>
      <c r="AS76" s="591"/>
      <c r="AT76" s="591"/>
      <c r="AU76" s="591"/>
      <c r="AV76" s="591"/>
      <c r="AW76" s="591"/>
      <c r="AY76" s="591"/>
    </row>
    <row r="77" spans="1:54" ht="20.25" hidden="1" customHeight="1" x14ac:dyDescent="0.2">
      <c r="A77" s="2"/>
      <c r="B77" s="2"/>
      <c r="C77" s="2"/>
      <c r="D77" s="2"/>
      <c r="E77" s="2"/>
      <c r="F77" s="987" t="s">
        <v>757</v>
      </c>
      <c r="G77" s="988">
        <f>N69-G78</f>
        <v>0</v>
      </c>
      <c r="H77" s="989">
        <f>N70-H78</f>
        <v>0</v>
      </c>
      <c r="I77" s="2037">
        <f>N71-I78</f>
        <v>0</v>
      </c>
      <c r="J77" s="2038"/>
      <c r="K77" s="989">
        <f>N72-K78</f>
        <v>0</v>
      </c>
      <c r="L77" s="2233">
        <f>SUM(S69:S72)</f>
        <v>0</v>
      </c>
      <c r="M77" s="2234"/>
      <c r="N77" s="990" t="s">
        <v>758</v>
      </c>
      <c r="O77" s="2"/>
      <c r="P77" s="2"/>
      <c r="Q77" s="2"/>
      <c r="R77" s="2"/>
      <c r="S77" s="2"/>
      <c r="T77" s="2"/>
      <c r="U77" s="2"/>
      <c r="V77" s="2"/>
      <c r="W77" s="2"/>
      <c r="X77" s="591"/>
      <c r="Y77" s="591"/>
      <c r="AG77" s="591"/>
      <c r="AH77" s="591"/>
      <c r="AI77" s="591"/>
      <c r="AJ77" s="591"/>
      <c r="AK77" s="591"/>
      <c r="AM77" s="591"/>
      <c r="AN77" s="591"/>
      <c r="AO77" s="591"/>
      <c r="AP77" s="591"/>
      <c r="AQ77" s="591"/>
      <c r="AS77" s="591"/>
      <c r="AT77" s="591"/>
      <c r="AU77" s="591"/>
      <c r="AV77" s="591"/>
      <c r="AW77" s="591"/>
      <c r="AY77" s="591"/>
    </row>
    <row r="78" spans="1:54" ht="20.25" hidden="1" customHeight="1" x14ac:dyDescent="0.2">
      <c r="A78" s="2"/>
      <c r="B78" s="2"/>
      <c r="C78" s="2"/>
      <c r="D78" s="2"/>
      <c r="E78" s="2"/>
      <c r="F78" s="991" t="s">
        <v>759</v>
      </c>
      <c r="G78" s="992">
        <f>IF(G76="",0,ROUND(N69*G76/(100+G76),2))</f>
        <v>0</v>
      </c>
      <c r="H78" s="993">
        <f>IF(H76="",0,ROUND(N70*H76/(100+H76),2))</f>
        <v>0</v>
      </c>
      <c r="I78" s="2140">
        <f>IF(I76="",0,ROUND(N71*I76/(100+I76),2))</f>
        <v>0</v>
      </c>
      <c r="J78" s="2141"/>
      <c r="K78" s="993">
        <f>IF(K76="",0,ROUND(N72*K76/(100+K76),2))</f>
        <v>0</v>
      </c>
      <c r="L78" s="2235">
        <f>SUM(T69:T72)</f>
        <v>0</v>
      </c>
      <c r="M78" s="2236"/>
      <c r="N78" s="994" t="s">
        <v>760</v>
      </c>
      <c r="O78" s="2"/>
      <c r="P78" s="2"/>
      <c r="Q78" s="2"/>
      <c r="R78" s="2"/>
      <c r="S78" s="2"/>
      <c r="T78" s="2"/>
      <c r="U78" s="128" t="s">
        <v>783</v>
      </c>
      <c r="V78" s="2"/>
      <c r="W78" s="2"/>
      <c r="X78" s="591"/>
      <c r="Y78" s="591"/>
      <c r="AG78" s="591"/>
      <c r="AH78" s="591"/>
      <c r="AI78" s="591"/>
      <c r="AJ78" s="591"/>
      <c r="AK78" s="591"/>
      <c r="AM78" s="591"/>
      <c r="AN78" s="591"/>
      <c r="AO78" s="591"/>
      <c r="AP78" s="591"/>
      <c r="AQ78" s="591"/>
      <c r="AS78" s="591"/>
      <c r="AT78" s="591"/>
      <c r="AU78" s="591"/>
      <c r="AV78" s="591"/>
      <c r="AW78" s="591"/>
      <c r="AY78" s="591"/>
    </row>
    <row r="79" spans="1:54" ht="20.25" hidden="1" customHeight="1" x14ac:dyDescent="0.2">
      <c r="A79" s="2"/>
      <c r="B79" s="2"/>
      <c r="C79" s="2"/>
      <c r="D79" s="2"/>
      <c r="E79" s="287"/>
      <c r="F79" s="995" t="s">
        <v>105</v>
      </c>
      <c r="G79" s="996">
        <f>G77+G78</f>
        <v>0</v>
      </c>
      <c r="H79" s="996">
        <f>H77+H78</f>
        <v>0</v>
      </c>
      <c r="I79" s="2135">
        <f>I77+I78</f>
        <v>0</v>
      </c>
      <c r="J79" s="2135"/>
      <c r="K79" s="996">
        <f>K77+K78</f>
        <v>0</v>
      </c>
      <c r="L79" s="287"/>
      <c r="M79" s="287"/>
      <c r="N79" s="996">
        <f>SUM(U69:U72)</f>
        <v>0</v>
      </c>
      <c r="O79" s="503" t="str">
        <f>IF(N79=N73,"OK",E163)</f>
        <v>OK</v>
      </c>
      <c r="P79" s="2"/>
      <c r="Q79" s="2"/>
      <c r="R79" s="924" t="str">
        <f>G62</f>
        <v>SCORPORO</v>
      </c>
      <c r="S79" s="997">
        <f>IF(R79=L$134,G$63,0)</f>
        <v>0</v>
      </c>
      <c r="T79" s="92">
        <f>G42</f>
        <v>0</v>
      </c>
      <c r="U79" s="997">
        <f>IF(T79=K$134,S79,0)</f>
        <v>0</v>
      </c>
      <c r="V79" s="2"/>
      <c r="W79" s="2"/>
      <c r="X79" s="591"/>
      <c r="Y79" s="591"/>
      <c r="AG79" s="591"/>
      <c r="AH79" s="591"/>
      <c r="AI79" s="591"/>
      <c r="AJ79" s="591"/>
      <c r="AK79" s="591"/>
      <c r="AM79" s="591"/>
      <c r="AN79" s="591"/>
      <c r="AO79" s="591"/>
      <c r="AP79" s="591"/>
      <c r="AQ79" s="591"/>
      <c r="AS79" s="591"/>
      <c r="AT79" s="591"/>
      <c r="AU79" s="591"/>
      <c r="AV79" s="591"/>
      <c r="AW79" s="591"/>
      <c r="AY79" s="591"/>
    </row>
    <row r="80" spans="1:54" ht="20.25" hidden="1" customHeight="1" x14ac:dyDescent="0.2">
      <c r="A80" s="2"/>
      <c r="B80" s="2"/>
      <c r="C80" s="2"/>
      <c r="D80" s="2"/>
      <c r="E80" s="2"/>
      <c r="F80" s="2"/>
      <c r="G80" s="2"/>
      <c r="H80" s="2"/>
      <c r="I80" s="2"/>
      <c r="J80" s="2"/>
      <c r="K80" s="2"/>
      <c r="L80" s="2"/>
      <c r="M80" s="2"/>
      <c r="N80" s="10"/>
      <c r="O80" s="2"/>
      <c r="P80" s="2"/>
      <c r="Q80" s="2"/>
      <c r="R80" s="924" t="str">
        <f>H62</f>
        <v>SCORPORO</v>
      </c>
      <c r="S80" s="998">
        <f>IF(R80=L$134,H63,0)</f>
        <v>0</v>
      </c>
      <c r="T80" s="92">
        <f>H42</f>
        <v>0</v>
      </c>
      <c r="U80" s="998">
        <f>IF(T80=K$134,S80,0)</f>
        <v>0</v>
      </c>
      <c r="V80" s="2"/>
      <c r="W80" s="2"/>
      <c r="X80" s="591"/>
      <c r="Y80" s="591"/>
      <c r="AG80" s="591"/>
      <c r="AH80" s="591"/>
      <c r="AI80" s="591"/>
      <c r="AJ80" s="591"/>
      <c r="AK80" s="591"/>
      <c r="AM80" s="591"/>
      <c r="AN80" s="591"/>
      <c r="AO80" s="591"/>
      <c r="AP80" s="591"/>
      <c r="AQ80" s="591"/>
      <c r="AS80" s="591"/>
      <c r="AT80" s="591"/>
      <c r="AU80" s="591"/>
      <c r="AV80" s="591"/>
      <c r="AW80" s="591"/>
      <c r="AY80" s="591"/>
    </row>
    <row r="81" spans="1:51" ht="20.25" hidden="1" customHeight="1" x14ac:dyDescent="0.2">
      <c r="A81" s="2"/>
      <c r="B81" s="2"/>
      <c r="C81" s="2"/>
      <c r="D81" s="2"/>
      <c r="E81" s="2"/>
      <c r="F81" s="2"/>
      <c r="G81" s="103" t="str">
        <f>G61</f>
        <v>Colonna 1</v>
      </c>
      <c r="H81" s="103" t="str">
        <f>H61</f>
        <v>Colonna 2</v>
      </c>
      <c r="I81" s="2053" t="str">
        <f>K61</f>
        <v>Colonna 3</v>
      </c>
      <c r="J81" s="2053"/>
      <c r="K81" s="103" t="str">
        <f>N61</f>
        <v>Colonna 4</v>
      </c>
      <c r="L81" s="2"/>
      <c r="M81" s="2"/>
      <c r="N81" s="14"/>
      <c r="O81" s="2"/>
      <c r="P81" s="2"/>
      <c r="Q81" s="2"/>
      <c r="R81" s="924" t="str">
        <f>K62</f>
        <v>SCORPORO</v>
      </c>
      <c r="S81" s="998">
        <f>IF(R81=L$134,K63,0)</f>
        <v>0</v>
      </c>
      <c r="T81" s="92">
        <f>K42</f>
        <v>0</v>
      </c>
      <c r="U81" s="998">
        <f>IF(T81=K$134,S81,0)</f>
        <v>0</v>
      </c>
      <c r="V81" s="2"/>
      <c r="W81" s="2"/>
      <c r="X81" s="591"/>
      <c r="Y81" s="591"/>
      <c r="AG81" s="591"/>
      <c r="AH81" s="591"/>
      <c r="AI81" s="591"/>
      <c r="AJ81" s="591"/>
      <c r="AK81" s="591"/>
      <c r="AM81" s="591"/>
      <c r="AN81" s="591"/>
      <c r="AO81" s="591"/>
      <c r="AP81" s="591"/>
      <c r="AQ81" s="591"/>
      <c r="AS81" s="591"/>
      <c r="AT81" s="591"/>
      <c r="AU81" s="591"/>
      <c r="AV81" s="591"/>
      <c r="AW81" s="591"/>
      <c r="AY81" s="591"/>
    </row>
    <row r="82" spans="1:51" ht="18" hidden="1" customHeight="1" x14ac:dyDescent="0.2">
      <c r="A82" s="2"/>
      <c r="B82" s="2"/>
      <c r="C82" s="2"/>
      <c r="D82" s="2"/>
      <c r="E82" s="2"/>
      <c r="F82" s="2"/>
      <c r="G82" s="1203" t="str">
        <f t="shared" ref="G82:H84" si="33">G43</f>
        <v/>
      </c>
      <c r="H82" s="1204" t="str">
        <f t="shared" si="33"/>
        <v/>
      </c>
      <c r="I82" s="2031" t="str">
        <f>K43</f>
        <v/>
      </c>
      <c r="J82" s="2031"/>
      <c r="K82" s="1205" t="str">
        <f>N43</f>
        <v/>
      </c>
      <c r="L82" s="2"/>
      <c r="M82" s="2"/>
      <c r="N82" s="14"/>
      <c r="O82" s="2"/>
      <c r="P82" s="2"/>
      <c r="Q82" s="2"/>
      <c r="R82" s="924" t="str">
        <f>N62</f>
        <v>SCORPORO</v>
      </c>
      <c r="S82" s="1007">
        <f>IF(R82=L$134,N63,0)</f>
        <v>0</v>
      </c>
      <c r="T82" s="92">
        <f>N42</f>
        <v>0</v>
      </c>
      <c r="U82" s="1007">
        <f>IF(T82=K$134,S82,0)</f>
        <v>0</v>
      </c>
      <c r="V82" s="2"/>
      <c r="W82" s="2"/>
      <c r="X82" s="591"/>
      <c r="Y82" s="591"/>
      <c r="AG82" s="591"/>
      <c r="AH82" s="591"/>
      <c r="AI82" s="591"/>
      <c r="AJ82" s="591"/>
      <c r="AK82" s="591"/>
      <c r="AM82" s="591"/>
      <c r="AN82" s="591"/>
      <c r="AO82" s="591"/>
      <c r="AP82" s="591"/>
      <c r="AQ82" s="591"/>
      <c r="AS82" s="591"/>
      <c r="AT82" s="591"/>
      <c r="AU82" s="591"/>
      <c r="AV82" s="591"/>
      <c r="AW82" s="591"/>
      <c r="AY82" s="591"/>
    </row>
    <row r="83" spans="1:51" ht="18" hidden="1" customHeight="1" x14ac:dyDescent="0.2">
      <c r="A83" s="2"/>
      <c r="B83" s="2"/>
      <c r="C83" s="2"/>
      <c r="D83" s="2"/>
      <c r="E83" s="2"/>
      <c r="F83" s="2"/>
      <c r="G83" s="1000" t="str">
        <f t="shared" si="33"/>
        <v/>
      </c>
      <c r="H83" s="1000" t="str">
        <f t="shared" si="33"/>
        <v/>
      </c>
      <c r="I83" s="2054" t="str">
        <f>K44</f>
        <v/>
      </c>
      <c r="J83" s="2054"/>
      <c r="K83" s="1000" t="str">
        <f>N44</f>
        <v/>
      </c>
      <c r="L83" s="2"/>
      <c r="M83" s="2"/>
      <c r="N83" s="14"/>
      <c r="O83" s="2"/>
      <c r="P83" s="2"/>
      <c r="Q83" s="2"/>
      <c r="R83" s="2"/>
      <c r="S83" s="999"/>
      <c r="T83" s="2"/>
      <c r="U83" s="999"/>
      <c r="V83" s="2"/>
      <c r="W83" s="2"/>
      <c r="X83" s="591"/>
      <c r="Y83" s="591"/>
      <c r="AG83" s="591"/>
      <c r="AH83" s="591"/>
      <c r="AI83" s="591"/>
      <c r="AJ83" s="591"/>
      <c r="AK83" s="591"/>
      <c r="AM83" s="591"/>
      <c r="AN83" s="591"/>
      <c r="AO83" s="591"/>
      <c r="AP83" s="591"/>
      <c r="AQ83" s="591"/>
      <c r="AS83" s="591"/>
      <c r="AT83" s="591"/>
      <c r="AU83" s="591"/>
      <c r="AV83" s="591"/>
      <c r="AW83" s="591"/>
      <c r="AY83" s="591"/>
    </row>
    <row r="84" spans="1:51" ht="18" hidden="1" customHeight="1" x14ac:dyDescent="0.2">
      <c r="A84" s="2"/>
      <c r="B84" s="2"/>
      <c r="C84" s="2"/>
      <c r="D84" s="2"/>
      <c r="E84" s="2"/>
      <c r="F84" s="2"/>
      <c r="G84" s="1001" t="str">
        <f t="shared" si="33"/>
        <v/>
      </c>
      <c r="H84" s="1001" t="str">
        <f t="shared" si="33"/>
        <v/>
      </c>
      <c r="I84" s="2055" t="str">
        <f>K45</f>
        <v/>
      </c>
      <c r="J84" s="2055"/>
      <c r="K84" s="1001" t="str">
        <f>N45</f>
        <v/>
      </c>
      <c r="L84" s="2"/>
      <c r="M84" s="2"/>
      <c r="N84" s="14"/>
      <c r="O84" s="2"/>
      <c r="P84" s="2"/>
      <c r="Q84" s="2"/>
      <c r="R84" s="2"/>
      <c r="S84" s="999"/>
      <c r="T84" s="2"/>
      <c r="U84" s="999"/>
      <c r="V84" s="2"/>
      <c r="W84" s="2"/>
      <c r="X84" s="591"/>
      <c r="Y84" s="591"/>
      <c r="AG84" s="591"/>
      <c r="AH84" s="591"/>
      <c r="AI84" s="591"/>
      <c r="AJ84" s="591"/>
      <c r="AK84" s="591"/>
      <c r="AM84" s="591"/>
      <c r="AN84" s="591"/>
      <c r="AO84" s="591"/>
      <c r="AP84" s="591"/>
      <c r="AQ84" s="591"/>
      <c r="AS84" s="591"/>
      <c r="AT84" s="591"/>
      <c r="AU84" s="591"/>
      <c r="AV84" s="591"/>
      <c r="AW84" s="591"/>
      <c r="AY84" s="591"/>
    </row>
    <row r="85" spans="1:51" ht="18" hidden="1" customHeight="1" x14ac:dyDescent="0.2">
      <c r="A85" s="2"/>
      <c r="B85" s="2"/>
      <c r="C85" s="2"/>
      <c r="D85" s="2"/>
      <c r="E85" s="2"/>
      <c r="F85" s="2"/>
      <c r="G85" s="1011" t="str">
        <f>VLOOKUP(G62,$L$134:$M$135,2,FALSE)</f>
        <v>SCORPORO</v>
      </c>
      <c r="H85" s="1011" t="str">
        <f>VLOOKUP(H62,$L$134:$M$135,2,FALSE)</f>
        <v>SCORPORO</v>
      </c>
      <c r="I85" s="2056" t="str">
        <f>VLOOKUP(K62,$L$134:$M$135,2,FALSE)</f>
        <v>SCORPORO</v>
      </c>
      <c r="J85" s="2056"/>
      <c r="K85" s="1011" t="str">
        <f>VLOOKUP(N62,$L$134:$M$135,2,FALSE)</f>
        <v>SCORPORO</v>
      </c>
      <c r="L85" s="2"/>
      <c r="M85" s="2"/>
      <c r="N85" s="14"/>
      <c r="O85" s="2"/>
      <c r="P85" s="2"/>
      <c r="Q85" s="2"/>
      <c r="R85" s="2"/>
      <c r="S85" s="999"/>
      <c r="T85" s="2"/>
      <c r="U85" s="999"/>
      <c r="V85" s="2"/>
      <c r="W85" s="2"/>
      <c r="X85" s="591"/>
      <c r="Y85" s="591"/>
      <c r="AG85" s="591"/>
      <c r="AH85" s="591"/>
      <c r="AI85" s="591"/>
      <c r="AJ85" s="591"/>
      <c r="AK85" s="591"/>
      <c r="AM85" s="591"/>
      <c r="AN85" s="591"/>
      <c r="AO85" s="591"/>
      <c r="AP85" s="591"/>
      <c r="AQ85" s="591"/>
      <c r="AS85" s="591"/>
      <c r="AT85" s="591"/>
      <c r="AU85" s="591"/>
      <c r="AV85" s="591"/>
      <c r="AW85" s="591"/>
      <c r="AY85" s="591"/>
    </row>
    <row r="86" spans="1:51" ht="20.25" hidden="1" customHeight="1" x14ac:dyDescent="0.2">
      <c r="A86" s="2"/>
      <c r="B86" s="2"/>
      <c r="C86" s="2"/>
      <c r="D86" s="2"/>
      <c r="E86" s="2"/>
      <c r="F86" s="1002" t="s">
        <v>761</v>
      </c>
      <c r="G86" s="1206">
        <f>IF($L77=0,0,$S79-G87)</f>
        <v>0</v>
      </c>
      <c r="H86" s="1206">
        <f>IF($L77=0,0,S80-H87)</f>
        <v>0</v>
      </c>
      <c r="I86" s="2035">
        <f>IF($L77=0,0,S81-I87)</f>
        <v>0</v>
      </c>
      <c r="J86" s="2036"/>
      <c r="K86" s="1206">
        <f>IF($L77=0,0,S82-K87)</f>
        <v>0</v>
      </c>
      <c r="L86" s="2237">
        <f>SUM(G86:K86)</f>
        <v>0</v>
      </c>
      <c r="M86" s="2237"/>
      <c r="N86" s="1003" t="s">
        <v>758</v>
      </c>
      <c r="O86" s="2"/>
      <c r="P86" s="2"/>
      <c r="Q86" s="2"/>
      <c r="R86" s="2"/>
      <c r="S86" s="999"/>
      <c r="T86" s="2"/>
      <c r="U86" s="999"/>
      <c r="V86" s="2"/>
      <c r="W86" s="2"/>
      <c r="X86" s="591"/>
      <c r="Y86" s="591"/>
      <c r="AG86" s="591"/>
      <c r="AH86" s="591"/>
      <c r="AI86" s="591"/>
      <c r="AJ86" s="591"/>
      <c r="AK86" s="591"/>
      <c r="AM86" s="591"/>
      <c r="AN86" s="591"/>
      <c r="AO86" s="591"/>
      <c r="AP86" s="591"/>
      <c r="AQ86" s="591"/>
      <c r="AS86" s="591"/>
      <c r="AT86" s="591"/>
      <c r="AU86" s="591"/>
      <c r="AV86" s="591"/>
      <c r="AW86" s="591"/>
      <c r="AY86" s="591"/>
    </row>
    <row r="87" spans="1:51" ht="20.25" hidden="1" customHeight="1" x14ac:dyDescent="0.2">
      <c r="A87" s="2"/>
      <c r="B87" s="2"/>
      <c r="C87" s="2"/>
      <c r="D87" s="2"/>
      <c r="E87" s="2"/>
      <c r="F87" s="1004" t="s">
        <v>762</v>
      </c>
      <c r="G87" s="1207">
        <f>IF($C$61=0,0,ROUND($L78*G89/100,2))</f>
        <v>0</v>
      </c>
      <c r="H87" s="1207">
        <f>IF($C$61=0,0,ROUND($L78*H89/100,2))</f>
        <v>0</v>
      </c>
      <c r="I87" s="2028">
        <f>IF($C$61=0,0,ROUND($L78*I89/100,2))</f>
        <v>0</v>
      </c>
      <c r="J87" s="2029"/>
      <c r="K87" s="1207">
        <f>IF($C$61=0,0,L78-G87-H87-I87)</f>
        <v>0</v>
      </c>
      <c r="L87" s="2125">
        <f>SUM(G87:K87)</f>
        <v>0</v>
      </c>
      <c r="M87" s="2125"/>
      <c r="N87" s="1005" t="s">
        <v>760</v>
      </c>
      <c r="O87" s="2"/>
      <c r="P87" s="2"/>
      <c r="Q87" s="2"/>
      <c r="R87" s="2"/>
      <c r="S87" s="999"/>
      <c r="T87" s="2"/>
      <c r="U87" s="999"/>
      <c r="V87" s="2"/>
      <c r="W87" s="2"/>
      <c r="X87" s="591"/>
      <c r="Y87" s="591"/>
      <c r="AG87" s="591"/>
      <c r="AH87" s="591"/>
      <c r="AI87" s="591"/>
      <c r="AJ87" s="591"/>
      <c r="AK87" s="591"/>
      <c r="AM87" s="591"/>
      <c r="AN87" s="591"/>
      <c r="AO87" s="591"/>
      <c r="AP87" s="591"/>
      <c r="AQ87" s="591"/>
      <c r="AS87" s="591"/>
      <c r="AT87" s="591"/>
      <c r="AU87" s="591"/>
      <c r="AV87" s="591"/>
      <c r="AW87" s="591"/>
      <c r="AY87" s="591"/>
    </row>
    <row r="88" spans="1:51" ht="20.25" hidden="1" customHeight="1" x14ac:dyDescent="0.2">
      <c r="A88" s="2"/>
      <c r="B88" s="2"/>
      <c r="C88" s="2"/>
      <c r="D88" s="2"/>
      <c r="E88" s="287"/>
      <c r="F88" s="995" t="s">
        <v>105</v>
      </c>
      <c r="G88" s="1020">
        <f>IF(G85=$M135,0,G86+G87)</f>
        <v>0</v>
      </c>
      <c r="H88" s="1020">
        <f>IF(H85=$M135,0,H86+H87)</f>
        <v>0</v>
      </c>
      <c r="I88" s="2216">
        <f>IF(I85=$M135,0,I86+I87)</f>
        <v>0</v>
      </c>
      <c r="J88" s="2216"/>
      <c r="K88" s="1020">
        <f>IF(K85=$M135,0,K86+K87)</f>
        <v>0</v>
      </c>
      <c r="L88" s="287"/>
      <c r="M88" s="287"/>
      <c r="N88" s="996">
        <f>SUM(G88:K88)</f>
        <v>0</v>
      </c>
      <c r="O88" s="503" t="str">
        <f>IF(N88=N79,"OK",E163)</f>
        <v>OK</v>
      </c>
      <c r="P88" s="2"/>
      <c r="Q88" s="2"/>
      <c r="R88" s="2"/>
      <c r="S88" s="1006"/>
      <c r="T88" s="2"/>
      <c r="U88" s="1006"/>
      <c r="V88" s="2"/>
      <c r="W88" s="2"/>
      <c r="X88" s="591"/>
      <c r="Y88" s="591"/>
      <c r="AG88" s="591"/>
      <c r="AH88" s="591"/>
      <c r="AI88" s="591"/>
      <c r="AJ88" s="591"/>
      <c r="AK88" s="591"/>
      <c r="AM88" s="591"/>
      <c r="AN88" s="591"/>
      <c r="AO88" s="591"/>
      <c r="AP88" s="591"/>
      <c r="AQ88" s="591"/>
      <c r="AS88" s="591"/>
      <c r="AT88" s="591"/>
      <c r="AU88" s="591"/>
      <c r="AV88" s="591"/>
      <c r="AW88" s="591"/>
      <c r="AY88" s="591"/>
    </row>
    <row r="89" spans="1:51" ht="20.25" hidden="1" customHeight="1" x14ac:dyDescent="0.2">
      <c r="A89" s="2"/>
      <c r="B89" s="2"/>
      <c r="C89" s="2"/>
      <c r="D89" s="2"/>
      <c r="E89" s="2"/>
      <c r="F89" s="970" t="s">
        <v>763</v>
      </c>
      <c r="G89" s="1021">
        <f>IF($C$61=0,0,IF(S79=0,0,ROUND($S79/$S89*100,10)))</f>
        <v>0</v>
      </c>
      <c r="H89" s="1021">
        <f>IF($C$61=0,0,IF(S80=0,0,ROUND(S80/$S89*100,10)))</f>
        <v>0</v>
      </c>
      <c r="I89" s="2101">
        <f>IF($C$61=0,0,IF(S81=0,0,ROUND(S81/$S89*100,10)))</f>
        <v>0</v>
      </c>
      <c r="J89" s="2101"/>
      <c r="K89" s="1021">
        <f>IF($C$61=0,0,IF(S82=0,0,100-G89-H89-I89))</f>
        <v>0</v>
      </c>
      <c r="L89" s="2"/>
      <c r="M89" s="2"/>
      <c r="N89" s="2"/>
      <c r="O89" s="2"/>
      <c r="P89" s="2"/>
      <c r="Q89" s="2"/>
      <c r="R89" s="2"/>
      <c r="S89" s="1006">
        <f>SUM(S79:S88)</f>
        <v>0</v>
      </c>
      <c r="T89" s="2"/>
      <c r="U89" s="1006">
        <f>SUM(U79:U88)</f>
        <v>0</v>
      </c>
      <c r="V89" s="2"/>
      <c r="W89" s="2"/>
      <c r="X89" s="591"/>
      <c r="Y89" s="591"/>
      <c r="Z89" s="591"/>
      <c r="AA89" s="591"/>
      <c r="AB89" s="591"/>
      <c r="AC89" s="591"/>
      <c r="AG89" s="591"/>
      <c r="AH89" s="591"/>
      <c r="AI89" s="591"/>
      <c r="AJ89" s="591"/>
      <c r="AK89" s="591"/>
      <c r="AM89" s="591"/>
      <c r="AN89" s="591"/>
      <c r="AO89" s="591"/>
      <c r="AP89" s="591"/>
      <c r="AQ89" s="591"/>
      <c r="AS89" s="591"/>
      <c r="AT89" s="591"/>
      <c r="AU89" s="591"/>
      <c r="AV89" s="591"/>
      <c r="AW89" s="591"/>
      <c r="AY89" s="591"/>
    </row>
    <row r="90" spans="1:51" ht="20.25" customHeight="1" x14ac:dyDescent="0.2">
      <c r="A90" s="2"/>
      <c r="B90" s="2"/>
      <c r="C90" s="2"/>
      <c r="D90" s="2"/>
      <c r="E90" s="2"/>
      <c r="F90" s="2"/>
      <c r="G90" s="2"/>
      <c r="H90" s="2"/>
      <c r="I90" s="2"/>
      <c r="J90" s="2"/>
      <c r="K90" s="2"/>
      <c r="L90" s="2"/>
      <c r="M90" s="2"/>
      <c r="N90" s="2"/>
      <c r="O90" s="2"/>
      <c r="P90" s="2"/>
      <c r="Q90" s="2"/>
      <c r="R90" s="2"/>
      <c r="S90" s="2"/>
      <c r="T90" s="2"/>
      <c r="U90" s="1110" t="e">
        <f>U89/S89*100</f>
        <v>#DIV/0!</v>
      </c>
      <c r="V90" s="2"/>
      <c r="W90" s="2"/>
      <c r="X90" s="591"/>
      <c r="Y90" s="591"/>
      <c r="Z90" s="591"/>
      <c r="AA90" s="591"/>
      <c r="AB90" s="591"/>
      <c r="AC90" s="591"/>
      <c r="AG90" s="591"/>
      <c r="AH90" s="591"/>
      <c r="AI90" s="591"/>
      <c r="AJ90" s="591"/>
      <c r="AK90" s="591"/>
      <c r="AM90" s="591"/>
      <c r="AN90" s="591"/>
      <c r="AO90" s="591"/>
      <c r="AP90" s="591"/>
      <c r="AQ90" s="591"/>
      <c r="AS90" s="591"/>
      <c r="AT90" s="591"/>
      <c r="AU90" s="591"/>
      <c r="AV90" s="591"/>
      <c r="AW90" s="591"/>
      <c r="AY90" s="591"/>
    </row>
    <row r="91" spans="1:51" ht="30" customHeight="1" x14ac:dyDescent="0.2">
      <c r="A91" s="2"/>
      <c r="B91" s="2"/>
      <c r="C91" s="2030" t="str">
        <f>IF(SUM(G150:J150)&gt;0,G151,IMPOSTAZIONI!Y383)</f>
        <v>Quest' area si attiva con colonne IVA "Aliquote diverse" - Al momento non c'è nessun importo da scorporare manualmente.</v>
      </c>
      <c r="D91" s="2030"/>
      <c r="E91" s="2030"/>
      <c r="F91" s="2030"/>
      <c r="G91" s="2030"/>
      <c r="H91" s="2030"/>
      <c r="I91" s="2030"/>
      <c r="J91" s="2030"/>
      <c r="K91" s="2030"/>
      <c r="L91" s="2030"/>
      <c r="M91" s="2030"/>
      <c r="N91" s="2030"/>
      <c r="O91" s="2030"/>
      <c r="P91" s="2030"/>
      <c r="Q91" s="98"/>
      <c r="R91" s="98"/>
      <c r="S91" s="98"/>
      <c r="T91" s="2"/>
      <c r="U91" s="2"/>
      <c r="V91" s="2"/>
      <c r="W91" s="2"/>
      <c r="X91" s="591"/>
      <c r="Y91" s="591"/>
      <c r="Z91" s="591"/>
      <c r="AA91" s="591"/>
      <c r="AB91" s="591"/>
      <c r="AC91" s="591"/>
      <c r="AG91" s="591"/>
      <c r="AH91" s="591"/>
      <c r="AI91" s="591"/>
      <c r="AJ91" s="591"/>
      <c r="AK91" s="591"/>
      <c r="AM91" s="591"/>
      <c r="AN91" s="591"/>
      <c r="AO91" s="591"/>
      <c r="AP91" s="591"/>
      <c r="AQ91" s="591"/>
      <c r="AS91" s="591"/>
      <c r="AT91" s="591"/>
      <c r="AU91" s="591"/>
      <c r="AV91" s="591"/>
      <c r="AW91" s="591"/>
      <c r="AY91" s="591"/>
    </row>
    <row r="92" spans="1:51" ht="5.25" customHeight="1" x14ac:dyDescent="0.2">
      <c r="A92" s="2"/>
      <c r="B92" s="2"/>
      <c r="C92" s="2"/>
      <c r="D92" s="2"/>
      <c r="E92" s="2"/>
      <c r="F92" s="2"/>
      <c r="G92" s="2"/>
      <c r="H92" s="2"/>
      <c r="I92" s="2"/>
      <c r="J92" s="2"/>
      <c r="K92" s="2"/>
      <c r="L92" s="2"/>
      <c r="M92" s="2"/>
      <c r="N92" s="2"/>
      <c r="O92" s="2"/>
      <c r="P92" s="2"/>
      <c r="Q92" s="2"/>
      <c r="R92" s="2"/>
      <c r="S92" s="2"/>
      <c r="T92" s="2"/>
      <c r="U92" s="2"/>
      <c r="V92" s="2"/>
      <c r="W92" s="2"/>
      <c r="X92" s="591"/>
      <c r="Y92" s="591"/>
      <c r="Z92" s="591"/>
      <c r="AA92" s="591"/>
      <c r="AB92" s="591"/>
      <c r="AC92" s="591"/>
      <c r="AG92" s="591"/>
      <c r="AH92" s="591"/>
      <c r="AI92" s="591"/>
      <c r="AJ92" s="591"/>
      <c r="AK92" s="591"/>
      <c r="AM92" s="591"/>
      <c r="AN92" s="591"/>
      <c r="AO92" s="591"/>
      <c r="AP92" s="591"/>
      <c r="AQ92" s="591"/>
      <c r="AS92" s="591"/>
      <c r="AT92" s="591"/>
      <c r="AU92" s="591"/>
      <c r="AV92" s="591"/>
      <c r="AW92" s="591"/>
      <c r="AY92" s="591"/>
    </row>
    <row r="93" spans="1:51" ht="18" customHeight="1" x14ac:dyDescent="0.2">
      <c r="A93" s="2"/>
      <c r="B93" s="2"/>
      <c r="C93" s="2111"/>
      <c r="D93" s="2111"/>
      <c r="E93" s="2112"/>
      <c r="F93" s="2113"/>
      <c r="G93" s="298" t="str">
        <f t="shared" ref="G93:H95" si="34">IF(G$155="X",G43,"")</f>
        <v/>
      </c>
      <c r="H93" s="298" t="str">
        <f t="shared" si="34"/>
        <v/>
      </c>
      <c r="I93" s="298"/>
      <c r="J93" s="298"/>
      <c r="K93" s="298" t="str">
        <f>IF(I$155="X",K43,"")</f>
        <v/>
      </c>
      <c r="L93" s="298"/>
      <c r="M93" s="298"/>
      <c r="N93" s="298" t="str">
        <f>IF(J$155="X",N43,"")</f>
        <v/>
      </c>
      <c r="O93" s="2033"/>
      <c r="P93" s="2033"/>
      <c r="Q93" s="12"/>
      <c r="R93" s="2"/>
      <c r="S93" s="2"/>
      <c r="T93" s="2"/>
      <c r="U93" s="2"/>
      <c r="V93" s="2"/>
      <c r="W93" s="2"/>
      <c r="X93" s="591"/>
      <c r="Y93" s="591"/>
      <c r="Z93" s="591"/>
      <c r="AA93" s="591"/>
      <c r="AB93" s="591"/>
      <c r="AC93" s="591"/>
      <c r="AG93" s="591"/>
      <c r="AH93" s="591"/>
      <c r="AI93" s="591"/>
      <c r="AJ93" s="591"/>
      <c r="AK93" s="591"/>
      <c r="AM93" s="591"/>
      <c r="AN93" s="591"/>
      <c r="AO93" s="591"/>
      <c r="AP93" s="591"/>
      <c r="AQ93" s="591"/>
      <c r="AS93" s="591"/>
      <c r="AT93" s="591"/>
      <c r="AU93" s="591"/>
      <c r="AV93" s="591"/>
      <c r="AW93" s="591"/>
      <c r="AY93" s="591"/>
    </row>
    <row r="94" spans="1:51" ht="18" customHeight="1" x14ac:dyDescent="0.2">
      <c r="A94" s="2"/>
      <c r="B94" s="2"/>
      <c r="C94" s="2114" t="str">
        <f>C44</f>
        <v>TOTALI DEL PERIODO:</v>
      </c>
      <c r="D94" s="2091"/>
      <c r="E94" s="2091"/>
      <c r="F94" s="2091"/>
      <c r="G94" s="57" t="str">
        <f t="shared" si="34"/>
        <v/>
      </c>
      <c r="H94" s="57" t="str">
        <f t="shared" si="34"/>
        <v/>
      </c>
      <c r="I94" s="57" t="s">
        <v>288</v>
      </c>
      <c r="J94" s="57"/>
      <c r="K94" s="57" t="str">
        <f>IF(I$155="X",K44,"")</f>
        <v/>
      </c>
      <c r="L94" s="57" t="s">
        <v>288</v>
      </c>
      <c r="M94" s="57"/>
      <c r="N94" s="57" t="str">
        <f>IF(J$155="X",N44,"")</f>
        <v/>
      </c>
      <c r="O94" s="85"/>
      <c r="P94" s="85"/>
      <c r="Q94" s="12"/>
      <c r="R94" s="2"/>
      <c r="S94" s="2"/>
      <c r="T94" s="2"/>
      <c r="U94" s="2"/>
      <c r="V94" s="2"/>
      <c r="W94" s="2"/>
      <c r="X94" s="591"/>
      <c r="Y94" s="591"/>
      <c r="Z94" s="591"/>
      <c r="AA94" s="591"/>
      <c r="AB94" s="591"/>
      <c r="AC94" s="591"/>
      <c r="AG94" s="591"/>
      <c r="AH94" s="591"/>
      <c r="AI94" s="591"/>
      <c r="AJ94" s="591"/>
      <c r="AK94" s="591"/>
      <c r="AM94" s="591"/>
      <c r="AN94" s="591"/>
      <c r="AO94" s="591"/>
      <c r="AP94" s="591"/>
      <c r="AQ94" s="591"/>
      <c r="AS94" s="591"/>
      <c r="AT94" s="591"/>
      <c r="AU94" s="591"/>
      <c r="AV94" s="591"/>
      <c r="AW94" s="591"/>
      <c r="AY94" s="591"/>
    </row>
    <row r="95" spans="1:51" ht="18" customHeight="1" x14ac:dyDescent="0.2">
      <c r="A95" s="2"/>
      <c r="B95" s="2"/>
      <c r="C95" s="2115" t="str">
        <f>C45</f>
        <v>01/04 - 30/04</v>
      </c>
      <c r="D95" s="2115"/>
      <c r="E95" s="2115"/>
      <c r="F95" s="2115"/>
      <c r="G95" s="90" t="str">
        <f t="shared" si="34"/>
        <v/>
      </c>
      <c r="H95" s="90" t="str">
        <f t="shared" si="34"/>
        <v/>
      </c>
      <c r="I95" s="90" t="s">
        <v>288</v>
      </c>
      <c r="J95" s="90"/>
      <c r="K95" s="90" t="str">
        <f>IF(I$155="X",K45,"")</f>
        <v/>
      </c>
      <c r="L95" s="90" t="s">
        <v>288</v>
      </c>
      <c r="M95" s="90"/>
      <c r="N95" s="90" t="str">
        <f>IF(J$155="X",N45,"")</f>
        <v/>
      </c>
      <c r="O95" s="89"/>
      <c r="P95" s="89"/>
      <c r="Q95" s="12"/>
      <c r="R95" s="2"/>
      <c r="S95" s="2"/>
      <c r="T95" s="2"/>
      <c r="U95" s="2"/>
      <c r="V95" s="2"/>
      <c r="W95" s="2"/>
      <c r="X95" s="591"/>
      <c r="Y95" s="591"/>
      <c r="Z95" s="591"/>
      <c r="AA95" s="591"/>
      <c r="AB95" s="591"/>
      <c r="AC95" s="591"/>
      <c r="AG95" s="591"/>
      <c r="AH95" s="591"/>
      <c r="AI95" s="591"/>
      <c r="AJ95" s="591"/>
      <c r="AK95" s="591"/>
      <c r="AM95" s="591"/>
      <c r="AN95" s="591"/>
      <c r="AO95" s="591"/>
      <c r="AP95" s="591"/>
      <c r="AQ95" s="591"/>
      <c r="AS95" s="591"/>
      <c r="AT95" s="591"/>
      <c r="AU95" s="591"/>
      <c r="AV95" s="591"/>
      <c r="AW95" s="591"/>
      <c r="AY95" s="591"/>
    </row>
    <row r="96" spans="1:51" ht="18.75" customHeight="1" x14ac:dyDescent="0.2">
      <c r="A96" s="2"/>
      <c r="B96" s="7"/>
      <c r="C96" s="2110"/>
      <c r="D96" s="2110"/>
      <c r="E96" s="2109"/>
      <c r="F96" s="2109"/>
      <c r="G96" s="297">
        <f>IF(G155="X",G46,0)</f>
        <v>0</v>
      </c>
      <c r="H96" s="297">
        <f>IF(H155="X",H46,0)</f>
        <v>0</v>
      </c>
      <c r="I96" s="657"/>
      <c r="J96" s="657"/>
      <c r="K96" s="297">
        <f>IF(I155="X",K46,0)</f>
        <v>0</v>
      </c>
      <c r="L96" s="657"/>
      <c r="M96" s="657"/>
      <c r="N96" s="297">
        <f>IF(J155="X",N46,0)</f>
        <v>0</v>
      </c>
      <c r="O96" s="2210" t="s">
        <v>353</v>
      </c>
      <c r="P96" s="2210"/>
      <c r="Q96" s="12"/>
      <c r="R96" s="462">
        <f>R97+R98</f>
        <v>0</v>
      </c>
      <c r="S96" s="2"/>
      <c r="T96" s="2"/>
      <c r="U96" s="2"/>
      <c r="V96" s="591"/>
      <c r="W96" s="591"/>
      <c r="X96" s="591"/>
      <c r="Y96" s="591"/>
      <c r="Z96" s="591"/>
      <c r="AA96" s="591"/>
      <c r="AB96" s="591"/>
      <c r="AC96" s="591"/>
      <c r="AG96" s="591"/>
      <c r="AH96" s="591"/>
      <c r="AI96" s="591"/>
      <c r="AJ96" s="591"/>
      <c r="AK96" s="591"/>
      <c r="AM96" s="591"/>
      <c r="AN96" s="591"/>
      <c r="AO96" s="591"/>
      <c r="AP96" s="591"/>
      <c r="AQ96" s="591"/>
      <c r="AS96" s="591"/>
      <c r="AT96" s="591"/>
      <c r="AU96" s="591"/>
      <c r="AV96" s="591"/>
      <c r="AW96" s="591"/>
      <c r="AY96" s="591"/>
    </row>
    <row r="97" spans="1:51" ht="18.75" customHeight="1" x14ac:dyDescent="0.25">
      <c r="A97" s="2"/>
      <c r="B97" s="7"/>
      <c r="C97" s="2032" t="s">
        <v>350</v>
      </c>
      <c r="D97" s="2032"/>
      <c r="E97" s="2032"/>
      <c r="F97" s="2032"/>
      <c r="G97" s="299"/>
      <c r="H97" s="299"/>
      <c r="I97" s="658"/>
      <c r="J97" s="658"/>
      <c r="K97" s="299"/>
      <c r="L97" s="658"/>
      <c r="M97" s="658"/>
      <c r="N97" s="299"/>
      <c r="O97" s="2221" t="s">
        <v>355</v>
      </c>
      <c r="P97" s="2221"/>
      <c r="Q97" s="12"/>
      <c r="R97" s="462">
        <f>SUM(G97:N97)</f>
        <v>0</v>
      </c>
      <c r="S97" s="462">
        <f>SUMIF($G$42:N$42,K$134,$G97:N97)</f>
        <v>0</v>
      </c>
      <c r="T97" s="1110" t="e">
        <f>S97/R97*100</f>
        <v>#DIV/0!</v>
      </c>
      <c r="U97" s="2"/>
      <c r="V97" s="591"/>
      <c r="W97" s="591"/>
      <c r="X97" s="591"/>
      <c r="Y97" s="591"/>
      <c r="Z97" s="591"/>
      <c r="AA97" s="591"/>
      <c r="AB97" s="591"/>
      <c r="AC97" s="591"/>
      <c r="AG97" s="591"/>
      <c r="AH97" s="591"/>
      <c r="AI97" s="591"/>
      <c r="AJ97" s="591"/>
      <c r="AK97" s="591"/>
      <c r="AM97" s="591"/>
      <c r="AN97" s="591"/>
      <c r="AO97" s="591"/>
      <c r="AP97" s="591"/>
      <c r="AQ97" s="591"/>
      <c r="AS97" s="591"/>
      <c r="AT97" s="591"/>
      <c r="AU97" s="591"/>
      <c r="AV97" s="591"/>
      <c r="AW97" s="591"/>
      <c r="AY97" s="591"/>
    </row>
    <row r="98" spans="1:51" ht="18.75" customHeight="1" x14ac:dyDescent="0.2">
      <c r="A98" s="2"/>
      <c r="B98" s="7"/>
      <c r="C98" s="2108" t="s">
        <v>490</v>
      </c>
      <c r="D98" s="2108"/>
      <c r="E98" s="2108"/>
      <c r="F98" s="2108"/>
      <c r="G98" s="300"/>
      <c r="H98" s="660"/>
      <c r="I98" s="659"/>
      <c r="J98" s="659"/>
      <c r="K98" s="660"/>
      <c r="L98" s="659"/>
      <c r="M98" s="659"/>
      <c r="N98" s="660"/>
      <c r="O98" s="2018" t="s">
        <v>349</v>
      </c>
      <c r="P98" s="2018"/>
      <c r="Q98" s="13"/>
      <c r="R98" s="462">
        <f>SUM(G98:N98)</f>
        <v>0</v>
      </c>
      <c r="S98" s="2"/>
      <c r="T98" s="2"/>
      <c r="U98" s="2"/>
      <c r="V98" s="591"/>
      <c r="W98" s="591"/>
      <c r="X98" s="591"/>
      <c r="Y98" s="591"/>
      <c r="Z98" s="591"/>
      <c r="AA98" s="591"/>
      <c r="AB98" s="591"/>
      <c r="AC98" s="591"/>
      <c r="AG98" s="591"/>
      <c r="AH98" s="591"/>
      <c r="AI98" s="591"/>
      <c r="AJ98" s="591"/>
      <c r="AK98" s="591"/>
      <c r="AM98" s="591"/>
      <c r="AN98" s="591"/>
      <c r="AO98" s="591"/>
      <c r="AP98" s="591"/>
      <c r="AQ98" s="591"/>
      <c r="AS98" s="591"/>
      <c r="AT98" s="591"/>
      <c r="AU98" s="591"/>
      <c r="AV98" s="591"/>
      <c r="AW98" s="591"/>
      <c r="AY98" s="591"/>
    </row>
    <row r="99" spans="1:51" ht="15" customHeight="1" x14ac:dyDescent="0.2">
      <c r="A99" s="2"/>
      <c r="B99" s="2"/>
      <c r="C99" s="10"/>
      <c r="D99" s="10"/>
      <c r="E99" s="10"/>
      <c r="F99" s="10"/>
      <c r="G99" s="91" t="str">
        <f>IF(AND(SUM(G97:G98)&lt;&gt;0,G152=0),$L$152,IF(G152=0,"",IF(G97=0,IMPOSTAZIONI!$J$383,IF((G97+G98)&lt;&gt;G96,IMPOSTAZIONI!$M$383,IMPOSTAZIONI!$H$383))))</f>
        <v/>
      </c>
      <c r="H99" s="91" t="str">
        <f>IF(AND(SUM(H97:H98)&lt;&gt;0,H152=0),$L$152,IF(H152=0,"",IF(H97=0,IMPOSTAZIONI!$J$383,IF((H97+H98)&lt;&gt;H96,IMPOSTAZIONI!$M$383,IMPOSTAZIONI!$H$383))))</f>
        <v/>
      </c>
      <c r="I99" s="91"/>
      <c r="J99" s="91"/>
      <c r="K99" s="91" t="str">
        <f>IF(AND(SUM(K97:K98)&lt;&gt;0,I152=0),$L$152,IF(I152=0,"",IF(K97=0,IMPOSTAZIONI!$J$383,IF((K97+K98)&lt;&gt;K96,IMPOSTAZIONI!$M$383,IMPOSTAZIONI!$H$383))))</f>
        <v/>
      </c>
      <c r="L99" s="91"/>
      <c r="M99" s="91"/>
      <c r="N99" s="91" t="str">
        <f>IF(AND(SUM(N97:N98)&lt;&gt;0,J152=0),$L$152,IF(J152=0,"",IF(N97=0,IMPOSTAZIONI!$J$383,IF((N97+N98)&lt;&gt;N96,IMPOSTAZIONI!$M$383,IMPOSTAZIONI!$H$383))))</f>
        <v/>
      </c>
      <c r="O99" s="10"/>
      <c r="P99" s="10"/>
      <c r="Q99" s="2"/>
      <c r="R99" s="2"/>
      <c r="S99" s="2"/>
      <c r="T99" s="2"/>
      <c r="U99" s="2"/>
      <c r="V99" s="591"/>
      <c r="W99" s="591"/>
      <c r="X99" s="591"/>
      <c r="Y99" s="591"/>
      <c r="Z99" s="591"/>
      <c r="AA99" s="591"/>
      <c r="AB99" s="591"/>
      <c r="AC99" s="591"/>
      <c r="AG99" s="591"/>
      <c r="AH99" s="591"/>
      <c r="AI99" s="591"/>
      <c r="AJ99" s="591"/>
      <c r="AK99" s="591"/>
      <c r="AM99" s="591"/>
      <c r="AN99" s="591"/>
      <c r="AO99" s="591"/>
      <c r="AP99" s="591"/>
      <c r="AQ99" s="591"/>
      <c r="AS99" s="591"/>
      <c r="AT99" s="591"/>
      <c r="AU99" s="591"/>
      <c r="AV99" s="591"/>
      <c r="AW99" s="591"/>
      <c r="AY99" s="591"/>
    </row>
    <row r="100" spans="1:51" ht="21" customHeight="1" x14ac:dyDescent="0.2">
      <c r="A100" s="2"/>
      <c r="B100" s="2"/>
      <c r="C100" s="2116" t="s">
        <v>354</v>
      </c>
      <c r="D100" s="2116"/>
      <c r="E100" s="2116"/>
      <c r="F100" s="2116"/>
      <c r="G100" s="2"/>
      <c r="H100" s="2"/>
      <c r="I100" s="2"/>
      <c r="J100" s="2"/>
      <c r="K100" s="2"/>
      <c r="L100" s="2"/>
      <c r="M100" s="2"/>
      <c r="N100" s="2"/>
      <c r="O100" s="2"/>
      <c r="P100" s="2"/>
      <c r="Q100" s="2"/>
      <c r="R100" s="2"/>
      <c r="S100" s="2"/>
      <c r="T100" s="128" t="s">
        <v>783</v>
      </c>
      <c r="U100" s="2"/>
      <c r="V100" s="591"/>
      <c r="W100" s="591"/>
      <c r="X100" s="591"/>
      <c r="Y100" s="591"/>
      <c r="Z100" s="591"/>
      <c r="AA100" s="591"/>
      <c r="AB100" s="591"/>
      <c r="AC100" s="591"/>
      <c r="AG100" s="591"/>
      <c r="AH100" s="591"/>
      <c r="AI100" s="591"/>
      <c r="AJ100" s="591"/>
      <c r="AK100" s="591"/>
      <c r="AM100" s="591"/>
      <c r="AN100" s="591"/>
      <c r="AO100" s="591"/>
      <c r="AP100" s="591"/>
      <c r="AQ100" s="591"/>
      <c r="AS100" s="591"/>
      <c r="AT100" s="591"/>
      <c r="AU100" s="591"/>
      <c r="AV100" s="591"/>
      <c r="AW100" s="591"/>
      <c r="AY100" s="591"/>
    </row>
    <row r="101" spans="1:51" ht="16.5" customHeight="1" x14ac:dyDescent="0.2">
      <c r="A101" s="2"/>
      <c r="B101" s="18" t="e">
        <f>VERIFICA!#REF!</f>
        <v>#REF!</v>
      </c>
      <c r="C101" s="2106" t="str">
        <f>IF(AND(RIEPILOGO!B8="",SUM(G101:N101)&gt;0),"ERROR",RIEPILOGO!B8)</f>
        <v>Aliquota 22 %</v>
      </c>
      <c r="D101" s="2106"/>
      <c r="E101" s="2106"/>
      <c r="F101" s="2106"/>
      <c r="G101" s="236"/>
      <c r="H101" s="236"/>
      <c r="I101" s="658"/>
      <c r="J101" s="658"/>
      <c r="K101" s="236"/>
      <c r="L101" s="658"/>
      <c r="M101" s="658"/>
      <c r="N101" s="236"/>
      <c r="O101" s="2218" t="s">
        <v>349</v>
      </c>
      <c r="P101" s="2218"/>
      <c r="Q101" s="12"/>
      <c r="R101" s="93">
        <f>SUM(G101:N101)</f>
        <v>0</v>
      </c>
      <c r="S101" s="93">
        <f>SUMIF($G$42:N$42,K$134,$G101:N101)</f>
        <v>0</v>
      </c>
      <c r="T101" s="1110" t="e">
        <f>S101/R101*100</f>
        <v>#DIV/0!</v>
      </c>
      <c r="U101" s="2"/>
      <c r="V101" s="591"/>
      <c r="W101" s="591"/>
      <c r="X101" s="591"/>
      <c r="Y101" s="591"/>
      <c r="Z101" s="591"/>
      <c r="AA101" s="591"/>
      <c r="AB101" s="591"/>
      <c r="AC101" s="591"/>
      <c r="AG101" s="591"/>
      <c r="AH101" s="591"/>
      <c r="AI101" s="591"/>
      <c r="AJ101" s="591"/>
      <c r="AK101" s="591"/>
      <c r="AM101" s="591"/>
      <c r="AN101" s="591"/>
      <c r="AO101" s="591"/>
      <c r="AP101" s="591"/>
      <c r="AQ101" s="591"/>
      <c r="AS101" s="591"/>
      <c r="AT101" s="591"/>
      <c r="AU101" s="591"/>
      <c r="AV101" s="591"/>
      <c r="AW101" s="591"/>
      <c r="AY101" s="591"/>
    </row>
    <row r="102" spans="1:51" ht="16.5" customHeight="1" x14ac:dyDescent="0.2">
      <c r="A102" s="2"/>
      <c r="B102" s="18" t="e">
        <f>VERIFICA!#REF!</f>
        <v>#REF!</v>
      </c>
      <c r="C102" s="2106" t="str">
        <f>IF(AND(RIEPILOGO!B9="",SUM(G102:N102)&gt;0),"ERROR",RIEPILOGO!B9)</f>
        <v>Aliquota 10 %</v>
      </c>
      <c r="D102" s="2106"/>
      <c r="E102" s="2106"/>
      <c r="F102" s="2106"/>
      <c r="G102" s="237"/>
      <c r="H102" s="237"/>
      <c r="I102" s="658"/>
      <c r="J102" s="658"/>
      <c r="K102" s="237"/>
      <c r="L102" s="658"/>
      <c r="M102" s="658"/>
      <c r="N102" s="237"/>
      <c r="O102" s="2218" t="s">
        <v>349</v>
      </c>
      <c r="P102" s="2218"/>
      <c r="Q102" s="12"/>
      <c r="R102" s="94">
        <f>SUM(G102:N102)</f>
        <v>0</v>
      </c>
      <c r="S102" s="94">
        <f>SUMIF($G$42:N$42,K$134,$G102:N102)</f>
        <v>0</v>
      </c>
      <c r="T102" s="1110" t="e">
        <f>S102/R102*100</f>
        <v>#DIV/0!</v>
      </c>
      <c r="U102" s="2"/>
      <c r="V102" s="591"/>
      <c r="W102" s="591"/>
      <c r="X102" s="591"/>
      <c r="Y102" s="591"/>
      <c r="Z102" s="591"/>
      <c r="AA102" s="591"/>
      <c r="AB102" s="591"/>
      <c r="AC102" s="591"/>
      <c r="AG102" s="591"/>
      <c r="AH102" s="591"/>
      <c r="AI102" s="591"/>
      <c r="AJ102" s="591"/>
      <c r="AK102" s="591"/>
      <c r="AM102" s="591"/>
      <c r="AN102" s="591"/>
      <c r="AO102" s="591"/>
      <c r="AP102" s="591"/>
      <c r="AQ102" s="591"/>
      <c r="AS102" s="591"/>
      <c r="AT102" s="591"/>
      <c r="AU102" s="591"/>
      <c r="AV102" s="591"/>
      <c r="AW102" s="591"/>
      <c r="AY102" s="591"/>
    </row>
    <row r="103" spans="1:51" ht="16.5" customHeight="1" x14ac:dyDescent="0.2">
      <c r="A103" s="2"/>
      <c r="B103" s="18" t="e">
        <f>VERIFICA!#REF!</f>
        <v>#REF!</v>
      </c>
      <c r="C103" s="2106" t="str">
        <f>IF(AND(RIEPILOGO!B10="",SUM(G103:N103)&gt;0),"ERROR",RIEPILOGO!B10)</f>
        <v>Aliquota 4 %</v>
      </c>
      <c r="D103" s="2106"/>
      <c r="E103" s="2106"/>
      <c r="F103" s="2106"/>
      <c r="G103" s="304"/>
      <c r="H103" s="304"/>
      <c r="I103" s="658"/>
      <c r="J103" s="658"/>
      <c r="K103" s="304"/>
      <c r="L103" s="658"/>
      <c r="M103" s="658"/>
      <c r="N103" s="304"/>
      <c r="O103" s="2218" t="s">
        <v>349</v>
      </c>
      <c r="P103" s="2218"/>
      <c r="Q103" s="12"/>
      <c r="R103" s="94">
        <f>SUM(G103:N103)</f>
        <v>0</v>
      </c>
      <c r="S103" s="94">
        <f>SUMIF($G$42:N$42,K$134,$G103:N103)</f>
        <v>0</v>
      </c>
      <c r="T103" s="1110" t="e">
        <f>S103/R103*100</f>
        <v>#DIV/0!</v>
      </c>
      <c r="U103" s="2"/>
      <c r="V103" s="591"/>
      <c r="W103" s="591"/>
      <c r="X103" s="591"/>
      <c r="Y103" s="591"/>
      <c r="Z103" s="591"/>
      <c r="AA103" s="591"/>
      <c r="AB103" s="591"/>
      <c r="AC103" s="591"/>
      <c r="AG103" s="591"/>
      <c r="AH103" s="591"/>
      <c r="AI103" s="591"/>
      <c r="AJ103" s="591"/>
      <c r="AK103" s="591"/>
      <c r="AM103" s="591"/>
      <c r="AN103" s="591"/>
      <c r="AO103" s="591"/>
      <c r="AP103" s="591"/>
      <c r="AQ103" s="591"/>
      <c r="AS103" s="591"/>
      <c r="AT103" s="591"/>
      <c r="AU103" s="591"/>
      <c r="AV103" s="591"/>
      <c r="AW103" s="591"/>
      <c r="AY103" s="591"/>
    </row>
    <row r="104" spans="1:51" ht="16.5" customHeight="1" x14ac:dyDescent="0.2">
      <c r="A104" s="2"/>
      <c r="B104" s="18" t="e">
        <f>VERIFICA!#REF!</f>
        <v>#REF!</v>
      </c>
      <c r="C104" s="2106" t="str">
        <f>IF(AND(RIEPILOGO!B11="",SUM(G104:N104)&gt;0),"ERROR",RIEPILOGO!B11)</f>
        <v/>
      </c>
      <c r="D104" s="2106"/>
      <c r="E104" s="2106"/>
      <c r="F104" s="2106"/>
      <c r="G104" s="304"/>
      <c r="H104" s="660"/>
      <c r="I104" s="659"/>
      <c r="J104" s="659"/>
      <c r="K104" s="660"/>
      <c r="L104" s="659"/>
      <c r="M104" s="659"/>
      <c r="N104" s="660"/>
      <c r="O104" s="2217" t="s">
        <v>349</v>
      </c>
      <c r="P104" s="2217"/>
      <c r="Q104" s="12"/>
      <c r="R104" s="95">
        <f>SUM(G104:N104)</f>
        <v>0</v>
      </c>
      <c r="S104" s="95">
        <f>SUMIF($G$42:N$42,K$134,$G104:N104)</f>
        <v>0</v>
      </c>
      <c r="T104" s="1110" t="e">
        <f>S104/R104*100</f>
        <v>#DIV/0!</v>
      </c>
      <c r="U104" s="2"/>
      <c r="V104" s="591"/>
      <c r="W104" s="591"/>
      <c r="X104" s="591"/>
      <c r="Y104" s="591"/>
      <c r="Z104" s="591"/>
      <c r="AA104" s="591"/>
      <c r="AB104" s="591"/>
      <c r="AC104" s="591"/>
      <c r="AG104" s="591"/>
      <c r="AH104" s="591"/>
      <c r="AI104" s="591"/>
      <c r="AJ104" s="591"/>
      <c r="AK104" s="591"/>
      <c r="AM104" s="591"/>
      <c r="AN104" s="591"/>
      <c r="AO104" s="591"/>
      <c r="AP104" s="591"/>
      <c r="AQ104" s="591"/>
      <c r="AS104" s="591"/>
      <c r="AT104" s="591"/>
      <c r="AU104" s="591"/>
      <c r="AV104" s="591"/>
      <c r="AW104" s="591"/>
      <c r="AY104" s="591"/>
    </row>
    <row r="105" spans="1:51" ht="15" customHeight="1" x14ac:dyDescent="0.2">
      <c r="A105" s="2"/>
      <c r="B105" s="2"/>
      <c r="C105" s="10"/>
      <c r="D105" s="10"/>
      <c r="E105" s="10"/>
      <c r="F105" s="10"/>
      <c r="G105" s="91" t="str">
        <f>IF(AND(SUM(G101:G104)&lt;&gt;0,G152=0),$L$152,IF(G152=0,"",IF(SUM(G101:G104)&lt;&gt;G98,IMPOSTAZIONI!$J$383,IF(SUM(G101:G104)&lt;&gt;G98,IMPOSTAZIONI!$M$383,IMPOSTAZIONI!$H$383))))</f>
        <v/>
      </c>
      <c r="H105" s="91" t="str">
        <f>IF(AND(SUM(H101:H104)&lt;&gt;0,H152=0),$L$152,IF(H152=0,"",IF(SUM(H101:H104)&lt;&gt;H98,IMPOSTAZIONI!$J$383,IF(SUM(H101:H104)&lt;&gt;H98,IMPOSTAZIONI!$M$383,IMPOSTAZIONI!$H$383))))</f>
        <v/>
      </c>
      <c r="I105" s="91"/>
      <c r="J105" s="91"/>
      <c r="K105" s="91" t="str">
        <f>IF(AND(SUM(K101:K104)&lt;&gt;0,I152=0),$L$152,IF(I152=0,"",IF(SUM(K101:K104)&lt;&gt;K98,IMPOSTAZIONI!$J$383,IF(SUM(K101:K104)&lt;&gt;K98,IMPOSTAZIONI!$M$383,IMPOSTAZIONI!$H$383))))</f>
        <v/>
      </c>
      <c r="L105" s="91"/>
      <c r="M105" s="91"/>
      <c r="N105" s="91" t="str">
        <f>IF(AND(SUM(N101:N104)&lt;&gt;0,J152=0),$L$152,IF(J152=0,"",IF(SUM(N101:N104)&lt;&gt;N98,IMPOSTAZIONI!$J$383,IF(SUM(N101:N104)&lt;&gt;N98,IMPOSTAZIONI!$M$383,IMPOSTAZIONI!$H$383))))</f>
        <v/>
      </c>
      <c r="O105" s="10"/>
      <c r="P105" s="10"/>
      <c r="Q105" s="2"/>
      <c r="R105" s="2"/>
      <c r="S105" s="2"/>
      <c r="T105" s="2"/>
      <c r="U105" s="2"/>
      <c r="V105" s="591"/>
      <c r="W105" s="591"/>
      <c r="X105" s="591"/>
      <c r="Y105" s="591"/>
      <c r="Z105" s="591"/>
      <c r="AA105" s="591"/>
      <c r="AB105" s="591"/>
      <c r="AC105" s="591"/>
      <c r="AG105" s="591"/>
      <c r="AH105" s="591"/>
      <c r="AI105" s="591"/>
      <c r="AJ105" s="591"/>
      <c r="AK105" s="591"/>
      <c r="AM105" s="591"/>
      <c r="AN105" s="591"/>
      <c r="AO105" s="591"/>
      <c r="AP105" s="591"/>
      <c r="AQ105" s="591"/>
      <c r="AS105" s="591"/>
      <c r="AT105" s="591"/>
      <c r="AU105" s="591"/>
      <c r="AV105" s="591"/>
      <c r="AW105" s="591"/>
      <c r="AY105" s="591"/>
    </row>
    <row r="106" spans="1:51" ht="21" customHeight="1" x14ac:dyDescent="0.2">
      <c r="A106" s="2"/>
      <c r="B106" s="2"/>
      <c r="C106" s="2"/>
      <c r="D106" s="2"/>
      <c r="E106" s="2"/>
      <c r="F106" s="2"/>
      <c r="G106" s="2"/>
      <c r="H106" s="2"/>
      <c r="I106" s="2"/>
      <c r="J106" s="2"/>
      <c r="K106" s="2"/>
      <c r="L106" s="2"/>
      <c r="M106" s="2"/>
      <c r="N106" s="2"/>
      <c r="O106" s="2"/>
      <c r="P106" s="2"/>
      <c r="Q106" s="2"/>
      <c r="R106" s="2"/>
      <c r="S106" s="2"/>
      <c r="T106" s="2"/>
      <c r="U106" s="2"/>
      <c r="V106" s="591"/>
      <c r="W106" s="591"/>
      <c r="X106" s="591"/>
      <c r="Y106" s="591"/>
      <c r="Z106" s="591"/>
      <c r="AA106" s="591"/>
      <c r="AB106" s="591"/>
      <c r="AC106" s="591"/>
      <c r="AG106" s="591"/>
      <c r="AH106" s="591"/>
      <c r="AI106" s="591"/>
      <c r="AJ106" s="591"/>
      <c r="AK106" s="591"/>
      <c r="AM106" s="591"/>
      <c r="AN106" s="591"/>
      <c r="AO106" s="591"/>
      <c r="AP106" s="591"/>
      <c r="AQ106" s="591"/>
      <c r="AS106" s="591"/>
      <c r="AT106" s="591"/>
      <c r="AU106" s="591"/>
      <c r="AV106" s="591"/>
      <c r="AW106" s="591"/>
      <c r="AY106" s="591"/>
    </row>
    <row r="107" spans="1:51" ht="21" customHeight="1" x14ac:dyDescent="0.2">
      <c r="A107" s="2"/>
      <c r="B107" s="2"/>
      <c r="C107" s="2"/>
      <c r="D107" s="2"/>
      <c r="E107" s="2"/>
      <c r="F107" s="278" t="s">
        <v>324</v>
      </c>
      <c r="G107" s="2"/>
      <c r="H107" s="2"/>
      <c r="I107" s="256"/>
      <c r="J107" s="256"/>
      <c r="K107" s="256"/>
      <c r="L107" s="2"/>
      <c r="M107" s="2"/>
      <c r="N107" s="2"/>
      <c r="O107" s="2"/>
      <c r="P107" s="2"/>
      <c r="Q107" s="2"/>
      <c r="R107" s="2"/>
      <c r="S107" s="2"/>
      <c r="T107" s="2"/>
      <c r="U107" s="2"/>
      <c r="V107" s="591"/>
      <c r="W107" s="591"/>
      <c r="X107" s="591"/>
      <c r="Y107" s="591"/>
      <c r="Z107" s="591"/>
      <c r="AA107" s="591"/>
      <c r="AB107" s="591"/>
      <c r="AC107" s="591"/>
      <c r="AG107" s="591"/>
      <c r="AH107" s="591"/>
      <c r="AI107" s="591"/>
      <c r="AJ107" s="591"/>
      <c r="AK107" s="591"/>
      <c r="AM107" s="591"/>
      <c r="AN107" s="591"/>
      <c r="AO107" s="591"/>
      <c r="AP107" s="591"/>
      <c r="AQ107" s="591"/>
      <c r="AS107" s="591"/>
      <c r="AT107" s="591"/>
      <c r="AU107" s="591"/>
      <c r="AV107" s="591"/>
      <c r="AW107" s="591"/>
      <c r="AY107" s="591"/>
    </row>
    <row r="108" spans="1:51" ht="18.75" customHeight="1" x14ac:dyDescent="0.2">
      <c r="A108" s="2"/>
      <c r="B108" s="2"/>
      <c r="C108" s="2"/>
      <c r="D108" s="2"/>
      <c r="E108" s="2"/>
      <c r="F108" s="763" t="s">
        <v>735</v>
      </c>
      <c r="G108" s="763"/>
      <c r="H108" s="763"/>
      <c r="I108" s="763"/>
      <c r="J108" s="2"/>
      <c r="K108" s="666">
        <f>E7</f>
        <v>0</v>
      </c>
      <c r="L108" s="2245">
        <f>K108-(SUM(G7:H7)+K7+N7)+SUMIF(G42:N42,K134,G7:N7)</f>
        <v>0</v>
      </c>
      <c r="M108" s="2246"/>
      <c r="N108" s="1045" t="s">
        <v>492</v>
      </c>
      <c r="O108" s="2"/>
      <c r="P108" s="2"/>
      <c r="Q108" s="2"/>
      <c r="R108" s="2"/>
      <c r="S108" s="2"/>
      <c r="T108" s="2"/>
      <c r="U108" s="2"/>
      <c r="V108" s="591"/>
      <c r="W108" s="591"/>
      <c r="X108" s="591"/>
      <c r="Y108" s="591"/>
      <c r="Z108" s="591"/>
      <c r="AA108" s="591"/>
      <c r="AB108" s="591"/>
      <c r="AC108" s="591"/>
      <c r="AG108" s="591"/>
      <c r="AH108" s="591"/>
      <c r="AI108" s="591"/>
      <c r="AJ108" s="591"/>
      <c r="AK108" s="591"/>
      <c r="AM108" s="591"/>
      <c r="AN108" s="591"/>
      <c r="AO108" s="591"/>
      <c r="AP108" s="591"/>
      <c r="AQ108" s="591"/>
      <c r="AS108" s="591"/>
      <c r="AT108" s="591"/>
      <c r="AU108" s="591"/>
      <c r="AV108" s="591"/>
      <c r="AW108" s="591"/>
      <c r="AY108" s="591"/>
    </row>
    <row r="109" spans="1:51" ht="18.75" customHeight="1" x14ac:dyDescent="0.2">
      <c r="A109" s="2"/>
      <c r="B109" s="2"/>
      <c r="C109" s="2"/>
      <c r="D109" s="2"/>
      <c r="E109" s="2"/>
      <c r="F109" s="764" t="s">
        <v>736</v>
      </c>
      <c r="G109" s="764"/>
      <c r="H109" s="764"/>
      <c r="I109" s="764"/>
      <c r="J109" s="2"/>
      <c r="K109" s="279">
        <f>E39</f>
        <v>0</v>
      </c>
      <c r="L109" s="2247">
        <f>K109-(SUM(G39:H39)+K39+N39)+SUMIF(G42:N42,K134,G39:N39)</f>
        <v>0</v>
      </c>
      <c r="M109" s="2248"/>
      <c r="N109" s="1046" t="s">
        <v>493</v>
      </c>
      <c r="O109" s="2"/>
      <c r="P109" s="2"/>
      <c r="Q109" s="2"/>
      <c r="R109" s="2"/>
      <c r="S109" s="2"/>
      <c r="T109" s="2"/>
      <c r="U109" s="2"/>
      <c r="V109" s="591"/>
      <c r="W109" s="591"/>
      <c r="X109" s="591"/>
      <c r="Y109" s="591"/>
      <c r="Z109" s="591"/>
      <c r="AA109" s="591"/>
      <c r="AB109" s="591"/>
      <c r="AC109" s="591"/>
      <c r="AG109" s="591"/>
      <c r="AH109" s="591"/>
      <c r="AI109" s="591"/>
      <c r="AJ109" s="591"/>
      <c r="AK109" s="591"/>
      <c r="AM109" s="591"/>
      <c r="AN109" s="591"/>
      <c r="AO109" s="591"/>
      <c r="AP109" s="591"/>
      <c r="AQ109" s="591"/>
      <c r="AS109" s="591"/>
      <c r="AT109" s="591"/>
      <c r="AU109" s="591"/>
      <c r="AV109" s="591"/>
      <c r="AW109" s="591"/>
      <c r="AY109" s="591"/>
    </row>
    <row r="110" spans="1:51" ht="19.5" customHeight="1" x14ac:dyDescent="0.25">
      <c r="A110" s="2"/>
      <c r="B110" s="2"/>
      <c r="C110" s="2"/>
      <c r="D110" s="2"/>
      <c r="E110" s="2"/>
      <c r="F110" s="661" t="s">
        <v>485</v>
      </c>
      <c r="G110" s="661"/>
      <c r="H110" s="661"/>
      <c r="I110" s="661"/>
      <c r="J110" s="2"/>
      <c r="K110" s="661"/>
      <c r="L110" s="668"/>
      <c r="M110" s="662"/>
      <c r="N110" s="2"/>
      <c r="O110" s="2"/>
      <c r="P110" s="2"/>
      <c r="Q110" s="2"/>
      <c r="R110" s="2"/>
      <c r="S110" s="2"/>
      <c r="T110" s="2"/>
      <c r="U110" s="2"/>
      <c r="V110" s="591"/>
      <c r="W110" s="591"/>
      <c r="X110" s="591"/>
      <c r="Y110" s="591"/>
      <c r="Z110" s="591"/>
      <c r="AA110" s="591"/>
      <c r="AB110" s="591"/>
      <c r="AC110" s="591"/>
      <c r="AG110" s="591"/>
      <c r="AH110" s="591"/>
      <c r="AI110" s="591"/>
      <c r="AJ110" s="591"/>
      <c r="AK110" s="591"/>
      <c r="AM110" s="591"/>
      <c r="AN110" s="591"/>
      <c r="AO110" s="591"/>
      <c r="AP110" s="591"/>
      <c r="AQ110" s="591"/>
      <c r="AS110" s="591"/>
      <c r="AT110" s="591"/>
      <c r="AU110" s="591"/>
      <c r="AV110" s="591"/>
      <c r="AW110" s="591"/>
      <c r="AY110" s="591"/>
    </row>
    <row r="111" spans="1:51" ht="19.5" customHeight="1" x14ac:dyDescent="0.2">
      <c r="A111" s="2"/>
      <c r="B111" s="2"/>
      <c r="C111" s="2"/>
      <c r="D111" s="2"/>
      <c r="E111" s="2"/>
      <c r="F111" s="663" t="s">
        <v>480</v>
      </c>
      <c r="G111" s="663"/>
      <c r="H111" s="663"/>
      <c r="I111" s="663"/>
      <c r="J111" s="2"/>
      <c r="K111" s="663"/>
      <c r="L111" s="669"/>
      <c r="M111" s="664"/>
      <c r="N111" s="2"/>
      <c r="O111" s="2"/>
      <c r="P111" s="2"/>
      <c r="Q111" s="2"/>
      <c r="R111" s="2"/>
      <c r="S111" s="2"/>
      <c r="T111" s="2"/>
      <c r="U111" s="2"/>
      <c r="V111" s="591"/>
      <c r="W111" s="591"/>
      <c r="X111" s="591"/>
      <c r="Y111" s="591"/>
      <c r="Z111" s="591"/>
      <c r="AA111" s="591"/>
      <c r="AB111" s="591"/>
      <c r="AC111" s="591"/>
      <c r="AG111" s="591"/>
      <c r="AH111" s="591"/>
      <c r="AI111" s="591"/>
      <c r="AJ111" s="591"/>
      <c r="AK111" s="591"/>
      <c r="AM111" s="591"/>
      <c r="AN111" s="591"/>
      <c r="AO111" s="591"/>
      <c r="AP111" s="591"/>
      <c r="AQ111" s="591"/>
      <c r="AS111" s="591"/>
      <c r="AT111" s="591"/>
      <c r="AU111" s="591"/>
      <c r="AV111" s="591"/>
      <c r="AW111" s="591"/>
      <c r="AY111" s="591"/>
    </row>
    <row r="112" spans="1:51" ht="21" customHeight="1" x14ac:dyDescent="0.2">
      <c r="A112" s="2"/>
      <c r="B112" s="2"/>
      <c r="C112" s="2"/>
      <c r="D112" s="2"/>
      <c r="E112" s="2"/>
      <c r="F112" s="104" t="s">
        <v>97</v>
      </c>
      <c r="G112" s="104"/>
      <c r="H112" s="104"/>
      <c r="I112" s="104"/>
      <c r="J112" s="2"/>
      <c r="K112" s="104"/>
      <c r="L112" s="484"/>
      <c r="M112" s="665"/>
      <c r="N112" s="2"/>
      <c r="O112" s="2"/>
      <c r="P112" s="2"/>
      <c r="Q112" s="2"/>
      <c r="R112" s="2"/>
      <c r="S112" s="2"/>
      <c r="T112" s="2"/>
      <c r="U112" s="2"/>
      <c r="V112" s="591"/>
      <c r="W112" s="591"/>
      <c r="X112" s="591"/>
      <c r="Y112" s="591"/>
      <c r="Z112" s="591"/>
      <c r="AA112" s="591"/>
      <c r="AB112" s="591"/>
      <c r="AC112" s="591"/>
      <c r="AG112" s="591"/>
      <c r="AH112" s="591"/>
      <c r="AI112" s="591"/>
      <c r="AJ112" s="591"/>
      <c r="AK112" s="591"/>
      <c r="AM112" s="591"/>
      <c r="AN112" s="591"/>
      <c r="AO112" s="591"/>
      <c r="AP112" s="591"/>
      <c r="AQ112" s="591"/>
      <c r="AS112" s="591"/>
      <c r="AT112" s="591"/>
      <c r="AU112" s="591"/>
      <c r="AV112" s="591"/>
      <c r="AW112" s="591"/>
      <c r="AY112" s="591"/>
    </row>
    <row r="113" spans="1:51" ht="12" customHeight="1" x14ac:dyDescent="0.2">
      <c r="A113" s="2"/>
      <c r="B113" s="2"/>
      <c r="C113" s="2"/>
      <c r="D113" s="2"/>
      <c r="E113" s="2"/>
      <c r="F113" s="2"/>
      <c r="G113" s="2"/>
      <c r="H113" s="2"/>
      <c r="I113" s="2"/>
      <c r="J113" s="2"/>
      <c r="K113" s="2"/>
      <c r="L113" s="14"/>
      <c r="M113" s="139"/>
      <c r="N113" s="2"/>
      <c r="O113" s="2"/>
      <c r="P113" s="2"/>
      <c r="Q113" s="2"/>
      <c r="R113" s="2"/>
      <c r="S113" s="2"/>
      <c r="T113" s="2"/>
      <c r="U113" s="2"/>
      <c r="V113" s="591"/>
      <c r="W113" s="591"/>
      <c r="X113" s="591"/>
      <c r="Y113" s="591"/>
      <c r="Z113" s="591"/>
      <c r="AA113" s="591"/>
      <c r="AB113" s="591"/>
      <c r="AC113" s="591"/>
      <c r="AG113" s="591"/>
      <c r="AH113" s="591"/>
      <c r="AI113" s="591"/>
      <c r="AJ113" s="591"/>
      <c r="AK113" s="591"/>
      <c r="AM113" s="591"/>
      <c r="AN113" s="591"/>
      <c r="AO113" s="591"/>
      <c r="AP113" s="591"/>
      <c r="AQ113" s="591"/>
      <c r="AS113" s="591"/>
      <c r="AT113" s="591"/>
      <c r="AU113" s="591"/>
      <c r="AV113" s="591"/>
      <c r="AW113" s="591"/>
      <c r="AY113" s="591"/>
    </row>
    <row r="114" spans="1:51" ht="15" hidden="1" customHeight="1" x14ac:dyDescent="0.2">
      <c r="A114" s="2"/>
      <c r="B114" s="2"/>
      <c r="C114" s="2"/>
      <c r="D114" s="2"/>
      <c r="E114" s="2"/>
      <c r="F114" s="2"/>
      <c r="G114" s="103">
        <f>IF(ISERROR(G$135),HLOOKUP(L$138,$J$138:$L$138,1,FALSE),HLOOKUP(G$135,$G$129:$I129,1,FALSE))</f>
        <v>3</v>
      </c>
      <c r="H114" s="103">
        <f>IF(ISERROR(H$135),HLOOKUP(K$138,$J$138:$L$138,1,FALSE),HLOOKUP(H$135,$G$129:$I129,1,FALSE))</f>
        <v>2</v>
      </c>
      <c r="I114" s="2053">
        <f>IF(ISERROR(I$135),HLOOKUP(J$138,$J$138:$L$138,1,FALSE),HLOOKUP(I$135,$G$129:$I129,1,FALSE))</f>
        <v>1</v>
      </c>
      <c r="J114" s="2053"/>
      <c r="K114" s="2"/>
      <c r="L114" s="14"/>
      <c r="M114" s="139"/>
      <c r="N114" s="2"/>
      <c r="O114" s="2"/>
      <c r="P114" s="2"/>
      <c r="Q114" s="2"/>
      <c r="R114" s="2"/>
      <c r="S114" s="2"/>
      <c r="T114" s="2"/>
      <c r="U114" s="2"/>
      <c r="V114" s="591"/>
      <c r="W114" s="591"/>
      <c r="X114" s="591"/>
      <c r="Y114" s="591"/>
      <c r="Z114" s="591"/>
      <c r="AA114" s="591"/>
      <c r="AB114" s="591"/>
      <c r="AC114" s="591"/>
      <c r="AG114" s="591"/>
      <c r="AH114" s="591"/>
      <c r="AI114" s="591"/>
      <c r="AJ114" s="591"/>
      <c r="AK114" s="591"/>
      <c r="AM114" s="591"/>
      <c r="AN114" s="591"/>
      <c r="AO114" s="591"/>
      <c r="AP114" s="591"/>
      <c r="AQ114" s="591"/>
      <c r="AS114" s="591"/>
      <c r="AT114" s="591"/>
      <c r="AU114" s="591"/>
      <c r="AV114" s="591"/>
      <c r="AW114" s="591"/>
      <c r="AY114" s="591"/>
    </row>
    <row r="115" spans="1:51" ht="21" hidden="1" customHeight="1" x14ac:dyDescent="0.2">
      <c r="A115" s="2"/>
      <c r="B115" s="2"/>
      <c r="C115" s="2"/>
      <c r="D115" s="2"/>
      <c r="E115" s="2"/>
      <c r="F115" s="2"/>
      <c r="G115" s="129">
        <f>IF(ISERROR(G$135),0,HLOOKUP(G$135,$G$129:$I130,2,FALSE))</f>
        <v>0</v>
      </c>
      <c r="H115" s="129">
        <f>IF(ISERROR(H$135),0,HLOOKUP(H$135,$G$129:$I130,2,FALSE))</f>
        <v>0</v>
      </c>
      <c r="I115" s="2244">
        <f>IF(ISERROR(I$135),0,HLOOKUP(I$135,$G$129:$I130,2,FALSE))</f>
        <v>0</v>
      </c>
      <c r="J115" s="2244"/>
      <c r="K115" s="2"/>
      <c r="L115" s="14"/>
      <c r="M115" s="139"/>
      <c r="N115" s="2"/>
      <c r="O115" s="2"/>
      <c r="P115" s="2"/>
      <c r="Q115" s="2"/>
      <c r="R115" s="2"/>
      <c r="S115" s="2"/>
      <c r="T115" s="2"/>
      <c r="U115" s="2"/>
      <c r="V115" s="591"/>
      <c r="W115" s="591"/>
      <c r="X115" s="591"/>
      <c r="Y115" s="591"/>
      <c r="Z115" s="591"/>
      <c r="AA115" s="591"/>
      <c r="AB115" s="591"/>
      <c r="AC115" s="591"/>
      <c r="AG115" s="591"/>
      <c r="AH115" s="591"/>
      <c r="AI115" s="591"/>
      <c r="AJ115" s="591"/>
      <c r="AK115" s="591"/>
      <c r="AM115" s="591"/>
      <c r="AN115" s="591"/>
      <c r="AO115" s="591"/>
      <c r="AP115" s="591"/>
      <c r="AQ115" s="591"/>
      <c r="AS115" s="591"/>
      <c r="AT115" s="591"/>
      <c r="AU115" s="591"/>
      <c r="AV115" s="591"/>
      <c r="AW115" s="591"/>
      <c r="AY115" s="591"/>
    </row>
    <row r="116" spans="1:51" ht="18" customHeight="1" x14ac:dyDescent="0.2">
      <c r="A116" s="2"/>
      <c r="B116" s="2"/>
      <c r="C116" s="2"/>
      <c r="D116" s="2"/>
      <c r="E116" s="2"/>
      <c r="F116" s="2"/>
      <c r="G116" s="280">
        <f>IF(ISERROR(G$135),HLOOKUP(L$138,$J$138:$L140,3,FALSE),HLOOKUP(G$135,$G$129:$I131,3,FALSE))</f>
        <v>0</v>
      </c>
      <c r="H116" s="280">
        <f>IF(ISERROR(H$135),HLOOKUP(K$138,$J$138:$L140,3,FALSE),HLOOKUP(H$135,$G$129:$I131,3,FALSE))</f>
        <v>0</v>
      </c>
      <c r="I116" s="2249">
        <f>IF(ISERROR(I$135),HLOOKUP(J$138,$J$138:$L140,3,FALSE),HLOOKUP(I$135,$G$129:$I131,3,FALSE))</f>
        <v>0</v>
      </c>
      <c r="J116" s="2250"/>
      <c r="K116" s="2"/>
      <c r="L116" s="14"/>
      <c r="M116" s="139"/>
      <c r="N116" s="2"/>
      <c r="O116" s="2"/>
      <c r="P116" s="2"/>
      <c r="Q116" s="2"/>
      <c r="R116" s="2"/>
      <c r="S116" s="2"/>
      <c r="T116" s="2"/>
      <c r="U116" s="2"/>
      <c r="V116" s="591"/>
      <c r="W116" s="591"/>
      <c r="X116" s="591"/>
      <c r="Y116" s="591"/>
      <c r="Z116" s="591"/>
      <c r="AA116" s="591"/>
      <c r="AB116" s="591"/>
      <c r="AC116" s="591"/>
      <c r="AG116" s="591"/>
      <c r="AH116" s="591"/>
      <c r="AI116" s="591"/>
      <c r="AJ116" s="591"/>
      <c r="AK116" s="591"/>
      <c r="AM116" s="591"/>
      <c r="AN116" s="591"/>
      <c r="AO116" s="591"/>
      <c r="AP116" s="591"/>
      <c r="AQ116" s="591"/>
      <c r="AS116" s="591"/>
      <c r="AT116" s="591"/>
      <c r="AU116" s="591"/>
      <c r="AV116" s="591"/>
      <c r="AW116" s="591"/>
      <c r="AY116" s="591"/>
    </row>
    <row r="117" spans="1:51" ht="18" customHeight="1" x14ac:dyDescent="0.2">
      <c r="A117" s="2"/>
      <c r="B117" s="2"/>
      <c r="C117" s="2"/>
      <c r="D117" s="2"/>
      <c r="E117" s="2"/>
      <c r="F117" s="2"/>
      <c r="G117" s="281">
        <f>IF(ISERROR(G$135),HLOOKUP(L$138,$J$138:$L141,4,FALSE),HLOOKUP(G$135,$G$129:$I132,4,FALSE))</f>
        <v>0</v>
      </c>
      <c r="H117" s="281">
        <f>IF(ISERROR(H$135),HLOOKUP(K$138,$J$138:$L141,4,FALSE),HLOOKUP(H$135,$G$129:$I132,4,FALSE))</f>
        <v>0</v>
      </c>
      <c r="I117" s="2251">
        <f>IF(ISERROR(I$135),HLOOKUP(J$138,$J$138:$L141,4,FALSE),HLOOKUP(I$135,$G$129:$I132,4,FALSE))</f>
        <v>0</v>
      </c>
      <c r="J117" s="2252"/>
      <c r="K117" s="2"/>
      <c r="L117" s="14"/>
      <c r="M117" s="139"/>
      <c r="N117" s="2"/>
      <c r="O117" s="2"/>
      <c r="P117" s="2"/>
      <c r="Q117" s="2"/>
      <c r="R117" s="2"/>
      <c r="S117" s="2"/>
      <c r="T117" s="2"/>
      <c r="U117" s="2"/>
      <c r="V117" s="591"/>
      <c r="W117" s="591"/>
      <c r="X117" s="591"/>
      <c r="Y117" s="591"/>
      <c r="Z117" s="591"/>
      <c r="AA117" s="591"/>
      <c r="AB117" s="591"/>
      <c r="AC117" s="591"/>
      <c r="AG117" s="591"/>
      <c r="AH117" s="591"/>
      <c r="AI117" s="591"/>
      <c r="AJ117" s="591"/>
      <c r="AK117" s="591"/>
      <c r="AM117" s="591"/>
      <c r="AN117" s="591"/>
      <c r="AO117" s="591"/>
      <c r="AP117" s="591"/>
      <c r="AQ117" s="591"/>
      <c r="AS117" s="591"/>
      <c r="AT117" s="591"/>
      <c r="AU117" s="591"/>
      <c r="AV117" s="591"/>
      <c r="AW117" s="591"/>
      <c r="AY117" s="591"/>
    </row>
    <row r="118" spans="1:51" ht="18" customHeight="1" x14ac:dyDescent="0.2">
      <c r="A118" s="2"/>
      <c r="B118" s="2"/>
      <c r="C118" s="2"/>
      <c r="D118" s="2"/>
      <c r="E118" s="2"/>
      <c r="F118" s="2"/>
      <c r="G118" s="282">
        <f>IF(ISERROR(G$135),HLOOKUP(L$138,$J$138:$L142,5,FALSE),HLOOKUP(G$135,$G$129:$I133,5,FALSE))</f>
        <v>0</v>
      </c>
      <c r="H118" s="282">
        <f>IF(ISERROR(H$135),HLOOKUP(K$138,$J$138:$L142,5,FALSE),HLOOKUP(H$135,$G$129:$I133,5,FALSE))</f>
        <v>0</v>
      </c>
      <c r="I118" s="2257">
        <f>IF(ISERROR(I$135),HLOOKUP(J$138,$J$138:$L142,5,FALSE),HLOOKUP(I$135,$G$129:$I133,5,FALSE))</f>
        <v>0</v>
      </c>
      <c r="J118" s="2258"/>
      <c r="K118" s="2"/>
      <c r="L118" s="14"/>
      <c r="M118" s="139"/>
      <c r="N118" s="2"/>
      <c r="O118" s="2"/>
      <c r="P118" s="2"/>
      <c r="Q118" s="2"/>
      <c r="R118" s="2"/>
      <c r="S118" s="2"/>
      <c r="T118" s="2"/>
      <c r="U118" s="2"/>
      <c r="V118" s="591"/>
      <c r="W118" s="591"/>
      <c r="X118" s="591"/>
      <c r="Y118" s="591"/>
      <c r="Z118" s="591"/>
      <c r="AA118" s="591"/>
      <c r="AB118" s="591"/>
      <c r="AC118" s="591"/>
      <c r="AG118" s="591"/>
      <c r="AH118" s="591"/>
      <c r="AI118" s="591"/>
      <c r="AJ118" s="591"/>
      <c r="AK118" s="591"/>
      <c r="AM118" s="591"/>
      <c r="AN118" s="591"/>
      <c r="AO118" s="591"/>
      <c r="AP118" s="591"/>
      <c r="AQ118" s="591"/>
      <c r="AS118" s="591"/>
      <c r="AT118" s="591"/>
      <c r="AU118" s="591"/>
      <c r="AV118" s="591"/>
      <c r="AW118" s="591"/>
      <c r="AY118" s="591"/>
    </row>
    <row r="119" spans="1:51" ht="21" hidden="1" customHeight="1" x14ac:dyDescent="0.2">
      <c r="A119" s="2"/>
      <c r="B119" s="2"/>
      <c r="C119" s="2"/>
      <c r="D119" s="2"/>
      <c r="E119" s="2"/>
      <c r="F119" s="2"/>
      <c r="G119" s="117" t="e">
        <f>IF(ISERROR(G$135),HLOOKUP(L$138,$J$138:$L139,2,FALSE),HLOOKUP(G$135,$G$129:$I136,8,FALSE))</f>
        <v>#N/A</v>
      </c>
      <c r="H119" s="117" t="e">
        <f>IF(ISERROR(H$135),HLOOKUP(K$138,$J$138:$L139,2,FALSE),HLOOKUP(H$135,$G$129:$I136,8,FALSE))</f>
        <v>#N/A</v>
      </c>
      <c r="I119" s="2259" t="e">
        <f>IF(ISERROR(I$135),HLOOKUP(J$138,$J$138:$L139,2,FALSE),HLOOKUP(I$135,$G$129:$I136,8,FALSE))</f>
        <v>#N/A</v>
      </c>
      <c r="J119" s="2259"/>
      <c r="K119" s="2"/>
      <c r="L119" s="14"/>
      <c r="M119" s="139"/>
      <c r="N119" s="2"/>
      <c r="O119" s="2"/>
      <c r="P119" s="2"/>
      <c r="Q119" s="2"/>
      <c r="R119" s="2"/>
      <c r="S119" s="2"/>
      <c r="T119" s="2"/>
      <c r="U119" s="2"/>
      <c r="V119" s="591"/>
      <c r="W119" s="591"/>
      <c r="X119" s="591"/>
      <c r="Y119" s="591"/>
      <c r="Z119" s="591"/>
      <c r="AA119" s="591"/>
      <c r="AB119" s="591"/>
      <c r="AC119" s="591"/>
      <c r="AG119" s="591"/>
      <c r="AH119" s="591"/>
      <c r="AI119" s="591"/>
      <c r="AJ119" s="591"/>
      <c r="AK119" s="591"/>
      <c r="AM119" s="591"/>
      <c r="AN119" s="591"/>
      <c r="AO119" s="591"/>
      <c r="AP119" s="591"/>
      <c r="AQ119" s="591"/>
      <c r="AS119" s="591"/>
      <c r="AT119" s="591"/>
      <c r="AU119" s="591"/>
      <c r="AV119" s="591"/>
      <c r="AW119" s="591"/>
      <c r="AY119" s="591"/>
    </row>
    <row r="120" spans="1:51" ht="4.5" customHeight="1" x14ac:dyDescent="0.2">
      <c r="A120" s="2"/>
      <c r="B120" s="2"/>
      <c r="C120" s="2"/>
      <c r="D120" s="2"/>
      <c r="E120" s="2"/>
      <c r="F120" s="2"/>
      <c r="G120" s="14"/>
      <c r="H120" s="14"/>
      <c r="I120" s="2202"/>
      <c r="J120" s="2202"/>
      <c r="K120" s="2"/>
      <c r="L120" s="14"/>
      <c r="M120" s="139"/>
      <c r="N120" s="2"/>
      <c r="O120" s="2"/>
      <c r="P120" s="2"/>
      <c r="Q120" s="2"/>
      <c r="R120" s="2"/>
      <c r="S120" s="2"/>
      <c r="T120" s="2"/>
      <c r="U120" s="2"/>
      <c r="V120" s="591"/>
      <c r="W120" s="591"/>
      <c r="X120" s="591"/>
      <c r="Y120" s="591"/>
      <c r="Z120" s="591"/>
      <c r="AA120" s="591"/>
      <c r="AB120" s="591"/>
      <c r="AC120" s="591"/>
      <c r="AG120" s="591"/>
      <c r="AH120" s="591"/>
      <c r="AI120" s="591"/>
      <c r="AJ120" s="591"/>
      <c r="AK120" s="591"/>
      <c r="AM120" s="591"/>
      <c r="AN120" s="591"/>
      <c r="AO120" s="591"/>
      <c r="AP120" s="591"/>
      <c r="AQ120" s="591"/>
      <c r="AS120" s="591"/>
      <c r="AT120" s="591"/>
      <c r="AU120" s="591"/>
      <c r="AV120" s="591"/>
      <c r="AW120" s="591"/>
      <c r="AY120" s="591"/>
    </row>
    <row r="121" spans="1:51" ht="18" customHeight="1" x14ac:dyDescent="0.25">
      <c r="A121" s="2"/>
      <c r="B121" s="2"/>
      <c r="C121" s="2"/>
      <c r="D121" s="2"/>
      <c r="E121" s="2"/>
      <c r="F121" s="283" t="s">
        <v>483</v>
      </c>
      <c r="G121" s="285">
        <f>IMPOSTAZIONI!AC285</f>
        <v>0</v>
      </c>
      <c r="H121" s="285">
        <f>IMPOSTAZIONI!AC286</f>
        <v>0</v>
      </c>
      <c r="I121" s="2253">
        <f>IMPOSTAZIONI!AC287</f>
        <v>0</v>
      </c>
      <c r="J121" s="2254"/>
      <c r="K121" s="667">
        <f>SUM(G121:I121)</f>
        <v>0</v>
      </c>
      <c r="L121" s="14"/>
      <c r="M121" s="139"/>
      <c r="N121" s="2"/>
      <c r="O121" s="2"/>
      <c r="P121" s="2"/>
      <c r="Q121" s="2"/>
      <c r="R121" s="2"/>
      <c r="S121" s="2"/>
      <c r="T121" s="2"/>
      <c r="U121" s="2"/>
      <c r="V121" s="591"/>
      <c r="W121" s="591"/>
      <c r="X121" s="591"/>
      <c r="Y121" s="591"/>
      <c r="Z121" s="591"/>
      <c r="AA121" s="591"/>
      <c r="AB121" s="591"/>
      <c r="AC121" s="591"/>
      <c r="AG121" s="591"/>
      <c r="AH121" s="591"/>
      <c r="AI121" s="591"/>
      <c r="AJ121" s="591"/>
      <c r="AK121" s="591"/>
      <c r="AM121" s="591"/>
      <c r="AN121" s="591"/>
      <c r="AO121" s="591"/>
      <c r="AP121" s="591"/>
      <c r="AQ121" s="591"/>
      <c r="AS121" s="591"/>
      <c r="AT121" s="591"/>
      <c r="AU121" s="591"/>
      <c r="AV121" s="591"/>
      <c r="AW121" s="591"/>
      <c r="AY121" s="591"/>
    </row>
    <row r="122" spans="1:51" ht="18" customHeight="1" x14ac:dyDescent="0.2">
      <c r="A122" s="2"/>
      <c r="B122" s="2"/>
      <c r="C122" s="2"/>
      <c r="D122" s="2"/>
      <c r="E122" s="2"/>
      <c r="F122" s="284" t="s">
        <v>484</v>
      </c>
      <c r="G122" s="286">
        <f>IMPOSTAZIONI!AH285</f>
        <v>0</v>
      </c>
      <c r="H122" s="286">
        <f>IMPOSTAZIONI!AH286</f>
        <v>0</v>
      </c>
      <c r="I122" s="2255">
        <f>IMPOSTAZIONI!AH287</f>
        <v>0</v>
      </c>
      <c r="J122" s="2256"/>
      <c r="K122" s="310">
        <f>SUM(G122:I122)</f>
        <v>0</v>
      </c>
      <c r="L122" s="287"/>
      <c r="M122" s="311"/>
      <c r="N122" s="2"/>
      <c r="O122" s="2"/>
      <c r="P122" s="2"/>
      <c r="Q122" s="2"/>
      <c r="R122" s="2"/>
      <c r="S122" s="2"/>
      <c r="T122" s="2"/>
      <c r="U122" s="2"/>
      <c r="V122" s="591"/>
      <c r="W122" s="591"/>
      <c r="X122" s="591"/>
      <c r="Y122" s="591"/>
      <c r="Z122" s="591"/>
      <c r="AA122" s="591"/>
      <c r="AB122" s="591"/>
      <c r="AC122" s="591"/>
      <c r="AG122" s="591"/>
      <c r="AH122" s="591"/>
      <c r="AI122" s="591"/>
      <c r="AJ122" s="591"/>
      <c r="AK122" s="591"/>
      <c r="AM122" s="591"/>
      <c r="AN122" s="591"/>
      <c r="AO122" s="591"/>
      <c r="AP122" s="591"/>
      <c r="AQ122" s="591"/>
      <c r="AS122" s="591"/>
      <c r="AT122" s="591"/>
      <c r="AU122" s="591"/>
      <c r="AV122" s="591"/>
      <c r="AW122" s="591"/>
      <c r="AY122" s="591"/>
    </row>
    <row r="123" spans="1:51" ht="21" customHeight="1" x14ac:dyDescent="0.2">
      <c r="A123" s="2"/>
      <c r="B123" s="2"/>
      <c r="C123" s="2"/>
      <c r="D123" s="2"/>
      <c r="E123" s="2"/>
      <c r="F123" s="2"/>
      <c r="G123" s="2"/>
      <c r="H123" s="2"/>
      <c r="I123" s="2"/>
      <c r="J123" s="2"/>
      <c r="K123" s="2"/>
      <c r="L123" s="2"/>
      <c r="M123" s="2"/>
      <c r="N123" s="2"/>
      <c r="O123" s="2"/>
      <c r="P123" s="2"/>
      <c r="Q123" s="2"/>
      <c r="R123" s="2"/>
      <c r="S123" s="2"/>
      <c r="T123" s="2"/>
      <c r="U123" s="2"/>
      <c r="V123" s="591"/>
      <c r="W123" s="591"/>
      <c r="X123" s="591"/>
      <c r="Y123" s="591"/>
      <c r="Z123" s="591"/>
      <c r="AA123" s="591"/>
      <c r="AB123" s="591"/>
      <c r="AC123" s="591"/>
      <c r="AG123" s="591"/>
      <c r="AH123" s="591"/>
      <c r="AI123" s="591"/>
      <c r="AJ123" s="591"/>
      <c r="AK123" s="591"/>
      <c r="AM123" s="591"/>
      <c r="AN123" s="591"/>
      <c r="AO123" s="591"/>
      <c r="AP123" s="591"/>
      <c r="AQ123" s="591"/>
      <c r="AS123" s="591"/>
      <c r="AT123" s="591"/>
      <c r="AU123" s="591"/>
      <c r="AV123" s="591"/>
      <c r="AW123" s="591"/>
      <c r="AY123" s="591"/>
    </row>
    <row r="124" spans="1:51" ht="21" customHeight="1" x14ac:dyDescent="0.2">
      <c r="A124" s="2"/>
      <c r="B124" s="2"/>
      <c r="C124" s="287"/>
      <c r="D124" s="287"/>
      <c r="E124" s="287"/>
      <c r="F124" s="287"/>
      <c r="G124" s="287"/>
      <c r="H124" s="287"/>
      <c r="I124" s="287"/>
      <c r="J124" s="287"/>
      <c r="K124" s="287"/>
      <c r="L124" s="287"/>
      <c r="M124" s="287"/>
      <c r="N124" s="287"/>
      <c r="O124" s="287"/>
      <c r="P124" s="2"/>
      <c r="Q124" s="2"/>
      <c r="R124" s="2"/>
      <c r="S124" s="2"/>
      <c r="T124" s="2"/>
      <c r="U124" s="2"/>
      <c r="V124" s="591"/>
      <c r="W124" s="591"/>
      <c r="X124" s="591"/>
      <c r="Y124" s="591"/>
      <c r="Z124" s="591"/>
      <c r="AA124" s="591"/>
      <c r="AB124" s="591"/>
      <c r="AC124" s="591"/>
      <c r="AG124" s="591"/>
      <c r="AH124" s="591"/>
      <c r="AI124" s="591"/>
      <c r="AJ124" s="591"/>
      <c r="AK124" s="591"/>
      <c r="AM124" s="591"/>
      <c r="AN124" s="591"/>
      <c r="AO124" s="591"/>
      <c r="AP124" s="591"/>
      <c r="AQ124" s="591"/>
      <c r="AS124" s="591"/>
      <c r="AT124" s="591"/>
      <c r="AU124" s="591"/>
      <c r="AV124" s="591"/>
      <c r="AW124" s="591"/>
      <c r="AY124" s="591"/>
    </row>
    <row r="125" spans="1:51" ht="13.5" hidden="1" customHeight="1" x14ac:dyDescent="0.2">
      <c r="A125" s="2"/>
      <c r="B125" s="2"/>
      <c r="C125" s="2"/>
      <c r="D125" s="2"/>
      <c r="E125" s="2"/>
      <c r="F125" s="2"/>
      <c r="G125" s="2"/>
      <c r="H125" s="2"/>
      <c r="I125" s="2"/>
      <c r="J125" s="2"/>
      <c r="K125" s="2"/>
      <c r="L125" s="2"/>
      <c r="M125" s="2"/>
      <c r="N125" s="2"/>
      <c r="O125" s="2"/>
      <c r="P125" s="2"/>
      <c r="Q125" s="2"/>
      <c r="R125" s="2"/>
      <c r="S125" s="2"/>
      <c r="T125" s="2"/>
      <c r="U125" s="2"/>
      <c r="V125" s="591"/>
      <c r="W125" s="591"/>
      <c r="X125" s="591"/>
      <c r="Y125" s="591"/>
      <c r="Z125" s="591"/>
      <c r="AA125" s="591"/>
      <c r="AB125" s="591"/>
      <c r="AC125" s="591"/>
      <c r="AG125" s="591"/>
      <c r="AH125" s="591"/>
      <c r="AI125" s="591"/>
      <c r="AJ125" s="591"/>
      <c r="AK125" s="591"/>
      <c r="AM125" s="591"/>
      <c r="AN125" s="591"/>
      <c r="AO125" s="591"/>
      <c r="AP125" s="591"/>
      <c r="AQ125" s="591"/>
      <c r="AS125" s="591"/>
      <c r="AT125" s="591"/>
      <c r="AU125" s="591"/>
      <c r="AV125" s="591"/>
      <c r="AW125" s="591"/>
      <c r="AY125" s="591"/>
    </row>
    <row r="126" spans="1:51" ht="18.75" customHeight="1" x14ac:dyDescent="0.2">
      <c r="A126" s="2"/>
      <c r="B126" s="2"/>
      <c r="C126" s="2083" t="str">
        <f ca="1">Presentazione!D70</f>
        <v>Questo file risulta al momento completamente funzionante ed il sistema rileva tutti i suoi fogli.</v>
      </c>
      <c r="D126" s="2083"/>
      <c r="E126" s="2083"/>
      <c r="F126" s="2083"/>
      <c r="G126" s="2083"/>
      <c r="H126" s="2083"/>
      <c r="I126" s="2083"/>
      <c r="J126" s="2083"/>
      <c r="K126" s="2083"/>
      <c r="L126" s="2083"/>
      <c r="M126" s="2083"/>
      <c r="N126" s="553"/>
      <c r="O126" s="553"/>
      <c r="P126" s="553"/>
      <c r="Q126" s="2"/>
      <c r="R126" s="2"/>
      <c r="S126" s="2"/>
      <c r="T126" s="2"/>
      <c r="U126" s="2"/>
      <c r="V126" s="591"/>
      <c r="W126" s="591"/>
      <c r="X126" s="591"/>
      <c r="Y126" s="591"/>
      <c r="Z126" s="591"/>
      <c r="AA126" s="591"/>
      <c r="AB126" s="591"/>
      <c r="AC126" s="591"/>
      <c r="AG126" s="591"/>
      <c r="AH126" s="591"/>
      <c r="AI126" s="591"/>
      <c r="AJ126" s="591"/>
      <c r="AK126" s="591"/>
      <c r="AM126" s="591"/>
      <c r="AN126" s="591"/>
      <c r="AO126" s="591"/>
      <c r="AP126" s="591"/>
      <c r="AQ126" s="591"/>
      <c r="AS126" s="591"/>
      <c r="AT126" s="591"/>
      <c r="AU126" s="591"/>
      <c r="AV126" s="591"/>
      <c r="AW126" s="591"/>
      <c r="AY126" s="591"/>
    </row>
    <row r="127" spans="1:51" ht="33" customHeight="1" x14ac:dyDescent="0.25">
      <c r="A127" s="2"/>
      <c r="B127" s="2"/>
      <c r="C127" s="930" t="s">
        <v>716</v>
      </c>
      <c r="D127" s="930"/>
      <c r="E127" s="930"/>
      <c r="F127" s="930"/>
      <c r="G127" s="930"/>
      <c r="H127" s="2"/>
      <c r="I127" s="2"/>
      <c r="J127" s="2"/>
      <c r="K127" s="2"/>
      <c r="L127" s="2"/>
      <c r="M127" s="908" t="s">
        <v>581</v>
      </c>
      <c r="N127" s="2"/>
      <c r="O127" s="2"/>
      <c r="P127" s="2"/>
      <c r="Q127" s="2"/>
      <c r="R127" s="2"/>
      <c r="S127" s="2"/>
      <c r="T127" s="2"/>
      <c r="U127" s="2"/>
      <c r="V127" s="591"/>
      <c r="W127" s="591"/>
      <c r="X127" s="591"/>
      <c r="Y127" s="591"/>
      <c r="Z127" s="591"/>
      <c r="AA127" s="591"/>
      <c r="AB127" s="591"/>
      <c r="AC127" s="591"/>
      <c r="AG127" s="591"/>
      <c r="AH127" s="591"/>
      <c r="AI127" s="591"/>
      <c r="AJ127" s="591"/>
      <c r="AK127" s="591"/>
      <c r="AM127" s="591"/>
      <c r="AN127" s="591"/>
      <c r="AO127" s="591"/>
      <c r="AP127" s="591"/>
      <c r="AQ127" s="591"/>
      <c r="AS127" s="591"/>
      <c r="AT127" s="591"/>
      <c r="AU127" s="591"/>
      <c r="AV127" s="591"/>
      <c r="AW127" s="591"/>
      <c r="AY127" s="591"/>
    </row>
    <row r="128" spans="1:51" ht="21" hidden="1" customHeight="1" x14ac:dyDescent="0.2">
      <c r="A128" s="2"/>
      <c r="B128" s="2"/>
      <c r="C128" s="2"/>
      <c r="D128" s="2"/>
      <c r="E128" s="2"/>
      <c r="F128" s="2"/>
      <c r="G128" s="2"/>
      <c r="H128" s="2"/>
      <c r="I128" s="2"/>
      <c r="J128" s="2"/>
      <c r="K128" s="2"/>
      <c r="L128" s="2"/>
      <c r="M128" s="2"/>
      <c r="N128" s="2"/>
      <c r="O128" s="2"/>
      <c r="P128" s="2"/>
      <c r="Q128" s="2"/>
      <c r="R128" s="2"/>
      <c r="S128" s="2"/>
      <c r="T128" s="2"/>
      <c r="U128" s="2"/>
      <c r="V128" s="591"/>
      <c r="W128" s="591"/>
      <c r="X128" s="591"/>
      <c r="Y128" s="591"/>
      <c r="Z128" s="591"/>
      <c r="AA128" s="591"/>
      <c r="AB128" s="591"/>
      <c r="AC128" s="591"/>
      <c r="AG128" s="591"/>
      <c r="AH128" s="591"/>
      <c r="AI128" s="591"/>
      <c r="AJ128" s="591"/>
      <c r="AK128" s="591"/>
      <c r="AM128" s="591"/>
      <c r="AN128" s="591"/>
      <c r="AO128" s="591"/>
      <c r="AP128" s="591"/>
      <c r="AQ128" s="591"/>
      <c r="AS128" s="591"/>
      <c r="AT128" s="591"/>
      <c r="AU128" s="591"/>
      <c r="AV128" s="591"/>
      <c r="AW128" s="591"/>
      <c r="AY128" s="591"/>
    </row>
    <row r="129" spans="1:51" ht="15.75" hidden="1" customHeight="1" x14ac:dyDescent="0.2">
      <c r="A129" s="2"/>
      <c r="B129" s="2"/>
      <c r="C129" s="2"/>
      <c r="D129" s="2"/>
      <c r="E129" s="2"/>
      <c r="F129" s="2"/>
      <c r="G129" s="257">
        <v>1</v>
      </c>
      <c r="H129" s="257">
        <v>2</v>
      </c>
      <c r="I129" s="257">
        <v>3</v>
      </c>
      <c r="J129" s="2"/>
      <c r="K129" s="2"/>
      <c r="L129" s="2"/>
      <c r="M129" s="2"/>
      <c r="N129" s="2"/>
      <c r="O129" s="2"/>
      <c r="P129" s="2"/>
      <c r="Q129" s="2"/>
      <c r="R129" s="2"/>
      <c r="S129" s="2"/>
      <c r="T129" s="2"/>
      <c r="U129" s="2"/>
      <c r="V129" s="591"/>
      <c r="W129" s="591"/>
      <c r="X129" s="591"/>
      <c r="Y129" s="591"/>
      <c r="Z129" s="591"/>
      <c r="AA129" s="591"/>
      <c r="AB129" s="591"/>
      <c r="AC129" s="591"/>
      <c r="AG129" s="591"/>
      <c r="AH129" s="591"/>
      <c r="AI129" s="591"/>
      <c r="AJ129" s="591"/>
      <c r="AK129" s="591"/>
      <c r="AM129" s="591"/>
      <c r="AN129" s="591"/>
      <c r="AO129" s="591"/>
      <c r="AP129" s="591"/>
      <c r="AQ129" s="591"/>
      <c r="AS129" s="591"/>
      <c r="AT129" s="591"/>
      <c r="AU129" s="591"/>
      <c r="AV129" s="591"/>
      <c r="AW129" s="591"/>
      <c r="AY129" s="591"/>
    </row>
    <row r="130" spans="1:51" ht="15.75" hidden="1" customHeight="1" x14ac:dyDescent="0.2">
      <c r="A130" s="2"/>
      <c r="B130" s="2"/>
      <c r="C130" s="2"/>
      <c r="D130" s="2"/>
      <c r="E130" s="2"/>
      <c r="F130" s="2"/>
      <c r="G130" s="263">
        <f>IF(E$131=1,IMPOSTAZIONI!J94,0)</f>
        <v>0</v>
      </c>
      <c r="H130" s="263">
        <f>IF(E$132=1,IMPOSTAZIONI!J102,0)</f>
        <v>0</v>
      </c>
      <c r="I130" s="263">
        <f>IF(E$133=1,IMPOSTAZIONI!J110,0)</f>
        <v>0</v>
      </c>
      <c r="J130" s="2"/>
      <c r="K130" s="263" t="str">
        <f>IMPOSTAZIONI!C154</f>
        <v>Note</v>
      </c>
      <c r="L130" s="2"/>
      <c r="M130" s="2"/>
      <c r="N130" s="2"/>
      <c r="O130" s="2"/>
      <c r="P130" s="2"/>
      <c r="Q130" s="2"/>
      <c r="R130" s="2"/>
      <c r="S130" s="2"/>
      <c r="T130" s="2"/>
      <c r="U130" s="2"/>
      <c r="V130" s="591"/>
      <c r="W130" s="591"/>
      <c r="X130" s="591"/>
      <c r="Y130" s="591"/>
      <c r="Z130" s="591"/>
      <c r="AA130" s="591"/>
      <c r="AB130" s="591"/>
      <c r="AC130" s="591"/>
      <c r="AG130" s="591"/>
      <c r="AH130" s="591"/>
      <c r="AI130" s="591"/>
      <c r="AJ130" s="591"/>
      <c r="AK130" s="591"/>
      <c r="AM130" s="591"/>
      <c r="AN130" s="591"/>
      <c r="AO130" s="591"/>
      <c r="AP130" s="591"/>
      <c r="AQ130" s="591"/>
      <c r="AS130" s="591"/>
      <c r="AT130" s="591"/>
      <c r="AU130" s="591"/>
      <c r="AV130" s="591"/>
      <c r="AW130" s="591"/>
      <c r="AY130" s="591"/>
    </row>
    <row r="131" spans="1:51" ht="15.75" hidden="1" customHeight="1" x14ac:dyDescent="0.2">
      <c r="A131" s="2"/>
      <c r="B131" s="2"/>
      <c r="C131" s="2"/>
      <c r="D131" s="2"/>
      <c r="E131" s="263">
        <f>IF(IMPOSTAZIONI!R184=0,1,0)</f>
        <v>0</v>
      </c>
      <c r="F131" s="2"/>
      <c r="G131" s="267">
        <f>IF(E$131=1,IMPOSTAZIONI!J96,0)</f>
        <v>0</v>
      </c>
      <c r="H131" s="268">
        <f>IF(E$132=1,IMPOSTAZIONI!J104,0)</f>
        <v>0</v>
      </c>
      <c r="I131" s="269">
        <f>IF(E$133=1,IMPOSTAZIONI!J112,0)</f>
        <v>0</v>
      </c>
      <c r="J131" s="2"/>
      <c r="K131" s="2"/>
      <c r="L131" s="925" t="str">
        <f>Presentazione!$K$150</f>
        <v>attiva trim.</v>
      </c>
      <c r="M131" s="2"/>
      <c r="N131" s="2"/>
      <c r="O131" s="2"/>
      <c r="P131" s="2"/>
      <c r="Q131" s="2"/>
      <c r="R131" s="2"/>
      <c r="S131" s="2"/>
      <c r="T131" s="2"/>
      <c r="U131" s="2"/>
      <c r="V131" s="591"/>
      <c r="W131" s="591"/>
      <c r="X131" s="591"/>
      <c r="Y131" s="591"/>
      <c r="Z131" s="591"/>
      <c r="AA131" s="591"/>
      <c r="AB131" s="591"/>
      <c r="AC131" s="591"/>
      <c r="AG131" s="591"/>
      <c r="AH131" s="591"/>
      <c r="AI131" s="591"/>
      <c r="AJ131" s="591"/>
      <c r="AK131" s="591"/>
      <c r="AM131" s="591"/>
      <c r="AN131" s="591"/>
      <c r="AO131" s="591"/>
      <c r="AP131" s="591"/>
      <c r="AQ131" s="591"/>
      <c r="AS131" s="591"/>
      <c r="AT131" s="591"/>
      <c r="AU131" s="591"/>
      <c r="AV131" s="591"/>
      <c r="AW131" s="591"/>
      <c r="AY131" s="591"/>
    </row>
    <row r="132" spans="1:51" ht="15.75" hidden="1" customHeight="1" x14ac:dyDescent="0.2">
      <c r="A132" s="2"/>
      <c r="B132" s="2"/>
      <c r="C132" s="2"/>
      <c r="D132" s="2"/>
      <c r="E132" s="263">
        <f>IF(IMPOSTAZIONI!R185=0,1,0)</f>
        <v>0</v>
      </c>
      <c r="F132" s="2"/>
      <c r="G132" s="264">
        <f>IF(E$131=1,IMPOSTAZIONI!J97,0)</f>
        <v>0</v>
      </c>
      <c r="H132" s="266">
        <f>IF(E$132=1,IMPOSTAZIONI!J105,0)</f>
        <v>0</v>
      </c>
      <c r="I132" s="265">
        <f>IF(E$133=1,IMPOSTAZIONI!J113,0)</f>
        <v>0</v>
      </c>
      <c r="J132" s="2"/>
      <c r="K132" s="263" t="s">
        <v>356</v>
      </c>
      <c r="L132" s="2"/>
      <c r="M132" s="2"/>
      <c r="N132" s="2"/>
      <c r="O132" s="2"/>
      <c r="P132" s="2"/>
      <c r="Q132" s="2"/>
      <c r="R132" s="2"/>
      <c r="S132" s="2"/>
      <c r="T132" s="2"/>
      <c r="U132" s="2"/>
      <c r="V132" s="591"/>
      <c r="W132" s="591"/>
      <c r="X132" s="591"/>
      <c r="Y132" s="591"/>
      <c r="Z132" s="591"/>
      <c r="AA132" s="591"/>
      <c r="AB132" s="591"/>
      <c r="AC132" s="591"/>
      <c r="AG132" s="591"/>
      <c r="AH132" s="591"/>
      <c r="AI132" s="591"/>
      <c r="AJ132" s="591"/>
      <c r="AK132" s="591"/>
      <c r="AM132" s="591"/>
      <c r="AN132" s="591"/>
      <c r="AO132" s="591"/>
      <c r="AP132" s="591"/>
      <c r="AQ132" s="591"/>
      <c r="AS132" s="591"/>
      <c r="AT132" s="591"/>
      <c r="AU132" s="591"/>
      <c r="AV132" s="591"/>
      <c r="AW132" s="591"/>
      <c r="AY132" s="591"/>
    </row>
    <row r="133" spans="1:51" ht="15.75" hidden="1" customHeight="1" x14ac:dyDescent="0.2">
      <c r="A133" s="2"/>
      <c r="B133" s="2"/>
      <c r="C133" s="2"/>
      <c r="D133" s="2"/>
      <c r="E133" s="263">
        <f>IF(IMPOSTAZIONI!R186=0,1,0)</f>
        <v>0</v>
      </c>
      <c r="F133" s="2"/>
      <c r="G133" s="270">
        <f>IF(E$131=1,IMPOSTAZIONI!J98,0)</f>
        <v>0</v>
      </c>
      <c r="H133" s="271">
        <f>IF(E$132=1,IMPOSTAZIONI!J106,0)</f>
        <v>0</v>
      </c>
      <c r="I133" s="272">
        <f>IF(E$133=1,IMPOSTAZIONI!J114,0)</f>
        <v>0</v>
      </c>
      <c r="J133" s="2"/>
      <c r="K133" s="2"/>
      <c r="L133" s="2"/>
      <c r="M133" s="2"/>
      <c r="N133" s="2"/>
      <c r="O133" s="2"/>
      <c r="P133" s="2"/>
      <c r="Q133" s="2"/>
      <c r="R133" s="2"/>
      <c r="S133" s="2"/>
      <c r="T133" s="2"/>
      <c r="U133" s="2"/>
      <c r="V133" s="591"/>
      <c r="W133" s="591"/>
      <c r="X133" s="591"/>
      <c r="Y133" s="591"/>
      <c r="Z133" s="591"/>
      <c r="AA133" s="591"/>
      <c r="AB133" s="591"/>
      <c r="AC133" s="591"/>
      <c r="AG133" s="591"/>
      <c r="AH133" s="591"/>
      <c r="AI133" s="591"/>
      <c r="AJ133" s="591"/>
      <c r="AK133" s="591"/>
      <c r="AM133" s="591"/>
      <c r="AN133" s="591"/>
      <c r="AO133" s="591"/>
      <c r="AP133" s="591"/>
      <c r="AQ133" s="591"/>
      <c r="AS133" s="591"/>
      <c r="AT133" s="591"/>
      <c r="AU133" s="591"/>
      <c r="AV133" s="591"/>
      <c r="AW133" s="591"/>
      <c r="AY133" s="591"/>
    </row>
    <row r="134" spans="1:51" ht="15.75" hidden="1" customHeight="1" x14ac:dyDescent="0.2">
      <c r="A134" s="2"/>
      <c r="B134" s="2"/>
      <c r="C134" s="2"/>
      <c r="D134" s="2"/>
      <c r="E134" s="129"/>
      <c r="F134" s="2"/>
      <c r="G134" s="108">
        <f>IF(G130=0,0,G129)</f>
        <v>0</v>
      </c>
      <c r="H134" s="108">
        <f>IF(H130=0,0,H129)</f>
        <v>0</v>
      </c>
      <c r="I134" s="108">
        <f>IF(I130=0,0,I129)</f>
        <v>0</v>
      </c>
      <c r="J134" s="2"/>
      <c r="K134" s="263" t="str">
        <f>IMPOSTAZIONI!C146</f>
        <v>ESCLUDI</v>
      </c>
      <c r="L134" s="263" t="str">
        <f>IMPOSTAZIONI!H146</f>
        <v>VENTILAZIONE</v>
      </c>
      <c r="M134" s="306" t="s">
        <v>745</v>
      </c>
      <c r="N134" s="2"/>
      <c r="O134" s="2"/>
      <c r="P134" s="2"/>
      <c r="Q134" s="2"/>
      <c r="R134" s="2"/>
      <c r="S134" s="2"/>
      <c r="T134" s="2"/>
      <c r="U134" s="2"/>
      <c r="V134" s="591"/>
      <c r="W134" s="591"/>
      <c r="X134" s="591"/>
      <c r="Y134" s="591"/>
      <c r="Z134" s="591"/>
      <c r="AA134" s="591"/>
      <c r="AB134" s="591"/>
      <c r="AC134" s="591"/>
      <c r="AG134" s="591"/>
      <c r="AH134" s="591"/>
      <c r="AI134" s="591"/>
      <c r="AJ134" s="591"/>
      <c r="AK134" s="591"/>
      <c r="AM134" s="591"/>
      <c r="AN134" s="591"/>
      <c r="AO134" s="591"/>
      <c r="AP134" s="591"/>
      <c r="AQ134" s="591"/>
      <c r="AS134" s="591"/>
      <c r="AT134" s="591"/>
      <c r="AU134" s="591"/>
      <c r="AV134" s="591"/>
      <c r="AW134" s="591"/>
      <c r="AY134" s="591"/>
    </row>
    <row r="135" spans="1:51" ht="15.75" hidden="1" customHeight="1" x14ac:dyDescent="0.2">
      <c r="A135" s="2"/>
      <c r="B135" s="2"/>
      <c r="C135" s="2"/>
      <c r="D135" s="2"/>
      <c r="E135" s="274">
        <f>COUNTIF(G134:I134,0)</f>
        <v>3</v>
      </c>
      <c r="F135" s="2"/>
      <c r="G135" s="273" t="e">
        <f>SMALL($G134:$I134,$E135+1)</f>
        <v>#NUM!</v>
      </c>
      <c r="H135" s="273" t="e">
        <f>SMALL($G134:$I134,$E135+2)</f>
        <v>#NUM!</v>
      </c>
      <c r="I135" s="273" t="e">
        <f>SMALL($G134:$I134,$E135+3)</f>
        <v>#NUM!</v>
      </c>
      <c r="J135" s="2"/>
      <c r="K135" s="2"/>
      <c r="L135" s="263" t="str">
        <f>IMPOSTAZIONI!H148</f>
        <v>SCORPORO</v>
      </c>
      <c r="M135" s="306" t="s">
        <v>742</v>
      </c>
      <c r="N135" s="2"/>
      <c r="O135" s="2"/>
      <c r="P135" s="2"/>
      <c r="Q135" s="2"/>
      <c r="R135" s="2"/>
      <c r="S135" s="2"/>
      <c r="T135" s="2"/>
      <c r="U135" s="2"/>
      <c r="V135" s="591"/>
      <c r="W135" s="591"/>
      <c r="X135" s="591"/>
      <c r="Y135" s="591"/>
      <c r="Z135" s="591"/>
      <c r="AA135" s="591"/>
      <c r="AB135" s="591"/>
      <c r="AC135" s="591"/>
      <c r="AG135" s="591"/>
      <c r="AH135" s="591"/>
      <c r="AI135" s="591"/>
      <c r="AJ135" s="591"/>
      <c r="AK135" s="591"/>
      <c r="AM135" s="591"/>
      <c r="AN135" s="591"/>
      <c r="AO135" s="591"/>
      <c r="AP135" s="591"/>
      <c r="AQ135" s="591"/>
      <c r="AS135" s="591"/>
      <c r="AT135" s="591"/>
      <c r="AU135" s="591"/>
      <c r="AV135" s="591"/>
      <c r="AW135" s="591"/>
      <c r="AY135" s="591"/>
    </row>
    <row r="136" spans="1:51" ht="15.75" hidden="1" customHeight="1" x14ac:dyDescent="0.2">
      <c r="A136" s="2"/>
      <c r="B136" s="2"/>
      <c r="C136" s="2"/>
      <c r="D136" s="2"/>
      <c r="E136" s="274"/>
      <c r="F136" s="2"/>
      <c r="G136" s="275">
        <f>IF(E$131=1,CONCATENATE(IMPOSTAZIONI!I96,"-",IMPOSTAZIONI!I97,"-",IMPOSTAZIONI!I98),0)</f>
        <v>0</v>
      </c>
      <c r="H136" s="276">
        <f>IF(E$132=1,CONCATENATE(IMPOSTAZIONI!I104,"-",IMPOSTAZIONI!I105,"-",IMPOSTAZIONI!I106),0)</f>
        <v>0</v>
      </c>
      <c r="I136" s="277">
        <f>IF(E$133=1,CONCATENATE(IMPOSTAZIONI!I112,"-",IMPOSTAZIONI!I113,"-",IMPOSTAZIONI!I114),0)</f>
        <v>0</v>
      </c>
      <c r="J136" s="2"/>
      <c r="K136" s="2"/>
      <c r="L136" s="2"/>
      <c r="M136" s="2"/>
      <c r="N136" s="2"/>
      <c r="O136" s="2"/>
      <c r="P136" s="2"/>
      <c r="Q136" s="2"/>
      <c r="R136" s="2"/>
      <c r="S136" s="2"/>
      <c r="T136" s="2"/>
      <c r="U136" s="2"/>
      <c r="V136" s="591"/>
      <c r="W136" s="591"/>
      <c r="X136" s="591"/>
      <c r="Y136" s="591"/>
      <c r="Z136" s="591"/>
      <c r="AA136" s="591"/>
      <c r="AB136" s="591"/>
      <c r="AC136" s="591"/>
      <c r="AG136" s="591"/>
      <c r="AH136" s="591"/>
      <c r="AI136" s="591"/>
      <c r="AJ136" s="591"/>
      <c r="AK136" s="591"/>
      <c r="AM136" s="591"/>
      <c r="AN136" s="591"/>
      <c r="AO136" s="591"/>
      <c r="AP136" s="591"/>
      <c r="AQ136" s="591"/>
      <c r="AS136" s="591"/>
      <c r="AT136" s="591"/>
      <c r="AU136" s="591"/>
      <c r="AV136" s="591"/>
      <c r="AW136" s="591"/>
      <c r="AY136" s="591"/>
    </row>
    <row r="137" spans="1:51" ht="15.75" hidden="1" customHeight="1" x14ac:dyDescent="0.2">
      <c r="A137" s="2"/>
      <c r="B137" s="2"/>
      <c r="C137" s="2"/>
      <c r="D137" s="2"/>
      <c r="E137" s="129"/>
      <c r="F137" s="2"/>
      <c r="G137" s="273"/>
      <c r="H137" s="273"/>
      <c r="I137" s="2"/>
      <c r="J137" s="2"/>
      <c r="K137" s="2"/>
      <c r="L137" s="2"/>
      <c r="M137" s="2"/>
      <c r="N137" s="2"/>
      <c r="O137" s="2"/>
      <c r="P137" s="2"/>
      <c r="Q137" s="2"/>
      <c r="R137" s="2"/>
      <c r="S137" s="2"/>
      <c r="T137" s="2"/>
      <c r="U137" s="2"/>
      <c r="V137" s="591"/>
      <c r="W137" s="591"/>
      <c r="X137" s="591"/>
      <c r="Y137" s="591"/>
      <c r="Z137" s="591"/>
      <c r="AA137" s="591"/>
      <c r="AB137" s="591"/>
      <c r="AC137" s="591"/>
      <c r="AG137" s="591"/>
      <c r="AH137" s="591"/>
      <c r="AI137" s="591"/>
      <c r="AJ137" s="591"/>
      <c r="AK137" s="591"/>
      <c r="AM137" s="591"/>
      <c r="AN137" s="591"/>
      <c r="AO137" s="591"/>
      <c r="AP137" s="591"/>
      <c r="AQ137" s="591"/>
      <c r="AS137" s="591"/>
      <c r="AT137" s="591"/>
      <c r="AU137" s="591"/>
      <c r="AV137" s="591"/>
      <c r="AW137" s="591"/>
      <c r="AY137" s="591"/>
    </row>
    <row r="138" spans="1:51" ht="15.75" hidden="1" customHeight="1" x14ac:dyDescent="0.2">
      <c r="A138" s="2"/>
      <c r="B138" s="2"/>
      <c r="C138" s="2"/>
      <c r="D138" s="2"/>
      <c r="E138" s="129"/>
      <c r="F138" s="2"/>
      <c r="G138" s="273"/>
      <c r="H138" s="273"/>
      <c r="I138" s="273"/>
      <c r="J138" s="148">
        <v>1</v>
      </c>
      <c r="K138" s="148">
        <v>2</v>
      </c>
      <c r="L138" s="148">
        <v>3</v>
      </c>
      <c r="M138" s="2"/>
      <c r="N138" s="2"/>
      <c r="O138" s="2"/>
      <c r="P138" s="2"/>
      <c r="Q138" s="2"/>
      <c r="R138" s="2"/>
      <c r="S138" s="2"/>
      <c r="T138" s="2"/>
      <c r="U138" s="2"/>
      <c r="V138" s="591"/>
      <c r="W138" s="591"/>
      <c r="X138" s="591"/>
      <c r="Y138" s="591"/>
      <c r="Z138" s="591"/>
      <c r="AA138" s="591"/>
      <c r="AB138" s="591"/>
      <c r="AC138" s="591"/>
      <c r="AG138" s="591"/>
      <c r="AH138" s="591"/>
      <c r="AI138" s="591"/>
      <c r="AJ138" s="591"/>
      <c r="AK138" s="591"/>
      <c r="AM138" s="591"/>
      <c r="AN138" s="591"/>
      <c r="AO138" s="591"/>
      <c r="AP138" s="591"/>
      <c r="AQ138" s="591"/>
      <c r="AS138" s="591"/>
      <c r="AT138" s="591"/>
      <c r="AU138" s="591"/>
      <c r="AV138" s="591"/>
      <c r="AW138" s="591"/>
      <c r="AY138" s="591"/>
    </row>
    <row r="139" spans="1:51" ht="15.75" hidden="1" customHeight="1" x14ac:dyDescent="0.2">
      <c r="A139" s="2"/>
      <c r="B139" s="2"/>
      <c r="C139" s="148">
        <v>1</v>
      </c>
      <c r="D139" s="148">
        <f>IF(I139=0,0,1)</f>
        <v>0</v>
      </c>
      <c r="E139" s="263" t="str">
        <f>IMPOSTAZIONI!B298</f>
        <v>--</v>
      </c>
      <c r="F139" s="2"/>
      <c r="G139" s="305">
        <f>VLOOKUP(E139,IMPOSTAZIONI!$B$298:$AK$304,$E$149,FALSE)</f>
        <v>0</v>
      </c>
      <c r="H139" s="306" t="str">
        <f>IF(G139&gt;0,IF(AND(ISERROR(HLOOKUP(E139,G$136:I$136,1,FALSE)),ISERROR(HLOOKUP(E139,G$1:N$1,1,FALSE))),E139,"OK"),"")</f>
        <v/>
      </c>
      <c r="I139" s="307">
        <f>IF(H139="OK",0,IF(H139="",0,1))</f>
        <v>0</v>
      </c>
      <c r="J139" s="263" t="e">
        <f>VLOOKUP(C139,$D$139:$H$148,5,FALSE)</f>
        <v>#N/A</v>
      </c>
      <c r="K139" s="263" t="e">
        <f>VLOOKUP(C140,$D$139:$H$148,5,FALSE)</f>
        <v>#N/A</v>
      </c>
      <c r="L139" s="263" t="e">
        <f>VLOOKUP(C141,$D$139:$H$148,5,FALSE)</f>
        <v>#N/A</v>
      </c>
      <c r="M139" s="2"/>
      <c r="N139" s="2"/>
      <c r="O139" s="2"/>
      <c r="P139" s="2"/>
      <c r="Q139" s="2"/>
      <c r="R139" s="2"/>
      <c r="S139" s="2"/>
      <c r="T139" s="2"/>
      <c r="U139" s="2"/>
      <c r="V139" s="591"/>
      <c r="W139" s="591"/>
      <c r="X139" s="591"/>
      <c r="Y139" s="591"/>
      <c r="Z139" s="591"/>
      <c r="AA139" s="591"/>
      <c r="AB139" s="591"/>
      <c r="AC139" s="591"/>
      <c r="AG139" s="591"/>
      <c r="AH139" s="591"/>
      <c r="AI139" s="591"/>
      <c r="AJ139" s="591"/>
      <c r="AK139" s="591"/>
      <c r="AM139" s="591"/>
      <c r="AN139" s="591"/>
      <c r="AO139" s="591"/>
      <c r="AP139" s="591"/>
      <c r="AQ139" s="591"/>
      <c r="AS139" s="591"/>
      <c r="AT139" s="591"/>
      <c r="AU139" s="591"/>
      <c r="AV139" s="591"/>
      <c r="AW139" s="591"/>
      <c r="AY139" s="591"/>
    </row>
    <row r="140" spans="1:51" ht="15.75" hidden="1" customHeight="1" x14ac:dyDescent="0.2">
      <c r="A140" s="2"/>
      <c r="B140" s="2"/>
      <c r="C140" s="148">
        <v>2</v>
      </c>
      <c r="D140" s="103">
        <f>IF(I140=0,0,COUNTIF(D$139:D139,"&gt;0")+1)</f>
        <v>0</v>
      </c>
      <c r="E140" s="263" t="str">
        <f>IMPOSTAZIONI!B299</f>
        <v>--</v>
      </c>
      <c r="F140" s="2"/>
      <c r="G140" s="305">
        <f>VLOOKUP(E140,IMPOSTAZIONI!$B$298:$AK$304,$E$149,FALSE)</f>
        <v>0</v>
      </c>
      <c r="H140" s="306" t="str">
        <f>IF(G140&gt;0,IF(AND(ISERROR(HLOOKUP(E140,G$136:I$136,1,FALSE)),ISERROR(HLOOKUP(E140,G$1:N$1,1,FALSE))),E140,"OK"),"")</f>
        <v/>
      </c>
      <c r="I140" s="307">
        <f t="shared" ref="I140:I148" si="35">IF(H140="OK",0,IF(H140="",0,1))</f>
        <v>0</v>
      </c>
      <c r="J140" s="267">
        <f>IF(ISERROR(J$139),0,HLOOKUP(J$139,IMPOSTAZIONI!$AB$183:$AH$187,3,FALSE))</f>
        <v>0</v>
      </c>
      <c r="K140" s="267">
        <f>IF(ISERROR(K$139),0,HLOOKUP(K$139,IMPOSTAZIONI!$AB$183:$AH$187,3,FALSE))</f>
        <v>0</v>
      </c>
      <c r="L140" s="268">
        <f>IF(ISERROR(L$139),0,HLOOKUP(L$139,IMPOSTAZIONI!$AB$183:$AH$187,3,FALSE))</f>
        <v>0</v>
      </c>
      <c r="M140" s="2"/>
      <c r="N140" s="2"/>
      <c r="O140" s="2"/>
      <c r="P140" s="2"/>
      <c r="Q140" s="2"/>
      <c r="R140" s="2"/>
      <c r="S140" s="2"/>
      <c r="T140" s="2"/>
      <c r="U140" s="2"/>
      <c r="V140" s="591"/>
      <c r="W140" s="591"/>
      <c r="X140" s="591"/>
      <c r="Y140" s="591"/>
      <c r="Z140" s="591"/>
      <c r="AA140" s="591"/>
      <c r="AB140" s="591"/>
      <c r="AC140" s="591"/>
      <c r="AG140" s="591"/>
      <c r="AH140" s="591"/>
      <c r="AI140" s="591"/>
      <c r="AJ140" s="591"/>
      <c r="AK140" s="591"/>
      <c r="AM140" s="591"/>
      <c r="AN140" s="591"/>
      <c r="AO140" s="591"/>
      <c r="AP140" s="591"/>
      <c r="AQ140" s="591"/>
      <c r="AS140" s="591"/>
      <c r="AT140" s="591"/>
      <c r="AU140" s="591"/>
      <c r="AV140" s="591"/>
      <c r="AW140" s="591"/>
      <c r="AY140" s="591"/>
    </row>
    <row r="141" spans="1:51" ht="15.75" hidden="1" customHeight="1" x14ac:dyDescent="0.2">
      <c r="A141" s="2"/>
      <c r="B141" s="2"/>
      <c r="C141" s="148">
        <v>3</v>
      </c>
      <c r="D141" s="103">
        <f>IF(I141=0,0,COUNTIF(D$139:D140,"&gt;0")+1)</f>
        <v>0</v>
      </c>
      <c r="E141" s="263" t="str">
        <f>IMPOSTAZIONI!B300</f>
        <v>--</v>
      </c>
      <c r="F141" s="2"/>
      <c r="G141" s="305">
        <f>VLOOKUP(E141,IMPOSTAZIONI!$B$298:$AK$304,$E$149,FALSE)</f>
        <v>0</v>
      </c>
      <c r="H141" s="306" t="str">
        <f>IF(G141&gt;0,IF(AND(ISERROR(HLOOKUP(E141,G$136:I$136,1,FALSE)),ISERROR(HLOOKUP(E141,G$1:N$1,1,FALSE))),E141,"OK"),"")</f>
        <v/>
      </c>
      <c r="I141" s="307">
        <f t="shared" si="35"/>
        <v>0</v>
      </c>
      <c r="J141" s="264">
        <f>IF(ISERROR(J$139),0,HLOOKUP(J$139,IMPOSTAZIONI!$AB$183:$AH$187,4,FALSE))</f>
        <v>0</v>
      </c>
      <c r="K141" s="264">
        <f>IF(ISERROR(K$139),0,HLOOKUP(K$139,IMPOSTAZIONI!$AB$183:$AH$187,4,FALSE))</f>
        <v>0</v>
      </c>
      <c r="L141" s="266">
        <f>IF(ISERROR(L$139),0,HLOOKUP(L$139,IMPOSTAZIONI!$AB$183:$AH$187,4,FALSE))</f>
        <v>0</v>
      </c>
      <c r="M141" s="2"/>
      <c r="N141" s="2"/>
      <c r="O141" s="2"/>
      <c r="P141" s="2"/>
      <c r="Q141" s="2"/>
      <c r="R141" s="2"/>
      <c r="S141" s="2"/>
      <c r="T141" s="2"/>
      <c r="U141" s="2"/>
      <c r="V141" s="591"/>
      <c r="W141" s="591"/>
      <c r="X141" s="591"/>
      <c r="Y141" s="591"/>
      <c r="Z141" s="591"/>
      <c r="AA141" s="591"/>
      <c r="AB141" s="591"/>
      <c r="AC141" s="591"/>
      <c r="AG141" s="591"/>
      <c r="AH141" s="591"/>
      <c r="AI141" s="591"/>
      <c r="AJ141" s="591"/>
      <c r="AK141" s="591"/>
      <c r="AM141" s="591"/>
      <c r="AN141" s="591"/>
      <c r="AO141" s="591"/>
      <c r="AP141" s="591"/>
      <c r="AQ141" s="591"/>
      <c r="AS141" s="591"/>
      <c r="AT141" s="591"/>
      <c r="AU141" s="591"/>
      <c r="AV141" s="591"/>
      <c r="AW141" s="591"/>
      <c r="AY141" s="591"/>
    </row>
    <row r="142" spans="1:51" ht="15.75" hidden="1" customHeight="1" x14ac:dyDescent="0.2">
      <c r="A142" s="2"/>
      <c r="B142" s="2"/>
      <c r="C142" s="103"/>
      <c r="D142" s="591"/>
      <c r="E142" s="591"/>
      <c r="F142" s="591"/>
      <c r="G142" s="591"/>
      <c r="H142" s="591"/>
      <c r="I142" s="591"/>
      <c r="J142" s="270">
        <f>IF(ISERROR(J$139),0,HLOOKUP(J$139,IMPOSTAZIONI!$AB$183:$AH$187,5,FALSE))</f>
        <v>0</v>
      </c>
      <c r="K142" s="270">
        <f>IF(ISERROR(K$139),0,HLOOKUP(K$139,IMPOSTAZIONI!$AB$183:$AH$187,5,FALSE))</f>
        <v>0</v>
      </c>
      <c r="L142" s="271">
        <f>IF(ISERROR(L$139),0,HLOOKUP(L$139,IMPOSTAZIONI!$AB$183:$AH$187,5,FALSE))</f>
        <v>0</v>
      </c>
      <c r="M142" s="2"/>
      <c r="N142" s="2"/>
      <c r="O142" s="2"/>
      <c r="P142" s="2"/>
      <c r="Q142" s="2"/>
      <c r="R142" s="2"/>
      <c r="S142" s="2"/>
      <c r="T142" s="2"/>
      <c r="U142" s="2"/>
      <c r="V142" s="591"/>
      <c r="W142" s="591"/>
      <c r="X142" s="591"/>
      <c r="Y142" s="591"/>
      <c r="Z142" s="591"/>
      <c r="AA142" s="591"/>
      <c r="AB142" s="591"/>
      <c r="AC142" s="591"/>
      <c r="AG142" s="591"/>
      <c r="AH142" s="591"/>
      <c r="AI142" s="591"/>
      <c r="AJ142" s="591"/>
      <c r="AK142" s="591"/>
      <c r="AM142" s="591"/>
      <c r="AN142" s="591"/>
      <c r="AO142" s="591"/>
      <c r="AP142" s="591"/>
      <c r="AQ142" s="591"/>
      <c r="AS142" s="591"/>
      <c r="AT142" s="591"/>
      <c r="AU142" s="591"/>
      <c r="AV142" s="591"/>
      <c r="AW142" s="591"/>
      <c r="AY142" s="591"/>
    </row>
    <row r="143" spans="1:51" ht="15.75" hidden="1" customHeight="1" x14ac:dyDescent="0.2">
      <c r="A143" s="2"/>
      <c r="B143" s="2"/>
      <c r="C143" s="103"/>
      <c r="D143" s="591"/>
      <c r="E143" s="591"/>
      <c r="F143" s="591"/>
      <c r="G143" s="591"/>
      <c r="H143" s="591"/>
      <c r="I143" s="591"/>
      <c r="J143" s="2"/>
      <c r="K143" s="2"/>
      <c r="L143" s="2"/>
      <c r="M143" s="2"/>
      <c r="N143" s="2"/>
      <c r="O143" s="2"/>
      <c r="P143" s="2"/>
      <c r="Q143" s="2"/>
      <c r="R143" s="2"/>
      <c r="S143" s="2"/>
      <c r="T143" s="2"/>
      <c r="U143" s="2"/>
      <c r="V143" s="591"/>
      <c r="W143" s="591"/>
      <c r="X143" s="591"/>
      <c r="Y143" s="591"/>
      <c r="Z143" s="591"/>
      <c r="AA143" s="591"/>
      <c r="AB143" s="591"/>
      <c r="AC143" s="591"/>
      <c r="AG143" s="591"/>
      <c r="AH143" s="591"/>
      <c r="AI143" s="591"/>
      <c r="AJ143" s="591"/>
      <c r="AK143" s="591"/>
      <c r="AM143" s="591"/>
      <c r="AN143" s="591"/>
      <c r="AO143" s="591"/>
      <c r="AP143" s="591"/>
      <c r="AQ143" s="591"/>
      <c r="AS143" s="591"/>
      <c r="AT143" s="591"/>
      <c r="AU143" s="591"/>
      <c r="AV143" s="591"/>
      <c r="AW143" s="591"/>
      <c r="AY143" s="591"/>
    </row>
    <row r="144" spans="1:51" ht="15.75" hidden="1" customHeight="1" x14ac:dyDescent="0.2">
      <c r="A144" s="2"/>
      <c r="B144" s="2"/>
      <c r="C144" s="103"/>
      <c r="D144" s="591"/>
      <c r="E144" s="591"/>
      <c r="F144" s="591"/>
      <c r="G144" s="591"/>
      <c r="H144" s="591"/>
      <c r="I144" s="591"/>
      <c r="J144" s="2"/>
      <c r="K144" s="2102" t="s">
        <v>543</v>
      </c>
      <c r="L144" s="2103"/>
      <c r="M144" s="1297" t="s">
        <v>198</v>
      </c>
      <c r="N144" s="1298" t="s">
        <v>202</v>
      </c>
      <c r="O144" s="1297" t="s">
        <v>199</v>
      </c>
      <c r="P144" s="1298" t="s">
        <v>203</v>
      </c>
      <c r="Q144" s="1297" t="s">
        <v>65</v>
      </c>
      <c r="R144" s="1298" t="s">
        <v>66</v>
      </c>
      <c r="S144" s="1297" t="s">
        <v>65</v>
      </c>
      <c r="T144" s="1298" t="s">
        <v>66</v>
      </c>
      <c r="U144" s="2"/>
      <c r="V144" s="591"/>
      <c r="W144" s="591"/>
      <c r="X144" s="591"/>
      <c r="Y144" s="591"/>
      <c r="Z144" s="591"/>
      <c r="AA144" s="591"/>
      <c r="AB144" s="591"/>
      <c r="AC144" s="591"/>
      <c r="AG144" s="591"/>
      <c r="AH144" s="591"/>
      <c r="AI144" s="591"/>
      <c r="AJ144" s="591"/>
      <c r="AK144" s="591"/>
      <c r="AM144" s="591"/>
      <c r="AN144" s="591"/>
      <c r="AO144" s="591"/>
      <c r="AP144" s="591"/>
      <c r="AQ144" s="591"/>
      <c r="AS144" s="591"/>
      <c r="AT144" s="591"/>
      <c r="AU144" s="591"/>
      <c r="AV144" s="591"/>
      <c r="AW144" s="591"/>
      <c r="AY144" s="591"/>
    </row>
    <row r="145" spans="1:51" ht="15.75" hidden="1" customHeight="1" x14ac:dyDescent="0.2">
      <c r="A145" s="2"/>
      <c r="B145" s="2"/>
      <c r="C145" s="103"/>
      <c r="D145" s="103">
        <f>IF(I145=0,0,COUNTIF(D$139:D144,"&gt;0")+1)</f>
        <v>0</v>
      </c>
      <c r="E145" s="263" t="str">
        <f>IMPOSTAZIONI!B301</f>
        <v>--</v>
      </c>
      <c r="F145" s="2"/>
      <c r="G145" s="305">
        <f>VLOOKUP(E145,IMPOSTAZIONI!$B$298:$AK$304,$E$149,FALSE)</f>
        <v>0</v>
      </c>
      <c r="H145" s="306" t="str">
        <f>IF(G145&gt;0,IF(AND(ISERROR(HLOOKUP(E145,G$136:I$136,1,FALSE)),ISERROR(HLOOKUP(E145,G$1:N$1,1,FALSE))),E145,"OK"),"")</f>
        <v/>
      </c>
      <c r="I145" s="307">
        <f t="shared" si="35"/>
        <v>0</v>
      </c>
      <c r="J145" s="2"/>
      <c r="K145" s="2102" t="s">
        <v>58</v>
      </c>
      <c r="L145" s="2103"/>
      <c r="M145" s="100" t="s">
        <v>198</v>
      </c>
      <c r="N145" s="1299" t="s">
        <v>202</v>
      </c>
      <c r="O145" s="100" t="s">
        <v>199</v>
      </c>
      <c r="P145" s="1299" t="s">
        <v>203</v>
      </c>
      <c r="Q145" s="100" t="s">
        <v>65</v>
      </c>
      <c r="R145" s="1299" t="s">
        <v>66</v>
      </c>
      <c r="S145" s="100" t="s">
        <v>65</v>
      </c>
      <c r="T145" s="1299" t="s">
        <v>66</v>
      </c>
      <c r="U145" s="2"/>
      <c r="V145" s="591"/>
      <c r="W145" s="591"/>
      <c r="X145" s="591"/>
      <c r="Y145" s="591"/>
      <c r="Z145" s="591"/>
      <c r="AA145" s="591"/>
      <c r="AB145" s="591"/>
      <c r="AC145" s="591"/>
      <c r="AG145" s="591"/>
      <c r="AH145" s="591"/>
      <c r="AI145" s="591"/>
      <c r="AJ145" s="591"/>
      <c r="AK145" s="591"/>
      <c r="AM145" s="591"/>
      <c r="AN145" s="591"/>
      <c r="AO145" s="591"/>
      <c r="AP145" s="591"/>
      <c r="AQ145" s="591"/>
      <c r="AS145" s="591"/>
      <c r="AT145" s="591"/>
      <c r="AU145" s="591"/>
      <c r="AV145" s="591"/>
      <c r="AW145" s="591"/>
      <c r="AY145" s="591"/>
    </row>
    <row r="146" spans="1:51" ht="15.75" hidden="1" customHeight="1" x14ac:dyDescent="0.2">
      <c r="A146" s="2"/>
      <c r="B146" s="2"/>
      <c r="C146" s="103"/>
      <c r="D146" s="103">
        <f>IF(I146=0,0,COUNTIF(D$139:D145,"&gt;0")+1)</f>
        <v>0</v>
      </c>
      <c r="E146" s="263" t="str">
        <f>IMPOSTAZIONI!B302</f>
        <v/>
      </c>
      <c r="F146" s="2"/>
      <c r="G146" s="305">
        <f>VLOOKUP(E146,IMPOSTAZIONI!$B$298:$AK$304,$E$149,FALSE)</f>
        <v>0</v>
      </c>
      <c r="H146" s="306" t="str">
        <f>IF(G146&gt;0,IF(AND(ISERROR(HLOOKUP(E146,G$136:I$136,1,FALSE)),ISERROR(HLOOKUP(E146,G$1:N$1,1,FALSE))),E146,"OK"),"")</f>
        <v/>
      </c>
      <c r="I146" s="307">
        <f t="shared" si="35"/>
        <v>0</v>
      </c>
      <c r="J146" s="2"/>
      <c r="K146" s="2102" t="s">
        <v>59</v>
      </c>
      <c r="L146" s="2103"/>
      <c r="M146" s="100" t="s">
        <v>198</v>
      </c>
      <c r="N146" s="1299" t="s">
        <v>62</v>
      </c>
      <c r="O146" s="100" t="s">
        <v>199</v>
      </c>
      <c r="P146" s="1299" t="s">
        <v>203</v>
      </c>
      <c r="Q146" s="100" t="s">
        <v>65</v>
      </c>
      <c r="R146" s="1299" t="s">
        <v>66</v>
      </c>
      <c r="S146" s="100" t="s">
        <v>65</v>
      </c>
      <c r="T146" s="1299" t="s">
        <v>66</v>
      </c>
      <c r="U146" s="2"/>
      <c r="V146" s="591"/>
      <c r="W146" s="591"/>
      <c r="X146" s="591"/>
      <c r="Y146" s="591"/>
      <c r="Z146" s="591"/>
      <c r="AA146" s="591"/>
      <c r="AB146" s="591"/>
      <c r="AC146" s="591"/>
      <c r="AG146" s="591"/>
      <c r="AH146" s="591"/>
      <c r="AI146" s="591"/>
      <c r="AJ146" s="591"/>
      <c r="AK146" s="591"/>
      <c r="AM146" s="591"/>
      <c r="AN146" s="591"/>
      <c r="AO146" s="591"/>
      <c r="AP146" s="591"/>
      <c r="AQ146" s="591"/>
      <c r="AS146" s="591"/>
      <c r="AT146" s="591"/>
      <c r="AU146" s="591"/>
      <c r="AV146" s="591"/>
      <c r="AW146" s="591"/>
      <c r="AY146" s="591"/>
    </row>
    <row r="147" spans="1:51" ht="15.75" hidden="1" customHeight="1" x14ac:dyDescent="0.2">
      <c r="A147" s="2"/>
      <c r="B147" s="2"/>
      <c r="C147" s="103"/>
      <c r="D147" s="103">
        <f>IF(I147=0,0,COUNTIF(D$139:D146,"&gt;0")+1)</f>
        <v>0</v>
      </c>
      <c r="E147" s="263" t="str">
        <f>IMPOSTAZIONI!B303</f>
        <v/>
      </c>
      <c r="F147" s="2"/>
      <c r="G147" s="305">
        <f>VLOOKUP(E147,IMPOSTAZIONI!$B$298:$AK$304,$E$149,FALSE)</f>
        <v>0</v>
      </c>
      <c r="H147" s="306" t="str">
        <f>IF(G147&gt;0,IF(AND(ISERROR(HLOOKUP(E147,G$136:I$136,1,FALSE)),ISERROR(HLOOKUP(E147,G$1:N$1,1,FALSE))),E147,"OK"),"")</f>
        <v/>
      </c>
      <c r="I147" s="307">
        <f t="shared" si="35"/>
        <v>0</v>
      </c>
      <c r="J147" s="2"/>
      <c r="K147" s="2102" t="s">
        <v>60</v>
      </c>
      <c r="L147" s="2103"/>
      <c r="M147" s="100" t="s">
        <v>199</v>
      </c>
      <c r="N147" s="1299" t="s">
        <v>203</v>
      </c>
      <c r="O147" s="100" t="s">
        <v>198</v>
      </c>
      <c r="P147" s="1299" t="s">
        <v>63</v>
      </c>
      <c r="Q147" s="100" t="s">
        <v>67</v>
      </c>
      <c r="R147" s="1299" t="s">
        <v>68</v>
      </c>
      <c r="S147" s="100" t="s">
        <v>67</v>
      </c>
      <c r="T147" s="1299" t="s">
        <v>68</v>
      </c>
      <c r="U147" s="2"/>
      <c r="V147" s="591"/>
      <c r="W147" s="591"/>
      <c r="X147" s="591"/>
      <c r="Y147" s="591"/>
      <c r="Z147" s="591"/>
      <c r="AA147" s="591"/>
      <c r="AB147" s="591"/>
      <c r="AC147" s="591"/>
      <c r="AG147" s="591"/>
      <c r="AH147" s="591"/>
      <c r="AI147" s="591"/>
      <c r="AJ147" s="591"/>
      <c r="AK147" s="591"/>
      <c r="AM147" s="591"/>
      <c r="AN147" s="591"/>
      <c r="AO147" s="591"/>
      <c r="AP147" s="591"/>
      <c r="AQ147" s="591"/>
      <c r="AS147" s="591"/>
      <c r="AT147" s="591"/>
      <c r="AU147" s="591"/>
      <c r="AV147" s="591"/>
      <c r="AW147" s="591"/>
      <c r="AY147" s="591"/>
    </row>
    <row r="148" spans="1:51" ht="15.75" hidden="1" customHeight="1" x14ac:dyDescent="0.2">
      <c r="A148" s="2"/>
      <c r="B148" s="2"/>
      <c r="C148" s="103"/>
      <c r="D148" s="103">
        <f>IF(I148=0,0,COUNTIF(D$139:D147,"&gt;0")+1)</f>
        <v>0</v>
      </c>
      <c r="E148" s="263" t="str">
        <f>IMPOSTAZIONI!B304</f>
        <v/>
      </c>
      <c r="F148" s="2"/>
      <c r="G148" s="305">
        <f>VLOOKUP(E148,IMPOSTAZIONI!$B$298:$AK$304,$E$149,FALSE)</f>
        <v>0</v>
      </c>
      <c r="H148" s="306" t="str">
        <f>IF(G148&gt;0,IF(AND(ISERROR(HLOOKUP(E148,G$136:I$136,1,FALSE)),ISERROR(HLOOKUP(E148,G$1:N$1,1,FALSE))),E148,"OK"),"")</f>
        <v/>
      </c>
      <c r="I148" s="307">
        <f t="shared" si="35"/>
        <v>0</v>
      </c>
      <c r="J148" s="2"/>
      <c r="K148" s="2102" t="s">
        <v>61</v>
      </c>
      <c r="L148" s="2103"/>
      <c r="M148" s="100" t="s">
        <v>195</v>
      </c>
      <c r="N148" s="1301" t="s">
        <v>64</v>
      </c>
      <c r="O148" s="1300" t="s">
        <v>195</v>
      </c>
      <c r="P148" s="1301" t="s">
        <v>64</v>
      </c>
      <c r="Q148" s="1300" t="s">
        <v>69</v>
      </c>
      <c r="R148" s="1301"/>
      <c r="S148" s="1300" t="s">
        <v>70</v>
      </c>
      <c r="T148" s="1301"/>
      <c r="U148" s="2"/>
      <c r="V148" s="591"/>
      <c r="W148" s="591"/>
      <c r="X148" s="591"/>
      <c r="Y148" s="591"/>
      <c r="Z148" s="591"/>
      <c r="AA148" s="591"/>
      <c r="AB148" s="591"/>
      <c r="AC148" s="591"/>
      <c r="AG148" s="591"/>
      <c r="AH148" s="591"/>
      <c r="AI148" s="591"/>
      <c r="AJ148" s="591"/>
      <c r="AK148" s="591"/>
      <c r="AM148" s="591"/>
      <c r="AN148" s="591"/>
      <c r="AO148" s="591"/>
      <c r="AP148" s="591"/>
      <c r="AQ148" s="591"/>
      <c r="AS148" s="591"/>
      <c r="AT148" s="591"/>
      <c r="AU148" s="591"/>
      <c r="AV148" s="591"/>
      <c r="AW148" s="591"/>
      <c r="AY148" s="591"/>
    </row>
    <row r="149" spans="1:51" ht="15.75" hidden="1" customHeight="1" x14ac:dyDescent="0.2">
      <c r="A149" s="2"/>
      <c r="B149" s="2"/>
      <c r="C149" s="2"/>
      <c r="D149" s="2"/>
      <c r="E149" s="306">
        <v>12</v>
      </c>
      <c r="F149" s="2"/>
      <c r="G149" s="306" t="str">
        <f>IF(MAX(D139:D148)&gt;C141,K132,"")</f>
        <v/>
      </c>
      <c r="H149" s="308">
        <f>IF((MAX(D139:D148)+3-E135)&gt;3,K132,MAX(D139:D148))</f>
        <v>0</v>
      </c>
      <c r="I149" s="273"/>
      <c r="J149" s="2"/>
      <c r="K149" s="2099"/>
      <c r="L149" s="2099"/>
      <c r="M149" s="1302"/>
      <c r="N149" s="1302"/>
      <c r="O149" s="2"/>
      <c r="P149" s="2"/>
      <c r="Q149" s="2"/>
      <c r="R149" s="2"/>
      <c r="S149" s="2"/>
      <c r="T149" s="2"/>
      <c r="U149" s="2"/>
      <c r="V149" s="591"/>
      <c r="W149" s="591"/>
      <c r="X149" s="591"/>
      <c r="Y149" s="591"/>
      <c r="Z149" s="591"/>
      <c r="AA149" s="591"/>
      <c r="AB149" s="591"/>
      <c r="AC149" s="591"/>
      <c r="AG149" s="591"/>
      <c r="AH149" s="591"/>
      <c r="AI149" s="591"/>
      <c r="AJ149" s="591"/>
      <c r="AK149" s="591"/>
      <c r="AM149" s="591"/>
      <c r="AN149" s="591"/>
      <c r="AO149" s="591"/>
      <c r="AP149" s="591"/>
      <c r="AQ149" s="591"/>
      <c r="AS149" s="591"/>
      <c r="AT149" s="591"/>
      <c r="AU149" s="591"/>
      <c r="AV149" s="591"/>
      <c r="AW149" s="591"/>
      <c r="AY149" s="591"/>
    </row>
    <row r="150" spans="1:51" ht="21" hidden="1" customHeight="1" x14ac:dyDescent="0.2">
      <c r="A150" s="2"/>
      <c r="B150" s="2"/>
      <c r="C150" s="2"/>
      <c r="D150" s="2"/>
      <c r="E150" s="807">
        <f>VLOOKUP(E3,STORICO!C153:AO197,39,FALSE)</f>
        <v>0</v>
      </c>
      <c r="F150" s="2"/>
      <c r="G150" s="1211">
        <f>IF(AND(G152&gt;0,OR(G99&lt;&gt;"OK",G105&lt;&gt;"OK")),1,0)</f>
        <v>0</v>
      </c>
      <c r="H150" s="1211">
        <f>IF(AND(H152&gt;0,OR(H99&lt;&gt;"OK",H105&lt;&gt;"OK")),1,0)</f>
        <v>0</v>
      </c>
      <c r="I150" s="1211">
        <f>IF(AND(I152&gt;0,OR(K99&lt;&gt;"OK",K105&lt;&gt;"OK")),1,0)</f>
        <v>0</v>
      </c>
      <c r="J150" s="1211">
        <f>IF(AND(J152&gt;0,OR(N99&lt;&gt;"OK",N105&lt;&gt;"OK")),1,0)</f>
        <v>0</v>
      </c>
      <c r="K150" s="2"/>
      <c r="L150" s="2"/>
      <c r="M150" s="2"/>
      <c r="N150" s="2"/>
      <c r="O150" s="2"/>
      <c r="P150" s="2"/>
      <c r="Q150" s="2"/>
      <c r="R150" s="2"/>
      <c r="S150" s="2"/>
      <c r="T150" s="2"/>
      <c r="U150" s="2"/>
      <c r="V150" s="591"/>
      <c r="W150" s="591"/>
      <c r="X150" s="591"/>
      <c r="Y150" s="591"/>
      <c r="Z150" s="591"/>
      <c r="AA150" s="591"/>
      <c r="AB150" s="591"/>
      <c r="AC150" s="591"/>
      <c r="AG150" s="591"/>
      <c r="AH150" s="591"/>
      <c r="AI150" s="591"/>
      <c r="AJ150" s="591"/>
      <c r="AK150" s="591"/>
      <c r="AM150" s="591"/>
      <c r="AN150" s="591"/>
      <c r="AO150" s="591"/>
      <c r="AP150" s="591"/>
      <c r="AQ150" s="591"/>
      <c r="AS150" s="591"/>
      <c r="AT150" s="591"/>
      <c r="AU150" s="591"/>
      <c r="AV150" s="591"/>
      <c r="AW150" s="591"/>
      <c r="AY150" s="591"/>
    </row>
    <row r="151" spans="1:51" ht="21" hidden="1" customHeight="1" x14ac:dyDescent="0.2">
      <c r="A151" s="2"/>
      <c r="B151" s="2"/>
      <c r="C151" s="2"/>
      <c r="D151" s="2"/>
      <c r="E151" s="2"/>
      <c r="F151" s="2"/>
      <c r="G151" s="1212" t="str">
        <f>IMPOSTAZIONI!Y382</f>
        <v>Hai delle colonne ALIQUOTE DIVERSE che DEVI SCORPORARE manualmente qui.</v>
      </c>
      <c r="H151" s="1212"/>
      <c r="I151" s="1212"/>
      <c r="J151" s="1212"/>
      <c r="K151" s="1213"/>
      <c r="L151" s="1213"/>
      <c r="M151" s="1213"/>
      <c r="N151" s="1213"/>
      <c r="O151" s="688"/>
      <c r="P151" s="688"/>
      <c r="Q151" s="688"/>
      <c r="R151" s="99"/>
      <c r="S151" s="1306"/>
      <c r="T151" s="591"/>
      <c r="U151" s="591"/>
      <c r="V151" s="591"/>
      <c r="W151" s="591"/>
      <c r="X151" s="591"/>
      <c r="Y151" s="591"/>
      <c r="Z151" s="591"/>
      <c r="AA151" s="591"/>
      <c r="AB151" s="591"/>
      <c r="AC151" s="591"/>
      <c r="AG151" s="591"/>
      <c r="AH151" s="591"/>
      <c r="AI151" s="591"/>
      <c r="AJ151" s="591"/>
      <c r="AK151" s="591"/>
      <c r="AM151" s="591"/>
      <c r="AN151" s="591"/>
      <c r="AO151" s="591"/>
      <c r="AP151" s="591"/>
      <c r="AQ151" s="591"/>
      <c r="AS151" s="591"/>
      <c r="AT151" s="591"/>
      <c r="AU151" s="591"/>
      <c r="AV151" s="591"/>
      <c r="AW151" s="591"/>
      <c r="AY151" s="591"/>
    </row>
    <row r="152" spans="1:51" ht="21" hidden="1" customHeight="1" x14ac:dyDescent="0.2">
      <c r="A152" s="2"/>
      <c r="B152" s="2"/>
      <c r="C152" s="2"/>
      <c r="D152" s="2"/>
      <c r="E152" s="92" t="str">
        <f>IMPOSTAZIONI!J383</f>
        <v>INSERISCI</v>
      </c>
      <c r="F152" s="2"/>
      <c r="G152" s="86">
        <f>IF(G46=0,0,IF(AND(G62&lt;&gt;$L134,G155="X"),1,0))</f>
        <v>0</v>
      </c>
      <c r="H152" s="87">
        <f>IF(H46=0,0,IF(AND(H62&lt;&gt;$L134,H155="X"),1,0))</f>
        <v>0</v>
      </c>
      <c r="I152" s="87">
        <f>IF(K46=0,0,IF(AND(K62&lt;&gt;$L134,I155="X"),1,0))</f>
        <v>0</v>
      </c>
      <c r="J152" s="88">
        <f>IF(N46=0,0,IF(AND(N62&lt;&gt;$L134,J155="X"),1,0))</f>
        <v>0</v>
      </c>
      <c r="K152" s="100" t="str">
        <f>IMPOSTAZIONI!M383</f>
        <v>VERIFICA</v>
      </c>
      <c r="L152" s="92" t="str">
        <f>IMPOSTAZIONI!P383</f>
        <v>CANCELLA</v>
      </c>
      <c r="M152" s="2"/>
      <c r="N152" s="2"/>
      <c r="O152" s="2"/>
      <c r="P152" s="2"/>
      <c r="Q152" s="2"/>
      <c r="R152" s="2"/>
      <c r="S152" s="591"/>
      <c r="T152" s="591"/>
      <c r="U152" s="591"/>
      <c r="V152" s="591"/>
      <c r="W152" s="591"/>
      <c r="X152" s="591"/>
      <c r="Y152" s="591"/>
      <c r="Z152" s="591"/>
      <c r="AA152" s="591"/>
      <c r="AB152" s="591"/>
      <c r="AC152" s="591"/>
      <c r="AG152" s="591"/>
      <c r="AH152" s="591"/>
      <c r="AI152" s="591"/>
      <c r="AJ152" s="591"/>
      <c r="AK152" s="591"/>
      <c r="AM152" s="591"/>
      <c r="AN152" s="591"/>
      <c r="AO152" s="591"/>
      <c r="AP152" s="591"/>
      <c r="AQ152" s="591"/>
      <c r="AS152" s="591"/>
      <c r="AT152" s="591"/>
      <c r="AU152" s="591"/>
      <c r="AV152" s="591"/>
      <c r="AW152" s="591"/>
      <c r="AY152" s="591"/>
    </row>
    <row r="153" spans="1:51" hidden="1" x14ac:dyDescent="0.2">
      <c r="A153" s="2"/>
      <c r="B153" s="2"/>
      <c r="C153" s="2"/>
      <c r="D153" s="2"/>
      <c r="E153" s="2"/>
      <c r="F153" s="2"/>
      <c r="G153" s="756">
        <f>G46</f>
        <v>0</v>
      </c>
      <c r="H153" s="757">
        <f>H46</f>
        <v>0</v>
      </c>
      <c r="I153" s="757">
        <f>K46</f>
        <v>0</v>
      </c>
      <c r="J153" s="758">
        <f>N46</f>
        <v>0</v>
      </c>
      <c r="K153" s="2"/>
      <c r="L153" s="2"/>
      <c r="M153" s="2"/>
      <c r="N153" s="2"/>
      <c r="O153" s="2"/>
      <c r="P153" s="2"/>
      <c r="Q153" s="2"/>
      <c r="R153" s="2"/>
      <c r="S153" s="591"/>
      <c r="T153" s="591"/>
      <c r="U153" s="591"/>
      <c r="V153" s="591"/>
      <c r="W153" s="591"/>
      <c r="X153" s="591"/>
      <c r="Y153" s="591"/>
      <c r="Z153" s="591"/>
      <c r="AA153" s="591"/>
      <c r="AB153" s="591"/>
      <c r="AC153" s="591"/>
      <c r="AG153" s="591"/>
      <c r="AH153" s="591"/>
      <c r="AI153" s="591"/>
      <c r="AJ153" s="591"/>
      <c r="AK153" s="591"/>
      <c r="AM153" s="591"/>
      <c r="AN153" s="591"/>
      <c r="AO153" s="591"/>
      <c r="AP153" s="591"/>
      <c r="AQ153" s="591"/>
      <c r="AS153" s="591"/>
      <c r="AT153" s="591"/>
      <c r="AU153" s="591"/>
      <c r="AV153" s="591"/>
      <c r="AW153" s="591"/>
      <c r="AY153" s="591"/>
    </row>
    <row r="154" spans="1:51" ht="16.5" hidden="1" customHeight="1" x14ac:dyDescent="0.2">
      <c r="A154" s="2"/>
      <c r="B154" s="2"/>
      <c r="C154" s="2"/>
      <c r="D154" s="2"/>
      <c r="E154" s="2"/>
      <c r="F154" s="2"/>
      <c r="G154" s="756">
        <f>G48</f>
        <v>0</v>
      </c>
      <c r="H154" s="757">
        <f>H48</f>
        <v>0</v>
      </c>
      <c r="I154" s="757">
        <f>K48</f>
        <v>0</v>
      </c>
      <c r="J154" s="758">
        <f>N48</f>
        <v>0</v>
      </c>
      <c r="K154" s="2"/>
      <c r="L154" s="2"/>
      <c r="M154" s="2"/>
      <c r="N154" s="2"/>
      <c r="O154" s="2"/>
      <c r="P154" s="2"/>
      <c r="Q154" s="2"/>
      <c r="R154" s="2"/>
      <c r="S154" s="591"/>
      <c r="T154" s="591"/>
      <c r="U154" s="591"/>
      <c r="V154" s="591"/>
      <c r="W154" s="591"/>
      <c r="X154" s="591"/>
      <c r="Y154" s="591"/>
      <c r="Z154" s="591"/>
      <c r="AA154" s="591"/>
      <c r="AB154" s="591"/>
      <c r="AC154" s="591"/>
      <c r="AG154" s="591"/>
      <c r="AH154" s="591"/>
      <c r="AI154" s="591"/>
      <c r="AJ154" s="591"/>
      <c r="AK154" s="591"/>
      <c r="AM154" s="591"/>
      <c r="AN154" s="591"/>
      <c r="AO154" s="591"/>
      <c r="AP154" s="591"/>
      <c r="AQ154" s="591"/>
      <c r="AS154" s="591"/>
      <c r="AT154" s="591"/>
      <c r="AU154" s="591"/>
      <c r="AV154" s="591"/>
      <c r="AW154" s="591"/>
      <c r="AY154" s="591"/>
    </row>
    <row r="155" spans="1:51" ht="15" hidden="1" customHeight="1" x14ac:dyDescent="0.2">
      <c r="A155" s="2"/>
      <c r="B155" s="2"/>
      <c r="C155" s="2"/>
      <c r="D155" s="2"/>
      <c r="E155" s="2"/>
      <c r="F155" s="2"/>
      <c r="G155" s="753">
        <f>IF(G156="",0,VLOOKUP(G156,IMPOSTAZIONI!$R$131:$AD$145,13,FALSE))</f>
        <v>0</v>
      </c>
      <c r="H155" s="754">
        <f>IF(H156="",0,VLOOKUP(H156,IMPOSTAZIONI!$R$131:$AD$145,13,FALSE))</f>
        <v>0</v>
      </c>
      <c r="I155" s="754">
        <f>IF(I156="",0,VLOOKUP(I156,IMPOSTAZIONI!$R$131:$AD$145,13,FALSE))</f>
        <v>0</v>
      </c>
      <c r="J155" s="755">
        <f>IF(J156="",0,VLOOKUP(J156,IMPOSTAZIONI!$R$131:$AD$145,13,FALSE))</f>
        <v>0</v>
      </c>
      <c r="K155" s="2"/>
      <c r="L155" s="2"/>
      <c r="M155" s="2"/>
      <c r="N155" s="2"/>
      <c r="O155" s="2"/>
      <c r="P155" s="2"/>
      <c r="Q155" s="2"/>
      <c r="R155" s="2"/>
      <c r="S155" s="591"/>
      <c r="T155" s="591"/>
      <c r="U155" s="591"/>
      <c r="V155" s="591"/>
      <c r="W155" s="591"/>
      <c r="X155" s="591"/>
      <c r="Y155" s="591"/>
      <c r="Z155" s="591"/>
      <c r="AA155" s="591"/>
      <c r="AB155" s="591"/>
      <c r="AC155" s="591"/>
      <c r="AG155" s="591"/>
      <c r="AH155" s="591"/>
      <c r="AI155" s="591"/>
      <c r="AJ155" s="591"/>
      <c r="AK155" s="591"/>
      <c r="AM155" s="591"/>
      <c r="AN155" s="591"/>
      <c r="AO155" s="591"/>
      <c r="AP155" s="591"/>
      <c r="AQ155" s="591"/>
      <c r="AS155" s="591"/>
      <c r="AT155" s="591"/>
      <c r="AU155" s="591"/>
      <c r="AV155" s="591"/>
      <c r="AW155" s="591"/>
      <c r="AY155" s="591"/>
    </row>
    <row r="156" spans="1:51" ht="15" hidden="1" customHeight="1" x14ac:dyDescent="0.2">
      <c r="A156" s="2"/>
      <c r="B156" s="2"/>
      <c r="C156" s="2"/>
      <c r="D156" s="2"/>
      <c r="E156" s="2"/>
      <c r="F156" s="56"/>
      <c r="G156" s="752" t="str">
        <f>IMPOSTAZIONI!F203</f>
        <v/>
      </c>
      <c r="H156" s="752" t="str">
        <f>IMPOSTAZIONI!K203</f>
        <v/>
      </c>
      <c r="I156" s="752" t="str">
        <f>IMPOSTAZIONI!P203</f>
        <v/>
      </c>
      <c r="J156" s="752" t="str">
        <f>IMPOSTAZIONI!U203</f>
        <v/>
      </c>
      <c r="K156" s="2100" t="s">
        <v>195</v>
      </c>
      <c r="L156" s="2100"/>
      <c r="M156" s="2"/>
      <c r="N156" s="2"/>
      <c r="O156" s="2"/>
      <c r="P156" s="2"/>
      <c r="Q156" s="2"/>
      <c r="R156" s="2"/>
      <c r="S156" s="591"/>
      <c r="T156" s="591"/>
      <c r="U156" s="591"/>
      <c r="V156" s="591"/>
      <c r="W156" s="591"/>
      <c r="X156" s="591"/>
      <c r="Y156" s="591"/>
      <c r="Z156" s="591"/>
      <c r="AA156" s="591"/>
      <c r="AB156" s="591"/>
      <c r="AC156" s="591"/>
      <c r="AG156" s="591"/>
      <c r="AH156" s="591"/>
      <c r="AI156" s="591"/>
      <c r="AJ156" s="591"/>
      <c r="AK156" s="591"/>
      <c r="AM156" s="591"/>
      <c r="AN156" s="591"/>
      <c r="AO156" s="591"/>
      <c r="AP156" s="591"/>
      <c r="AQ156" s="591"/>
      <c r="AS156" s="591"/>
      <c r="AT156" s="591"/>
      <c r="AU156" s="591"/>
      <c r="AV156" s="591"/>
      <c r="AW156" s="591"/>
      <c r="AY156" s="591"/>
    </row>
    <row r="157" spans="1:51" ht="15" hidden="1" customHeight="1" x14ac:dyDescent="0.2">
      <c r="A157" s="2"/>
      <c r="B157" s="2"/>
      <c r="C157" s="2"/>
      <c r="D157" s="2"/>
      <c r="E157" s="288" t="str">
        <f>IMPOSTAZIONI!B321</f>
        <v>SC</v>
      </c>
      <c r="F157" s="56"/>
      <c r="G157" s="288" t="str">
        <f>IF(MID(G1,7,2)="",$E157,MID(G1,7,2))</f>
        <v>SC</v>
      </c>
      <c r="H157" s="288" t="str">
        <f>IF(MID(H1,7,2)="",$E157,MID(H1,7,2))</f>
        <v>SC</v>
      </c>
      <c r="I157" s="288" t="str">
        <f>IF(MID(K1,7,2)="",$E157,MID(K1,7,2))</f>
        <v>SC</v>
      </c>
      <c r="J157" s="288" t="str">
        <f>IF(MID(N1,7,2)="",$E157,MID(N1,7,2))</f>
        <v>SC</v>
      </c>
      <c r="K157" s="2100" t="str">
        <f>IMPOSTAZIONI!AH7</f>
        <v>Categoria</v>
      </c>
      <c r="L157" s="2100"/>
      <c r="M157" s="2"/>
      <c r="N157" s="2"/>
      <c r="O157" s="2"/>
      <c r="P157" s="2"/>
      <c r="Q157" s="2"/>
      <c r="R157" s="2"/>
      <c r="S157" s="591"/>
      <c r="T157" s="591"/>
      <c r="U157" s="591"/>
      <c r="V157" s="591"/>
      <c r="W157" s="591"/>
      <c r="X157" s="591"/>
      <c r="Y157" s="591"/>
      <c r="Z157" s="591"/>
      <c r="AA157" s="591"/>
      <c r="AB157" s="591"/>
      <c r="AC157" s="591"/>
      <c r="AG157" s="591"/>
      <c r="AH157" s="591"/>
      <c r="AI157" s="591"/>
      <c r="AJ157" s="591"/>
      <c r="AK157" s="591"/>
      <c r="AM157" s="591"/>
      <c r="AN157" s="591"/>
      <c r="AO157" s="591"/>
      <c r="AP157" s="591"/>
      <c r="AQ157" s="591"/>
      <c r="AS157" s="591"/>
      <c r="AT157" s="591"/>
      <c r="AU157" s="591"/>
      <c r="AV157" s="591"/>
      <c r="AW157" s="591"/>
      <c r="AY157" s="591"/>
    </row>
    <row r="158" spans="1:51" ht="15" hidden="1" customHeight="1" x14ac:dyDescent="0.2">
      <c r="A158" s="2"/>
      <c r="B158" s="2"/>
      <c r="C158" s="2"/>
      <c r="D158" s="2"/>
      <c r="E158" s="288" t="str">
        <f>IMPOSTAZIONI!B351</f>
        <v>%</v>
      </c>
      <c r="F158" s="56"/>
      <c r="G158" s="288" t="str">
        <f>IF(OR(G155&gt;0,G155="X"),$E158,IF(G156="","",MID(G1,4,2)))</f>
        <v/>
      </c>
      <c r="H158" s="288" t="str">
        <f>IF(OR(H155&gt;0,H155="X"),$E158,IF(H156="","",MID(H1,4,2)))</f>
        <v/>
      </c>
      <c r="I158" s="288" t="str">
        <f>IF(OR(I155&gt;0,I155="X"),$E158,IF(I156="","",MID(K1,4,2)))</f>
        <v/>
      </c>
      <c r="J158" s="288" t="str">
        <f>IF(OR(J155&gt;0,J155="X"),$E158,IF(J156="","",MID(N1,4,2)))</f>
        <v/>
      </c>
      <c r="K158" s="2100" t="str">
        <f>IMPOSTAZIONI!B337</f>
        <v>NO IVA</v>
      </c>
      <c r="L158" s="2100"/>
      <c r="M158" s="2"/>
      <c r="N158" s="2"/>
      <c r="O158" s="2"/>
      <c r="P158" s="2"/>
      <c r="Q158" s="2"/>
      <c r="R158" s="2"/>
      <c r="S158" s="591"/>
      <c r="T158" s="591"/>
      <c r="U158" s="591"/>
      <c r="V158" s="591"/>
      <c r="W158" s="591"/>
      <c r="X158" s="591"/>
      <c r="Y158" s="591"/>
      <c r="Z158" s="591"/>
      <c r="AA158" s="591"/>
      <c r="AB158" s="591"/>
      <c r="AC158" s="591"/>
      <c r="AG158" s="591"/>
      <c r="AH158" s="591"/>
      <c r="AI158" s="591"/>
      <c r="AJ158" s="591"/>
      <c r="AK158" s="591"/>
      <c r="AM158" s="591"/>
      <c r="AN158" s="591"/>
      <c r="AO158" s="591"/>
      <c r="AP158" s="591"/>
      <c r="AQ158" s="591"/>
      <c r="AS158" s="591"/>
      <c r="AT158" s="591"/>
      <c r="AU158" s="591"/>
      <c r="AV158" s="591"/>
      <c r="AW158" s="591"/>
      <c r="AY158" s="591"/>
    </row>
    <row r="159" spans="1:51" ht="15" hidden="1" customHeight="1" x14ac:dyDescent="0.2">
      <c r="A159" s="2"/>
      <c r="B159" s="2"/>
      <c r="C159" s="2"/>
      <c r="D159" s="2"/>
      <c r="E159" s="288"/>
      <c r="F159" s="56"/>
      <c r="G159" s="376" t="str">
        <f>MID(G1,1,2)</f>
        <v>--</v>
      </c>
      <c r="H159" s="376" t="str">
        <f>MID(H1,1,2)</f>
        <v>--</v>
      </c>
      <c r="I159" s="376" t="str">
        <f>MID(K1,1,2)</f>
        <v>--</v>
      </c>
      <c r="J159" s="376" t="str">
        <f>MID(N1,1,2)</f>
        <v>--</v>
      </c>
      <c r="K159" s="2100" t="str">
        <f>IMPOSTAZIONI!B354</f>
        <v>TIPO</v>
      </c>
      <c r="L159" s="2100"/>
      <c r="M159" s="2"/>
      <c r="N159" s="2"/>
      <c r="O159" s="2"/>
      <c r="P159" s="2"/>
      <c r="Q159" s="2"/>
      <c r="R159" s="2"/>
      <c r="S159" s="591"/>
      <c r="T159" s="591"/>
      <c r="U159" s="591"/>
      <c r="V159" s="591"/>
      <c r="W159" s="591"/>
      <c r="X159" s="591"/>
      <c r="Y159" s="591"/>
      <c r="Z159" s="591"/>
      <c r="AA159" s="591"/>
      <c r="AB159" s="591"/>
      <c r="AC159" s="591"/>
      <c r="AG159" s="591"/>
      <c r="AH159" s="591"/>
      <c r="AI159" s="591"/>
      <c r="AJ159" s="591"/>
      <c r="AK159" s="591"/>
      <c r="AM159" s="591"/>
      <c r="AN159" s="591"/>
      <c r="AO159" s="591"/>
      <c r="AP159" s="591"/>
      <c r="AQ159" s="591"/>
      <c r="AS159" s="591"/>
      <c r="AT159" s="591"/>
      <c r="AU159" s="591"/>
      <c r="AV159" s="591"/>
      <c r="AW159" s="591"/>
      <c r="AY159" s="591"/>
    </row>
    <row r="160" spans="1:51" ht="15" hidden="1" customHeight="1" x14ac:dyDescent="0.2">
      <c r="A160" s="2"/>
      <c r="B160" s="2"/>
      <c r="C160" s="2"/>
      <c r="D160" s="2"/>
      <c r="E160" s="288"/>
      <c r="F160" s="56"/>
      <c r="G160" s="951">
        <f>SUM(G101:G104)</f>
        <v>0</v>
      </c>
      <c r="H160" s="377">
        <f>SUM(H101:H104)</f>
        <v>0</v>
      </c>
      <c r="I160" s="377">
        <f>SUM(K101:K104)</f>
        <v>0</v>
      </c>
      <c r="J160" s="377">
        <f>SUM(N101:N104)</f>
        <v>0</v>
      </c>
      <c r="K160" s="2107" t="s">
        <v>529</v>
      </c>
      <c r="L160" s="2107"/>
      <c r="M160" s="14"/>
      <c r="N160" s="14"/>
      <c r="O160" s="14"/>
      <c r="P160" s="14"/>
      <c r="Q160" s="14"/>
      <c r="R160" s="2"/>
      <c r="S160" s="591"/>
      <c r="T160" s="591"/>
      <c r="U160" s="591"/>
      <c r="V160" s="591"/>
      <c r="W160" s="591"/>
      <c r="X160" s="591"/>
      <c r="Y160" s="591"/>
      <c r="Z160" s="591"/>
      <c r="AA160" s="591"/>
      <c r="AB160" s="591"/>
      <c r="AC160" s="591"/>
      <c r="AG160" s="591"/>
      <c r="AH160" s="591"/>
      <c r="AI160" s="591"/>
      <c r="AJ160" s="591"/>
      <c r="AK160" s="591"/>
      <c r="AM160" s="591"/>
      <c r="AN160" s="591"/>
      <c r="AO160" s="591"/>
      <c r="AP160" s="591"/>
      <c r="AQ160" s="591"/>
      <c r="AS160" s="591"/>
      <c r="AT160" s="591"/>
      <c r="AU160" s="591"/>
      <c r="AV160" s="591"/>
      <c r="AW160" s="591"/>
      <c r="AY160" s="591"/>
    </row>
    <row r="161" spans="1:51" ht="15" hidden="1" customHeight="1" x14ac:dyDescent="0.2">
      <c r="A161" s="2"/>
      <c r="B161" s="2"/>
      <c r="C161" s="2"/>
      <c r="D161" s="2"/>
      <c r="E161" s="72"/>
      <c r="F161" s="2"/>
      <c r="G161" s="950">
        <f>IF(AND(G42=$K134,G62=$L135),G48,0)</f>
        <v>0</v>
      </c>
      <c r="H161" s="950">
        <f>IF(AND(H42=$K134,H62=$L135),H48,0)</f>
        <v>0</v>
      </c>
      <c r="I161" s="950">
        <f>IF(AND(K42=$K134,K62=$L135),K48,0)</f>
        <v>0</v>
      </c>
      <c r="J161" s="950">
        <f>IF(AND(N42=$K134,N62=$L135),N48,0)</f>
        <v>0</v>
      </c>
      <c r="K161" s="211"/>
      <c r="L161" s="211"/>
      <c r="M161" s="211"/>
      <c r="N161" s="211"/>
      <c r="O161" s="211"/>
      <c r="P161" s="211"/>
      <c r="Q161" s="211"/>
      <c r="R161" s="2"/>
      <c r="S161" s="591"/>
      <c r="T161" s="591"/>
      <c r="U161" s="591"/>
      <c r="V161" s="591"/>
      <c r="W161" s="591"/>
      <c r="X161" s="591"/>
      <c r="Y161" s="591"/>
      <c r="Z161" s="591"/>
      <c r="AA161" s="591"/>
      <c r="AB161" s="591"/>
      <c r="AC161" s="591"/>
      <c r="AG161" s="591"/>
      <c r="AH161" s="591"/>
      <c r="AI161" s="591"/>
      <c r="AJ161" s="591"/>
      <c r="AK161" s="591"/>
      <c r="AM161" s="591"/>
      <c r="AN161" s="591"/>
      <c r="AO161" s="591"/>
      <c r="AP161" s="591"/>
      <c r="AQ161" s="591"/>
      <c r="AS161" s="591"/>
      <c r="AT161" s="591"/>
      <c r="AU161" s="591"/>
      <c r="AV161" s="591"/>
      <c r="AW161" s="591"/>
      <c r="AY161" s="591"/>
    </row>
    <row r="162" spans="1:51" hidden="1" x14ac:dyDescent="0.2">
      <c r="A162" s="2"/>
      <c r="B162" s="2086">
        <f>Presentazione!Q13</f>
        <v>45292</v>
      </c>
      <c r="C162" s="2087"/>
      <c r="D162" s="2088"/>
      <c r="E162" s="288" t="str">
        <f>CONCATENATE(CASSA!X485,"    ")</f>
        <v xml:space="preserve">Chiuso    </v>
      </c>
      <c r="F162" s="2"/>
      <c r="G162" s="950">
        <f>IF(G62&lt;&gt;$L134,G48-G161,0)</f>
        <v>0</v>
      </c>
      <c r="H162" s="950">
        <f>IF(H62&lt;&gt;$L134,H48-H161,0)</f>
        <v>0</v>
      </c>
      <c r="I162" s="950">
        <f>IF(K62&lt;&gt;$L134,K48-I161,0)</f>
        <v>0</v>
      </c>
      <c r="J162" s="950">
        <f>IF(N62&lt;&gt;$L134,N48-J161,0)</f>
        <v>0</v>
      </c>
      <c r="K162" s="2"/>
      <c r="L162" s="2"/>
      <c r="M162" s="2"/>
      <c r="N162" s="2"/>
      <c r="O162" s="2"/>
      <c r="P162" s="2"/>
      <c r="Q162" s="2"/>
      <c r="R162" s="2"/>
      <c r="S162" s="591"/>
      <c r="T162" s="591"/>
      <c r="U162" s="591"/>
      <c r="V162" s="591"/>
      <c r="W162" s="591"/>
      <c r="X162" s="591"/>
      <c r="Y162" s="591"/>
      <c r="Z162" s="591"/>
      <c r="AA162" s="591"/>
      <c r="AB162" s="591"/>
      <c r="AC162" s="591"/>
      <c r="AG162" s="591"/>
      <c r="AH162" s="591"/>
      <c r="AI162" s="591"/>
      <c r="AJ162" s="591"/>
      <c r="AK162" s="591"/>
      <c r="AM162" s="591"/>
      <c r="AN162" s="591"/>
      <c r="AO162" s="591"/>
      <c r="AP162" s="591"/>
      <c r="AQ162" s="591"/>
      <c r="AS162" s="591"/>
      <c r="AT162" s="591"/>
      <c r="AU162" s="591"/>
      <c r="AV162" s="591"/>
      <c r="AW162" s="591"/>
      <c r="AY162" s="591"/>
    </row>
    <row r="163" spans="1:51" ht="15" hidden="1" customHeight="1" x14ac:dyDescent="0.2">
      <c r="A163" s="2"/>
      <c r="B163" s="2086">
        <f>Presentazione!R13</f>
        <v>45382</v>
      </c>
      <c r="C163" s="2087"/>
      <c r="D163" s="2088"/>
      <c r="E163" s="288" t="str">
        <f>CONCATENATE(IMPOSTAZIONI!L188,"    ")</f>
        <v xml:space="preserve">ERROR    </v>
      </c>
      <c r="F163" s="232"/>
      <c r="G163" s="233" t="s">
        <v>299</v>
      </c>
      <c r="H163" s="60">
        <f>IMPOSTAZIONI!N387</f>
        <v>18</v>
      </c>
      <c r="I163" s="288">
        <f>IMPOSTAZIONI!Y153</f>
        <v>0</v>
      </c>
      <c r="J163" s="140" t="s">
        <v>463</v>
      </c>
      <c r="K163" s="233" t="s">
        <v>549</v>
      </c>
      <c r="L163" s="60">
        <f>Presentazione!E159</f>
        <v>0</v>
      </c>
      <c r="M163" s="170" t="s">
        <v>398</v>
      </c>
      <c r="N163" s="79">
        <v>1</v>
      </c>
      <c r="O163" s="508">
        <f>IF(OR(COUNTIF(G99:N99,E152)&gt;0,COUNTIF(G99:N99,K152)&gt;0,COUNTIF(G99:N99,L152)&gt;0,COUNTIF(G105:N105,E152)&gt;0,COUNTIF(G105:N105,K152)&gt;0,COUNTIF(G105:N105,L152)&gt;0,COUNTIF(C101:F104,"ERROR")&gt;0,COUNTIF(E8:F38,E163)&gt;0),1,0)</f>
        <v>0</v>
      </c>
      <c r="P163" s="509" t="s">
        <v>550</v>
      </c>
      <c r="Q163" s="2"/>
      <c r="R163" s="2"/>
      <c r="S163" s="591"/>
      <c r="T163" s="591"/>
      <c r="U163" s="591"/>
      <c r="V163" s="591"/>
      <c r="W163" s="591"/>
      <c r="X163" s="591"/>
      <c r="Y163" s="591"/>
      <c r="Z163" s="591"/>
      <c r="AA163" s="591"/>
      <c r="AB163" s="591"/>
      <c r="AC163" s="591"/>
      <c r="AG163" s="591"/>
      <c r="AH163" s="591"/>
      <c r="AI163" s="591"/>
      <c r="AJ163" s="591"/>
      <c r="AK163" s="591"/>
      <c r="AM163" s="591"/>
      <c r="AN163" s="591"/>
      <c r="AO163" s="591"/>
      <c r="AP163" s="591"/>
      <c r="AQ163" s="591"/>
      <c r="AS163" s="591"/>
      <c r="AT163" s="591"/>
      <c r="AU163" s="591"/>
      <c r="AV163" s="591"/>
      <c r="AW163" s="591"/>
      <c r="AY163" s="591"/>
    </row>
    <row r="164" spans="1:51" ht="15" hidden="1" customHeight="1" x14ac:dyDescent="0.2">
      <c r="A164" s="2"/>
      <c r="B164" s="2"/>
      <c r="C164" s="2"/>
      <c r="D164" s="2"/>
      <c r="E164" s="2"/>
      <c r="F164" s="2"/>
      <c r="G164" s="950">
        <f>IF(G42=$K134,0,G87)</f>
        <v>0</v>
      </c>
      <c r="H164" s="950">
        <f>IF(H42=$K134,0,H87)</f>
        <v>0</v>
      </c>
      <c r="I164" s="950">
        <f>IF(K42=$K134,0,I87)</f>
        <v>0</v>
      </c>
      <c r="J164" s="950">
        <f>IF(N42=$K134,0,K87)</f>
        <v>0</v>
      </c>
      <c r="K164" s="2"/>
      <c r="L164" s="2"/>
      <c r="M164" s="2"/>
      <c r="N164" s="2"/>
      <c r="O164" s="2"/>
      <c r="P164" s="2"/>
      <c r="Q164" s="2"/>
      <c r="R164" s="2"/>
      <c r="S164" s="591"/>
      <c r="T164" s="591"/>
      <c r="U164" s="591"/>
      <c r="V164" s="591"/>
      <c r="W164" s="591"/>
      <c r="X164" s="591"/>
      <c r="Y164" s="591"/>
      <c r="Z164" s="591"/>
      <c r="AA164" s="591"/>
      <c r="AB164" s="591"/>
      <c r="AC164" s="591"/>
      <c r="AG164" s="591"/>
      <c r="AH164" s="591"/>
      <c r="AI164" s="591"/>
      <c r="AJ164" s="591"/>
      <c r="AK164" s="591"/>
      <c r="AM164" s="591"/>
      <c r="AN164" s="591"/>
      <c r="AO164" s="591"/>
      <c r="AP164" s="591"/>
      <c r="AQ164" s="591"/>
      <c r="AS164" s="591"/>
      <c r="AT164" s="591"/>
      <c r="AU164" s="591"/>
      <c r="AV164" s="591"/>
      <c r="AW164" s="591"/>
      <c r="AY164" s="591"/>
    </row>
    <row r="165" spans="1:51" hidden="1" x14ac:dyDescent="0.2">
      <c r="A165" s="2"/>
      <c r="B165" s="2"/>
      <c r="C165" s="2"/>
      <c r="D165" s="2"/>
      <c r="E165" s="2"/>
      <c r="F165" s="2"/>
      <c r="G165" s="2"/>
      <c r="H165" s="2"/>
      <c r="I165" s="2"/>
      <c r="J165" s="2"/>
      <c r="K165" s="2"/>
      <c r="L165" s="2"/>
      <c r="M165" s="2"/>
      <c r="N165" s="2"/>
      <c r="O165" s="2"/>
      <c r="P165" s="2"/>
      <c r="Q165" s="2"/>
      <c r="R165" s="2"/>
      <c r="S165" s="591"/>
      <c r="T165" s="591"/>
      <c r="U165" s="591"/>
      <c r="V165" s="591"/>
      <c r="W165" s="591"/>
      <c r="X165" s="591"/>
      <c r="Y165" s="591"/>
      <c r="Z165" s="591"/>
      <c r="AA165" s="591"/>
      <c r="AB165" s="591"/>
      <c r="AC165" s="591"/>
      <c r="AG165" s="591"/>
      <c r="AH165" s="591"/>
      <c r="AI165" s="591"/>
      <c r="AJ165" s="591"/>
      <c r="AK165" s="591"/>
      <c r="AM165" s="591"/>
      <c r="AN165" s="591"/>
      <c r="AO165" s="591"/>
      <c r="AP165" s="591"/>
      <c r="AQ165" s="591"/>
      <c r="AS165" s="591"/>
      <c r="AT165" s="591"/>
      <c r="AU165" s="591"/>
      <c r="AV165" s="591"/>
      <c r="AW165" s="591"/>
      <c r="AY165" s="591"/>
    </row>
    <row r="166" spans="1:51" ht="22.5" customHeight="1" x14ac:dyDescent="0.2">
      <c r="A166" s="2"/>
      <c r="B166" s="2"/>
      <c r="C166" s="2"/>
      <c r="D166" s="2"/>
      <c r="E166" s="2"/>
      <c r="F166" s="2"/>
      <c r="G166" s="624">
        <v>1</v>
      </c>
      <c r="H166" s="624">
        <v>2</v>
      </c>
      <c r="I166" s="2229">
        <v>5</v>
      </c>
      <c r="J166" s="2229"/>
      <c r="K166" s="624">
        <v>8</v>
      </c>
      <c r="L166" s="2"/>
      <c r="M166" s="2228" t="s">
        <v>193</v>
      </c>
      <c r="N166" s="2228"/>
      <c r="O166" s="2"/>
      <c r="P166" s="2"/>
      <c r="Q166" s="2"/>
      <c r="R166" s="591"/>
      <c r="S166" s="591"/>
      <c r="T166" s="591"/>
      <c r="U166" s="591"/>
      <c r="V166" s="591"/>
      <c r="W166" s="591"/>
      <c r="X166" s="591"/>
      <c r="Y166" s="591"/>
      <c r="Z166" s="591"/>
      <c r="AA166" s="591"/>
      <c r="AB166" s="591"/>
      <c r="AC166" s="591"/>
      <c r="AG166" s="591"/>
      <c r="AS166" s="591"/>
    </row>
    <row r="167" spans="1:51" ht="18" customHeight="1" x14ac:dyDescent="0.2">
      <c r="A167" s="2"/>
      <c r="B167" s="2"/>
      <c r="C167" s="2084" t="s">
        <v>175</v>
      </c>
      <c r="D167" s="2084"/>
      <c r="E167" s="2085">
        <f>E43</f>
        <v>2024</v>
      </c>
      <c r="F167" s="2085">
        <f>F43</f>
        <v>0</v>
      </c>
      <c r="G167" s="590" t="str">
        <f>G43</f>
        <v/>
      </c>
      <c r="H167" s="590" t="str">
        <f>H43</f>
        <v/>
      </c>
      <c r="I167" s="2232" t="str">
        <f>K43</f>
        <v/>
      </c>
      <c r="J167" s="2232"/>
      <c r="K167" s="590" t="str">
        <f>N43</f>
        <v/>
      </c>
      <c r="L167" s="2"/>
      <c r="M167" s="908" t="s">
        <v>717</v>
      </c>
      <c r="N167" s="2"/>
      <c r="O167" s="2"/>
      <c r="P167" s="2"/>
      <c r="Q167" s="2"/>
      <c r="R167" s="591"/>
      <c r="S167" s="591"/>
      <c r="T167" s="591"/>
      <c r="U167" s="591"/>
      <c r="V167" s="591"/>
      <c r="W167" s="591"/>
      <c r="X167" s="591"/>
      <c r="Y167" s="591"/>
      <c r="Z167" s="591"/>
      <c r="AA167" s="591"/>
      <c r="AB167" s="591"/>
      <c r="AC167" s="591"/>
      <c r="AG167" s="591"/>
      <c r="AS167" s="591"/>
    </row>
    <row r="168" spans="1:51" ht="22.5" customHeight="1" x14ac:dyDescent="0.2">
      <c r="A168" s="2"/>
      <c r="B168" s="2"/>
      <c r="C168" s="2091" t="s">
        <v>298</v>
      </c>
      <c r="D168" s="2091"/>
      <c r="E168" s="2091"/>
      <c r="F168" s="2091"/>
      <c r="G168" s="57" t="str">
        <f>G44</f>
        <v/>
      </c>
      <c r="H168" s="57" t="str">
        <f>H44</f>
        <v/>
      </c>
      <c r="I168" s="2230" t="str">
        <f>K44</f>
        <v/>
      </c>
      <c r="J168" s="2230"/>
      <c r="K168" s="57" t="str">
        <f>N44</f>
        <v/>
      </c>
      <c r="L168" s="2"/>
      <c r="M168" s="2228" t="s">
        <v>719</v>
      </c>
      <c r="N168" s="2228"/>
      <c r="O168" s="2"/>
      <c r="P168" s="2"/>
      <c r="Q168" s="2"/>
      <c r="R168" s="591"/>
      <c r="S168" s="591"/>
      <c r="T168" s="591"/>
      <c r="U168" s="591"/>
      <c r="V168" s="591"/>
      <c r="W168" s="591"/>
      <c r="X168" s="591"/>
      <c r="Y168" s="591"/>
      <c r="Z168" s="591"/>
      <c r="AA168" s="591"/>
      <c r="AB168" s="591"/>
      <c r="AC168" s="591"/>
      <c r="AG168" s="591"/>
      <c r="AS168" s="591"/>
    </row>
    <row r="169" spans="1:51" ht="19.5" customHeight="1" x14ac:dyDescent="0.2">
      <c r="A169" s="2"/>
      <c r="B169" s="2"/>
      <c r="C169" s="2094" t="str">
        <f>C95</f>
        <v>01/04 - 30/04</v>
      </c>
      <c r="D169" s="2095"/>
      <c r="E169" s="2095"/>
      <c r="F169" s="2095"/>
      <c r="G169" s="90" t="str">
        <f>G45</f>
        <v/>
      </c>
      <c r="H169" s="90" t="str">
        <f>H45</f>
        <v/>
      </c>
      <c r="I169" s="2231" t="str">
        <f>K45</f>
        <v/>
      </c>
      <c r="J169" s="2231"/>
      <c r="K169" s="90" t="str">
        <f>N45</f>
        <v/>
      </c>
      <c r="L169" s="2"/>
      <c r="M169" s="12"/>
      <c r="N169" s="2"/>
      <c r="O169" s="2"/>
      <c r="P169" s="2"/>
      <c r="Q169" s="2"/>
      <c r="R169" s="591"/>
      <c r="S169" s="591"/>
      <c r="T169" s="591"/>
      <c r="U169" s="591"/>
      <c r="V169" s="591"/>
      <c r="W169" s="591"/>
      <c r="X169" s="591"/>
      <c r="Y169" s="591"/>
      <c r="Z169" s="591"/>
      <c r="AA169" s="591"/>
      <c r="AB169" s="591"/>
      <c r="AC169" s="591"/>
      <c r="AG169" s="591"/>
      <c r="AS169" s="591"/>
    </row>
    <row r="170" spans="1:51" ht="7.5" customHeight="1" x14ac:dyDescent="0.2">
      <c r="A170" s="2"/>
      <c r="B170" s="2"/>
      <c r="C170" s="2089"/>
      <c r="D170" s="2090"/>
      <c r="E170" s="484"/>
      <c r="F170" s="2"/>
      <c r="G170" s="597">
        <f>IF(AND(G$180&lt;&gt;0,G$180&gt;0),IF(($E$171*9)&gt;=G$180,0,1),IF(AND(G$180&lt;&gt;0,G$180&lt;0),IF(($E$171*9)&lt;=G$180,0,1),0))</f>
        <v>0</v>
      </c>
      <c r="H170" s="597">
        <f>IF(AND(H$180&lt;&gt;0,H$180&gt;0),IF(($E$171*9)&gt;=H$180,0,1),IF(AND(H$180&lt;&gt;0,H$180&lt;0),IF(($E$171*9)&lt;=H$180,0,1),0))</f>
        <v>0</v>
      </c>
      <c r="I170" s="2104">
        <f>IF(AND(I$180&lt;&gt;0,I$180&gt;0),IF(($E$171*9)&gt;=I$180,0,1),IF(AND(I$180&lt;&gt;0,I$180&lt;0),IF(($E$171*9)&lt;=I$180,0,1),0))</f>
        <v>0</v>
      </c>
      <c r="J170" s="2105"/>
      <c r="K170" s="597">
        <f>IF(AND(K$180&lt;&gt;0,K$180&gt;0),IF(($E$171*9)&gt;=K$180,0,1),IF(AND(K$180&lt;&gt;0,K$180&lt;0),IF(($E$171*9)&lt;=K$180,0,1),0))</f>
        <v>0</v>
      </c>
      <c r="L170" s="2"/>
      <c r="M170" s="2"/>
      <c r="N170" s="2"/>
      <c r="O170" s="2"/>
      <c r="P170" s="2"/>
      <c r="Q170" s="2"/>
      <c r="R170" s="591"/>
      <c r="S170" s="591"/>
      <c r="T170" s="591"/>
      <c r="U170" s="591"/>
      <c r="V170" s="591"/>
      <c r="W170" s="591"/>
      <c r="X170" s="591"/>
      <c r="Y170" s="591"/>
      <c r="Z170" s="591"/>
      <c r="AA170" s="591"/>
      <c r="AB170" s="591"/>
      <c r="AC170" s="591"/>
      <c r="AG170" s="591"/>
      <c r="AS170" s="591"/>
    </row>
    <row r="171" spans="1:51" ht="7.5" customHeight="1" x14ac:dyDescent="0.2">
      <c r="A171" s="2"/>
      <c r="B171" s="2"/>
      <c r="C171" s="2096" t="s">
        <v>587</v>
      </c>
      <c r="D171" s="2096"/>
      <c r="E171" s="2098">
        <f>IF(OR(M166=0,M168=""),0,IF(M168=E220,E221,MAX(G180:K180)/10))</f>
        <v>0</v>
      </c>
      <c r="F171" s="2"/>
      <c r="G171" s="598">
        <f>IF(AND(G$180&lt;&gt;0,G$180&gt;0),IF(($E$171*8)&gt;=G$180,0,1),IF(AND(G$180&lt;&gt;0,G$180&lt;0),IF(($E$171*8)&lt;=G$180,0,1),0))</f>
        <v>0</v>
      </c>
      <c r="H171" s="598">
        <f>IF(AND(H$180&lt;&gt;0,H$180&gt;0),IF(($E$171*8)&gt;=H$180,0,1),IF(AND(H$180&lt;&gt;0,H$180&lt;0),IF(($E$171*8)&lt;=H$180,0,1),0))</f>
        <v>0</v>
      </c>
      <c r="I171" s="2061">
        <f>IF(AND(I$180&lt;&gt;0,I$180&gt;0),IF(($E$171*8)&gt;=I$180,0,1),IF(AND(I$180&lt;&gt;0,I$180&lt;0),IF(($E$171*8)&lt;=I$180,0,1),0))</f>
        <v>0</v>
      </c>
      <c r="J171" s="2062"/>
      <c r="K171" s="598">
        <f>IF(AND(K$180&lt;&gt;0,K$180&gt;0),IF(($E$171*8)&gt;=K$180,0,1),IF(AND(K$180&lt;&gt;0,K$180&lt;0),IF(($E$171*8)&lt;=K$180,0,1),0))</f>
        <v>0</v>
      </c>
      <c r="L171" s="2"/>
      <c r="M171" s="2"/>
      <c r="N171" s="2"/>
      <c r="O171" s="2"/>
      <c r="P171" s="2"/>
      <c r="Q171" s="2"/>
      <c r="R171" s="591"/>
      <c r="S171" s="591"/>
      <c r="T171" s="591"/>
      <c r="U171" s="591"/>
      <c r="V171" s="591"/>
      <c r="W171" s="591"/>
      <c r="X171" s="591"/>
      <c r="AA171" s="591"/>
      <c r="AB171" s="591"/>
      <c r="AC171" s="591"/>
      <c r="AG171" s="591"/>
      <c r="AS171" s="591"/>
    </row>
    <row r="172" spans="1:51" ht="7.5" customHeight="1" x14ac:dyDescent="0.2">
      <c r="A172" s="2"/>
      <c r="B172" s="2"/>
      <c r="C172" s="2097"/>
      <c r="D172" s="2097"/>
      <c r="E172" s="2098"/>
      <c r="F172" s="2"/>
      <c r="G172" s="598">
        <f>IF(AND(G$180&lt;&gt;0,G$180&gt;0),IF(($E$171*7)&gt;=G$180,0,1),IF(AND(G$180&lt;&gt;0,G$180&lt;0),IF(($E$171*7)&lt;=G$180,0,1),0))</f>
        <v>0</v>
      </c>
      <c r="H172" s="598">
        <f>IF(AND(H$180&lt;&gt;0,H$180&gt;0),IF(($E$171*7)&gt;=H$180,0,1),IF(AND(H$180&lt;&gt;0,H$180&lt;0),IF(($E$171*7)&lt;=H$180,0,1),0))</f>
        <v>0</v>
      </c>
      <c r="I172" s="2061">
        <f>IF(AND(I$180&lt;&gt;0,I$180&gt;0),IF(($E$171*7)&gt;=I$180,0,1),IF(AND(I$180&lt;&gt;0,I$180&lt;0),IF(($E$171*7)&lt;=I$180,0,1),0))</f>
        <v>0</v>
      </c>
      <c r="J172" s="2062"/>
      <c r="K172" s="598">
        <f>IF(AND(K$180&lt;&gt;0,K$180&gt;0),IF(($E$171*7)&gt;=K$180,0,1),IF(AND(K$180&lt;&gt;0,K$180&lt;0),IF(($E$171*7)&lt;=K$180,0,1),0))</f>
        <v>0</v>
      </c>
      <c r="L172" s="2"/>
      <c r="M172" s="2"/>
      <c r="N172" s="2"/>
      <c r="O172" s="2"/>
      <c r="P172" s="2"/>
      <c r="Q172" s="2"/>
      <c r="R172" s="591"/>
      <c r="S172" s="591"/>
      <c r="T172" s="591"/>
      <c r="U172" s="591"/>
      <c r="V172" s="591"/>
      <c r="W172" s="591"/>
      <c r="X172" s="591"/>
      <c r="AA172" s="591"/>
      <c r="AB172" s="591"/>
      <c r="AC172" s="591"/>
      <c r="AG172" s="591"/>
      <c r="AS172" s="591"/>
    </row>
    <row r="173" spans="1:51" ht="7.5" customHeight="1" x14ac:dyDescent="0.2">
      <c r="A173" s="2"/>
      <c r="B173" s="2"/>
      <c r="C173" s="2"/>
      <c r="D173" s="2"/>
      <c r="E173" s="2"/>
      <c r="F173" s="2"/>
      <c r="G173" s="598">
        <f>IF(AND(G$180&lt;&gt;0,G$180&gt;0),IF(($E$171*6)&gt;=G$180,0,1),IF(AND(G$180&lt;&gt;0,G$180&lt;0),IF(($E$171*6)&lt;=G$180,0,1),0))</f>
        <v>0</v>
      </c>
      <c r="H173" s="598">
        <f>IF(AND(H$180&lt;&gt;0,H$180&gt;0),IF(($E$171*6)&gt;=H$180,0,1),IF(AND(H$180&lt;&gt;0,H$180&lt;0),IF(($E$171*6)&lt;=H$180,0,1),0))</f>
        <v>0</v>
      </c>
      <c r="I173" s="2061">
        <f>IF(AND(I$180&lt;&gt;0,I$180&gt;0),IF(($E$171*6)&gt;=I$180,0,1),IF(AND(I$180&lt;&gt;0,I$180&lt;0),IF(($E$171*6)&lt;=I$180,0,1),0))</f>
        <v>0</v>
      </c>
      <c r="J173" s="2062"/>
      <c r="K173" s="598">
        <f>IF(AND(K$180&lt;&gt;0,K$180&gt;0),IF(($E$171*6)&gt;=K$180,0,1),IF(AND(K$180&lt;&gt;0,K$180&lt;0),IF(($E$171*6)&lt;=K$180,0,1),0))</f>
        <v>0</v>
      </c>
      <c r="L173" s="2"/>
      <c r="M173" s="2"/>
      <c r="N173" s="2"/>
      <c r="O173" s="2"/>
      <c r="P173" s="2"/>
      <c r="Q173" s="2"/>
      <c r="R173" s="591"/>
      <c r="S173" s="591"/>
      <c r="T173" s="591"/>
      <c r="U173" s="591"/>
      <c r="V173" s="591"/>
      <c r="W173" s="591"/>
      <c r="X173" s="591"/>
      <c r="AA173" s="591"/>
      <c r="AB173" s="591"/>
      <c r="AC173" s="591"/>
      <c r="AG173" s="591"/>
      <c r="AS173" s="591"/>
    </row>
    <row r="174" spans="1:51" ht="7.5" customHeight="1" x14ac:dyDescent="0.2">
      <c r="A174" s="2"/>
      <c r="B174" s="2"/>
      <c r="C174" s="2"/>
      <c r="D174" s="2"/>
      <c r="E174" s="2"/>
      <c r="F174" s="2"/>
      <c r="G174" s="598">
        <f>IF(AND(G$180&lt;&gt;0,G$180&gt;0),IF(($E$171*5)&gt;=G$180,0,1),IF(AND(G$180&lt;&gt;0,G$180&lt;0),IF(($E$171*5)&lt;=G$180,0,1),0))</f>
        <v>0</v>
      </c>
      <c r="H174" s="598">
        <f>IF(AND(H$180&lt;&gt;0,H$180&gt;0),IF(($E$171*5)&gt;=H$180,0,1),IF(AND(H$180&lt;&gt;0,H$180&lt;0),IF(($E$171*5)&lt;=H$180,0,1),0))</f>
        <v>0</v>
      </c>
      <c r="I174" s="2061">
        <f>IF(AND(I$180&lt;&gt;0,I$180&gt;0),IF(($E$171*5)&gt;=I$180,0,1),IF(AND(I$180&lt;&gt;0,I$180&lt;0),IF(($E$171*5)&lt;=I$180,0,1),0))</f>
        <v>0</v>
      </c>
      <c r="J174" s="2062"/>
      <c r="K174" s="598">
        <f>IF(AND(K$180&lt;&gt;0,K$180&gt;0),IF(($E$171*5)&gt;=K$180,0,1),IF(AND(K$180&lt;&gt;0,K$180&lt;0),IF(($E$171*5)&lt;=K$180,0,1),0))</f>
        <v>0</v>
      </c>
      <c r="L174" s="2"/>
      <c r="M174" s="2"/>
      <c r="N174" s="2"/>
      <c r="O174" s="2"/>
      <c r="P174" s="2"/>
      <c r="Q174" s="2"/>
      <c r="R174" s="591"/>
      <c r="S174" s="591"/>
      <c r="T174" s="591"/>
      <c r="U174" s="591"/>
      <c r="V174" s="591"/>
      <c r="W174" s="591"/>
      <c r="X174" s="591"/>
      <c r="AA174" s="591"/>
      <c r="AB174" s="591"/>
      <c r="AC174" s="591"/>
      <c r="AG174" s="591"/>
      <c r="AS174" s="591"/>
    </row>
    <row r="175" spans="1:51" ht="7.5" customHeight="1" x14ac:dyDescent="0.2">
      <c r="A175" s="2"/>
      <c r="B175" s="2"/>
      <c r="C175" s="2"/>
      <c r="D175" s="2"/>
      <c r="E175" s="2"/>
      <c r="F175" s="2"/>
      <c r="G175" s="598">
        <f>IF(AND(G$180&lt;&gt;0,G$180&gt;0),IF(($E$171*4)&gt;=G$180,0,1),IF(AND(G$180&lt;&gt;0,G$180&lt;0),IF(($E$171*4)&lt;=G$180,0,1),0))</f>
        <v>0</v>
      </c>
      <c r="H175" s="598">
        <f>IF(AND(H$180&lt;&gt;0,H$180&gt;0),IF(($E$171*4)&gt;=H$180,0,1),IF(AND(H$180&lt;&gt;0,H$180&lt;0),IF(($E$171*4)&lt;=H$180,0,1),0))</f>
        <v>0</v>
      </c>
      <c r="I175" s="2061">
        <f>IF(AND(I$180&lt;&gt;0,I$180&gt;0),IF(($E$171*4)&gt;=I$180,0,1),IF(AND(I$180&lt;&gt;0,I$180&lt;0),IF(($E$171*4)&lt;=I$180,0,1),0))</f>
        <v>0</v>
      </c>
      <c r="J175" s="2062"/>
      <c r="K175" s="598">
        <f>IF(AND(K$180&lt;&gt;0,K$180&gt;0),IF(($E$171*4)&gt;=K$180,0,1),IF(AND(K$180&lt;&gt;0,K$180&lt;0),IF(($E$171*4)&lt;=K$180,0,1),0))</f>
        <v>0</v>
      </c>
      <c r="L175" s="2"/>
      <c r="M175" s="2"/>
      <c r="N175" s="2"/>
      <c r="O175" s="2"/>
      <c r="P175" s="2"/>
      <c r="Q175" s="2"/>
      <c r="R175" s="591"/>
      <c r="S175" s="591"/>
      <c r="T175" s="591"/>
      <c r="U175" s="591"/>
      <c r="V175" s="591"/>
      <c r="W175" s="591"/>
      <c r="X175" s="591"/>
      <c r="AA175" s="591"/>
      <c r="AB175" s="591"/>
      <c r="AC175" s="591"/>
      <c r="AG175" s="591"/>
      <c r="AS175" s="591"/>
    </row>
    <row r="176" spans="1:51" ht="7.5" customHeight="1" x14ac:dyDescent="0.2">
      <c r="A176" s="2"/>
      <c r="B176" s="2"/>
      <c r="C176" s="2"/>
      <c r="D176" s="2"/>
      <c r="E176" s="2"/>
      <c r="F176" s="2"/>
      <c r="G176" s="598">
        <f>IF(AND(G$180&lt;&gt;0,G$180&gt;0),IF(($E$171*3)&gt;=G$180,0,1),IF(AND(G$180&lt;&gt;0,G$180&lt;0),IF(($E$171*3)&lt;=G$180,0,1),0))</f>
        <v>0</v>
      </c>
      <c r="H176" s="598">
        <f>IF(AND(H$180&lt;&gt;0,H$180&gt;0),IF(($E$171*3)&gt;=H$180,0,1),IF(AND(H$180&lt;&gt;0,H$180&lt;0),IF(($E$171*3)&lt;=H$180,0,1),0))</f>
        <v>0</v>
      </c>
      <c r="I176" s="2061">
        <f>IF(AND(I$180&lt;&gt;0,I$180&gt;0),IF(($E$171*3)&gt;=I$180,0,1),IF(AND(I$180&lt;&gt;0,I$180&lt;0),IF(($E$171*3)&lt;=I$180,0,1),0))</f>
        <v>0</v>
      </c>
      <c r="J176" s="2062"/>
      <c r="K176" s="598">
        <f>IF(AND(K$180&lt;&gt;0,K$180&gt;0),IF(($E$171*3)&gt;=K$180,0,1),IF(AND(K$180&lt;&gt;0,K$180&lt;0),IF(($E$171*3)&lt;=K$180,0,1),0))</f>
        <v>0</v>
      </c>
      <c r="L176" s="2"/>
      <c r="M176" s="2"/>
      <c r="N176" s="2"/>
      <c r="O176" s="2"/>
      <c r="P176" s="2"/>
      <c r="Q176" s="2"/>
      <c r="R176" s="591"/>
      <c r="S176" s="591"/>
      <c r="T176" s="591"/>
      <c r="U176" s="591"/>
      <c r="V176" s="591"/>
      <c r="W176" s="591"/>
      <c r="X176" s="591"/>
      <c r="AA176" s="591"/>
      <c r="AB176" s="591"/>
      <c r="AC176" s="591"/>
      <c r="AG176" s="591"/>
      <c r="AS176" s="591"/>
    </row>
    <row r="177" spans="1:45" ht="7.5" customHeight="1" x14ac:dyDescent="0.2">
      <c r="A177" s="2"/>
      <c r="B177" s="2"/>
      <c r="C177" s="2"/>
      <c r="D177" s="2"/>
      <c r="E177" s="2"/>
      <c r="F177" s="2"/>
      <c r="G177" s="598">
        <f>IF(AND(G$180&lt;&gt;0,G$180&gt;0),IF(($E$171*2)&gt;=G$180,0,1),IF(AND(G$180&lt;&gt;0,G$180&lt;0),IF(($E$171*2)&lt;=G$180,0,1),0))</f>
        <v>0</v>
      </c>
      <c r="H177" s="598">
        <f>IF(AND(H$180&lt;&gt;0,H$180&gt;0),IF(($E$171*2)&gt;=H$180,0,1),IF(AND(H$180&lt;&gt;0,H$180&lt;0),IF(($E$171*2)&lt;=H$180,0,1),0))</f>
        <v>0</v>
      </c>
      <c r="I177" s="2061">
        <f>IF(AND(I$180&lt;&gt;0,I$180&gt;0),IF(($E$171*2)&gt;=I$180,0,1),IF(AND(I$180&lt;&gt;0,I$180&lt;0),IF(($E$171*2)&lt;=I$180,0,1),0))</f>
        <v>0</v>
      </c>
      <c r="J177" s="2062"/>
      <c r="K177" s="598">
        <f>IF(AND(K$180&lt;&gt;0,K$180&gt;0),IF(($E$171*2)&gt;=K$180,0,1),IF(AND(K$180&lt;&gt;0,K$180&lt;0),IF(($E$171*2)&lt;=K$180,0,1),0))</f>
        <v>0</v>
      </c>
      <c r="L177" s="2"/>
      <c r="M177" s="2"/>
      <c r="N177" s="2"/>
      <c r="O177" s="2"/>
      <c r="P177" s="2"/>
      <c r="Q177" s="2"/>
      <c r="R177" s="591"/>
      <c r="S177" s="591"/>
      <c r="T177" s="591"/>
      <c r="U177" s="591"/>
      <c r="V177" s="591"/>
      <c r="W177" s="591"/>
      <c r="X177" s="591"/>
      <c r="AA177" s="591"/>
      <c r="AB177" s="591"/>
      <c r="AC177" s="591"/>
      <c r="AG177" s="591"/>
      <c r="AS177" s="591"/>
    </row>
    <row r="178" spans="1:45" ht="7.5" customHeight="1" x14ac:dyDescent="0.2">
      <c r="A178" s="2"/>
      <c r="B178" s="2"/>
      <c r="C178" s="2"/>
      <c r="D178" s="2"/>
      <c r="E178" s="2"/>
      <c r="F178" s="2"/>
      <c r="G178" s="598">
        <f>IF(AND(G$180&lt;&gt;0,G$180&gt;0),IF(($E$171*1)&gt;=G$180,0,1),IF(AND(G$180&lt;&gt;0,G$180&lt;0),IF(($E$171*1)&lt;=G$180,0,1),0))</f>
        <v>0</v>
      </c>
      <c r="H178" s="598">
        <f>IF(AND(H$180&lt;&gt;0,H$180&gt;0),IF(($E$171*1)&gt;=H$180,0,1),IF(AND(H$180&lt;&gt;0,H$180&lt;0),IF(($E$171*1)&lt;=H$180,0,1),0))</f>
        <v>0</v>
      </c>
      <c r="I178" s="2061">
        <f>IF(AND(I$180&lt;&gt;0,I$180&gt;0),IF(($E$171*1)&gt;=I$180,0,1),IF(AND(I$180&lt;&gt;0,I$180&lt;0),IF(($E$171*1)&lt;=I$180,0,1),0))</f>
        <v>0</v>
      </c>
      <c r="J178" s="2062"/>
      <c r="K178" s="598">
        <f>IF(AND(K$180&lt;&gt;0,K$180&gt;0),IF(($E$171*1)&gt;=K$180,0,1),IF(AND(K$180&lt;&gt;0,K$180&lt;0),IF(($E$171*1)&lt;=K$180,0,1),0))</f>
        <v>0</v>
      </c>
      <c r="L178" s="2"/>
      <c r="M178" s="2"/>
      <c r="N178" s="2"/>
      <c r="O178" s="2"/>
      <c r="P178" s="2"/>
      <c r="Q178" s="2"/>
      <c r="R178" s="591"/>
      <c r="S178" s="591"/>
      <c r="T178" s="591"/>
      <c r="U178" s="591"/>
      <c r="V178" s="591"/>
      <c r="W178" s="591"/>
      <c r="X178" s="591"/>
      <c r="AA178" s="591"/>
      <c r="AB178" s="591"/>
      <c r="AC178" s="591"/>
      <c r="AG178" s="591"/>
      <c r="AS178" s="591"/>
    </row>
    <row r="179" spans="1:45" ht="7.5" customHeight="1" x14ac:dyDescent="0.2">
      <c r="A179" s="2"/>
      <c r="B179" s="2"/>
      <c r="C179" s="2"/>
      <c r="D179" s="2"/>
      <c r="E179" s="2"/>
      <c r="F179" s="2"/>
      <c r="G179" s="599">
        <f>IF(G180&lt;&gt;0,1,0)</f>
        <v>0</v>
      </c>
      <c r="H179" s="599">
        <f>IF(H180&lt;&gt;0,1,0)</f>
        <v>0</v>
      </c>
      <c r="I179" s="2199">
        <f>IF(I180&lt;&gt;0,1,0)</f>
        <v>0</v>
      </c>
      <c r="J179" s="2200"/>
      <c r="K179" s="599">
        <f>IF(K180&lt;&gt;0,1,0)</f>
        <v>0</v>
      </c>
      <c r="L179" s="2"/>
      <c r="M179" s="2"/>
      <c r="N179" s="2"/>
      <c r="O179" s="2"/>
      <c r="P179" s="2"/>
      <c r="Q179" s="2"/>
      <c r="R179" s="591"/>
      <c r="S179" s="591"/>
      <c r="T179" s="591"/>
      <c r="U179" s="591"/>
      <c r="V179" s="591"/>
      <c r="W179" s="591"/>
      <c r="X179" s="591"/>
      <c r="AA179" s="591"/>
      <c r="AB179" s="591"/>
      <c r="AC179" s="591"/>
      <c r="AG179" s="591"/>
      <c r="AS179" s="591"/>
    </row>
    <row r="180" spans="1:45" ht="21.95" customHeight="1" x14ac:dyDescent="0.2">
      <c r="A180" s="2"/>
      <c r="B180" s="7"/>
      <c r="C180" s="2092" t="s">
        <v>582</v>
      </c>
      <c r="D180" s="2092"/>
      <c r="E180" s="2093">
        <f>SUM(G180:K180)</f>
        <v>0</v>
      </c>
      <c r="F180" s="2093"/>
      <c r="G180" s="623">
        <f>VLOOKUP($M166,$C46:G48,G166+4,FALSE)</f>
        <v>0</v>
      </c>
      <c r="H180" s="623">
        <f>VLOOKUP($M166,$C46:H48,H166+4,FALSE)</f>
        <v>0</v>
      </c>
      <c r="I180" s="2196">
        <f>VLOOKUP($M166,$C46:K48,I166+4,FALSE)</f>
        <v>0</v>
      </c>
      <c r="J180" s="2196"/>
      <c r="K180" s="623">
        <f>VLOOKUP($M166,$C46:N48,K166+4,FALSE)</f>
        <v>0</v>
      </c>
      <c r="L180" s="2"/>
      <c r="M180" s="12"/>
      <c r="N180" s="2"/>
      <c r="O180" s="2"/>
      <c r="P180" s="2"/>
      <c r="Q180" s="2"/>
      <c r="R180" s="591"/>
      <c r="S180" s="591"/>
      <c r="T180" s="591"/>
      <c r="U180" s="591"/>
      <c r="V180" s="591"/>
      <c r="W180" s="591"/>
      <c r="X180" s="591"/>
      <c r="AA180" s="591"/>
      <c r="AB180" s="591"/>
      <c r="AC180" s="591"/>
      <c r="AG180" s="591"/>
      <c r="AS180" s="591"/>
    </row>
    <row r="181" spans="1:45" ht="11.25" customHeight="1" x14ac:dyDescent="0.2">
      <c r="A181" s="2"/>
      <c r="B181" s="2"/>
      <c r="C181" s="2"/>
      <c r="D181" s="2"/>
      <c r="E181" s="2"/>
      <c r="F181" s="2"/>
      <c r="G181" s="2"/>
      <c r="H181" s="2"/>
      <c r="I181" s="2201"/>
      <c r="J181" s="2201"/>
      <c r="K181" s="2"/>
      <c r="L181" s="2"/>
      <c r="M181" s="2"/>
      <c r="N181" s="2"/>
      <c r="O181" s="2"/>
      <c r="P181" s="2"/>
      <c r="Q181" s="2"/>
      <c r="R181" s="591"/>
      <c r="S181" s="591"/>
      <c r="T181" s="591"/>
      <c r="U181" s="591"/>
      <c r="V181" s="591"/>
      <c r="W181" s="591"/>
      <c r="X181" s="591"/>
      <c r="AA181" s="591"/>
      <c r="AB181" s="591"/>
      <c r="AC181" s="591"/>
      <c r="AG181" s="591"/>
      <c r="AS181" s="591"/>
    </row>
    <row r="182" spans="1:45" ht="19.5" customHeight="1" x14ac:dyDescent="0.2">
      <c r="A182" s="2"/>
      <c r="B182" s="2"/>
      <c r="C182" s="2095" t="str">
        <f>CONCATENATE("01/01 - ",RIGHT(C169,5))</f>
        <v>01/01 - 30/04</v>
      </c>
      <c r="D182" s="2095"/>
      <c r="E182" s="2095"/>
      <c r="F182" s="2095"/>
      <c r="G182" s="2"/>
      <c r="H182" s="2"/>
      <c r="I182" s="2202"/>
      <c r="J182" s="2202"/>
      <c r="K182" s="2"/>
      <c r="L182" s="2"/>
      <c r="M182" s="2"/>
      <c r="N182" s="2"/>
      <c r="O182" s="2"/>
      <c r="P182" s="2"/>
      <c r="Q182" s="2"/>
      <c r="R182" s="591"/>
      <c r="S182" s="591"/>
      <c r="T182" s="591"/>
      <c r="U182" s="591"/>
      <c r="V182" s="591"/>
      <c r="W182" s="591"/>
      <c r="X182" s="591"/>
      <c r="AA182" s="591"/>
      <c r="AB182" s="591"/>
      <c r="AC182" s="591"/>
      <c r="AG182" s="591"/>
      <c r="AS182" s="591"/>
    </row>
    <row r="183" spans="1:45" ht="7.5" customHeight="1" x14ac:dyDescent="0.2">
      <c r="A183" s="2"/>
      <c r="B183" s="2"/>
      <c r="C183" s="2089"/>
      <c r="D183" s="2090"/>
      <c r="E183" s="484"/>
      <c r="F183" s="2"/>
      <c r="G183" s="597">
        <f>IF(AND(G$193&lt;&gt;0,G$193&gt;0),IF(($E$184*9)&gt;=G$193,0,1),IF(AND(G$193&lt;&gt;0,G$193&lt;0),IF(($E$184*9)&lt;=G$193,0,1),0))</f>
        <v>0</v>
      </c>
      <c r="H183" s="597">
        <f>IF(AND(H$193&lt;&gt;0,H$193&gt;0),IF(($E$184*9)&gt;=H$193,0,1),IF(AND(H$193&lt;&gt;0,H$193&lt;0),IF(($E$184*9)&lt;=H$193,0,1),0))</f>
        <v>0</v>
      </c>
      <c r="I183" s="2104">
        <f>IF(AND(I$193&lt;&gt;0,I$193&gt;0),IF(($E$184*9)&gt;=I$193,0,1),IF(AND(I$193&lt;&gt;0,I$193&lt;0),IF(($E$184*9)&lt;=I$193,0,1),0))</f>
        <v>0</v>
      </c>
      <c r="J183" s="2105"/>
      <c r="K183" s="597">
        <f>IF(AND(K$193&lt;&gt;0,K$193&gt;0),IF(($E$184*9)&gt;=K$193,0,1),IF(AND(K$193&lt;&gt;0,K$193&lt;0),IF(($E$184*9)&lt;=K$193,0,1),0))</f>
        <v>0</v>
      </c>
      <c r="L183" s="2"/>
      <c r="M183" s="2"/>
      <c r="N183" s="2"/>
      <c r="O183" s="2"/>
      <c r="P183" s="2"/>
      <c r="Q183" s="2"/>
      <c r="R183" s="591"/>
      <c r="S183" s="591"/>
      <c r="T183" s="591"/>
      <c r="U183" s="591"/>
      <c r="V183" s="591"/>
      <c r="W183" s="591"/>
      <c r="X183" s="591"/>
      <c r="AA183" s="591"/>
      <c r="AB183" s="591"/>
      <c r="AC183" s="591"/>
      <c r="AG183" s="591"/>
      <c r="AS183" s="591"/>
    </row>
    <row r="184" spans="1:45" ht="7.5" customHeight="1" x14ac:dyDescent="0.2">
      <c r="A184" s="2"/>
      <c r="B184" s="2"/>
      <c r="C184" s="2096" t="s">
        <v>587</v>
      </c>
      <c r="D184" s="2096"/>
      <c r="E184" s="2098">
        <f>IF(OR(M166=0,M168=""),0,IF(M168=E220,E221,MAX(G193:K193)/10))</f>
        <v>0</v>
      </c>
      <c r="F184" s="2"/>
      <c r="G184" s="598">
        <f>IF(AND(G$193&lt;&gt;0,G$193&gt;0),IF(($E$184*8)&gt;=G$193,0,1),IF(AND(G$193&lt;&gt;0,G$193&lt;0),IF(($E$184*8)&lt;=G$193,0,1),0))</f>
        <v>0</v>
      </c>
      <c r="H184" s="598">
        <f>IF(AND(H$193&lt;&gt;0,H$193&gt;0),IF(($E$184*8)&gt;=H$193,0,1),IF(AND(H$193&lt;&gt;0,H$193&lt;0),IF(($E$184*8)&lt;=H$193,0,1),0))</f>
        <v>0</v>
      </c>
      <c r="I184" s="2061">
        <f>IF(AND(I$193&lt;&gt;0,I$193&gt;0),IF(($E$184*8)&gt;=I$193,0,1),IF(AND(I$193&lt;&gt;0,I$193&lt;0),IF(($E$184*8)&lt;=I$193,0,1),0))</f>
        <v>0</v>
      </c>
      <c r="J184" s="2062"/>
      <c r="K184" s="598">
        <f>IF(AND(K$193&lt;&gt;0,K$193&gt;0),IF(($E$184*8)&gt;=K$193,0,1),IF(AND(K$193&lt;&gt;0,K$193&lt;0),IF(($E$184*8)&lt;=K$193,0,1),0))</f>
        <v>0</v>
      </c>
      <c r="L184" s="2"/>
      <c r="M184" s="2"/>
      <c r="N184" s="2"/>
      <c r="O184" s="2"/>
      <c r="P184" s="2"/>
      <c r="Q184" s="2"/>
      <c r="R184" s="591"/>
      <c r="S184" s="591"/>
      <c r="T184" s="591"/>
      <c r="U184" s="591"/>
      <c r="V184" s="591"/>
      <c r="W184" s="591"/>
      <c r="X184" s="591"/>
      <c r="AA184" s="591"/>
      <c r="AB184" s="591"/>
      <c r="AC184" s="591"/>
      <c r="AG184" s="591"/>
      <c r="AS184" s="591"/>
    </row>
    <row r="185" spans="1:45" ht="7.5" customHeight="1" x14ac:dyDescent="0.2">
      <c r="A185" s="2"/>
      <c r="B185" s="2"/>
      <c r="C185" s="2097"/>
      <c r="D185" s="2097"/>
      <c r="E185" s="2098"/>
      <c r="F185" s="2"/>
      <c r="G185" s="598">
        <f>IF(AND(G$193&lt;&gt;0,G$193&gt;0),IF(($E$184*7)&gt;=G$193,0,1),IF(AND(G$193&lt;&gt;0,G$193&lt;0),IF(($E$184*7)&lt;=G$193,0,1),0))</f>
        <v>0</v>
      </c>
      <c r="H185" s="598">
        <f>IF(AND(H$193&lt;&gt;0,H$193&gt;0),IF(($E$184*7)&gt;=H$193,0,1),IF(AND(H$193&lt;&gt;0,H$193&lt;0),IF(($E$184*7)&lt;=H$193,0,1),0))</f>
        <v>0</v>
      </c>
      <c r="I185" s="2061">
        <f>IF(AND(I$193&lt;&gt;0,I$193&gt;0),IF(($E$184*7)&gt;=I$193,0,1),IF(AND(I$193&lt;&gt;0,I$193&lt;0),IF(($E$184*7)&lt;=I$193,0,1),0))</f>
        <v>0</v>
      </c>
      <c r="J185" s="2062"/>
      <c r="K185" s="598">
        <f>IF(AND(K$193&lt;&gt;0,K$193&gt;0),IF(($E$184*7)&gt;=K$193,0,1),IF(AND(K$193&lt;&gt;0,K$193&lt;0),IF(($E$184*7)&lt;=K$193,0,1),0))</f>
        <v>0</v>
      </c>
      <c r="L185" s="2"/>
      <c r="M185" s="2"/>
      <c r="N185" s="2"/>
      <c r="O185" s="2"/>
      <c r="P185" s="2"/>
      <c r="Q185" s="2"/>
      <c r="R185" s="591"/>
      <c r="S185" s="591"/>
      <c r="T185" s="591"/>
      <c r="U185" s="591"/>
      <c r="V185" s="591"/>
      <c r="W185" s="591"/>
      <c r="X185" s="591"/>
      <c r="AA185" s="591"/>
      <c r="AB185" s="591"/>
      <c r="AC185" s="591"/>
      <c r="AG185" s="591"/>
      <c r="AS185" s="591"/>
    </row>
    <row r="186" spans="1:45" ht="7.5" customHeight="1" x14ac:dyDescent="0.2">
      <c r="A186" s="2"/>
      <c r="B186" s="2"/>
      <c r="C186" s="2"/>
      <c r="D186" s="2"/>
      <c r="E186" s="2"/>
      <c r="F186" s="2"/>
      <c r="G186" s="598">
        <f>IF(AND(G$193&lt;&gt;0,G$193&gt;0),IF(($E$184*6)&gt;=G$193,0,1),IF(AND(G$193&lt;&gt;0,G$193&lt;0),IF(($E$184*6)&lt;=G$193,0,1),0))</f>
        <v>0</v>
      </c>
      <c r="H186" s="598">
        <f>IF(AND(H$193&lt;&gt;0,H$193&gt;0),IF(($E$184*6)&gt;=H$193,0,1),IF(AND(H$193&lt;&gt;0,H$193&lt;0),IF(($E$184*6)&lt;=H$193,0,1),0))</f>
        <v>0</v>
      </c>
      <c r="I186" s="2061">
        <f>IF(AND(I$193&lt;&gt;0,I$193&gt;0),IF(($E$184*6)&gt;=I$193,0,1),IF(AND(I$193&lt;&gt;0,I$193&lt;0),IF(($E$184*6)&lt;=I$193,0,1),0))</f>
        <v>0</v>
      </c>
      <c r="J186" s="2062"/>
      <c r="K186" s="598">
        <f>IF(AND(K$193&lt;&gt;0,K$193&gt;0),IF(($E$184*6)&gt;=K$193,0,1),IF(AND(K$193&lt;&gt;0,K$193&lt;0),IF(($E$184*6)&lt;=K$193,0,1),0))</f>
        <v>0</v>
      </c>
      <c r="L186" s="2"/>
      <c r="M186" s="2"/>
      <c r="N186" s="2"/>
      <c r="O186" s="2"/>
      <c r="P186" s="2"/>
      <c r="Q186" s="2"/>
      <c r="R186" s="591"/>
      <c r="S186" s="591"/>
      <c r="T186" s="591"/>
      <c r="U186" s="591"/>
      <c r="V186" s="591"/>
      <c r="W186" s="591"/>
      <c r="X186" s="591"/>
      <c r="AA186" s="591"/>
      <c r="AB186" s="591"/>
      <c r="AC186" s="591"/>
      <c r="AG186" s="591"/>
      <c r="AS186" s="591"/>
    </row>
    <row r="187" spans="1:45" ht="7.5" customHeight="1" x14ac:dyDescent="0.2">
      <c r="A187" s="2"/>
      <c r="B187" s="2"/>
      <c r="C187" s="2"/>
      <c r="D187" s="2"/>
      <c r="E187" s="2"/>
      <c r="F187" s="2"/>
      <c r="G187" s="598">
        <f>IF(AND(G$193&lt;&gt;0,G$193&gt;0),IF(($E$184*5)&gt;=G$193,0,1),IF(AND(G$193&lt;&gt;0,G$193&lt;0),IF(($E$184*5)&lt;=G$193,0,1),0))</f>
        <v>0</v>
      </c>
      <c r="H187" s="598">
        <f>IF(AND(H$193&lt;&gt;0,H$193&gt;0),IF(($E$184*5)&gt;=H$193,0,1),IF(AND(H$193&lt;&gt;0,H$193&lt;0),IF(($E$184*5)&lt;=H$193,0,1),0))</f>
        <v>0</v>
      </c>
      <c r="I187" s="2061">
        <f>IF(AND(I$193&lt;&gt;0,I$193&gt;0),IF(($E$184*5)&gt;=I$193,0,1),IF(AND(I$193&lt;&gt;0,I$193&lt;0),IF(($E$184*5)&lt;=I$193,0,1),0))</f>
        <v>0</v>
      </c>
      <c r="J187" s="2062"/>
      <c r="K187" s="598">
        <f>IF(AND(K$193&lt;&gt;0,K$193&gt;0),IF(($E$184*5)&gt;=K$193,0,1),IF(AND(K$193&lt;&gt;0,K$193&lt;0),IF(($E$184*5)&lt;=K$193,0,1),0))</f>
        <v>0</v>
      </c>
      <c r="L187" s="2"/>
      <c r="M187" s="2"/>
      <c r="N187" s="2"/>
      <c r="O187" s="2"/>
      <c r="P187" s="2"/>
      <c r="Q187" s="2"/>
      <c r="R187" s="591"/>
      <c r="S187" s="591"/>
      <c r="T187" s="591"/>
      <c r="U187" s="591"/>
      <c r="V187" s="591"/>
      <c r="W187" s="591"/>
      <c r="X187" s="591"/>
      <c r="AA187" s="591"/>
      <c r="AB187" s="591"/>
      <c r="AC187" s="591"/>
      <c r="AG187" s="591"/>
      <c r="AS187" s="591"/>
    </row>
    <row r="188" spans="1:45" ht="7.5" customHeight="1" x14ac:dyDescent="0.2">
      <c r="A188" s="2"/>
      <c r="B188" s="2"/>
      <c r="C188" s="2"/>
      <c r="D188" s="2"/>
      <c r="E188" s="2"/>
      <c r="F188" s="2"/>
      <c r="G188" s="598">
        <f>IF(AND(G$193&lt;&gt;0,G$193&gt;0),IF(($E$184*4)&gt;=G$193,0,1),IF(AND(G$193&lt;&gt;0,G$193&lt;0),IF(($E$184*4)&lt;=G$193,0,1),0))</f>
        <v>0</v>
      </c>
      <c r="H188" s="598">
        <f>IF(AND(H$193&lt;&gt;0,H$193&gt;0),IF(($E$184*4)&gt;=H$193,0,1),IF(AND(H$193&lt;&gt;0,H$193&lt;0),IF(($E$184*4)&lt;=H$193,0,1),0))</f>
        <v>0</v>
      </c>
      <c r="I188" s="2061">
        <f>IF(AND(I$193&lt;&gt;0,I$193&gt;0),IF(($E$184*4)&gt;=I$193,0,1),IF(AND(I$193&lt;&gt;0,I$193&lt;0),IF(($E$184*4)&lt;=I$193,0,1),0))</f>
        <v>0</v>
      </c>
      <c r="J188" s="2062"/>
      <c r="K188" s="598">
        <f>IF(AND(K$193&lt;&gt;0,K$193&gt;0),IF(($E$184*4)&gt;=K$193,0,1),IF(AND(K$193&lt;&gt;0,K$193&lt;0),IF(($E$184*4)&lt;=K$193,0,1),0))</f>
        <v>0</v>
      </c>
      <c r="L188" s="2"/>
      <c r="M188" s="2"/>
      <c r="N188" s="2"/>
      <c r="O188" s="2"/>
      <c r="P188" s="2"/>
      <c r="Q188" s="2"/>
      <c r="R188" s="591"/>
      <c r="S188" s="591"/>
      <c r="T188" s="591"/>
      <c r="U188" s="591"/>
      <c r="V188" s="591"/>
      <c r="W188" s="591"/>
      <c r="X188" s="591"/>
      <c r="AA188" s="591"/>
      <c r="AB188" s="591"/>
      <c r="AC188" s="591"/>
      <c r="AG188" s="591"/>
      <c r="AS188" s="591"/>
    </row>
    <row r="189" spans="1:45" ht="7.5" customHeight="1" x14ac:dyDescent="0.2">
      <c r="A189" s="2"/>
      <c r="B189" s="2"/>
      <c r="C189" s="2"/>
      <c r="D189" s="2"/>
      <c r="E189" s="2"/>
      <c r="F189" s="2"/>
      <c r="G189" s="598">
        <f>IF(AND(G$193&lt;&gt;0,G$193&gt;0),IF(($E$184*3)&gt;=G$193,0,1),IF(AND(G$193&lt;&gt;0,G$193&lt;0),IF(($E$184*3)&lt;=G$193,0,1),0))</f>
        <v>0</v>
      </c>
      <c r="H189" s="598">
        <f>IF(AND(H$193&lt;&gt;0,H$193&gt;0),IF(($E$184*3)&gt;=H$193,0,1),IF(AND(H$193&lt;&gt;0,H$193&lt;0),IF(($E$184*3)&lt;=H$193,0,1),0))</f>
        <v>0</v>
      </c>
      <c r="I189" s="2061">
        <f>IF(AND(I$193&lt;&gt;0,I$193&gt;0),IF(($E$184*3)&gt;=I$193,0,1),IF(AND(I$193&lt;&gt;0,I$193&lt;0),IF(($E$184*3)&lt;=I$193,0,1),0))</f>
        <v>0</v>
      </c>
      <c r="J189" s="2062"/>
      <c r="K189" s="598">
        <f>IF(AND(K$193&lt;&gt;0,K$193&gt;0),IF(($E$184*3)&gt;=K$193,0,1),IF(AND(K$193&lt;&gt;0,K$193&lt;0),IF(($E$184*3)&lt;=K$193,0,1),0))</f>
        <v>0</v>
      </c>
      <c r="L189" s="2"/>
      <c r="M189" s="2"/>
      <c r="N189" s="2"/>
      <c r="O189" s="2"/>
      <c r="P189" s="2"/>
      <c r="Q189" s="2"/>
      <c r="R189" s="591"/>
      <c r="S189" s="591"/>
      <c r="T189" s="591"/>
      <c r="U189" s="591"/>
      <c r="V189" s="591"/>
      <c r="W189" s="591"/>
      <c r="X189" s="591"/>
      <c r="AA189" s="591"/>
      <c r="AB189" s="591"/>
      <c r="AC189" s="591"/>
      <c r="AG189" s="591"/>
      <c r="AS189" s="591"/>
    </row>
    <row r="190" spans="1:45" ht="7.5" customHeight="1" x14ac:dyDescent="0.2">
      <c r="A190" s="2"/>
      <c r="B190" s="2"/>
      <c r="C190" s="2"/>
      <c r="D190" s="2"/>
      <c r="E190" s="2"/>
      <c r="F190" s="2"/>
      <c r="G190" s="598">
        <f>IF(AND(G$193&lt;&gt;0,G$193&gt;0),IF(($E$184*2)&gt;=G$193,0,1),IF(AND(G$193&lt;&gt;0,G$193&lt;0),IF(($E$184*2)&lt;=G$193,0,1),0))</f>
        <v>0</v>
      </c>
      <c r="H190" s="598">
        <f>IF(AND(H$193&lt;&gt;0,H$193&gt;0),IF(($E$184*2)&gt;=H$193,0,1),IF(AND(H$193&lt;&gt;0,H$193&lt;0),IF(($E$184*2)&lt;=H$193,0,1),0))</f>
        <v>0</v>
      </c>
      <c r="I190" s="2061">
        <f>IF(AND(I$193&lt;&gt;0,I$193&gt;0),IF(($E$184*2)&gt;=I$193,0,1),IF(AND(I$193&lt;&gt;0,I$193&lt;0),IF(($E$184*2)&lt;=I$193,0,1),0))</f>
        <v>0</v>
      </c>
      <c r="J190" s="2062"/>
      <c r="K190" s="598">
        <f>IF(AND(K$193&lt;&gt;0,K$193&gt;0),IF(($E$184*2)&gt;=K$193,0,1),IF(AND(K$193&lt;&gt;0,K$193&lt;0),IF(($E$184*2)&lt;=K$193,0,1),0))</f>
        <v>0</v>
      </c>
      <c r="L190" s="2"/>
      <c r="M190" s="2"/>
      <c r="N190" s="2"/>
      <c r="O190" s="2"/>
      <c r="P190" s="2"/>
      <c r="Q190" s="2"/>
      <c r="R190" s="591"/>
      <c r="S190" s="591"/>
      <c r="T190" s="591"/>
      <c r="U190" s="591"/>
      <c r="V190" s="591"/>
      <c r="W190" s="591"/>
      <c r="X190" s="591"/>
      <c r="AA190" s="591"/>
      <c r="AB190" s="591"/>
      <c r="AC190" s="591"/>
      <c r="AG190" s="591"/>
      <c r="AS190" s="591"/>
    </row>
    <row r="191" spans="1:45" ht="7.5" customHeight="1" x14ac:dyDescent="0.2">
      <c r="A191" s="2"/>
      <c r="B191" s="2"/>
      <c r="C191" s="2"/>
      <c r="D191" s="2"/>
      <c r="E191" s="2"/>
      <c r="F191" s="2"/>
      <c r="G191" s="598">
        <f>IF(AND(G$193&lt;&gt;0,G$193&gt;0),IF(($E$184*1)&gt;=G$193,0,1),IF(AND(G$193&lt;&gt;0,G$193&lt;0),IF(($E$184*1)&lt;=G$193,0,1),0))</f>
        <v>0</v>
      </c>
      <c r="H191" s="598">
        <f>IF(AND(H$193&lt;&gt;0,H$193&gt;0),IF(($E$184*1)&gt;=H$193,0,1),IF(AND(H$193&lt;&gt;0,H$193&lt;0),IF(($E$184*1)&lt;=H$193,0,1),0))</f>
        <v>0</v>
      </c>
      <c r="I191" s="2061">
        <f>IF(AND(I$193&lt;&gt;0,I$193&gt;0),IF(($E$184*1)&gt;=I$193,0,1),IF(AND(I$193&lt;&gt;0,I$193&lt;0),IF(($E$184*1)&lt;=I$193,0,1),0))</f>
        <v>0</v>
      </c>
      <c r="J191" s="2062"/>
      <c r="K191" s="598">
        <f>IF(AND(K$193&lt;&gt;0,K$193&gt;0),IF(($E$184*1)&gt;=K$193,0,1),IF(AND(K$193&lt;&gt;0,K$193&lt;0),IF(($E$184*1)&lt;=K$193,0,1),0))</f>
        <v>0</v>
      </c>
      <c r="L191" s="2"/>
      <c r="M191" s="2"/>
      <c r="N191" s="2"/>
      <c r="O191" s="2"/>
      <c r="P191" s="2"/>
      <c r="Q191" s="2"/>
      <c r="R191" s="591"/>
      <c r="S191" s="591"/>
      <c r="T191" s="591"/>
      <c r="U191" s="591"/>
      <c r="V191" s="591"/>
      <c r="W191" s="591"/>
      <c r="X191" s="591"/>
      <c r="AA191" s="591"/>
      <c r="AB191" s="591"/>
      <c r="AC191" s="591"/>
      <c r="AG191" s="591"/>
      <c r="AS191" s="591"/>
    </row>
    <row r="192" spans="1:45" ht="7.5" customHeight="1" x14ac:dyDescent="0.2">
      <c r="A192" s="2"/>
      <c r="B192" s="2"/>
      <c r="C192" s="2"/>
      <c r="D192" s="2"/>
      <c r="E192" s="2"/>
      <c r="F192" s="2"/>
      <c r="G192" s="599">
        <f>IF(G193&lt;&gt;0,1,0)</f>
        <v>0</v>
      </c>
      <c r="H192" s="599">
        <f>IF(H193&lt;&gt;0,1,0)</f>
        <v>0</v>
      </c>
      <c r="I192" s="2199">
        <f>IF(I193&lt;&gt;0,1,0)</f>
        <v>0</v>
      </c>
      <c r="J192" s="2200"/>
      <c r="K192" s="599">
        <f>IF(K193&lt;&gt;0,1,0)</f>
        <v>0</v>
      </c>
      <c r="L192" s="2"/>
      <c r="M192" s="2"/>
      <c r="N192" s="2"/>
      <c r="O192" s="2"/>
      <c r="P192" s="2"/>
      <c r="Q192" s="2"/>
      <c r="R192" s="591"/>
      <c r="S192" s="591"/>
      <c r="T192" s="591"/>
      <c r="U192" s="591"/>
      <c r="V192" s="591"/>
      <c r="W192" s="591"/>
      <c r="X192" s="591"/>
      <c r="AA192" s="591"/>
      <c r="AB192" s="591"/>
      <c r="AC192" s="591"/>
      <c r="AG192" s="591"/>
      <c r="AS192" s="591"/>
    </row>
    <row r="193" spans="1:45" ht="21.95" customHeight="1" x14ac:dyDescent="0.2">
      <c r="A193" s="2"/>
      <c r="B193" s="7"/>
      <c r="C193" s="2092" t="s">
        <v>582</v>
      </c>
      <c r="D193" s="2092"/>
      <c r="E193" s="2093">
        <f>SUM(G193:K193)</f>
        <v>0</v>
      </c>
      <c r="F193" s="2093"/>
      <c r="G193" s="623">
        <f>VLOOKUP($M166,$C215:G217,G214,FALSE)</f>
        <v>0</v>
      </c>
      <c r="H193" s="623">
        <f>VLOOKUP($M166,$C215:H217,H214,FALSE)</f>
        <v>0</v>
      </c>
      <c r="I193" s="2196">
        <f>VLOOKUP($M166,$C215:I217,I214,FALSE)</f>
        <v>0</v>
      </c>
      <c r="J193" s="2196"/>
      <c r="K193" s="623">
        <f>VLOOKUP($M166,$C215:J217,J214,FALSE)</f>
        <v>0</v>
      </c>
      <c r="L193" s="2"/>
      <c r="M193" s="12"/>
      <c r="N193" s="2"/>
      <c r="O193" s="2"/>
      <c r="P193" s="2"/>
      <c r="Q193" s="2"/>
      <c r="R193" s="591"/>
      <c r="S193" s="591"/>
      <c r="T193" s="591"/>
      <c r="U193" s="591"/>
      <c r="V193" s="591"/>
      <c r="W193" s="591"/>
      <c r="X193" s="591"/>
      <c r="AA193" s="591"/>
      <c r="AB193" s="591"/>
      <c r="AC193" s="591"/>
      <c r="AG193" s="591"/>
      <c r="AS193" s="591"/>
    </row>
    <row r="194" spans="1:45" ht="11.25" customHeight="1" x14ac:dyDescent="0.2">
      <c r="A194" s="2"/>
      <c r="B194" s="2"/>
      <c r="C194" s="2"/>
      <c r="D194" s="2"/>
      <c r="E194" s="2"/>
      <c r="F194" s="2"/>
      <c r="G194" s="2"/>
      <c r="H194" s="2"/>
      <c r="I194" s="2203"/>
      <c r="J194" s="2203"/>
      <c r="K194" s="2"/>
      <c r="L194" s="2"/>
      <c r="M194" s="2"/>
      <c r="N194" s="2"/>
      <c r="O194" s="2"/>
      <c r="P194" s="2"/>
      <c r="Q194" s="2"/>
      <c r="R194" s="591"/>
      <c r="S194" s="591"/>
      <c r="T194" s="591"/>
      <c r="U194" s="591"/>
      <c r="V194" s="591"/>
      <c r="W194" s="591"/>
      <c r="X194" s="591"/>
      <c r="AA194" s="591"/>
      <c r="AB194" s="591"/>
      <c r="AC194" s="591"/>
      <c r="AG194" s="591"/>
      <c r="AS194" s="591"/>
    </row>
    <row r="195" spans="1:45" ht="19.5" customHeight="1" x14ac:dyDescent="0.2">
      <c r="A195" s="2"/>
      <c r="B195" s="2"/>
      <c r="C195" s="2063" t="e">
        <f>VLOOKUP(I207,I220:K229,3,FALSE)</f>
        <v>#N/A</v>
      </c>
      <c r="D195" s="2063"/>
      <c r="E195" s="2063"/>
      <c r="F195" s="2063"/>
      <c r="G195" s="2063"/>
      <c r="H195" s="2063"/>
      <c r="I195" s="2202"/>
      <c r="J195" s="2202"/>
      <c r="K195" s="2"/>
      <c r="L195" s="2"/>
      <c r="M195" s="2"/>
      <c r="N195" s="2"/>
      <c r="O195" s="2"/>
      <c r="P195" s="2"/>
      <c r="Q195" s="2"/>
      <c r="R195" s="591"/>
      <c r="S195" s="591"/>
      <c r="T195" s="591"/>
      <c r="U195" s="591"/>
      <c r="V195" s="591"/>
      <c r="W195" s="591"/>
      <c r="X195" s="591"/>
      <c r="AA195" s="591"/>
      <c r="AB195" s="591"/>
      <c r="AC195" s="591"/>
      <c r="AG195" s="591"/>
      <c r="AS195" s="591"/>
    </row>
    <row r="196" spans="1:45" ht="7.5" customHeight="1" x14ac:dyDescent="0.2">
      <c r="A196" s="2"/>
      <c r="B196" s="2"/>
      <c r="C196" s="2064"/>
      <c r="D196" s="2065"/>
      <c r="E196" s="484"/>
      <c r="F196" s="2"/>
      <c r="G196" s="594" t="e">
        <f>IF(AND(G$206&lt;&gt;0,G$206&gt;0),IF(($E$197*9)&gt;=G$206,0,1),IF(AND(G$206&lt;&gt;0,G$206&lt;0),IF(($E$197*9)&lt;=G$206,0,1),0))</f>
        <v>#N/A</v>
      </c>
      <c r="H196" s="594" t="e">
        <f>IF(AND(H$206&lt;&gt;0,H$206&gt;0),IF(($E$197*9)&gt;=H$206,0,1),IF(AND(H$206&lt;&gt;0,H$206&lt;0),IF(($E$197*9)&lt;=H$206,0,1),0))</f>
        <v>#N/A</v>
      </c>
      <c r="I196" s="2197" t="e">
        <f>IF(AND(I$206&lt;&gt;0,I$206&gt;0),IF(($E$197*9)&gt;=I$206,0,1),IF(AND(I$206&lt;&gt;0,I$206&lt;0),IF(($E$197*9)&lt;=I$206,0,1),0))</f>
        <v>#N/A</v>
      </c>
      <c r="J196" s="2198"/>
      <c r="K196" s="594" t="e">
        <f>IF(AND(K$206&lt;&gt;0,K$206&gt;0),IF(($E$197*9)&gt;=K$206,0,1),IF(AND(K$206&lt;&gt;0,K$206&lt;0),IF(($E$197*9)&lt;=K$206,0,1),0))</f>
        <v>#N/A</v>
      </c>
      <c r="L196" s="2"/>
      <c r="M196" s="2"/>
      <c r="N196" s="2"/>
      <c r="O196" s="2"/>
      <c r="P196" s="2"/>
      <c r="Q196" s="2"/>
      <c r="R196" s="591"/>
      <c r="S196" s="591"/>
      <c r="T196" s="591"/>
      <c r="U196" s="591"/>
      <c r="V196" s="591"/>
      <c r="W196" s="591"/>
      <c r="X196" s="591"/>
      <c r="AA196" s="591"/>
      <c r="AB196" s="591"/>
      <c r="AC196" s="591"/>
      <c r="AG196" s="591"/>
      <c r="AS196" s="591"/>
    </row>
    <row r="197" spans="1:45" ht="7.5" customHeight="1" x14ac:dyDescent="0.2">
      <c r="A197" s="2"/>
      <c r="B197" s="2"/>
      <c r="C197" s="2096" t="s">
        <v>587</v>
      </c>
      <c r="D197" s="2096"/>
      <c r="E197" s="2098">
        <f>IF(OR(M166=0,M168=""),0,IF(M168=E220,E221,MAX(G206:K206)/10))</f>
        <v>0</v>
      </c>
      <c r="F197" s="2"/>
      <c r="G197" s="595" t="e">
        <f>IF(AND(G$206&lt;&gt;0,G$206&gt;0),IF(($E$197*8)&gt;=G$206,0,1),IF(AND(G$206&lt;&gt;0,G$206&lt;0),IF(($E$197*8)&lt;=G$206,0,1),0))</f>
        <v>#N/A</v>
      </c>
      <c r="H197" s="595" t="e">
        <f>IF(AND(H$206&lt;&gt;0,H$206&gt;0),IF(($E$197*8)&gt;=H$206,0,1),IF(AND(H$206&lt;&gt;0,H$206&lt;0),IF(($E$197*8)&lt;=H$206,0,1),0))</f>
        <v>#N/A</v>
      </c>
      <c r="I197" s="2049" t="e">
        <f>IF(AND(I$206&lt;&gt;0,I$206&gt;0),IF(($E$197*8)&gt;=I$206,0,1),IF(AND(I$206&lt;&gt;0,I$206&lt;0),IF(($E$197*8)&lt;=I$206,0,1),0))</f>
        <v>#N/A</v>
      </c>
      <c r="J197" s="2050"/>
      <c r="K197" s="595" t="e">
        <f>IF(AND(K$206&lt;&gt;0,K$206&gt;0),IF(($E$197*8)&gt;=K$206,0,1),IF(AND(K$206&lt;&gt;0,K$206&lt;0),IF(($E$197*8)&lt;=K$206,0,1),0))</f>
        <v>#N/A</v>
      </c>
      <c r="L197" s="2"/>
      <c r="M197" s="2"/>
      <c r="N197" s="2"/>
      <c r="O197" s="2"/>
      <c r="P197" s="2"/>
      <c r="Q197" s="2"/>
      <c r="R197" s="591"/>
      <c r="S197" s="591"/>
      <c r="T197" s="591"/>
      <c r="U197" s="591"/>
      <c r="V197" s="591"/>
      <c r="W197" s="591"/>
      <c r="X197" s="591"/>
      <c r="AA197" s="591"/>
      <c r="AB197" s="591"/>
      <c r="AC197" s="591"/>
      <c r="AG197" s="591"/>
      <c r="AS197" s="591"/>
    </row>
    <row r="198" spans="1:45" ht="7.5" customHeight="1" x14ac:dyDescent="0.2">
      <c r="A198" s="2"/>
      <c r="B198" s="2"/>
      <c r="C198" s="2097"/>
      <c r="D198" s="2097"/>
      <c r="E198" s="2098"/>
      <c r="F198" s="2"/>
      <c r="G198" s="595" t="e">
        <f>IF(AND(G$206&lt;&gt;0,G$206&gt;0),IF(($E$197*7)&gt;=G$206,0,1),IF(AND(G$206&lt;&gt;0,G$206&lt;0),IF(($E$197*7)&lt;=G$206,0,1),0))</f>
        <v>#N/A</v>
      </c>
      <c r="H198" s="595" t="e">
        <f>IF(AND(H$206&lt;&gt;0,H$206&gt;0),IF(($E$197*7)&gt;=H$206,0,1),IF(AND(H$206&lt;&gt;0,H$206&lt;0),IF(($E$197*7)&lt;=H$206,0,1),0))</f>
        <v>#N/A</v>
      </c>
      <c r="I198" s="2049" t="e">
        <f>IF(AND(I$206&lt;&gt;0,I$206&gt;0),IF(($E$197*7)&gt;=I$206,0,1),IF(AND(I$206&lt;&gt;0,I$206&lt;0),IF(($E$197*7)&lt;=I$206,0,1),0))</f>
        <v>#N/A</v>
      </c>
      <c r="J198" s="2050"/>
      <c r="K198" s="595" t="e">
        <f>IF(AND(K$206&lt;&gt;0,K$206&gt;0),IF(($E$197*7)&gt;=K$206,0,1),IF(AND(K$206&lt;&gt;0,K$206&lt;0),IF(($E$197*7)&lt;=K$206,0,1),0))</f>
        <v>#N/A</v>
      </c>
      <c r="L198" s="2"/>
      <c r="M198" s="2"/>
      <c r="N198" s="2"/>
      <c r="O198" s="2"/>
      <c r="P198" s="2"/>
      <c r="Q198" s="2"/>
      <c r="R198" s="591"/>
      <c r="S198" s="591"/>
      <c r="T198" s="591"/>
      <c r="U198" s="591"/>
      <c r="V198" s="591"/>
      <c r="W198" s="591"/>
      <c r="X198" s="591"/>
      <c r="AA198" s="591"/>
      <c r="AB198" s="591"/>
      <c r="AC198" s="591"/>
      <c r="AG198" s="591"/>
      <c r="AS198" s="591"/>
    </row>
    <row r="199" spans="1:45" ht="7.5" customHeight="1" x14ac:dyDescent="0.2">
      <c r="A199" s="2"/>
      <c r="B199" s="2"/>
      <c r="C199" s="2"/>
      <c r="D199" s="2"/>
      <c r="E199" s="2"/>
      <c r="F199" s="2"/>
      <c r="G199" s="595" t="e">
        <f>IF(AND(G$206&lt;&gt;0,G$206&gt;0),IF(($E$197*6)&gt;=G$206,0,1),IF(AND(G$206&lt;&gt;0,G$206&lt;0),IF(($E$197*6)&lt;=G$206,0,1),0))</f>
        <v>#N/A</v>
      </c>
      <c r="H199" s="595" t="e">
        <f>IF(AND(H$206&lt;&gt;0,H$206&gt;0),IF(($E$197*6)&gt;=H$206,0,1),IF(AND(H$206&lt;&gt;0,H$206&lt;0),IF(($E$197*6)&lt;=H$206,0,1),0))</f>
        <v>#N/A</v>
      </c>
      <c r="I199" s="2049" t="e">
        <f>IF(AND(I$206&lt;&gt;0,I$206&gt;0),IF(($E$197*6)&gt;=I$206,0,1),IF(AND(I$206&lt;&gt;0,I$206&lt;0),IF(($E$197*6)&lt;=I$206,0,1),0))</f>
        <v>#N/A</v>
      </c>
      <c r="J199" s="2050"/>
      <c r="K199" s="595" t="e">
        <f>IF(AND(K$206&lt;&gt;0,K$206&gt;0),IF(($E$197*6)&gt;=K$206,0,1),IF(AND(K$206&lt;&gt;0,K$206&lt;0),IF(($E$197*6)&lt;=K$206,0,1),0))</f>
        <v>#N/A</v>
      </c>
      <c r="L199" s="2"/>
      <c r="M199" s="2"/>
      <c r="N199" s="2"/>
      <c r="O199" s="2"/>
      <c r="P199" s="2"/>
      <c r="Q199" s="2"/>
      <c r="R199" s="591"/>
      <c r="S199" s="591"/>
      <c r="T199" s="591"/>
      <c r="U199" s="591"/>
      <c r="V199" s="591"/>
      <c r="W199" s="591"/>
      <c r="X199" s="591"/>
      <c r="AA199" s="591"/>
      <c r="AB199" s="591"/>
      <c r="AC199" s="591"/>
      <c r="AG199" s="591"/>
      <c r="AS199" s="591"/>
    </row>
    <row r="200" spans="1:45" ht="7.5" customHeight="1" x14ac:dyDescent="0.2">
      <c r="A200" s="2"/>
      <c r="B200" s="2"/>
      <c r="C200" s="2"/>
      <c r="D200" s="2"/>
      <c r="E200" s="2"/>
      <c r="F200" s="2"/>
      <c r="G200" s="595" t="e">
        <f>IF(AND(G$206&lt;&gt;0,G$206&gt;0),IF(($E$197*5)&gt;=G$206,0,1),IF(AND(G$206&lt;&gt;0,G$206&lt;0),IF(($E$197*5)&lt;=G$206,0,1),0))</f>
        <v>#N/A</v>
      </c>
      <c r="H200" s="595" t="e">
        <f>IF(AND(H$206&lt;&gt;0,H$206&gt;0),IF(($E$197*5)&gt;=H$206,0,1),IF(AND(H$206&lt;&gt;0,H$206&lt;0),IF(($E$197*5)&lt;=H$206,0,1),0))</f>
        <v>#N/A</v>
      </c>
      <c r="I200" s="2049" t="e">
        <f>IF(AND(I$206&lt;&gt;0,I$206&gt;0),IF(($E$197*5)&gt;=I$206,0,1),IF(AND(I$206&lt;&gt;0,I$206&lt;0),IF(($E$197*5)&lt;=I$206,0,1),0))</f>
        <v>#N/A</v>
      </c>
      <c r="J200" s="2050"/>
      <c r="K200" s="595" t="e">
        <f>IF(AND(K$206&lt;&gt;0,K$206&gt;0),IF(($E$197*5)&gt;=K$206,0,1),IF(AND(K$206&lt;&gt;0,K$206&lt;0),IF(($E$197*5)&lt;=K$206,0,1),0))</f>
        <v>#N/A</v>
      </c>
      <c r="L200" s="2"/>
      <c r="M200" s="2"/>
      <c r="N200" s="2"/>
      <c r="O200" s="2"/>
      <c r="P200" s="2"/>
      <c r="Q200" s="2"/>
      <c r="R200" s="591"/>
      <c r="S200" s="591"/>
      <c r="T200" s="591"/>
      <c r="U200" s="591"/>
      <c r="V200" s="591"/>
      <c r="W200" s="591"/>
      <c r="X200" s="591"/>
      <c r="AA200" s="591"/>
      <c r="AB200" s="591"/>
      <c r="AC200" s="591"/>
      <c r="AG200" s="591"/>
      <c r="AS200" s="591"/>
    </row>
    <row r="201" spans="1:45" ht="7.5" customHeight="1" x14ac:dyDescent="0.2">
      <c r="A201" s="2"/>
      <c r="B201" s="2"/>
      <c r="C201" s="2"/>
      <c r="D201" s="2"/>
      <c r="E201" s="2"/>
      <c r="F201" s="2"/>
      <c r="G201" s="595" t="e">
        <f>IF(AND(G$206&lt;&gt;0,G$206&gt;0),IF(($E$197*4)&gt;=G$206,0,1),IF(AND(G$206&lt;&gt;0,G$206&lt;0),IF(($E$197*4)&lt;=G$206,0,1),0))</f>
        <v>#N/A</v>
      </c>
      <c r="H201" s="595" t="e">
        <f>IF(AND(H$206&lt;&gt;0,H$206&gt;0),IF(($E$197*4)&gt;=H$206,0,1),IF(AND(H$206&lt;&gt;0,H$206&lt;0),IF(($E$197*4)&lt;=H$206,0,1),0))</f>
        <v>#N/A</v>
      </c>
      <c r="I201" s="2049" t="e">
        <f>IF(AND(I$206&lt;&gt;0,I$206&gt;0),IF(($E$197*4)&gt;=I$206,0,1),IF(AND(I$206&lt;&gt;0,I$206&lt;0),IF(($E$197*4)&lt;=I$206,0,1),0))</f>
        <v>#N/A</v>
      </c>
      <c r="J201" s="2050"/>
      <c r="K201" s="595" t="e">
        <f>IF(AND(K$206&lt;&gt;0,K$206&gt;0),IF(($E$197*4)&gt;=K$206,0,1),IF(AND(K$206&lt;&gt;0,K$206&lt;0),IF(($E$197*4)&lt;=K$206,0,1),0))</f>
        <v>#N/A</v>
      </c>
      <c r="L201" s="2"/>
      <c r="M201" s="2"/>
      <c r="N201" s="2"/>
      <c r="O201" s="2"/>
      <c r="P201" s="2"/>
      <c r="Q201" s="2"/>
      <c r="R201" s="591"/>
      <c r="S201" s="591"/>
      <c r="T201" s="591"/>
      <c r="U201" s="591"/>
      <c r="V201" s="591"/>
      <c r="W201" s="591"/>
      <c r="X201" s="591"/>
      <c r="AA201" s="591"/>
      <c r="AB201" s="591"/>
      <c r="AC201" s="591"/>
      <c r="AG201" s="591"/>
      <c r="AS201" s="591"/>
    </row>
    <row r="202" spans="1:45" ht="7.5" customHeight="1" x14ac:dyDescent="0.2">
      <c r="A202" s="2"/>
      <c r="B202" s="2"/>
      <c r="C202" s="2"/>
      <c r="D202" s="2"/>
      <c r="E202" s="2"/>
      <c r="F202" s="2"/>
      <c r="G202" s="595" t="e">
        <f>IF(AND(G$206&lt;&gt;0,G$206&gt;0),IF(($E$197*3)&gt;=G$206,0,1),IF(AND(G$206&lt;&gt;0,G$206&lt;0),IF(($E$197*3)&lt;=G$206,0,1),0))</f>
        <v>#N/A</v>
      </c>
      <c r="H202" s="595" t="e">
        <f>IF(AND(H$206&lt;&gt;0,H$206&gt;0),IF(($E$197*3)&gt;=H$206,0,1),IF(AND(H$206&lt;&gt;0,H$206&lt;0),IF(($E$197*3)&lt;=H$206,0,1),0))</f>
        <v>#N/A</v>
      </c>
      <c r="I202" s="2049" t="e">
        <f>IF(AND(I$206&lt;&gt;0,I$206&gt;0),IF(($E$197*3)&gt;=I$206,0,1),IF(AND(I$206&lt;&gt;0,I$206&lt;0),IF(($E$197*3)&lt;=I$206,0,1),0))</f>
        <v>#N/A</v>
      </c>
      <c r="J202" s="2050"/>
      <c r="K202" s="595" t="e">
        <f>IF(AND(K$206&lt;&gt;0,K$206&gt;0),IF(($E$197*3)&gt;=K$206,0,1),IF(AND(K$206&lt;&gt;0,K$206&lt;0),IF(($E$197*3)&lt;=K$206,0,1),0))</f>
        <v>#N/A</v>
      </c>
      <c r="L202" s="2"/>
      <c r="M202" s="2"/>
      <c r="N202" s="2"/>
      <c r="O202" s="2"/>
      <c r="P202" s="2"/>
      <c r="Q202" s="2"/>
      <c r="R202" s="591"/>
      <c r="S202" s="591"/>
      <c r="T202" s="591"/>
      <c r="U202" s="591"/>
      <c r="V202" s="591"/>
      <c r="W202" s="591"/>
      <c r="X202" s="591"/>
      <c r="AA202" s="591"/>
      <c r="AB202" s="591"/>
      <c r="AC202" s="591"/>
      <c r="AG202" s="591"/>
      <c r="AS202" s="591"/>
    </row>
    <row r="203" spans="1:45" ht="7.5" customHeight="1" x14ac:dyDescent="0.2">
      <c r="A203" s="2"/>
      <c r="B203" s="2"/>
      <c r="C203" s="2"/>
      <c r="D203" s="2"/>
      <c r="E203" s="2"/>
      <c r="F203" s="2"/>
      <c r="G203" s="595" t="e">
        <f>IF(AND(G$206&lt;&gt;0,G$206&gt;0),IF(($E$197*2)&gt;=G$206,0,1),IF(AND(G$206&lt;&gt;0,G$206&lt;0),IF(($E$197*2)&lt;=G$206,0,1),0))</f>
        <v>#N/A</v>
      </c>
      <c r="H203" s="595" t="e">
        <f>IF(AND(H$206&lt;&gt;0,H$206&gt;0),IF(($E$197*2)&gt;=H$206,0,1),IF(AND(H$206&lt;&gt;0,H$206&lt;0),IF(($E$197*2)&lt;=H$206,0,1),0))</f>
        <v>#N/A</v>
      </c>
      <c r="I203" s="2049" t="e">
        <f>IF(AND(I$206&lt;&gt;0,I$206&gt;0),IF(($E$197*2)&gt;=I$206,0,1),IF(AND(I$206&lt;&gt;0,I$206&lt;0),IF(($E$197*2)&lt;=I$206,0,1),0))</f>
        <v>#N/A</v>
      </c>
      <c r="J203" s="2050"/>
      <c r="K203" s="595" t="e">
        <f>IF(AND(K$206&lt;&gt;0,K$206&gt;0),IF(($E$197*2)&gt;=K$206,0,1),IF(AND(K$206&lt;&gt;0,K$206&lt;0),IF(($E$197*2)&lt;=K$206,0,1),0))</f>
        <v>#N/A</v>
      </c>
      <c r="L203" s="2"/>
      <c r="M203" s="2"/>
      <c r="N203" s="2"/>
      <c r="O203" s="2"/>
      <c r="P203" s="2"/>
      <c r="Q203" s="2"/>
      <c r="R203" s="591"/>
      <c r="S203" s="591"/>
      <c r="T203" s="591"/>
      <c r="U203" s="591"/>
      <c r="V203" s="591"/>
      <c r="W203" s="591"/>
      <c r="X203" s="591"/>
      <c r="AA203" s="591"/>
      <c r="AB203" s="591"/>
      <c r="AC203" s="591"/>
      <c r="AG203" s="591"/>
      <c r="AS203" s="591"/>
    </row>
    <row r="204" spans="1:45" ht="7.5" customHeight="1" x14ac:dyDescent="0.2">
      <c r="A204" s="2"/>
      <c r="B204" s="2"/>
      <c r="C204" s="2"/>
      <c r="D204" s="2"/>
      <c r="E204" s="2"/>
      <c r="F204" s="2"/>
      <c r="G204" s="595" t="e">
        <f>IF(AND(G$206&lt;&gt;0,G$206&gt;0),IF(($E$197*1)&gt;=G$206,0,1),IF(AND(G$206&lt;&gt;0,G$206&lt;0),IF(($E$197*1)&lt;=G$206,0,1),0))</f>
        <v>#N/A</v>
      </c>
      <c r="H204" s="595" t="e">
        <f>IF(AND(H$206&lt;&gt;0,H$206&gt;0),IF(($E$197*1)&gt;=H$206,0,1),IF(AND(H$206&lt;&gt;0,H$206&lt;0),IF(($E$197*1)&lt;=H$206,0,1),0))</f>
        <v>#N/A</v>
      </c>
      <c r="I204" s="2049" t="e">
        <f>IF(AND(I$206&lt;&gt;0,I$206&gt;0),IF(($E$197*1)&gt;=I$206,0,1),IF(AND(I$206&lt;&gt;0,I$206&lt;0),IF(($E$197*1)&lt;=I$206,0,1),0))</f>
        <v>#N/A</v>
      </c>
      <c r="J204" s="2050"/>
      <c r="K204" s="595" t="e">
        <f>IF(AND(K$206&lt;&gt;0,K$206&gt;0),IF(($E$197*1)&gt;=K$206,0,1),IF(AND(K$206&lt;&gt;0,K$206&lt;0),IF(($E$197*1)&lt;=K$206,0,1),0))</f>
        <v>#N/A</v>
      </c>
      <c r="L204" s="2"/>
      <c r="M204" s="2"/>
      <c r="N204" s="2"/>
      <c r="O204" s="2"/>
      <c r="P204" s="2"/>
      <c r="Q204" s="2"/>
      <c r="R204" s="591"/>
      <c r="S204" s="591"/>
      <c r="T204" s="591"/>
      <c r="U204" s="591"/>
      <c r="V204" s="591"/>
      <c r="W204" s="591"/>
      <c r="X204" s="591"/>
      <c r="AA204" s="591"/>
      <c r="AB204" s="591"/>
      <c r="AC204" s="591"/>
      <c r="AG204" s="591"/>
      <c r="AS204" s="591"/>
    </row>
    <row r="205" spans="1:45" ht="7.5" customHeight="1" x14ac:dyDescent="0.2">
      <c r="A205" s="2"/>
      <c r="B205" s="2"/>
      <c r="C205" s="2"/>
      <c r="D205" s="2"/>
      <c r="E205" s="2"/>
      <c r="F205" s="2"/>
      <c r="G205" s="596" t="e">
        <f>IF(G206&lt;&gt;0,1,0)</f>
        <v>#N/A</v>
      </c>
      <c r="H205" s="596" t="e">
        <f>IF(H206&lt;&gt;0,1,0)</f>
        <v>#N/A</v>
      </c>
      <c r="I205" s="2194" t="e">
        <f>IF(I206&lt;&gt;0,1,0)</f>
        <v>#N/A</v>
      </c>
      <c r="J205" s="2195"/>
      <c r="K205" s="596" t="e">
        <f>IF(K206&lt;&gt;0,1,0)</f>
        <v>#N/A</v>
      </c>
      <c r="L205" s="2"/>
      <c r="M205" s="2"/>
      <c r="N205" s="2"/>
      <c r="O205" s="2"/>
      <c r="P205" s="2"/>
      <c r="Q205" s="2"/>
      <c r="R205" s="591"/>
      <c r="S205" s="591"/>
      <c r="T205" s="591"/>
      <c r="U205" s="591"/>
      <c r="V205" s="591"/>
      <c r="W205" s="591"/>
      <c r="X205" s="591"/>
      <c r="AA205" s="591"/>
      <c r="AB205" s="591"/>
      <c r="AC205" s="591"/>
      <c r="AG205" s="591"/>
      <c r="AS205" s="591"/>
    </row>
    <row r="206" spans="1:45" ht="21.95" customHeight="1" x14ac:dyDescent="0.2">
      <c r="A206" s="2"/>
      <c r="B206" s="7"/>
      <c r="C206" s="2092" t="s">
        <v>582</v>
      </c>
      <c r="D206" s="2092"/>
      <c r="E206" s="2093" t="e">
        <f>SUM(G206:K206)</f>
        <v>#N/A</v>
      </c>
      <c r="F206" s="2093"/>
      <c r="G206" s="623" t="e">
        <f>HLOOKUP(G1,STORICO!$E$109:$Y$140,VLOOKUP(CONCATENATE($M166,$I207),STORICO!$AP$111:$AQ$140,2,FALSE),FALSE)</f>
        <v>#N/A</v>
      </c>
      <c r="H206" s="623" t="e">
        <f>HLOOKUP(H1,STORICO!$E$109:$Y$140,VLOOKUP(CONCATENATE($M166,$I207),STORICO!$AP$111:$AQ$140,2,FALSE),FALSE)</f>
        <v>#N/A</v>
      </c>
      <c r="I206" s="2196" t="e">
        <f>HLOOKUP(K1,STORICO!$E$109:$Y$140,VLOOKUP(CONCATENATE($M166,$I207),STORICO!$AP$111:$AQ$140,2,FALSE),FALSE)</f>
        <v>#N/A</v>
      </c>
      <c r="J206" s="2196"/>
      <c r="K206" s="623" t="e">
        <f>HLOOKUP(N1,STORICO!$E$109:$Y$140,VLOOKUP(CONCATENATE($M166,$I207),STORICO!$AP$111:$AQ$140,2,FALSE),FALSE)</f>
        <v>#N/A</v>
      </c>
      <c r="L206" s="2"/>
      <c r="M206" s="12"/>
      <c r="N206" s="2"/>
      <c r="O206" s="2"/>
      <c r="P206" s="2"/>
      <c r="Q206" s="2"/>
      <c r="R206" s="591"/>
      <c r="S206" s="591"/>
      <c r="T206" s="591"/>
      <c r="U206" s="591"/>
      <c r="V206" s="591"/>
      <c r="W206" s="591"/>
      <c r="X206" s="591"/>
      <c r="AA206" s="591"/>
      <c r="AB206" s="591"/>
      <c r="AC206" s="591"/>
      <c r="AG206" s="591"/>
      <c r="AS206" s="591"/>
    </row>
    <row r="207" spans="1:45" ht="18.75" customHeight="1" x14ac:dyDescent="0.2">
      <c r="A207" s="2"/>
      <c r="B207" s="2"/>
      <c r="C207" s="2059" t="s">
        <v>563</v>
      </c>
      <c r="D207" s="2059"/>
      <c r="E207" s="2059"/>
      <c r="F207" s="2059"/>
      <c r="G207" s="2059"/>
      <c r="H207" s="2060"/>
      <c r="I207" s="2191"/>
      <c r="J207" s="2192"/>
      <c r="K207" s="2193"/>
      <c r="L207" s="2"/>
      <c r="M207" s="2"/>
      <c r="N207" s="2"/>
      <c r="O207" s="2"/>
      <c r="P207" s="2"/>
      <c r="Q207" s="2"/>
      <c r="R207" s="591"/>
      <c r="S207" s="591"/>
      <c r="T207" s="591"/>
      <c r="U207" s="591"/>
      <c r="V207" s="591"/>
      <c r="W207" s="591"/>
      <c r="X207" s="591"/>
      <c r="AA207" s="591"/>
      <c r="AB207" s="591"/>
      <c r="AC207" s="591"/>
      <c r="AG207" s="591"/>
      <c r="AS207" s="591"/>
    </row>
    <row r="208" spans="1:45" ht="18.75" customHeight="1" x14ac:dyDescent="0.2">
      <c r="A208" s="2"/>
      <c r="B208" s="2"/>
      <c r="C208" s="14"/>
      <c r="D208" s="14"/>
      <c r="E208" s="14"/>
      <c r="F208" s="14"/>
      <c r="G208" s="14"/>
      <c r="H208" s="14"/>
      <c r="I208" s="14"/>
      <c r="J208" s="2"/>
      <c r="K208" s="2"/>
      <c r="L208" s="2"/>
      <c r="M208" s="2"/>
      <c r="N208" s="2"/>
      <c r="O208" s="2"/>
      <c r="P208" s="2"/>
      <c r="Q208" s="2"/>
      <c r="R208" s="591"/>
      <c r="S208" s="591"/>
      <c r="T208" s="591"/>
      <c r="U208" s="591"/>
      <c r="V208" s="591"/>
      <c r="W208" s="591"/>
      <c r="X208" s="591"/>
      <c r="AA208" s="591"/>
      <c r="AB208" s="591"/>
      <c r="AC208" s="591"/>
      <c r="AG208" s="591"/>
      <c r="AS208" s="591"/>
    </row>
    <row r="209" spans="1:45" ht="18.75" customHeight="1" x14ac:dyDescent="0.2">
      <c r="A209" s="2"/>
      <c r="B209" s="2"/>
      <c r="C209" s="2"/>
      <c r="D209" s="2"/>
      <c r="E209" s="2"/>
      <c r="F209" s="2"/>
      <c r="G209" s="2"/>
      <c r="H209" s="2"/>
      <c r="I209" s="2"/>
      <c r="J209" s="2"/>
      <c r="K209" s="638" t="str">
        <f ca="1">Presentazione!$H$13</f>
        <v/>
      </c>
      <c r="L209" s="2"/>
      <c r="M209" s="2"/>
      <c r="N209" s="2"/>
      <c r="O209" s="2"/>
      <c r="P209" s="2"/>
      <c r="Q209" s="2"/>
      <c r="R209" s="591"/>
      <c r="S209" s="591"/>
      <c r="T209" s="591"/>
      <c r="U209" s="591"/>
      <c r="V209" s="591"/>
      <c r="W209" s="591"/>
      <c r="X209" s="591"/>
      <c r="AA209" s="591"/>
      <c r="AB209" s="591"/>
      <c r="AC209" s="591"/>
      <c r="AG209" s="591"/>
      <c r="AS209" s="591"/>
    </row>
    <row r="210" spans="1:45" ht="18.75" customHeight="1" x14ac:dyDescent="0.2">
      <c r="A210" s="2"/>
      <c r="B210" s="2"/>
      <c r="C210" s="2"/>
      <c r="D210" s="2"/>
      <c r="E210" s="2"/>
      <c r="F210" s="2"/>
      <c r="G210" s="2"/>
      <c r="H210" s="2"/>
      <c r="I210" s="2"/>
      <c r="J210" s="2"/>
      <c r="K210" s="639" t="str">
        <f ca="1">IF(Presentazione!$J$165=Presentazione!$K$83,CONCATENATE(Presentazione!$F$77,"   -   ","P.I./C.F ",Presentazione!$K$79),Presentazione!$I$157)</f>
        <v>Sistema parzialmente attivato. Inserisci il tuo CODICE di PROPRIETA' nel foglio Presentazione.</v>
      </c>
      <c r="L210" s="2"/>
      <c r="M210" s="2"/>
      <c r="N210" s="2"/>
      <c r="O210" s="2"/>
      <c r="P210" s="2"/>
      <c r="Q210" s="2"/>
      <c r="R210" s="591"/>
      <c r="S210" s="591"/>
      <c r="T210" s="591"/>
      <c r="U210" s="591"/>
      <c r="V210" s="591"/>
      <c r="W210" s="591"/>
      <c r="X210" s="591"/>
      <c r="AA210" s="591"/>
      <c r="AB210" s="591"/>
      <c r="AC210" s="591"/>
      <c r="AG210" s="591"/>
      <c r="AS210" s="591"/>
    </row>
    <row r="211" spans="1:45" ht="18.75" customHeight="1" x14ac:dyDescent="0.2">
      <c r="A211" s="2"/>
      <c r="B211" s="2"/>
      <c r="C211" s="2"/>
      <c r="D211" s="2"/>
      <c r="E211" s="2"/>
      <c r="F211" s="2"/>
      <c r="G211" s="2"/>
      <c r="H211" s="2"/>
      <c r="I211" s="2"/>
      <c r="J211" s="2"/>
      <c r="K211" s="2"/>
      <c r="L211" s="2"/>
      <c r="M211" s="2"/>
      <c r="N211" s="2"/>
      <c r="O211" s="2"/>
      <c r="P211" s="2"/>
      <c r="Q211" s="2"/>
      <c r="R211" s="591"/>
      <c r="S211" s="591"/>
      <c r="T211" s="591"/>
      <c r="U211" s="591"/>
      <c r="V211" s="591"/>
      <c r="W211" s="591"/>
      <c r="X211" s="591"/>
      <c r="AA211" s="591"/>
      <c r="AB211" s="591"/>
      <c r="AC211" s="591"/>
      <c r="AG211" s="591"/>
      <c r="AS211" s="591"/>
    </row>
    <row r="212" spans="1:45" ht="18.75" customHeight="1" x14ac:dyDescent="0.2">
      <c r="A212" s="2"/>
      <c r="B212" s="2"/>
      <c r="C212" s="637" t="str">
        <f>CASSA!B108</f>
        <v>www.marcopiccoli.it   -   Registro dei Corrispettivi 5.2.4 3txt - per EXCEL .xlsm</v>
      </c>
      <c r="D212" s="2"/>
      <c r="E212" s="2"/>
      <c r="F212" s="2"/>
      <c r="G212" s="2"/>
      <c r="H212" s="2"/>
      <c r="I212" s="2"/>
      <c r="J212" s="2"/>
      <c r="K212" s="2"/>
      <c r="L212" s="2"/>
      <c r="M212" s="2"/>
      <c r="N212" s="2"/>
      <c r="O212" s="2"/>
      <c r="P212" s="2"/>
      <c r="Q212" s="2"/>
      <c r="R212" s="591"/>
      <c r="S212" s="591"/>
      <c r="T212" s="591"/>
      <c r="U212" s="591"/>
      <c r="V212" s="591"/>
      <c r="W212" s="591"/>
      <c r="X212" s="591"/>
      <c r="AA212" s="591"/>
      <c r="AB212" s="591"/>
      <c r="AC212" s="591"/>
      <c r="AG212" s="591"/>
      <c r="AS212" s="591"/>
    </row>
    <row r="213" spans="1:45" ht="18.75" customHeight="1" x14ac:dyDescent="0.2">
      <c r="A213" s="2"/>
      <c r="B213" s="2"/>
      <c r="C213" s="2"/>
      <c r="D213" s="2"/>
      <c r="E213" s="2"/>
      <c r="F213" s="2"/>
      <c r="G213" s="2"/>
      <c r="H213" s="2"/>
      <c r="I213" s="2"/>
      <c r="J213" s="2"/>
      <c r="K213" s="2"/>
      <c r="L213" s="2"/>
      <c r="M213" s="2"/>
      <c r="N213" s="2"/>
      <c r="O213" s="2"/>
      <c r="P213" s="2"/>
      <c r="Q213" s="2"/>
      <c r="R213" s="591"/>
      <c r="S213" s="591"/>
      <c r="T213" s="591"/>
      <c r="U213" s="591"/>
      <c r="V213" s="591"/>
      <c r="W213" s="591"/>
      <c r="X213" s="591"/>
      <c r="AA213" s="591"/>
      <c r="AB213" s="591"/>
      <c r="AC213" s="591"/>
      <c r="AG213" s="591"/>
      <c r="AS213" s="591"/>
    </row>
    <row r="214" spans="1:45" ht="18.75" hidden="1" customHeight="1" x14ac:dyDescent="0.2">
      <c r="A214" s="2"/>
      <c r="B214" s="2"/>
      <c r="C214" s="2"/>
      <c r="D214" s="600">
        <v>12</v>
      </c>
      <c r="E214" s="2"/>
      <c r="F214" s="2"/>
      <c r="G214" s="148">
        <v>5</v>
      </c>
      <c r="H214" s="148">
        <v>6</v>
      </c>
      <c r="I214" s="148">
        <v>7</v>
      </c>
      <c r="J214" s="148">
        <v>8</v>
      </c>
      <c r="K214" s="2"/>
      <c r="L214" s="2"/>
      <c r="M214" s="2"/>
      <c r="N214" s="2"/>
      <c r="O214" s="2"/>
      <c r="P214" s="2"/>
      <c r="Q214" s="2"/>
      <c r="R214" s="591"/>
      <c r="S214" s="591"/>
      <c r="T214" s="591"/>
      <c r="U214" s="591"/>
      <c r="V214" s="591"/>
      <c r="W214" s="591"/>
      <c r="X214" s="591"/>
      <c r="AA214" s="591"/>
      <c r="AB214" s="591"/>
      <c r="AC214" s="591"/>
      <c r="AG214" s="591"/>
      <c r="AS214" s="591"/>
    </row>
    <row r="215" spans="1:45" ht="21.95" hidden="1" customHeight="1" x14ac:dyDescent="0.2">
      <c r="A215" s="2"/>
      <c r="B215" s="7"/>
      <c r="C215" s="2187" t="str">
        <f>C46</f>
        <v>LORDO</v>
      </c>
      <c r="D215" s="2187"/>
      <c r="E215" s="2188">
        <f>SUM(G215:J215)</f>
        <v>0</v>
      </c>
      <c r="F215" s="2188"/>
      <c r="G215" s="602">
        <f>VLOOKUP(G$1,IMPOSTAZIONI!$B$298:$AM$304,$D$214,FALSE)</f>
        <v>0</v>
      </c>
      <c r="H215" s="602">
        <f>VLOOKUP(H$1,IMPOSTAZIONI!$B$298:$AM$304,$D$214,FALSE)</f>
        <v>0</v>
      </c>
      <c r="I215" s="602">
        <f>VLOOKUP(K$1,IMPOSTAZIONI!$B$298:$AM$304,$D$214,FALSE)</f>
        <v>0</v>
      </c>
      <c r="J215" s="602">
        <f>VLOOKUP(N$1,IMPOSTAZIONI!$B$298:$AM$304,$D$214,FALSE)</f>
        <v>0</v>
      </c>
      <c r="K215" s="14"/>
      <c r="L215" s="2"/>
      <c r="M215" s="12"/>
      <c r="N215" s="2"/>
      <c r="O215" s="2"/>
      <c r="P215" s="2"/>
      <c r="Q215" s="2"/>
      <c r="R215" s="591"/>
      <c r="S215" s="591"/>
      <c r="T215" s="591"/>
      <c r="U215" s="591"/>
      <c r="V215" s="591"/>
      <c r="W215" s="591"/>
      <c r="X215" s="591"/>
      <c r="AA215" s="591"/>
      <c r="AB215" s="591"/>
      <c r="AC215" s="591"/>
      <c r="AG215" s="591"/>
      <c r="AS215" s="591"/>
    </row>
    <row r="216" spans="1:45" hidden="1" x14ac:dyDescent="0.2">
      <c r="A216" s="2"/>
      <c r="B216" s="7"/>
      <c r="C216" s="2189" t="str">
        <f>C47</f>
        <v>NETTO</v>
      </c>
      <c r="D216" s="2189"/>
      <c r="E216" s="2190">
        <f>SUM(G216:J216)</f>
        <v>4000</v>
      </c>
      <c r="F216" s="2190"/>
      <c r="G216" s="601">
        <f>VLOOKUP(G$1,IMPOSTAZIONI!$B$391:$AM$397,$D$214,FALSE)</f>
        <v>1000</v>
      </c>
      <c r="H216" s="601">
        <f>VLOOKUP(H$1,IMPOSTAZIONI!$B$391:$AM$397,$D$214,FALSE)</f>
        <v>1000</v>
      </c>
      <c r="I216" s="601">
        <f>VLOOKUP(K$1,IMPOSTAZIONI!$B$391:$AM$397,$D$214,FALSE)</f>
        <v>1000</v>
      </c>
      <c r="J216" s="601">
        <f>VLOOKUP(N$1,IMPOSTAZIONI!$B$391:$AM$397,$D$214,FALSE)</f>
        <v>1000</v>
      </c>
      <c r="K216" s="14"/>
      <c r="L216" s="2"/>
      <c r="M216" s="12"/>
      <c r="N216" s="2"/>
      <c r="O216" s="2"/>
      <c r="P216" s="2"/>
      <c r="Q216" s="2"/>
      <c r="R216" s="591"/>
      <c r="S216" s="591"/>
      <c r="T216" s="591"/>
      <c r="U216" s="591"/>
      <c r="V216" s="591"/>
      <c r="W216" s="591"/>
      <c r="X216" s="591"/>
      <c r="AA216" s="591"/>
      <c r="AB216" s="591"/>
      <c r="AC216" s="591"/>
      <c r="AG216" s="591"/>
      <c r="AS216" s="591"/>
    </row>
    <row r="217" spans="1:45" ht="21.95" hidden="1" customHeight="1" x14ac:dyDescent="0.2">
      <c r="A217" s="2"/>
      <c r="B217" s="7"/>
      <c r="C217" s="2185" t="str">
        <f>C48</f>
        <v>IVA</v>
      </c>
      <c r="D217" s="2185"/>
      <c r="E217" s="2186">
        <f>SUM(G217:J217)</f>
        <v>-4000</v>
      </c>
      <c r="F217" s="2186"/>
      <c r="G217" s="603">
        <f>G215-G216</f>
        <v>-1000</v>
      </c>
      <c r="H217" s="603">
        <f>H215-H216</f>
        <v>-1000</v>
      </c>
      <c r="I217" s="603">
        <f>I215-I216</f>
        <v>-1000</v>
      </c>
      <c r="J217" s="603">
        <f>J215-J216</f>
        <v>-1000</v>
      </c>
      <c r="K217" s="14"/>
      <c r="L217" s="2"/>
      <c r="M217" s="12"/>
      <c r="N217" s="2"/>
      <c r="O217" s="2"/>
      <c r="P217" s="2"/>
      <c r="Q217" s="2"/>
      <c r="R217" s="591"/>
      <c r="S217" s="591"/>
      <c r="T217" s="591"/>
      <c r="U217" s="591"/>
      <c r="V217" s="591"/>
      <c r="W217" s="591"/>
      <c r="X217" s="591"/>
      <c r="AA217" s="591"/>
      <c r="AB217" s="591"/>
      <c r="AC217" s="591"/>
      <c r="AG217" s="591"/>
      <c r="AS217" s="591"/>
    </row>
    <row r="218" spans="1:45" ht="18.75" hidden="1" customHeight="1" x14ac:dyDescent="0.2">
      <c r="A218" s="2"/>
      <c r="B218" s="2"/>
      <c r="C218" s="2"/>
      <c r="D218" s="2"/>
      <c r="E218" s="2"/>
      <c r="F218" s="2"/>
      <c r="G218" s="2"/>
      <c r="H218" s="2"/>
      <c r="I218" s="2"/>
      <c r="J218" s="2"/>
      <c r="K218" s="2"/>
      <c r="L218" s="2"/>
      <c r="M218" s="2"/>
      <c r="N218" s="2"/>
      <c r="O218" s="2"/>
      <c r="P218" s="2"/>
      <c r="Q218" s="2"/>
      <c r="R218" s="591"/>
      <c r="S218" s="591"/>
      <c r="T218" s="591"/>
      <c r="U218" s="591"/>
      <c r="V218" s="591"/>
      <c r="W218" s="591"/>
      <c r="X218" s="591"/>
      <c r="AA218" s="591"/>
      <c r="AB218" s="591"/>
      <c r="AC218" s="591"/>
      <c r="AG218" s="591"/>
      <c r="AS218" s="591"/>
    </row>
    <row r="219" spans="1:45" hidden="1" x14ac:dyDescent="0.2">
      <c r="A219" s="2"/>
      <c r="B219" s="2"/>
      <c r="C219" s="2"/>
      <c r="D219" s="2"/>
      <c r="E219" s="931" t="s">
        <v>718</v>
      </c>
      <c r="F219" s="2"/>
      <c r="G219" s="592" t="s">
        <v>175</v>
      </c>
      <c r="H219" s="2"/>
      <c r="I219" s="2"/>
      <c r="J219" s="2"/>
      <c r="K219" s="2"/>
      <c r="L219" s="2"/>
      <c r="M219" s="2"/>
      <c r="N219" s="2"/>
      <c r="O219" s="2"/>
      <c r="P219" s="2"/>
      <c r="Q219" s="2"/>
      <c r="R219" s="591"/>
      <c r="S219" s="591"/>
      <c r="T219" s="591"/>
      <c r="U219" s="591"/>
      <c r="V219" s="591"/>
      <c r="W219" s="591"/>
      <c r="X219" s="591"/>
      <c r="AA219" s="591"/>
      <c r="AB219" s="591"/>
      <c r="AC219" s="591"/>
      <c r="AG219" s="591"/>
      <c r="AS219" s="591"/>
    </row>
    <row r="220" spans="1:45" ht="14.25" hidden="1" customHeight="1" x14ac:dyDescent="0.2">
      <c r="A220" s="2"/>
      <c r="B220" s="2"/>
      <c r="C220" s="2"/>
      <c r="D220" s="2"/>
      <c r="E220" s="932" t="s">
        <v>719</v>
      </c>
      <c r="F220" s="2"/>
      <c r="G220" s="593">
        <f>STORICO!C16</f>
        <v>2024</v>
      </c>
      <c r="H220" s="2"/>
      <c r="I220" s="592" t="str">
        <f t="shared" ref="I220:I229" si="36">CONCATENATE(G$219,"   ",G220)</f>
        <v>ANNO   2024</v>
      </c>
      <c r="J220" s="2"/>
      <c r="K220" s="592" t="s">
        <v>583</v>
      </c>
      <c r="L220" s="2"/>
      <c r="M220" s="2"/>
      <c r="N220" s="2"/>
      <c r="O220" s="2"/>
      <c r="P220" s="2"/>
      <c r="Q220" s="2"/>
      <c r="R220" s="591"/>
      <c r="S220" s="591"/>
      <c r="T220" s="591"/>
      <c r="U220" s="591"/>
      <c r="V220" s="591"/>
      <c r="W220" s="591"/>
      <c r="X220" s="591"/>
      <c r="AA220" s="591"/>
      <c r="AB220" s="591"/>
      <c r="AC220" s="591"/>
      <c r="AG220" s="591"/>
      <c r="AS220" s="591"/>
    </row>
    <row r="221" spans="1:45" ht="14.25" hidden="1" customHeight="1" x14ac:dyDescent="0.2">
      <c r="A221" s="2"/>
      <c r="B221" s="2"/>
      <c r="C221" s="2"/>
      <c r="D221" s="2"/>
      <c r="E221" s="933">
        <f>IF(ISERROR(G206),MAX(G180:K180,G193:K193)/10,MAX(G180:K180,G193:K193,G206:K206)/10)</f>
        <v>0</v>
      </c>
      <c r="F221" s="2"/>
      <c r="G221" s="593">
        <f>STORICO!C27</f>
        <v>2023</v>
      </c>
      <c r="H221" s="2"/>
      <c r="I221" s="592" t="str">
        <f t="shared" si="36"/>
        <v>ANNO   2023</v>
      </c>
      <c r="J221" s="2"/>
      <c r="K221" s="592" t="s">
        <v>584</v>
      </c>
      <c r="L221" s="2"/>
      <c r="M221" s="2"/>
      <c r="N221" s="2"/>
      <c r="O221" s="2"/>
      <c r="P221" s="2"/>
      <c r="Q221" s="2"/>
      <c r="AA221" s="591"/>
      <c r="AB221" s="591"/>
      <c r="AC221" s="591"/>
      <c r="AG221" s="591"/>
      <c r="AS221" s="591"/>
    </row>
    <row r="222" spans="1:45" ht="14.25" hidden="1" customHeight="1" x14ac:dyDescent="0.2">
      <c r="A222" s="2"/>
      <c r="B222" s="2"/>
      <c r="C222" s="2"/>
      <c r="D222" s="2"/>
      <c r="E222" s="2"/>
      <c r="F222" s="2"/>
      <c r="G222" s="593">
        <f>STORICO!C33</f>
        <v>2022</v>
      </c>
      <c r="H222" s="2"/>
      <c r="I222" s="592" t="str">
        <f t="shared" si="36"/>
        <v>ANNO   2022</v>
      </c>
      <c r="J222" s="2"/>
      <c r="K222" s="592" t="s">
        <v>585</v>
      </c>
      <c r="L222" s="2"/>
      <c r="M222" s="2"/>
      <c r="N222" s="2"/>
      <c r="O222" s="2"/>
      <c r="P222" s="2"/>
      <c r="Q222" s="2"/>
      <c r="AA222" s="591"/>
      <c r="AB222" s="591"/>
      <c r="AC222" s="591"/>
      <c r="AG222" s="591"/>
      <c r="AS222" s="591"/>
    </row>
    <row r="223" spans="1:45" ht="14.25" hidden="1" customHeight="1" x14ac:dyDescent="0.2">
      <c r="A223" s="2"/>
      <c r="B223" s="2"/>
      <c r="C223" s="2"/>
      <c r="D223" s="2"/>
      <c r="E223" s="2"/>
      <c r="F223" s="2"/>
      <c r="G223" s="593">
        <f>STORICO!C39</f>
        <v>2021</v>
      </c>
      <c r="H223" s="2"/>
      <c r="I223" s="592" t="str">
        <f t="shared" si="36"/>
        <v>ANNO   2021</v>
      </c>
      <c r="J223" s="2"/>
      <c r="K223" s="592" t="s">
        <v>586</v>
      </c>
      <c r="L223" s="2"/>
      <c r="M223" s="2"/>
      <c r="N223" s="2"/>
      <c r="O223" s="2"/>
      <c r="P223" s="2"/>
      <c r="Q223" s="2"/>
      <c r="AA223" s="591"/>
      <c r="AB223" s="591"/>
      <c r="AC223" s="591"/>
      <c r="AG223" s="591"/>
      <c r="AS223" s="591"/>
    </row>
    <row r="224" spans="1:45" ht="14.25" hidden="1" customHeight="1" x14ac:dyDescent="0.2">
      <c r="A224" s="2"/>
      <c r="B224" s="2"/>
      <c r="C224" s="2"/>
      <c r="D224" s="2"/>
      <c r="E224" s="934" t="str">
        <f>C215</f>
        <v>LORDO</v>
      </c>
      <c r="F224" s="2"/>
      <c r="G224" s="593" t="str">
        <f>CONCATENATE(G220," + ",G221)</f>
        <v>2024 + 2023</v>
      </c>
      <c r="H224" s="2"/>
      <c r="I224" s="592" t="str">
        <f t="shared" si="36"/>
        <v>ANNO   2024 + 2023</v>
      </c>
      <c r="J224" s="2"/>
      <c r="K224" s="592" t="str">
        <f>CONCATENATE(K220," + ",K221)</f>
        <v>ANNO IN CORSO + ANNO PRECEDENTE 1</v>
      </c>
      <c r="L224" s="2"/>
      <c r="M224" s="2"/>
      <c r="N224" s="2"/>
      <c r="O224" s="2"/>
      <c r="P224" s="2"/>
      <c r="Q224" s="2"/>
      <c r="AA224" s="591"/>
      <c r="AB224" s="591"/>
      <c r="AC224" s="591"/>
      <c r="AG224" s="591"/>
      <c r="AS224" s="591"/>
    </row>
    <row r="225" spans="1:45" ht="14.25" hidden="1" customHeight="1" x14ac:dyDescent="0.2">
      <c r="A225" s="2"/>
      <c r="B225" s="2"/>
      <c r="C225" s="2"/>
      <c r="D225" s="2"/>
      <c r="E225" s="934" t="str">
        <f>C216</f>
        <v>NETTO</v>
      </c>
      <c r="F225" s="2"/>
      <c r="G225" s="593" t="str">
        <f>CONCATENATE(G220," + ",G221," + ",G222)</f>
        <v>2024 + 2023 + 2022</v>
      </c>
      <c r="H225" s="2"/>
      <c r="I225" s="592" t="str">
        <f t="shared" si="36"/>
        <v>ANNO   2024 + 2023 + 2022</v>
      </c>
      <c r="J225" s="2"/>
      <c r="K225" s="592" t="str">
        <f>CONCATENATE(K220," + ",K221," + 2")</f>
        <v>ANNO IN CORSO + ANNO PRECEDENTE 1 + 2</v>
      </c>
      <c r="L225" s="2"/>
      <c r="M225" s="2"/>
      <c r="N225" s="2"/>
      <c r="O225" s="2"/>
      <c r="P225" s="2"/>
      <c r="Q225" s="2"/>
      <c r="AA225" s="591"/>
      <c r="AB225" s="591"/>
      <c r="AC225" s="591"/>
      <c r="AG225" s="591"/>
      <c r="AS225" s="591"/>
    </row>
    <row r="226" spans="1:45" ht="14.25" hidden="1" customHeight="1" x14ac:dyDescent="0.2">
      <c r="A226" s="2"/>
      <c r="B226" s="2"/>
      <c r="C226" s="2"/>
      <c r="D226" s="2"/>
      <c r="E226" s="934" t="str">
        <f>C217</f>
        <v>IVA</v>
      </c>
      <c r="F226" s="2"/>
      <c r="G226" s="593" t="str">
        <f>CONCATENATE(G220," + ",G221," + ",G222," + ",G223)</f>
        <v>2024 + 2023 + 2022 + 2021</v>
      </c>
      <c r="H226" s="2"/>
      <c r="I226" s="592" t="str">
        <f t="shared" si="36"/>
        <v>ANNO   2024 + 2023 + 2022 + 2021</v>
      </c>
      <c r="J226" s="2"/>
      <c r="K226" s="592" t="str">
        <f>CONCATENATE(K220," + ",K221," + 2 + 3")</f>
        <v>ANNO IN CORSO + ANNO PRECEDENTE 1 + 2 + 3</v>
      </c>
      <c r="L226" s="2"/>
      <c r="M226" s="2"/>
      <c r="N226" s="2"/>
      <c r="O226" s="2"/>
      <c r="P226" s="2"/>
      <c r="Q226" s="2"/>
      <c r="AA226" s="591"/>
      <c r="AB226" s="591"/>
      <c r="AC226" s="591"/>
      <c r="AG226" s="591"/>
      <c r="AS226" s="591"/>
    </row>
    <row r="227" spans="1:45" ht="14.25" hidden="1" customHeight="1" x14ac:dyDescent="0.2">
      <c r="A227" s="2"/>
      <c r="B227" s="2"/>
      <c r="C227" s="2"/>
      <c r="D227" s="2"/>
      <c r="E227" s="2"/>
      <c r="F227" s="2"/>
      <c r="G227" s="593" t="str">
        <f>CONCATENATE(G221," + ",G222)</f>
        <v>2023 + 2022</v>
      </c>
      <c r="H227" s="2"/>
      <c r="I227" s="592" t="str">
        <f t="shared" si="36"/>
        <v>ANNO   2023 + 2022</v>
      </c>
      <c r="J227" s="2"/>
      <c r="K227" s="592" t="str">
        <f>CONCATENATE(K221," + 2")</f>
        <v>ANNO PRECEDENTE 1 + 2</v>
      </c>
      <c r="L227" s="2"/>
      <c r="M227" s="2"/>
      <c r="N227" s="2"/>
      <c r="O227" s="2"/>
      <c r="P227" s="2"/>
      <c r="Q227" s="2"/>
      <c r="AA227" s="591"/>
      <c r="AB227" s="591"/>
      <c r="AC227" s="591"/>
      <c r="AG227" s="591"/>
      <c r="AS227" s="591"/>
    </row>
    <row r="228" spans="1:45" ht="14.25" hidden="1" customHeight="1" x14ac:dyDescent="0.2">
      <c r="A228" s="2"/>
      <c r="B228" s="2"/>
      <c r="C228" s="2"/>
      <c r="D228" s="2"/>
      <c r="E228" s="2"/>
      <c r="F228" s="2"/>
      <c r="G228" s="593" t="str">
        <f>CONCATENATE(G221," + ",G222," + ",G223)</f>
        <v>2023 + 2022 + 2021</v>
      </c>
      <c r="H228" s="2"/>
      <c r="I228" s="592" t="str">
        <f t="shared" si="36"/>
        <v>ANNO   2023 + 2022 + 2021</v>
      </c>
      <c r="J228" s="2"/>
      <c r="K228" s="592" t="str">
        <f>CONCATENATE(K221," + 2 + 3")</f>
        <v>ANNO PRECEDENTE 1 + 2 + 3</v>
      </c>
      <c r="L228" s="2"/>
      <c r="M228" s="2"/>
      <c r="N228" s="2"/>
      <c r="O228" s="2"/>
      <c r="P228" s="2"/>
      <c r="Q228" s="2"/>
      <c r="AA228" s="591"/>
      <c r="AB228" s="591"/>
      <c r="AC228" s="591"/>
      <c r="AG228" s="591"/>
      <c r="AS228" s="591"/>
    </row>
    <row r="229" spans="1:45" ht="14.25" hidden="1" customHeight="1" x14ac:dyDescent="0.2">
      <c r="A229" s="2"/>
      <c r="B229" s="2"/>
      <c r="C229" s="2"/>
      <c r="D229" s="2"/>
      <c r="E229" s="2"/>
      <c r="F229" s="2"/>
      <c r="G229" s="593" t="str">
        <f>CONCATENATE(G222," + ",G223)</f>
        <v>2022 + 2021</v>
      </c>
      <c r="H229" s="2"/>
      <c r="I229" s="592" t="str">
        <f t="shared" si="36"/>
        <v>ANNO   2022 + 2021</v>
      </c>
      <c r="J229" s="2"/>
      <c r="K229" s="592" t="str">
        <f>CONCATENATE(K222," + 3")</f>
        <v>ANNO PRECEDENTE 2 + 3</v>
      </c>
      <c r="L229" s="2"/>
      <c r="M229" s="2"/>
      <c r="N229" s="2"/>
      <c r="O229" s="2"/>
      <c r="P229" s="2"/>
      <c r="Q229" s="2"/>
      <c r="AA229" s="591"/>
      <c r="AB229" s="591"/>
      <c r="AC229" s="591"/>
      <c r="AG229" s="591"/>
      <c r="AS229" s="591"/>
    </row>
    <row r="230" spans="1:45" hidden="1" x14ac:dyDescent="0.2">
      <c r="A230" s="2"/>
      <c r="B230" s="2"/>
      <c r="C230" s="2"/>
      <c r="D230" s="2"/>
      <c r="E230" s="2"/>
      <c r="F230" s="2"/>
      <c r="G230" s="2"/>
      <c r="H230" s="2"/>
      <c r="I230" s="2"/>
      <c r="J230" s="2"/>
      <c r="K230" s="2"/>
      <c r="L230" s="2"/>
      <c r="M230" s="2"/>
      <c r="N230" s="2"/>
      <c r="O230" s="2"/>
      <c r="P230" s="2"/>
      <c r="Q230" s="2"/>
      <c r="AA230" s="591"/>
      <c r="AB230" s="591"/>
      <c r="AC230" s="591"/>
      <c r="AG230" s="591"/>
      <c r="AS230" s="591"/>
    </row>
    <row r="231" spans="1:45" x14ac:dyDescent="0.2">
      <c r="A231" s="2"/>
      <c r="B231" s="2"/>
      <c r="C231" s="2"/>
      <c r="D231" s="2"/>
      <c r="E231" s="2"/>
      <c r="F231" s="2"/>
      <c r="G231" s="1433" t="s">
        <v>572</v>
      </c>
      <c r="H231" s="1434" t="s">
        <v>869</v>
      </c>
      <c r="I231" s="2"/>
      <c r="J231" s="2"/>
      <c r="K231" s="2"/>
      <c r="L231" s="1433" t="s">
        <v>572</v>
      </c>
      <c r="M231" s="1434" t="s">
        <v>870</v>
      </c>
      <c r="N231" s="2"/>
      <c r="O231" s="2"/>
      <c r="P231" s="2"/>
      <c r="Q231" s="2"/>
      <c r="AA231" s="591"/>
      <c r="AB231" s="591"/>
      <c r="AC231" s="591"/>
      <c r="AG231" s="591"/>
      <c r="AS231" s="591"/>
    </row>
  </sheetData>
  <sheetProtection algorithmName="SHA-512" hashValue="GC14HCf5u/p7BFMVfvYbE4nPeU/GnycIrUE1xC0Se8xiFMZ94MO5mB5r+sDVnb3LJQ1S0/pUA+VMNID+NFO30g==" saltValue="0VWVT9Pi26BTYZtyh3qdBw==" spinCount="100000" sheet="1" objects="1" scenarios="1" selectLockedCells="1"/>
  <mergeCells count="242">
    <mergeCell ref="C3:D3"/>
    <mergeCell ref="E3:G3"/>
    <mergeCell ref="AN6:AQ6"/>
    <mergeCell ref="C2:I2"/>
    <mergeCell ref="J2:P2"/>
    <mergeCell ref="L4:M5"/>
    <mergeCell ref="O4:P5"/>
    <mergeCell ref="I4:J5"/>
    <mergeCell ref="M3:P3"/>
    <mergeCell ref="H3:L3"/>
    <mergeCell ref="I205:J205"/>
    <mergeCell ref="I200:J200"/>
    <mergeCell ref="I201:J201"/>
    <mergeCell ref="I199:J199"/>
    <mergeCell ref="L44:M44"/>
    <mergeCell ref="O56:P56"/>
    <mergeCell ref="O57:P57"/>
    <mergeCell ref="G50:M50"/>
    <mergeCell ref="L51:M51"/>
    <mergeCell ref="I44:J44"/>
    <mergeCell ref="L52:M52"/>
    <mergeCell ref="I55:J55"/>
    <mergeCell ref="L53:M54"/>
    <mergeCell ref="I51:J51"/>
    <mergeCell ref="I121:J121"/>
    <mergeCell ref="I184:J184"/>
    <mergeCell ref="I185:J185"/>
    <mergeCell ref="I186:J186"/>
    <mergeCell ref="I187:J187"/>
    <mergeCell ref="I180:J180"/>
    <mergeCell ref="I181:J181"/>
    <mergeCell ref="I197:J197"/>
    <mergeCell ref="I198:J198"/>
    <mergeCell ref="I190:J190"/>
    <mergeCell ref="I191:J191"/>
    <mergeCell ref="I192:J192"/>
    <mergeCell ref="I193:J193"/>
    <mergeCell ref="I183:J183"/>
    <mergeCell ref="I176:J176"/>
    <mergeCell ref="I177:J177"/>
    <mergeCell ref="I178:J178"/>
    <mergeCell ref="I179:J179"/>
    <mergeCell ref="I196:J196"/>
    <mergeCell ref="I188:J188"/>
    <mergeCell ref="I189:J189"/>
    <mergeCell ref="I195:J195"/>
    <mergeCell ref="I194:J194"/>
    <mergeCell ref="K158:L158"/>
    <mergeCell ref="K157:L157"/>
    <mergeCell ref="I169:J169"/>
    <mergeCell ref="K160:L160"/>
    <mergeCell ref="I167:J167"/>
    <mergeCell ref="I168:J168"/>
    <mergeCell ref="K159:L159"/>
    <mergeCell ref="I166:J166"/>
    <mergeCell ref="I114:J114"/>
    <mergeCell ref="I118:J118"/>
    <mergeCell ref="I117:J117"/>
    <mergeCell ref="I116:J116"/>
    <mergeCell ref="I115:J115"/>
    <mergeCell ref="K156:L156"/>
    <mergeCell ref="K146:L146"/>
    <mergeCell ref="K145:L145"/>
    <mergeCell ref="K149:L149"/>
    <mergeCell ref="K147:L147"/>
    <mergeCell ref="K148:L148"/>
    <mergeCell ref="I122:J122"/>
    <mergeCell ref="I119:J119"/>
    <mergeCell ref="I120:J120"/>
    <mergeCell ref="C126:M126"/>
    <mergeCell ref="M168:N168"/>
    <mergeCell ref="C217:D217"/>
    <mergeCell ref="E217:F217"/>
    <mergeCell ref="C215:D215"/>
    <mergeCell ref="E215:F215"/>
    <mergeCell ref="C216:D216"/>
    <mergeCell ref="E216:F216"/>
    <mergeCell ref="I170:J170"/>
    <mergeCell ref="I171:J171"/>
    <mergeCell ref="C193:D193"/>
    <mergeCell ref="E193:F193"/>
    <mergeCell ref="C184:D185"/>
    <mergeCell ref="E184:E185"/>
    <mergeCell ref="C207:H207"/>
    <mergeCell ref="C197:D198"/>
    <mergeCell ref="E197:E198"/>
    <mergeCell ref="C196:D196"/>
    <mergeCell ref="C195:H195"/>
    <mergeCell ref="C206:D206"/>
    <mergeCell ref="E206:F206"/>
    <mergeCell ref="I206:J206"/>
    <mergeCell ref="I207:K207"/>
    <mergeCell ref="I202:J202"/>
    <mergeCell ref="I203:J203"/>
    <mergeCell ref="I204:J204"/>
    <mergeCell ref="O98:P98"/>
    <mergeCell ref="O97:P97"/>
    <mergeCell ref="O101:P101"/>
    <mergeCell ref="P58:Q58"/>
    <mergeCell ref="O104:P104"/>
    <mergeCell ref="O102:P102"/>
    <mergeCell ref="O103:P103"/>
    <mergeCell ref="E22:F22"/>
    <mergeCell ref="E23:F23"/>
    <mergeCell ref="E29:F29"/>
    <mergeCell ref="E33:F33"/>
    <mergeCell ref="E30:F30"/>
    <mergeCell ref="E32:F32"/>
    <mergeCell ref="E27:F27"/>
    <mergeCell ref="C100:F100"/>
    <mergeCell ref="C104:F104"/>
    <mergeCell ref="C97:F97"/>
    <mergeCell ref="C98:F98"/>
    <mergeCell ref="C56:D56"/>
    <mergeCell ref="C58:F58"/>
    <mergeCell ref="I76:J76"/>
    <mergeCell ref="I77:J77"/>
    <mergeCell ref="I79:J79"/>
    <mergeCell ref="I81:J81"/>
    <mergeCell ref="E13:F13"/>
    <mergeCell ref="E17:F17"/>
    <mergeCell ref="E15:F15"/>
    <mergeCell ref="E16:F16"/>
    <mergeCell ref="C4:D5"/>
    <mergeCell ref="C6:D6"/>
    <mergeCell ref="C7:D7"/>
    <mergeCell ref="E11:F11"/>
    <mergeCell ref="E8:F8"/>
    <mergeCell ref="E4:F5"/>
    <mergeCell ref="E6:F6"/>
    <mergeCell ref="E10:F10"/>
    <mergeCell ref="E9:F9"/>
    <mergeCell ref="E7:F7"/>
    <mergeCell ref="E12:F12"/>
    <mergeCell ref="E14:F14"/>
    <mergeCell ref="E21:F21"/>
    <mergeCell ref="E24:F24"/>
    <mergeCell ref="E18:F18"/>
    <mergeCell ref="E36:F36"/>
    <mergeCell ref="E19:F19"/>
    <mergeCell ref="E31:F31"/>
    <mergeCell ref="E35:F35"/>
    <mergeCell ref="E37:F37"/>
    <mergeCell ref="E25:F25"/>
    <mergeCell ref="E26:F26"/>
    <mergeCell ref="E20:F20"/>
    <mergeCell ref="E28:F28"/>
    <mergeCell ref="E34:F34"/>
    <mergeCell ref="C46:D46"/>
    <mergeCell ref="E46:F46"/>
    <mergeCell ref="C47:D47"/>
    <mergeCell ref="E38:F38"/>
    <mergeCell ref="E39:F39"/>
    <mergeCell ref="E47:F47"/>
    <mergeCell ref="C44:F44"/>
    <mergeCell ref="C45:F45"/>
    <mergeCell ref="C39:D39"/>
    <mergeCell ref="C43:D43"/>
    <mergeCell ref="E43:F43"/>
    <mergeCell ref="C48:D48"/>
    <mergeCell ref="H53:H54"/>
    <mergeCell ref="G53:G54"/>
    <mergeCell ref="O96:P96"/>
    <mergeCell ref="O93:P93"/>
    <mergeCell ref="E48:F48"/>
    <mergeCell ref="C52:E52"/>
    <mergeCell ref="C53:E53"/>
    <mergeCell ref="C54:E54"/>
    <mergeCell ref="C91:P91"/>
    <mergeCell ref="C94:F94"/>
    <mergeCell ref="C93:D93"/>
    <mergeCell ref="E93:F93"/>
    <mergeCell ref="C95:F95"/>
    <mergeCell ref="C96:D96"/>
    <mergeCell ref="E96:F96"/>
    <mergeCell ref="C50:E50"/>
    <mergeCell ref="C51:E51"/>
    <mergeCell ref="C57:F57"/>
    <mergeCell ref="I53:J54"/>
    <mergeCell ref="L55:M55"/>
    <mergeCell ref="I56:J56"/>
    <mergeCell ref="C59:E59"/>
    <mergeCell ref="C55:E55"/>
    <mergeCell ref="L109:M109"/>
    <mergeCell ref="C103:F103"/>
    <mergeCell ref="C102:F102"/>
    <mergeCell ref="C101:F101"/>
    <mergeCell ref="K144:L144"/>
    <mergeCell ref="E171:E172"/>
    <mergeCell ref="C183:D183"/>
    <mergeCell ref="C182:F182"/>
    <mergeCell ref="C171:D172"/>
    <mergeCell ref="M166:N166"/>
    <mergeCell ref="B163:D163"/>
    <mergeCell ref="C169:F169"/>
    <mergeCell ref="I172:J172"/>
    <mergeCell ref="I173:J173"/>
    <mergeCell ref="I174:J174"/>
    <mergeCell ref="I175:J175"/>
    <mergeCell ref="I182:J182"/>
    <mergeCell ref="B162:D162"/>
    <mergeCell ref="C180:D180"/>
    <mergeCell ref="E180:F180"/>
    <mergeCell ref="C167:D167"/>
    <mergeCell ref="E167:F167"/>
    <mergeCell ref="C168:F168"/>
    <mergeCell ref="C170:D170"/>
    <mergeCell ref="AS7:AW7"/>
    <mergeCell ref="AB7:AE7"/>
    <mergeCell ref="AG7:AK7"/>
    <mergeCell ref="O44:P44"/>
    <mergeCell ref="I71:J71"/>
    <mergeCell ref="I74:K74"/>
    <mergeCell ref="I73:J73"/>
    <mergeCell ref="I70:J70"/>
    <mergeCell ref="L56:M56"/>
    <mergeCell ref="K53:K54"/>
    <mergeCell ref="T65:T66"/>
    <mergeCell ref="L77:M77"/>
    <mergeCell ref="L69:M69"/>
    <mergeCell ref="L78:M78"/>
    <mergeCell ref="L70:M70"/>
    <mergeCell ref="L71:M71"/>
    <mergeCell ref="L72:M72"/>
    <mergeCell ref="L68:M68"/>
    <mergeCell ref="I67:J67"/>
    <mergeCell ref="I52:J52"/>
    <mergeCell ref="I72:J72"/>
    <mergeCell ref="I68:J68"/>
    <mergeCell ref="I69:J69"/>
    <mergeCell ref="I78:J78"/>
    <mergeCell ref="I82:J82"/>
    <mergeCell ref="I83:J83"/>
    <mergeCell ref="I88:J88"/>
    <mergeCell ref="L108:M108"/>
    <mergeCell ref="I85:J85"/>
    <mergeCell ref="I86:J86"/>
    <mergeCell ref="I87:J87"/>
    <mergeCell ref="I89:J89"/>
    <mergeCell ref="I84:J84"/>
    <mergeCell ref="L87:M87"/>
    <mergeCell ref="L86:M86"/>
  </mergeCells>
  <phoneticPr fontId="24" type="noConversion"/>
  <conditionalFormatting sqref="C57 G57">
    <cfRule type="expression" dxfId="4497" priority="1" stopIfTrue="1">
      <formula>C58=0</formula>
    </cfRule>
  </conditionalFormatting>
  <conditionalFormatting sqref="F121:F122">
    <cfRule type="expression" dxfId="4496" priority="2" stopIfTrue="1">
      <formula>SUM($G121:$I121)=0</formula>
    </cfRule>
  </conditionalFormatting>
  <conditionalFormatting sqref="G184:H192 K197:K205 K184:K192 K171:K179 G171:H179 G197:H205">
    <cfRule type="cellIs" dxfId="4495" priority="3" stopIfTrue="1" operator="equal">
      <formula>0</formula>
    </cfRule>
    <cfRule type="expression" dxfId="4494" priority="4" stopIfTrue="1">
      <formula>AND(G171=1,G170=0)</formula>
    </cfRule>
  </conditionalFormatting>
  <conditionalFormatting sqref="I171:J179 I184:J192 I197:J205">
    <cfRule type="cellIs" dxfId="4493" priority="5" stopIfTrue="1" operator="equal">
      <formula>0</formula>
    </cfRule>
    <cfRule type="expression" dxfId="4492" priority="6" stopIfTrue="1">
      <formula>AND($I171=1,$I170=0)</formula>
    </cfRule>
  </conditionalFormatting>
  <conditionalFormatting sqref="I93">
    <cfRule type="expression" dxfId="4491" priority="7" stopIfTrue="1">
      <formula>AND(I$155="X",I$93&lt;&gt;"")</formula>
    </cfRule>
  </conditionalFormatting>
  <conditionalFormatting sqref="I97">
    <cfRule type="expression" dxfId="4490" priority="8" stopIfTrue="1">
      <formula>AND(I$152=0,I$97&lt;&gt;0)</formula>
    </cfRule>
    <cfRule type="expression" dxfId="4489" priority="9" stopIfTrue="1">
      <formula>I$152=0</formula>
    </cfRule>
  </conditionalFormatting>
  <conditionalFormatting sqref="G98:I98">
    <cfRule type="expression" dxfId="4488" priority="10" stopIfTrue="1">
      <formula>AND(G$152=0,G$98&lt;&gt;0)</formula>
    </cfRule>
    <cfRule type="expression" dxfId="4487" priority="11" stopIfTrue="1">
      <formula>G$152=0</formula>
    </cfRule>
  </conditionalFormatting>
  <conditionalFormatting sqref="J93">
    <cfRule type="expression" dxfId="4486" priority="12" stopIfTrue="1">
      <formula>AND(I$155="X",J$93&lt;&gt;"")</formula>
    </cfRule>
  </conditionalFormatting>
  <conditionalFormatting sqref="J97">
    <cfRule type="expression" dxfId="4485" priority="13" stopIfTrue="1">
      <formula>AND(I$152=0,J$97&lt;&gt;0)</formula>
    </cfRule>
    <cfRule type="expression" dxfId="4484" priority="14" stopIfTrue="1">
      <formula>I$152=0</formula>
    </cfRule>
  </conditionalFormatting>
  <conditionalFormatting sqref="J98">
    <cfRule type="expression" dxfId="4483" priority="15" stopIfTrue="1">
      <formula>AND(I$152=0,J$98&lt;&gt;0)</formula>
    </cfRule>
    <cfRule type="expression" dxfId="4482" priority="16" stopIfTrue="1">
      <formula>I$152=0</formula>
    </cfRule>
  </conditionalFormatting>
  <conditionalFormatting sqref="G101:I101">
    <cfRule type="expression" dxfId="4481" priority="17" stopIfTrue="1">
      <formula>AND(G$152=0,G$101&lt;&gt;0)</formula>
    </cfRule>
    <cfRule type="expression" dxfId="4480" priority="18" stopIfTrue="1">
      <formula>AND($C101="ERROR",G101&gt;0)</formula>
    </cfRule>
    <cfRule type="expression" dxfId="4479" priority="19" stopIfTrue="1">
      <formula>G$152=0</formula>
    </cfRule>
  </conditionalFormatting>
  <conditionalFormatting sqref="G102:I102">
    <cfRule type="expression" dxfId="4478" priority="20" stopIfTrue="1">
      <formula>AND(G$152=0,G$102&lt;&gt;0)</formula>
    </cfRule>
    <cfRule type="expression" dxfId="4477" priority="21" stopIfTrue="1">
      <formula>AND($C102="ERROR",G102&gt;0)</formula>
    </cfRule>
    <cfRule type="expression" dxfId="4476" priority="22" stopIfTrue="1">
      <formula>G$152=0</formula>
    </cfRule>
  </conditionalFormatting>
  <conditionalFormatting sqref="G103:I103">
    <cfRule type="expression" dxfId="4475" priority="23" stopIfTrue="1">
      <formula>AND(G$152=0,G$103&lt;&gt;0)</formula>
    </cfRule>
    <cfRule type="expression" dxfId="4474" priority="24" stopIfTrue="1">
      <formula>AND($C103="ERROR",G103&gt;0)</formula>
    </cfRule>
    <cfRule type="expression" dxfId="4473" priority="25" stopIfTrue="1">
      <formula>G$152=0</formula>
    </cfRule>
  </conditionalFormatting>
  <conditionalFormatting sqref="G104:I104">
    <cfRule type="expression" dxfId="4472" priority="26" stopIfTrue="1">
      <formula>AND(G$152=0,G$104&lt;&gt;0)</formula>
    </cfRule>
    <cfRule type="expression" dxfId="4471" priority="27" stopIfTrue="1">
      <formula>AND($C104="ERROR",G104&gt;0)</formula>
    </cfRule>
    <cfRule type="expression" dxfId="4470" priority="28" stopIfTrue="1">
      <formula>G$152=0</formula>
    </cfRule>
  </conditionalFormatting>
  <conditionalFormatting sqref="J101">
    <cfRule type="expression" dxfId="4469" priority="29" stopIfTrue="1">
      <formula>AND(I$152=0,J$101&lt;&gt;0)</formula>
    </cfRule>
    <cfRule type="expression" dxfId="4468" priority="30" stopIfTrue="1">
      <formula>AND($C101="ERROR",J101&gt;0)</formula>
    </cfRule>
    <cfRule type="expression" dxfId="4467" priority="31" stopIfTrue="1">
      <formula>I$152=0</formula>
    </cfRule>
  </conditionalFormatting>
  <conditionalFormatting sqref="J102">
    <cfRule type="expression" dxfId="4466" priority="32" stopIfTrue="1">
      <formula>AND(I$152=0,J$102&lt;&gt;0)</formula>
    </cfRule>
    <cfRule type="expression" dxfId="4465" priority="33" stopIfTrue="1">
      <formula>AND($C102="ERROR",J102&gt;0)</formula>
    </cfRule>
    <cfRule type="expression" dxfId="4464" priority="34" stopIfTrue="1">
      <formula>I$152=0</formula>
    </cfRule>
  </conditionalFormatting>
  <conditionalFormatting sqref="J103">
    <cfRule type="expression" dxfId="4463" priority="35" stopIfTrue="1">
      <formula>AND(I$152=0,J$103&lt;&gt;0)</formula>
    </cfRule>
    <cfRule type="expression" dxfId="4462" priority="36" stopIfTrue="1">
      <formula>AND($C103="ERROR",J103&gt;0)</formula>
    </cfRule>
    <cfRule type="expression" dxfId="4461" priority="37" stopIfTrue="1">
      <formula>I$152=0</formula>
    </cfRule>
  </conditionalFormatting>
  <conditionalFormatting sqref="J104">
    <cfRule type="expression" dxfId="4460" priority="38" stopIfTrue="1">
      <formula>AND(I$152=0,J$104&lt;&gt;0)</formula>
    </cfRule>
    <cfRule type="expression" dxfId="4459" priority="39" stopIfTrue="1">
      <formula>AND($C104="ERROR",J104&gt;0)</formula>
    </cfRule>
    <cfRule type="expression" dxfId="4458" priority="40" stopIfTrue="1">
      <formula>I$152=0</formula>
    </cfRule>
  </conditionalFormatting>
  <conditionalFormatting sqref="O101:P104">
    <cfRule type="expression" dxfId="4457" priority="41" stopIfTrue="1">
      <formula>SUM($G$152:$J$152)=0</formula>
    </cfRule>
    <cfRule type="expression" dxfId="4456" priority="42" stopIfTrue="1">
      <formula>$B101=""</formula>
    </cfRule>
  </conditionalFormatting>
  <conditionalFormatting sqref="E8:F38">
    <cfRule type="expression" dxfId="4455" priority="43" stopIfTrue="1">
      <formula>$AA8=$Y$6</formula>
    </cfRule>
    <cfRule type="expression" dxfId="4454" priority="44" stopIfTrue="1">
      <formula>AND($AA8=0,$E8=0)</formula>
    </cfRule>
    <cfRule type="expression" dxfId="4453" priority="45" stopIfTrue="1">
      <formula>$AA8=0</formula>
    </cfRule>
  </conditionalFormatting>
  <conditionalFormatting sqref="I6 L6 O6">
    <cfRule type="expression" dxfId="4452" priority="46" stopIfTrue="1">
      <formula>I6=""</formula>
    </cfRule>
    <cfRule type="expression" dxfId="4451" priority="47" stopIfTrue="1">
      <formula>OR(I4=0,I4=$K$130)</formula>
    </cfRule>
    <cfRule type="expression" dxfId="4450" priority="48" stopIfTrue="1">
      <formula>I4&lt;&gt;$K$130</formula>
    </cfRule>
  </conditionalFormatting>
  <conditionalFormatting sqref="J6 M6 P6">
    <cfRule type="expression" dxfId="4449" priority="49" stopIfTrue="1">
      <formula>J6=""</formula>
    </cfRule>
    <cfRule type="expression" dxfId="4448" priority="50" stopIfTrue="1">
      <formula>OR(I4=0,I4=$K$130)</formula>
    </cfRule>
    <cfRule type="expression" dxfId="4447" priority="51" stopIfTrue="1">
      <formula>I4&lt;&gt;$K$130</formula>
    </cfRule>
  </conditionalFormatting>
  <conditionalFormatting sqref="I53">
    <cfRule type="expression" dxfId="4446" priority="52" stopIfTrue="1">
      <formula>ISERROR($G$155)</formula>
    </cfRule>
    <cfRule type="expression" dxfId="4445" priority="53" stopIfTrue="1">
      <formula>ISERROR($I53)</formula>
    </cfRule>
  </conditionalFormatting>
  <conditionalFormatting sqref="G39:H39">
    <cfRule type="expression" dxfId="4444" priority="54" stopIfTrue="1">
      <formula>ISERROR($G$155)</formula>
    </cfRule>
    <cfRule type="expression" dxfId="4443" priority="55" stopIfTrue="1">
      <formula>OR($I$163=0,G$4="")</formula>
    </cfRule>
    <cfRule type="expression" dxfId="4442" priority="56" stopIfTrue="1">
      <formula>OR(G$4="",ISERROR(G$155))</formula>
    </cfRule>
  </conditionalFormatting>
  <conditionalFormatting sqref="G97:H97">
    <cfRule type="expression" dxfId="4441" priority="57" stopIfTrue="1">
      <formula>AND(G$152=0,G$97&lt;&gt;0)</formula>
    </cfRule>
    <cfRule type="expression" dxfId="4440" priority="58" stopIfTrue="1">
      <formula>G$152=0</formula>
    </cfRule>
    <cfRule type="expression" dxfId="4439" priority="59" stopIfTrue="1">
      <formula>AND(G$96&lt;&gt;0,G$97="")</formula>
    </cfRule>
  </conditionalFormatting>
  <conditionalFormatting sqref="C101:F104">
    <cfRule type="cellIs" dxfId="4438" priority="60" stopIfTrue="1" operator="equal">
      <formula>"ERROR"</formula>
    </cfRule>
    <cfRule type="expression" dxfId="4437" priority="61" stopIfTrue="1">
      <formula>ISBLANK($B101)</formula>
    </cfRule>
    <cfRule type="expression" dxfId="4436" priority="62" stopIfTrue="1">
      <formula>SUM($G$152:$J$152)=0</formula>
    </cfRule>
  </conditionalFormatting>
  <conditionalFormatting sqref="K73">
    <cfRule type="expression" dxfId="4435" priority="63" stopIfTrue="1">
      <formula>ISERROR(K73)</formula>
    </cfRule>
    <cfRule type="expression" dxfId="4434" priority="64" stopIfTrue="1">
      <formula>I73=0</formula>
    </cfRule>
    <cfRule type="expression" dxfId="4433" priority="65" stopIfTrue="1">
      <formula>$C$61=0</formula>
    </cfRule>
  </conditionalFormatting>
  <conditionalFormatting sqref="G70:G71">
    <cfRule type="expression" dxfId="4432" priority="66" stopIfTrue="1">
      <formula>$C$61=0</formula>
    </cfRule>
    <cfRule type="expression" dxfId="4431" priority="67" stopIfTrue="1">
      <formula>SUM($G$69:$G$72)=0</formula>
    </cfRule>
    <cfRule type="expression" dxfId="4430" priority="68" stopIfTrue="1">
      <formula>AND(G70&lt;&gt;0,ISERROR(H70))</formula>
    </cfRule>
  </conditionalFormatting>
  <conditionalFormatting sqref="G72">
    <cfRule type="expression" dxfId="4429" priority="69" stopIfTrue="1">
      <formula>$C$61=0</formula>
    </cfRule>
    <cfRule type="expression" dxfId="4428" priority="70" stopIfTrue="1">
      <formula>SUM($G$69:$G$72)=0</formula>
    </cfRule>
    <cfRule type="expression" dxfId="4427" priority="71" stopIfTrue="1">
      <formula>AND(G72&lt;&gt;0,ISERROR(H72))</formula>
    </cfRule>
  </conditionalFormatting>
  <conditionalFormatting sqref="G69">
    <cfRule type="expression" dxfId="4426" priority="72" stopIfTrue="1">
      <formula>$C$61=0</formula>
    </cfRule>
    <cfRule type="expression" dxfId="4425" priority="73" stopIfTrue="1">
      <formula>SUM($G$69:$G$72)=0</formula>
    </cfRule>
    <cfRule type="expression" dxfId="4424" priority="74" stopIfTrue="1">
      <formula>AND(G69&lt;&gt;0,ISERROR(H69))</formula>
    </cfRule>
  </conditionalFormatting>
  <conditionalFormatting sqref="I74">
    <cfRule type="expression" dxfId="4423" priority="75" stopIfTrue="1">
      <formula>$C$61=0</formula>
    </cfRule>
    <cfRule type="expression" dxfId="4422" priority="76" stopIfTrue="1">
      <formula>I73=0</formula>
    </cfRule>
  </conditionalFormatting>
  <conditionalFormatting sqref="G89:K89">
    <cfRule type="cellIs" dxfId="4421" priority="77" stopIfTrue="1" operator="equal">
      <formula>0</formula>
    </cfRule>
    <cfRule type="expression" dxfId="4420" priority="78" stopIfTrue="1">
      <formula>G$88=0</formula>
    </cfRule>
  </conditionalFormatting>
  <conditionalFormatting sqref="I77:J78">
    <cfRule type="expression" dxfId="4419" priority="79" stopIfTrue="1">
      <formula>$C$61=0</formula>
    </cfRule>
    <cfRule type="expression" dxfId="4418" priority="80" stopIfTrue="1">
      <formula>ISERROR($I77)</formula>
    </cfRule>
    <cfRule type="cellIs" dxfId="4417" priority="81" stopIfTrue="1" operator="equal">
      <formula>0</formula>
    </cfRule>
  </conditionalFormatting>
  <conditionalFormatting sqref="I79:J79">
    <cfRule type="expression" dxfId="4416" priority="82" stopIfTrue="1">
      <formula>ISERROR($I79)</formula>
    </cfRule>
    <cfRule type="expression" dxfId="4415" priority="83" stopIfTrue="1">
      <formula>$C$61=0</formula>
    </cfRule>
    <cfRule type="cellIs" dxfId="4414" priority="84" stopIfTrue="1" operator="equal">
      <formula>0</formula>
    </cfRule>
  </conditionalFormatting>
  <conditionalFormatting sqref="L77:M78">
    <cfRule type="expression" dxfId="4413" priority="85" stopIfTrue="1">
      <formula>ISERROR($L77)</formula>
    </cfRule>
    <cfRule type="expression" dxfId="4412" priority="86" stopIfTrue="1">
      <formula>$C$61=0</formula>
    </cfRule>
  </conditionalFormatting>
  <conditionalFormatting sqref="G93:H93">
    <cfRule type="expression" dxfId="4411" priority="87" stopIfTrue="1">
      <formula>AND(G$155="X",G$93&lt;&gt;"")</formula>
    </cfRule>
  </conditionalFormatting>
  <conditionalFormatting sqref="G81:K81">
    <cfRule type="expression" dxfId="4410" priority="88" stopIfTrue="1">
      <formula>$C$61=0</formula>
    </cfRule>
    <cfRule type="expression" dxfId="4409" priority="89" stopIfTrue="1">
      <formula>G$89&lt;&gt;0</formula>
    </cfRule>
  </conditionalFormatting>
  <conditionalFormatting sqref="I88:J88">
    <cfRule type="expression" dxfId="4408" priority="90" stopIfTrue="1">
      <formula>ISERROR($I88)</formula>
    </cfRule>
    <cfRule type="cellIs" dxfId="4407" priority="91" stopIfTrue="1" operator="equal">
      <formula>0</formula>
    </cfRule>
    <cfRule type="expression" dxfId="4406" priority="92" stopIfTrue="1">
      <formula>$C$61=0</formula>
    </cfRule>
  </conditionalFormatting>
  <conditionalFormatting sqref="H69:H72">
    <cfRule type="expression" dxfId="4405" priority="93" stopIfTrue="1">
      <formula>ISERROR(H69)</formula>
    </cfRule>
    <cfRule type="expression" dxfId="4404" priority="94" stopIfTrue="1">
      <formula>$C$61=0</formula>
    </cfRule>
    <cfRule type="expression" dxfId="4403" priority="95" stopIfTrue="1">
      <formula>$H69=$E$163</formula>
    </cfRule>
  </conditionalFormatting>
  <conditionalFormatting sqref="G76:H76 K76">
    <cfRule type="expression" dxfId="4402" priority="96" stopIfTrue="1">
      <formula>ISERROR(G76)</formula>
    </cfRule>
    <cfRule type="expression" dxfId="4401" priority="97" stopIfTrue="1">
      <formula>$C$61=0</formula>
    </cfRule>
    <cfRule type="expression" dxfId="4400" priority="98" stopIfTrue="1">
      <formula>G$76=$E$163</formula>
    </cfRule>
  </conditionalFormatting>
  <conditionalFormatting sqref="I76:J76">
    <cfRule type="expression" dxfId="4399" priority="99" stopIfTrue="1">
      <formula>ISERROR($I76)</formula>
    </cfRule>
    <cfRule type="expression" dxfId="4398" priority="100" stopIfTrue="1">
      <formula>$C$61=0</formula>
    </cfRule>
    <cfRule type="expression" dxfId="4397" priority="101" stopIfTrue="1">
      <formula>$I76=$E$163</formula>
    </cfRule>
  </conditionalFormatting>
  <conditionalFormatting sqref="K69:K72">
    <cfRule type="expression" dxfId="4396" priority="102" stopIfTrue="1">
      <formula>OR(ISERROR(H69),ISERROR(K69))</formula>
    </cfRule>
    <cfRule type="expression" dxfId="4395" priority="103" stopIfTrue="1">
      <formula>AND($I69=0,$C$61&lt;&gt;0,$G69=0)</formula>
    </cfRule>
    <cfRule type="expression" dxfId="4394" priority="104" stopIfTrue="1">
      <formula>$C$61=0</formula>
    </cfRule>
  </conditionalFormatting>
  <conditionalFormatting sqref="L93">
    <cfRule type="expression" dxfId="4393" priority="105" stopIfTrue="1">
      <formula>AND(J$155="X",L$93&lt;&gt;"")</formula>
    </cfRule>
  </conditionalFormatting>
  <conditionalFormatting sqref="L97">
    <cfRule type="expression" dxfId="4392" priority="106" stopIfTrue="1">
      <formula>AND(J$152=0,L$97&lt;&gt;0)</formula>
    </cfRule>
    <cfRule type="expression" dxfId="4391" priority="107" stopIfTrue="1">
      <formula>J$152=0</formula>
    </cfRule>
  </conditionalFormatting>
  <conditionalFormatting sqref="K98:L98">
    <cfRule type="expression" dxfId="4390" priority="108" stopIfTrue="1">
      <formula>AND(I$152=0,K$98&lt;&gt;0)</formula>
    </cfRule>
    <cfRule type="expression" dxfId="4389" priority="109" stopIfTrue="1">
      <formula>I$152=0</formula>
    </cfRule>
  </conditionalFormatting>
  <conditionalFormatting sqref="N98">
    <cfRule type="expression" dxfId="4388" priority="110" stopIfTrue="1">
      <formula>AND(J$152=0,N$98&lt;&gt;0)</formula>
    </cfRule>
    <cfRule type="expression" dxfId="4387" priority="111" stopIfTrue="1">
      <formula>J$152=0</formula>
    </cfRule>
  </conditionalFormatting>
  <conditionalFormatting sqref="M93">
    <cfRule type="expression" dxfId="4386" priority="112" stopIfTrue="1">
      <formula>AND(J$155="X",M$93&lt;&gt;"")</formula>
    </cfRule>
  </conditionalFormatting>
  <conditionalFormatting sqref="M97">
    <cfRule type="expression" dxfId="4385" priority="113" stopIfTrue="1">
      <formula>AND(J$152=0,M$97&lt;&gt;0)</formula>
    </cfRule>
    <cfRule type="expression" dxfId="4384" priority="114" stopIfTrue="1">
      <formula>J$152=0</formula>
    </cfRule>
  </conditionalFormatting>
  <conditionalFormatting sqref="M98">
    <cfRule type="expression" dxfId="4383" priority="115" stopIfTrue="1">
      <formula>AND(J$152=0,M$98&lt;&gt;0)</formula>
    </cfRule>
    <cfRule type="expression" dxfId="4382" priority="116" stopIfTrue="1">
      <formula>J$152=0</formula>
    </cfRule>
  </conditionalFormatting>
  <conditionalFormatting sqref="K101:L101">
    <cfRule type="expression" dxfId="4381" priority="117" stopIfTrue="1">
      <formula>AND(I$152=0,K$101&lt;&gt;0)</formula>
    </cfRule>
    <cfRule type="expression" dxfId="4380" priority="118" stopIfTrue="1">
      <formula>AND($C101="ERROR",K101&gt;0)</formula>
    </cfRule>
    <cfRule type="expression" dxfId="4379" priority="119" stopIfTrue="1">
      <formula>I$152=0</formula>
    </cfRule>
  </conditionalFormatting>
  <conditionalFormatting sqref="K102:L102">
    <cfRule type="expression" dxfId="4378" priority="120" stopIfTrue="1">
      <formula>AND(I$152=0,K$102&lt;&gt;0)</formula>
    </cfRule>
    <cfRule type="expression" dxfId="4377" priority="121" stopIfTrue="1">
      <formula>AND($C102="ERROR",K102&gt;0)</formula>
    </cfRule>
    <cfRule type="expression" dxfId="4376" priority="122" stopIfTrue="1">
      <formula>I$152=0</formula>
    </cfRule>
  </conditionalFormatting>
  <conditionalFormatting sqref="K103:L103">
    <cfRule type="expression" dxfId="4375" priority="123" stopIfTrue="1">
      <formula>AND(I$152=0,K$103&lt;&gt;0)</formula>
    </cfRule>
    <cfRule type="expression" dxfId="4374" priority="124" stopIfTrue="1">
      <formula>AND($C103="ERROR",K103&gt;0)</formula>
    </cfRule>
    <cfRule type="expression" dxfId="4373" priority="125" stopIfTrue="1">
      <formula>I$152=0</formula>
    </cfRule>
  </conditionalFormatting>
  <conditionalFormatting sqref="K104:L104">
    <cfRule type="expression" dxfId="4372" priority="126" stopIfTrue="1">
      <formula>AND(I$152=0,K$104&lt;&gt;0)</formula>
    </cfRule>
    <cfRule type="expression" dxfId="4371" priority="127" stopIfTrue="1">
      <formula>AND($C104="ERROR",K104&gt;0)</formula>
    </cfRule>
    <cfRule type="expression" dxfId="4370" priority="128" stopIfTrue="1">
      <formula>I$152=0</formula>
    </cfRule>
  </conditionalFormatting>
  <conditionalFormatting sqref="N101">
    <cfRule type="expression" dxfId="4369" priority="129" stopIfTrue="1">
      <formula>AND(J$152=0,N$101&lt;&gt;0)</formula>
    </cfRule>
    <cfRule type="expression" dxfId="4368" priority="130" stopIfTrue="1">
      <formula>AND($C101="ERROR",N101&gt;0)</formula>
    </cfRule>
    <cfRule type="expression" dxfId="4367" priority="131" stopIfTrue="1">
      <formula>J$152=0</formula>
    </cfRule>
  </conditionalFormatting>
  <conditionalFormatting sqref="N102">
    <cfRule type="expression" dxfId="4366" priority="132" stopIfTrue="1">
      <formula>AND(J$152=0,N$102&lt;&gt;0)</formula>
    </cfRule>
    <cfRule type="expression" dxfId="4365" priority="133" stopIfTrue="1">
      <formula>AND($C102="ERROR",N102&gt;0)</formula>
    </cfRule>
    <cfRule type="expression" dxfId="4364" priority="134" stopIfTrue="1">
      <formula>J$152=0</formula>
    </cfRule>
  </conditionalFormatting>
  <conditionalFormatting sqref="N103">
    <cfRule type="expression" dxfId="4363" priority="135" stopIfTrue="1">
      <formula>AND(J$152=0,N$103&lt;&gt;0)</formula>
    </cfRule>
    <cfRule type="expression" dxfId="4362" priority="136" stopIfTrue="1">
      <formula>AND($C103="ERROR",N103&gt;0)</formula>
    </cfRule>
    <cfRule type="expression" dxfId="4361" priority="137" stopIfTrue="1">
      <formula>J$152=0</formula>
    </cfRule>
  </conditionalFormatting>
  <conditionalFormatting sqref="N104">
    <cfRule type="expression" dxfId="4360" priority="138" stopIfTrue="1">
      <formula>AND(J$152=0,N$104&lt;&gt;0)</formula>
    </cfRule>
    <cfRule type="expression" dxfId="4359" priority="139" stopIfTrue="1">
      <formula>AND($C104="ERROR",N104&gt;0)</formula>
    </cfRule>
    <cfRule type="expression" dxfId="4358" priority="140" stopIfTrue="1">
      <formula>J$152=0</formula>
    </cfRule>
  </conditionalFormatting>
  <conditionalFormatting sqref="M101">
    <cfRule type="expression" dxfId="4357" priority="141" stopIfTrue="1">
      <formula>AND(J$152=0,M$101&lt;&gt;0)</formula>
    </cfRule>
    <cfRule type="expression" dxfId="4356" priority="142" stopIfTrue="1">
      <formula>AND($C101="ERROR",M101&gt;0)</formula>
    </cfRule>
    <cfRule type="expression" dxfId="4355" priority="143" stopIfTrue="1">
      <formula>J$152=0</formula>
    </cfRule>
  </conditionalFormatting>
  <conditionalFormatting sqref="M102">
    <cfRule type="expression" dxfId="4354" priority="144" stopIfTrue="1">
      <formula>AND(J$152=0,M$102&lt;&gt;0)</formula>
    </cfRule>
    <cfRule type="expression" dxfId="4353" priority="145" stopIfTrue="1">
      <formula>AND($C102="ERROR",M102&gt;0)</formula>
    </cfRule>
    <cfRule type="expression" dxfId="4352" priority="146" stopIfTrue="1">
      <formula>J$152=0</formula>
    </cfRule>
  </conditionalFormatting>
  <conditionalFormatting sqref="M103">
    <cfRule type="expression" dxfId="4351" priority="147" stopIfTrue="1">
      <formula>AND(J$152=0,M$103&lt;&gt;0)</formula>
    </cfRule>
    <cfRule type="expression" dxfId="4350" priority="148" stopIfTrue="1">
      <formula>AND($C103="ERROR",M103&gt;0)</formula>
    </cfRule>
    <cfRule type="expression" dxfId="4349" priority="149" stopIfTrue="1">
      <formula>J$152=0</formula>
    </cfRule>
  </conditionalFormatting>
  <conditionalFormatting sqref="M104">
    <cfRule type="expression" dxfId="4348" priority="150" stopIfTrue="1">
      <formula>AND(J$152=0,M$104&lt;&gt;0)</formula>
    </cfRule>
    <cfRule type="expression" dxfId="4347" priority="151" stopIfTrue="1">
      <formula>AND($C104="ERROR",M104&gt;0)</formula>
    </cfRule>
    <cfRule type="expression" dxfId="4346" priority="152" stopIfTrue="1">
      <formula>J$152=0</formula>
    </cfRule>
  </conditionalFormatting>
  <conditionalFormatting sqref="K97">
    <cfRule type="expression" dxfId="4345" priority="153" stopIfTrue="1">
      <formula>AND(I$152=0,K$97&lt;&gt;0)</formula>
    </cfRule>
    <cfRule type="expression" dxfId="4344" priority="154" stopIfTrue="1">
      <formula>I$152=0</formula>
    </cfRule>
    <cfRule type="expression" dxfId="4343" priority="155" stopIfTrue="1">
      <formula>AND(K$96&lt;&gt;0,K$97="")</formula>
    </cfRule>
  </conditionalFormatting>
  <conditionalFormatting sqref="N97">
    <cfRule type="expression" dxfId="4342" priority="156" stopIfTrue="1">
      <formula>AND(J$152=0,N$97&lt;&gt;0)</formula>
    </cfRule>
    <cfRule type="expression" dxfId="4341" priority="157" stopIfTrue="1">
      <formula>J$152=0</formula>
    </cfRule>
    <cfRule type="expression" dxfId="4340" priority="158" stopIfTrue="1">
      <formula>AND(N$96&lt;&gt;0,N$97="")</formula>
    </cfRule>
  </conditionalFormatting>
  <conditionalFormatting sqref="G83:I83 K83">
    <cfRule type="expression" dxfId="4339" priority="159" stopIfTrue="1">
      <formula>$C$61=0</formula>
    </cfRule>
    <cfRule type="expression" dxfId="4338" priority="160" stopIfTrue="1">
      <formula>G85=$M$135</formula>
    </cfRule>
    <cfRule type="cellIs" dxfId="4337" priority="161" stopIfTrue="1" operator="equal">
      <formula>0</formula>
    </cfRule>
  </conditionalFormatting>
  <conditionalFormatting sqref="G84:I84 K84">
    <cfRule type="expression" dxfId="4336" priority="162" stopIfTrue="1">
      <formula>$C$61=0</formula>
    </cfRule>
    <cfRule type="expression" dxfId="4335" priority="163" stopIfTrue="1">
      <formula>G85=$M$135</formula>
    </cfRule>
    <cfRule type="cellIs" dxfId="4334" priority="164" stopIfTrue="1" operator="equal">
      <formula>0</formula>
    </cfRule>
  </conditionalFormatting>
  <conditionalFormatting sqref="K86 G86:H86">
    <cfRule type="expression" dxfId="4333" priority="165" stopIfTrue="1">
      <formula>$C$61=0</formula>
    </cfRule>
    <cfRule type="expression" dxfId="4332" priority="166" stopIfTrue="1">
      <formula>G85=$M$135</formula>
    </cfRule>
  </conditionalFormatting>
  <conditionalFormatting sqref="G82:K82">
    <cfRule type="expression" dxfId="4331" priority="167" stopIfTrue="1">
      <formula>$C$61=0</formula>
    </cfRule>
    <cfRule type="expression" dxfId="4330" priority="168" stopIfTrue="1">
      <formula>G85=$M$135</formula>
    </cfRule>
    <cfRule type="cellIs" dxfId="4329" priority="169" stopIfTrue="1" operator="equal">
      <formula>0</formula>
    </cfRule>
  </conditionalFormatting>
  <conditionalFormatting sqref="I86:J86">
    <cfRule type="expression" dxfId="4328" priority="170" stopIfTrue="1">
      <formula>$C$61=0</formula>
    </cfRule>
    <cfRule type="expression" dxfId="4327" priority="171" stopIfTrue="1">
      <formula>$I85=$M$135</formula>
    </cfRule>
  </conditionalFormatting>
  <conditionalFormatting sqref="G87:H87 K87">
    <cfRule type="expression" dxfId="4326" priority="172" stopIfTrue="1">
      <formula>G85=$M$135</formula>
    </cfRule>
    <cfRule type="expression" dxfId="4325" priority="173" stopIfTrue="1">
      <formula>$C$61=0</formula>
    </cfRule>
  </conditionalFormatting>
  <conditionalFormatting sqref="I87:J87">
    <cfRule type="expression" dxfId="4324" priority="174" stopIfTrue="1">
      <formula>$I85=$M$135</formula>
    </cfRule>
    <cfRule type="expression" dxfId="4323" priority="175" stopIfTrue="1">
      <formula>$C$61=0</formula>
    </cfRule>
  </conditionalFormatting>
  <conditionalFormatting sqref="K93">
    <cfRule type="expression" dxfId="4322" priority="176" stopIfTrue="1">
      <formula>AND(I$155="X",K$93&lt;&gt;"")</formula>
    </cfRule>
  </conditionalFormatting>
  <conditionalFormatting sqref="N93">
    <cfRule type="expression" dxfId="4321" priority="177" stopIfTrue="1">
      <formula>AND(J$155="X",N$93&lt;&gt;"")</formula>
    </cfRule>
  </conditionalFormatting>
  <conditionalFormatting sqref="L69:M72">
    <cfRule type="expression" dxfId="4320" priority="178" stopIfTrue="1">
      <formula>OR(ISERROR($L69),$H69="")</formula>
    </cfRule>
    <cfRule type="expression" dxfId="4319" priority="179" stopIfTrue="1">
      <formula>$C$61=0</formula>
    </cfRule>
    <cfRule type="expression" dxfId="4318" priority="180" stopIfTrue="1">
      <formula>$H69=$E$163</formula>
    </cfRule>
  </conditionalFormatting>
  <conditionalFormatting sqref="I85:J85">
    <cfRule type="expression" dxfId="4317" priority="181" stopIfTrue="1">
      <formula>$C$61=0</formula>
    </cfRule>
    <cfRule type="expression" dxfId="4316" priority="182" stopIfTrue="1">
      <formula>$I85=$M$135</formula>
    </cfRule>
  </conditionalFormatting>
  <conditionalFormatting sqref="I51:J52 L51:M52">
    <cfRule type="expression" dxfId="4315" priority="183" stopIfTrue="1">
      <formula>ISERROR(I55)</formula>
    </cfRule>
  </conditionalFormatting>
  <conditionalFormatting sqref="K51:K52">
    <cfRule type="expression" dxfId="4314" priority="184" stopIfTrue="1">
      <formula>ISERROR(G51)</formula>
    </cfRule>
  </conditionalFormatting>
  <conditionalFormatting sqref="I7:I39">
    <cfRule type="expression" dxfId="4313" priority="185" stopIfTrue="1">
      <formula>OR($I$4=0,$I$4&lt;&gt;$K$130)</formula>
    </cfRule>
    <cfRule type="expression" dxfId="4312" priority="186" stopIfTrue="1">
      <formula>$AA7&lt;&gt;0</formula>
    </cfRule>
  </conditionalFormatting>
  <conditionalFormatting sqref="J7:J39">
    <cfRule type="expression" dxfId="4311" priority="187" stopIfTrue="1">
      <formula>OR($I$4=0,$I$4&lt;&gt;$K$130)</formula>
    </cfRule>
    <cfRule type="expression" dxfId="4310" priority="188" stopIfTrue="1">
      <formula>$AA7&lt;&gt;0</formula>
    </cfRule>
  </conditionalFormatting>
  <conditionalFormatting sqref="L7:L39">
    <cfRule type="expression" dxfId="4309" priority="189" stopIfTrue="1">
      <formula>OR($L$4=0,$L$4&lt;&gt;$K$130)</formula>
    </cfRule>
    <cfRule type="expression" dxfId="4308" priority="190" stopIfTrue="1">
      <formula>$AA7&lt;&gt;0</formula>
    </cfRule>
  </conditionalFormatting>
  <conditionalFormatting sqref="M7:M39">
    <cfRule type="expression" dxfId="4307" priority="191" stopIfTrue="1">
      <formula>OR($L$4=0,$L$4&lt;&gt;$K$130)</formula>
    </cfRule>
    <cfRule type="expression" dxfId="4306" priority="192" stopIfTrue="1">
      <formula>$AA7&lt;&gt;0</formula>
    </cfRule>
  </conditionalFormatting>
  <conditionalFormatting sqref="O7:O39">
    <cfRule type="expression" dxfId="4305" priority="193" stopIfTrue="1">
      <formula>OR($O$4=0,$O$4&lt;&gt;$K$130)</formula>
    </cfRule>
    <cfRule type="expression" dxfId="4304" priority="194" stopIfTrue="1">
      <formula>$AA7&lt;&gt;0</formula>
    </cfRule>
  </conditionalFormatting>
  <conditionalFormatting sqref="P7:P39">
    <cfRule type="expression" dxfId="4303" priority="195" stopIfTrue="1">
      <formula>OR($O$4=0,$O$4&lt;&gt;$K$130)</formula>
    </cfRule>
    <cfRule type="expression" dxfId="4302" priority="196" stopIfTrue="1">
      <formula>$AA7&lt;&gt;0</formula>
    </cfRule>
  </conditionalFormatting>
  <conditionalFormatting sqref="K39">
    <cfRule type="expression" dxfId="4301" priority="197" stopIfTrue="1">
      <formula>ISERROR($G$155)</formula>
    </cfRule>
    <cfRule type="expression" dxfId="4300" priority="198" stopIfTrue="1">
      <formula>OR($I$163=0,K$4="")</formula>
    </cfRule>
    <cfRule type="expression" dxfId="4299" priority="199" stopIfTrue="1">
      <formula>OR(K$4="",ISERROR(I$155))</formula>
    </cfRule>
  </conditionalFormatting>
  <conditionalFormatting sqref="N39">
    <cfRule type="expression" dxfId="4298" priority="200" stopIfTrue="1">
      <formula>ISERROR($G$155)</formula>
    </cfRule>
    <cfRule type="expression" dxfId="4297" priority="201" stopIfTrue="1">
      <formula>OR($I$163=0,N$4="")</formula>
    </cfRule>
    <cfRule type="expression" dxfId="4296" priority="202" stopIfTrue="1">
      <formula>OR(N$4="",ISERROR(J$155))</formula>
    </cfRule>
  </conditionalFormatting>
  <conditionalFormatting sqref="G8:H38 K8:K38 N8:N38">
    <cfRule type="expression" dxfId="4295" priority="203" stopIfTrue="1">
      <formula>$AA8=$Y$6</formula>
    </cfRule>
    <cfRule type="expression" dxfId="4294" priority="204" stopIfTrue="1">
      <formula>OR($AA8=0,$E8=$E$162)</formula>
    </cfRule>
  </conditionalFormatting>
  <conditionalFormatting sqref="C8:D38">
    <cfRule type="expression" dxfId="4293" priority="205" stopIfTrue="1">
      <formula>$AA8=$Y$6</formula>
    </cfRule>
    <cfRule type="expression" dxfId="4292" priority="206" stopIfTrue="1">
      <formula>AND($L$163=0,OR($V8&lt;$B$162,$V8&gt;$B$163))</formula>
    </cfRule>
    <cfRule type="expression" dxfId="4291" priority="207" stopIfTrue="1">
      <formula>AND($AA8=0,$E8=0)</formula>
    </cfRule>
  </conditionalFormatting>
  <conditionalFormatting sqref="G46:H46 K46 N46">
    <cfRule type="expression" dxfId="4290" priority="208" stopIfTrue="1">
      <formula>G$42=$K$134</formula>
    </cfRule>
    <cfRule type="expression" dxfId="4289" priority="209" stopIfTrue="1">
      <formula>OR($I$163=0,G$4="")</formula>
    </cfRule>
    <cfRule type="expression" dxfId="4288" priority="210" stopIfTrue="1">
      <formula>G44=""</formula>
    </cfRule>
  </conditionalFormatting>
  <conditionalFormatting sqref="G47:H47 K47 N47">
    <cfRule type="expression" dxfId="4287" priority="211" stopIfTrue="1">
      <formula>OR(ISERROR(G47),G$4="")</formula>
    </cfRule>
    <cfRule type="expression" dxfId="4286" priority="212" stopIfTrue="1">
      <formula>G$42=$K$134</formula>
    </cfRule>
    <cfRule type="expression" dxfId="4285" priority="213" stopIfTrue="1">
      <formula>AND(G$46&gt;0,OR(G$99=$E$152,G$99=$K$152))</formula>
    </cfRule>
  </conditionalFormatting>
  <conditionalFormatting sqref="G48:H48 K48 N48">
    <cfRule type="expression" dxfId="4284" priority="214" stopIfTrue="1">
      <formula>OR(ISERROR(G48),G$4="")</formula>
    </cfRule>
    <cfRule type="expression" dxfId="4283" priority="215" stopIfTrue="1">
      <formula>G$42=$K$134</formula>
    </cfRule>
    <cfRule type="expression" dxfId="4282" priority="216" stopIfTrue="1">
      <formula>AND(G$46&gt;0,OR(G$99=$E$152,G$99=$K$152,COUNTIF($C$101:$F$104,"ERROR")&gt;0,G$105=$E$152,G$105=$K$152))</formula>
    </cfRule>
  </conditionalFormatting>
  <conditionalFormatting sqref="I69:J72">
    <cfRule type="expression" dxfId="4281" priority="217" stopIfTrue="1">
      <formula>$C$61=0</formula>
    </cfRule>
    <cfRule type="expression" dxfId="4280" priority="218" stopIfTrue="1">
      <formula>$Z69=0</formula>
    </cfRule>
    <cfRule type="expression" dxfId="4279" priority="219" stopIfTrue="1">
      <formula>$I69=0</formula>
    </cfRule>
  </conditionalFormatting>
  <conditionalFormatting sqref="G61:H62 K61:K62 N61:N62">
    <cfRule type="expression" dxfId="4278" priority="220" stopIfTrue="1">
      <formula>$C$61=0</formula>
    </cfRule>
    <cfRule type="expression" dxfId="4277" priority="221" stopIfTrue="1">
      <formula>G$62=$L$135</formula>
    </cfRule>
  </conditionalFormatting>
  <conditionalFormatting sqref="M166:N166">
    <cfRule type="expression" dxfId="4276" priority="222" stopIfTrue="1">
      <formula>ISBLANK($M166)</formula>
    </cfRule>
  </conditionalFormatting>
  <conditionalFormatting sqref="F107 N108:N109 F108:I109 K108:K109">
    <cfRule type="expression" dxfId="4275" priority="223" stopIfTrue="1">
      <formula>$L$108=0</formula>
    </cfRule>
  </conditionalFormatting>
  <conditionalFormatting sqref="G116:J118 K121:K122 L108:M109">
    <cfRule type="cellIs" dxfId="4274" priority="224" stopIfTrue="1" operator="equal">
      <formula>0</formula>
    </cfRule>
  </conditionalFormatting>
  <conditionalFormatting sqref="L113:M121">
    <cfRule type="expression" dxfId="4273" priority="225" stopIfTrue="1">
      <formula>$L$109=0</formula>
    </cfRule>
  </conditionalFormatting>
  <conditionalFormatting sqref="L122:M122">
    <cfRule type="expression" dxfId="4272" priority="226" stopIfTrue="1">
      <formula>$K$122=0</formula>
    </cfRule>
  </conditionalFormatting>
  <conditionalFormatting sqref="K53:K54 H53:H54">
    <cfRule type="expression" dxfId="4271" priority="227" stopIfTrue="1">
      <formula>ISERROR($G$155)</formula>
    </cfRule>
  </conditionalFormatting>
  <conditionalFormatting sqref="L180 P46 L193 L206 L215:L217">
    <cfRule type="expression" dxfId="4270" priority="228" stopIfTrue="1">
      <formula>$O$44=""</formula>
    </cfRule>
    <cfRule type="expression" dxfId="4269" priority="229" stopIfTrue="1">
      <formula>$O$44=0</formula>
    </cfRule>
  </conditionalFormatting>
  <conditionalFormatting sqref="G180:I180 K180 G215:J217 G193:I193 K206 K193 G206:I206">
    <cfRule type="expression" dxfId="4268" priority="230" stopIfTrue="1">
      <formula>ISERROR(G180)</formula>
    </cfRule>
    <cfRule type="cellIs" dxfId="4267" priority="231" stopIfTrue="1" operator="equal">
      <formula>0</formula>
    </cfRule>
  </conditionalFormatting>
  <conditionalFormatting sqref="G183:K183 G170:K170 G196:K196 G121:J122">
    <cfRule type="cellIs" dxfId="4266" priority="232" stopIfTrue="1" operator="equal">
      <formula>0</formula>
    </cfRule>
  </conditionalFormatting>
  <conditionalFormatting sqref="C126:P126">
    <cfRule type="expression" dxfId="4265" priority="233" stopIfTrue="1">
      <formula>ISERROR($H$163)</formula>
    </cfRule>
  </conditionalFormatting>
  <conditionalFormatting sqref="G53:G54">
    <cfRule type="expression" dxfId="4264" priority="234" stopIfTrue="1">
      <formula>ISERROR($G$155)</formula>
    </cfRule>
    <cfRule type="expression" dxfId="4263" priority="235" stopIfTrue="1">
      <formula>ISERROR(G53)</formula>
    </cfRule>
  </conditionalFormatting>
  <conditionalFormatting sqref="O95:P95">
    <cfRule type="expression" dxfId="4262" priority="236" stopIfTrue="1">
      <formula>$O$44=""</formula>
    </cfRule>
  </conditionalFormatting>
  <conditionalFormatting sqref="O94:P94">
    <cfRule type="expression" dxfId="4261" priority="237" stopIfTrue="1">
      <formula>$O$44=""</formula>
    </cfRule>
  </conditionalFormatting>
  <conditionalFormatting sqref="AA8:AA38 O44:P44 G58 C58 I44:J44 L44:M44 G152:J152 L168 E6:F6 K42 N42 G42:H42">
    <cfRule type="cellIs" dxfId="4260" priority="238" stopIfTrue="1" operator="equal">
      <formula>0</formula>
    </cfRule>
  </conditionalFormatting>
  <conditionalFormatting sqref="W8:Z38 R8:U37 AB8:AE38 AG8:AK37 AM8:AQ37 AS8:AW37 AY8:AY37">
    <cfRule type="cellIs" dxfId="4259" priority="239" stopIfTrue="1" operator="equal">
      <formula>0</formula>
    </cfRule>
  </conditionalFormatting>
  <conditionalFormatting sqref="O45:P45 L169">
    <cfRule type="expression" dxfId="4258" priority="240" stopIfTrue="1">
      <formula>$O$4=$K$130</formula>
    </cfRule>
    <cfRule type="expression" dxfId="4257" priority="241" stopIfTrue="1">
      <formula>$O$44=0</formula>
    </cfRule>
  </conditionalFormatting>
  <conditionalFormatting sqref="E47:F48">
    <cfRule type="expression" dxfId="4256" priority="242" stopIfTrue="1">
      <formula>ISERROR(E47)</formula>
    </cfRule>
  </conditionalFormatting>
  <conditionalFormatting sqref="G168:I169 K168:K169 E197:E198 E206:F206 E171:E172 E180:F180 E184:E185 E193:F193 G94:N95 N44:N45 G44:H45 K44:K45 E221 G51:H52">
    <cfRule type="expression" dxfId="4255" priority="243" stopIfTrue="1">
      <formula>ISERROR(E44)</formula>
    </cfRule>
  </conditionalFormatting>
  <conditionalFormatting sqref="G167:I167 K167 N43 G43:H43 K43">
    <cfRule type="cellIs" dxfId="4254" priority="244" stopIfTrue="1" operator="equal">
      <formula>0</formula>
    </cfRule>
  </conditionalFormatting>
  <conditionalFormatting sqref="G99:N99 G105:N105 H139:H141 H145:H148">
    <cfRule type="cellIs" dxfId="4253" priority="245" stopIfTrue="1" operator="equal">
      <formula>"OK"</formula>
    </cfRule>
  </conditionalFormatting>
  <conditionalFormatting sqref="I139:I141 I145:I148">
    <cfRule type="cellIs" dxfId="4252" priority="246" stopIfTrue="1" operator="greaterThan">
      <formula>0</formula>
    </cfRule>
  </conditionalFormatting>
  <conditionalFormatting sqref="F110:I112 K110:M112">
    <cfRule type="expression" dxfId="4251" priority="247" stopIfTrue="1">
      <formula>$L$108=0</formula>
    </cfRule>
  </conditionalFormatting>
  <conditionalFormatting sqref="C195:H195">
    <cfRule type="expression" dxfId="4250" priority="248" stopIfTrue="1">
      <formula>ISERROR($C$195)</formula>
    </cfRule>
  </conditionalFormatting>
  <conditionalFormatting sqref="C2:J2">
    <cfRule type="expression" dxfId="4249" priority="249" stopIfTrue="1">
      <formula>$I$163=0</formula>
    </cfRule>
  </conditionalFormatting>
  <conditionalFormatting sqref="L96:M96 I96:J96">
    <cfRule type="expression" dxfId="4248" priority="250" stopIfTrue="1">
      <formula>ISERROR($G$155)</formula>
    </cfRule>
    <cfRule type="expression" dxfId="4247" priority="251" stopIfTrue="1">
      <formula>I96=0</formula>
    </cfRule>
  </conditionalFormatting>
  <conditionalFormatting sqref="N7 G7:H7 K7">
    <cfRule type="expression" dxfId="4246" priority="252" stopIfTrue="1">
      <formula>$I$163=0</formula>
    </cfRule>
  </conditionalFormatting>
  <conditionalFormatting sqref="I48:J48">
    <cfRule type="expression" dxfId="4245" priority="253" stopIfTrue="1">
      <formula>$I$4=$K$130</formula>
    </cfRule>
  </conditionalFormatting>
  <conditionalFormatting sqref="L48:M48">
    <cfRule type="expression" dxfId="4244" priority="254" stopIfTrue="1">
      <formula>$L$4=$K$130</formula>
    </cfRule>
  </conditionalFormatting>
  <conditionalFormatting sqref="I45:J45">
    <cfRule type="expression" dxfId="4243" priority="255" stopIfTrue="1">
      <formula>$I$4=$K$130</formula>
    </cfRule>
    <cfRule type="expression" dxfId="4242" priority="256" stopIfTrue="1">
      <formula>$I$44=0</formula>
    </cfRule>
  </conditionalFormatting>
  <conditionalFormatting sqref="L45:M45">
    <cfRule type="expression" dxfId="4241" priority="257" stopIfTrue="1">
      <formula>$L$4=$K$130</formula>
    </cfRule>
    <cfRule type="expression" dxfId="4240" priority="258" stopIfTrue="1">
      <formula>$L$44=0</formula>
    </cfRule>
  </conditionalFormatting>
  <conditionalFormatting sqref="L53">
    <cfRule type="expression" dxfId="4239" priority="259" stopIfTrue="1">
      <formula>ISERROR($G$155)</formula>
    </cfRule>
    <cfRule type="expression" dxfId="4238" priority="260" stopIfTrue="1">
      <formula>ISERROR($L$53)</formula>
    </cfRule>
  </conditionalFormatting>
  <conditionalFormatting sqref="O96:P98 C97:F98">
    <cfRule type="expression" dxfId="4237" priority="261" stopIfTrue="1">
      <formula>SUM($G$152:$J$152)=0</formula>
    </cfRule>
  </conditionalFormatting>
  <conditionalFormatting sqref="G155:J155">
    <cfRule type="cellIs" dxfId="4236" priority="262" stopIfTrue="1" operator="equal">
      <formula>0</formula>
    </cfRule>
  </conditionalFormatting>
  <conditionalFormatting sqref="G157:J159">
    <cfRule type="cellIs" dxfId="4235" priority="263" stopIfTrue="1" operator="equal">
      <formula>$E$157</formula>
    </cfRule>
  </conditionalFormatting>
  <conditionalFormatting sqref="Q91:S91">
    <cfRule type="expression" dxfId="4234" priority="264" stopIfTrue="1">
      <formula>SUM($G$152:$J$152)=0</formula>
    </cfRule>
  </conditionalFormatting>
  <conditionalFormatting sqref="I4:J5">
    <cfRule type="expression" dxfId="4233" priority="265" stopIfTrue="1">
      <formula>$I$6=""</formula>
    </cfRule>
    <cfRule type="cellIs" dxfId="4232" priority="266" stopIfTrue="1" operator="equal">
      <formula>0</formula>
    </cfRule>
    <cfRule type="expression" dxfId="4231" priority="267" stopIfTrue="1">
      <formula>$I$4=$K$130</formula>
    </cfRule>
  </conditionalFormatting>
  <conditionalFormatting sqref="L4:M5">
    <cfRule type="expression" dxfId="4230" priority="268" stopIfTrue="1">
      <formula>$L$6=""</formula>
    </cfRule>
    <cfRule type="cellIs" dxfId="4229" priority="269" stopIfTrue="1" operator="equal">
      <formula>0</formula>
    </cfRule>
    <cfRule type="expression" dxfId="4228" priority="270" stopIfTrue="1">
      <formula>$L$4=$K$130</formula>
    </cfRule>
  </conditionalFormatting>
  <conditionalFormatting sqref="O4:P5">
    <cfRule type="expression" dxfId="4227" priority="271" stopIfTrue="1">
      <formula>$O$6=""</formula>
    </cfRule>
    <cfRule type="cellIs" dxfId="4226" priority="272" stopIfTrue="1" operator="equal">
      <formula>0</formula>
    </cfRule>
    <cfRule type="expression" dxfId="4225" priority="273" stopIfTrue="1">
      <formula>$O$4=$K$130</formula>
    </cfRule>
  </conditionalFormatting>
  <conditionalFormatting sqref="E46:F46">
    <cfRule type="expression" dxfId="4224" priority="274" stopIfTrue="1">
      <formula>ISERROR($E$46)</formula>
    </cfRule>
  </conditionalFormatting>
  <conditionalFormatting sqref="I46">
    <cfRule type="expression" dxfId="4223" priority="275" stopIfTrue="1">
      <formula>$I$44=""</formula>
    </cfRule>
    <cfRule type="expression" dxfId="4222" priority="276" stopIfTrue="1">
      <formula>$I$44=0</formula>
    </cfRule>
  </conditionalFormatting>
  <conditionalFormatting sqref="L46">
    <cfRule type="expression" dxfId="4221" priority="277" stopIfTrue="1">
      <formula>$L$44=""</formula>
    </cfRule>
    <cfRule type="expression" dxfId="4220" priority="278" stopIfTrue="1">
      <formula>$L$44=0</formula>
    </cfRule>
  </conditionalFormatting>
  <conditionalFormatting sqref="O46">
    <cfRule type="expression" dxfId="4219" priority="279" stopIfTrue="1">
      <formula>$O$44=""</formula>
    </cfRule>
    <cfRule type="expression" dxfId="4218" priority="280" stopIfTrue="1">
      <formula>$O$44=0</formula>
    </cfRule>
  </conditionalFormatting>
  <conditionalFormatting sqref="J46">
    <cfRule type="expression" dxfId="4217" priority="281" stopIfTrue="1">
      <formula>$I$44=""</formula>
    </cfRule>
    <cfRule type="expression" dxfId="4216" priority="282" stopIfTrue="1">
      <formula>$I$44=0</formula>
    </cfRule>
  </conditionalFormatting>
  <conditionalFormatting sqref="M46">
    <cfRule type="expression" dxfId="4215" priority="283" stopIfTrue="1">
      <formula>$L$44=""</formula>
    </cfRule>
    <cfRule type="expression" dxfId="4214" priority="284" stopIfTrue="1">
      <formula>$L$44=0</formula>
    </cfRule>
  </conditionalFormatting>
  <conditionalFormatting sqref="G96:H96 K96 N96">
    <cfRule type="expression" dxfId="4213" priority="285" stopIfTrue="1">
      <formula>ISERROR($G$155)</formula>
    </cfRule>
    <cfRule type="expression" dxfId="4212" priority="286" stopIfTrue="1">
      <formula>G96=0</formula>
    </cfRule>
    <cfRule type="expression" dxfId="4211" priority="287" stopIfTrue="1">
      <formula>G96&lt;&gt;0</formula>
    </cfRule>
  </conditionalFormatting>
  <conditionalFormatting sqref="M168:N168">
    <cfRule type="expression" dxfId="4210" priority="288" stopIfTrue="1">
      <formula>$M$168=""</formula>
    </cfRule>
  </conditionalFormatting>
  <conditionalFormatting sqref="G63:H63 K63 N63">
    <cfRule type="expression" dxfId="4209" priority="289" stopIfTrue="1">
      <formula>$C$61=0</formula>
    </cfRule>
    <cfRule type="cellIs" dxfId="4208" priority="290" stopIfTrue="1" operator="equal">
      <formula>0</formula>
    </cfRule>
  </conditionalFormatting>
  <conditionalFormatting sqref="F63 F65 F73 F76:F79 F86:F89 N78:N79 N88 L86:N87 K68 C68:C69 I67:J68">
    <cfRule type="expression" dxfId="4207" priority="291" stopIfTrue="1">
      <formula>$C$61=0</formula>
    </cfRule>
  </conditionalFormatting>
  <conditionalFormatting sqref="G65">
    <cfRule type="expression" dxfId="4206" priority="292" stopIfTrue="1">
      <formula>$C$61=0</formula>
    </cfRule>
    <cfRule type="cellIs" dxfId="4205" priority="293" stopIfTrue="1" operator="equal">
      <formula>0</formula>
    </cfRule>
  </conditionalFormatting>
  <conditionalFormatting sqref="N66:N67 N74:N77 L68:N68">
    <cfRule type="expression" dxfId="4204" priority="294" stopIfTrue="1">
      <formula>$C$61=0</formula>
    </cfRule>
  </conditionalFormatting>
  <conditionalFormatting sqref="G68:H68">
    <cfRule type="expression" dxfId="4203" priority="295" stopIfTrue="1">
      <formula>ISERROR(G68)</formula>
    </cfRule>
    <cfRule type="expression" dxfId="4202" priority="296" stopIfTrue="1">
      <formula>$C$61=0</formula>
    </cfRule>
  </conditionalFormatting>
  <conditionalFormatting sqref="N73">
    <cfRule type="expression" dxfId="4201" priority="297" stopIfTrue="1">
      <formula>$C$61=0</formula>
    </cfRule>
    <cfRule type="expression" dxfId="4200" priority="298" stopIfTrue="1">
      <formula>ISERROR(N73)</formula>
    </cfRule>
  </conditionalFormatting>
  <conditionalFormatting sqref="O73 O79 O88">
    <cfRule type="expression" dxfId="4199" priority="299" stopIfTrue="1">
      <formula>O73=$E$163</formula>
    </cfRule>
    <cfRule type="expression" dxfId="4198" priority="300" stopIfTrue="1">
      <formula>$C$61=0</formula>
    </cfRule>
    <cfRule type="expression" dxfId="4197" priority="301" stopIfTrue="1">
      <formula>ISERROR(O73)</formula>
    </cfRule>
  </conditionalFormatting>
  <conditionalFormatting sqref="C67">
    <cfRule type="expression" dxfId="4196" priority="302" stopIfTrue="1">
      <formula>$C$61=0</formula>
    </cfRule>
  </conditionalFormatting>
  <conditionalFormatting sqref="G73 I73">
    <cfRule type="expression" dxfId="4195" priority="303" stopIfTrue="1">
      <formula>ISERROR(G73)</formula>
    </cfRule>
    <cfRule type="expression" dxfId="4194" priority="304" stopIfTrue="1">
      <formula>G73=0</formula>
    </cfRule>
    <cfRule type="expression" dxfId="4193" priority="305" stopIfTrue="1">
      <formula>$C$61=0</formula>
    </cfRule>
  </conditionalFormatting>
  <conditionalFormatting sqref="G77:H78 K77:K78">
    <cfRule type="expression" dxfId="4192" priority="306" stopIfTrue="1">
      <formula>$C$61=0</formula>
    </cfRule>
    <cfRule type="expression" dxfId="4191" priority="307" stopIfTrue="1">
      <formula>ISERROR(G77)</formula>
    </cfRule>
    <cfRule type="cellIs" dxfId="4190" priority="308" stopIfTrue="1" operator="equal">
      <formula>0</formula>
    </cfRule>
  </conditionalFormatting>
  <conditionalFormatting sqref="G79:H79 K79">
    <cfRule type="expression" dxfId="4189" priority="309" stopIfTrue="1">
      <formula>ISERROR(G79)</formula>
    </cfRule>
    <cfRule type="expression" dxfId="4188" priority="310" stopIfTrue="1">
      <formula>$C$61=0</formula>
    </cfRule>
    <cfRule type="cellIs" dxfId="4187" priority="311" stopIfTrue="1" operator="equal">
      <formula>0</formula>
    </cfRule>
  </conditionalFormatting>
  <conditionalFormatting sqref="N69:N72">
    <cfRule type="expression" dxfId="4186" priority="312" stopIfTrue="1">
      <formula>$C$61=0</formula>
    </cfRule>
    <cfRule type="cellIs" dxfId="4185" priority="313" stopIfTrue="1" operator="equal">
      <formula>0</formula>
    </cfRule>
    <cfRule type="expression" dxfId="4184" priority="314" stopIfTrue="1">
      <formula>ISERROR(N69)</formula>
    </cfRule>
  </conditionalFormatting>
  <conditionalFormatting sqref="C70:C71">
    <cfRule type="expression" dxfId="4183" priority="315" stopIfTrue="1">
      <formula>$C$61=0</formula>
    </cfRule>
    <cfRule type="expression" dxfId="4182" priority="316" stopIfTrue="1">
      <formula>$G$73&lt;&gt;0</formula>
    </cfRule>
  </conditionalFormatting>
  <conditionalFormatting sqref="P60:P61">
    <cfRule type="expression" dxfId="4181" priority="317" stopIfTrue="1">
      <formula>$C$61=1</formula>
    </cfRule>
  </conditionalFormatting>
  <conditionalFormatting sqref="H66:M66">
    <cfRule type="expression" dxfId="4180" priority="318" stopIfTrue="1">
      <formula>$C$61=0</formula>
    </cfRule>
  </conditionalFormatting>
  <conditionalFormatting sqref="H65">
    <cfRule type="expression" dxfId="4179" priority="319" stopIfTrue="1">
      <formula>AND($C$61=0,$D$61&gt;0)</formula>
    </cfRule>
    <cfRule type="expression" dxfId="4178" priority="320" stopIfTrue="1">
      <formula>$C$61=0</formula>
    </cfRule>
  </conditionalFormatting>
  <conditionalFormatting sqref="G67">
    <cfRule type="expression" dxfId="4177" priority="321" stopIfTrue="1">
      <formula>$C$61=0</formula>
    </cfRule>
    <cfRule type="expression" dxfId="4176" priority="322" stopIfTrue="1">
      <formula>ISERROR(G67)</formula>
    </cfRule>
  </conditionalFormatting>
  <conditionalFormatting sqref="G88:H88 K88">
    <cfRule type="expression" dxfId="4175" priority="323" stopIfTrue="1">
      <formula>ISERROR(G88)</formula>
    </cfRule>
    <cfRule type="cellIs" dxfId="4174" priority="324" stopIfTrue="1" operator="equal">
      <formula>0</formula>
    </cfRule>
    <cfRule type="expression" dxfId="4173" priority="325" stopIfTrue="1">
      <formula>$C$61=0</formula>
    </cfRule>
  </conditionalFormatting>
  <conditionalFormatting sqref="C91:P91">
    <cfRule type="expression" dxfId="4172" priority="326" stopIfTrue="1">
      <formula>SUM($G$150:$J$150)=0</formula>
    </cfRule>
  </conditionalFormatting>
  <conditionalFormatting sqref="G85:H85 K85">
    <cfRule type="expression" dxfId="4171" priority="327" stopIfTrue="1">
      <formula>$C$61=0</formula>
    </cfRule>
    <cfRule type="expression" dxfId="4170" priority="328" stopIfTrue="1">
      <formula>G85=$M$135</formula>
    </cfRule>
  </conditionalFormatting>
  <conditionalFormatting sqref="I55:J56 L55:M56">
    <cfRule type="cellIs" dxfId="4169" priority="329" stopIfTrue="1" operator="equal">
      <formula>0</formula>
    </cfRule>
    <cfRule type="expression" dxfId="4168" priority="330" stopIfTrue="1">
      <formula>ISERROR(I55)</formula>
    </cfRule>
  </conditionalFormatting>
  <dataValidations count="7">
    <dataValidation type="whole" operator="lessThanOrEqual" allowBlank="1" showInputMessage="1" showErrorMessage="1" sqref="F52">
      <formula1>E162</formula1>
    </dataValidation>
    <dataValidation type="list" allowBlank="1" showInputMessage="1" showErrorMessage="1" sqref="I207">
      <formula1>$I$219:$I$229</formula1>
    </dataValidation>
    <dataValidation type="decimal" operator="greaterThan" allowBlank="1" showInputMessage="1" showErrorMessage="1" errorTitle="ATTENZIONE !!!" error="E' ammesso solo un valore POSITIVO" sqref="G53:G54">
      <formula1>0</formula1>
    </dataValidation>
    <dataValidation type="decimal" operator="lessThan" allowBlank="1" showInputMessage="1" showErrorMessage="1" errorTitle="ATTENZIONE !!!" error="E' ammesso solo un valore NEGATIVO" sqref="H53:H54">
      <formula1>0</formula1>
    </dataValidation>
    <dataValidation type="list" allowBlank="1" showInputMessage="1" showErrorMessage="1" sqref="M168:N168">
      <formula1>$E$218:$E$220</formula1>
    </dataValidation>
    <dataValidation type="list" allowBlank="1" showInputMessage="1" showErrorMessage="1" sqref="M166">
      <formula1>$E$223:$E$226</formula1>
    </dataValidation>
    <dataValidation type="list" allowBlank="1" showInputMessage="1" showErrorMessage="1" sqref="M3:P3">
      <formula1>$K$144:$K$149</formula1>
    </dataValidation>
  </dataValidations>
  <hyperlinks>
    <hyperlink ref="G231" location="Presentazione!I106" display="QUI"/>
    <hyperlink ref="L231" location="Presentazione!K83" display="QUI"/>
  </hyperlinks>
  <printOptions horizontalCentered="1"/>
  <pageMargins left="0.39370078740157483" right="0" top="0.39370078740157483" bottom="0" header="0" footer="0"/>
  <pageSetup paperSize="9" scale="72"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9">
    <pageSetUpPr autoPageBreaks="0"/>
  </sheetPr>
  <dimension ref="A1:BB231"/>
  <sheetViews>
    <sheetView showGridLines="0" showRowColHeaders="0" topLeftCell="A2" zoomScaleNormal="100" workbookViewId="0">
      <selection activeCell="G8" sqref="G8"/>
    </sheetView>
  </sheetViews>
  <sheetFormatPr defaultRowHeight="12.75" x14ac:dyDescent="0.2"/>
  <cols>
    <col min="1" max="2" width="2.85546875" style="4" customWidth="1"/>
    <col min="3" max="4" width="5" style="4" customWidth="1"/>
    <col min="5" max="5" width="15.7109375" style="4" customWidth="1"/>
    <col min="6" max="6" width="1.42578125" style="4" customWidth="1"/>
    <col min="7" max="8" width="15.7109375" style="4" customWidth="1"/>
    <col min="9" max="10" width="7.85546875" style="4" customWidth="1"/>
    <col min="11" max="11" width="15.7109375" style="4" customWidth="1"/>
    <col min="12" max="13" width="7.85546875" style="4" customWidth="1"/>
    <col min="14" max="14" width="15.7109375" style="4" customWidth="1"/>
    <col min="15" max="16" width="7.85546875" style="4" customWidth="1"/>
    <col min="17" max="17" width="2.140625" style="4" customWidth="1"/>
    <col min="18" max="31" width="11" style="4" hidden="1" customWidth="1"/>
    <col min="32" max="32" width="6.42578125" style="4" hidden="1" customWidth="1"/>
    <col min="33" max="37" width="11" style="4" hidden="1" customWidth="1"/>
    <col min="38" max="38" width="6.42578125" style="4" hidden="1" customWidth="1"/>
    <col min="39" max="43" width="11" style="4" hidden="1" customWidth="1"/>
    <col min="44" max="44" width="6.42578125" style="4" hidden="1" customWidth="1"/>
    <col min="45" max="49" width="11" style="4" hidden="1" customWidth="1"/>
    <col min="50" max="50" width="6.42578125" style="4" hidden="1" customWidth="1"/>
    <col min="51" max="51" width="11" style="4" hidden="1" customWidth="1"/>
    <col min="52" max="52" width="35.7109375" style="4" customWidth="1"/>
    <col min="53" max="16384" width="9.140625" style="4"/>
  </cols>
  <sheetData>
    <row r="1" spans="1:53" ht="15" hidden="1" customHeight="1" x14ac:dyDescent="0.2">
      <c r="A1" s="540"/>
      <c r="B1" s="2"/>
      <c r="C1" s="2"/>
      <c r="D1" s="2"/>
      <c r="E1" s="2"/>
      <c r="F1" s="2"/>
      <c r="G1" s="252" t="str">
        <f>CONCATENATE(IMPOSTAZIONI!F205,"-",IMPOSTAZIONI!F206,"-",IMPOSTAZIONI!F207)</f>
        <v>--</v>
      </c>
      <c r="H1" s="252" t="str">
        <f>CONCATENATE(IMPOSTAZIONI!K205,"-",IMPOSTAZIONI!K206,"-",IMPOSTAZIONI!K207)</f>
        <v>--</v>
      </c>
      <c r="I1" s="252"/>
      <c r="J1" s="252"/>
      <c r="K1" s="252" t="str">
        <f>CONCATENATE(IMPOSTAZIONI!P205,"-",IMPOSTAZIONI!P206,"-",IMPOSTAZIONI!P207)</f>
        <v>--</v>
      </c>
      <c r="L1" s="252"/>
      <c r="M1" s="252"/>
      <c r="N1" s="252" t="str">
        <f>CONCATENATE(IMPOSTAZIONI!U205,"-",IMPOSTAZIONI!U206,"-",IMPOSTAZIONI!U207)</f>
        <v>--</v>
      </c>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591"/>
    </row>
    <row r="2" spans="1:53" ht="18" customHeight="1" x14ac:dyDescent="0.2">
      <c r="A2" s="540"/>
      <c r="B2" s="2"/>
      <c r="C2" s="2057" t="str">
        <f>CONCATENATE(IMPOSTAZIONI!C73," - P.I. ",IMPOSTAZIONI!O73)</f>
        <v>Inserisci la tua Ragione Sociale - P.I. 01234567891</v>
      </c>
      <c r="D2" s="2057"/>
      <c r="E2" s="2057"/>
      <c r="F2" s="2057"/>
      <c r="G2" s="2057"/>
      <c r="H2" s="2057"/>
      <c r="I2" s="2057"/>
      <c r="J2" s="2058" t="str">
        <f>CONCATENATE(IMPOSTAZIONI!C75," - ",IMPOSTAZIONI!M75," - ",IMPOSTAZIONI!O75," - ",IMPOSTAZIONI!V75)</f>
        <v xml:space="preserve">Indirizzo per esteso -  -  - </v>
      </c>
      <c r="K2" s="2058"/>
      <c r="L2" s="2058"/>
      <c r="M2" s="2058"/>
      <c r="N2" s="2058"/>
      <c r="O2" s="2058"/>
      <c r="P2" s="2058"/>
      <c r="Q2" s="3"/>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row>
    <row r="3" spans="1:53" ht="24.75" customHeight="1" x14ac:dyDescent="0.2">
      <c r="A3" s="2"/>
      <c r="B3" s="5"/>
      <c r="C3" s="2222" t="s">
        <v>98</v>
      </c>
      <c r="D3" s="2222"/>
      <c r="E3" s="2223" t="s">
        <v>304</v>
      </c>
      <c r="F3" s="2223"/>
      <c r="G3" s="2223"/>
      <c r="H3" s="2073" t="str">
        <f>IF(I163=0,IMPOSTAZIONI!Y384,"")</f>
        <v>Devi convalidare il foglio IMPOSTAZIONI</v>
      </c>
      <c r="I3" s="2073"/>
      <c r="J3" s="2073"/>
      <c r="K3" s="2073"/>
      <c r="L3" s="2073"/>
      <c r="M3" s="2072" t="s">
        <v>543</v>
      </c>
      <c r="N3" s="2072"/>
      <c r="O3" s="2072"/>
      <c r="P3" s="2072"/>
      <c r="Q3" s="3"/>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row>
    <row r="4" spans="1:53" ht="18" customHeight="1" x14ac:dyDescent="0.2">
      <c r="A4" s="2"/>
      <c r="B4" s="2"/>
      <c r="C4" s="2147" t="s">
        <v>175</v>
      </c>
      <c r="D4" s="2148"/>
      <c r="E4" s="2170" t="str">
        <f>IMPOSTAZIONI!E24</f>
        <v>TOTALE</v>
      </c>
      <c r="F4" s="2171"/>
      <c r="G4" s="291" t="str">
        <f>IF($I$163=0,"",IMPOSTAZIONI!G205)</f>
        <v/>
      </c>
      <c r="H4" s="291" t="str">
        <f>IF($I$163=0,"",IMPOSTAZIONI!L205)</f>
        <v/>
      </c>
      <c r="I4" s="2164">
        <f>IMPOSTAZIONI!Q25</f>
        <v>0</v>
      </c>
      <c r="J4" s="2165"/>
      <c r="K4" s="291" t="str">
        <f>IF($I$163=0,"",IMPOSTAZIONI!Q205)</f>
        <v/>
      </c>
      <c r="L4" s="2164">
        <f>IMPOSTAZIONI!Y25</f>
        <v>0</v>
      </c>
      <c r="M4" s="2165"/>
      <c r="N4" s="291" t="str">
        <f>IF($I$163=0,"",IMPOSTAZIONI!V205)</f>
        <v/>
      </c>
      <c r="O4" s="2164">
        <f>IMPOSTAZIONI!AG25</f>
        <v>0</v>
      </c>
      <c r="P4" s="2165"/>
      <c r="Q4" s="83"/>
      <c r="R4" s="2"/>
      <c r="S4" s="2"/>
      <c r="T4" s="2"/>
      <c r="U4" s="2"/>
      <c r="V4" s="251" t="str">
        <f>CONCATENATE(L131,"  ")</f>
        <v xml:space="preserve">attiva trim.  </v>
      </c>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row>
    <row r="5" spans="1:53" ht="18" customHeight="1" x14ac:dyDescent="0.2">
      <c r="A5" s="2"/>
      <c r="B5" s="2"/>
      <c r="C5" s="2149"/>
      <c r="D5" s="2150"/>
      <c r="E5" s="2172"/>
      <c r="F5" s="2173"/>
      <c r="G5" s="292" t="str">
        <f>IF($I$163=0,"",IMPOSTAZIONI!G206)</f>
        <v/>
      </c>
      <c r="H5" s="292" t="str">
        <f>IF($I$163=0,"",IMPOSTAZIONI!L206)</f>
        <v/>
      </c>
      <c r="I5" s="2166"/>
      <c r="J5" s="2167"/>
      <c r="K5" s="292" t="str">
        <f>IF($I$163=0,"",IMPOSTAZIONI!Q206)</f>
        <v/>
      </c>
      <c r="L5" s="2166"/>
      <c r="M5" s="2167"/>
      <c r="N5" s="292" t="str">
        <f>IF($I$163=0,"",IMPOSTAZIONI!V206)</f>
        <v/>
      </c>
      <c r="O5" s="2166"/>
      <c r="P5" s="2167"/>
      <c r="Q5" s="83"/>
      <c r="R5" s="2"/>
      <c r="S5" s="2"/>
      <c r="T5" s="2"/>
      <c r="U5" s="2"/>
      <c r="V5" s="257"/>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row>
    <row r="6" spans="1:53" ht="18" customHeight="1" x14ac:dyDescent="0.2">
      <c r="A6" s="2"/>
      <c r="B6" s="2"/>
      <c r="C6" s="2151">
        <f>IMPOSTAZIONI!$AH$52</f>
        <v>2024</v>
      </c>
      <c r="D6" s="2152"/>
      <c r="E6" s="2153">
        <f>IMPOSTAZIONI!E25</f>
        <v>0</v>
      </c>
      <c r="F6" s="2154"/>
      <c r="G6" s="55" t="str">
        <f>IF($I$163=0,"",IMPOSTAZIONI!G207)</f>
        <v/>
      </c>
      <c r="H6" s="55" t="str">
        <f>IF($I$163=0,"",IMPOSTAZIONI!L207)</f>
        <v/>
      </c>
      <c r="I6" s="834" t="str">
        <f>IMPOSTAZIONI!Q26</f>
        <v>DAL</v>
      </c>
      <c r="J6" s="835" t="str">
        <f>IMPOSTAZIONI!S26</f>
        <v>AL</v>
      </c>
      <c r="K6" s="55" t="str">
        <f>IF($I$163=0,"",IMPOSTAZIONI!Q207)</f>
        <v/>
      </c>
      <c r="L6" s="834" t="str">
        <f>IMPOSTAZIONI!Y26</f>
        <v>DAL</v>
      </c>
      <c r="M6" s="835" t="str">
        <f>IMPOSTAZIONI!AA26</f>
        <v>AL</v>
      </c>
      <c r="N6" s="55" t="str">
        <f>IF($I$163=0,"",IMPOSTAZIONI!V207)</f>
        <v/>
      </c>
      <c r="O6" s="834" t="str">
        <f>IMPOSTAZIONI!AG26</f>
        <v>DAL</v>
      </c>
      <c r="P6" s="835" t="str">
        <f>IMPOSTAZIONI!AI26</f>
        <v>AL</v>
      </c>
      <c r="Q6" s="83"/>
      <c r="R6" s="2"/>
      <c r="S6" s="2"/>
      <c r="T6" s="2"/>
      <c r="U6" s="2"/>
      <c r="V6" s="2"/>
      <c r="W6" s="2"/>
      <c r="X6" s="2"/>
      <c r="Y6" s="501" t="str">
        <f>CASSA!W484</f>
        <v>F</v>
      </c>
      <c r="Z6" s="502" t="str">
        <f>CASSA!W485</f>
        <v>C</v>
      </c>
      <c r="AA6" s="2"/>
      <c r="AB6" s="2"/>
      <c r="AC6" s="2"/>
      <c r="AD6" s="2"/>
      <c r="AE6" s="2"/>
      <c r="AF6" s="2"/>
      <c r="AG6" s="148">
        <f>IF(SUM(G152:J152)&gt;0,1,0)</f>
        <v>0</v>
      </c>
      <c r="AH6" s="1096" t="str">
        <f>$C101</f>
        <v>Aliquota 22 %</v>
      </c>
      <c r="AI6" s="1096" t="str">
        <f>$C102</f>
        <v>Aliquota 10 %</v>
      </c>
      <c r="AJ6" s="1096" t="str">
        <f>$C103</f>
        <v>Aliquota 4 %</v>
      </c>
      <c r="AK6" s="1096" t="str">
        <f>$C104</f>
        <v/>
      </c>
      <c r="AL6" s="2"/>
      <c r="AM6" s="1097" t="s">
        <v>537</v>
      </c>
      <c r="AN6" s="2204" t="s">
        <v>782</v>
      </c>
      <c r="AO6" s="2204"/>
      <c r="AP6" s="2204"/>
      <c r="AQ6" s="2204"/>
      <c r="AR6" s="2"/>
      <c r="AS6" s="148"/>
      <c r="AT6" s="1096" t="str">
        <f>$C101</f>
        <v>Aliquota 22 %</v>
      </c>
      <c r="AU6" s="1096" t="str">
        <f>$C102</f>
        <v>Aliquota 10 %</v>
      </c>
      <c r="AV6" s="1096" t="str">
        <f>$C103</f>
        <v>Aliquota 4 %</v>
      </c>
      <c r="AW6" s="1096" t="str">
        <f>$C104</f>
        <v/>
      </c>
      <c r="AX6" s="2"/>
      <c r="AY6" s="1097" t="s">
        <v>537</v>
      </c>
      <c r="AZ6" s="1382" t="s">
        <v>14</v>
      </c>
      <c r="BA6" s="2"/>
    </row>
    <row r="7" spans="1:53" ht="20.25" customHeight="1" x14ac:dyDescent="0.2">
      <c r="A7" s="2"/>
      <c r="B7" s="2"/>
      <c r="C7" s="2242" t="s">
        <v>177</v>
      </c>
      <c r="D7" s="2243"/>
      <c r="E7" s="2175">
        <f>IMPOSTAZIONI!M265</f>
        <v>0</v>
      </c>
      <c r="F7" s="2176"/>
      <c r="G7" s="1439">
        <f>IMPOSTAZIONI!$AL269</f>
        <v>0</v>
      </c>
      <c r="H7" s="1439">
        <f>IMPOSTAZIONI!$AL270</f>
        <v>0</v>
      </c>
      <c r="I7" s="832"/>
      <c r="J7" s="833"/>
      <c r="K7" s="1439">
        <f>IMPOSTAZIONI!$AL271</f>
        <v>0</v>
      </c>
      <c r="L7" s="832"/>
      <c r="M7" s="833"/>
      <c r="N7" s="1439">
        <f>IMPOSTAZIONI!$AL272</f>
        <v>0</v>
      </c>
      <c r="O7" s="832"/>
      <c r="P7" s="833"/>
      <c r="Q7" s="83"/>
      <c r="R7" s="552" t="s">
        <v>195</v>
      </c>
      <c r="S7" s="552"/>
      <c r="T7" s="552"/>
      <c r="U7" s="552"/>
      <c r="V7" s="507">
        <f>V8-1</f>
        <v>45412</v>
      </c>
      <c r="W7" s="2"/>
      <c r="X7" s="2"/>
      <c r="Y7" s="2"/>
      <c r="Z7" s="2"/>
      <c r="AA7" s="2"/>
      <c r="AB7" s="2021" t="s">
        <v>739</v>
      </c>
      <c r="AC7" s="2021"/>
      <c r="AD7" s="2021"/>
      <c r="AE7" s="2021"/>
      <c r="AF7" s="2"/>
      <c r="AG7" s="2021" t="s">
        <v>781</v>
      </c>
      <c r="AH7" s="2021"/>
      <c r="AI7" s="2021"/>
      <c r="AJ7" s="2021"/>
      <c r="AK7" s="2021"/>
      <c r="AL7" s="2"/>
      <c r="AM7" s="2"/>
      <c r="AN7" s="2"/>
      <c r="AO7" s="2"/>
      <c r="AP7" s="2"/>
      <c r="AQ7" s="2"/>
      <c r="AR7" s="2"/>
      <c r="AS7" s="2021" t="s">
        <v>784</v>
      </c>
      <c r="AT7" s="2021"/>
      <c r="AU7" s="2021"/>
      <c r="AV7" s="2021"/>
      <c r="AW7" s="2021"/>
      <c r="AX7" s="2"/>
      <c r="AY7" s="1097" t="s">
        <v>739</v>
      </c>
      <c r="AZ7" s="1383"/>
      <c r="BA7" s="2"/>
    </row>
    <row r="8" spans="1:53" ht="20.25" customHeight="1" x14ac:dyDescent="0.2">
      <c r="A8" s="2"/>
      <c r="B8" s="18">
        <v>1</v>
      </c>
      <c r="C8" s="234">
        <f>B8</f>
        <v>1</v>
      </c>
      <c r="D8" s="235">
        <v>5</v>
      </c>
      <c r="E8" s="2168" t="str">
        <f t="shared" ref="E8:E38" si="0">IF(AND(L$163=0,OR(V8&lt;B$162,V8&gt;B$163)),CONCATENATE(L$131,"  "),IF(AND((SUM(G8:H8)+K8+N8)&lt;&gt;0,AA8=Z$6),E$163,IF(AND((SUM(G8:H8)+K8+N8)=0,AA8=Z$6),E$162,IF(ISERROR($H$163),0,SUM(G8:H8)+K8+N8-SUMIF(G$42:N$42,K$134,G8:N8)))))</f>
        <v xml:space="preserve">attiva trim.  </v>
      </c>
      <c r="F8" s="2169"/>
      <c r="G8" s="304"/>
      <c r="H8" s="304"/>
      <c r="I8" s="830"/>
      <c r="J8" s="831"/>
      <c r="K8" s="304"/>
      <c r="L8" s="830"/>
      <c r="M8" s="831"/>
      <c r="N8" s="304"/>
      <c r="O8" s="830"/>
      <c r="P8" s="831"/>
      <c r="Q8" s="83"/>
      <c r="R8" s="1050">
        <f>IF(G$62=$L$134,0,IF(AND($L$163=0,$V8&gt;$B$163),0,IF(G$155="X",0,ROUND((G8*G$155)/(100+G$155),2))))</f>
        <v>0</v>
      </c>
      <c r="S8" s="1051">
        <f t="shared" ref="S8:S38" si="1">IF(H$62=$L$134,0,IF(AND($L$163=0,$V8&gt;$B$163),0,IF(H$155="X",0,ROUND((H8*H$155)/(100+H$155),2))))</f>
        <v>0</v>
      </c>
      <c r="T8" s="1051">
        <f>IF(K$62=$L$134,0,IF(AND($L$163=0,$V8&gt;$B$163),0,IF(I$155="X",0,ROUND((K8*I$155)/(100+I$155),2))))</f>
        <v>0</v>
      </c>
      <c r="U8" s="1052">
        <f>IF(N$62=$L$134,0,IF(AND($L$163=0,$V8&gt;$B$163),0,IF(J$155="X",0,ROUND((N8*J$155)/(100+J$155),2))))</f>
        <v>0</v>
      </c>
      <c r="V8" s="231">
        <f>DATE(C$6,D8,C8)</f>
        <v>45413</v>
      </c>
      <c r="W8" s="1050">
        <f t="shared" ref="W8:W38" si="2">IF(AND($L$163=0,$V8&gt;$B$163),0,G8-R8)</f>
        <v>0</v>
      </c>
      <c r="X8" s="1051">
        <f t="shared" ref="X8:X38" si="3">IF(AND($L$163=0,$V8&gt;$B$163),0,H8-S8)</f>
        <v>0</v>
      </c>
      <c r="Y8" s="1051">
        <f t="shared" ref="Y8:Y38" si="4">IF(AND($L$163=0,$V8&gt;$B$163),0,K8-T8)</f>
        <v>0</v>
      </c>
      <c r="Z8" s="1052">
        <f t="shared" ref="Z8:Z38" si="5">IF(AND($L$163=0,$V8&gt;$B$163),0,N8-U8)</f>
        <v>0</v>
      </c>
      <c r="AA8" s="822">
        <f>VLOOKUP(V8,CASSA!$B$114:$C$479,2,FALSE)</f>
        <v>0</v>
      </c>
      <c r="AB8" s="1050">
        <f>IF(AND(G$62=$L$134,$L$78&lt;&gt;0),$L$78/$G$65*G8,0)</f>
        <v>0</v>
      </c>
      <c r="AC8" s="1051">
        <f>IF(AND(H$62=$L$134,$L$78&lt;&gt;0),$L$78/$G$65*H8,0)</f>
        <v>0</v>
      </c>
      <c r="AD8" s="1051">
        <f>IF(AND(K$62=$L$134,$L$78&lt;&gt;0),$L$78/$G$65*K8,0)</f>
        <v>0</v>
      </c>
      <c r="AE8" s="1052">
        <f>IF(AND(N$62=$L$134,$L$78&lt;&gt;0),$L$78/$G$65*N8,0)</f>
        <v>0</v>
      </c>
      <c r="AF8" s="2"/>
      <c r="AG8" s="1087">
        <f>SUMIF($G$152:$J$152,1,W8:Z8)-SUM(AH8:AK8)</f>
        <v>0</v>
      </c>
      <c r="AH8" s="1088">
        <f>IF(AND($AG$6=1,$R$101&lt;&gt;0),$R$101/$R$96*SUMIF($G$152:$J$152,1,$W8:$Z8),0)</f>
        <v>0</v>
      </c>
      <c r="AI8" s="1051">
        <f>IF(AND($AG$6=1,$R$102&lt;&gt;0),$R$102/$R$96*SUMIF($G$152:$J$152,1,$W8:$Z8),0)</f>
        <v>0</v>
      </c>
      <c r="AJ8" s="1051">
        <f>IF(AND($AG$6=1,$R$103&lt;&gt;0),$R$103/$R$96*SUMIF($G$152:$J$152,1,$W8:$Z8),0)</f>
        <v>0</v>
      </c>
      <c r="AK8" s="1089">
        <f t="shared" ref="AK8:AK38" si="6">IF(AND($AG$6=1,$R$104&lt;&gt;0),$R$104/$R$96*SUMIF($G$152:$J$152,1,$W8:$Z8),0)</f>
        <v>0</v>
      </c>
      <c r="AL8" s="2"/>
      <c r="AM8" s="1087">
        <f t="shared" ref="AM8:AM38" si="7">SUMIF($G$42:$N$42,$K$134,$G8:$N8)</f>
        <v>0</v>
      </c>
      <c r="AN8" s="1104">
        <f>IF(G$42=$K$134,R8,0)</f>
        <v>0</v>
      </c>
      <c r="AO8" s="1051">
        <f>IF(H$42=$K$134,S8,0)</f>
        <v>0</v>
      </c>
      <c r="AP8" s="1051">
        <f>IF(K$42=$K$134,T8,0)</f>
        <v>0</v>
      </c>
      <c r="AQ8" s="1089">
        <f>IF(N$42=$K$134,U8,0)</f>
        <v>0</v>
      </c>
      <c r="AR8" s="2"/>
      <c r="AS8" s="1087">
        <f>IF(AG8&lt;&gt;0,AG8*$T$97/100,0)</f>
        <v>0</v>
      </c>
      <c r="AT8" s="1088">
        <f>IF(AH8&lt;&gt;0,AH8*$T$101/100,0)</f>
        <v>0</v>
      </c>
      <c r="AU8" s="1051">
        <f>IF(AI8&lt;&gt;0,AI8*$T$102/100,0)</f>
        <v>0</v>
      </c>
      <c r="AV8" s="1051">
        <f>IF(AJ8&lt;&gt;0,AJ8*$T$103/100,0)</f>
        <v>0</v>
      </c>
      <c r="AW8" s="1089">
        <f>IF(AK8&lt;&gt;0,AK8*$T$104/100,0)</f>
        <v>0</v>
      </c>
      <c r="AX8" s="2"/>
      <c r="AY8" s="1087">
        <f>IF(SUM(AB8:AE8)=0,0,SUM(AB8:AE8)*U$90/100)</f>
        <v>0</v>
      </c>
      <c r="AZ8" s="1384" t="s">
        <v>850</v>
      </c>
      <c r="BA8" s="2"/>
    </row>
    <row r="9" spans="1:53" ht="20.25" customHeight="1" x14ac:dyDescent="0.2">
      <c r="A9" s="2"/>
      <c r="B9" s="18">
        <v>2</v>
      </c>
      <c r="C9" s="234">
        <f>IF(D9="--","--",C8+1)</f>
        <v>2</v>
      </c>
      <c r="D9" s="235">
        <f t="shared" ref="D9:D38" si="8">IF(MONTH(V9)=D$8,D8,"--")</f>
        <v>5</v>
      </c>
      <c r="E9" s="2159" t="str">
        <f t="shared" si="0"/>
        <v xml:space="preserve">attiva trim.  </v>
      </c>
      <c r="F9" s="2160"/>
      <c r="G9" s="237"/>
      <c r="H9" s="237"/>
      <c r="I9" s="828"/>
      <c r="J9" s="829"/>
      <c r="K9" s="237"/>
      <c r="L9" s="828"/>
      <c r="M9" s="829"/>
      <c r="N9" s="237"/>
      <c r="O9" s="828"/>
      <c r="P9" s="829"/>
      <c r="Q9" s="83"/>
      <c r="R9" s="1053">
        <f t="shared" ref="R9:R38" si="9">IF(G$62=$L$134,0,IF(AND($L$163=0,$V9&gt;$B$163),0,IF(G$155="X",0,ROUND((G9*G$155)/(100+G$155),2))))</f>
        <v>0</v>
      </c>
      <c r="S9" s="1054">
        <f t="shared" si="1"/>
        <v>0</v>
      </c>
      <c r="T9" s="1054">
        <f t="shared" ref="T9:T38" si="10">IF(K$62=$L$134,0,IF(AND($L$163=0,$V9&gt;$B$163),0,IF(I$155="X",0,ROUND((K9*I$155)/(100+I$155),2))))</f>
        <v>0</v>
      </c>
      <c r="U9" s="1055">
        <f t="shared" ref="U9:U38" si="11">IF(N$62=$L$134,0,IF(AND($L$163=0,$V9&gt;$B$163),0,IF(J$155="X",0,ROUND((N9*J$155)/(100+J$155),2))))</f>
        <v>0</v>
      </c>
      <c r="V9" s="231">
        <f>V8+1</f>
        <v>45414</v>
      </c>
      <c r="W9" s="1053">
        <f t="shared" si="2"/>
        <v>0</v>
      </c>
      <c r="X9" s="1054">
        <f t="shared" si="3"/>
        <v>0</v>
      </c>
      <c r="Y9" s="1054">
        <f t="shared" si="4"/>
        <v>0</v>
      </c>
      <c r="Z9" s="1055">
        <f t="shared" si="5"/>
        <v>0</v>
      </c>
      <c r="AA9" s="822">
        <f>VLOOKUP(V9,CASSA!$B$114:$C$479,2,FALSE)</f>
        <v>0</v>
      </c>
      <c r="AB9" s="1053">
        <f t="shared" ref="AB9:AB38" si="12">IF(AND(G$62=$L$134,$L$78&lt;&gt;0),$L$78/$G$65*G9,0)</f>
        <v>0</v>
      </c>
      <c r="AC9" s="1054">
        <f t="shared" ref="AC9:AC38" si="13">IF(AND(H$62=$L$134,$L$78&lt;&gt;0),$L$78/$G$65*H9,0)</f>
        <v>0</v>
      </c>
      <c r="AD9" s="1054">
        <f t="shared" ref="AD9:AD38" si="14">IF(AND(K$62=$L$134,$L$78&lt;&gt;0),$L$78/$G$65*K9,0)</f>
        <v>0</v>
      </c>
      <c r="AE9" s="1055">
        <f t="shared" ref="AE9:AE38" si="15">IF(AND(N$62=$L$134,$L$78&lt;&gt;0),$L$78/$G$65*N9,0)</f>
        <v>0</v>
      </c>
      <c r="AF9" s="2"/>
      <c r="AG9" s="1090">
        <f t="shared" ref="AG9:AG38" si="16">SUMIF($G$152:$J$152,1,W9:Z9)-SUM(AH9:AK9)</f>
        <v>0</v>
      </c>
      <c r="AH9" s="1091">
        <f t="shared" ref="AH9:AH38" si="17">IF(AND($AG$6=1,$R$101&lt;&gt;0),$R$101/$R$96*SUMIF($G$152:$J$152,1,$W9:$Z9),0)</f>
        <v>0</v>
      </c>
      <c r="AI9" s="1054">
        <f t="shared" ref="AI9:AI38" si="18">IF(AND($AG$6=1,$R$102&lt;&gt;0),$R$102/$R$96*SUMIF($G$152:$J$152,1,$W9:$Z9),0)</f>
        <v>0</v>
      </c>
      <c r="AJ9" s="1054">
        <f t="shared" ref="AJ9:AJ38" si="19">IF(AND($AG$6=1,$R$103&lt;&gt;0),$R$103/$R$96*SUMIF($G$152:$J$152,1,$W9:$Z9),0)</f>
        <v>0</v>
      </c>
      <c r="AK9" s="1092">
        <f t="shared" si="6"/>
        <v>0</v>
      </c>
      <c r="AL9" s="2"/>
      <c r="AM9" s="1090">
        <f t="shared" si="7"/>
        <v>0</v>
      </c>
      <c r="AN9" s="1105">
        <f t="shared" ref="AN9:AN38" si="20">IF(G$42=$K$134,R9,0)</f>
        <v>0</v>
      </c>
      <c r="AO9" s="1054">
        <f t="shared" ref="AO9:AO38" si="21">IF(H$42=$K$134,S9,0)</f>
        <v>0</v>
      </c>
      <c r="AP9" s="1054">
        <f t="shared" ref="AP9:AP38" si="22">IF(K$42=$K$134,T9,0)</f>
        <v>0</v>
      </c>
      <c r="AQ9" s="1092">
        <f t="shared" ref="AQ9:AQ38" si="23">IF(N$42=$K$134,U9,0)</f>
        <v>0</v>
      </c>
      <c r="AR9" s="2"/>
      <c r="AS9" s="1090">
        <f t="shared" ref="AS9:AS38" si="24">IF(AG9&lt;&gt;0,AG9*$T$97/100,0)</f>
        <v>0</v>
      </c>
      <c r="AT9" s="1091">
        <f t="shared" ref="AT9:AT38" si="25">IF(AH9&lt;&gt;0,AH9*$T$101/100,0)</f>
        <v>0</v>
      </c>
      <c r="AU9" s="1054">
        <f t="shared" ref="AU9:AU38" si="26">IF(AI9&lt;&gt;0,AI9*$T$102/100,0)</f>
        <v>0</v>
      </c>
      <c r="AV9" s="1054">
        <f t="shared" ref="AV9:AV38" si="27">IF(AJ9&lt;&gt;0,AJ9*$T$103/100,0)</f>
        <v>0</v>
      </c>
      <c r="AW9" s="1092">
        <f t="shared" ref="AW9:AW38" si="28">IF(AK9&lt;&gt;0,AK9*$T$104/100,0)</f>
        <v>0</v>
      </c>
      <c r="AX9" s="2"/>
      <c r="AY9" s="1090">
        <f t="shared" ref="AY9:AY38" si="29">IF(SUM(AB9:AE9)=0,0,SUM(AB9:AE9)*U$90/100)</f>
        <v>0</v>
      </c>
      <c r="AZ9" s="1385" t="s">
        <v>851</v>
      </c>
      <c r="BA9" s="2"/>
    </row>
    <row r="10" spans="1:53" ht="20.25" customHeight="1" x14ac:dyDescent="0.2">
      <c r="A10" s="2"/>
      <c r="B10" s="18">
        <v>3</v>
      </c>
      <c r="C10" s="234">
        <f t="shared" ref="C10:C38" si="30">IF(D10="--","--",C9+1)</f>
        <v>3</v>
      </c>
      <c r="D10" s="235">
        <f t="shared" si="8"/>
        <v>5</v>
      </c>
      <c r="E10" s="2159" t="str">
        <f t="shared" si="0"/>
        <v xml:space="preserve">attiva trim.  </v>
      </c>
      <c r="F10" s="2160"/>
      <c r="G10" s="237"/>
      <c r="H10" s="237"/>
      <c r="I10" s="828"/>
      <c r="J10" s="829"/>
      <c r="K10" s="237"/>
      <c r="L10" s="828"/>
      <c r="M10" s="829"/>
      <c r="N10" s="237"/>
      <c r="O10" s="828"/>
      <c r="P10" s="829"/>
      <c r="Q10" s="83"/>
      <c r="R10" s="1053">
        <f t="shared" si="9"/>
        <v>0</v>
      </c>
      <c r="S10" s="1054">
        <f t="shared" si="1"/>
        <v>0</v>
      </c>
      <c r="T10" s="1054">
        <f t="shared" si="10"/>
        <v>0</v>
      </c>
      <c r="U10" s="1055">
        <f t="shared" si="11"/>
        <v>0</v>
      </c>
      <c r="V10" s="231">
        <f t="shared" ref="V10:V38" si="31">V9+1</f>
        <v>45415</v>
      </c>
      <c r="W10" s="1053">
        <f t="shared" si="2"/>
        <v>0</v>
      </c>
      <c r="X10" s="1054">
        <f t="shared" si="3"/>
        <v>0</v>
      </c>
      <c r="Y10" s="1054">
        <f t="shared" si="4"/>
        <v>0</v>
      </c>
      <c r="Z10" s="1055">
        <f t="shared" si="5"/>
        <v>0</v>
      </c>
      <c r="AA10" s="822">
        <f>VLOOKUP(V10,CASSA!$B$114:$C$479,2,FALSE)</f>
        <v>0</v>
      </c>
      <c r="AB10" s="1053">
        <f t="shared" si="12"/>
        <v>0</v>
      </c>
      <c r="AC10" s="1054">
        <f t="shared" si="13"/>
        <v>0</v>
      </c>
      <c r="AD10" s="1054">
        <f t="shared" si="14"/>
        <v>0</v>
      </c>
      <c r="AE10" s="1055">
        <f t="shared" si="15"/>
        <v>0</v>
      </c>
      <c r="AF10" s="2"/>
      <c r="AG10" s="1090">
        <f t="shared" si="16"/>
        <v>0</v>
      </c>
      <c r="AH10" s="1091">
        <f t="shared" si="17"/>
        <v>0</v>
      </c>
      <c r="AI10" s="1054">
        <f t="shared" si="18"/>
        <v>0</v>
      </c>
      <c r="AJ10" s="1054">
        <f t="shared" si="19"/>
        <v>0</v>
      </c>
      <c r="AK10" s="1092">
        <f t="shared" si="6"/>
        <v>0</v>
      </c>
      <c r="AL10" s="2"/>
      <c r="AM10" s="1090">
        <f t="shared" si="7"/>
        <v>0</v>
      </c>
      <c r="AN10" s="1105">
        <f t="shared" si="20"/>
        <v>0</v>
      </c>
      <c r="AO10" s="1054">
        <f t="shared" si="21"/>
        <v>0</v>
      </c>
      <c r="AP10" s="1054">
        <f t="shared" si="22"/>
        <v>0</v>
      </c>
      <c r="AQ10" s="1092">
        <f t="shared" si="23"/>
        <v>0</v>
      </c>
      <c r="AR10" s="2"/>
      <c r="AS10" s="1090">
        <f t="shared" si="24"/>
        <v>0</v>
      </c>
      <c r="AT10" s="1091">
        <f t="shared" si="25"/>
        <v>0</v>
      </c>
      <c r="AU10" s="1054">
        <f t="shared" si="26"/>
        <v>0</v>
      </c>
      <c r="AV10" s="1054">
        <f t="shared" si="27"/>
        <v>0</v>
      </c>
      <c r="AW10" s="1092">
        <f t="shared" si="28"/>
        <v>0</v>
      </c>
      <c r="AX10" s="2"/>
      <c r="AY10" s="1090">
        <f t="shared" si="29"/>
        <v>0</v>
      </c>
      <c r="AZ10" s="1385" t="s">
        <v>852</v>
      </c>
      <c r="BA10" s="2"/>
    </row>
    <row r="11" spans="1:53" ht="20.25" customHeight="1" x14ac:dyDescent="0.2">
      <c r="A11" s="2"/>
      <c r="B11" s="18">
        <v>4</v>
      </c>
      <c r="C11" s="234">
        <f t="shared" si="30"/>
        <v>4</v>
      </c>
      <c r="D11" s="235">
        <f t="shared" si="8"/>
        <v>5</v>
      </c>
      <c r="E11" s="2159" t="str">
        <f t="shared" si="0"/>
        <v xml:space="preserve">attiva trim.  </v>
      </c>
      <c r="F11" s="2160"/>
      <c r="G11" s="237"/>
      <c r="H11" s="237"/>
      <c r="I11" s="828"/>
      <c r="J11" s="829"/>
      <c r="K11" s="237"/>
      <c r="L11" s="828"/>
      <c r="M11" s="829"/>
      <c r="N11" s="237"/>
      <c r="O11" s="828"/>
      <c r="P11" s="829"/>
      <c r="Q11" s="6"/>
      <c r="R11" s="1053">
        <f t="shared" si="9"/>
        <v>0</v>
      </c>
      <c r="S11" s="1054">
        <f t="shared" si="1"/>
        <v>0</v>
      </c>
      <c r="T11" s="1054">
        <f t="shared" si="10"/>
        <v>0</v>
      </c>
      <c r="U11" s="1055">
        <f t="shared" si="11"/>
        <v>0</v>
      </c>
      <c r="V11" s="231">
        <f t="shared" si="31"/>
        <v>45416</v>
      </c>
      <c r="W11" s="1053">
        <f t="shared" si="2"/>
        <v>0</v>
      </c>
      <c r="X11" s="1054">
        <f t="shared" si="3"/>
        <v>0</v>
      </c>
      <c r="Y11" s="1054">
        <f t="shared" si="4"/>
        <v>0</v>
      </c>
      <c r="Z11" s="1055">
        <f t="shared" si="5"/>
        <v>0</v>
      </c>
      <c r="AA11" s="822">
        <f>VLOOKUP(V11,CASSA!$B$114:$C$479,2,FALSE)</f>
        <v>0</v>
      </c>
      <c r="AB11" s="1053">
        <f t="shared" si="12"/>
        <v>0</v>
      </c>
      <c r="AC11" s="1054">
        <f t="shared" si="13"/>
        <v>0</v>
      </c>
      <c r="AD11" s="1054">
        <f t="shared" si="14"/>
        <v>0</v>
      </c>
      <c r="AE11" s="1055">
        <f t="shared" si="15"/>
        <v>0</v>
      </c>
      <c r="AF11" s="2"/>
      <c r="AG11" s="1090">
        <f t="shared" si="16"/>
        <v>0</v>
      </c>
      <c r="AH11" s="1091">
        <f t="shared" si="17"/>
        <v>0</v>
      </c>
      <c r="AI11" s="1054">
        <f t="shared" si="18"/>
        <v>0</v>
      </c>
      <c r="AJ11" s="1054">
        <f t="shared" si="19"/>
        <v>0</v>
      </c>
      <c r="AK11" s="1092">
        <f t="shared" si="6"/>
        <v>0</v>
      </c>
      <c r="AL11" s="2"/>
      <c r="AM11" s="1090">
        <f t="shared" si="7"/>
        <v>0</v>
      </c>
      <c r="AN11" s="1105">
        <f t="shared" si="20"/>
        <v>0</v>
      </c>
      <c r="AO11" s="1054">
        <f t="shared" si="21"/>
        <v>0</v>
      </c>
      <c r="AP11" s="1054">
        <f t="shared" si="22"/>
        <v>0</v>
      </c>
      <c r="AQ11" s="1092">
        <f t="shared" si="23"/>
        <v>0</v>
      </c>
      <c r="AR11" s="2"/>
      <c r="AS11" s="1090">
        <f t="shared" si="24"/>
        <v>0</v>
      </c>
      <c r="AT11" s="1091">
        <f t="shared" si="25"/>
        <v>0</v>
      </c>
      <c r="AU11" s="1054">
        <f t="shared" si="26"/>
        <v>0</v>
      </c>
      <c r="AV11" s="1054">
        <f t="shared" si="27"/>
        <v>0</v>
      </c>
      <c r="AW11" s="1092">
        <f t="shared" si="28"/>
        <v>0</v>
      </c>
      <c r="AX11" s="2"/>
      <c r="AY11" s="1090">
        <f t="shared" si="29"/>
        <v>0</v>
      </c>
      <c r="AZ11" s="1385" t="s">
        <v>853</v>
      </c>
      <c r="BA11" s="2"/>
    </row>
    <row r="12" spans="1:53" ht="20.25" customHeight="1" x14ac:dyDescent="0.2">
      <c r="A12" s="2"/>
      <c r="B12" s="18">
        <v>5</v>
      </c>
      <c r="C12" s="234">
        <f t="shared" si="30"/>
        <v>5</v>
      </c>
      <c r="D12" s="235">
        <f t="shared" si="8"/>
        <v>5</v>
      </c>
      <c r="E12" s="2159" t="str">
        <f t="shared" si="0"/>
        <v xml:space="preserve">attiva trim.  </v>
      </c>
      <c r="F12" s="2160"/>
      <c r="G12" s="237"/>
      <c r="H12" s="237"/>
      <c r="I12" s="828"/>
      <c r="J12" s="829"/>
      <c r="K12" s="237"/>
      <c r="L12" s="828"/>
      <c r="M12" s="829"/>
      <c r="N12" s="237"/>
      <c r="O12" s="828"/>
      <c r="P12" s="829"/>
      <c r="Q12" s="6"/>
      <c r="R12" s="1053">
        <f t="shared" si="9"/>
        <v>0</v>
      </c>
      <c r="S12" s="1054">
        <f t="shared" si="1"/>
        <v>0</v>
      </c>
      <c r="T12" s="1054">
        <f t="shared" si="10"/>
        <v>0</v>
      </c>
      <c r="U12" s="1055">
        <f t="shared" si="11"/>
        <v>0</v>
      </c>
      <c r="V12" s="231">
        <f t="shared" si="31"/>
        <v>45417</v>
      </c>
      <c r="W12" s="1053">
        <f t="shared" si="2"/>
        <v>0</v>
      </c>
      <c r="X12" s="1054">
        <f t="shared" si="3"/>
        <v>0</v>
      </c>
      <c r="Y12" s="1054">
        <f t="shared" si="4"/>
        <v>0</v>
      </c>
      <c r="Z12" s="1055">
        <f t="shared" si="5"/>
        <v>0</v>
      </c>
      <c r="AA12" s="822">
        <f>VLOOKUP(V12,CASSA!$B$114:$C$479,2,FALSE)</f>
        <v>0</v>
      </c>
      <c r="AB12" s="1053">
        <f t="shared" si="12"/>
        <v>0</v>
      </c>
      <c r="AC12" s="1054">
        <f t="shared" si="13"/>
        <v>0</v>
      </c>
      <c r="AD12" s="1054">
        <f t="shared" si="14"/>
        <v>0</v>
      </c>
      <c r="AE12" s="1055">
        <f t="shared" si="15"/>
        <v>0</v>
      </c>
      <c r="AF12" s="2"/>
      <c r="AG12" s="1090">
        <f t="shared" si="16"/>
        <v>0</v>
      </c>
      <c r="AH12" s="1091">
        <f t="shared" si="17"/>
        <v>0</v>
      </c>
      <c r="AI12" s="1054">
        <f t="shared" si="18"/>
        <v>0</v>
      </c>
      <c r="AJ12" s="1054">
        <f t="shared" si="19"/>
        <v>0</v>
      </c>
      <c r="AK12" s="1092">
        <f t="shared" si="6"/>
        <v>0</v>
      </c>
      <c r="AL12" s="2"/>
      <c r="AM12" s="1090">
        <f t="shared" si="7"/>
        <v>0</v>
      </c>
      <c r="AN12" s="1105">
        <f t="shared" si="20"/>
        <v>0</v>
      </c>
      <c r="AO12" s="1054">
        <f t="shared" si="21"/>
        <v>0</v>
      </c>
      <c r="AP12" s="1054">
        <f t="shared" si="22"/>
        <v>0</v>
      </c>
      <c r="AQ12" s="1092">
        <f t="shared" si="23"/>
        <v>0</v>
      </c>
      <c r="AR12" s="2"/>
      <c r="AS12" s="1090">
        <f t="shared" si="24"/>
        <v>0</v>
      </c>
      <c r="AT12" s="1091">
        <f t="shared" si="25"/>
        <v>0</v>
      </c>
      <c r="AU12" s="1054">
        <f t="shared" si="26"/>
        <v>0</v>
      </c>
      <c r="AV12" s="1054">
        <f t="shared" si="27"/>
        <v>0</v>
      </c>
      <c r="AW12" s="1092">
        <f t="shared" si="28"/>
        <v>0</v>
      </c>
      <c r="AX12" s="2"/>
      <c r="AY12" s="1090">
        <f t="shared" si="29"/>
        <v>0</v>
      </c>
      <c r="AZ12" s="1385"/>
      <c r="BA12" s="2"/>
    </row>
    <row r="13" spans="1:53" ht="20.25" customHeight="1" x14ac:dyDescent="0.2">
      <c r="A13" s="2"/>
      <c r="B13" s="18">
        <v>6</v>
      </c>
      <c r="C13" s="234">
        <f t="shared" si="30"/>
        <v>6</v>
      </c>
      <c r="D13" s="235">
        <f t="shared" si="8"/>
        <v>5</v>
      </c>
      <c r="E13" s="2159" t="str">
        <f t="shared" si="0"/>
        <v xml:space="preserve">attiva trim.  </v>
      </c>
      <c r="F13" s="2160"/>
      <c r="G13" s="237"/>
      <c r="H13" s="237"/>
      <c r="I13" s="828"/>
      <c r="J13" s="829"/>
      <c r="K13" s="237"/>
      <c r="L13" s="828"/>
      <c r="M13" s="829"/>
      <c r="N13" s="237"/>
      <c r="O13" s="828"/>
      <c r="P13" s="829"/>
      <c r="Q13" s="6"/>
      <c r="R13" s="1053">
        <f t="shared" si="9"/>
        <v>0</v>
      </c>
      <c r="S13" s="1054">
        <f t="shared" si="1"/>
        <v>0</v>
      </c>
      <c r="T13" s="1054">
        <f t="shared" si="10"/>
        <v>0</v>
      </c>
      <c r="U13" s="1055">
        <f t="shared" si="11"/>
        <v>0</v>
      </c>
      <c r="V13" s="231">
        <f t="shared" si="31"/>
        <v>45418</v>
      </c>
      <c r="W13" s="1053">
        <f t="shared" si="2"/>
        <v>0</v>
      </c>
      <c r="X13" s="1054">
        <f t="shared" si="3"/>
        <v>0</v>
      </c>
      <c r="Y13" s="1054">
        <f t="shared" si="4"/>
        <v>0</v>
      </c>
      <c r="Z13" s="1055">
        <f t="shared" si="5"/>
        <v>0</v>
      </c>
      <c r="AA13" s="822">
        <f>VLOOKUP(V13,CASSA!$B$114:$C$479,2,FALSE)</f>
        <v>0</v>
      </c>
      <c r="AB13" s="1053">
        <f t="shared" si="12"/>
        <v>0</v>
      </c>
      <c r="AC13" s="1054">
        <f t="shared" si="13"/>
        <v>0</v>
      </c>
      <c r="AD13" s="1054">
        <f t="shared" si="14"/>
        <v>0</v>
      </c>
      <c r="AE13" s="1055">
        <f t="shared" si="15"/>
        <v>0</v>
      </c>
      <c r="AF13" s="2"/>
      <c r="AG13" s="1090">
        <f t="shared" si="16"/>
        <v>0</v>
      </c>
      <c r="AH13" s="1091">
        <f t="shared" si="17"/>
        <v>0</v>
      </c>
      <c r="AI13" s="1054">
        <f t="shared" si="18"/>
        <v>0</v>
      </c>
      <c r="AJ13" s="1054">
        <f t="shared" si="19"/>
        <v>0</v>
      </c>
      <c r="AK13" s="1092">
        <f t="shared" si="6"/>
        <v>0</v>
      </c>
      <c r="AL13" s="2"/>
      <c r="AM13" s="1090">
        <f t="shared" si="7"/>
        <v>0</v>
      </c>
      <c r="AN13" s="1105">
        <f t="shared" si="20"/>
        <v>0</v>
      </c>
      <c r="AO13" s="1054">
        <f t="shared" si="21"/>
        <v>0</v>
      </c>
      <c r="AP13" s="1054">
        <f t="shared" si="22"/>
        <v>0</v>
      </c>
      <c r="AQ13" s="1092">
        <f t="shared" si="23"/>
        <v>0</v>
      </c>
      <c r="AR13" s="2"/>
      <c r="AS13" s="1090">
        <f t="shared" si="24"/>
        <v>0</v>
      </c>
      <c r="AT13" s="1091">
        <f t="shared" si="25"/>
        <v>0</v>
      </c>
      <c r="AU13" s="1054">
        <f t="shared" si="26"/>
        <v>0</v>
      </c>
      <c r="AV13" s="1054">
        <f t="shared" si="27"/>
        <v>0</v>
      </c>
      <c r="AW13" s="1092">
        <f t="shared" si="28"/>
        <v>0</v>
      </c>
      <c r="AX13" s="2"/>
      <c r="AY13" s="1090">
        <f t="shared" si="29"/>
        <v>0</v>
      </c>
      <c r="AZ13" s="1385"/>
      <c r="BA13" s="2"/>
    </row>
    <row r="14" spans="1:53" ht="20.25" customHeight="1" x14ac:dyDescent="0.2">
      <c r="A14" s="2"/>
      <c r="B14" s="18">
        <v>7</v>
      </c>
      <c r="C14" s="234">
        <f t="shared" si="30"/>
        <v>7</v>
      </c>
      <c r="D14" s="235">
        <f t="shared" si="8"/>
        <v>5</v>
      </c>
      <c r="E14" s="2159" t="str">
        <f t="shared" si="0"/>
        <v xml:space="preserve">attiva trim.  </v>
      </c>
      <c r="F14" s="2160"/>
      <c r="G14" s="237"/>
      <c r="H14" s="237"/>
      <c r="I14" s="828"/>
      <c r="J14" s="829"/>
      <c r="K14" s="237"/>
      <c r="L14" s="828"/>
      <c r="M14" s="829"/>
      <c r="N14" s="237"/>
      <c r="O14" s="828"/>
      <c r="P14" s="829"/>
      <c r="Q14" s="6"/>
      <c r="R14" s="1053">
        <f t="shared" si="9"/>
        <v>0</v>
      </c>
      <c r="S14" s="1054">
        <f t="shared" si="1"/>
        <v>0</v>
      </c>
      <c r="T14" s="1054">
        <f t="shared" si="10"/>
        <v>0</v>
      </c>
      <c r="U14" s="1055">
        <f t="shared" si="11"/>
        <v>0</v>
      </c>
      <c r="V14" s="231">
        <f t="shared" si="31"/>
        <v>45419</v>
      </c>
      <c r="W14" s="1053">
        <f t="shared" si="2"/>
        <v>0</v>
      </c>
      <c r="X14" s="1054">
        <f t="shared" si="3"/>
        <v>0</v>
      </c>
      <c r="Y14" s="1054">
        <f t="shared" si="4"/>
        <v>0</v>
      </c>
      <c r="Z14" s="1055">
        <f t="shared" si="5"/>
        <v>0</v>
      </c>
      <c r="AA14" s="822">
        <f>VLOOKUP(V14,CASSA!$B$114:$C$479,2,FALSE)</f>
        <v>0</v>
      </c>
      <c r="AB14" s="1053">
        <f t="shared" si="12"/>
        <v>0</v>
      </c>
      <c r="AC14" s="1054">
        <f t="shared" si="13"/>
        <v>0</v>
      </c>
      <c r="AD14" s="1054">
        <f t="shared" si="14"/>
        <v>0</v>
      </c>
      <c r="AE14" s="1055">
        <f t="shared" si="15"/>
        <v>0</v>
      </c>
      <c r="AF14" s="2"/>
      <c r="AG14" s="1090">
        <f t="shared" si="16"/>
        <v>0</v>
      </c>
      <c r="AH14" s="1091">
        <f t="shared" si="17"/>
        <v>0</v>
      </c>
      <c r="AI14" s="1054">
        <f t="shared" si="18"/>
        <v>0</v>
      </c>
      <c r="AJ14" s="1054">
        <f t="shared" si="19"/>
        <v>0</v>
      </c>
      <c r="AK14" s="1092">
        <f t="shared" si="6"/>
        <v>0</v>
      </c>
      <c r="AL14" s="2"/>
      <c r="AM14" s="1090">
        <f t="shared" si="7"/>
        <v>0</v>
      </c>
      <c r="AN14" s="1105">
        <f t="shared" si="20"/>
        <v>0</v>
      </c>
      <c r="AO14" s="1054">
        <f t="shared" si="21"/>
        <v>0</v>
      </c>
      <c r="AP14" s="1054">
        <f t="shared" si="22"/>
        <v>0</v>
      </c>
      <c r="AQ14" s="1092">
        <f t="shared" si="23"/>
        <v>0</v>
      </c>
      <c r="AR14" s="2"/>
      <c r="AS14" s="1090">
        <f t="shared" si="24"/>
        <v>0</v>
      </c>
      <c r="AT14" s="1091">
        <f t="shared" si="25"/>
        <v>0</v>
      </c>
      <c r="AU14" s="1054">
        <f t="shared" si="26"/>
        <v>0</v>
      </c>
      <c r="AV14" s="1054">
        <f t="shared" si="27"/>
        <v>0</v>
      </c>
      <c r="AW14" s="1092">
        <f t="shared" si="28"/>
        <v>0</v>
      </c>
      <c r="AX14" s="2"/>
      <c r="AY14" s="1090">
        <f t="shared" si="29"/>
        <v>0</v>
      </c>
      <c r="AZ14" s="1385"/>
      <c r="BA14" s="2"/>
    </row>
    <row r="15" spans="1:53" ht="20.25" customHeight="1" x14ac:dyDescent="0.2">
      <c r="A15" s="2"/>
      <c r="B15" s="18">
        <v>8</v>
      </c>
      <c r="C15" s="234">
        <f t="shared" si="30"/>
        <v>8</v>
      </c>
      <c r="D15" s="235">
        <f t="shared" si="8"/>
        <v>5</v>
      </c>
      <c r="E15" s="2159" t="str">
        <f t="shared" si="0"/>
        <v xml:space="preserve">attiva trim.  </v>
      </c>
      <c r="F15" s="2160"/>
      <c r="G15" s="237"/>
      <c r="H15" s="237"/>
      <c r="I15" s="828"/>
      <c r="J15" s="829"/>
      <c r="K15" s="237"/>
      <c r="L15" s="828"/>
      <c r="M15" s="829"/>
      <c r="N15" s="237"/>
      <c r="O15" s="828"/>
      <c r="P15" s="829"/>
      <c r="Q15" s="6"/>
      <c r="R15" s="1053">
        <f t="shared" si="9"/>
        <v>0</v>
      </c>
      <c r="S15" s="1054">
        <f t="shared" si="1"/>
        <v>0</v>
      </c>
      <c r="T15" s="1054">
        <f t="shared" si="10"/>
        <v>0</v>
      </c>
      <c r="U15" s="1055">
        <f t="shared" si="11"/>
        <v>0</v>
      </c>
      <c r="V15" s="231">
        <f t="shared" si="31"/>
        <v>45420</v>
      </c>
      <c r="W15" s="1053">
        <f t="shared" si="2"/>
        <v>0</v>
      </c>
      <c r="X15" s="1054">
        <f t="shared" si="3"/>
        <v>0</v>
      </c>
      <c r="Y15" s="1054">
        <f t="shared" si="4"/>
        <v>0</v>
      </c>
      <c r="Z15" s="1055">
        <f t="shared" si="5"/>
        <v>0</v>
      </c>
      <c r="AA15" s="822">
        <f>VLOOKUP(V15,CASSA!$B$114:$C$479,2,FALSE)</f>
        <v>0</v>
      </c>
      <c r="AB15" s="1053">
        <f t="shared" si="12"/>
        <v>0</v>
      </c>
      <c r="AC15" s="1054">
        <f t="shared" si="13"/>
        <v>0</v>
      </c>
      <c r="AD15" s="1054">
        <f t="shared" si="14"/>
        <v>0</v>
      </c>
      <c r="AE15" s="1055">
        <f t="shared" si="15"/>
        <v>0</v>
      </c>
      <c r="AF15" s="2"/>
      <c r="AG15" s="1090">
        <f t="shared" si="16"/>
        <v>0</v>
      </c>
      <c r="AH15" s="1091">
        <f t="shared" si="17"/>
        <v>0</v>
      </c>
      <c r="AI15" s="1054">
        <f t="shared" si="18"/>
        <v>0</v>
      </c>
      <c r="AJ15" s="1054">
        <f t="shared" si="19"/>
        <v>0</v>
      </c>
      <c r="AK15" s="1092">
        <f t="shared" si="6"/>
        <v>0</v>
      </c>
      <c r="AL15" s="2"/>
      <c r="AM15" s="1090">
        <f t="shared" si="7"/>
        <v>0</v>
      </c>
      <c r="AN15" s="1105">
        <f t="shared" si="20"/>
        <v>0</v>
      </c>
      <c r="AO15" s="1054">
        <f t="shared" si="21"/>
        <v>0</v>
      </c>
      <c r="AP15" s="1054">
        <f t="shared" si="22"/>
        <v>0</v>
      </c>
      <c r="AQ15" s="1092">
        <f t="shared" si="23"/>
        <v>0</v>
      </c>
      <c r="AR15" s="2"/>
      <c r="AS15" s="1090">
        <f t="shared" si="24"/>
        <v>0</v>
      </c>
      <c r="AT15" s="1091">
        <f t="shared" si="25"/>
        <v>0</v>
      </c>
      <c r="AU15" s="1054">
        <f t="shared" si="26"/>
        <v>0</v>
      </c>
      <c r="AV15" s="1054">
        <f t="shared" si="27"/>
        <v>0</v>
      </c>
      <c r="AW15" s="1092">
        <f t="shared" si="28"/>
        <v>0</v>
      </c>
      <c r="AX15" s="2"/>
      <c r="AY15" s="1090">
        <f t="shared" si="29"/>
        <v>0</v>
      </c>
      <c r="AZ15" s="1385"/>
      <c r="BA15" s="2"/>
    </row>
    <row r="16" spans="1:53" ht="20.25" customHeight="1" x14ac:dyDescent="0.2">
      <c r="A16" s="2"/>
      <c r="B16" s="18">
        <v>9</v>
      </c>
      <c r="C16" s="234">
        <f t="shared" si="30"/>
        <v>9</v>
      </c>
      <c r="D16" s="235">
        <f t="shared" si="8"/>
        <v>5</v>
      </c>
      <c r="E16" s="2159" t="str">
        <f t="shared" si="0"/>
        <v xml:space="preserve">attiva trim.  </v>
      </c>
      <c r="F16" s="2160"/>
      <c r="G16" s="237"/>
      <c r="H16" s="237"/>
      <c r="I16" s="828"/>
      <c r="J16" s="829"/>
      <c r="K16" s="237"/>
      <c r="L16" s="828"/>
      <c r="M16" s="829"/>
      <c r="N16" s="237"/>
      <c r="O16" s="828"/>
      <c r="P16" s="829"/>
      <c r="Q16" s="6"/>
      <c r="R16" s="1053">
        <f t="shared" si="9"/>
        <v>0</v>
      </c>
      <c r="S16" s="1054">
        <f t="shared" si="1"/>
        <v>0</v>
      </c>
      <c r="T16" s="1054">
        <f t="shared" si="10"/>
        <v>0</v>
      </c>
      <c r="U16" s="1055">
        <f t="shared" si="11"/>
        <v>0</v>
      </c>
      <c r="V16" s="231">
        <f t="shared" si="31"/>
        <v>45421</v>
      </c>
      <c r="W16" s="1053">
        <f t="shared" si="2"/>
        <v>0</v>
      </c>
      <c r="X16" s="1054">
        <f t="shared" si="3"/>
        <v>0</v>
      </c>
      <c r="Y16" s="1054">
        <f t="shared" si="4"/>
        <v>0</v>
      </c>
      <c r="Z16" s="1055">
        <f t="shared" si="5"/>
        <v>0</v>
      </c>
      <c r="AA16" s="822">
        <f>VLOOKUP(V16,CASSA!$B$114:$C$479,2,FALSE)</f>
        <v>0</v>
      </c>
      <c r="AB16" s="1053">
        <f t="shared" si="12"/>
        <v>0</v>
      </c>
      <c r="AC16" s="1054">
        <f t="shared" si="13"/>
        <v>0</v>
      </c>
      <c r="AD16" s="1054">
        <f t="shared" si="14"/>
        <v>0</v>
      </c>
      <c r="AE16" s="1055">
        <f t="shared" si="15"/>
        <v>0</v>
      </c>
      <c r="AF16" s="2"/>
      <c r="AG16" s="1090">
        <f t="shared" si="16"/>
        <v>0</v>
      </c>
      <c r="AH16" s="1091">
        <f t="shared" si="17"/>
        <v>0</v>
      </c>
      <c r="AI16" s="1054">
        <f t="shared" si="18"/>
        <v>0</v>
      </c>
      <c r="AJ16" s="1054">
        <f t="shared" si="19"/>
        <v>0</v>
      </c>
      <c r="AK16" s="1092">
        <f t="shared" si="6"/>
        <v>0</v>
      </c>
      <c r="AL16" s="2"/>
      <c r="AM16" s="1090">
        <f t="shared" si="7"/>
        <v>0</v>
      </c>
      <c r="AN16" s="1105">
        <f t="shared" si="20"/>
        <v>0</v>
      </c>
      <c r="AO16" s="1054">
        <f t="shared" si="21"/>
        <v>0</v>
      </c>
      <c r="AP16" s="1054">
        <f t="shared" si="22"/>
        <v>0</v>
      </c>
      <c r="AQ16" s="1092">
        <f t="shared" si="23"/>
        <v>0</v>
      </c>
      <c r="AR16" s="2"/>
      <c r="AS16" s="1090">
        <f t="shared" si="24"/>
        <v>0</v>
      </c>
      <c r="AT16" s="1091">
        <f t="shared" si="25"/>
        <v>0</v>
      </c>
      <c r="AU16" s="1054">
        <f t="shared" si="26"/>
        <v>0</v>
      </c>
      <c r="AV16" s="1054">
        <f t="shared" si="27"/>
        <v>0</v>
      </c>
      <c r="AW16" s="1092">
        <f t="shared" si="28"/>
        <v>0</v>
      </c>
      <c r="AX16" s="2"/>
      <c r="AY16" s="1090">
        <f t="shared" si="29"/>
        <v>0</v>
      </c>
      <c r="AZ16" s="1385"/>
      <c r="BA16" s="2"/>
    </row>
    <row r="17" spans="1:53" ht="20.25" customHeight="1" x14ac:dyDescent="0.2">
      <c r="A17" s="2"/>
      <c r="B17" s="18">
        <v>10</v>
      </c>
      <c r="C17" s="234">
        <f t="shared" si="30"/>
        <v>10</v>
      </c>
      <c r="D17" s="235">
        <f t="shared" si="8"/>
        <v>5</v>
      </c>
      <c r="E17" s="2159" t="str">
        <f t="shared" si="0"/>
        <v xml:space="preserve">attiva trim.  </v>
      </c>
      <c r="F17" s="2160"/>
      <c r="G17" s="237"/>
      <c r="H17" s="237"/>
      <c r="I17" s="828"/>
      <c r="J17" s="829"/>
      <c r="K17" s="237"/>
      <c r="L17" s="828"/>
      <c r="M17" s="829"/>
      <c r="N17" s="237"/>
      <c r="O17" s="828"/>
      <c r="P17" s="829"/>
      <c r="Q17" s="6"/>
      <c r="R17" s="1053">
        <f t="shared" si="9"/>
        <v>0</v>
      </c>
      <c r="S17" s="1054">
        <f t="shared" si="1"/>
        <v>0</v>
      </c>
      <c r="T17" s="1054">
        <f t="shared" si="10"/>
        <v>0</v>
      </c>
      <c r="U17" s="1055">
        <f t="shared" si="11"/>
        <v>0</v>
      </c>
      <c r="V17" s="231">
        <f t="shared" si="31"/>
        <v>45422</v>
      </c>
      <c r="W17" s="1053">
        <f t="shared" si="2"/>
        <v>0</v>
      </c>
      <c r="X17" s="1054">
        <f t="shared" si="3"/>
        <v>0</v>
      </c>
      <c r="Y17" s="1054">
        <f t="shared" si="4"/>
        <v>0</v>
      </c>
      <c r="Z17" s="1055">
        <f t="shared" si="5"/>
        <v>0</v>
      </c>
      <c r="AA17" s="822">
        <f>VLOOKUP(V17,CASSA!$B$114:$C$479,2,FALSE)</f>
        <v>0</v>
      </c>
      <c r="AB17" s="1053">
        <f t="shared" si="12"/>
        <v>0</v>
      </c>
      <c r="AC17" s="1054">
        <f t="shared" si="13"/>
        <v>0</v>
      </c>
      <c r="AD17" s="1054">
        <f t="shared" si="14"/>
        <v>0</v>
      </c>
      <c r="AE17" s="1055">
        <f t="shared" si="15"/>
        <v>0</v>
      </c>
      <c r="AF17" s="2"/>
      <c r="AG17" s="1090">
        <f t="shared" si="16"/>
        <v>0</v>
      </c>
      <c r="AH17" s="1091">
        <f t="shared" si="17"/>
        <v>0</v>
      </c>
      <c r="AI17" s="1054">
        <f t="shared" si="18"/>
        <v>0</v>
      </c>
      <c r="AJ17" s="1054">
        <f t="shared" si="19"/>
        <v>0</v>
      </c>
      <c r="AK17" s="1092">
        <f t="shared" si="6"/>
        <v>0</v>
      </c>
      <c r="AL17" s="2"/>
      <c r="AM17" s="1090">
        <f t="shared" si="7"/>
        <v>0</v>
      </c>
      <c r="AN17" s="1105">
        <f t="shared" si="20"/>
        <v>0</v>
      </c>
      <c r="AO17" s="1054">
        <f t="shared" si="21"/>
        <v>0</v>
      </c>
      <c r="AP17" s="1054">
        <f t="shared" si="22"/>
        <v>0</v>
      </c>
      <c r="AQ17" s="1092">
        <f t="shared" si="23"/>
        <v>0</v>
      </c>
      <c r="AR17" s="2"/>
      <c r="AS17" s="1090">
        <f t="shared" si="24"/>
        <v>0</v>
      </c>
      <c r="AT17" s="1091">
        <f t="shared" si="25"/>
        <v>0</v>
      </c>
      <c r="AU17" s="1054">
        <f t="shared" si="26"/>
        <v>0</v>
      </c>
      <c r="AV17" s="1054">
        <f t="shared" si="27"/>
        <v>0</v>
      </c>
      <c r="AW17" s="1092">
        <f t="shared" si="28"/>
        <v>0</v>
      </c>
      <c r="AX17" s="2"/>
      <c r="AY17" s="1090">
        <f t="shared" si="29"/>
        <v>0</v>
      </c>
      <c r="AZ17" s="1385"/>
      <c r="BA17" s="2"/>
    </row>
    <row r="18" spans="1:53" ht="20.25" customHeight="1" x14ac:dyDescent="0.2">
      <c r="A18" s="2"/>
      <c r="B18" s="18">
        <v>11</v>
      </c>
      <c r="C18" s="234">
        <f t="shared" si="30"/>
        <v>11</v>
      </c>
      <c r="D18" s="235">
        <f t="shared" si="8"/>
        <v>5</v>
      </c>
      <c r="E18" s="2159" t="str">
        <f t="shared" si="0"/>
        <v xml:space="preserve">attiva trim.  </v>
      </c>
      <c r="F18" s="2160"/>
      <c r="G18" s="237"/>
      <c r="H18" s="237"/>
      <c r="I18" s="828"/>
      <c r="J18" s="829"/>
      <c r="K18" s="237"/>
      <c r="L18" s="828"/>
      <c r="M18" s="829"/>
      <c r="N18" s="237"/>
      <c r="O18" s="828"/>
      <c r="P18" s="829"/>
      <c r="Q18" s="6"/>
      <c r="R18" s="1053">
        <f t="shared" si="9"/>
        <v>0</v>
      </c>
      <c r="S18" s="1054">
        <f t="shared" si="1"/>
        <v>0</v>
      </c>
      <c r="T18" s="1054">
        <f t="shared" si="10"/>
        <v>0</v>
      </c>
      <c r="U18" s="1055">
        <f t="shared" si="11"/>
        <v>0</v>
      </c>
      <c r="V18" s="231">
        <f t="shared" si="31"/>
        <v>45423</v>
      </c>
      <c r="W18" s="1053">
        <f t="shared" si="2"/>
        <v>0</v>
      </c>
      <c r="X18" s="1054">
        <f t="shared" si="3"/>
        <v>0</v>
      </c>
      <c r="Y18" s="1054">
        <f t="shared" si="4"/>
        <v>0</v>
      </c>
      <c r="Z18" s="1055">
        <f t="shared" si="5"/>
        <v>0</v>
      </c>
      <c r="AA18" s="822">
        <f>VLOOKUP(V18,CASSA!$B$114:$C$479,2,FALSE)</f>
        <v>0</v>
      </c>
      <c r="AB18" s="1053">
        <f t="shared" si="12"/>
        <v>0</v>
      </c>
      <c r="AC18" s="1054">
        <f t="shared" si="13"/>
        <v>0</v>
      </c>
      <c r="AD18" s="1054">
        <f t="shared" si="14"/>
        <v>0</v>
      </c>
      <c r="AE18" s="1055">
        <f t="shared" si="15"/>
        <v>0</v>
      </c>
      <c r="AF18" s="2"/>
      <c r="AG18" s="1090">
        <f t="shared" si="16"/>
        <v>0</v>
      </c>
      <c r="AH18" s="1091">
        <f t="shared" si="17"/>
        <v>0</v>
      </c>
      <c r="AI18" s="1054">
        <f t="shared" si="18"/>
        <v>0</v>
      </c>
      <c r="AJ18" s="1054">
        <f t="shared" si="19"/>
        <v>0</v>
      </c>
      <c r="AK18" s="1092">
        <f t="shared" si="6"/>
        <v>0</v>
      </c>
      <c r="AL18" s="2"/>
      <c r="AM18" s="1090">
        <f t="shared" si="7"/>
        <v>0</v>
      </c>
      <c r="AN18" s="1105">
        <f t="shared" si="20"/>
        <v>0</v>
      </c>
      <c r="AO18" s="1054">
        <f t="shared" si="21"/>
        <v>0</v>
      </c>
      <c r="AP18" s="1054">
        <f t="shared" si="22"/>
        <v>0</v>
      </c>
      <c r="AQ18" s="1092">
        <f t="shared" si="23"/>
        <v>0</v>
      </c>
      <c r="AR18" s="2"/>
      <c r="AS18" s="1090">
        <f t="shared" si="24"/>
        <v>0</v>
      </c>
      <c r="AT18" s="1091">
        <f t="shared" si="25"/>
        <v>0</v>
      </c>
      <c r="AU18" s="1054">
        <f t="shared" si="26"/>
        <v>0</v>
      </c>
      <c r="AV18" s="1054">
        <f t="shared" si="27"/>
        <v>0</v>
      </c>
      <c r="AW18" s="1092">
        <f t="shared" si="28"/>
        <v>0</v>
      </c>
      <c r="AX18" s="2"/>
      <c r="AY18" s="1090">
        <f t="shared" si="29"/>
        <v>0</v>
      </c>
      <c r="AZ18" s="1385"/>
      <c r="BA18" s="2"/>
    </row>
    <row r="19" spans="1:53" ht="20.25" customHeight="1" x14ac:dyDescent="0.2">
      <c r="A19" s="2"/>
      <c r="B19" s="18">
        <v>12</v>
      </c>
      <c r="C19" s="234">
        <f t="shared" si="30"/>
        <v>12</v>
      </c>
      <c r="D19" s="235">
        <f t="shared" si="8"/>
        <v>5</v>
      </c>
      <c r="E19" s="2159" t="str">
        <f t="shared" si="0"/>
        <v xml:space="preserve">attiva trim.  </v>
      </c>
      <c r="F19" s="2160"/>
      <c r="G19" s="237"/>
      <c r="H19" s="237"/>
      <c r="I19" s="828"/>
      <c r="J19" s="829"/>
      <c r="K19" s="237"/>
      <c r="L19" s="828"/>
      <c r="M19" s="829"/>
      <c r="N19" s="237"/>
      <c r="O19" s="828"/>
      <c r="P19" s="829"/>
      <c r="Q19" s="6"/>
      <c r="R19" s="1053">
        <f t="shared" si="9"/>
        <v>0</v>
      </c>
      <c r="S19" s="1054">
        <f t="shared" si="1"/>
        <v>0</v>
      </c>
      <c r="T19" s="1054">
        <f t="shared" si="10"/>
        <v>0</v>
      </c>
      <c r="U19" s="1055">
        <f t="shared" si="11"/>
        <v>0</v>
      </c>
      <c r="V19" s="231">
        <f t="shared" si="31"/>
        <v>45424</v>
      </c>
      <c r="W19" s="1053">
        <f t="shared" si="2"/>
        <v>0</v>
      </c>
      <c r="X19" s="1054">
        <f t="shared" si="3"/>
        <v>0</v>
      </c>
      <c r="Y19" s="1054">
        <f t="shared" si="4"/>
        <v>0</v>
      </c>
      <c r="Z19" s="1055">
        <f t="shared" si="5"/>
        <v>0</v>
      </c>
      <c r="AA19" s="822">
        <f>VLOOKUP(V19,CASSA!$B$114:$C$479,2,FALSE)</f>
        <v>0</v>
      </c>
      <c r="AB19" s="1053">
        <f t="shared" si="12"/>
        <v>0</v>
      </c>
      <c r="AC19" s="1054">
        <f t="shared" si="13"/>
        <v>0</v>
      </c>
      <c r="AD19" s="1054">
        <f t="shared" si="14"/>
        <v>0</v>
      </c>
      <c r="AE19" s="1055">
        <f t="shared" si="15"/>
        <v>0</v>
      </c>
      <c r="AF19" s="2"/>
      <c r="AG19" s="1090">
        <f t="shared" si="16"/>
        <v>0</v>
      </c>
      <c r="AH19" s="1091">
        <f t="shared" si="17"/>
        <v>0</v>
      </c>
      <c r="AI19" s="1054">
        <f t="shared" si="18"/>
        <v>0</v>
      </c>
      <c r="AJ19" s="1054">
        <f t="shared" si="19"/>
        <v>0</v>
      </c>
      <c r="AK19" s="1092">
        <f t="shared" si="6"/>
        <v>0</v>
      </c>
      <c r="AL19" s="2"/>
      <c r="AM19" s="1090">
        <f t="shared" si="7"/>
        <v>0</v>
      </c>
      <c r="AN19" s="1105">
        <f t="shared" si="20"/>
        <v>0</v>
      </c>
      <c r="AO19" s="1054">
        <f t="shared" si="21"/>
        <v>0</v>
      </c>
      <c r="AP19" s="1054">
        <f t="shared" si="22"/>
        <v>0</v>
      </c>
      <c r="AQ19" s="1092">
        <f t="shared" si="23"/>
        <v>0</v>
      </c>
      <c r="AR19" s="2"/>
      <c r="AS19" s="1090">
        <f t="shared" si="24"/>
        <v>0</v>
      </c>
      <c r="AT19" s="1091">
        <f t="shared" si="25"/>
        <v>0</v>
      </c>
      <c r="AU19" s="1054">
        <f t="shared" si="26"/>
        <v>0</v>
      </c>
      <c r="AV19" s="1054">
        <f t="shared" si="27"/>
        <v>0</v>
      </c>
      <c r="AW19" s="1092">
        <f t="shared" si="28"/>
        <v>0</v>
      </c>
      <c r="AX19" s="2"/>
      <c r="AY19" s="1090">
        <f t="shared" si="29"/>
        <v>0</v>
      </c>
      <c r="AZ19" s="1385"/>
      <c r="BA19" s="2"/>
    </row>
    <row r="20" spans="1:53" ht="20.25" customHeight="1" x14ac:dyDescent="0.2">
      <c r="A20" s="2"/>
      <c r="B20" s="18">
        <v>13</v>
      </c>
      <c r="C20" s="234">
        <f t="shared" si="30"/>
        <v>13</v>
      </c>
      <c r="D20" s="235">
        <f t="shared" si="8"/>
        <v>5</v>
      </c>
      <c r="E20" s="2159" t="str">
        <f t="shared" si="0"/>
        <v xml:space="preserve">attiva trim.  </v>
      </c>
      <c r="F20" s="2160"/>
      <c r="G20" s="237"/>
      <c r="H20" s="237"/>
      <c r="I20" s="828"/>
      <c r="J20" s="829"/>
      <c r="K20" s="237"/>
      <c r="L20" s="828"/>
      <c r="M20" s="829"/>
      <c r="N20" s="237"/>
      <c r="O20" s="828"/>
      <c r="P20" s="829"/>
      <c r="Q20" s="6"/>
      <c r="R20" s="1053">
        <f t="shared" si="9"/>
        <v>0</v>
      </c>
      <c r="S20" s="1054">
        <f t="shared" si="1"/>
        <v>0</v>
      </c>
      <c r="T20" s="1054">
        <f t="shared" si="10"/>
        <v>0</v>
      </c>
      <c r="U20" s="1055">
        <f t="shared" si="11"/>
        <v>0</v>
      </c>
      <c r="V20" s="231">
        <f t="shared" si="31"/>
        <v>45425</v>
      </c>
      <c r="W20" s="1053">
        <f t="shared" si="2"/>
        <v>0</v>
      </c>
      <c r="X20" s="1054">
        <f t="shared" si="3"/>
        <v>0</v>
      </c>
      <c r="Y20" s="1054">
        <f t="shared" si="4"/>
        <v>0</v>
      </c>
      <c r="Z20" s="1055">
        <f t="shared" si="5"/>
        <v>0</v>
      </c>
      <c r="AA20" s="822">
        <f>VLOOKUP(V20,CASSA!$B$114:$C$479,2,FALSE)</f>
        <v>0</v>
      </c>
      <c r="AB20" s="1053">
        <f t="shared" si="12"/>
        <v>0</v>
      </c>
      <c r="AC20" s="1054">
        <f t="shared" si="13"/>
        <v>0</v>
      </c>
      <c r="AD20" s="1054">
        <f t="shared" si="14"/>
        <v>0</v>
      </c>
      <c r="AE20" s="1055">
        <f t="shared" si="15"/>
        <v>0</v>
      </c>
      <c r="AF20" s="2"/>
      <c r="AG20" s="1090">
        <f t="shared" si="16"/>
        <v>0</v>
      </c>
      <c r="AH20" s="1091">
        <f t="shared" si="17"/>
        <v>0</v>
      </c>
      <c r="AI20" s="1054">
        <f t="shared" si="18"/>
        <v>0</v>
      </c>
      <c r="AJ20" s="1054">
        <f t="shared" si="19"/>
        <v>0</v>
      </c>
      <c r="AK20" s="1092">
        <f t="shared" si="6"/>
        <v>0</v>
      </c>
      <c r="AL20" s="2"/>
      <c r="AM20" s="1090">
        <f t="shared" si="7"/>
        <v>0</v>
      </c>
      <c r="AN20" s="1105">
        <f t="shared" si="20"/>
        <v>0</v>
      </c>
      <c r="AO20" s="1054">
        <f t="shared" si="21"/>
        <v>0</v>
      </c>
      <c r="AP20" s="1054">
        <f t="shared" si="22"/>
        <v>0</v>
      </c>
      <c r="AQ20" s="1092">
        <f t="shared" si="23"/>
        <v>0</v>
      </c>
      <c r="AR20" s="2"/>
      <c r="AS20" s="1090">
        <f t="shared" si="24"/>
        <v>0</v>
      </c>
      <c r="AT20" s="1091">
        <f t="shared" si="25"/>
        <v>0</v>
      </c>
      <c r="AU20" s="1054">
        <f t="shared" si="26"/>
        <v>0</v>
      </c>
      <c r="AV20" s="1054">
        <f t="shared" si="27"/>
        <v>0</v>
      </c>
      <c r="AW20" s="1092">
        <f t="shared" si="28"/>
        <v>0</v>
      </c>
      <c r="AX20" s="2"/>
      <c r="AY20" s="1090">
        <f t="shared" si="29"/>
        <v>0</v>
      </c>
      <c r="AZ20" s="1385"/>
      <c r="BA20" s="2"/>
    </row>
    <row r="21" spans="1:53" ht="20.25" customHeight="1" x14ac:dyDescent="0.2">
      <c r="A21" s="2"/>
      <c r="B21" s="18">
        <v>14</v>
      </c>
      <c r="C21" s="234">
        <f t="shared" si="30"/>
        <v>14</v>
      </c>
      <c r="D21" s="235">
        <f t="shared" si="8"/>
        <v>5</v>
      </c>
      <c r="E21" s="2159" t="str">
        <f t="shared" si="0"/>
        <v xml:space="preserve">attiva trim.  </v>
      </c>
      <c r="F21" s="2160"/>
      <c r="G21" s="237"/>
      <c r="H21" s="237"/>
      <c r="I21" s="828"/>
      <c r="J21" s="829"/>
      <c r="K21" s="237"/>
      <c r="L21" s="828"/>
      <c r="M21" s="829"/>
      <c r="N21" s="237"/>
      <c r="O21" s="828"/>
      <c r="P21" s="829"/>
      <c r="Q21" s="6"/>
      <c r="R21" s="1053">
        <f t="shared" si="9"/>
        <v>0</v>
      </c>
      <c r="S21" s="1054">
        <f t="shared" si="1"/>
        <v>0</v>
      </c>
      <c r="T21" s="1054">
        <f t="shared" si="10"/>
        <v>0</v>
      </c>
      <c r="U21" s="1055">
        <f t="shared" si="11"/>
        <v>0</v>
      </c>
      <c r="V21" s="231">
        <f t="shared" si="31"/>
        <v>45426</v>
      </c>
      <c r="W21" s="1053">
        <f t="shared" si="2"/>
        <v>0</v>
      </c>
      <c r="X21" s="1054">
        <f t="shared" si="3"/>
        <v>0</v>
      </c>
      <c r="Y21" s="1054">
        <f t="shared" si="4"/>
        <v>0</v>
      </c>
      <c r="Z21" s="1055">
        <f t="shared" si="5"/>
        <v>0</v>
      </c>
      <c r="AA21" s="822">
        <f>VLOOKUP(V21,CASSA!$B$114:$C$479,2,FALSE)</f>
        <v>0</v>
      </c>
      <c r="AB21" s="1053">
        <f t="shared" si="12"/>
        <v>0</v>
      </c>
      <c r="AC21" s="1054">
        <f t="shared" si="13"/>
        <v>0</v>
      </c>
      <c r="AD21" s="1054">
        <f t="shared" si="14"/>
        <v>0</v>
      </c>
      <c r="AE21" s="1055">
        <f t="shared" si="15"/>
        <v>0</v>
      </c>
      <c r="AF21" s="2"/>
      <c r="AG21" s="1090">
        <f t="shared" si="16"/>
        <v>0</v>
      </c>
      <c r="AH21" s="1091">
        <f t="shared" si="17"/>
        <v>0</v>
      </c>
      <c r="AI21" s="1054">
        <f t="shared" si="18"/>
        <v>0</v>
      </c>
      <c r="AJ21" s="1054">
        <f t="shared" si="19"/>
        <v>0</v>
      </c>
      <c r="AK21" s="1092">
        <f t="shared" si="6"/>
        <v>0</v>
      </c>
      <c r="AL21" s="2"/>
      <c r="AM21" s="1090">
        <f t="shared" si="7"/>
        <v>0</v>
      </c>
      <c r="AN21" s="1105">
        <f t="shared" si="20"/>
        <v>0</v>
      </c>
      <c r="AO21" s="1054">
        <f t="shared" si="21"/>
        <v>0</v>
      </c>
      <c r="AP21" s="1054">
        <f t="shared" si="22"/>
        <v>0</v>
      </c>
      <c r="AQ21" s="1092">
        <f t="shared" si="23"/>
        <v>0</v>
      </c>
      <c r="AR21" s="2"/>
      <c r="AS21" s="1090">
        <f t="shared" si="24"/>
        <v>0</v>
      </c>
      <c r="AT21" s="1091">
        <f t="shared" si="25"/>
        <v>0</v>
      </c>
      <c r="AU21" s="1054">
        <f t="shared" si="26"/>
        <v>0</v>
      </c>
      <c r="AV21" s="1054">
        <f t="shared" si="27"/>
        <v>0</v>
      </c>
      <c r="AW21" s="1092">
        <f t="shared" si="28"/>
        <v>0</v>
      </c>
      <c r="AX21" s="2"/>
      <c r="AY21" s="1090">
        <f t="shared" si="29"/>
        <v>0</v>
      </c>
      <c r="AZ21" s="1385"/>
      <c r="BA21" s="2"/>
    </row>
    <row r="22" spans="1:53" ht="20.25" customHeight="1" x14ac:dyDescent="0.2">
      <c r="A22" s="2"/>
      <c r="B22" s="18">
        <v>15</v>
      </c>
      <c r="C22" s="234">
        <f t="shared" si="30"/>
        <v>15</v>
      </c>
      <c r="D22" s="235">
        <f t="shared" si="8"/>
        <v>5</v>
      </c>
      <c r="E22" s="2159" t="str">
        <f t="shared" si="0"/>
        <v xml:space="preserve">attiva trim.  </v>
      </c>
      <c r="F22" s="2160"/>
      <c r="G22" s="237"/>
      <c r="H22" s="237"/>
      <c r="I22" s="828"/>
      <c r="J22" s="829"/>
      <c r="K22" s="237"/>
      <c r="L22" s="828"/>
      <c r="M22" s="829"/>
      <c r="N22" s="237"/>
      <c r="O22" s="828"/>
      <c r="P22" s="829"/>
      <c r="Q22" s="6"/>
      <c r="R22" s="1053">
        <f t="shared" si="9"/>
        <v>0</v>
      </c>
      <c r="S22" s="1054">
        <f t="shared" si="1"/>
        <v>0</v>
      </c>
      <c r="T22" s="1054">
        <f t="shared" si="10"/>
        <v>0</v>
      </c>
      <c r="U22" s="1055">
        <f t="shared" si="11"/>
        <v>0</v>
      </c>
      <c r="V22" s="231">
        <f t="shared" si="31"/>
        <v>45427</v>
      </c>
      <c r="W22" s="1053">
        <f t="shared" si="2"/>
        <v>0</v>
      </c>
      <c r="X22" s="1054">
        <f t="shared" si="3"/>
        <v>0</v>
      </c>
      <c r="Y22" s="1054">
        <f t="shared" si="4"/>
        <v>0</v>
      </c>
      <c r="Z22" s="1055">
        <f t="shared" si="5"/>
        <v>0</v>
      </c>
      <c r="AA22" s="822">
        <f>VLOOKUP(V22,CASSA!$B$114:$C$479,2,FALSE)</f>
        <v>0</v>
      </c>
      <c r="AB22" s="1053">
        <f t="shared" si="12"/>
        <v>0</v>
      </c>
      <c r="AC22" s="1054">
        <f t="shared" si="13"/>
        <v>0</v>
      </c>
      <c r="AD22" s="1054">
        <f t="shared" si="14"/>
        <v>0</v>
      </c>
      <c r="AE22" s="1055">
        <f t="shared" si="15"/>
        <v>0</v>
      </c>
      <c r="AF22" s="2"/>
      <c r="AG22" s="1090">
        <f t="shared" si="16"/>
        <v>0</v>
      </c>
      <c r="AH22" s="1091">
        <f t="shared" si="17"/>
        <v>0</v>
      </c>
      <c r="AI22" s="1054">
        <f t="shared" si="18"/>
        <v>0</v>
      </c>
      <c r="AJ22" s="1054">
        <f t="shared" si="19"/>
        <v>0</v>
      </c>
      <c r="AK22" s="1092">
        <f t="shared" si="6"/>
        <v>0</v>
      </c>
      <c r="AL22" s="2"/>
      <c r="AM22" s="1090">
        <f t="shared" si="7"/>
        <v>0</v>
      </c>
      <c r="AN22" s="1105">
        <f t="shared" si="20"/>
        <v>0</v>
      </c>
      <c r="AO22" s="1054">
        <f t="shared" si="21"/>
        <v>0</v>
      </c>
      <c r="AP22" s="1054">
        <f t="shared" si="22"/>
        <v>0</v>
      </c>
      <c r="AQ22" s="1092">
        <f t="shared" si="23"/>
        <v>0</v>
      </c>
      <c r="AR22" s="2"/>
      <c r="AS22" s="1090">
        <f t="shared" si="24"/>
        <v>0</v>
      </c>
      <c r="AT22" s="1091">
        <f t="shared" si="25"/>
        <v>0</v>
      </c>
      <c r="AU22" s="1054">
        <f t="shared" si="26"/>
        <v>0</v>
      </c>
      <c r="AV22" s="1054">
        <f t="shared" si="27"/>
        <v>0</v>
      </c>
      <c r="AW22" s="1092">
        <f t="shared" si="28"/>
        <v>0</v>
      </c>
      <c r="AX22" s="2"/>
      <c r="AY22" s="1090">
        <f t="shared" si="29"/>
        <v>0</v>
      </c>
      <c r="AZ22" s="1385"/>
      <c r="BA22" s="2"/>
    </row>
    <row r="23" spans="1:53" ht="20.25" customHeight="1" x14ac:dyDescent="0.2">
      <c r="A23" s="2"/>
      <c r="B23" s="18">
        <v>16</v>
      </c>
      <c r="C23" s="234">
        <f t="shared" si="30"/>
        <v>16</v>
      </c>
      <c r="D23" s="235">
        <f t="shared" si="8"/>
        <v>5</v>
      </c>
      <c r="E23" s="2159" t="str">
        <f t="shared" si="0"/>
        <v xml:space="preserve">attiva trim.  </v>
      </c>
      <c r="F23" s="2160"/>
      <c r="G23" s="237"/>
      <c r="H23" s="237"/>
      <c r="I23" s="828"/>
      <c r="J23" s="829"/>
      <c r="K23" s="237"/>
      <c r="L23" s="828"/>
      <c r="M23" s="829"/>
      <c r="N23" s="237"/>
      <c r="O23" s="828"/>
      <c r="P23" s="829"/>
      <c r="Q23" s="6"/>
      <c r="R23" s="1053">
        <f t="shared" si="9"/>
        <v>0</v>
      </c>
      <c r="S23" s="1054">
        <f t="shared" si="1"/>
        <v>0</v>
      </c>
      <c r="T23" s="1054">
        <f t="shared" si="10"/>
        <v>0</v>
      </c>
      <c r="U23" s="1055">
        <f t="shared" si="11"/>
        <v>0</v>
      </c>
      <c r="V23" s="231">
        <f t="shared" si="31"/>
        <v>45428</v>
      </c>
      <c r="W23" s="1053">
        <f t="shared" si="2"/>
        <v>0</v>
      </c>
      <c r="X23" s="1054">
        <f t="shared" si="3"/>
        <v>0</v>
      </c>
      <c r="Y23" s="1054">
        <f t="shared" si="4"/>
        <v>0</v>
      </c>
      <c r="Z23" s="1055">
        <f t="shared" si="5"/>
        <v>0</v>
      </c>
      <c r="AA23" s="822">
        <f>VLOOKUP(V23,CASSA!$B$114:$C$479,2,FALSE)</f>
        <v>0</v>
      </c>
      <c r="AB23" s="1053">
        <f t="shared" si="12"/>
        <v>0</v>
      </c>
      <c r="AC23" s="1054">
        <f t="shared" si="13"/>
        <v>0</v>
      </c>
      <c r="AD23" s="1054">
        <f t="shared" si="14"/>
        <v>0</v>
      </c>
      <c r="AE23" s="1055">
        <f t="shared" si="15"/>
        <v>0</v>
      </c>
      <c r="AF23" s="2"/>
      <c r="AG23" s="1090">
        <f t="shared" si="16"/>
        <v>0</v>
      </c>
      <c r="AH23" s="1091">
        <f t="shared" si="17"/>
        <v>0</v>
      </c>
      <c r="AI23" s="1054">
        <f t="shared" si="18"/>
        <v>0</v>
      </c>
      <c r="AJ23" s="1054">
        <f t="shared" si="19"/>
        <v>0</v>
      </c>
      <c r="AK23" s="1092">
        <f t="shared" si="6"/>
        <v>0</v>
      </c>
      <c r="AL23" s="2"/>
      <c r="AM23" s="1090">
        <f t="shared" si="7"/>
        <v>0</v>
      </c>
      <c r="AN23" s="1105">
        <f t="shared" si="20"/>
        <v>0</v>
      </c>
      <c r="AO23" s="1054">
        <f t="shared" si="21"/>
        <v>0</v>
      </c>
      <c r="AP23" s="1054">
        <f t="shared" si="22"/>
        <v>0</v>
      </c>
      <c r="AQ23" s="1092">
        <f t="shared" si="23"/>
        <v>0</v>
      </c>
      <c r="AR23" s="2"/>
      <c r="AS23" s="1090">
        <f t="shared" si="24"/>
        <v>0</v>
      </c>
      <c r="AT23" s="1091">
        <f t="shared" si="25"/>
        <v>0</v>
      </c>
      <c r="AU23" s="1054">
        <f t="shared" si="26"/>
        <v>0</v>
      </c>
      <c r="AV23" s="1054">
        <f t="shared" si="27"/>
        <v>0</v>
      </c>
      <c r="AW23" s="1092">
        <f t="shared" si="28"/>
        <v>0</v>
      </c>
      <c r="AX23" s="2"/>
      <c r="AY23" s="1090">
        <f t="shared" si="29"/>
        <v>0</v>
      </c>
      <c r="AZ23" s="1385"/>
      <c r="BA23" s="2"/>
    </row>
    <row r="24" spans="1:53" ht="20.25" customHeight="1" x14ac:dyDescent="0.2">
      <c r="A24" s="2"/>
      <c r="B24" s="18">
        <v>17</v>
      </c>
      <c r="C24" s="234">
        <f t="shared" si="30"/>
        <v>17</v>
      </c>
      <c r="D24" s="235">
        <f t="shared" si="8"/>
        <v>5</v>
      </c>
      <c r="E24" s="2159" t="str">
        <f t="shared" si="0"/>
        <v xml:space="preserve">attiva trim.  </v>
      </c>
      <c r="F24" s="2160"/>
      <c r="G24" s="237"/>
      <c r="H24" s="237"/>
      <c r="I24" s="828"/>
      <c r="J24" s="829"/>
      <c r="K24" s="237"/>
      <c r="L24" s="828"/>
      <c r="M24" s="829"/>
      <c r="N24" s="237"/>
      <c r="O24" s="828"/>
      <c r="P24" s="829"/>
      <c r="Q24" s="6"/>
      <c r="R24" s="1053">
        <f t="shared" si="9"/>
        <v>0</v>
      </c>
      <c r="S24" s="1054">
        <f t="shared" si="1"/>
        <v>0</v>
      </c>
      <c r="T24" s="1054">
        <f t="shared" si="10"/>
        <v>0</v>
      </c>
      <c r="U24" s="1055">
        <f t="shared" si="11"/>
        <v>0</v>
      </c>
      <c r="V24" s="231">
        <f t="shared" si="31"/>
        <v>45429</v>
      </c>
      <c r="W24" s="1053">
        <f t="shared" si="2"/>
        <v>0</v>
      </c>
      <c r="X24" s="1054">
        <f t="shared" si="3"/>
        <v>0</v>
      </c>
      <c r="Y24" s="1054">
        <f t="shared" si="4"/>
        <v>0</v>
      </c>
      <c r="Z24" s="1055">
        <f t="shared" si="5"/>
        <v>0</v>
      </c>
      <c r="AA24" s="822">
        <f>VLOOKUP(V24,CASSA!$B$114:$C$479,2,FALSE)</f>
        <v>0</v>
      </c>
      <c r="AB24" s="1053">
        <f t="shared" si="12"/>
        <v>0</v>
      </c>
      <c r="AC24" s="1054">
        <f t="shared" si="13"/>
        <v>0</v>
      </c>
      <c r="AD24" s="1054">
        <f t="shared" si="14"/>
        <v>0</v>
      </c>
      <c r="AE24" s="1055">
        <f t="shared" si="15"/>
        <v>0</v>
      </c>
      <c r="AF24" s="2"/>
      <c r="AG24" s="1090">
        <f t="shared" si="16"/>
        <v>0</v>
      </c>
      <c r="AH24" s="1091">
        <f t="shared" si="17"/>
        <v>0</v>
      </c>
      <c r="AI24" s="1054">
        <f t="shared" si="18"/>
        <v>0</v>
      </c>
      <c r="AJ24" s="1054">
        <f t="shared" si="19"/>
        <v>0</v>
      </c>
      <c r="AK24" s="1092">
        <f t="shared" si="6"/>
        <v>0</v>
      </c>
      <c r="AL24" s="2"/>
      <c r="AM24" s="1090">
        <f t="shared" si="7"/>
        <v>0</v>
      </c>
      <c r="AN24" s="1105">
        <f t="shared" si="20"/>
        <v>0</v>
      </c>
      <c r="AO24" s="1054">
        <f t="shared" si="21"/>
        <v>0</v>
      </c>
      <c r="AP24" s="1054">
        <f t="shared" si="22"/>
        <v>0</v>
      </c>
      <c r="AQ24" s="1092">
        <f t="shared" si="23"/>
        <v>0</v>
      </c>
      <c r="AR24" s="2"/>
      <c r="AS24" s="1090">
        <f t="shared" si="24"/>
        <v>0</v>
      </c>
      <c r="AT24" s="1091">
        <f t="shared" si="25"/>
        <v>0</v>
      </c>
      <c r="AU24" s="1054">
        <f t="shared" si="26"/>
        <v>0</v>
      </c>
      <c r="AV24" s="1054">
        <f t="shared" si="27"/>
        <v>0</v>
      </c>
      <c r="AW24" s="1092">
        <f t="shared" si="28"/>
        <v>0</v>
      </c>
      <c r="AX24" s="2"/>
      <c r="AY24" s="1090">
        <f t="shared" si="29"/>
        <v>0</v>
      </c>
      <c r="AZ24" s="1385"/>
      <c r="BA24" s="2"/>
    </row>
    <row r="25" spans="1:53" ht="20.25" customHeight="1" x14ac:dyDescent="0.2">
      <c r="A25" s="2"/>
      <c r="B25" s="18">
        <v>18</v>
      </c>
      <c r="C25" s="234">
        <f t="shared" si="30"/>
        <v>18</v>
      </c>
      <c r="D25" s="235">
        <f t="shared" si="8"/>
        <v>5</v>
      </c>
      <c r="E25" s="2159" t="str">
        <f t="shared" si="0"/>
        <v xml:space="preserve">attiva trim.  </v>
      </c>
      <c r="F25" s="2160"/>
      <c r="G25" s="237"/>
      <c r="H25" s="237"/>
      <c r="I25" s="828"/>
      <c r="J25" s="829"/>
      <c r="K25" s="237"/>
      <c r="L25" s="828"/>
      <c r="M25" s="829"/>
      <c r="N25" s="237"/>
      <c r="O25" s="828"/>
      <c r="P25" s="829"/>
      <c r="Q25" s="6"/>
      <c r="R25" s="1053">
        <f t="shared" si="9"/>
        <v>0</v>
      </c>
      <c r="S25" s="1054">
        <f t="shared" si="1"/>
        <v>0</v>
      </c>
      <c r="T25" s="1054">
        <f t="shared" si="10"/>
        <v>0</v>
      </c>
      <c r="U25" s="1055">
        <f t="shared" si="11"/>
        <v>0</v>
      </c>
      <c r="V25" s="231">
        <f t="shared" si="31"/>
        <v>45430</v>
      </c>
      <c r="W25" s="1053">
        <f t="shared" si="2"/>
        <v>0</v>
      </c>
      <c r="X25" s="1054">
        <f t="shared" si="3"/>
        <v>0</v>
      </c>
      <c r="Y25" s="1054">
        <f t="shared" si="4"/>
        <v>0</v>
      </c>
      <c r="Z25" s="1055">
        <f t="shared" si="5"/>
        <v>0</v>
      </c>
      <c r="AA25" s="822">
        <f>VLOOKUP(V25,CASSA!$B$114:$C$479,2,FALSE)</f>
        <v>0</v>
      </c>
      <c r="AB25" s="1053">
        <f t="shared" si="12"/>
        <v>0</v>
      </c>
      <c r="AC25" s="1054">
        <f t="shared" si="13"/>
        <v>0</v>
      </c>
      <c r="AD25" s="1054">
        <f t="shared" si="14"/>
        <v>0</v>
      </c>
      <c r="AE25" s="1055">
        <f t="shared" si="15"/>
        <v>0</v>
      </c>
      <c r="AF25" s="2"/>
      <c r="AG25" s="1090">
        <f t="shared" si="16"/>
        <v>0</v>
      </c>
      <c r="AH25" s="1091">
        <f t="shared" si="17"/>
        <v>0</v>
      </c>
      <c r="AI25" s="1054">
        <f t="shared" si="18"/>
        <v>0</v>
      </c>
      <c r="AJ25" s="1054">
        <f t="shared" si="19"/>
        <v>0</v>
      </c>
      <c r="AK25" s="1092">
        <f t="shared" si="6"/>
        <v>0</v>
      </c>
      <c r="AL25" s="2"/>
      <c r="AM25" s="1090">
        <f t="shared" si="7"/>
        <v>0</v>
      </c>
      <c r="AN25" s="1105">
        <f t="shared" si="20"/>
        <v>0</v>
      </c>
      <c r="AO25" s="1054">
        <f t="shared" si="21"/>
        <v>0</v>
      </c>
      <c r="AP25" s="1054">
        <f t="shared" si="22"/>
        <v>0</v>
      </c>
      <c r="AQ25" s="1092">
        <f t="shared" si="23"/>
        <v>0</v>
      </c>
      <c r="AR25" s="2"/>
      <c r="AS25" s="1090">
        <f t="shared" si="24"/>
        <v>0</v>
      </c>
      <c r="AT25" s="1091">
        <f t="shared" si="25"/>
        <v>0</v>
      </c>
      <c r="AU25" s="1054">
        <f t="shared" si="26"/>
        <v>0</v>
      </c>
      <c r="AV25" s="1054">
        <f t="shared" si="27"/>
        <v>0</v>
      </c>
      <c r="AW25" s="1092">
        <f t="shared" si="28"/>
        <v>0</v>
      </c>
      <c r="AX25" s="2"/>
      <c r="AY25" s="1090">
        <f t="shared" si="29"/>
        <v>0</v>
      </c>
      <c r="AZ25" s="1385"/>
      <c r="BA25" s="2"/>
    </row>
    <row r="26" spans="1:53" ht="20.25" customHeight="1" x14ac:dyDescent="0.2">
      <c r="A26" s="2"/>
      <c r="B26" s="18">
        <v>19</v>
      </c>
      <c r="C26" s="234">
        <f t="shared" si="30"/>
        <v>19</v>
      </c>
      <c r="D26" s="235">
        <f t="shared" si="8"/>
        <v>5</v>
      </c>
      <c r="E26" s="2159" t="str">
        <f t="shared" si="0"/>
        <v xml:space="preserve">attiva trim.  </v>
      </c>
      <c r="F26" s="2160"/>
      <c r="G26" s="237"/>
      <c r="H26" s="237"/>
      <c r="I26" s="828"/>
      <c r="J26" s="829"/>
      <c r="K26" s="237"/>
      <c r="L26" s="828"/>
      <c r="M26" s="829"/>
      <c r="N26" s="237"/>
      <c r="O26" s="828"/>
      <c r="P26" s="829"/>
      <c r="Q26" s="6"/>
      <c r="R26" s="1053">
        <f t="shared" si="9"/>
        <v>0</v>
      </c>
      <c r="S26" s="1054">
        <f t="shared" si="1"/>
        <v>0</v>
      </c>
      <c r="T26" s="1054">
        <f t="shared" si="10"/>
        <v>0</v>
      </c>
      <c r="U26" s="1055">
        <f t="shared" si="11"/>
        <v>0</v>
      </c>
      <c r="V26" s="231">
        <f t="shared" si="31"/>
        <v>45431</v>
      </c>
      <c r="W26" s="1053">
        <f t="shared" si="2"/>
        <v>0</v>
      </c>
      <c r="X26" s="1054">
        <f t="shared" si="3"/>
        <v>0</v>
      </c>
      <c r="Y26" s="1054">
        <f t="shared" si="4"/>
        <v>0</v>
      </c>
      <c r="Z26" s="1055">
        <f t="shared" si="5"/>
        <v>0</v>
      </c>
      <c r="AA26" s="822">
        <f>VLOOKUP(V26,CASSA!$B$114:$C$479,2,FALSE)</f>
        <v>0</v>
      </c>
      <c r="AB26" s="1053">
        <f t="shared" si="12"/>
        <v>0</v>
      </c>
      <c r="AC26" s="1054">
        <f t="shared" si="13"/>
        <v>0</v>
      </c>
      <c r="AD26" s="1054">
        <f t="shared" si="14"/>
        <v>0</v>
      </c>
      <c r="AE26" s="1055">
        <f t="shared" si="15"/>
        <v>0</v>
      </c>
      <c r="AF26" s="2"/>
      <c r="AG26" s="1090">
        <f t="shared" si="16"/>
        <v>0</v>
      </c>
      <c r="AH26" s="1091">
        <f t="shared" si="17"/>
        <v>0</v>
      </c>
      <c r="AI26" s="1054">
        <f t="shared" si="18"/>
        <v>0</v>
      </c>
      <c r="AJ26" s="1054">
        <f t="shared" si="19"/>
        <v>0</v>
      </c>
      <c r="AK26" s="1092">
        <f t="shared" si="6"/>
        <v>0</v>
      </c>
      <c r="AL26" s="2"/>
      <c r="AM26" s="1090">
        <f t="shared" si="7"/>
        <v>0</v>
      </c>
      <c r="AN26" s="1105">
        <f t="shared" si="20"/>
        <v>0</v>
      </c>
      <c r="AO26" s="1054">
        <f t="shared" si="21"/>
        <v>0</v>
      </c>
      <c r="AP26" s="1054">
        <f t="shared" si="22"/>
        <v>0</v>
      </c>
      <c r="AQ26" s="1092">
        <f t="shared" si="23"/>
        <v>0</v>
      </c>
      <c r="AR26" s="2"/>
      <c r="AS26" s="1090">
        <f t="shared" si="24"/>
        <v>0</v>
      </c>
      <c r="AT26" s="1091">
        <f t="shared" si="25"/>
        <v>0</v>
      </c>
      <c r="AU26" s="1054">
        <f t="shared" si="26"/>
        <v>0</v>
      </c>
      <c r="AV26" s="1054">
        <f t="shared" si="27"/>
        <v>0</v>
      </c>
      <c r="AW26" s="1092">
        <f t="shared" si="28"/>
        <v>0</v>
      </c>
      <c r="AX26" s="2"/>
      <c r="AY26" s="1090">
        <f t="shared" si="29"/>
        <v>0</v>
      </c>
      <c r="AZ26" s="1385"/>
      <c r="BA26" s="2"/>
    </row>
    <row r="27" spans="1:53" ht="20.25" customHeight="1" x14ac:dyDescent="0.2">
      <c r="A27" s="2"/>
      <c r="B27" s="18">
        <v>20</v>
      </c>
      <c r="C27" s="234">
        <f t="shared" si="30"/>
        <v>20</v>
      </c>
      <c r="D27" s="235">
        <f t="shared" si="8"/>
        <v>5</v>
      </c>
      <c r="E27" s="2159" t="str">
        <f t="shared" si="0"/>
        <v xml:space="preserve">attiva trim.  </v>
      </c>
      <c r="F27" s="2160"/>
      <c r="G27" s="237"/>
      <c r="H27" s="237"/>
      <c r="I27" s="828"/>
      <c r="J27" s="829"/>
      <c r="K27" s="237"/>
      <c r="L27" s="828"/>
      <c r="M27" s="829"/>
      <c r="N27" s="237"/>
      <c r="O27" s="828"/>
      <c r="P27" s="829"/>
      <c r="Q27" s="6"/>
      <c r="R27" s="1053">
        <f t="shared" si="9"/>
        <v>0</v>
      </c>
      <c r="S27" s="1054">
        <f t="shared" si="1"/>
        <v>0</v>
      </c>
      <c r="T27" s="1054">
        <f t="shared" si="10"/>
        <v>0</v>
      </c>
      <c r="U27" s="1055">
        <f t="shared" si="11"/>
        <v>0</v>
      </c>
      <c r="V27" s="231">
        <f t="shared" si="31"/>
        <v>45432</v>
      </c>
      <c r="W27" s="1053">
        <f t="shared" si="2"/>
        <v>0</v>
      </c>
      <c r="X27" s="1054">
        <f t="shared" si="3"/>
        <v>0</v>
      </c>
      <c r="Y27" s="1054">
        <f t="shared" si="4"/>
        <v>0</v>
      </c>
      <c r="Z27" s="1055">
        <f t="shared" si="5"/>
        <v>0</v>
      </c>
      <c r="AA27" s="822">
        <f>VLOOKUP(V27,CASSA!$B$114:$C$479,2,FALSE)</f>
        <v>0</v>
      </c>
      <c r="AB27" s="1053">
        <f t="shared" si="12"/>
        <v>0</v>
      </c>
      <c r="AC27" s="1054">
        <f t="shared" si="13"/>
        <v>0</v>
      </c>
      <c r="AD27" s="1054">
        <f t="shared" si="14"/>
        <v>0</v>
      </c>
      <c r="AE27" s="1055">
        <f t="shared" si="15"/>
        <v>0</v>
      </c>
      <c r="AF27" s="2"/>
      <c r="AG27" s="1090">
        <f t="shared" si="16"/>
        <v>0</v>
      </c>
      <c r="AH27" s="1091">
        <f t="shared" si="17"/>
        <v>0</v>
      </c>
      <c r="AI27" s="1054">
        <f t="shared" si="18"/>
        <v>0</v>
      </c>
      <c r="AJ27" s="1054">
        <f t="shared" si="19"/>
        <v>0</v>
      </c>
      <c r="AK27" s="1092">
        <f t="shared" si="6"/>
        <v>0</v>
      </c>
      <c r="AL27" s="2"/>
      <c r="AM27" s="1090">
        <f t="shared" si="7"/>
        <v>0</v>
      </c>
      <c r="AN27" s="1105">
        <f t="shared" si="20"/>
        <v>0</v>
      </c>
      <c r="AO27" s="1054">
        <f t="shared" si="21"/>
        <v>0</v>
      </c>
      <c r="AP27" s="1054">
        <f t="shared" si="22"/>
        <v>0</v>
      </c>
      <c r="AQ27" s="1092">
        <f t="shared" si="23"/>
        <v>0</v>
      </c>
      <c r="AR27" s="2"/>
      <c r="AS27" s="1090">
        <f t="shared" si="24"/>
        <v>0</v>
      </c>
      <c r="AT27" s="1091">
        <f t="shared" si="25"/>
        <v>0</v>
      </c>
      <c r="AU27" s="1054">
        <f t="shared" si="26"/>
        <v>0</v>
      </c>
      <c r="AV27" s="1054">
        <f t="shared" si="27"/>
        <v>0</v>
      </c>
      <c r="AW27" s="1092">
        <f t="shared" si="28"/>
        <v>0</v>
      </c>
      <c r="AX27" s="2"/>
      <c r="AY27" s="1090">
        <f t="shared" si="29"/>
        <v>0</v>
      </c>
      <c r="AZ27" s="1385"/>
      <c r="BA27" s="2"/>
    </row>
    <row r="28" spans="1:53" ht="20.25" customHeight="1" x14ac:dyDescent="0.2">
      <c r="A28" s="2"/>
      <c r="B28" s="18">
        <v>21</v>
      </c>
      <c r="C28" s="234">
        <f t="shared" si="30"/>
        <v>21</v>
      </c>
      <c r="D28" s="235">
        <f t="shared" si="8"/>
        <v>5</v>
      </c>
      <c r="E28" s="2159" t="str">
        <f t="shared" si="0"/>
        <v xml:space="preserve">attiva trim.  </v>
      </c>
      <c r="F28" s="2160"/>
      <c r="G28" s="237"/>
      <c r="H28" s="237"/>
      <c r="I28" s="828"/>
      <c r="J28" s="829"/>
      <c r="K28" s="237"/>
      <c r="L28" s="828"/>
      <c r="M28" s="829"/>
      <c r="N28" s="237"/>
      <c r="O28" s="828"/>
      <c r="P28" s="829"/>
      <c r="Q28" s="6"/>
      <c r="R28" s="1053">
        <f t="shared" si="9"/>
        <v>0</v>
      </c>
      <c r="S28" s="1054">
        <f t="shared" si="1"/>
        <v>0</v>
      </c>
      <c r="T28" s="1054">
        <f t="shared" si="10"/>
        <v>0</v>
      </c>
      <c r="U28" s="1055">
        <f t="shared" si="11"/>
        <v>0</v>
      </c>
      <c r="V28" s="231">
        <f t="shared" si="31"/>
        <v>45433</v>
      </c>
      <c r="W28" s="1053">
        <f t="shared" si="2"/>
        <v>0</v>
      </c>
      <c r="X28" s="1054">
        <f t="shared" si="3"/>
        <v>0</v>
      </c>
      <c r="Y28" s="1054">
        <f t="shared" si="4"/>
        <v>0</v>
      </c>
      <c r="Z28" s="1055">
        <f t="shared" si="5"/>
        <v>0</v>
      </c>
      <c r="AA28" s="822">
        <f>VLOOKUP(V28,CASSA!$B$114:$C$479,2,FALSE)</f>
        <v>0</v>
      </c>
      <c r="AB28" s="1053">
        <f t="shared" si="12"/>
        <v>0</v>
      </c>
      <c r="AC28" s="1054">
        <f t="shared" si="13"/>
        <v>0</v>
      </c>
      <c r="AD28" s="1054">
        <f t="shared" si="14"/>
        <v>0</v>
      </c>
      <c r="AE28" s="1055">
        <f t="shared" si="15"/>
        <v>0</v>
      </c>
      <c r="AF28" s="2"/>
      <c r="AG28" s="1090">
        <f t="shared" si="16"/>
        <v>0</v>
      </c>
      <c r="AH28" s="1091">
        <f t="shared" si="17"/>
        <v>0</v>
      </c>
      <c r="AI28" s="1054">
        <f t="shared" si="18"/>
        <v>0</v>
      </c>
      <c r="AJ28" s="1054">
        <f t="shared" si="19"/>
        <v>0</v>
      </c>
      <c r="AK28" s="1092">
        <f t="shared" si="6"/>
        <v>0</v>
      </c>
      <c r="AL28" s="2"/>
      <c r="AM28" s="1090">
        <f t="shared" si="7"/>
        <v>0</v>
      </c>
      <c r="AN28" s="1105">
        <f t="shared" si="20"/>
        <v>0</v>
      </c>
      <c r="AO28" s="1054">
        <f t="shared" si="21"/>
        <v>0</v>
      </c>
      <c r="AP28" s="1054">
        <f t="shared" si="22"/>
        <v>0</v>
      </c>
      <c r="AQ28" s="1092">
        <f t="shared" si="23"/>
        <v>0</v>
      </c>
      <c r="AR28" s="2"/>
      <c r="AS28" s="1090">
        <f t="shared" si="24"/>
        <v>0</v>
      </c>
      <c r="AT28" s="1091">
        <f t="shared" si="25"/>
        <v>0</v>
      </c>
      <c r="AU28" s="1054">
        <f t="shared" si="26"/>
        <v>0</v>
      </c>
      <c r="AV28" s="1054">
        <f t="shared" si="27"/>
        <v>0</v>
      </c>
      <c r="AW28" s="1092">
        <f t="shared" si="28"/>
        <v>0</v>
      </c>
      <c r="AX28" s="2"/>
      <c r="AY28" s="1090">
        <f t="shared" si="29"/>
        <v>0</v>
      </c>
      <c r="AZ28" s="1385"/>
      <c r="BA28" s="2"/>
    </row>
    <row r="29" spans="1:53" ht="20.25" customHeight="1" x14ac:dyDescent="0.2">
      <c r="A29" s="2"/>
      <c r="B29" s="18">
        <v>22</v>
      </c>
      <c r="C29" s="234">
        <f t="shared" si="30"/>
        <v>22</v>
      </c>
      <c r="D29" s="235">
        <f t="shared" si="8"/>
        <v>5</v>
      </c>
      <c r="E29" s="2159" t="str">
        <f t="shared" si="0"/>
        <v xml:space="preserve">attiva trim.  </v>
      </c>
      <c r="F29" s="2160"/>
      <c r="G29" s="237"/>
      <c r="H29" s="237"/>
      <c r="I29" s="828"/>
      <c r="J29" s="829"/>
      <c r="K29" s="237"/>
      <c r="L29" s="828"/>
      <c r="M29" s="829"/>
      <c r="N29" s="237"/>
      <c r="O29" s="828"/>
      <c r="P29" s="829"/>
      <c r="Q29" s="6"/>
      <c r="R29" s="1053">
        <f t="shared" si="9"/>
        <v>0</v>
      </c>
      <c r="S29" s="1054">
        <f t="shared" si="1"/>
        <v>0</v>
      </c>
      <c r="T29" s="1054">
        <f t="shared" si="10"/>
        <v>0</v>
      </c>
      <c r="U29" s="1055">
        <f t="shared" si="11"/>
        <v>0</v>
      </c>
      <c r="V29" s="231">
        <f t="shared" si="31"/>
        <v>45434</v>
      </c>
      <c r="W29" s="1053">
        <f t="shared" si="2"/>
        <v>0</v>
      </c>
      <c r="X29" s="1054">
        <f t="shared" si="3"/>
        <v>0</v>
      </c>
      <c r="Y29" s="1054">
        <f t="shared" si="4"/>
        <v>0</v>
      </c>
      <c r="Z29" s="1055">
        <f t="shared" si="5"/>
        <v>0</v>
      </c>
      <c r="AA29" s="822">
        <f>VLOOKUP(V29,CASSA!$B$114:$C$479,2,FALSE)</f>
        <v>0</v>
      </c>
      <c r="AB29" s="1053">
        <f t="shared" si="12"/>
        <v>0</v>
      </c>
      <c r="AC29" s="1054">
        <f t="shared" si="13"/>
        <v>0</v>
      </c>
      <c r="AD29" s="1054">
        <f t="shared" si="14"/>
        <v>0</v>
      </c>
      <c r="AE29" s="1055">
        <f t="shared" si="15"/>
        <v>0</v>
      </c>
      <c r="AF29" s="2"/>
      <c r="AG29" s="1090">
        <f t="shared" si="16"/>
        <v>0</v>
      </c>
      <c r="AH29" s="1091">
        <f t="shared" si="17"/>
        <v>0</v>
      </c>
      <c r="AI29" s="1054">
        <f t="shared" si="18"/>
        <v>0</v>
      </c>
      <c r="AJ29" s="1054">
        <f t="shared" si="19"/>
        <v>0</v>
      </c>
      <c r="AK29" s="1092">
        <f t="shared" si="6"/>
        <v>0</v>
      </c>
      <c r="AL29" s="2"/>
      <c r="AM29" s="1090">
        <f t="shared" si="7"/>
        <v>0</v>
      </c>
      <c r="AN29" s="1105">
        <f t="shared" si="20"/>
        <v>0</v>
      </c>
      <c r="AO29" s="1054">
        <f t="shared" si="21"/>
        <v>0</v>
      </c>
      <c r="AP29" s="1054">
        <f t="shared" si="22"/>
        <v>0</v>
      </c>
      <c r="AQ29" s="1092">
        <f t="shared" si="23"/>
        <v>0</v>
      </c>
      <c r="AR29" s="2"/>
      <c r="AS29" s="1090">
        <f t="shared" si="24"/>
        <v>0</v>
      </c>
      <c r="AT29" s="1091">
        <f t="shared" si="25"/>
        <v>0</v>
      </c>
      <c r="AU29" s="1054">
        <f t="shared" si="26"/>
        <v>0</v>
      </c>
      <c r="AV29" s="1054">
        <f t="shared" si="27"/>
        <v>0</v>
      </c>
      <c r="AW29" s="1092">
        <f t="shared" si="28"/>
        <v>0</v>
      </c>
      <c r="AX29" s="2"/>
      <c r="AY29" s="1090">
        <f t="shared" si="29"/>
        <v>0</v>
      </c>
      <c r="AZ29" s="1385"/>
      <c r="BA29" s="2"/>
    </row>
    <row r="30" spans="1:53" ht="20.25" customHeight="1" x14ac:dyDescent="0.2">
      <c r="A30" s="2"/>
      <c r="B30" s="18">
        <v>23</v>
      </c>
      <c r="C30" s="234">
        <f t="shared" si="30"/>
        <v>23</v>
      </c>
      <c r="D30" s="235">
        <f t="shared" si="8"/>
        <v>5</v>
      </c>
      <c r="E30" s="2159" t="str">
        <f t="shared" si="0"/>
        <v xml:space="preserve">attiva trim.  </v>
      </c>
      <c r="F30" s="2160"/>
      <c r="G30" s="237"/>
      <c r="H30" s="237"/>
      <c r="I30" s="828"/>
      <c r="J30" s="829"/>
      <c r="K30" s="237"/>
      <c r="L30" s="828"/>
      <c r="M30" s="829"/>
      <c r="N30" s="237"/>
      <c r="O30" s="828"/>
      <c r="P30" s="829"/>
      <c r="Q30" s="6"/>
      <c r="R30" s="1053">
        <f t="shared" si="9"/>
        <v>0</v>
      </c>
      <c r="S30" s="1054">
        <f t="shared" si="1"/>
        <v>0</v>
      </c>
      <c r="T30" s="1054">
        <f t="shared" si="10"/>
        <v>0</v>
      </c>
      <c r="U30" s="1055">
        <f t="shared" si="11"/>
        <v>0</v>
      </c>
      <c r="V30" s="231">
        <f t="shared" si="31"/>
        <v>45435</v>
      </c>
      <c r="W30" s="1053">
        <f t="shared" si="2"/>
        <v>0</v>
      </c>
      <c r="X30" s="1054">
        <f t="shared" si="3"/>
        <v>0</v>
      </c>
      <c r="Y30" s="1054">
        <f t="shared" si="4"/>
        <v>0</v>
      </c>
      <c r="Z30" s="1055">
        <f t="shared" si="5"/>
        <v>0</v>
      </c>
      <c r="AA30" s="822">
        <f>VLOOKUP(V30,CASSA!$B$114:$C$479,2,FALSE)</f>
        <v>0</v>
      </c>
      <c r="AB30" s="1053">
        <f t="shared" si="12"/>
        <v>0</v>
      </c>
      <c r="AC30" s="1054">
        <f t="shared" si="13"/>
        <v>0</v>
      </c>
      <c r="AD30" s="1054">
        <f t="shared" si="14"/>
        <v>0</v>
      </c>
      <c r="AE30" s="1055">
        <f t="shared" si="15"/>
        <v>0</v>
      </c>
      <c r="AF30" s="2"/>
      <c r="AG30" s="1090">
        <f t="shared" si="16"/>
        <v>0</v>
      </c>
      <c r="AH30" s="1091">
        <f t="shared" si="17"/>
        <v>0</v>
      </c>
      <c r="AI30" s="1054">
        <f t="shared" si="18"/>
        <v>0</v>
      </c>
      <c r="AJ30" s="1054">
        <f t="shared" si="19"/>
        <v>0</v>
      </c>
      <c r="AK30" s="1092">
        <f t="shared" si="6"/>
        <v>0</v>
      </c>
      <c r="AL30" s="2"/>
      <c r="AM30" s="1090">
        <f t="shared" si="7"/>
        <v>0</v>
      </c>
      <c r="AN30" s="1105">
        <f t="shared" si="20"/>
        <v>0</v>
      </c>
      <c r="AO30" s="1054">
        <f t="shared" si="21"/>
        <v>0</v>
      </c>
      <c r="AP30" s="1054">
        <f t="shared" si="22"/>
        <v>0</v>
      </c>
      <c r="AQ30" s="1092">
        <f t="shared" si="23"/>
        <v>0</v>
      </c>
      <c r="AR30" s="2"/>
      <c r="AS30" s="1090">
        <f t="shared" si="24"/>
        <v>0</v>
      </c>
      <c r="AT30" s="1091">
        <f t="shared" si="25"/>
        <v>0</v>
      </c>
      <c r="AU30" s="1054">
        <f t="shared" si="26"/>
        <v>0</v>
      </c>
      <c r="AV30" s="1054">
        <f t="shared" si="27"/>
        <v>0</v>
      </c>
      <c r="AW30" s="1092">
        <f t="shared" si="28"/>
        <v>0</v>
      </c>
      <c r="AX30" s="2"/>
      <c r="AY30" s="1090">
        <f t="shared" si="29"/>
        <v>0</v>
      </c>
      <c r="AZ30" s="1385"/>
      <c r="BA30" s="2"/>
    </row>
    <row r="31" spans="1:53" ht="20.25" customHeight="1" x14ac:dyDescent="0.2">
      <c r="A31" s="2"/>
      <c r="B31" s="18">
        <v>24</v>
      </c>
      <c r="C31" s="234">
        <f t="shared" si="30"/>
        <v>24</v>
      </c>
      <c r="D31" s="235">
        <f t="shared" si="8"/>
        <v>5</v>
      </c>
      <c r="E31" s="2159" t="str">
        <f t="shared" si="0"/>
        <v xml:space="preserve">attiva trim.  </v>
      </c>
      <c r="F31" s="2160"/>
      <c r="G31" s="237"/>
      <c r="H31" s="237"/>
      <c r="I31" s="828"/>
      <c r="J31" s="829"/>
      <c r="K31" s="237"/>
      <c r="L31" s="828"/>
      <c r="M31" s="829"/>
      <c r="N31" s="237"/>
      <c r="O31" s="828"/>
      <c r="P31" s="829"/>
      <c r="Q31" s="6"/>
      <c r="R31" s="1053">
        <f t="shared" si="9"/>
        <v>0</v>
      </c>
      <c r="S31" s="1054">
        <f t="shared" si="1"/>
        <v>0</v>
      </c>
      <c r="T31" s="1054">
        <f t="shared" si="10"/>
        <v>0</v>
      </c>
      <c r="U31" s="1055">
        <f t="shared" si="11"/>
        <v>0</v>
      </c>
      <c r="V31" s="231">
        <f t="shared" si="31"/>
        <v>45436</v>
      </c>
      <c r="W31" s="1053">
        <f t="shared" si="2"/>
        <v>0</v>
      </c>
      <c r="X31" s="1054">
        <f t="shared" si="3"/>
        <v>0</v>
      </c>
      <c r="Y31" s="1054">
        <f t="shared" si="4"/>
        <v>0</v>
      </c>
      <c r="Z31" s="1055">
        <f t="shared" si="5"/>
        <v>0</v>
      </c>
      <c r="AA31" s="822">
        <f>VLOOKUP(V31,CASSA!$B$114:$C$479,2,FALSE)</f>
        <v>0</v>
      </c>
      <c r="AB31" s="1053">
        <f t="shared" si="12"/>
        <v>0</v>
      </c>
      <c r="AC31" s="1054">
        <f t="shared" si="13"/>
        <v>0</v>
      </c>
      <c r="AD31" s="1054">
        <f t="shared" si="14"/>
        <v>0</v>
      </c>
      <c r="AE31" s="1055">
        <f t="shared" si="15"/>
        <v>0</v>
      </c>
      <c r="AF31" s="2"/>
      <c r="AG31" s="1090">
        <f t="shared" si="16"/>
        <v>0</v>
      </c>
      <c r="AH31" s="1091">
        <f t="shared" si="17"/>
        <v>0</v>
      </c>
      <c r="AI31" s="1054">
        <f t="shared" si="18"/>
        <v>0</v>
      </c>
      <c r="AJ31" s="1054">
        <f t="shared" si="19"/>
        <v>0</v>
      </c>
      <c r="AK31" s="1092">
        <f t="shared" si="6"/>
        <v>0</v>
      </c>
      <c r="AL31" s="2"/>
      <c r="AM31" s="1090">
        <f t="shared" si="7"/>
        <v>0</v>
      </c>
      <c r="AN31" s="1105">
        <f t="shared" si="20"/>
        <v>0</v>
      </c>
      <c r="AO31" s="1054">
        <f t="shared" si="21"/>
        <v>0</v>
      </c>
      <c r="AP31" s="1054">
        <f t="shared" si="22"/>
        <v>0</v>
      </c>
      <c r="AQ31" s="1092">
        <f t="shared" si="23"/>
        <v>0</v>
      </c>
      <c r="AR31" s="2"/>
      <c r="AS31" s="1090">
        <f t="shared" si="24"/>
        <v>0</v>
      </c>
      <c r="AT31" s="1091">
        <f t="shared" si="25"/>
        <v>0</v>
      </c>
      <c r="AU31" s="1054">
        <f t="shared" si="26"/>
        <v>0</v>
      </c>
      <c r="AV31" s="1054">
        <f t="shared" si="27"/>
        <v>0</v>
      </c>
      <c r="AW31" s="1092">
        <f t="shared" si="28"/>
        <v>0</v>
      </c>
      <c r="AX31" s="2"/>
      <c r="AY31" s="1090">
        <f t="shared" si="29"/>
        <v>0</v>
      </c>
      <c r="AZ31" s="1385"/>
      <c r="BA31" s="2"/>
    </row>
    <row r="32" spans="1:53" ht="20.25" customHeight="1" x14ac:dyDescent="0.2">
      <c r="A32" s="2"/>
      <c r="B32" s="18">
        <v>25</v>
      </c>
      <c r="C32" s="234">
        <f t="shared" si="30"/>
        <v>25</v>
      </c>
      <c r="D32" s="235">
        <f t="shared" si="8"/>
        <v>5</v>
      </c>
      <c r="E32" s="2159" t="str">
        <f t="shared" si="0"/>
        <v xml:space="preserve">attiva trim.  </v>
      </c>
      <c r="F32" s="2160"/>
      <c r="G32" s="237"/>
      <c r="H32" s="237"/>
      <c r="I32" s="828"/>
      <c r="J32" s="829"/>
      <c r="K32" s="237"/>
      <c r="L32" s="828"/>
      <c r="M32" s="829"/>
      <c r="N32" s="237"/>
      <c r="O32" s="828"/>
      <c r="P32" s="829"/>
      <c r="Q32" s="6"/>
      <c r="R32" s="1053">
        <f t="shared" si="9"/>
        <v>0</v>
      </c>
      <c r="S32" s="1054">
        <f t="shared" si="1"/>
        <v>0</v>
      </c>
      <c r="T32" s="1054">
        <f t="shared" si="10"/>
        <v>0</v>
      </c>
      <c r="U32" s="1055">
        <f t="shared" si="11"/>
        <v>0</v>
      </c>
      <c r="V32" s="231">
        <f t="shared" si="31"/>
        <v>45437</v>
      </c>
      <c r="W32" s="1053">
        <f t="shared" si="2"/>
        <v>0</v>
      </c>
      <c r="X32" s="1054">
        <f t="shared" si="3"/>
        <v>0</v>
      </c>
      <c r="Y32" s="1054">
        <f t="shared" si="4"/>
        <v>0</v>
      </c>
      <c r="Z32" s="1055">
        <f t="shared" si="5"/>
        <v>0</v>
      </c>
      <c r="AA32" s="822">
        <f>VLOOKUP(V32,CASSA!$B$114:$C$479,2,FALSE)</f>
        <v>0</v>
      </c>
      <c r="AB32" s="1053">
        <f t="shared" si="12"/>
        <v>0</v>
      </c>
      <c r="AC32" s="1054">
        <f t="shared" si="13"/>
        <v>0</v>
      </c>
      <c r="AD32" s="1054">
        <f t="shared" si="14"/>
        <v>0</v>
      </c>
      <c r="AE32" s="1055">
        <f t="shared" si="15"/>
        <v>0</v>
      </c>
      <c r="AF32" s="2"/>
      <c r="AG32" s="1090">
        <f t="shared" si="16"/>
        <v>0</v>
      </c>
      <c r="AH32" s="1091">
        <f t="shared" si="17"/>
        <v>0</v>
      </c>
      <c r="AI32" s="1054">
        <f t="shared" si="18"/>
        <v>0</v>
      </c>
      <c r="AJ32" s="1054">
        <f t="shared" si="19"/>
        <v>0</v>
      </c>
      <c r="AK32" s="1092">
        <f t="shared" si="6"/>
        <v>0</v>
      </c>
      <c r="AL32" s="2"/>
      <c r="AM32" s="1090">
        <f t="shared" si="7"/>
        <v>0</v>
      </c>
      <c r="AN32" s="1105">
        <f t="shared" si="20"/>
        <v>0</v>
      </c>
      <c r="AO32" s="1054">
        <f t="shared" si="21"/>
        <v>0</v>
      </c>
      <c r="AP32" s="1054">
        <f t="shared" si="22"/>
        <v>0</v>
      </c>
      <c r="AQ32" s="1092">
        <f t="shared" si="23"/>
        <v>0</v>
      </c>
      <c r="AR32" s="2"/>
      <c r="AS32" s="1090">
        <f t="shared" si="24"/>
        <v>0</v>
      </c>
      <c r="AT32" s="1091">
        <f t="shared" si="25"/>
        <v>0</v>
      </c>
      <c r="AU32" s="1054">
        <f t="shared" si="26"/>
        <v>0</v>
      </c>
      <c r="AV32" s="1054">
        <f t="shared" si="27"/>
        <v>0</v>
      </c>
      <c r="AW32" s="1092">
        <f t="shared" si="28"/>
        <v>0</v>
      </c>
      <c r="AX32" s="2"/>
      <c r="AY32" s="1090">
        <f t="shared" si="29"/>
        <v>0</v>
      </c>
      <c r="AZ32" s="1385"/>
      <c r="BA32" s="2"/>
    </row>
    <row r="33" spans="1:54" ht="20.25" customHeight="1" x14ac:dyDescent="0.2">
      <c r="A33" s="2"/>
      <c r="B33" s="18">
        <v>26</v>
      </c>
      <c r="C33" s="234">
        <f t="shared" si="30"/>
        <v>26</v>
      </c>
      <c r="D33" s="235">
        <f t="shared" si="8"/>
        <v>5</v>
      </c>
      <c r="E33" s="2159" t="str">
        <f t="shared" si="0"/>
        <v xml:space="preserve">attiva trim.  </v>
      </c>
      <c r="F33" s="2160"/>
      <c r="G33" s="237"/>
      <c r="H33" s="237"/>
      <c r="I33" s="828"/>
      <c r="J33" s="829"/>
      <c r="K33" s="237"/>
      <c r="L33" s="828"/>
      <c r="M33" s="829"/>
      <c r="N33" s="237"/>
      <c r="O33" s="828"/>
      <c r="P33" s="829"/>
      <c r="Q33" s="6"/>
      <c r="R33" s="1053">
        <f t="shared" si="9"/>
        <v>0</v>
      </c>
      <c r="S33" s="1054">
        <f t="shared" si="1"/>
        <v>0</v>
      </c>
      <c r="T33" s="1054">
        <f t="shared" si="10"/>
        <v>0</v>
      </c>
      <c r="U33" s="1055">
        <f t="shared" si="11"/>
        <v>0</v>
      </c>
      <c r="V33" s="231">
        <f t="shared" si="31"/>
        <v>45438</v>
      </c>
      <c r="W33" s="1053">
        <f t="shared" si="2"/>
        <v>0</v>
      </c>
      <c r="X33" s="1054">
        <f t="shared" si="3"/>
        <v>0</v>
      </c>
      <c r="Y33" s="1054">
        <f t="shared" si="4"/>
        <v>0</v>
      </c>
      <c r="Z33" s="1055">
        <f t="shared" si="5"/>
        <v>0</v>
      </c>
      <c r="AA33" s="822">
        <f>VLOOKUP(V33,CASSA!$B$114:$C$479,2,FALSE)</f>
        <v>0</v>
      </c>
      <c r="AB33" s="1053">
        <f t="shared" si="12"/>
        <v>0</v>
      </c>
      <c r="AC33" s="1054">
        <f t="shared" si="13"/>
        <v>0</v>
      </c>
      <c r="AD33" s="1054">
        <f t="shared" si="14"/>
        <v>0</v>
      </c>
      <c r="AE33" s="1055">
        <f t="shared" si="15"/>
        <v>0</v>
      </c>
      <c r="AF33" s="2"/>
      <c r="AG33" s="1090">
        <f t="shared" si="16"/>
        <v>0</v>
      </c>
      <c r="AH33" s="1091">
        <f t="shared" si="17"/>
        <v>0</v>
      </c>
      <c r="AI33" s="1054">
        <f t="shared" si="18"/>
        <v>0</v>
      </c>
      <c r="AJ33" s="1054">
        <f t="shared" si="19"/>
        <v>0</v>
      </c>
      <c r="AK33" s="1092">
        <f t="shared" si="6"/>
        <v>0</v>
      </c>
      <c r="AL33" s="2"/>
      <c r="AM33" s="1090">
        <f t="shared" si="7"/>
        <v>0</v>
      </c>
      <c r="AN33" s="1105">
        <f t="shared" si="20"/>
        <v>0</v>
      </c>
      <c r="AO33" s="1054">
        <f t="shared" si="21"/>
        <v>0</v>
      </c>
      <c r="AP33" s="1054">
        <f t="shared" si="22"/>
        <v>0</v>
      </c>
      <c r="AQ33" s="1092">
        <f t="shared" si="23"/>
        <v>0</v>
      </c>
      <c r="AR33" s="2"/>
      <c r="AS33" s="1090">
        <f t="shared" si="24"/>
        <v>0</v>
      </c>
      <c r="AT33" s="1091">
        <f t="shared" si="25"/>
        <v>0</v>
      </c>
      <c r="AU33" s="1054">
        <f t="shared" si="26"/>
        <v>0</v>
      </c>
      <c r="AV33" s="1054">
        <f t="shared" si="27"/>
        <v>0</v>
      </c>
      <c r="AW33" s="1092">
        <f t="shared" si="28"/>
        <v>0</v>
      </c>
      <c r="AX33" s="2"/>
      <c r="AY33" s="1090">
        <f t="shared" si="29"/>
        <v>0</v>
      </c>
      <c r="AZ33" s="1385"/>
      <c r="BA33" s="2"/>
    </row>
    <row r="34" spans="1:54" ht="20.25" customHeight="1" x14ac:dyDescent="0.2">
      <c r="A34" s="2"/>
      <c r="B34" s="18">
        <v>27</v>
      </c>
      <c r="C34" s="234">
        <f t="shared" si="30"/>
        <v>27</v>
      </c>
      <c r="D34" s="235">
        <f t="shared" si="8"/>
        <v>5</v>
      </c>
      <c r="E34" s="2159" t="str">
        <f t="shared" si="0"/>
        <v xml:space="preserve">attiva trim.  </v>
      </c>
      <c r="F34" s="2160"/>
      <c r="G34" s="237"/>
      <c r="H34" s="237"/>
      <c r="I34" s="828"/>
      <c r="J34" s="829"/>
      <c r="K34" s="237"/>
      <c r="L34" s="828"/>
      <c r="M34" s="829"/>
      <c r="N34" s="237"/>
      <c r="O34" s="828"/>
      <c r="P34" s="829"/>
      <c r="Q34" s="6"/>
      <c r="R34" s="1053">
        <f t="shared" si="9"/>
        <v>0</v>
      </c>
      <c r="S34" s="1054">
        <f t="shared" si="1"/>
        <v>0</v>
      </c>
      <c r="T34" s="1054">
        <f t="shared" si="10"/>
        <v>0</v>
      </c>
      <c r="U34" s="1055">
        <f t="shared" si="11"/>
        <v>0</v>
      </c>
      <c r="V34" s="231">
        <f t="shared" si="31"/>
        <v>45439</v>
      </c>
      <c r="W34" s="1053">
        <f t="shared" si="2"/>
        <v>0</v>
      </c>
      <c r="X34" s="1054">
        <f t="shared" si="3"/>
        <v>0</v>
      </c>
      <c r="Y34" s="1054">
        <f t="shared" si="4"/>
        <v>0</v>
      </c>
      <c r="Z34" s="1055">
        <f t="shared" si="5"/>
        <v>0</v>
      </c>
      <c r="AA34" s="822">
        <f>VLOOKUP(V34,CASSA!$B$114:$C$479,2,FALSE)</f>
        <v>0</v>
      </c>
      <c r="AB34" s="1053">
        <f t="shared" si="12"/>
        <v>0</v>
      </c>
      <c r="AC34" s="1054">
        <f t="shared" si="13"/>
        <v>0</v>
      </c>
      <c r="AD34" s="1054">
        <f t="shared" si="14"/>
        <v>0</v>
      </c>
      <c r="AE34" s="1055">
        <f t="shared" si="15"/>
        <v>0</v>
      </c>
      <c r="AF34" s="2"/>
      <c r="AG34" s="1090">
        <f t="shared" si="16"/>
        <v>0</v>
      </c>
      <c r="AH34" s="1091">
        <f t="shared" si="17"/>
        <v>0</v>
      </c>
      <c r="AI34" s="1054">
        <f t="shared" si="18"/>
        <v>0</v>
      </c>
      <c r="AJ34" s="1054">
        <f t="shared" si="19"/>
        <v>0</v>
      </c>
      <c r="AK34" s="1092">
        <f t="shared" si="6"/>
        <v>0</v>
      </c>
      <c r="AL34" s="2"/>
      <c r="AM34" s="1090">
        <f t="shared" si="7"/>
        <v>0</v>
      </c>
      <c r="AN34" s="1105">
        <f t="shared" si="20"/>
        <v>0</v>
      </c>
      <c r="AO34" s="1054">
        <f t="shared" si="21"/>
        <v>0</v>
      </c>
      <c r="AP34" s="1054">
        <f t="shared" si="22"/>
        <v>0</v>
      </c>
      <c r="AQ34" s="1092">
        <f t="shared" si="23"/>
        <v>0</v>
      </c>
      <c r="AR34" s="2"/>
      <c r="AS34" s="1090">
        <f t="shared" si="24"/>
        <v>0</v>
      </c>
      <c r="AT34" s="1091">
        <f t="shared" si="25"/>
        <v>0</v>
      </c>
      <c r="AU34" s="1054">
        <f t="shared" si="26"/>
        <v>0</v>
      </c>
      <c r="AV34" s="1054">
        <f t="shared" si="27"/>
        <v>0</v>
      </c>
      <c r="AW34" s="1092">
        <f t="shared" si="28"/>
        <v>0</v>
      </c>
      <c r="AX34" s="2"/>
      <c r="AY34" s="1090">
        <f t="shared" si="29"/>
        <v>0</v>
      </c>
      <c r="AZ34" s="1385"/>
      <c r="BA34" s="2"/>
    </row>
    <row r="35" spans="1:54" ht="20.25" customHeight="1" x14ac:dyDescent="0.2">
      <c r="A35" s="2"/>
      <c r="B35" s="18">
        <v>28</v>
      </c>
      <c r="C35" s="234">
        <f t="shared" si="30"/>
        <v>28</v>
      </c>
      <c r="D35" s="235">
        <f t="shared" si="8"/>
        <v>5</v>
      </c>
      <c r="E35" s="2159" t="str">
        <f t="shared" si="0"/>
        <v xml:space="preserve">attiva trim.  </v>
      </c>
      <c r="F35" s="2160"/>
      <c r="G35" s="237"/>
      <c r="H35" s="237"/>
      <c r="I35" s="828"/>
      <c r="J35" s="829"/>
      <c r="K35" s="237"/>
      <c r="L35" s="828"/>
      <c r="M35" s="829"/>
      <c r="N35" s="237"/>
      <c r="O35" s="828"/>
      <c r="P35" s="829"/>
      <c r="Q35" s="6"/>
      <c r="R35" s="1053">
        <f t="shared" si="9"/>
        <v>0</v>
      </c>
      <c r="S35" s="1054">
        <f t="shared" si="1"/>
        <v>0</v>
      </c>
      <c r="T35" s="1054">
        <f t="shared" si="10"/>
        <v>0</v>
      </c>
      <c r="U35" s="1055">
        <f t="shared" si="11"/>
        <v>0</v>
      </c>
      <c r="V35" s="231">
        <f t="shared" si="31"/>
        <v>45440</v>
      </c>
      <c r="W35" s="1053">
        <f t="shared" si="2"/>
        <v>0</v>
      </c>
      <c r="X35" s="1054">
        <f t="shared" si="3"/>
        <v>0</v>
      </c>
      <c r="Y35" s="1054">
        <f t="shared" si="4"/>
        <v>0</v>
      </c>
      <c r="Z35" s="1055">
        <f t="shared" si="5"/>
        <v>0</v>
      </c>
      <c r="AA35" s="822">
        <f>VLOOKUP(V35,CASSA!$B$114:$C$479,2,FALSE)</f>
        <v>0</v>
      </c>
      <c r="AB35" s="1053">
        <f t="shared" si="12"/>
        <v>0</v>
      </c>
      <c r="AC35" s="1054">
        <f t="shared" si="13"/>
        <v>0</v>
      </c>
      <c r="AD35" s="1054">
        <f t="shared" si="14"/>
        <v>0</v>
      </c>
      <c r="AE35" s="1055">
        <f t="shared" si="15"/>
        <v>0</v>
      </c>
      <c r="AF35" s="2"/>
      <c r="AG35" s="1090">
        <f t="shared" si="16"/>
        <v>0</v>
      </c>
      <c r="AH35" s="1091">
        <f t="shared" si="17"/>
        <v>0</v>
      </c>
      <c r="AI35" s="1054">
        <f t="shared" si="18"/>
        <v>0</v>
      </c>
      <c r="AJ35" s="1054">
        <f t="shared" si="19"/>
        <v>0</v>
      </c>
      <c r="AK35" s="1092">
        <f t="shared" si="6"/>
        <v>0</v>
      </c>
      <c r="AL35" s="2"/>
      <c r="AM35" s="1090">
        <f t="shared" si="7"/>
        <v>0</v>
      </c>
      <c r="AN35" s="1105">
        <f t="shared" si="20"/>
        <v>0</v>
      </c>
      <c r="AO35" s="1054">
        <f t="shared" si="21"/>
        <v>0</v>
      </c>
      <c r="AP35" s="1054">
        <f t="shared" si="22"/>
        <v>0</v>
      </c>
      <c r="AQ35" s="1092">
        <f t="shared" si="23"/>
        <v>0</v>
      </c>
      <c r="AR35" s="2"/>
      <c r="AS35" s="1090">
        <f t="shared" si="24"/>
        <v>0</v>
      </c>
      <c r="AT35" s="1091">
        <f t="shared" si="25"/>
        <v>0</v>
      </c>
      <c r="AU35" s="1054">
        <f t="shared" si="26"/>
        <v>0</v>
      </c>
      <c r="AV35" s="1054">
        <f t="shared" si="27"/>
        <v>0</v>
      </c>
      <c r="AW35" s="1092">
        <f t="shared" si="28"/>
        <v>0</v>
      </c>
      <c r="AX35" s="2"/>
      <c r="AY35" s="1090">
        <f t="shared" si="29"/>
        <v>0</v>
      </c>
      <c r="AZ35" s="1385"/>
      <c r="BA35" s="2"/>
    </row>
    <row r="36" spans="1:54" ht="20.25" customHeight="1" x14ac:dyDescent="0.2">
      <c r="A36" s="2"/>
      <c r="B36" s="18">
        <v>29</v>
      </c>
      <c r="C36" s="234">
        <f t="shared" si="30"/>
        <v>29</v>
      </c>
      <c r="D36" s="235">
        <f t="shared" si="8"/>
        <v>5</v>
      </c>
      <c r="E36" s="2159" t="str">
        <f t="shared" si="0"/>
        <v xml:space="preserve">attiva trim.  </v>
      </c>
      <c r="F36" s="2160"/>
      <c r="G36" s="237"/>
      <c r="H36" s="237"/>
      <c r="I36" s="828"/>
      <c r="J36" s="829"/>
      <c r="K36" s="237"/>
      <c r="L36" s="828"/>
      <c r="M36" s="829"/>
      <c r="N36" s="237"/>
      <c r="O36" s="828"/>
      <c r="P36" s="829"/>
      <c r="Q36" s="6"/>
      <c r="R36" s="1053">
        <f t="shared" si="9"/>
        <v>0</v>
      </c>
      <c r="S36" s="1054">
        <f t="shared" si="1"/>
        <v>0</v>
      </c>
      <c r="T36" s="1054">
        <f t="shared" si="10"/>
        <v>0</v>
      </c>
      <c r="U36" s="1055">
        <f t="shared" si="11"/>
        <v>0</v>
      </c>
      <c r="V36" s="231">
        <f t="shared" si="31"/>
        <v>45441</v>
      </c>
      <c r="W36" s="1053">
        <f t="shared" si="2"/>
        <v>0</v>
      </c>
      <c r="X36" s="1054">
        <f t="shared" si="3"/>
        <v>0</v>
      </c>
      <c r="Y36" s="1054">
        <f t="shared" si="4"/>
        <v>0</v>
      </c>
      <c r="Z36" s="1055">
        <f t="shared" si="5"/>
        <v>0</v>
      </c>
      <c r="AA36" s="822">
        <f>VLOOKUP(V36,CASSA!$B$114:$C$479,2,FALSE)</f>
        <v>0</v>
      </c>
      <c r="AB36" s="1053">
        <f t="shared" si="12"/>
        <v>0</v>
      </c>
      <c r="AC36" s="1054">
        <f t="shared" si="13"/>
        <v>0</v>
      </c>
      <c r="AD36" s="1054">
        <f t="shared" si="14"/>
        <v>0</v>
      </c>
      <c r="AE36" s="1055">
        <f t="shared" si="15"/>
        <v>0</v>
      </c>
      <c r="AF36" s="2"/>
      <c r="AG36" s="1090">
        <f t="shared" si="16"/>
        <v>0</v>
      </c>
      <c r="AH36" s="1091">
        <f t="shared" si="17"/>
        <v>0</v>
      </c>
      <c r="AI36" s="1054">
        <f t="shared" si="18"/>
        <v>0</v>
      </c>
      <c r="AJ36" s="1054">
        <f t="shared" si="19"/>
        <v>0</v>
      </c>
      <c r="AK36" s="1092">
        <f t="shared" si="6"/>
        <v>0</v>
      </c>
      <c r="AL36" s="2"/>
      <c r="AM36" s="1090">
        <f t="shared" si="7"/>
        <v>0</v>
      </c>
      <c r="AN36" s="1105">
        <f t="shared" si="20"/>
        <v>0</v>
      </c>
      <c r="AO36" s="1054">
        <f t="shared" si="21"/>
        <v>0</v>
      </c>
      <c r="AP36" s="1054">
        <f t="shared" si="22"/>
        <v>0</v>
      </c>
      <c r="AQ36" s="1092">
        <f t="shared" si="23"/>
        <v>0</v>
      </c>
      <c r="AR36" s="2"/>
      <c r="AS36" s="1090">
        <f t="shared" si="24"/>
        <v>0</v>
      </c>
      <c r="AT36" s="1091">
        <f t="shared" si="25"/>
        <v>0</v>
      </c>
      <c r="AU36" s="1054">
        <f t="shared" si="26"/>
        <v>0</v>
      </c>
      <c r="AV36" s="1054">
        <f t="shared" si="27"/>
        <v>0</v>
      </c>
      <c r="AW36" s="1092">
        <f t="shared" si="28"/>
        <v>0</v>
      </c>
      <c r="AX36" s="2"/>
      <c r="AY36" s="1090">
        <f t="shared" si="29"/>
        <v>0</v>
      </c>
      <c r="AZ36" s="1385"/>
      <c r="BA36" s="2"/>
    </row>
    <row r="37" spans="1:54" ht="20.25" customHeight="1" x14ac:dyDescent="0.2">
      <c r="A37" s="2"/>
      <c r="B37" s="18">
        <v>30</v>
      </c>
      <c r="C37" s="234">
        <f t="shared" si="30"/>
        <v>30</v>
      </c>
      <c r="D37" s="235">
        <f t="shared" si="8"/>
        <v>5</v>
      </c>
      <c r="E37" s="2159" t="str">
        <f t="shared" si="0"/>
        <v xml:space="preserve">attiva trim.  </v>
      </c>
      <c r="F37" s="2160"/>
      <c r="G37" s="237"/>
      <c r="H37" s="237"/>
      <c r="I37" s="828"/>
      <c r="J37" s="829"/>
      <c r="K37" s="237"/>
      <c r="L37" s="828"/>
      <c r="M37" s="829"/>
      <c r="N37" s="237"/>
      <c r="O37" s="828"/>
      <c r="P37" s="829"/>
      <c r="Q37" s="6"/>
      <c r="R37" s="1053">
        <f t="shared" si="9"/>
        <v>0</v>
      </c>
      <c r="S37" s="1054">
        <f t="shared" si="1"/>
        <v>0</v>
      </c>
      <c r="T37" s="1054">
        <f t="shared" si="10"/>
        <v>0</v>
      </c>
      <c r="U37" s="1055">
        <f t="shared" si="11"/>
        <v>0</v>
      </c>
      <c r="V37" s="231">
        <f t="shared" si="31"/>
        <v>45442</v>
      </c>
      <c r="W37" s="1053">
        <f t="shared" si="2"/>
        <v>0</v>
      </c>
      <c r="X37" s="1054">
        <f t="shared" si="3"/>
        <v>0</v>
      </c>
      <c r="Y37" s="1054">
        <f t="shared" si="4"/>
        <v>0</v>
      </c>
      <c r="Z37" s="1055">
        <f t="shared" si="5"/>
        <v>0</v>
      </c>
      <c r="AA37" s="822">
        <f>VLOOKUP(V37,CASSA!$B$114:$C$479,2,FALSE)</f>
        <v>0</v>
      </c>
      <c r="AB37" s="1053">
        <f t="shared" si="12"/>
        <v>0</v>
      </c>
      <c r="AC37" s="1054">
        <f t="shared" si="13"/>
        <v>0</v>
      </c>
      <c r="AD37" s="1054">
        <f t="shared" si="14"/>
        <v>0</v>
      </c>
      <c r="AE37" s="1055">
        <f t="shared" si="15"/>
        <v>0</v>
      </c>
      <c r="AF37" s="2"/>
      <c r="AG37" s="1090">
        <f t="shared" si="16"/>
        <v>0</v>
      </c>
      <c r="AH37" s="1091">
        <f t="shared" si="17"/>
        <v>0</v>
      </c>
      <c r="AI37" s="1054">
        <f t="shared" si="18"/>
        <v>0</v>
      </c>
      <c r="AJ37" s="1054">
        <f t="shared" si="19"/>
        <v>0</v>
      </c>
      <c r="AK37" s="1092">
        <f t="shared" si="6"/>
        <v>0</v>
      </c>
      <c r="AL37" s="2"/>
      <c r="AM37" s="1090">
        <f t="shared" si="7"/>
        <v>0</v>
      </c>
      <c r="AN37" s="1105">
        <f t="shared" si="20"/>
        <v>0</v>
      </c>
      <c r="AO37" s="1054">
        <f t="shared" si="21"/>
        <v>0</v>
      </c>
      <c r="AP37" s="1054">
        <f t="shared" si="22"/>
        <v>0</v>
      </c>
      <c r="AQ37" s="1092">
        <f t="shared" si="23"/>
        <v>0</v>
      </c>
      <c r="AR37" s="2"/>
      <c r="AS37" s="1090">
        <f t="shared" si="24"/>
        <v>0</v>
      </c>
      <c r="AT37" s="1091">
        <f t="shared" si="25"/>
        <v>0</v>
      </c>
      <c r="AU37" s="1054">
        <f t="shared" si="26"/>
        <v>0</v>
      </c>
      <c r="AV37" s="1054">
        <f t="shared" si="27"/>
        <v>0</v>
      </c>
      <c r="AW37" s="1092">
        <f t="shared" si="28"/>
        <v>0</v>
      </c>
      <c r="AX37" s="2"/>
      <c r="AY37" s="1090">
        <f t="shared" si="29"/>
        <v>0</v>
      </c>
      <c r="AZ37" s="1385"/>
      <c r="BA37" s="2"/>
    </row>
    <row r="38" spans="1:54" ht="20.25" customHeight="1" x14ac:dyDescent="0.2">
      <c r="A38" s="2"/>
      <c r="B38" s="18">
        <v>31</v>
      </c>
      <c r="C38" s="234">
        <f t="shared" si="30"/>
        <v>31</v>
      </c>
      <c r="D38" s="235">
        <f t="shared" si="8"/>
        <v>5</v>
      </c>
      <c r="E38" s="2162" t="str">
        <f t="shared" si="0"/>
        <v xml:space="preserve">attiva trim.  </v>
      </c>
      <c r="F38" s="2163"/>
      <c r="G38" s="824"/>
      <c r="H38" s="824"/>
      <c r="I38" s="836"/>
      <c r="J38" s="837"/>
      <c r="K38" s="824"/>
      <c r="L38" s="836"/>
      <c r="M38" s="837"/>
      <c r="N38" s="824"/>
      <c r="O38" s="836"/>
      <c r="P38" s="837"/>
      <c r="Q38" s="6"/>
      <c r="R38" s="1056">
        <f t="shared" si="9"/>
        <v>0</v>
      </c>
      <c r="S38" s="1057">
        <f t="shared" si="1"/>
        <v>0</v>
      </c>
      <c r="T38" s="1057">
        <f t="shared" si="10"/>
        <v>0</v>
      </c>
      <c r="U38" s="1058">
        <f t="shared" si="11"/>
        <v>0</v>
      </c>
      <c r="V38" s="231">
        <f t="shared" si="31"/>
        <v>45443</v>
      </c>
      <c r="W38" s="1056">
        <f t="shared" si="2"/>
        <v>0</v>
      </c>
      <c r="X38" s="1057">
        <f t="shared" si="3"/>
        <v>0</v>
      </c>
      <c r="Y38" s="1057">
        <f t="shared" si="4"/>
        <v>0</v>
      </c>
      <c r="Z38" s="1058">
        <f t="shared" si="5"/>
        <v>0</v>
      </c>
      <c r="AA38" s="822">
        <f>VLOOKUP(V38,CASSA!$B$114:$C$479,2,FALSE)</f>
        <v>0</v>
      </c>
      <c r="AB38" s="1056">
        <f t="shared" si="12"/>
        <v>0</v>
      </c>
      <c r="AC38" s="1057">
        <f t="shared" si="13"/>
        <v>0</v>
      </c>
      <c r="AD38" s="1057">
        <f t="shared" si="14"/>
        <v>0</v>
      </c>
      <c r="AE38" s="1058">
        <f t="shared" si="15"/>
        <v>0</v>
      </c>
      <c r="AF38" s="2"/>
      <c r="AG38" s="1093">
        <f t="shared" si="16"/>
        <v>0</v>
      </c>
      <c r="AH38" s="1094">
        <f t="shared" si="17"/>
        <v>0</v>
      </c>
      <c r="AI38" s="1057">
        <f t="shared" si="18"/>
        <v>0</v>
      </c>
      <c r="AJ38" s="1057">
        <f t="shared" si="19"/>
        <v>0</v>
      </c>
      <c r="AK38" s="1095">
        <f t="shared" si="6"/>
        <v>0</v>
      </c>
      <c r="AL38" s="2"/>
      <c r="AM38" s="1093">
        <f t="shared" si="7"/>
        <v>0</v>
      </c>
      <c r="AN38" s="1106">
        <f t="shared" si="20"/>
        <v>0</v>
      </c>
      <c r="AO38" s="1057">
        <f t="shared" si="21"/>
        <v>0</v>
      </c>
      <c r="AP38" s="1057">
        <f t="shared" si="22"/>
        <v>0</v>
      </c>
      <c r="AQ38" s="1095">
        <f t="shared" si="23"/>
        <v>0</v>
      </c>
      <c r="AR38" s="2"/>
      <c r="AS38" s="1093">
        <f t="shared" si="24"/>
        <v>0</v>
      </c>
      <c r="AT38" s="1094">
        <f t="shared" si="25"/>
        <v>0</v>
      </c>
      <c r="AU38" s="1057">
        <f t="shared" si="26"/>
        <v>0</v>
      </c>
      <c r="AV38" s="1057">
        <f t="shared" si="27"/>
        <v>0</v>
      </c>
      <c r="AW38" s="1095">
        <f t="shared" si="28"/>
        <v>0</v>
      </c>
      <c r="AX38" s="2"/>
      <c r="AY38" s="1093">
        <f t="shared" si="29"/>
        <v>0</v>
      </c>
      <c r="AZ38" s="1386"/>
      <c r="BA38" s="2"/>
    </row>
    <row r="39" spans="1:54" ht="20.25" customHeight="1" x14ac:dyDescent="0.2">
      <c r="A39" s="2"/>
      <c r="B39" s="7"/>
      <c r="C39" s="2077" t="s">
        <v>177</v>
      </c>
      <c r="D39" s="2078"/>
      <c r="E39" s="2074">
        <f>IMPOSTAZIONI!P265</f>
        <v>0</v>
      </c>
      <c r="F39" s="2075"/>
      <c r="G39" s="1440">
        <f>IF(ISERROR(G$155),0,SUM(G7:G38)-SUMIF($E8:$E38,$V4,G8:G38))</f>
        <v>0</v>
      </c>
      <c r="H39" s="1440">
        <f>IF(ISERROR(H$155),0,SUM(H7:H38)-SUMIF($E8:$E38,$V4,H8:H38))</f>
        <v>0</v>
      </c>
      <c r="I39" s="838"/>
      <c r="J39" s="839"/>
      <c r="K39" s="1440">
        <f>IF(ISERROR(I$155),0,SUM(K7:K38)-SUMIF($E8:$E38,$V4,K8:K38))</f>
        <v>0</v>
      </c>
      <c r="L39" s="838"/>
      <c r="M39" s="839"/>
      <c r="N39" s="1440">
        <f>IF(ISERROR(J$155),0,SUM(N7:N38)-SUMIF($E8:$E38,$V4,N8:N38))</f>
        <v>0</v>
      </c>
      <c r="O39" s="838"/>
      <c r="P39" s="839"/>
      <c r="Q39" s="6"/>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1383"/>
      <c r="BA39" s="2"/>
    </row>
    <row r="40" spans="1:54" ht="3" customHeight="1" x14ac:dyDescent="0.2">
      <c r="A40" s="2"/>
      <c r="B40" s="2"/>
      <c r="C40" s="8"/>
      <c r="D40" s="9"/>
      <c r="E40" s="825"/>
      <c r="F40" s="826"/>
      <c r="G40" s="827"/>
      <c r="H40" s="827"/>
      <c r="I40" s="825"/>
      <c r="J40" s="826"/>
      <c r="K40" s="827"/>
      <c r="L40" s="825"/>
      <c r="M40" s="826"/>
      <c r="N40" s="827"/>
      <c r="O40" s="825"/>
      <c r="P40" s="826"/>
      <c r="Q40" s="6"/>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row>
    <row r="41" spans="1:54" ht="6" customHeight="1" x14ac:dyDescent="0.2">
      <c r="A41" s="2"/>
      <c r="B41" s="2"/>
      <c r="C41" s="10"/>
      <c r="D41" s="10"/>
      <c r="E41" s="11"/>
      <c r="F41" s="11"/>
      <c r="G41" s="11"/>
      <c r="H41" s="11"/>
      <c r="I41" s="11"/>
      <c r="J41" s="11"/>
      <c r="K41" s="11"/>
      <c r="L41" s="11"/>
      <c r="M41" s="11"/>
      <c r="N41" s="11"/>
      <c r="O41" s="11"/>
      <c r="P41" s="11"/>
      <c r="Q41" s="1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row>
    <row r="42" spans="1:54" ht="18.75" customHeight="1" x14ac:dyDescent="0.2">
      <c r="A42" s="2"/>
      <c r="B42" s="2"/>
      <c r="C42" s="946" t="s">
        <v>657</v>
      </c>
      <c r="D42" s="14"/>
      <c r="E42" s="12"/>
      <c r="F42" s="12"/>
      <c r="G42" s="957">
        <f>IMPOSTAZIONI!I33</f>
        <v>0</v>
      </c>
      <c r="H42" s="957">
        <f>IMPOSTAZIONI!M33</f>
        <v>0</v>
      </c>
      <c r="I42" s="12"/>
      <c r="J42" s="12"/>
      <c r="K42" s="957">
        <f>IMPOSTAZIONI!U33</f>
        <v>0</v>
      </c>
      <c r="L42" s="12"/>
      <c r="M42" s="12"/>
      <c r="N42" s="957">
        <f>IMPOSTAZIONI!AC33</f>
        <v>0</v>
      </c>
      <c r="O42" s="12"/>
      <c r="P42" s="12"/>
      <c r="Q42" s="12"/>
      <c r="R42" s="2"/>
      <c r="S42" s="591"/>
      <c r="T42" s="591"/>
      <c r="U42" s="591"/>
      <c r="V42" s="591"/>
      <c r="W42" s="591"/>
      <c r="X42" s="591"/>
      <c r="Y42" s="591"/>
      <c r="Z42" s="591"/>
      <c r="AA42" s="591"/>
      <c r="AB42" s="591"/>
      <c r="AC42" s="591"/>
      <c r="AD42" s="591"/>
      <c r="AE42" s="591"/>
      <c r="AF42" s="591"/>
      <c r="AG42" s="591"/>
      <c r="AH42" s="591"/>
      <c r="AI42" s="591"/>
      <c r="AJ42" s="591"/>
      <c r="AK42" s="591"/>
      <c r="AL42" s="591"/>
      <c r="AM42" s="591"/>
      <c r="AN42" s="591"/>
      <c r="AO42" s="591"/>
      <c r="AP42" s="591"/>
      <c r="AQ42" s="591"/>
      <c r="AR42" s="591"/>
      <c r="AS42" s="591"/>
      <c r="AT42" s="591"/>
      <c r="AU42" s="591"/>
      <c r="AV42" s="591"/>
      <c r="AW42" s="591"/>
      <c r="AX42" s="591"/>
      <c r="AY42" s="591"/>
      <c r="AZ42" s="2"/>
      <c r="BA42" s="2"/>
      <c r="BB42" s="591"/>
    </row>
    <row r="43" spans="1:54" ht="18" customHeight="1" x14ac:dyDescent="0.2">
      <c r="A43" s="2"/>
      <c r="B43" s="2"/>
      <c r="C43" s="2161" t="s">
        <v>175</v>
      </c>
      <c r="D43" s="2161"/>
      <c r="E43" s="2076">
        <f>C6</f>
        <v>2024</v>
      </c>
      <c r="F43" s="2076"/>
      <c r="G43" s="888" t="str">
        <f>G6</f>
        <v/>
      </c>
      <c r="H43" s="889" t="str">
        <f>H6</f>
        <v/>
      </c>
      <c r="I43" s="2"/>
      <c r="J43" s="2"/>
      <c r="K43" s="887" t="str">
        <f>K6</f>
        <v/>
      </c>
      <c r="L43" s="2"/>
      <c r="M43" s="2"/>
      <c r="N43" s="887" t="str">
        <f>N6</f>
        <v/>
      </c>
      <c r="O43" s="2"/>
      <c r="P43" s="2"/>
      <c r="Q43" s="12"/>
      <c r="R43" s="2"/>
      <c r="S43" s="591"/>
      <c r="T43" s="591"/>
      <c r="U43" s="591"/>
      <c r="V43" s="591"/>
      <c r="W43" s="591"/>
      <c r="X43" s="591"/>
      <c r="Y43" s="591"/>
      <c r="Z43" s="591"/>
      <c r="AA43" s="591"/>
      <c r="AB43" s="591"/>
      <c r="AC43" s="591"/>
      <c r="AD43" s="591"/>
      <c r="AE43" s="591"/>
      <c r="AF43" s="591"/>
      <c r="AG43" s="591"/>
      <c r="AH43" s="591"/>
      <c r="AI43" s="591"/>
      <c r="AJ43" s="591"/>
      <c r="AK43" s="591"/>
      <c r="AL43" s="591"/>
      <c r="AM43" s="591"/>
      <c r="AN43" s="591"/>
      <c r="AO43" s="591"/>
      <c r="AP43" s="591"/>
      <c r="AQ43" s="591"/>
      <c r="AR43" s="591"/>
      <c r="AS43" s="591"/>
      <c r="AT43" s="591"/>
      <c r="AU43" s="591"/>
      <c r="AV43" s="591"/>
      <c r="AW43" s="591"/>
      <c r="AX43" s="591"/>
      <c r="AY43" s="591"/>
      <c r="AZ43" s="2"/>
      <c r="BA43" s="2"/>
      <c r="BB43" s="591"/>
    </row>
    <row r="44" spans="1:54" ht="22.5" customHeight="1" x14ac:dyDescent="0.2">
      <c r="A44" s="2"/>
      <c r="B44" s="2"/>
      <c r="C44" s="2091" t="s">
        <v>298</v>
      </c>
      <c r="D44" s="2091"/>
      <c r="E44" s="2091"/>
      <c r="F44" s="2091"/>
      <c r="G44" s="57" t="str">
        <f t="shared" ref="G44:K45" si="32">G4</f>
        <v/>
      </c>
      <c r="H44" s="57" t="str">
        <f t="shared" si="32"/>
        <v/>
      </c>
      <c r="I44" s="2034">
        <f>IF(I4=K130,"",I4)</f>
        <v>0</v>
      </c>
      <c r="J44" s="2034"/>
      <c r="K44" s="57" t="str">
        <f t="shared" si="32"/>
        <v/>
      </c>
      <c r="L44" s="2034">
        <f>IF(L4=K130,"",L4)</f>
        <v>0</v>
      </c>
      <c r="M44" s="2034"/>
      <c r="N44" s="57" t="str">
        <f>N4</f>
        <v/>
      </c>
      <c r="O44" s="2034">
        <f>IF(O4=K130,"",O4)</f>
        <v>0</v>
      </c>
      <c r="P44" s="2034"/>
      <c r="Q44" s="12"/>
      <c r="R44" s="2"/>
      <c r="S44" s="591"/>
      <c r="T44" s="591"/>
      <c r="U44" s="591"/>
      <c r="V44" s="591"/>
      <c r="W44" s="591"/>
      <c r="X44" s="591"/>
      <c r="Y44" s="591"/>
      <c r="Z44" s="591"/>
      <c r="AA44" s="591"/>
      <c r="AB44" s="591"/>
      <c r="AC44" s="591"/>
      <c r="AD44" s="591"/>
      <c r="AE44" s="591"/>
      <c r="AF44" s="591"/>
      <c r="AG44" s="591"/>
      <c r="AH44" s="591"/>
      <c r="AI44" s="591"/>
      <c r="AJ44" s="591"/>
      <c r="AK44" s="591"/>
      <c r="AL44" s="591"/>
      <c r="AM44" s="591"/>
      <c r="AN44" s="591"/>
      <c r="AO44" s="591"/>
      <c r="AP44" s="591"/>
      <c r="AQ44" s="591"/>
      <c r="AR44" s="591"/>
      <c r="AS44" s="591"/>
      <c r="AT44" s="591"/>
      <c r="AU44" s="591"/>
      <c r="AV44" s="591"/>
      <c r="AW44" s="591"/>
      <c r="AX44" s="591"/>
      <c r="AY44" s="591"/>
      <c r="AZ44" s="2"/>
      <c r="BA44" s="2"/>
      <c r="BB44" s="591"/>
    </row>
    <row r="45" spans="1:54" ht="22.5" customHeight="1" x14ac:dyDescent="0.2">
      <c r="A45" s="2"/>
      <c r="B45" s="2"/>
      <c r="C45" s="2081" t="s">
        <v>307</v>
      </c>
      <c r="D45" s="2081"/>
      <c r="E45" s="2082"/>
      <c r="F45" s="2082"/>
      <c r="G45" s="58" t="str">
        <f t="shared" si="32"/>
        <v/>
      </c>
      <c r="H45" s="58" t="str">
        <f t="shared" si="32"/>
        <v/>
      </c>
      <c r="I45" s="488" t="str">
        <f>I6</f>
        <v>DAL</v>
      </c>
      <c r="J45" s="489" t="str">
        <f>J6</f>
        <v>AL</v>
      </c>
      <c r="K45" s="58" t="str">
        <f t="shared" si="32"/>
        <v/>
      </c>
      <c r="L45" s="488" t="str">
        <f>L6</f>
        <v>DAL</v>
      </c>
      <c r="M45" s="489" t="str">
        <f>M6</f>
        <v>AL</v>
      </c>
      <c r="N45" s="58" t="str">
        <f>N5</f>
        <v/>
      </c>
      <c r="O45" s="488" t="str">
        <f>O6</f>
        <v>DAL</v>
      </c>
      <c r="P45" s="489" t="str">
        <f>P6</f>
        <v>AL</v>
      </c>
      <c r="Q45" s="12"/>
      <c r="R45" s="2"/>
      <c r="S45" s="591"/>
      <c r="T45" s="591"/>
      <c r="U45" s="591"/>
      <c r="V45" s="591"/>
      <c r="W45" s="591"/>
      <c r="X45" s="591"/>
      <c r="Y45" s="591"/>
      <c r="Z45" s="591"/>
      <c r="AA45" s="591"/>
      <c r="AB45" s="591"/>
      <c r="AC45" s="591"/>
      <c r="AD45" s="591"/>
      <c r="AE45" s="591"/>
      <c r="AF45" s="591"/>
      <c r="AG45" s="591"/>
      <c r="AH45" s="591"/>
      <c r="AI45" s="591"/>
      <c r="AJ45" s="591"/>
      <c r="AK45" s="591"/>
      <c r="AL45" s="591"/>
      <c r="AM45" s="591"/>
      <c r="AN45" s="591"/>
      <c r="AO45" s="591"/>
      <c r="AP45" s="591"/>
      <c r="AQ45" s="591"/>
      <c r="AR45" s="591"/>
      <c r="AS45" s="591"/>
      <c r="AT45" s="591"/>
      <c r="AU45" s="591"/>
      <c r="AV45" s="591"/>
      <c r="AW45" s="591"/>
      <c r="AX45" s="591"/>
      <c r="AY45" s="591"/>
      <c r="AZ45" s="2"/>
      <c r="BA45" s="2"/>
      <c r="BB45" s="591"/>
    </row>
    <row r="46" spans="1:54" ht="21.95" customHeight="1" x14ac:dyDescent="0.2">
      <c r="A46" s="2"/>
      <c r="B46" s="7"/>
      <c r="C46" s="2079" t="s">
        <v>193</v>
      </c>
      <c r="D46" s="2080"/>
      <c r="E46" s="2157">
        <f>IF(E150=1,SUM(E8:E38),SUM(G46:H46)+K46+N46-SUMIF(G42:N42,K134,G46:N46))</f>
        <v>0</v>
      </c>
      <c r="F46" s="2158"/>
      <c r="G46" s="881">
        <f>IF(ISERROR(G$155),0,SUM(G8:G38)-SUMIF($E8:$E38,$V4,G8:G38)+IF(ISERROR(VLOOKUP(G1,IMPOSTAZIONI!$B$401:$AM$407,$E$149,FALSE)),0,VLOOKUP(G1,IMPOSTAZIONI!$B$401:$AM$407,$E$149,FALSE)))</f>
        <v>0</v>
      </c>
      <c r="H46" s="882">
        <f>IF(ISERROR(H$155),0,SUM(H8:H38)-SUMIF($E8:$E38,$V4,H8:H38)+IF(ISERROR(VLOOKUP(H1,IMPOSTAZIONI!$B$401:$AM$407,$E$149,FALSE)),0,VLOOKUP(H1,IMPOSTAZIONI!$B$401:$AM$407,$E$149,FALSE)))</f>
        <v>0</v>
      </c>
      <c r="I46" s="884"/>
      <c r="J46" s="883"/>
      <c r="K46" s="297">
        <f>IF(ISERROR(I$155),0,SUM(K8:K38)-SUMIF($E8:$E38,$V4,K8:K38)+IF(ISERROR(VLOOKUP(K1,IMPOSTAZIONI!$B$401:$AM$407,$E$149,FALSE)),0,VLOOKUP(K1,IMPOSTAZIONI!$B$401:$AM$407,$E$149,FALSE)))</f>
        <v>0</v>
      </c>
      <c r="L46" s="884"/>
      <c r="M46" s="883"/>
      <c r="N46" s="297">
        <f>IF(ISERROR(J$155),0,SUM(N8:N38)-SUMIF($E8:$E38,$V4,N8:N38)+IF(ISERROR(VLOOKUP(N1,IMPOSTAZIONI!$B$401:$AM$407,$E$149,FALSE)),0,VLOOKUP(N1,IMPOSTAZIONI!$B$401:$AM$407,$E$149,FALSE)))</f>
        <v>0</v>
      </c>
      <c r="O46" s="885"/>
      <c r="P46" s="886"/>
      <c r="Q46" s="12"/>
      <c r="R46" s="2"/>
      <c r="S46" s="591"/>
      <c r="T46" s="591"/>
      <c r="U46" s="591"/>
      <c r="V46" s="591"/>
      <c r="W46" s="591"/>
      <c r="X46" s="591"/>
      <c r="Y46" s="591"/>
      <c r="Z46" s="591"/>
      <c r="AA46" s="591"/>
      <c r="AB46" s="591"/>
      <c r="AC46" s="591"/>
      <c r="AD46" s="591"/>
      <c r="AE46" s="591"/>
      <c r="AF46" s="591"/>
      <c r="AG46" s="591"/>
      <c r="AH46" s="591"/>
      <c r="AI46" s="591"/>
      <c r="AJ46" s="591"/>
      <c r="AK46" s="591"/>
      <c r="AL46" s="591"/>
      <c r="AM46" s="591"/>
      <c r="AN46" s="591"/>
      <c r="AO46" s="591"/>
      <c r="AP46" s="591"/>
      <c r="AQ46" s="591"/>
      <c r="AR46" s="591"/>
      <c r="AS46" s="591"/>
      <c r="AT46" s="591"/>
      <c r="AU46" s="591"/>
      <c r="AV46" s="591"/>
      <c r="AW46" s="591"/>
      <c r="AX46" s="591"/>
      <c r="AY46" s="591"/>
      <c r="AZ46" s="2"/>
      <c r="BA46" s="2"/>
      <c r="BB46" s="591"/>
    </row>
    <row r="47" spans="1:54" ht="16.5" customHeight="1" x14ac:dyDescent="0.2">
      <c r="A47" s="2"/>
      <c r="B47" s="7"/>
      <c r="C47" s="2179" t="s">
        <v>194</v>
      </c>
      <c r="D47" s="2180"/>
      <c r="E47" s="2177">
        <f>E46-E48</f>
        <v>0</v>
      </c>
      <c r="F47" s="2178"/>
      <c r="G47" s="238">
        <f>G46-G48</f>
        <v>0</v>
      </c>
      <c r="H47" s="652">
        <f>H46-H48</f>
        <v>0</v>
      </c>
      <c r="I47" s="2"/>
      <c r="J47" s="2"/>
      <c r="K47" s="654">
        <f>K46-K48</f>
        <v>0</v>
      </c>
      <c r="L47" s="2"/>
      <c r="M47" s="2"/>
      <c r="N47" s="654">
        <f>N46-N48</f>
        <v>0</v>
      </c>
      <c r="O47" s="2"/>
      <c r="P47" s="2"/>
      <c r="Q47" s="12"/>
      <c r="R47" s="2"/>
      <c r="S47" s="591"/>
      <c r="T47" s="591"/>
      <c r="U47" s="591"/>
      <c r="V47" s="591"/>
      <c r="W47" s="591"/>
      <c r="X47" s="591"/>
      <c r="Y47" s="591"/>
      <c r="Z47" s="591"/>
      <c r="AA47" s="591"/>
      <c r="AB47" s="591"/>
      <c r="AC47" s="591"/>
      <c r="AD47" s="591"/>
      <c r="AE47" s="591"/>
      <c r="AF47" s="591"/>
      <c r="AG47" s="591"/>
      <c r="AH47" s="591"/>
      <c r="AI47" s="591"/>
      <c r="AJ47" s="591"/>
      <c r="AK47" s="591"/>
      <c r="AL47" s="591"/>
      <c r="AM47" s="591"/>
      <c r="AN47" s="591"/>
      <c r="AO47" s="591"/>
      <c r="AP47" s="591"/>
      <c r="AQ47" s="591"/>
      <c r="AR47" s="591"/>
      <c r="AS47" s="591"/>
      <c r="AT47" s="591"/>
      <c r="AU47" s="591"/>
      <c r="AV47" s="591"/>
      <c r="AW47" s="591"/>
      <c r="AX47" s="591"/>
      <c r="AY47" s="591"/>
      <c r="AZ47" s="2"/>
      <c r="BA47" s="2"/>
      <c r="BB47" s="591"/>
    </row>
    <row r="48" spans="1:54" ht="16.5" customHeight="1" x14ac:dyDescent="0.2">
      <c r="A48" s="2"/>
      <c r="B48" s="7"/>
      <c r="C48" s="2070" t="s">
        <v>195</v>
      </c>
      <c r="D48" s="2071"/>
      <c r="E48" s="2181">
        <f>IF(I163=0,0,SUM(G48:H48)+K48+N48-SUMIF(G42:N42,K134,G48:N48))</f>
        <v>0</v>
      </c>
      <c r="F48" s="2182"/>
      <c r="G48" s="239">
        <f>IF(AND(C61=1,G63&lt;&gt;0),G87,IF(G152=0,SUM(R8:R38)-SUMIF($E8:$E38,$V4,R8:R38)+VLOOKUP(G1,IMPOSTAZIONI!$B$419:$AK$425,$E$149,FALSE),G98))</f>
        <v>0</v>
      </c>
      <c r="H48" s="653">
        <f>IF(AND(C61=1,H63&lt;&gt;0),H87,IF(H152=0,SUM(S8:S38)-SUMIF($E8:$E38,$V4,S8:S38)+VLOOKUP(H1,IMPOSTAZIONI!$B$419:$AK$425,$E$149,FALSE),H98))</f>
        <v>0</v>
      </c>
      <c r="I48" s="59"/>
      <c r="J48" s="139"/>
      <c r="K48" s="655">
        <f>IF(AND(C61=1,K63&lt;&gt;0),I87,IF(I152=0,SUM(T8:T38)-SUMIF($E8:$E38,$V4,T8:T38)+VLOOKUP(K1,IMPOSTAZIONI!$B$419:$AK$425,$E$149,FALSE),K98))</f>
        <v>0</v>
      </c>
      <c r="L48" s="59"/>
      <c r="M48" s="139"/>
      <c r="N48" s="655">
        <f>IF(AND(C61=1,N63&lt;&gt;0),K87,IF(J152=0,SUM(U8:U38)-SUMIF($E8:$E38,$V4,U8:U38)+VLOOKUP(N1,IMPOSTAZIONI!$B$419:$AK$425,$E$149,FALSE),N98))</f>
        <v>0</v>
      </c>
      <c r="O48" s="2"/>
      <c r="P48" s="2"/>
      <c r="Q48" s="13"/>
      <c r="R48" s="2"/>
      <c r="S48" s="591"/>
      <c r="T48" s="591"/>
      <c r="U48" s="591"/>
      <c r="V48" s="591"/>
      <c r="W48" s="591"/>
      <c r="X48" s="591"/>
      <c r="Y48" s="591"/>
      <c r="Z48" s="591"/>
      <c r="AA48" s="591"/>
      <c r="AB48" s="591"/>
      <c r="AC48" s="591"/>
      <c r="AD48" s="591"/>
      <c r="AE48" s="591"/>
      <c r="AF48" s="591"/>
      <c r="AG48" s="591"/>
      <c r="AH48" s="591"/>
      <c r="AI48" s="591"/>
      <c r="AJ48" s="591"/>
      <c r="AK48" s="591"/>
      <c r="AL48" s="591"/>
      <c r="AM48" s="591"/>
      <c r="AN48" s="591"/>
      <c r="AO48" s="591"/>
      <c r="AP48" s="591"/>
      <c r="AQ48" s="591"/>
      <c r="AR48" s="591"/>
      <c r="AS48" s="591"/>
      <c r="AT48" s="591"/>
      <c r="AU48" s="591"/>
      <c r="AV48" s="591"/>
      <c r="AW48" s="591"/>
      <c r="AX48" s="591"/>
      <c r="AY48" s="591"/>
      <c r="AZ48" s="2"/>
      <c r="BA48" s="2"/>
      <c r="BB48" s="591"/>
    </row>
    <row r="49" spans="1:54" ht="37.5" customHeight="1" x14ac:dyDescent="0.2">
      <c r="A49" s="2"/>
      <c r="B49" s="2"/>
      <c r="C49" s="14"/>
      <c r="D49" s="14"/>
      <c r="E49" s="12"/>
      <c r="F49" s="12"/>
      <c r="G49" s="11"/>
      <c r="H49" s="11"/>
      <c r="I49" s="12"/>
      <c r="J49" s="12"/>
      <c r="K49" s="11"/>
      <c r="L49" s="12"/>
      <c r="M49" s="12"/>
      <c r="N49" s="11"/>
      <c r="O49" s="12"/>
      <c r="P49" s="12"/>
      <c r="Q49" s="12"/>
      <c r="R49" s="12"/>
      <c r="S49" s="1308"/>
      <c r="T49" s="1308"/>
      <c r="U49" s="591"/>
      <c r="V49" s="591"/>
      <c r="W49" s="591"/>
      <c r="X49" s="591"/>
      <c r="Y49" s="591"/>
      <c r="Z49" s="591"/>
      <c r="AA49" s="591"/>
      <c r="AB49" s="591"/>
      <c r="AC49" s="591"/>
      <c r="AD49" s="591"/>
      <c r="AE49" s="591"/>
      <c r="AF49" s="591"/>
      <c r="AG49" s="591"/>
      <c r="AH49" s="591"/>
      <c r="AI49" s="591"/>
      <c r="AJ49" s="591"/>
      <c r="AK49" s="591"/>
      <c r="AL49" s="591"/>
      <c r="AM49" s="591"/>
      <c r="AN49" s="591"/>
      <c r="AO49" s="591"/>
      <c r="AP49" s="591"/>
      <c r="AQ49" s="591"/>
      <c r="AR49" s="591"/>
      <c r="AS49" s="591"/>
      <c r="AT49" s="591"/>
      <c r="AU49" s="591"/>
      <c r="AV49" s="591"/>
      <c r="AW49" s="591"/>
      <c r="AX49" s="591"/>
      <c r="AY49" s="591"/>
      <c r="AZ49" s="2"/>
      <c r="BA49" s="2"/>
      <c r="BB49" s="591"/>
    </row>
    <row r="50" spans="1:54" ht="18.75" customHeight="1" x14ac:dyDescent="0.2">
      <c r="A50" s="2"/>
      <c r="B50" s="2"/>
      <c r="C50" s="2174" t="s">
        <v>196</v>
      </c>
      <c r="D50" s="2174"/>
      <c r="E50" s="2174"/>
      <c r="F50" s="96"/>
      <c r="G50" s="2225" t="s">
        <v>488</v>
      </c>
      <c r="H50" s="2226"/>
      <c r="I50" s="2226"/>
      <c r="J50" s="2226"/>
      <c r="K50" s="2226"/>
      <c r="L50" s="2226"/>
      <c r="M50" s="2227"/>
      <c r="N50" s="656"/>
      <c r="O50" s="656"/>
      <c r="P50" s="14"/>
      <c r="Q50" s="2"/>
      <c r="R50" s="15"/>
      <c r="S50" s="1309"/>
      <c r="T50" s="591"/>
      <c r="U50" s="591"/>
      <c r="V50" s="591"/>
      <c r="W50" s="591"/>
      <c r="X50" s="591"/>
      <c r="Y50" s="591"/>
      <c r="Z50" s="1308"/>
      <c r="AA50" s="1309"/>
      <c r="AB50" s="591"/>
      <c r="AC50" s="591"/>
      <c r="AD50" s="591"/>
      <c r="AE50" s="591"/>
      <c r="AF50" s="591"/>
      <c r="AG50" s="591"/>
      <c r="AH50" s="591"/>
      <c r="AI50" s="591"/>
      <c r="AJ50" s="591"/>
      <c r="AK50" s="591"/>
      <c r="AL50" s="591"/>
      <c r="AM50" s="591"/>
      <c r="AN50" s="591"/>
      <c r="AO50" s="591"/>
      <c r="AP50" s="591"/>
      <c r="AQ50" s="591"/>
      <c r="AR50" s="591"/>
      <c r="AS50" s="591"/>
      <c r="AT50" s="591"/>
      <c r="AU50" s="591"/>
      <c r="AV50" s="591"/>
      <c r="AW50" s="591"/>
      <c r="AX50" s="591"/>
      <c r="AY50" s="591"/>
      <c r="AZ50" s="2"/>
      <c r="BA50" s="2"/>
      <c r="BB50" s="591"/>
    </row>
    <row r="51" spans="1:54" ht="16.5" customHeight="1" x14ac:dyDescent="0.25">
      <c r="A51" s="2"/>
      <c r="B51" s="2"/>
      <c r="C51" s="2126" t="s">
        <v>197</v>
      </c>
      <c r="D51" s="2127"/>
      <c r="E51" s="2128"/>
      <c r="F51" s="554"/>
      <c r="G51" s="293" t="str">
        <f>VLOOKUP(M3,K144:M148,3,FALSE)</f>
        <v>IVA a debito</v>
      </c>
      <c r="H51" s="294" t="str">
        <f>VLOOKUP(M3,K144:O148,5,FALSE)</f>
        <v>IVA a credito</v>
      </c>
      <c r="I51" s="2214" t="s">
        <v>200</v>
      </c>
      <c r="J51" s="2215"/>
      <c r="K51" s="1303" t="s">
        <v>201</v>
      </c>
      <c r="L51" s="2214" t="s">
        <v>71</v>
      </c>
      <c r="M51" s="2215"/>
      <c r="N51" s="14"/>
      <c r="O51" s="14"/>
      <c r="P51" s="14"/>
      <c r="Q51" s="12"/>
      <c r="R51" s="2"/>
      <c r="S51" s="591"/>
      <c r="T51" s="591"/>
      <c r="U51" s="591"/>
      <c r="V51" s="591"/>
      <c r="W51" s="591"/>
      <c r="X51" s="591"/>
      <c r="Y51" s="591"/>
      <c r="Z51" s="591"/>
      <c r="AA51" s="591"/>
      <c r="AB51" s="591"/>
      <c r="AC51" s="591"/>
      <c r="AD51" s="591"/>
      <c r="AE51" s="591"/>
      <c r="AF51" s="591"/>
      <c r="AG51" s="591"/>
      <c r="AH51" s="591"/>
      <c r="AI51" s="591"/>
      <c r="AJ51" s="591"/>
      <c r="AK51" s="591"/>
      <c r="AL51" s="591"/>
      <c r="AM51" s="591"/>
      <c r="AN51" s="591"/>
      <c r="AO51" s="591"/>
      <c r="AP51" s="591"/>
      <c r="AQ51" s="591"/>
      <c r="AR51" s="591"/>
      <c r="AS51" s="591"/>
      <c r="AT51" s="591"/>
      <c r="AU51" s="591"/>
      <c r="AV51" s="591"/>
      <c r="AW51" s="591"/>
      <c r="AX51" s="591"/>
      <c r="AY51" s="591"/>
      <c r="AZ51" s="2"/>
      <c r="BA51" s="2"/>
      <c r="BB51" s="591"/>
    </row>
    <row r="52" spans="1:54" ht="16.5" customHeight="1" x14ac:dyDescent="0.2">
      <c r="A52" s="2"/>
      <c r="B52" s="2"/>
      <c r="C52" s="2129"/>
      <c r="D52" s="2130"/>
      <c r="E52" s="2131"/>
      <c r="F52" s="576"/>
      <c r="G52" s="295" t="str">
        <f>VLOOKUP(M3,K144:N148,4,FALSE)</f>
        <v>corrispettivi</v>
      </c>
      <c r="H52" s="296" t="str">
        <f>VLOOKUP(M3,K144:P148,6,FALSE)</f>
        <v>ACQUISTI</v>
      </c>
      <c r="I52" s="2212" t="s">
        <v>201</v>
      </c>
      <c r="J52" s="2213"/>
      <c r="K52" s="1304" t="s">
        <v>204</v>
      </c>
      <c r="L52" s="2212" t="s">
        <v>205</v>
      </c>
      <c r="M52" s="2213"/>
      <c r="N52" s="14"/>
      <c r="O52" s="14"/>
      <c r="P52" s="14"/>
      <c r="Q52" s="12"/>
      <c r="R52" s="2"/>
      <c r="S52" s="591"/>
      <c r="T52" s="591"/>
      <c r="U52" s="591"/>
      <c r="V52" s="591"/>
      <c r="W52" s="591"/>
      <c r="X52" s="591"/>
      <c r="Y52" s="591"/>
      <c r="Z52" s="591"/>
      <c r="AA52" s="591"/>
      <c r="AB52" s="591"/>
      <c r="AC52" s="591"/>
      <c r="AD52" s="591"/>
      <c r="AE52" s="591"/>
      <c r="AF52" s="591"/>
      <c r="AG52" s="591"/>
      <c r="AH52" s="591"/>
      <c r="AI52" s="591"/>
      <c r="AJ52" s="591"/>
      <c r="AK52" s="591"/>
      <c r="AL52" s="591"/>
      <c r="AM52" s="591"/>
      <c r="AN52" s="591"/>
      <c r="AO52" s="591"/>
      <c r="AP52" s="591"/>
      <c r="AQ52" s="591"/>
      <c r="AR52" s="591"/>
      <c r="AS52" s="591"/>
      <c r="AT52" s="591"/>
      <c r="AU52" s="591"/>
      <c r="AV52" s="591"/>
      <c r="AW52" s="591"/>
      <c r="AX52" s="591"/>
      <c r="AY52" s="591"/>
      <c r="AZ52" s="2"/>
      <c r="BA52" s="2"/>
      <c r="BB52" s="591"/>
    </row>
    <row r="53" spans="1:54" ht="16.5" customHeight="1" x14ac:dyDescent="0.2">
      <c r="A53" s="2"/>
      <c r="B53" s="2"/>
      <c r="C53" s="2132" t="s">
        <v>816</v>
      </c>
      <c r="D53" s="2133"/>
      <c r="E53" s="2134"/>
      <c r="F53" s="554"/>
      <c r="G53" s="2045">
        <f>E48</f>
        <v>0</v>
      </c>
      <c r="H53" s="2047"/>
      <c r="I53" s="2066">
        <f>G53+H53</f>
        <v>0</v>
      </c>
      <c r="J53" s="2067"/>
      <c r="K53" s="2183"/>
      <c r="L53" s="2066">
        <f>I53+K53</f>
        <v>0</v>
      </c>
      <c r="M53" s="2067"/>
      <c r="N53" s="14"/>
      <c r="O53" s="14"/>
      <c r="P53" s="14"/>
      <c r="Q53" s="12"/>
      <c r="R53" s="2"/>
      <c r="S53" s="591"/>
      <c r="T53" s="591"/>
      <c r="U53" s="591"/>
      <c r="V53" s="591"/>
      <c r="W53" s="591"/>
      <c r="X53" s="591"/>
      <c r="Y53" s="591"/>
      <c r="Z53" s="591"/>
      <c r="AA53" s="591"/>
      <c r="AB53" s="591"/>
      <c r="AC53" s="591"/>
      <c r="AD53" s="591"/>
      <c r="AE53" s="591"/>
      <c r="AF53" s="591"/>
      <c r="AG53" s="591"/>
      <c r="AH53" s="591"/>
      <c r="AI53" s="591"/>
      <c r="AJ53" s="591"/>
      <c r="AK53" s="591"/>
      <c r="AL53" s="591"/>
      <c r="AM53" s="591"/>
      <c r="AN53" s="591"/>
      <c r="AO53" s="591"/>
      <c r="AP53" s="591"/>
      <c r="AQ53" s="591"/>
      <c r="AR53" s="591"/>
      <c r="AS53" s="591"/>
      <c r="AT53" s="591"/>
      <c r="AU53" s="591"/>
      <c r="AV53" s="591"/>
      <c r="AW53" s="591"/>
      <c r="AX53" s="591"/>
      <c r="AY53" s="591"/>
      <c r="AZ53" s="2"/>
      <c r="BA53" s="2"/>
      <c r="BB53" s="591"/>
    </row>
    <row r="54" spans="1:54" ht="16.5" customHeight="1" x14ac:dyDescent="0.2">
      <c r="A54" s="2"/>
      <c r="B54" s="2"/>
      <c r="C54" s="2042"/>
      <c r="D54" s="2043"/>
      <c r="E54" s="2044"/>
      <c r="F54" s="577"/>
      <c r="G54" s="2046"/>
      <c r="H54" s="2048"/>
      <c r="I54" s="2068"/>
      <c r="J54" s="2069"/>
      <c r="K54" s="2184"/>
      <c r="L54" s="2068"/>
      <c r="M54" s="2069"/>
      <c r="N54" s="14"/>
      <c r="O54" s="14"/>
      <c r="P54" s="14"/>
      <c r="Q54" s="12"/>
      <c r="R54" s="2"/>
      <c r="S54" s="591"/>
      <c r="T54" s="591"/>
      <c r="U54" s="591"/>
      <c r="V54" s="591"/>
      <c r="W54" s="591"/>
      <c r="X54" s="591"/>
      <c r="Y54" s="591"/>
      <c r="Z54" s="591"/>
      <c r="AA54" s="591"/>
      <c r="AB54" s="591"/>
      <c r="AC54" s="591"/>
      <c r="AD54" s="591"/>
      <c r="AE54" s="591"/>
      <c r="AF54" s="591"/>
      <c r="AG54" s="591"/>
      <c r="AH54" s="591"/>
      <c r="AI54" s="591"/>
      <c r="AJ54" s="591"/>
      <c r="AK54" s="591"/>
      <c r="AL54" s="591"/>
      <c r="AM54" s="591"/>
      <c r="AN54" s="591"/>
      <c r="AO54" s="591"/>
      <c r="AP54" s="591"/>
      <c r="AQ54" s="591"/>
      <c r="AR54" s="591"/>
      <c r="AS54" s="591"/>
      <c r="AT54" s="591"/>
      <c r="AU54" s="591"/>
      <c r="AV54" s="591"/>
      <c r="AW54" s="591"/>
      <c r="AX54" s="591"/>
      <c r="AY54" s="591"/>
      <c r="AZ54" s="2"/>
      <c r="BA54" s="2"/>
      <c r="BB54" s="591"/>
    </row>
    <row r="55" spans="1:54" ht="16.5" customHeight="1" x14ac:dyDescent="0.2">
      <c r="A55" s="2"/>
      <c r="B55" s="2"/>
      <c r="C55" s="2132" t="s">
        <v>815</v>
      </c>
      <c r="D55" s="2133"/>
      <c r="E55" s="2134"/>
      <c r="F55" s="555"/>
      <c r="G55" s="16" t="s">
        <v>206</v>
      </c>
      <c r="H55" s="890" t="s">
        <v>207</v>
      </c>
      <c r="I55" s="2120" t="str">
        <f>VLOOKUP(M3,K144:Q148,7,FALSE)</f>
        <v>DEBITO +</v>
      </c>
      <c r="J55" s="2121"/>
      <c r="K55" s="891" t="s">
        <v>208</v>
      </c>
      <c r="L55" s="2120" t="str">
        <f>VLOOKUP(M3,K144:T148,9,FALSE)</f>
        <v>DEBITO +</v>
      </c>
      <c r="M55" s="2121"/>
      <c r="N55" s="14"/>
      <c r="O55" s="14"/>
      <c r="P55" s="12"/>
      <c r="Q55" s="2"/>
      <c r="R55" s="2"/>
      <c r="S55" s="591"/>
      <c r="T55" s="591"/>
      <c r="U55" s="591"/>
      <c r="V55" s="591"/>
      <c r="W55" s="591"/>
      <c r="X55" s="591"/>
      <c r="Y55" s="591"/>
      <c r="Z55" s="591"/>
      <c r="AA55" s="591"/>
      <c r="AB55" s="591"/>
      <c r="AC55" s="591"/>
      <c r="AD55" s="591"/>
      <c r="AE55" s="591"/>
      <c r="AF55" s="591"/>
      <c r="AG55" s="591"/>
      <c r="AH55" s="591"/>
      <c r="AI55" s="591"/>
      <c r="AJ55" s="591"/>
      <c r="AK55" s="591"/>
      <c r="AL55" s="591"/>
      <c r="AM55" s="591"/>
      <c r="AN55" s="591"/>
      <c r="AO55" s="591"/>
      <c r="AP55" s="591"/>
      <c r="AQ55" s="591"/>
      <c r="AR55" s="591"/>
      <c r="AS55" s="591"/>
      <c r="AT55" s="591"/>
      <c r="AU55" s="591"/>
      <c r="AV55" s="591"/>
      <c r="AW55" s="591"/>
      <c r="AX55" s="591"/>
      <c r="AY55" s="591"/>
      <c r="AZ55" s="2"/>
      <c r="BA55" s="2"/>
      <c r="BB55" s="591"/>
    </row>
    <row r="56" spans="1:54" ht="16.5" customHeight="1" x14ac:dyDescent="0.2">
      <c r="A56" s="2"/>
      <c r="B56" s="2"/>
      <c r="C56" s="2138"/>
      <c r="D56" s="2139"/>
      <c r="E56" s="1215"/>
      <c r="F56" s="514"/>
      <c r="G56" s="97"/>
      <c r="H56" s="14"/>
      <c r="I56" s="2123" t="str">
        <f>VLOOKUP(M3,K144:R148,8,FALSE)</f>
        <v>CREDITO -</v>
      </c>
      <c r="J56" s="2124"/>
      <c r="K56" s="14"/>
      <c r="L56" s="2123" t="str">
        <f>VLOOKUP(M3,K144:T148,10,FALSE)</f>
        <v>CREDITO -</v>
      </c>
      <c r="M56" s="2124"/>
      <c r="N56" s="14"/>
      <c r="O56" s="2122"/>
      <c r="P56" s="2122"/>
      <c r="Q56" s="14"/>
      <c r="R56" s="2"/>
      <c r="S56" s="591"/>
      <c r="T56" s="591"/>
      <c r="U56" s="591"/>
      <c r="V56" s="591"/>
      <c r="W56" s="591"/>
      <c r="X56" s="591"/>
      <c r="Y56" s="591"/>
      <c r="Z56" s="591"/>
      <c r="AA56" s="591"/>
      <c r="AB56" s="591"/>
      <c r="AC56" s="591"/>
      <c r="AD56" s="591"/>
      <c r="AE56" s="591"/>
      <c r="AF56" s="591"/>
      <c r="AG56" s="591"/>
      <c r="AH56" s="591"/>
      <c r="AI56" s="591"/>
      <c r="AJ56" s="591"/>
      <c r="AK56" s="591"/>
      <c r="AL56" s="591"/>
      <c r="AM56" s="591"/>
      <c r="AN56" s="591"/>
      <c r="AO56" s="591"/>
      <c r="AP56" s="591"/>
      <c r="AQ56" s="591"/>
      <c r="AR56" s="591"/>
      <c r="AS56" s="591"/>
      <c r="AT56" s="591"/>
      <c r="AU56" s="591"/>
      <c r="AV56" s="591"/>
      <c r="AW56" s="591"/>
      <c r="AX56" s="591"/>
      <c r="AY56" s="591"/>
      <c r="AZ56" s="2"/>
      <c r="BA56" s="2"/>
      <c r="BB56" s="591"/>
    </row>
    <row r="57" spans="1:54" ht="30" customHeight="1" x14ac:dyDescent="0.2">
      <c r="A57" s="2"/>
      <c r="B57" s="17"/>
      <c r="C57" s="2144" t="s">
        <v>346</v>
      </c>
      <c r="D57" s="2144"/>
      <c r="E57" s="2145"/>
      <c r="F57" s="2145"/>
      <c r="G57" s="892" t="s">
        <v>347</v>
      </c>
      <c r="H57" s="892"/>
      <c r="I57" s="892"/>
      <c r="J57" s="892"/>
      <c r="K57" s="892"/>
      <c r="L57" s="892"/>
      <c r="M57" s="892"/>
      <c r="N57" s="892"/>
      <c r="O57" s="2211" t="s">
        <v>405</v>
      </c>
      <c r="P57" s="2211"/>
      <c r="Q57" s="255"/>
      <c r="R57" s="255"/>
      <c r="S57" s="1307"/>
      <c r="T57" s="1307"/>
      <c r="U57" s="591"/>
      <c r="V57" s="591"/>
      <c r="W57" s="591"/>
      <c r="X57" s="591"/>
      <c r="Y57" s="591"/>
      <c r="Z57" s="591"/>
      <c r="AA57" s="1307"/>
      <c r="AB57" s="1307"/>
      <c r="AC57" s="591"/>
      <c r="AD57" s="591"/>
      <c r="AE57" s="591"/>
      <c r="AF57" s="591"/>
      <c r="AG57" s="591"/>
      <c r="AH57" s="591"/>
      <c r="AI57" s="591"/>
      <c r="AJ57" s="591"/>
      <c r="AK57" s="591"/>
      <c r="AL57" s="591"/>
      <c r="AM57" s="591"/>
      <c r="AN57" s="591"/>
      <c r="AO57" s="591"/>
      <c r="AP57" s="591"/>
      <c r="AQ57" s="591"/>
      <c r="AR57" s="591"/>
      <c r="AS57" s="591"/>
      <c r="AT57" s="591"/>
      <c r="AU57" s="591"/>
      <c r="AV57" s="591"/>
      <c r="AW57" s="591"/>
      <c r="AX57" s="591"/>
      <c r="AY57" s="591"/>
      <c r="AZ57" s="2"/>
      <c r="BA57" s="2"/>
      <c r="BB57" s="591"/>
    </row>
    <row r="58" spans="1:54" ht="24.75" customHeight="1" x14ac:dyDescent="0.2">
      <c r="A58" s="2"/>
      <c r="B58" s="2"/>
      <c r="C58" s="2143">
        <f>IMPOSTAZIONI!T73</f>
        <v>0</v>
      </c>
      <c r="D58" s="2143"/>
      <c r="E58" s="2143"/>
      <c r="F58" s="2143"/>
      <c r="G58" s="893" t="str">
        <f>IMPOSTAZIONI!Y75</f>
        <v>Indirizzo esteso UBICAZIONE dell' Esercizio (facoltativo)</v>
      </c>
      <c r="H58" s="893"/>
      <c r="I58" s="893"/>
      <c r="J58" s="893"/>
      <c r="K58" s="893"/>
      <c r="L58" s="893"/>
      <c r="M58" s="893"/>
      <c r="N58" s="893"/>
      <c r="O58" s="1113" t="s">
        <v>344</v>
      </c>
      <c r="P58" s="2119">
        <v>5</v>
      </c>
      <c r="Q58" s="2119"/>
      <c r="R58" s="14"/>
      <c r="S58" s="591"/>
      <c r="T58" s="591"/>
      <c r="U58" s="591"/>
      <c r="V58" s="591"/>
      <c r="W58" s="591"/>
      <c r="X58" s="591"/>
      <c r="Y58" s="591"/>
      <c r="Z58" s="591"/>
      <c r="AA58" s="591"/>
      <c r="AB58" s="591"/>
      <c r="AC58" s="591"/>
      <c r="AD58" s="591"/>
      <c r="AE58" s="591"/>
      <c r="AF58" s="591"/>
      <c r="AG58" s="591"/>
      <c r="AH58" s="591"/>
      <c r="AI58" s="591"/>
      <c r="AJ58" s="591"/>
      <c r="AK58" s="591"/>
      <c r="AL58" s="591"/>
      <c r="AM58" s="591"/>
      <c r="AN58" s="591"/>
      <c r="AO58" s="591"/>
      <c r="AP58" s="591"/>
      <c r="AQ58" s="591"/>
      <c r="AR58" s="591"/>
      <c r="AS58" s="591"/>
      <c r="AT58" s="591"/>
      <c r="AU58" s="591"/>
      <c r="AV58" s="591"/>
      <c r="AW58" s="591"/>
      <c r="AX58" s="591"/>
      <c r="AY58" s="591"/>
      <c r="AZ58" s="2"/>
      <c r="BA58" s="2"/>
      <c r="BB58" s="591"/>
    </row>
    <row r="59" spans="1:54" ht="15.75" customHeight="1" x14ac:dyDescent="0.2">
      <c r="A59" s="2"/>
      <c r="B59" s="2"/>
      <c r="C59" s="2146" t="s">
        <v>248</v>
      </c>
      <c r="D59" s="2146"/>
      <c r="E59" s="2146"/>
      <c r="F59" s="2"/>
      <c r="G59" s="2"/>
      <c r="H59" s="2"/>
      <c r="I59" s="2"/>
      <c r="J59" s="2"/>
      <c r="K59" s="2"/>
      <c r="L59" s="2"/>
      <c r="M59" s="2"/>
      <c r="N59" s="2"/>
      <c r="O59" s="2"/>
      <c r="P59" s="2"/>
      <c r="Q59" s="2"/>
      <c r="R59" s="2"/>
      <c r="S59" s="591"/>
      <c r="T59" s="591"/>
      <c r="U59" s="591"/>
      <c r="V59" s="591"/>
      <c r="W59" s="591"/>
      <c r="X59" s="591"/>
      <c r="Y59" s="591"/>
      <c r="Z59" s="591"/>
      <c r="AA59" s="591"/>
      <c r="AB59" s="591"/>
      <c r="AC59" s="591"/>
      <c r="AD59" s="591"/>
      <c r="AE59" s="591"/>
      <c r="AF59" s="591"/>
      <c r="AG59" s="591"/>
      <c r="AH59" s="591"/>
      <c r="AI59" s="591"/>
      <c r="AJ59" s="591"/>
      <c r="AK59" s="591"/>
      <c r="AL59" s="591"/>
      <c r="AM59" s="591"/>
      <c r="AN59" s="591"/>
      <c r="AO59" s="591"/>
      <c r="AP59" s="591"/>
      <c r="AQ59" s="591"/>
      <c r="AR59" s="591"/>
      <c r="AS59" s="591"/>
      <c r="AT59" s="591"/>
      <c r="AU59" s="591"/>
      <c r="AV59" s="591"/>
      <c r="AW59" s="591"/>
      <c r="AX59" s="591"/>
      <c r="AY59" s="591"/>
      <c r="AZ59" s="591"/>
      <c r="BA59" s="591"/>
      <c r="BB59" s="591"/>
    </row>
    <row r="60" spans="1:54" ht="15" hidden="1" customHeight="1" x14ac:dyDescent="0.2">
      <c r="A60" s="2"/>
      <c r="B60" s="2"/>
      <c r="C60" s="2"/>
      <c r="D60" s="2"/>
      <c r="E60" s="2"/>
      <c r="F60" s="2"/>
      <c r="G60" s="2"/>
      <c r="H60" s="2"/>
      <c r="I60" s="2"/>
      <c r="J60" s="2"/>
      <c r="K60" s="2"/>
      <c r="L60" s="2"/>
      <c r="M60" s="2"/>
      <c r="N60" s="2"/>
      <c r="O60" s="2"/>
      <c r="P60" s="1012" t="s">
        <v>765</v>
      </c>
      <c r="Q60" s="2"/>
      <c r="R60" s="2"/>
      <c r="S60" s="591"/>
      <c r="T60" s="591"/>
      <c r="U60" s="591"/>
      <c r="V60" s="591"/>
      <c r="W60" s="591"/>
      <c r="X60" s="591"/>
      <c r="Y60" s="591"/>
      <c r="Z60" s="591"/>
      <c r="AA60" s="591"/>
      <c r="AB60" s="591"/>
      <c r="AC60" s="591"/>
      <c r="AD60" s="591"/>
      <c r="AE60" s="591"/>
      <c r="AF60" s="591"/>
      <c r="AG60" s="591"/>
      <c r="AH60" s="591"/>
      <c r="AI60" s="591"/>
      <c r="AJ60" s="591"/>
      <c r="AK60" s="591"/>
      <c r="AL60" s="591"/>
      <c r="AM60" s="591"/>
      <c r="AN60" s="591"/>
      <c r="AO60" s="591"/>
      <c r="AP60" s="591"/>
      <c r="AQ60" s="591"/>
      <c r="AR60" s="591"/>
      <c r="AS60" s="591"/>
      <c r="AT60" s="591"/>
      <c r="AU60" s="591"/>
      <c r="AV60" s="591"/>
      <c r="AW60" s="591"/>
      <c r="AX60" s="591"/>
      <c r="AY60" s="591"/>
      <c r="AZ60" s="591"/>
      <c r="BA60" s="591"/>
      <c r="BB60" s="591"/>
    </row>
    <row r="61" spans="1:54" ht="16.5" hidden="1" customHeight="1" x14ac:dyDescent="0.2">
      <c r="A61" s="2"/>
      <c r="B61" s="2"/>
      <c r="C61" s="1369">
        <f>IF(M3=K147,0,IF(T65=0,0,IF(E8=CONCATENATE(L131,"  "),0,IF(COUNTIF(G62:N62,$L$134)&gt;0,1,0))))</f>
        <v>0</v>
      </c>
      <c r="D61" s="1369">
        <f>IMPOSTAZIONI!H35</f>
        <v>0</v>
      </c>
      <c r="E61" s="2"/>
      <c r="F61" s="2"/>
      <c r="G61" s="1010" t="str">
        <f>IMPOSTAZIONI!$I$19</f>
        <v>Colonna 1</v>
      </c>
      <c r="H61" s="1010" t="str">
        <f>IMPOSTAZIONI!$M$19</f>
        <v>Colonna 2</v>
      </c>
      <c r="I61" s="101"/>
      <c r="J61" s="101"/>
      <c r="K61" s="1010" t="str">
        <f>IMPOSTAZIONI!$U$19</f>
        <v>Colonna 3</v>
      </c>
      <c r="L61" s="101"/>
      <c r="M61" s="101"/>
      <c r="N61" s="1010" t="str">
        <f>IMPOSTAZIONI!$AC$19</f>
        <v>Colonna 4</v>
      </c>
      <c r="O61" s="2"/>
      <c r="P61" s="1013" t="s">
        <v>766</v>
      </c>
      <c r="Q61" s="2"/>
      <c r="R61" s="2"/>
      <c r="S61" s="591"/>
      <c r="T61" s="591"/>
      <c r="U61" s="591"/>
      <c r="V61" s="591"/>
      <c r="W61" s="591"/>
      <c r="X61" s="591"/>
      <c r="Y61" s="591"/>
      <c r="Z61" s="591"/>
      <c r="AA61" s="591"/>
      <c r="AB61" s="591"/>
      <c r="AC61" s="591"/>
      <c r="AD61" s="591"/>
      <c r="AE61" s="591"/>
      <c r="AF61" s="591"/>
      <c r="AG61" s="591"/>
      <c r="AH61" s="591"/>
      <c r="AI61" s="591"/>
      <c r="AJ61" s="591"/>
      <c r="AK61" s="591"/>
      <c r="AL61" s="591"/>
      <c r="AM61" s="591"/>
      <c r="AN61" s="591"/>
      <c r="AO61" s="591"/>
      <c r="AP61" s="591"/>
      <c r="AQ61" s="591"/>
      <c r="AR61" s="591"/>
      <c r="AS61" s="591"/>
      <c r="AT61" s="591"/>
      <c r="AU61" s="591"/>
      <c r="AV61" s="591"/>
      <c r="AW61" s="591"/>
      <c r="AX61" s="591"/>
      <c r="AY61" s="591"/>
      <c r="AZ61" s="591"/>
      <c r="BA61" s="591"/>
      <c r="BB61" s="591"/>
    </row>
    <row r="62" spans="1:54" ht="20.25" hidden="1" customHeight="1" x14ac:dyDescent="0.2">
      <c r="A62" s="2"/>
      <c r="B62" s="2"/>
      <c r="C62" s="2"/>
      <c r="D62" s="2"/>
      <c r="E62" s="2"/>
      <c r="F62" s="2"/>
      <c r="G62" s="1011" t="str">
        <f>IF(IMPOSTAZIONI!$I$35=0,$L$135,IMPOSTAZIONI!$I$35)</f>
        <v>SCORPORO</v>
      </c>
      <c r="H62" s="1011" t="str">
        <f>IF(IMPOSTAZIONI!$M$35=0,$L$135,IMPOSTAZIONI!$M$35)</f>
        <v>SCORPORO</v>
      </c>
      <c r="I62" s="101"/>
      <c r="J62" s="101"/>
      <c r="K62" s="1011" t="str">
        <f>IF(IMPOSTAZIONI!$U$35=0,$L$135,IMPOSTAZIONI!$U$35)</f>
        <v>SCORPORO</v>
      </c>
      <c r="L62" s="101"/>
      <c r="M62" s="101"/>
      <c r="N62" s="1011" t="str">
        <f>IF(IMPOSTAZIONI!$AC$35=0,$L$135,IMPOSTAZIONI!$AC$35)</f>
        <v>SCORPORO</v>
      </c>
      <c r="O62" s="2"/>
      <c r="P62" s="2"/>
      <c r="Q62" s="2"/>
      <c r="R62" s="2"/>
      <c r="S62" s="2"/>
      <c r="T62" s="2"/>
      <c r="U62" s="2"/>
      <c r="V62" s="2"/>
      <c r="W62" s="2"/>
      <c r="X62" s="2"/>
      <c r="Y62" s="2"/>
      <c r="Z62" s="2"/>
      <c r="AA62" s="2"/>
      <c r="AB62" s="591"/>
      <c r="AC62" s="591"/>
      <c r="AD62" s="591"/>
      <c r="AE62" s="591"/>
      <c r="AF62" s="591"/>
      <c r="AG62" s="591"/>
      <c r="AH62" s="591"/>
      <c r="AI62" s="591"/>
      <c r="AJ62" s="591"/>
      <c r="AK62" s="591"/>
      <c r="AL62" s="591"/>
      <c r="AM62" s="591"/>
      <c r="AN62" s="591"/>
      <c r="AO62" s="591"/>
      <c r="AP62" s="591"/>
      <c r="AQ62" s="591"/>
      <c r="AR62" s="591"/>
      <c r="AS62" s="591"/>
      <c r="AT62" s="591"/>
      <c r="AU62" s="591"/>
      <c r="AV62" s="591"/>
      <c r="AW62" s="591"/>
      <c r="AX62" s="591"/>
      <c r="AY62" s="591"/>
      <c r="AZ62" s="591"/>
      <c r="BA62" s="591"/>
      <c r="BB62" s="591"/>
    </row>
    <row r="63" spans="1:54" ht="20.25" hidden="1" customHeight="1" x14ac:dyDescent="0.2">
      <c r="A63" s="2"/>
      <c r="B63" s="2"/>
      <c r="C63" s="2"/>
      <c r="D63" s="2"/>
      <c r="E63" s="2"/>
      <c r="F63" s="966" t="s">
        <v>814</v>
      </c>
      <c r="G63" s="965">
        <f>IF(G62=$L134,ROUND(G46,2),0)</f>
        <v>0</v>
      </c>
      <c r="H63" s="964">
        <f>IF(H62=$L134,ROUND(H46,2),0)</f>
        <v>0</v>
      </c>
      <c r="I63" s="2"/>
      <c r="J63" s="2"/>
      <c r="K63" s="963">
        <f>IF(K62=$L134,ROUND(K46,2),0)</f>
        <v>0</v>
      </c>
      <c r="L63" s="2"/>
      <c r="M63" s="2"/>
      <c r="N63" s="963">
        <f>IF(N62=$L134,ROUND(N46,2),0)</f>
        <v>0</v>
      </c>
      <c r="O63" s="2"/>
      <c r="P63" s="2"/>
      <c r="Q63" s="2"/>
      <c r="R63" s="2"/>
      <c r="S63" s="2"/>
      <c r="T63" s="2"/>
      <c r="U63" s="2"/>
      <c r="V63" s="2"/>
      <c r="W63" s="2"/>
      <c r="X63" s="2"/>
      <c r="Y63" s="2"/>
      <c r="Z63" s="2"/>
      <c r="AA63" s="2"/>
      <c r="AB63" s="591"/>
      <c r="AC63" s="591"/>
      <c r="AD63" s="591"/>
      <c r="AE63" s="591"/>
      <c r="AF63" s="591"/>
      <c r="AG63" s="591"/>
      <c r="AH63" s="591"/>
      <c r="AI63" s="591"/>
      <c r="AJ63" s="591"/>
      <c r="AK63" s="591"/>
      <c r="AL63" s="591"/>
      <c r="AM63" s="591"/>
      <c r="AN63" s="591"/>
      <c r="AO63" s="591"/>
      <c r="AP63" s="591"/>
      <c r="AQ63" s="591"/>
      <c r="AR63" s="591"/>
      <c r="AS63" s="591"/>
      <c r="AT63" s="591"/>
      <c r="AU63" s="591"/>
      <c r="AV63" s="591"/>
      <c r="AW63" s="591"/>
      <c r="AX63" s="591"/>
      <c r="AY63" s="591"/>
      <c r="AZ63" s="591"/>
      <c r="BA63" s="591"/>
      <c r="BB63" s="591"/>
    </row>
    <row r="64" spans="1:54" ht="3.75" hidden="1"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591"/>
      <c r="AC64" s="591"/>
      <c r="AD64" s="591"/>
      <c r="AE64" s="591"/>
      <c r="AF64" s="591"/>
      <c r="AG64" s="591"/>
      <c r="AH64" s="591"/>
      <c r="AI64" s="591"/>
      <c r="AJ64" s="591"/>
      <c r="AK64" s="591"/>
      <c r="AL64" s="591"/>
      <c r="AM64" s="591"/>
      <c r="AN64" s="591"/>
      <c r="AO64" s="591"/>
      <c r="AP64" s="591"/>
      <c r="AQ64" s="591"/>
      <c r="AR64" s="591"/>
      <c r="AS64" s="591"/>
      <c r="AT64" s="591"/>
      <c r="AU64" s="591"/>
      <c r="AV64" s="591"/>
      <c r="AW64" s="591"/>
      <c r="AX64" s="591"/>
      <c r="AY64" s="591"/>
      <c r="AZ64" s="591"/>
      <c r="BA64" s="591"/>
      <c r="BB64" s="591"/>
    </row>
    <row r="65" spans="1:54" ht="20.25" hidden="1" customHeight="1" x14ac:dyDescent="0.2">
      <c r="A65" s="2"/>
      <c r="B65" s="2"/>
      <c r="C65" s="2"/>
      <c r="D65" s="2"/>
      <c r="E65" s="2"/>
      <c r="F65" s="966" t="s">
        <v>744</v>
      </c>
      <c r="G65" s="967">
        <f>G63+H63+K63+N63</f>
        <v>0</v>
      </c>
      <c r="H65" s="1114" t="str">
        <f>IF(M3=K147,"",CONCATENATE("VENTILAZIONE ",IMPOSTAZIONI!D35,IMPOSTAZIONI!B32))</f>
        <v xml:space="preserve">VENTILAZIONE </v>
      </c>
      <c r="I65" s="2"/>
      <c r="J65" s="2"/>
      <c r="K65" s="2"/>
      <c r="L65" s="2"/>
      <c r="M65" s="2"/>
      <c r="N65" s="2"/>
      <c r="O65" s="2"/>
      <c r="P65" s="2"/>
      <c r="Q65" s="2"/>
      <c r="R65" s="2"/>
      <c r="S65" s="1111" t="str">
        <f>IMPOSTAZIONI!H143</f>
        <v>MENSILE</v>
      </c>
      <c r="T65" s="2019">
        <f>IMPOSTAZIONI!D35</f>
        <v>0</v>
      </c>
      <c r="U65" s="1116" t="str">
        <f>$C182</f>
        <v>01/01 - 31/05</v>
      </c>
      <c r="V65" s="1081" t="s">
        <v>790</v>
      </c>
      <c r="W65" s="2"/>
      <c r="X65" s="2"/>
      <c r="Y65" s="1081" t="s">
        <v>792</v>
      </c>
      <c r="Z65" s="2"/>
      <c r="AA65" s="2"/>
      <c r="AB65" s="591"/>
      <c r="AC65" s="591"/>
      <c r="AD65" s="591"/>
      <c r="AE65" s="591"/>
      <c r="AF65" s="591"/>
      <c r="AG65" s="591"/>
      <c r="AH65" s="591"/>
      <c r="AI65" s="591"/>
      <c r="AJ65" s="591"/>
      <c r="AK65" s="591"/>
      <c r="AL65" s="591"/>
      <c r="AM65" s="591"/>
      <c r="AN65" s="591"/>
      <c r="AO65" s="591"/>
      <c r="AP65" s="591"/>
      <c r="AQ65" s="591"/>
      <c r="AR65" s="591"/>
      <c r="AS65" s="591"/>
      <c r="AT65" s="591"/>
      <c r="AU65" s="591"/>
      <c r="AV65" s="591"/>
      <c r="AW65" s="591"/>
      <c r="AX65" s="591"/>
      <c r="AY65" s="591"/>
      <c r="AZ65" s="591"/>
      <c r="BA65" s="591"/>
      <c r="BB65" s="591"/>
    </row>
    <row r="66" spans="1:54" ht="20.25" hidden="1" customHeight="1" x14ac:dyDescent="0.2">
      <c r="A66" s="2"/>
      <c r="B66" s="2"/>
      <c r="C66" s="2"/>
      <c r="D66" s="2"/>
      <c r="E66" s="2"/>
      <c r="F66" s="2"/>
      <c r="G66" s="2"/>
      <c r="H66" s="10"/>
      <c r="I66" s="10"/>
      <c r="J66" s="10"/>
      <c r="K66" s="10"/>
      <c r="L66" s="10"/>
      <c r="M66" s="10"/>
      <c r="N66" s="1008" t="s">
        <v>746</v>
      </c>
      <c r="O66" s="2"/>
      <c r="P66" s="2"/>
      <c r="Q66" s="2"/>
      <c r="R66" s="2"/>
      <c r="S66" s="1112" t="str">
        <f>IMPOSTAZIONI!H144</f>
        <v>TRIMESTRALE</v>
      </c>
      <c r="T66" s="2020"/>
      <c r="U66" s="806" t="str">
        <f>GIU!U65</f>
        <v>01/01 - 30/06</v>
      </c>
      <c r="V66" s="478" t="s">
        <v>791</v>
      </c>
      <c r="W66" s="2"/>
      <c r="X66" s="2"/>
      <c r="Y66" s="478" t="s">
        <v>793</v>
      </c>
      <c r="Z66" s="2"/>
      <c r="AA66" s="2"/>
      <c r="AB66" s="591"/>
      <c r="AC66" s="591"/>
      <c r="AD66" s="591"/>
      <c r="AE66" s="591"/>
      <c r="AF66" s="591"/>
      <c r="AG66" s="591"/>
      <c r="AH66" s="591"/>
      <c r="AI66" s="591"/>
      <c r="AJ66" s="591"/>
      <c r="AK66" s="591"/>
      <c r="AM66" s="591"/>
      <c r="AN66" s="591"/>
      <c r="AO66" s="591"/>
      <c r="AP66" s="591"/>
      <c r="AQ66" s="591"/>
      <c r="AS66" s="591"/>
      <c r="AT66" s="591"/>
      <c r="AU66" s="591"/>
      <c r="AV66" s="591"/>
      <c r="AW66" s="591"/>
      <c r="AY66" s="591"/>
    </row>
    <row r="67" spans="1:54" ht="24" hidden="1" customHeight="1" x14ac:dyDescent="0.2">
      <c r="A67" s="2"/>
      <c r="B67" s="2"/>
      <c r="C67" s="1183" t="s">
        <v>747</v>
      </c>
      <c r="D67" s="1165"/>
      <c r="E67" s="1165"/>
      <c r="F67" s="1165"/>
      <c r="G67" s="1197" t="e">
        <f>VLOOKUP(T65,S65:V66,4,FALSE)</f>
        <v>#N/A</v>
      </c>
      <c r="H67" s="1165"/>
      <c r="I67" s="2136" t="s">
        <v>748</v>
      </c>
      <c r="J67" s="2136"/>
      <c r="K67" s="1167"/>
      <c r="L67" s="14"/>
      <c r="M67" s="14"/>
      <c r="N67" s="1009" t="s">
        <v>749</v>
      </c>
      <c r="O67" s="2"/>
      <c r="P67" s="2"/>
      <c r="Q67" s="2"/>
      <c r="R67" s="2"/>
      <c r="S67" s="1129" t="e">
        <f>VLOOKUP(G67,V65:Y66,4,FALSE)</f>
        <v>#N/A</v>
      </c>
      <c r="T67" s="1115" t="str">
        <f>IF(T65=S66,U66,U65)</f>
        <v>01/01 - 31/05</v>
      </c>
      <c r="U67" s="2"/>
      <c r="V67" s="2"/>
      <c r="W67" s="2"/>
      <c r="X67" s="2"/>
      <c r="Y67" s="2"/>
      <c r="Z67" s="2"/>
      <c r="AA67" s="2"/>
      <c r="AB67" s="591"/>
      <c r="AC67" s="591"/>
      <c r="AD67" s="591"/>
      <c r="AE67" s="591"/>
      <c r="AF67" s="591"/>
      <c r="AG67" s="591"/>
      <c r="AH67" s="591"/>
      <c r="AI67" s="591"/>
      <c r="AJ67" s="591"/>
      <c r="AK67" s="591"/>
      <c r="AM67" s="591"/>
      <c r="AN67" s="591"/>
      <c r="AO67" s="591"/>
      <c r="AP67" s="591"/>
      <c r="AQ67" s="591"/>
      <c r="AS67" s="591"/>
      <c r="AT67" s="591"/>
      <c r="AU67" s="591"/>
      <c r="AV67" s="591"/>
      <c r="AW67" s="591"/>
      <c r="AY67" s="591"/>
    </row>
    <row r="68" spans="1:54" ht="20.25" hidden="1" customHeight="1" x14ac:dyDescent="0.2">
      <c r="A68" s="2"/>
      <c r="B68" s="2"/>
      <c r="C68" s="1169" t="s">
        <v>750</v>
      </c>
      <c r="D68" s="14"/>
      <c r="E68" s="14"/>
      <c r="F68" s="14"/>
      <c r="G68" s="1209" t="str">
        <f>C95</f>
        <v>01/05 - 31/05</v>
      </c>
      <c r="H68" s="971" t="s">
        <v>751</v>
      </c>
      <c r="I68" s="2137" t="str">
        <f>T67</f>
        <v>01/01 - 31/05</v>
      </c>
      <c r="J68" s="2137"/>
      <c r="K68" s="1208" t="s">
        <v>752</v>
      </c>
      <c r="L68" s="2022" t="s">
        <v>195</v>
      </c>
      <c r="M68" s="2022"/>
      <c r="N68" s="972" t="s">
        <v>353</v>
      </c>
      <c r="O68" s="2"/>
      <c r="P68" s="2"/>
      <c r="Q68" s="2"/>
      <c r="R68" s="2"/>
      <c r="S68" s="2"/>
      <c r="T68" s="2"/>
      <c r="U68" s="2"/>
      <c r="V68" s="2"/>
      <c r="W68" s="2"/>
      <c r="X68" s="2"/>
      <c r="Y68" s="2"/>
      <c r="Z68" s="2"/>
      <c r="AA68" s="2"/>
      <c r="AB68" s="591"/>
      <c r="AC68" s="591"/>
      <c r="AD68" s="591"/>
      <c r="AE68" s="591"/>
      <c r="AF68" s="591"/>
      <c r="AG68" s="591"/>
      <c r="AH68" s="591"/>
      <c r="AI68" s="591"/>
      <c r="AJ68" s="591"/>
      <c r="AK68" s="591"/>
      <c r="AM68" s="591"/>
      <c r="AN68" s="591"/>
      <c r="AO68" s="591"/>
      <c r="AP68" s="591"/>
      <c r="AQ68" s="591"/>
      <c r="AS68" s="591"/>
      <c r="AT68" s="591"/>
      <c r="AU68" s="591"/>
      <c r="AV68" s="591"/>
      <c r="AW68" s="591"/>
      <c r="AY68" s="591"/>
    </row>
    <row r="69" spans="1:54" ht="20.25" hidden="1" customHeight="1" x14ac:dyDescent="0.2">
      <c r="A69" s="2"/>
      <c r="B69" s="2"/>
      <c r="C69" s="1198" t="s">
        <v>753</v>
      </c>
      <c r="D69" s="14"/>
      <c r="E69" s="14"/>
      <c r="F69" s="14"/>
      <c r="G69" s="1015"/>
      <c r="H69" s="1202">
        <f>IF(AND(IMPOSTAZIONI!AF$147="",G69&lt;&gt;0),E$163,IMPOSTAZIONI!AF$147)</f>
        <v>22</v>
      </c>
      <c r="I69" s="2024">
        <f>IF($T$65=$S$66,Z69,G69+APR!I69)</f>
        <v>0</v>
      </c>
      <c r="J69" s="2025"/>
      <c r="K69" s="1201">
        <f>IF(I73=0,0,K73-SUM(K70:K72))</f>
        <v>0</v>
      </c>
      <c r="L69" s="2023" t="str">
        <f>CONCATENATE("al ",H69," %")</f>
        <v>al 22 %</v>
      </c>
      <c r="M69" s="2023"/>
      <c r="N69" s="973">
        <f>IF(SUM(I69:J72)=0,0,ROUND(G65-SUM(N70:N72),2))</f>
        <v>0</v>
      </c>
      <c r="O69" s="2"/>
      <c r="P69" s="2"/>
      <c r="Q69" s="2"/>
      <c r="R69" s="2"/>
      <c r="S69" s="974">
        <f>IF(ISERROR(G77),0,G77)</f>
        <v>0</v>
      </c>
      <c r="T69" s="975">
        <f>IF(ISERROR(G78),0,G78)</f>
        <v>0</v>
      </c>
      <c r="U69" s="976">
        <f>IF(ISERROR(G79),0,G79)</f>
        <v>0</v>
      </c>
      <c r="V69" s="2"/>
      <c r="W69" s="1117">
        <f>APR!$G69</f>
        <v>0</v>
      </c>
      <c r="X69" s="1118">
        <f>MAG!$G69</f>
        <v>0</v>
      </c>
      <c r="Y69" s="1119">
        <f>GIU!$G69</f>
        <v>0</v>
      </c>
      <c r="Z69" s="1120">
        <f>SUM(W69:Y69)+MAR!Z69</f>
        <v>0</v>
      </c>
      <c r="AA69" s="2"/>
      <c r="AB69" s="591"/>
      <c r="AC69" s="591"/>
      <c r="AD69" s="591"/>
      <c r="AE69" s="591"/>
      <c r="AF69" s="591"/>
      <c r="AG69" s="591"/>
      <c r="AH69" s="591"/>
      <c r="AI69" s="591"/>
      <c r="AJ69" s="591"/>
      <c r="AK69" s="591"/>
      <c r="AM69" s="591"/>
      <c r="AN69" s="591"/>
      <c r="AO69" s="591"/>
      <c r="AP69" s="591"/>
      <c r="AQ69" s="591"/>
      <c r="AS69" s="591"/>
      <c r="AT69" s="591"/>
      <c r="AU69" s="591"/>
      <c r="AV69" s="591"/>
      <c r="AW69" s="591"/>
      <c r="AY69" s="591"/>
    </row>
    <row r="70" spans="1:54" ht="20.25" hidden="1" customHeight="1" x14ac:dyDescent="0.25">
      <c r="A70" s="2"/>
      <c r="B70" s="2"/>
      <c r="C70" s="1199" t="s">
        <v>754</v>
      </c>
      <c r="D70" s="14"/>
      <c r="E70" s="14"/>
      <c r="F70" s="14"/>
      <c r="G70" s="1016"/>
      <c r="H70" s="1202">
        <f>IF(AND(IMPOSTAZIONI!AG$147="",G70&lt;&gt;0),E$163,IMPOSTAZIONI!AG$147)</f>
        <v>10</v>
      </c>
      <c r="I70" s="2026">
        <f>IF($T$65=$S$66,Z70,G70+APR!I70)</f>
        <v>0</v>
      </c>
      <c r="J70" s="2027"/>
      <c r="K70" s="1201">
        <f>IF(I$73=0,0,ROUND(I70/I$73*100,2))</f>
        <v>0</v>
      </c>
      <c r="L70" s="2023" t="str">
        <f>CONCATENATE("al ",H70," %")</f>
        <v>al 10 %</v>
      </c>
      <c r="M70" s="2023"/>
      <c r="N70" s="977">
        <f>ROUND(G$65*K70/100,2)</f>
        <v>0</v>
      </c>
      <c r="O70" s="2"/>
      <c r="P70" s="2"/>
      <c r="Q70" s="2"/>
      <c r="R70" s="2"/>
      <c r="S70" s="978">
        <f>IF(ISERROR(H77),0,H77)</f>
        <v>0</v>
      </c>
      <c r="T70" s="968">
        <f>IF(ISERROR(H78),0,H78)</f>
        <v>0</v>
      </c>
      <c r="U70" s="979">
        <f>IF(ISERROR(H79),0,H79)</f>
        <v>0</v>
      </c>
      <c r="V70" s="2"/>
      <c r="W70" s="1121">
        <f>APR!$G70</f>
        <v>0</v>
      </c>
      <c r="X70" s="1122">
        <f>MAG!$G70</f>
        <v>0</v>
      </c>
      <c r="Y70" s="1123">
        <f>GIU!$G70</f>
        <v>0</v>
      </c>
      <c r="Z70" s="1124">
        <f>SUM(W70:Y70)+MAR!Z70</f>
        <v>0</v>
      </c>
      <c r="AA70" s="2"/>
      <c r="AB70" s="591"/>
      <c r="AC70" s="591"/>
      <c r="AD70" s="591"/>
      <c r="AE70" s="591"/>
      <c r="AF70" s="591"/>
      <c r="AG70" s="591"/>
      <c r="AH70" s="591"/>
      <c r="AI70" s="591"/>
      <c r="AJ70" s="591"/>
      <c r="AK70" s="591"/>
      <c r="AM70" s="591"/>
      <c r="AN70" s="591"/>
      <c r="AO70" s="591"/>
      <c r="AP70" s="591"/>
      <c r="AQ70" s="591"/>
      <c r="AS70" s="591"/>
      <c r="AT70" s="591"/>
      <c r="AU70" s="591"/>
      <c r="AV70" s="591"/>
      <c r="AW70" s="591"/>
      <c r="AY70" s="591"/>
    </row>
    <row r="71" spans="1:54" ht="20.25" hidden="1" customHeight="1" x14ac:dyDescent="0.2">
      <c r="A71" s="2"/>
      <c r="B71" s="2"/>
      <c r="C71" s="1200" t="s">
        <v>755</v>
      </c>
      <c r="D71" s="14"/>
      <c r="E71" s="14"/>
      <c r="F71" s="14"/>
      <c r="G71" s="1016"/>
      <c r="H71" s="1202">
        <f>IF(AND(IMPOSTAZIONI!AH$147="",G71&lt;&gt;0),E$163,IMPOSTAZIONI!AH$147)</f>
        <v>4</v>
      </c>
      <c r="I71" s="2026">
        <f>IF($T$65=$S$66,Z71,G71+APR!I71)</f>
        <v>0</v>
      </c>
      <c r="J71" s="2027"/>
      <c r="K71" s="1201">
        <f>IF(I$73=0,0,ROUND(I71/I$73*100,2))</f>
        <v>0</v>
      </c>
      <c r="L71" s="2023" t="str">
        <f>CONCATENATE("al ",H71," %")</f>
        <v>al 4 %</v>
      </c>
      <c r="M71" s="2023"/>
      <c r="N71" s="977">
        <f>ROUND(G$65*K71/100,2)</f>
        <v>0</v>
      </c>
      <c r="O71" s="2"/>
      <c r="P71" s="2"/>
      <c r="Q71" s="2"/>
      <c r="R71" s="2"/>
      <c r="S71" s="978">
        <f>IF(ISERROR(I77),0,I77)</f>
        <v>0</v>
      </c>
      <c r="T71" s="968">
        <f>IF(ISERROR(I78),0,I78)</f>
        <v>0</v>
      </c>
      <c r="U71" s="979">
        <f>IF(ISERROR(I79),0,I79)</f>
        <v>0</v>
      </c>
      <c r="V71" s="2"/>
      <c r="W71" s="1121">
        <f>APR!$G71</f>
        <v>0</v>
      </c>
      <c r="X71" s="1122">
        <f>MAG!$G71</f>
        <v>0</v>
      </c>
      <c r="Y71" s="1123">
        <f>GIU!$G71</f>
        <v>0</v>
      </c>
      <c r="Z71" s="1124">
        <f>SUM(W71:Y71)+MAR!Z71</f>
        <v>0</v>
      </c>
      <c r="AA71" s="2"/>
      <c r="AB71" s="591"/>
      <c r="AC71" s="591"/>
      <c r="AD71" s="591"/>
      <c r="AE71" s="591"/>
      <c r="AF71" s="591"/>
      <c r="AG71" s="591"/>
      <c r="AH71" s="591"/>
      <c r="AI71" s="591"/>
      <c r="AJ71" s="591"/>
      <c r="AK71" s="591"/>
      <c r="AM71" s="591"/>
      <c r="AN71" s="591"/>
      <c r="AO71" s="591"/>
      <c r="AP71" s="591"/>
      <c r="AQ71" s="591"/>
      <c r="AS71" s="591"/>
      <c r="AT71" s="591"/>
      <c r="AU71" s="591"/>
      <c r="AV71" s="591"/>
      <c r="AW71" s="591"/>
      <c r="AY71" s="591"/>
    </row>
    <row r="72" spans="1:54" ht="20.25" hidden="1" customHeight="1" x14ac:dyDescent="0.2">
      <c r="A72" s="2"/>
      <c r="B72" s="2"/>
      <c r="C72" s="1171"/>
      <c r="D72" s="14"/>
      <c r="E72" s="14"/>
      <c r="F72" s="14"/>
      <c r="G72" s="1017"/>
      <c r="H72" s="1202" t="str">
        <f>IF(AND(IMPOSTAZIONI!AI$147="",G72&lt;&gt;0),E$163,IMPOSTAZIONI!AI$147)</f>
        <v/>
      </c>
      <c r="I72" s="2039">
        <f>IF($T$65=$S$66,Z72,G72+APR!I72)</f>
        <v>0</v>
      </c>
      <c r="J72" s="2040"/>
      <c r="K72" s="1201">
        <f>IF(I$73=0,0,ROUND(I72/I$73*100,2))</f>
        <v>0</v>
      </c>
      <c r="L72" s="2023" t="str">
        <f>CONCATENATE("al ",H72," %")</f>
        <v>al  %</v>
      </c>
      <c r="M72" s="2023"/>
      <c r="N72" s="980">
        <f>ROUND(G$65*K72/100,2)</f>
        <v>0</v>
      </c>
      <c r="O72" s="2"/>
      <c r="P72" s="2"/>
      <c r="Q72" s="2"/>
      <c r="R72" s="2"/>
      <c r="S72" s="981">
        <f>IF(ISERROR(K77),0,K77)</f>
        <v>0</v>
      </c>
      <c r="T72" s="969">
        <f>IF(ISERROR(K78),0,K78)</f>
        <v>0</v>
      </c>
      <c r="U72" s="982">
        <f>IF(ISERROR(K79),0,K79)</f>
        <v>0</v>
      </c>
      <c r="V72" s="2"/>
      <c r="W72" s="1125">
        <f>APR!$G72</f>
        <v>0</v>
      </c>
      <c r="X72" s="1126">
        <f>MAG!$G72</f>
        <v>0</v>
      </c>
      <c r="Y72" s="1127">
        <f>GIU!$G72</f>
        <v>0</v>
      </c>
      <c r="Z72" s="1128">
        <f>SUM(W72:Y72)+MAR!Z72</f>
        <v>0</v>
      </c>
      <c r="AA72" s="2"/>
      <c r="AB72" s="591"/>
      <c r="AC72" s="591"/>
      <c r="AD72" s="591"/>
      <c r="AE72" s="591"/>
      <c r="AF72" s="591"/>
      <c r="AG72" s="591"/>
      <c r="AH72" s="591"/>
      <c r="AI72" s="591"/>
      <c r="AJ72" s="591"/>
      <c r="AK72" s="591"/>
      <c r="AM72" s="591"/>
      <c r="AN72" s="591"/>
      <c r="AO72" s="591"/>
      <c r="AP72" s="591"/>
      <c r="AQ72" s="591"/>
      <c r="AS72" s="591"/>
      <c r="AT72" s="591"/>
      <c r="AU72" s="591"/>
      <c r="AV72" s="591"/>
      <c r="AW72" s="591"/>
      <c r="AY72" s="591"/>
    </row>
    <row r="73" spans="1:54" ht="20.25" hidden="1" customHeight="1" x14ac:dyDescent="0.2">
      <c r="A73" s="2"/>
      <c r="B73" s="2"/>
      <c r="C73" s="1171"/>
      <c r="D73" s="14"/>
      <c r="E73" s="14"/>
      <c r="F73" s="983" t="s">
        <v>105</v>
      </c>
      <c r="G73" s="1014">
        <f>SUM(G69:G72)</f>
        <v>0</v>
      </c>
      <c r="H73" s="866"/>
      <c r="I73" s="2041">
        <f>SUM(I69:I72)</f>
        <v>0</v>
      </c>
      <c r="J73" s="2041"/>
      <c r="K73" s="1196">
        <v>100</v>
      </c>
      <c r="L73" s="2"/>
      <c r="M73" s="2"/>
      <c r="N73" s="967">
        <f>SUM(N69:N72)</f>
        <v>0</v>
      </c>
      <c r="O73" s="503" t="str">
        <f>IF(C61=0,"",IF(G65=N73,"OK",E163))</f>
        <v/>
      </c>
      <c r="P73" s="2"/>
      <c r="Q73" s="2"/>
      <c r="R73" s="2"/>
      <c r="S73" s="2"/>
      <c r="T73" s="2"/>
      <c r="U73" s="2"/>
      <c r="V73" s="2"/>
      <c r="W73" s="2"/>
      <c r="X73" s="2"/>
      <c r="Y73" s="2"/>
      <c r="Z73" s="2"/>
      <c r="AA73" s="2"/>
      <c r="AB73" s="591"/>
      <c r="AC73" s="591"/>
      <c r="AD73" s="591"/>
      <c r="AE73" s="591"/>
      <c r="AF73" s="591"/>
      <c r="AG73" s="591"/>
      <c r="AH73" s="591"/>
      <c r="AI73" s="591"/>
      <c r="AJ73" s="591"/>
      <c r="AK73" s="591"/>
      <c r="AM73" s="591"/>
      <c r="AN73" s="591"/>
      <c r="AO73" s="591"/>
      <c r="AP73" s="591"/>
      <c r="AQ73" s="591"/>
      <c r="AS73" s="591"/>
      <c r="AT73" s="591"/>
      <c r="AU73" s="591"/>
      <c r="AV73" s="591"/>
      <c r="AW73" s="591"/>
      <c r="AY73" s="591"/>
    </row>
    <row r="74" spans="1:54" ht="20.25" hidden="1" customHeight="1" x14ac:dyDescent="0.2">
      <c r="A74" s="2"/>
      <c r="B74" s="2"/>
      <c r="C74" s="1172"/>
      <c r="D74" s="1173"/>
      <c r="E74" s="1173"/>
      <c r="F74" s="1173"/>
      <c r="G74" s="1173"/>
      <c r="H74" s="1173"/>
      <c r="I74" s="2051" t="s">
        <v>756</v>
      </c>
      <c r="J74" s="2051"/>
      <c r="K74" s="2052"/>
      <c r="L74" s="14"/>
      <c r="M74" s="14"/>
      <c r="N74" s="139"/>
      <c r="O74" s="2"/>
      <c r="P74" s="2"/>
      <c r="Q74" s="2"/>
      <c r="R74" s="2"/>
      <c r="S74" s="2"/>
      <c r="T74" s="2"/>
      <c r="U74" s="2"/>
      <c r="V74" s="2"/>
      <c r="W74" s="2"/>
      <c r="X74" s="2"/>
      <c r="Y74" s="2"/>
      <c r="Z74" s="2"/>
      <c r="AA74" s="2"/>
      <c r="AB74" s="591"/>
      <c r="AC74" s="591"/>
      <c r="AD74" s="591"/>
      <c r="AE74" s="591"/>
      <c r="AF74" s="591"/>
      <c r="AG74" s="591"/>
      <c r="AH74" s="591"/>
      <c r="AI74" s="591"/>
      <c r="AJ74" s="591"/>
      <c r="AK74" s="591"/>
      <c r="AM74" s="591"/>
      <c r="AN74" s="591"/>
      <c r="AO74" s="591"/>
      <c r="AP74" s="591"/>
      <c r="AQ74" s="591"/>
      <c r="AS74" s="591"/>
      <c r="AT74" s="591"/>
      <c r="AU74" s="591"/>
      <c r="AV74" s="591"/>
      <c r="AW74" s="591"/>
      <c r="AY74" s="591"/>
    </row>
    <row r="75" spans="1:54" ht="11.25" hidden="1" customHeight="1" x14ac:dyDescent="0.2">
      <c r="A75" s="2"/>
      <c r="B75" s="2"/>
      <c r="C75" s="2"/>
      <c r="D75" s="2"/>
      <c r="E75" s="2"/>
      <c r="F75" s="2"/>
      <c r="G75" s="2"/>
      <c r="H75" s="2"/>
      <c r="I75" s="2"/>
      <c r="J75" s="2"/>
      <c r="K75" s="2"/>
      <c r="L75" s="14"/>
      <c r="M75" s="14"/>
      <c r="N75" s="139"/>
      <c r="O75" s="2"/>
      <c r="P75" s="2"/>
      <c r="Q75" s="2"/>
      <c r="R75" s="2"/>
      <c r="S75" s="2"/>
      <c r="T75" s="2"/>
      <c r="U75" s="2"/>
      <c r="V75" s="2"/>
      <c r="W75" s="2"/>
      <c r="X75" s="2"/>
      <c r="Y75" s="2"/>
      <c r="Z75" s="2"/>
      <c r="AA75" s="2"/>
      <c r="AB75" s="591"/>
      <c r="AC75" s="591"/>
      <c r="AD75" s="591"/>
      <c r="AE75" s="591"/>
      <c r="AF75" s="591"/>
      <c r="AG75" s="591"/>
      <c r="AH75" s="591"/>
      <c r="AI75" s="591"/>
      <c r="AJ75" s="591"/>
      <c r="AK75" s="591"/>
      <c r="AM75" s="591"/>
      <c r="AN75" s="591"/>
      <c r="AO75" s="591"/>
      <c r="AP75" s="591"/>
      <c r="AQ75" s="591"/>
      <c r="AS75" s="591"/>
      <c r="AT75" s="591"/>
      <c r="AU75" s="591"/>
      <c r="AV75" s="591"/>
      <c r="AW75" s="591"/>
      <c r="AY75" s="591"/>
    </row>
    <row r="76" spans="1:54" ht="20.25" hidden="1" customHeight="1" x14ac:dyDescent="0.2">
      <c r="A76" s="2"/>
      <c r="B76" s="2"/>
      <c r="C76" s="2"/>
      <c r="D76" s="2"/>
      <c r="E76" s="20"/>
      <c r="F76" s="984" t="s">
        <v>764</v>
      </c>
      <c r="G76" s="985">
        <f>H69</f>
        <v>22</v>
      </c>
      <c r="H76" s="985">
        <f>H70</f>
        <v>10</v>
      </c>
      <c r="I76" s="2142">
        <f>H71</f>
        <v>4</v>
      </c>
      <c r="J76" s="2142"/>
      <c r="K76" s="1162" t="str">
        <f>H72</f>
        <v/>
      </c>
      <c r="L76" s="2"/>
      <c r="M76" s="2"/>
      <c r="N76" s="986"/>
      <c r="O76" s="2"/>
      <c r="P76" s="2"/>
      <c r="Q76" s="2"/>
      <c r="R76" s="2"/>
      <c r="S76" s="2"/>
      <c r="T76" s="2"/>
      <c r="U76" s="2"/>
      <c r="V76" s="2"/>
      <c r="W76" s="2"/>
      <c r="X76" s="591"/>
      <c r="Y76" s="591"/>
      <c r="AB76" s="591"/>
      <c r="AC76" s="591"/>
      <c r="AD76" s="591"/>
      <c r="AE76" s="591"/>
      <c r="AF76" s="591"/>
      <c r="AG76" s="591"/>
      <c r="AH76" s="591"/>
      <c r="AI76" s="591"/>
      <c r="AJ76" s="591"/>
      <c r="AK76" s="591"/>
      <c r="AM76" s="591"/>
      <c r="AN76" s="591"/>
      <c r="AO76" s="591"/>
      <c r="AP76" s="591"/>
      <c r="AQ76" s="591"/>
      <c r="AS76" s="591"/>
      <c r="AT76" s="591"/>
      <c r="AU76" s="591"/>
      <c r="AV76" s="591"/>
      <c r="AW76" s="591"/>
      <c r="AY76" s="591"/>
    </row>
    <row r="77" spans="1:54" ht="20.25" hidden="1" customHeight="1" x14ac:dyDescent="0.2">
      <c r="A77" s="2"/>
      <c r="B77" s="2"/>
      <c r="C77" s="2"/>
      <c r="D77" s="2"/>
      <c r="E77" s="2"/>
      <c r="F77" s="987" t="s">
        <v>757</v>
      </c>
      <c r="G77" s="988">
        <f>N69-G78</f>
        <v>0</v>
      </c>
      <c r="H77" s="989">
        <f>N70-H78</f>
        <v>0</v>
      </c>
      <c r="I77" s="2037">
        <f>N71-I78</f>
        <v>0</v>
      </c>
      <c r="J77" s="2038"/>
      <c r="K77" s="989">
        <f>N72-K78</f>
        <v>0</v>
      </c>
      <c r="L77" s="2233">
        <f>SUM(S69:S72)</f>
        <v>0</v>
      </c>
      <c r="M77" s="2234"/>
      <c r="N77" s="990" t="s">
        <v>758</v>
      </c>
      <c r="O77" s="2"/>
      <c r="P77" s="2"/>
      <c r="Q77" s="2"/>
      <c r="R77" s="2"/>
      <c r="S77" s="2"/>
      <c r="T77" s="2"/>
      <c r="U77" s="2"/>
      <c r="V77" s="2"/>
      <c r="W77" s="2"/>
      <c r="X77" s="591"/>
      <c r="Y77" s="591"/>
      <c r="AG77" s="591"/>
      <c r="AH77" s="591"/>
      <c r="AI77" s="591"/>
      <c r="AJ77" s="591"/>
      <c r="AK77" s="591"/>
      <c r="AM77" s="591"/>
      <c r="AN77" s="591"/>
      <c r="AO77" s="591"/>
      <c r="AP77" s="591"/>
      <c r="AQ77" s="591"/>
      <c r="AS77" s="591"/>
      <c r="AT77" s="591"/>
      <c r="AU77" s="591"/>
      <c r="AV77" s="591"/>
      <c r="AW77" s="591"/>
      <c r="AY77" s="591"/>
    </row>
    <row r="78" spans="1:54" ht="20.25" hidden="1" customHeight="1" x14ac:dyDescent="0.2">
      <c r="A78" s="2"/>
      <c r="B78" s="2"/>
      <c r="C78" s="2"/>
      <c r="D78" s="2"/>
      <c r="E78" s="2"/>
      <c r="F78" s="991" t="s">
        <v>759</v>
      </c>
      <c r="G78" s="992">
        <f>IF(G76="",0,ROUND(N69*G76/(100+G76),2))</f>
        <v>0</v>
      </c>
      <c r="H78" s="993">
        <f>IF(H76="",0,ROUND(N70*H76/(100+H76),2))</f>
        <v>0</v>
      </c>
      <c r="I78" s="2140">
        <f>IF(I76="",0,ROUND(N71*I76/(100+I76),2))</f>
        <v>0</v>
      </c>
      <c r="J78" s="2141"/>
      <c r="K78" s="993">
        <f>IF(K76="",0,ROUND(N72*K76/(100+K76),2))</f>
        <v>0</v>
      </c>
      <c r="L78" s="2235">
        <f>SUM(T69:T72)</f>
        <v>0</v>
      </c>
      <c r="M78" s="2236"/>
      <c r="N78" s="994" t="s">
        <v>760</v>
      </c>
      <c r="O78" s="2"/>
      <c r="P78" s="2"/>
      <c r="Q78" s="2"/>
      <c r="R78" s="2"/>
      <c r="S78" s="2"/>
      <c r="T78" s="2"/>
      <c r="U78" s="128" t="s">
        <v>783</v>
      </c>
      <c r="V78" s="2"/>
      <c r="W78" s="2"/>
      <c r="X78" s="591"/>
      <c r="Y78" s="591"/>
      <c r="AG78" s="591"/>
      <c r="AH78" s="591"/>
      <c r="AI78" s="591"/>
      <c r="AJ78" s="591"/>
      <c r="AK78" s="591"/>
      <c r="AM78" s="591"/>
      <c r="AN78" s="591"/>
      <c r="AO78" s="591"/>
      <c r="AP78" s="591"/>
      <c r="AQ78" s="591"/>
      <c r="AS78" s="591"/>
      <c r="AT78" s="591"/>
      <c r="AU78" s="591"/>
      <c r="AV78" s="591"/>
      <c r="AW78" s="591"/>
      <c r="AY78" s="591"/>
    </row>
    <row r="79" spans="1:54" ht="20.25" hidden="1" customHeight="1" x14ac:dyDescent="0.2">
      <c r="A79" s="2"/>
      <c r="B79" s="2"/>
      <c r="C79" s="2"/>
      <c r="D79" s="2"/>
      <c r="E79" s="287"/>
      <c r="F79" s="995" t="s">
        <v>105</v>
      </c>
      <c r="G79" s="996">
        <f>G77+G78</f>
        <v>0</v>
      </c>
      <c r="H79" s="996">
        <f>H77+H78</f>
        <v>0</v>
      </c>
      <c r="I79" s="2135">
        <f>I77+I78</f>
        <v>0</v>
      </c>
      <c r="J79" s="2135"/>
      <c r="K79" s="996">
        <f>K77+K78</f>
        <v>0</v>
      </c>
      <c r="L79" s="287"/>
      <c r="M79" s="287"/>
      <c r="N79" s="996">
        <f>SUM(U69:U72)</f>
        <v>0</v>
      </c>
      <c r="O79" s="503" t="str">
        <f>IF(N79=N73,"OK",E163)</f>
        <v>OK</v>
      </c>
      <c r="P79" s="2"/>
      <c r="Q79" s="2"/>
      <c r="R79" s="924" t="str">
        <f>G62</f>
        <v>SCORPORO</v>
      </c>
      <c r="S79" s="997">
        <f>IF(R79=L$134,G$63,0)</f>
        <v>0</v>
      </c>
      <c r="T79" s="92">
        <f>G42</f>
        <v>0</v>
      </c>
      <c r="U79" s="997">
        <f>IF(T79=K$134,S79,0)</f>
        <v>0</v>
      </c>
      <c r="V79" s="2"/>
      <c r="W79" s="2"/>
      <c r="X79" s="591"/>
      <c r="Y79" s="591"/>
      <c r="AG79" s="591"/>
      <c r="AH79" s="591"/>
      <c r="AI79" s="591"/>
      <c r="AJ79" s="591"/>
      <c r="AK79" s="591"/>
      <c r="AM79" s="591"/>
      <c r="AN79" s="591"/>
      <c r="AO79" s="591"/>
      <c r="AP79" s="591"/>
      <c r="AQ79" s="591"/>
      <c r="AS79" s="591"/>
      <c r="AT79" s="591"/>
      <c r="AU79" s="591"/>
      <c r="AV79" s="591"/>
      <c r="AW79" s="591"/>
      <c r="AY79" s="591"/>
    </row>
    <row r="80" spans="1:54" ht="20.25" hidden="1" customHeight="1" x14ac:dyDescent="0.2">
      <c r="A80" s="2"/>
      <c r="B80" s="2"/>
      <c r="C80" s="2"/>
      <c r="D80" s="2"/>
      <c r="E80" s="2"/>
      <c r="F80" s="2"/>
      <c r="G80" s="2"/>
      <c r="H80" s="2"/>
      <c r="I80" s="2"/>
      <c r="J80" s="2"/>
      <c r="K80" s="2"/>
      <c r="L80" s="2"/>
      <c r="M80" s="2"/>
      <c r="N80" s="10"/>
      <c r="O80" s="2"/>
      <c r="P80" s="2"/>
      <c r="Q80" s="2"/>
      <c r="R80" s="924" t="str">
        <f>H62</f>
        <v>SCORPORO</v>
      </c>
      <c r="S80" s="998">
        <f>IF(R80=L$134,H63,0)</f>
        <v>0</v>
      </c>
      <c r="T80" s="92">
        <f>H42</f>
        <v>0</v>
      </c>
      <c r="U80" s="998">
        <f>IF(T80=K$134,S80,0)</f>
        <v>0</v>
      </c>
      <c r="V80" s="2"/>
      <c r="W80" s="2"/>
      <c r="X80" s="591"/>
      <c r="Y80" s="591"/>
      <c r="AG80" s="591"/>
      <c r="AH80" s="591"/>
      <c r="AI80" s="591"/>
      <c r="AJ80" s="591"/>
      <c r="AK80" s="591"/>
      <c r="AM80" s="591"/>
      <c r="AN80" s="591"/>
      <c r="AO80" s="591"/>
      <c r="AP80" s="591"/>
      <c r="AQ80" s="591"/>
      <c r="AS80" s="591"/>
      <c r="AT80" s="591"/>
      <c r="AU80" s="591"/>
      <c r="AV80" s="591"/>
      <c r="AW80" s="591"/>
      <c r="AY80" s="591"/>
    </row>
    <row r="81" spans="1:51" ht="20.25" hidden="1" customHeight="1" x14ac:dyDescent="0.2">
      <c r="A81" s="2"/>
      <c r="B81" s="2"/>
      <c r="C81" s="2"/>
      <c r="D81" s="2"/>
      <c r="E81" s="2"/>
      <c r="F81" s="2"/>
      <c r="G81" s="103" t="str">
        <f>G61</f>
        <v>Colonna 1</v>
      </c>
      <c r="H81" s="103" t="str">
        <f>H61</f>
        <v>Colonna 2</v>
      </c>
      <c r="I81" s="2053" t="str">
        <f>K61</f>
        <v>Colonna 3</v>
      </c>
      <c r="J81" s="2053"/>
      <c r="K81" s="103" t="str">
        <f>N61</f>
        <v>Colonna 4</v>
      </c>
      <c r="L81" s="2"/>
      <c r="M81" s="2"/>
      <c r="N81" s="14"/>
      <c r="O81" s="2"/>
      <c r="P81" s="2"/>
      <c r="Q81" s="2"/>
      <c r="R81" s="924" t="str">
        <f>K62</f>
        <v>SCORPORO</v>
      </c>
      <c r="S81" s="998">
        <f>IF(R81=L$134,K63,0)</f>
        <v>0</v>
      </c>
      <c r="T81" s="92">
        <f>K42</f>
        <v>0</v>
      </c>
      <c r="U81" s="998">
        <f>IF(T81=K$134,S81,0)</f>
        <v>0</v>
      </c>
      <c r="V81" s="2"/>
      <c r="W81" s="2"/>
      <c r="X81" s="591"/>
      <c r="Y81" s="591"/>
      <c r="AG81" s="591"/>
      <c r="AH81" s="591"/>
      <c r="AI81" s="591"/>
      <c r="AJ81" s="591"/>
      <c r="AK81" s="591"/>
      <c r="AM81" s="591"/>
      <c r="AN81" s="591"/>
      <c r="AO81" s="591"/>
      <c r="AP81" s="591"/>
      <c r="AQ81" s="591"/>
      <c r="AS81" s="591"/>
      <c r="AT81" s="591"/>
      <c r="AU81" s="591"/>
      <c r="AV81" s="591"/>
      <c r="AW81" s="591"/>
      <c r="AY81" s="591"/>
    </row>
    <row r="82" spans="1:51" ht="18" hidden="1" customHeight="1" x14ac:dyDescent="0.2">
      <c r="A82" s="2"/>
      <c r="B82" s="2"/>
      <c r="C82" s="2"/>
      <c r="D82" s="2"/>
      <c r="E82" s="2"/>
      <c r="F82" s="2"/>
      <c r="G82" s="1203" t="str">
        <f t="shared" ref="G82:H84" si="33">G43</f>
        <v/>
      </c>
      <c r="H82" s="1204" t="str">
        <f t="shared" si="33"/>
        <v/>
      </c>
      <c r="I82" s="2031" t="str">
        <f>K43</f>
        <v/>
      </c>
      <c r="J82" s="2031"/>
      <c r="K82" s="1205" t="str">
        <f>N43</f>
        <v/>
      </c>
      <c r="L82" s="2"/>
      <c r="M82" s="2"/>
      <c r="N82" s="14"/>
      <c r="O82" s="2"/>
      <c r="P82" s="2"/>
      <c r="Q82" s="2"/>
      <c r="R82" s="924" t="str">
        <f>N62</f>
        <v>SCORPORO</v>
      </c>
      <c r="S82" s="1007">
        <f>IF(R82=L$134,N63,0)</f>
        <v>0</v>
      </c>
      <c r="T82" s="92">
        <f>N42</f>
        <v>0</v>
      </c>
      <c r="U82" s="1007">
        <f>IF(T82=K$134,S82,0)</f>
        <v>0</v>
      </c>
      <c r="V82" s="2"/>
      <c r="W82" s="2"/>
      <c r="X82" s="591"/>
      <c r="Y82" s="591"/>
      <c r="AG82" s="591"/>
      <c r="AH82" s="591"/>
      <c r="AI82" s="591"/>
      <c r="AJ82" s="591"/>
      <c r="AK82" s="591"/>
      <c r="AM82" s="591"/>
      <c r="AN82" s="591"/>
      <c r="AO82" s="591"/>
      <c r="AP82" s="591"/>
      <c r="AQ82" s="591"/>
      <c r="AS82" s="591"/>
      <c r="AT82" s="591"/>
      <c r="AU82" s="591"/>
      <c r="AV82" s="591"/>
      <c r="AW82" s="591"/>
      <c r="AY82" s="591"/>
    </row>
    <row r="83" spans="1:51" ht="18" hidden="1" customHeight="1" x14ac:dyDescent="0.2">
      <c r="A83" s="2"/>
      <c r="B83" s="2"/>
      <c r="C83" s="2"/>
      <c r="D83" s="2"/>
      <c r="E83" s="2"/>
      <c r="F83" s="2"/>
      <c r="G83" s="1000" t="str">
        <f t="shared" si="33"/>
        <v/>
      </c>
      <c r="H83" s="1000" t="str">
        <f t="shared" si="33"/>
        <v/>
      </c>
      <c r="I83" s="2054" t="str">
        <f>K44</f>
        <v/>
      </c>
      <c r="J83" s="2054"/>
      <c r="K83" s="1000" t="str">
        <f>N44</f>
        <v/>
      </c>
      <c r="L83" s="2"/>
      <c r="M83" s="2"/>
      <c r="N83" s="14"/>
      <c r="O83" s="2"/>
      <c r="P83" s="2"/>
      <c r="Q83" s="2"/>
      <c r="R83" s="2"/>
      <c r="S83" s="999"/>
      <c r="T83" s="2"/>
      <c r="U83" s="999"/>
      <c r="V83" s="2"/>
      <c r="W83" s="2"/>
      <c r="X83" s="591"/>
      <c r="Y83" s="591"/>
      <c r="AG83" s="591"/>
      <c r="AH83" s="591"/>
      <c r="AI83" s="591"/>
      <c r="AJ83" s="591"/>
      <c r="AK83" s="591"/>
      <c r="AM83" s="591"/>
      <c r="AN83" s="591"/>
      <c r="AO83" s="591"/>
      <c r="AP83" s="591"/>
      <c r="AQ83" s="591"/>
      <c r="AS83" s="591"/>
      <c r="AT83" s="591"/>
      <c r="AU83" s="591"/>
      <c r="AV83" s="591"/>
      <c r="AW83" s="591"/>
      <c r="AY83" s="591"/>
    </row>
    <row r="84" spans="1:51" ht="18" hidden="1" customHeight="1" x14ac:dyDescent="0.2">
      <c r="A84" s="2"/>
      <c r="B84" s="2"/>
      <c r="C84" s="2"/>
      <c r="D84" s="2"/>
      <c r="E84" s="2"/>
      <c r="F84" s="2"/>
      <c r="G84" s="1001" t="str">
        <f t="shared" si="33"/>
        <v/>
      </c>
      <c r="H84" s="1001" t="str">
        <f t="shared" si="33"/>
        <v/>
      </c>
      <c r="I84" s="2055" t="str">
        <f>K45</f>
        <v/>
      </c>
      <c r="J84" s="2055"/>
      <c r="K84" s="1001" t="str">
        <f>N45</f>
        <v/>
      </c>
      <c r="L84" s="2"/>
      <c r="M84" s="2"/>
      <c r="N84" s="14"/>
      <c r="O84" s="2"/>
      <c r="P84" s="2"/>
      <c r="Q84" s="2"/>
      <c r="R84" s="2"/>
      <c r="S84" s="999"/>
      <c r="T84" s="2"/>
      <c r="U84" s="999"/>
      <c r="V84" s="2"/>
      <c r="W84" s="2"/>
      <c r="X84" s="591"/>
      <c r="Y84" s="591"/>
      <c r="AG84" s="591"/>
      <c r="AH84" s="591"/>
      <c r="AI84" s="591"/>
      <c r="AJ84" s="591"/>
      <c r="AK84" s="591"/>
      <c r="AM84" s="591"/>
      <c r="AN84" s="591"/>
      <c r="AO84" s="591"/>
      <c r="AP84" s="591"/>
      <c r="AQ84" s="591"/>
      <c r="AS84" s="591"/>
      <c r="AT84" s="591"/>
      <c r="AU84" s="591"/>
      <c r="AV84" s="591"/>
      <c r="AW84" s="591"/>
      <c r="AY84" s="591"/>
    </row>
    <row r="85" spans="1:51" ht="18" hidden="1" customHeight="1" x14ac:dyDescent="0.2">
      <c r="A85" s="2"/>
      <c r="B85" s="2"/>
      <c r="C85" s="2"/>
      <c r="D85" s="2"/>
      <c r="E85" s="2"/>
      <c r="F85" s="2"/>
      <c r="G85" s="1011" t="str">
        <f>VLOOKUP(G62,$L$134:$M$135,2,FALSE)</f>
        <v>SCORPORO</v>
      </c>
      <c r="H85" s="1011" t="str">
        <f>VLOOKUP(H62,$L$134:$M$135,2,FALSE)</f>
        <v>SCORPORO</v>
      </c>
      <c r="I85" s="2056" t="str">
        <f>VLOOKUP(K62,$L$134:$M$135,2,FALSE)</f>
        <v>SCORPORO</v>
      </c>
      <c r="J85" s="2056"/>
      <c r="K85" s="1011" t="str">
        <f>VLOOKUP(N62,$L$134:$M$135,2,FALSE)</f>
        <v>SCORPORO</v>
      </c>
      <c r="L85" s="2"/>
      <c r="M85" s="2"/>
      <c r="N85" s="14"/>
      <c r="O85" s="2"/>
      <c r="P85" s="2"/>
      <c r="Q85" s="2"/>
      <c r="R85" s="2"/>
      <c r="S85" s="999"/>
      <c r="T85" s="2"/>
      <c r="U85" s="999"/>
      <c r="V85" s="2"/>
      <c r="W85" s="2"/>
      <c r="X85" s="591"/>
      <c r="Y85" s="591"/>
      <c r="AG85" s="591"/>
      <c r="AH85" s="591"/>
      <c r="AI85" s="591"/>
      <c r="AJ85" s="591"/>
      <c r="AK85" s="591"/>
      <c r="AM85" s="591"/>
      <c r="AN85" s="591"/>
      <c r="AO85" s="591"/>
      <c r="AP85" s="591"/>
      <c r="AQ85" s="591"/>
      <c r="AS85" s="591"/>
      <c r="AT85" s="591"/>
      <c r="AU85" s="591"/>
      <c r="AV85" s="591"/>
      <c r="AW85" s="591"/>
      <c r="AY85" s="591"/>
    </row>
    <row r="86" spans="1:51" ht="20.25" hidden="1" customHeight="1" x14ac:dyDescent="0.2">
      <c r="A86" s="2"/>
      <c r="B86" s="2"/>
      <c r="C86" s="2"/>
      <c r="D86" s="2"/>
      <c r="E86" s="2"/>
      <c r="F86" s="1002" t="s">
        <v>761</v>
      </c>
      <c r="G86" s="1206">
        <f>IF($L77=0,0,$S79-G87)</f>
        <v>0</v>
      </c>
      <c r="H86" s="1206">
        <f>IF($L77=0,0,S80-H87)</f>
        <v>0</v>
      </c>
      <c r="I86" s="2035">
        <f>IF($L77=0,0,S81-I87)</f>
        <v>0</v>
      </c>
      <c r="J86" s="2036"/>
      <c r="K86" s="1206">
        <f>IF($L77=0,0,S82-K87)</f>
        <v>0</v>
      </c>
      <c r="L86" s="2237">
        <f>SUM(G86:K86)</f>
        <v>0</v>
      </c>
      <c r="M86" s="2237"/>
      <c r="N86" s="1003" t="s">
        <v>758</v>
      </c>
      <c r="O86" s="2"/>
      <c r="P86" s="2"/>
      <c r="Q86" s="2"/>
      <c r="R86" s="2"/>
      <c r="S86" s="999"/>
      <c r="T86" s="2"/>
      <c r="U86" s="999"/>
      <c r="V86" s="2"/>
      <c r="W86" s="2"/>
      <c r="X86" s="591"/>
      <c r="Y86" s="591"/>
      <c r="AG86" s="591"/>
      <c r="AH86" s="591"/>
      <c r="AI86" s="591"/>
      <c r="AJ86" s="591"/>
      <c r="AK86" s="591"/>
      <c r="AM86" s="591"/>
      <c r="AN86" s="591"/>
      <c r="AO86" s="591"/>
      <c r="AP86" s="591"/>
      <c r="AQ86" s="591"/>
      <c r="AS86" s="591"/>
      <c r="AT86" s="591"/>
      <c r="AU86" s="591"/>
      <c r="AV86" s="591"/>
      <c r="AW86" s="591"/>
      <c r="AY86" s="591"/>
    </row>
    <row r="87" spans="1:51" ht="20.25" hidden="1" customHeight="1" x14ac:dyDescent="0.2">
      <c r="A87" s="2"/>
      <c r="B87" s="2"/>
      <c r="C87" s="2"/>
      <c r="D87" s="2"/>
      <c r="E87" s="2"/>
      <c r="F87" s="1004" t="s">
        <v>762</v>
      </c>
      <c r="G87" s="1207">
        <f>IF($C$61=0,0,ROUND($L78*G89/100,2))</f>
        <v>0</v>
      </c>
      <c r="H87" s="1207">
        <f>IF($C$61=0,0,ROUND($L78*H89/100,2))</f>
        <v>0</v>
      </c>
      <c r="I87" s="2028">
        <f>IF($C$61=0,0,ROUND($L78*I89/100,2))</f>
        <v>0</v>
      </c>
      <c r="J87" s="2029"/>
      <c r="K87" s="1207">
        <f>IF($C$61=0,0,L78-G87-H87-I87)</f>
        <v>0</v>
      </c>
      <c r="L87" s="2125">
        <f>SUM(G87:K87)</f>
        <v>0</v>
      </c>
      <c r="M87" s="2125"/>
      <c r="N87" s="1005" t="s">
        <v>760</v>
      </c>
      <c r="O87" s="2"/>
      <c r="P87" s="2"/>
      <c r="Q87" s="2"/>
      <c r="R87" s="2"/>
      <c r="S87" s="999"/>
      <c r="T87" s="2"/>
      <c r="U87" s="999"/>
      <c r="V87" s="2"/>
      <c r="W87" s="2"/>
      <c r="X87" s="591"/>
      <c r="Y87" s="591"/>
      <c r="AG87" s="591"/>
      <c r="AH87" s="591"/>
      <c r="AI87" s="591"/>
      <c r="AJ87" s="591"/>
      <c r="AK87" s="591"/>
      <c r="AM87" s="591"/>
      <c r="AN87" s="591"/>
      <c r="AO87" s="591"/>
      <c r="AP87" s="591"/>
      <c r="AQ87" s="591"/>
      <c r="AS87" s="591"/>
      <c r="AT87" s="591"/>
      <c r="AU87" s="591"/>
      <c r="AV87" s="591"/>
      <c r="AW87" s="591"/>
      <c r="AY87" s="591"/>
    </row>
    <row r="88" spans="1:51" ht="20.25" hidden="1" customHeight="1" x14ac:dyDescent="0.2">
      <c r="A88" s="2"/>
      <c r="B88" s="2"/>
      <c r="C88" s="2"/>
      <c r="D88" s="2"/>
      <c r="E88" s="287"/>
      <c r="F88" s="995" t="s">
        <v>105</v>
      </c>
      <c r="G88" s="1020">
        <f>IF(G85=$M135,0,G86+G87)</f>
        <v>0</v>
      </c>
      <c r="H88" s="1020">
        <f>IF(H85=$M135,0,H86+H87)</f>
        <v>0</v>
      </c>
      <c r="I88" s="2216">
        <f>IF(I85=$M135,0,I86+I87)</f>
        <v>0</v>
      </c>
      <c r="J88" s="2216"/>
      <c r="K88" s="1020">
        <f>IF(K85=$M135,0,K86+K87)</f>
        <v>0</v>
      </c>
      <c r="L88" s="287"/>
      <c r="M88" s="287"/>
      <c r="N88" s="996">
        <f>SUM(G88:K88)</f>
        <v>0</v>
      </c>
      <c r="O88" s="503" t="str">
        <f>IF(N88=N79,"OK",E163)</f>
        <v>OK</v>
      </c>
      <c r="P88" s="2"/>
      <c r="Q88" s="2"/>
      <c r="R88" s="2"/>
      <c r="S88" s="1006"/>
      <c r="T88" s="2"/>
      <c r="U88" s="1006"/>
      <c r="V88" s="2"/>
      <c r="W88" s="2"/>
      <c r="X88" s="591"/>
      <c r="Y88" s="591"/>
      <c r="AG88" s="591"/>
      <c r="AH88" s="591"/>
      <c r="AI88" s="591"/>
      <c r="AJ88" s="591"/>
      <c r="AK88" s="591"/>
      <c r="AM88" s="591"/>
      <c r="AN88" s="591"/>
      <c r="AO88" s="591"/>
      <c r="AP88" s="591"/>
      <c r="AQ88" s="591"/>
      <c r="AS88" s="591"/>
      <c r="AT88" s="591"/>
      <c r="AU88" s="591"/>
      <c r="AV88" s="591"/>
      <c r="AW88" s="591"/>
      <c r="AY88" s="591"/>
    </row>
    <row r="89" spans="1:51" ht="20.25" hidden="1" customHeight="1" x14ac:dyDescent="0.2">
      <c r="A89" s="2"/>
      <c r="B89" s="2"/>
      <c r="C89" s="2"/>
      <c r="D89" s="2"/>
      <c r="E89" s="2"/>
      <c r="F89" s="970" t="s">
        <v>763</v>
      </c>
      <c r="G89" s="1021">
        <f>IF($C$61=0,0,IF(S79=0,0,ROUND($S79/$S89*100,10)))</f>
        <v>0</v>
      </c>
      <c r="H89" s="1021">
        <f>IF($C$61=0,0,IF(S80=0,0,ROUND(S80/$S89*100,10)))</f>
        <v>0</v>
      </c>
      <c r="I89" s="2101">
        <f>IF($C$61=0,0,IF(S81=0,0,ROUND(S81/$S89*100,10)))</f>
        <v>0</v>
      </c>
      <c r="J89" s="2101"/>
      <c r="K89" s="1021">
        <f>IF($C$61=0,0,IF(S82=0,0,100-G89-H89-I89))</f>
        <v>0</v>
      </c>
      <c r="L89" s="2"/>
      <c r="M89" s="2"/>
      <c r="N89" s="2"/>
      <c r="O89" s="2"/>
      <c r="P89" s="2"/>
      <c r="Q89" s="2"/>
      <c r="R89" s="2"/>
      <c r="S89" s="1006">
        <f>SUM(S79:S88)</f>
        <v>0</v>
      </c>
      <c r="T89" s="2"/>
      <c r="U89" s="1006">
        <f>SUM(U79:U88)</f>
        <v>0</v>
      </c>
      <c r="V89" s="2"/>
      <c r="W89" s="2"/>
      <c r="X89" s="591"/>
      <c r="Y89" s="591"/>
      <c r="Z89" s="591"/>
      <c r="AA89" s="591"/>
      <c r="AB89" s="591"/>
      <c r="AC89" s="591"/>
      <c r="AG89" s="591"/>
      <c r="AH89" s="591"/>
      <c r="AI89" s="591"/>
      <c r="AJ89" s="591"/>
      <c r="AK89" s="591"/>
      <c r="AM89" s="591"/>
      <c r="AN89" s="591"/>
      <c r="AO89" s="591"/>
      <c r="AP89" s="591"/>
      <c r="AQ89" s="591"/>
      <c r="AS89" s="591"/>
      <c r="AT89" s="591"/>
      <c r="AU89" s="591"/>
      <c r="AV89" s="591"/>
      <c r="AW89" s="591"/>
      <c r="AY89" s="591"/>
    </row>
    <row r="90" spans="1:51" ht="20.25" customHeight="1" x14ac:dyDescent="0.2">
      <c r="A90" s="2"/>
      <c r="B90" s="2"/>
      <c r="C90" s="2"/>
      <c r="D90" s="2"/>
      <c r="E90" s="2"/>
      <c r="F90" s="2"/>
      <c r="G90" s="2"/>
      <c r="H90" s="2"/>
      <c r="I90" s="2"/>
      <c r="J90" s="2"/>
      <c r="K90" s="2"/>
      <c r="L90" s="2"/>
      <c r="M90" s="2"/>
      <c r="N90" s="2"/>
      <c r="O90" s="2"/>
      <c r="P90" s="2"/>
      <c r="Q90" s="2"/>
      <c r="R90" s="2"/>
      <c r="S90" s="2"/>
      <c r="T90" s="2"/>
      <c r="U90" s="1110" t="e">
        <f>U89/S89*100</f>
        <v>#DIV/0!</v>
      </c>
      <c r="V90" s="2"/>
      <c r="W90" s="2"/>
      <c r="X90" s="591"/>
      <c r="Y90" s="591"/>
      <c r="Z90" s="591"/>
      <c r="AA90" s="591"/>
      <c r="AB90" s="591"/>
      <c r="AC90" s="591"/>
      <c r="AG90" s="591"/>
      <c r="AH90" s="591"/>
      <c r="AI90" s="591"/>
      <c r="AJ90" s="591"/>
      <c r="AK90" s="591"/>
      <c r="AM90" s="591"/>
      <c r="AN90" s="591"/>
      <c r="AO90" s="591"/>
      <c r="AP90" s="591"/>
      <c r="AQ90" s="591"/>
      <c r="AS90" s="591"/>
      <c r="AT90" s="591"/>
      <c r="AU90" s="591"/>
      <c r="AV90" s="591"/>
      <c r="AW90" s="591"/>
      <c r="AY90" s="591"/>
    </row>
    <row r="91" spans="1:51" ht="30" customHeight="1" x14ac:dyDescent="0.2">
      <c r="A91" s="2"/>
      <c r="B91" s="2"/>
      <c r="C91" s="2030" t="str">
        <f>IF(SUM(G150:J150)&gt;0,G151,IMPOSTAZIONI!Y383)</f>
        <v>Quest' area si attiva con colonne IVA "Aliquote diverse" - Al momento non c'è nessun importo da scorporare manualmente.</v>
      </c>
      <c r="D91" s="2030"/>
      <c r="E91" s="2030"/>
      <c r="F91" s="2030"/>
      <c r="G91" s="2030"/>
      <c r="H91" s="2030"/>
      <c r="I91" s="2030"/>
      <c r="J91" s="2030"/>
      <c r="K91" s="2030"/>
      <c r="L91" s="2030"/>
      <c r="M91" s="2030"/>
      <c r="N91" s="2030"/>
      <c r="O91" s="2030"/>
      <c r="P91" s="2030"/>
      <c r="Q91" s="98"/>
      <c r="R91" s="98"/>
      <c r="S91" s="98"/>
      <c r="T91" s="2"/>
      <c r="U91" s="2"/>
      <c r="V91" s="2"/>
      <c r="W91" s="2"/>
      <c r="X91" s="591"/>
      <c r="Y91" s="591"/>
      <c r="Z91" s="591"/>
      <c r="AA91" s="591"/>
      <c r="AB91" s="591"/>
      <c r="AC91" s="591"/>
      <c r="AG91" s="591"/>
      <c r="AH91" s="591"/>
      <c r="AI91" s="591"/>
      <c r="AJ91" s="591"/>
      <c r="AK91" s="591"/>
      <c r="AM91" s="591"/>
      <c r="AN91" s="591"/>
      <c r="AO91" s="591"/>
      <c r="AP91" s="591"/>
      <c r="AQ91" s="591"/>
      <c r="AS91" s="591"/>
      <c r="AT91" s="591"/>
      <c r="AU91" s="591"/>
      <c r="AV91" s="591"/>
      <c r="AW91" s="591"/>
      <c r="AY91" s="591"/>
    </row>
    <row r="92" spans="1:51" ht="5.25" customHeight="1" x14ac:dyDescent="0.2">
      <c r="A92" s="2"/>
      <c r="B92" s="2"/>
      <c r="C92" s="2"/>
      <c r="D92" s="2"/>
      <c r="E92" s="2"/>
      <c r="F92" s="2"/>
      <c r="G92" s="2"/>
      <c r="H92" s="2"/>
      <c r="I92" s="2"/>
      <c r="J92" s="2"/>
      <c r="K92" s="2"/>
      <c r="L92" s="2"/>
      <c r="M92" s="2"/>
      <c r="N92" s="2"/>
      <c r="O92" s="2"/>
      <c r="P92" s="2"/>
      <c r="Q92" s="2"/>
      <c r="R92" s="2"/>
      <c r="S92" s="2"/>
      <c r="T92" s="2"/>
      <c r="U92" s="2"/>
      <c r="V92" s="2"/>
      <c r="W92" s="2"/>
      <c r="X92" s="591"/>
      <c r="Y92" s="591"/>
      <c r="Z92" s="591"/>
      <c r="AA92" s="591"/>
      <c r="AB92" s="591"/>
      <c r="AC92" s="591"/>
      <c r="AG92" s="591"/>
      <c r="AH92" s="591"/>
      <c r="AI92" s="591"/>
      <c r="AJ92" s="591"/>
      <c r="AK92" s="591"/>
      <c r="AM92" s="591"/>
      <c r="AN92" s="591"/>
      <c r="AO92" s="591"/>
      <c r="AP92" s="591"/>
      <c r="AQ92" s="591"/>
      <c r="AS92" s="591"/>
      <c r="AT92" s="591"/>
      <c r="AU92" s="591"/>
      <c r="AV92" s="591"/>
      <c r="AW92" s="591"/>
      <c r="AY92" s="591"/>
    </row>
    <row r="93" spans="1:51" ht="18" customHeight="1" x14ac:dyDescent="0.2">
      <c r="A93" s="2"/>
      <c r="B93" s="2"/>
      <c r="C93" s="2111"/>
      <c r="D93" s="2111"/>
      <c r="E93" s="2112"/>
      <c r="F93" s="2113"/>
      <c r="G93" s="298" t="str">
        <f t="shared" ref="G93:H95" si="34">IF(G$155="X",G43,"")</f>
        <v/>
      </c>
      <c r="H93" s="298" t="str">
        <f t="shared" si="34"/>
        <v/>
      </c>
      <c r="I93" s="298"/>
      <c r="J93" s="298"/>
      <c r="K93" s="298" t="str">
        <f>IF(I$155="X",K43,"")</f>
        <v/>
      </c>
      <c r="L93" s="298"/>
      <c r="M93" s="298"/>
      <c r="N93" s="298" t="str">
        <f>IF(J$155="X",N43,"")</f>
        <v/>
      </c>
      <c r="O93" s="2033"/>
      <c r="P93" s="2033"/>
      <c r="Q93" s="12"/>
      <c r="R93" s="2"/>
      <c r="S93" s="2"/>
      <c r="T93" s="2"/>
      <c r="U93" s="2"/>
      <c r="V93" s="2"/>
      <c r="W93" s="2"/>
      <c r="X93" s="591"/>
      <c r="Y93" s="591"/>
      <c r="Z93" s="591"/>
      <c r="AA93" s="591"/>
      <c r="AB93" s="591"/>
      <c r="AC93" s="591"/>
      <c r="AG93" s="591"/>
      <c r="AH93" s="591"/>
      <c r="AI93" s="591"/>
      <c r="AJ93" s="591"/>
      <c r="AK93" s="591"/>
      <c r="AM93" s="591"/>
      <c r="AN93" s="591"/>
      <c r="AO93" s="591"/>
      <c r="AP93" s="591"/>
      <c r="AQ93" s="591"/>
      <c r="AS93" s="591"/>
      <c r="AT93" s="591"/>
      <c r="AU93" s="591"/>
      <c r="AV93" s="591"/>
      <c r="AW93" s="591"/>
      <c r="AY93" s="591"/>
    </row>
    <row r="94" spans="1:51" ht="18" customHeight="1" x14ac:dyDescent="0.2">
      <c r="A94" s="2"/>
      <c r="B94" s="2"/>
      <c r="C94" s="2114" t="str">
        <f>C44</f>
        <v>TOTALI DEL PERIODO:</v>
      </c>
      <c r="D94" s="2091"/>
      <c r="E94" s="2091"/>
      <c r="F94" s="2091"/>
      <c r="G94" s="57" t="str">
        <f t="shared" si="34"/>
        <v/>
      </c>
      <c r="H94" s="57" t="str">
        <f t="shared" si="34"/>
        <v/>
      </c>
      <c r="I94" s="57" t="s">
        <v>288</v>
      </c>
      <c r="J94" s="57"/>
      <c r="K94" s="57" t="str">
        <f>IF(I$155="X",K44,"")</f>
        <v/>
      </c>
      <c r="L94" s="57" t="s">
        <v>288</v>
      </c>
      <c r="M94" s="57"/>
      <c r="N94" s="57" t="str">
        <f>IF(J$155="X",N44,"")</f>
        <v/>
      </c>
      <c r="O94" s="85"/>
      <c r="P94" s="85"/>
      <c r="Q94" s="12"/>
      <c r="R94" s="2"/>
      <c r="S94" s="2"/>
      <c r="T94" s="2"/>
      <c r="U94" s="2"/>
      <c r="V94" s="2"/>
      <c r="W94" s="2"/>
      <c r="X94" s="591"/>
      <c r="Y94" s="591"/>
      <c r="Z94" s="591"/>
      <c r="AA94" s="591"/>
      <c r="AB94" s="591"/>
      <c r="AC94" s="591"/>
      <c r="AG94" s="591"/>
      <c r="AH94" s="591"/>
      <c r="AI94" s="591"/>
      <c r="AJ94" s="591"/>
      <c r="AK94" s="591"/>
      <c r="AM94" s="591"/>
      <c r="AN94" s="591"/>
      <c r="AO94" s="591"/>
      <c r="AP94" s="591"/>
      <c r="AQ94" s="591"/>
      <c r="AS94" s="591"/>
      <c r="AT94" s="591"/>
      <c r="AU94" s="591"/>
      <c r="AV94" s="591"/>
      <c r="AW94" s="591"/>
      <c r="AY94" s="591"/>
    </row>
    <row r="95" spans="1:51" ht="18" customHeight="1" x14ac:dyDescent="0.2">
      <c r="A95" s="2"/>
      <c r="B95" s="2"/>
      <c r="C95" s="2115" t="str">
        <f>C45</f>
        <v>01/05 - 31/05</v>
      </c>
      <c r="D95" s="2115"/>
      <c r="E95" s="2115"/>
      <c r="F95" s="2115"/>
      <c r="G95" s="90" t="str">
        <f t="shared" si="34"/>
        <v/>
      </c>
      <c r="H95" s="90" t="str">
        <f t="shared" si="34"/>
        <v/>
      </c>
      <c r="I95" s="90" t="s">
        <v>288</v>
      </c>
      <c r="J95" s="90"/>
      <c r="K95" s="90" t="str">
        <f>IF(I$155="X",K45,"")</f>
        <v/>
      </c>
      <c r="L95" s="90" t="s">
        <v>288</v>
      </c>
      <c r="M95" s="90"/>
      <c r="N95" s="90" t="str">
        <f>IF(J$155="X",N45,"")</f>
        <v/>
      </c>
      <c r="O95" s="89"/>
      <c r="P95" s="89"/>
      <c r="Q95" s="12"/>
      <c r="R95" s="2"/>
      <c r="S95" s="2"/>
      <c r="T95" s="2"/>
      <c r="U95" s="2"/>
      <c r="V95" s="2"/>
      <c r="W95" s="2"/>
      <c r="X95" s="591"/>
      <c r="Y95" s="591"/>
      <c r="Z95" s="591"/>
      <c r="AA95" s="591"/>
      <c r="AB95" s="591"/>
      <c r="AC95" s="591"/>
      <c r="AG95" s="591"/>
      <c r="AH95" s="591"/>
      <c r="AI95" s="591"/>
      <c r="AJ95" s="591"/>
      <c r="AK95" s="591"/>
      <c r="AM95" s="591"/>
      <c r="AN95" s="591"/>
      <c r="AO95" s="591"/>
      <c r="AP95" s="591"/>
      <c r="AQ95" s="591"/>
      <c r="AS95" s="591"/>
      <c r="AT95" s="591"/>
      <c r="AU95" s="591"/>
      <c r="AV95" s="591"/>
      <c r="AW95" s="591"/>
      <c r="AY95" s="591"/>
    </row>
    <row r="96" spans="1:51" ht="18.75" customHeight="1" x14ac:dyDescent="0.2">
      <c r="A96" s="2"/>
      <c r="B96" s="7"/>
      <c r="C96" s="2110"/>
      <c r="D96" s="2110"/>
      <c r="E96" s="2109"/>
      <c r="F96" s="2109"/>
      <c r="G96" s="297">
        <f>IF(G155="X",G46,0)</f>
        <v>0</v>
      </c>
      <c r="H96" s="297">
        <f>IF(H155="X",H46,0)</f>
        <v>0</v>
      </c>
      <c r="I96" s="657"/>
      <c r="J96" s="657"/>
      <c r="K96" s="297">
        <f>IF(I155="X",K46,0)</f>
        <v>0</v>
      </c>
      <c r="L96" s="657"/>
      <c r="M96" s="657"/>
      <c r="N96" s="297">
        <f>IF(J155="X",N46,0)</f>
        <v>0</v>
      </c>
      <c r="O96" s="2210" t="s">
        <v>353</v>
      </c>
      <c r="P96" s="2210"/>
      <c r="Q96" s="12"/>
      <c r="R96" s="462">
        <f>R97+R98</f>
        <v>0</v>
      </c>
      <c r="S96" s="2"/>
      <c r="T96" s="2"/>
      <c r="U96" s="2"/>
      <c r="V96" s="591"/>
      <c r="W96" s="591"/>
      <c r="X96" s="591"/>
      <c r="Y96" s="591"/>
      <c r="Z96" s="591"/>
      <c r="AA96" s="591"/>
      <c r="AB96" s="591"/>
      <c r="AC96" s="591"/>
      <c r="AG96" s="591"/>
      <c r="AH96" s="591"/>
      <c r="AI96" s="591"/>
      <c r="AJ96" s="591"/>
      <c r="AK96" s="591"/>
      <c r="AM96" s="591"/>
      <c r="AN96" s="591"/>
      <c r="AO96" s="591"/>
      <c r="AP96" s="591"/>
      <c r="AQ96" s="591"/>
      <c r="AS96" s="591"/>
      <c r="AT96" s="591"/>
      <c r="AU96" s="591"/>
      <c r="AV96" s="591"/>
      <c r="AW96" s="591"/>
      <c r="AY96" s="591"/>
    </row>
    <row r="97" spans="1:51" ht="18.75" customHeight="1" x14ac:dyDescent="0.25">
      <c r="A97" s="2"/>
      <c r="B97" s="7"/>
      <c r="C97" s="2032" t="s">
        <v>350</v>
      </c>
      <c r="D97" s="2032"/>
      <c r="E97" s="2032"/>
      <c r="F97" s="2032"/>
      <c r="G97" s="299"/>
      <c r="H97" s="299"/>
      <c r="I97" s="658"/>
      <c r="J97" s="658"/>
      <c r="K97" s="299"/>
      <c r="L97" s="658"/>
      <c r="M97" s="658"/>
      <c r="N97" s="299"/>
      <c r="O97" s="2221" t="s">
        <v>355</v>
      </c>
      <c r="P97" s="2221"/>
      <c r="Q97" s="12"/>
      <c r="R97" s="462">
        <f>SUM(G97:N97)</f>
        <v>0</v>
      </c>
      <c r="S97" s="462">
        <f>SUMIF($G$42:N$42,K$134,$G97:N97)</f>
        <v>0</v>
      </c>
      <c r="T97" s="1110" t="e">
        <f>S97/R97*100</f>
        <v>#DIV/0!</v>
      </c>
      <c r="U97" s="2"/>
      <c r="V97" s="591"/>
      <c r="W97" s="591"/>
      <c r="X97" s="591"/>
      <c r="Y97" s="591"/>
      <c r="Z97" s="591"/>
      <c r="AA97" s="591"/>
      <c r="AB97" s="591"/>
      <c r="AC97" s="591"/>
      <c r="AG97" s="591"/>
      <c r="AH97" s="591"/>
      <c r="AI97" s="591"/>
      <c r="AJ97" s="591"/>
      <c r="AK97" s="591"/>
      <c r="AM97" s="591"/>
      <c r="AN97" s="591"/>
      <c r="AO97" s="591"/>
      <c r="AP97" s="591"/>
      <c r="AQ97" s="591"/>
      <c r="AS97" s="591"/>
      <c r="AT97" s="591"/>
      <c r="AU97" s="591"/>
      <c r="AV97" s="591"/>
      <c r="AW97" s="591"/>
      <c r="AY97" s="591"/>
    </row>
    <row r="98" spans="1:51" ht="18.75" customHeight="1" x14ac:dyDescent="0.2">
      <c r="A98" s="2"/>
      <c r="B98" s="7"/>
      <c r="C98" s="2108" t="s">
        <v>490</v>
      </c>
      <c r="D98" s="2108"/>
      <c r="E98" s="2108"/>
      <c r="F98" s="2108"/>
      <c r="G98" s="300"/>
      <c r="H98" s="660"/>
      <c r="I98" s="659"/>
      <c r="J98" s="659"/>
      <c r="K98" s="660"/>
      <c r="L98" s="659"/>
      <c r="M98" s="659"/>
      <c r="N98" s="660"/>
      <c r="O98" s="2018" t="s">
        <v>349</v>
      </c>
      <c r="P98" s="2018"/>
      <c r="Q98" s="13"/>
      <c r="R98" s="462">
        <f>SUM(G98:N98)</f>
        <v>0</v>
      </c>
      <c r="S98" s="2"/>
      <c r="T98" s="2"/>
      <c r="U98" s="2"/>
      <c r="V98" s="591"/>
      <c r="W98" s="591"/>
      <c r="X98" s="591"/>
      <c r="Y98" s="591"/>
      <c r="Z98" s="591"/>
      <c r="AA98" s="591"/>
      <c r="AB98" s="591"/>
      <c r="AC98" s="591"/>
      <c r="AG98" s="591"/>
      <c r="AH98" s="591"/>
      <c r="AI98" s="591"/>
      <c r="AJ98" s="591"/>
      <c r="AK98" s="591"/>
      <c r="AM98" s="591"/>
      <c r="AN98" s="591"/>
      <c r="AO98" s="591"/>
      <c r="AP98" s="591"/>
      <c r="AQ98" s="591"/>
      <c r="AS98" s="591"/>
      <c r="AT98" s="591"/>
      <c r="AU98" s="591"/>
      <c r="AV98" s="591"/>
      <c r="AW98" s="591"/>
      <c r="AY98" s="591"/>
    </row>
    <row r="99" spans="1:51" ht="15" customHeight="1" x14ac:dyDescent="0.2">
      <c r="A99" s="2"/>
      <c r="B99" s="2"/>
      <c r="C99" s="10"/>
      <c r="D99" s="10"/>
      <c r="E99" s="10"/>
      <c r="F99" s="10"/>
      <c r="G99" s="91" t="str">
        <f>IF(AND(SUM(G97:G98)&lt;&gt;0,G152=0),$L$152,IF(G152=0,"",IF(G97=0,IMPOSTAZIONI!$J$383,IF((G97+G98)&lt;&gt;G96,IMPOSTAZIONI!$M$383,IMPOSTAZIONI!$H$383))))</f>
        <v/>
      </c>
      <c r="H99" s="91" t="str">
        <f>IF(AND(SUM(H97:H98)&lt;&gt;0,H152=0),$L$152,IF(H152=0,"",IF(H97=0,IMPOSTAZIONI!$J$383,IF((H97+H98)&lt;&gt;H96,IMPOSTAZIONI!$M$383,IMPOSTAZIONI!$H$383))))</f>
        <v/>
      </c>
      <c r="I99" s="91"/>
      <c r="J99" s="91"/>
      <c r="K99" s="91" t="str">
        <f>IF(AND(SUM(K97:K98)&lt;&gt;0,I152=0),$L$152,IF(I152=0,"",IF(K97=0,IMPOSTAZIONI!$J$383,IF((K97+K98)&lt;&gt;K96,IMPOSTAZIONI!$M$383,IMPOSTAZIONI!$H$383))))</f>
        <v/>
      </c>
      <c r="L99" s="91"/>
      <c r="M99" s="91"/>
      <c r="N99" s="91" t="str">
        <f>IF(AND(SUM(N97:N98)&lt;&gt;0,J152=0),$L$152,IF(J152=0,"",IF(N97=0,IMPOSTAZIONI!$J$383,IF((N97+N98)&lt;&gt;N96,IMPOSTAZIONI!$M$383,IMPOSTAZIONI!$H$383))))</f>
        <v/>
      </c>
      <c r="O99" s="10"/>
      <c r="P99" s="10"/>
      <c r="Q99" s="2"/>
      <c r="R99" s="2"/>
      <c r="S99" s="2"/>
      <c r="T99" s="2"/>
      <c r="U99" s="2"/>
      <c r="V99" s="591"/>
      <c r="W99" s="591"/>
      <c r="X99" s="591"/>
      <c r="Y99" s="591"/>
      <c r="Z99" s="591"/>
      <c r="AA99" s="591"/>
      <c r="AB99" s="591"/>
      <c r="AC99" s="591"/>
      <c r="AG99" s="591"/>
      <c r="AH99" s="591"/>
      <c r="AI99" s="591"/>
      <c r="AJ99" s="591"/>
      <c r="AK99" s="591"/>
      <c r="AM99" s="591"/>
      <c r="AN99" s="591"/>
      <c r="AO99" s="591"/>
      <c r="AP99" s="591"/>
      <c r="AQ99" s="591"/>
      <c r="AS99" s="591"/>
      <c r="AT99" s="591"/>
      <c r="AU99" s="591"/>
      <c r="AV99" s="591"/>
      <c r="AW99" s="591"/>
      <c r="AY99" s="591"/>
    </row>
    <row r="100" spans="1:51" ht="21" customHeight="1" x14ac:dyDescent="0.2">
      <c r="A100" s="2"/>
      <c r="B100" s="2"/>
      <c r="C100" s="2116" t="s">
        <v>354</v>
      </c>
      <c r="D100" s="2116"/>
      <c r="E100" s="2116"/>
      <c r="F100" s="2116"/>
      <c r="G100" s="2"/>
      <c r="H100" s="2"/>
      <c r="I100" s="2"/>
      <c r="J100" s="2"/>
      <c r="K100" s="2"/>
      <c r="L100" s="2"/>
      <c r="M100" s="2"/>
      <c r="N100" s="2"/>
      <c r="O100" s="2"/>
      <c r="P100" s="2"/>
      <c r="Q100" s="2"/>
      <c r="R100" s="2"/>
      <c r="S100" s="2"/>
      <c r="T100" s="128" t="s">
        <v>783</v>
      </c>
      <c r="U100" s="2"/>
      <c r="V100" s="591"/>
      <c r="W100" s="591"/>
      <c r="X100" s="591"/>
      <c r="Y100" s="591"/>
      <c r="Z100" s="591"/>
      <c r="AA100" s="591"/>
      <c r="AB100" s="591"/>
      <c r="AC100" s="591"/>
      <c r="AG100" s="591"/>
      <c r="AH100" s="591"/>
      <c r="AI100" s="591"/>
      <c r="AJ100" s="591"/>
      <c r="AK100" s="591"/>
      <c r="AM100" s="591"/>
      <c r="AN100" s="591"/>
      <c r="AO100" s="591"/>
      <c r="AP100" s="591"/>
      <c r="AQ100" s="591"/>
      <c r="AS100" s="591"/>
      <c r="AT100" s="591"/>
      <c r="AU100" s="591"/>
      <c r="AV100" s="591"/>
      <c r="AW100" s="591"/>
      <c r="AY100" s="591"/>
    </row>
    <row r="101" spans="1:51" ht="16.5" customHeight="1" x14ac:dyDescent="0.2">
      <c r="A101" s="2"/>
      <c r="B101" s="18" t="e">
        <f>VERIFICA!#REF!</f>
        <v>#REF!</v>
      </c>
      <c r="C101" s="2106" t="str">
        <f>IF(AND(RIEPILOGO!B8="",SUM(G101:N101)&gt;0),"ERROR",RIEPILOGO!B8)</f>
        <v>Aliquota 22 %</v>
      </c>
      <c r="D101" s="2106"/>
      <c r="E101" s="2106"/>
      <c r="F101" s="2106"/>
      <c r="G101" s="236"/>
      <c r="H101" s="236"/>
      <c r="I101" s="658"/>
      <c r="J101" s="658"/>
      <c r="K101" s="236"/>
      <c r="L101" s="658"/>
      <c r="M101" s="658"/>
      <c r="N101" s="236"/>
      <c r="O101" s="2218" t="s">
        <v>349</v>
      </c>
      <c r="P101" s="2218"/>
      <c r="Q101" s="12"/>
      <c r="R101" s="93">
        <f>SUM(G101:N101)</f>
        <v>0</v>
      </c>
      <c r="S101" s="93">
        <f>SUMIF($G$42:N$42,K$134,$G101:N101)</f>
        <v>0</v>
      </c>
      <c r="T101" s="1110" t="e">
        <f>S101/R101*100</f>
        <v>#DIV/0!</v>
      </c>
      <c r="U101" s="2"/>
      <c r="V101" s="591"/>
      <c r="W101" s="591"/>
      <c r="X101" s="591"/>
      <c r="Y101" s="591"/>
      <c r="Z101" s="591"/>
      <c r="AA101" s="591"/>
      <c r="AB101" s="591"/>
      <c r="AC101" s="591"/>
      <c r="AG101" s="591"/>
      <c r="AH101" s="591"/>
      <c r="AI101" s="591"/>
      <c r="AJ101" s="591"/>
      <c r="AK101" s="591"/>
      <c r="AM101" s="591"/>
      <c r="AN101" s="591"/>
      <c r="AO101" s="591"/>
      <c r="AP101" s="591"/>
      <c r="AQ101" s="591"/>
      <c r="AS101" s="591"/>
      <c r="AT101" s="591"/>
      <c r="AU101" s="591"/>
      <c r="AV101" s="591"/>
      <c r="AW101" s="591"/>
      <c r="AY101" s="591"/>
    </row>
    <row r="102" spans="1:51" ht="16.5" customHeight="1" x14ac:dyDescent="0.2">
      <c r="A102" s="2"/>
      <c r="B102" s="18" t="e">
        <f>VERIFICA!#REF!</f>
        <v>#REF!</v>
      </c>
      <c r="C102" s="2106" t="str">
        <f>IF(AND(RIEPILOGO!B9="",SUM(G102:N102)&gt;0),"ERROR",RIEPILOGO!B9)</f>
        <v>Aliquota 10 %</v>
      </c>
      <c r="D102" s="2106"/>
      <c r="E102" s="2106"/>
      <c r="F102" s="2106"/>
      <c r="G102" s="237"/>
      <c r="H102" s="237"/>
      <c r="I102" s="658"/>
      <c r="J102" s="658"/>
      <c r="K102" s="237"/>
      <c r="L102" s="658"/>
      <c r="M102" s="658"/>
      <c r="N102" s="237"/>
      <c r="O102" s="2218" t="s">
        <v>349</v>
      </c>
      <c r="P102" s="2218"/>
      <c r="Q102" s="12"/>
      <c r="R102" s="94">
        <f>SUM(G102:N102)</f>
        <v>0</v>
      </c>
      <c r="S102" s="94">
        <f>SUMIF($G$42:N$42,K$134,$G102:N102)</f>
        <v>0</v>
      </c>
      <c r="T102" s="1110" t="e">
        <f>S102/R102*100</f>
        <v>#DIV/0!</v>
      </c>
      <c r="U102" s="2"/>
      <c r="V102" s="591"/>
      <c r="W102" s="591"/>
      <c r="X102" s="591"/>
      <c r="Y102" s="591"/>
      <c r="Z102" s="591"/>
      <c r="AA102" s="591"/>
      <c r="AB102" s="591"/>
      <c r="AC102" s="591"/>
      <c r="AG102" s="591"/>
      <c r="AH102" s="591"/>
      <c r="AI102" s="591"/>
      <c r="AJ102" s="591"/>
      <c r="AK102" s="591"/>
      <c r="AM102" s="591"/>
      <c r="AN102" s="591"/>
      <c r="AO102" s="591"/>
      <c r="AP102" s="591"/>
      <c r="AQ102" s="591"/>
      <c r="AS102" s="591"/>
      <c r="AT102" s="591"/>
      <c r="AU102" s="591"/>
      <c r="AV102" s="591"/>
      <c r="AW102" s="591"/>
      <c r="AY102" s="591"/>
    </row>
    <row r="103" spans="1:51" ht="16.5" customHeight="1" x14ac:dyDescent="0.2">
      <c r="A103" s="2"/>
      <c r="B103" s="18" t="e">
        <f>VERIFICA!#REF!</f>
        <v>#REF!</v>
      </c>
      <c r="C103" s="2106" t="str">
        <f>IF(AND(RIEPILOGO!B10="",SUM(G103:N103)&gt;0),"ERROR",RIEPILOGO!B10)</f>
        <v>Aliquota 4 %</v>
      </c>
      <c r="D103" s="2106"/>
      <c r="E103" s="2106"/>
      <c r="F103" s="2106"/>
      <c r="G103" s="304"/>
      <c r="H103" s="304"/>
      <c r="I103" s="658"/>
      <c r="J103" s="658"/>
      <c r="K103" s="304"/>
      <c r="L103" s="658"/>
      <c r="M103" s="658"/>
      <c r="N103" s="304"/>
      <c r="O103" s="2218" t="s">
        <v>349</v>
      </c>
      <c r="P103" s="2218"/>
      <c r="Q103" s="12"/>
      <c r="R103" s="94">
        <f>SUM(G103:N103)</f>
        <v>0</v>
      </c>
      <c r="S103" s="94">
        <f>SUMIF($G$42:N$42,K$134,$G103:N103)</f>
        <v>0</v>
      </c>
      <c r="T103" s="1110" t="e">
        <f>S103/R103*100</f>
        <v>#DIV/0!</v>
      </c>
      <c r="U103" s="2"/>
      <c r="V103" s="591"/>
      <c r="W103" s="591"/>
      <c r="X103" s="591"/>
      <c r="Y103" s="591"/>
      <c r="Z103" s="591"/>
      <c r="AA103" s="591"/>
      <c r="AB103" s="591"/>
      <c r="AC103" s="591"/>
      <c r="AG103" s="591"/>
      <c r="AH103" s="591"/>
      <c r="AI103" s="591"/>
      <c r="AJ103" s="591"/>
      <c r="AK103" s="591"/>
      <c r="AM103" s="591"/>
      <c r="AN103" s="591"/>
      <c r="AO103" s="591"/>
      <c r="AP103" s="591"/>
      <c r="AQ103" s="591"/>
      <c r="AS103" s="591"/>
      <c r="AT103" s="591"/>
      <c r="AU103" s="591"/>
      <c r="AV103" s="591"/>
      <c r="AW103" s="591"/>
      <c r="AY103" s="591"/>
    </row>
    <row r="104" spans="1:51" ht="16.5" customHeight="1" x14ac:dyDescent="0.2">
      <c r="A104" s="2"/>
      <c r="B104" s="18" t="e">
        <f>VERIFICA!#REF!</f>
        <v>#REF!</v>
      </c>
      <c r="C104" s="2106" t="str">
        <f>IF(AND(RIEPILOGO!B11="",SUM(G104:N104)&gt;0),"ERROR",RIEPILOGO!B11)</f>
        <v/>
      </c>
      <c r="D104" s="2106"/>
      <c r="E104" s="2106"/>
      <c r="F104" s="2106"/>
      <c r="G104" s="304"/>
      <c r="H104" s="660"/>
      <c r="I104" s="659"/>
      <c r="J104" s="659"/>
      <c r="K104" s="660"/>
      <c r="L104" s="659"/>
      <c r="M104" s="659"/>
      <c r="N104" s="660"/>
      <c r="O104" s="2217" t="s">
        <v>349</v>
      </c>
      <c r="P104" s="2217"/>
      <c r="Q104" s="12"/>
      <c r="R104" s="95">
        <f>SUM(G104:N104)</f>
        <v>0</v>
      </c>
      <c r="S104" s="95">
        <f>SUMIF($G$42:N$42,K$134,$G104:N104)</f>
        <v>0</v>
      </c>
      <c r="T104" s="1110" t="e">
        <f>S104/R104*100</f>
        <v>#DIV/0!</v>
      </c>
      <c r="U104" s="2"/>
      <c r="V104" s="591"/>
      <c r="W104" s="591"/>
      <c r="X104" s="591"/>
      <c r="Y104" s="591"/>
      <c r="Z104" s="591"/>
      <c r="AA104" s="591"/>
      <c r="AB104" s="591"/>
      <c r="AC104" s="591"/>
      <c r="AG104" s="591"/>
      <c r="AH104" s="591"/>
      <c r="AI104" s="591"/>
      <c r="AJ104" s="591"/>
      <c r="AK104" s="591"/>
      <c r="AM104" s="591"/>
      <c r="AN104" s="591"/>
      <c r="AO104" s="591"/>
      <c r="AP104" s="591"/>
      <c r="AQ104" s="591"/>
      <c r="AS104" s="591"/>
      <c r="AT104" s="591"/>
      <c r="AU104" s="591"/>
      <c r="AV104" s="591"/>
      <c r="AW104" s="591"/>
      <c r="AY104" s="591"/>
    </row>
    <row r="105" spans="1:51" ht="15" customHeight="1" x14ac:dyDescent="0.2">
      <c r="A105" s="2"/>
      <c r="B105" s="2"/>
      <c r="C105" s="10"/>
      <c r="D105" s="10"/>
      <c r="E105" s="10"/>
      <c r="F105" s="10"/>
      <c r="G105" s="91" t="str">
        <f>IF(AND(SUM(G101:G104)&lt;&gt;0,G152=0),$L$152,IF(G152=0,"",IF(SUM(G101:G104)&lt;&gt;G98,IMPOSTAZIONI!$J$383,IF(SUM(G101:G104)&lt;&gt;G98,IMPOSTAZIONI!$M$383,IMPOSTAZIONI!$H$383))))</f>
        <v/>
      </c>
      <c r="H105" s="91" t="str">
        <f>IF(AND(SUM(H101:H104)&lt;&gt;0,H152=0),$L$152,IF(H152=0,"",IF(SUM(H101:H104)&lt;&gt;H98,IMPOSTAZIONI!$J$383,IF(SUM(H101:H104)&lt;&gt;H98,IMPOSTAZIONI!$M$383,IMPOSTAZIONI!$H$383))))</f>
        <v/>
      </c>
      <c r="I105" s="91"/>
      <c r="J105" s="91"/>
      <c r="K105" s="91" t="str">
        <f>IF(AND(SUM(K101:K104)&lt;&gt;0,I152=0),$L$152,IF(I152=0,"",IF(SUM(K101:K104)&lt;&gt;K98,IMPOSTAZIONI!$J$383,IF(SUM(K101:K104)&lt;&gt;K98,IMPOSTAZIONI!$M$383,IMPOSTAZIONI!$H$383))))</f>
        <v/>
      </c>
      <c r="L105" s="91"/>
      <c r="M105" s="91"/>
      <c r="N105" s="91" t="str">
        <f>IF(AND(SUM(N101:N104)&lt;&gt;0,J152=0),$L$152,IF(J152=0,"",IF(SUM(N101:N104)&lt;&gt;N98,IMPOSTAZIONI!$J$383,IF(SUM(N101:N104)&lt;&gt;N98,IMPOSTAZIONI!$M$383,IMPOSTAZIONI!$H$383))))</f>
        <v/>
      </c>
      <c r="O105" s="10"/>
      <c r="P105" s="10"/>
      <c r="Q105" s="2"/>
      <c r="R105" s="2"/>
      <c r="S105" s="2"/>
      <c r="T105" s="2"/>
      <c r="U105" s="2"/>
      <c r="V105" s="591"/>
      <c r="W105" s="591"/>
      <c r="X105" s="591"/>
      <c r="Y105" s="591"/>
      <c r="Z105" s="591"/>
      <c r="AA105" s="591"/>
      <c r="AB105" s="591"/>
      <c r="AC105" s="591"/>
      <c r="AG105" s="591"/>
      <c r="AH105" s="591"/>
      <c r="AI105" s="591"/>
      <c r="AJ105" s="591"/>
      <c r="AK105" s="591"/>
      <c r="AM105" s="591"/>
      <c r="AN105" s="591"/>
      <c r="AO105" s="591"/>
      <c r="AP105" s="591"/>
      <c r="AQ105" s="591"/>
      <c r="AS105" s="591"/>
      <c r="AT105" s="591"/>
      <c r="AU105" s="591"/>
      <c r="AV105" s="591"/>
      <c r="AW105" s="591"/>
      <c r="AY105" s="591"/>
    </row>
    <row r="106" spans="1:51" ht="21" customHeight="1" x14ac:dyDescent="0.2">
      <c r="A106" s="2"/>
      <c r="B106" s="2"/>
      <c r="C106" s="2"/>
      <c r="D106" s="2"/>
      <c r="E106" s="2"/>
      <c r="F106" s="2"/>
      <c r="G106" s="2"/>
      <c r="H106" s="2"/>
      <c r="I106" s="2"/>
      <c r="J106" s="2"/>
      <c r="K106" s="2"/>
      <c r="L106" s="2"/>
      <c r="M106" s="2"/>
      <c r="N106" s="2"/>
      <c r="O106" s="2"/>
      <c r="P106" s="2"/>
      <c r="Q106" s="2"/>
      <c r="R106" s="2"/>
      <c r="S106" s="2"/>
      <c r="T106" s="2"/>
      <c r="U106" s="2"/>
      <c r="V106" s="591"/>
      <c r="W106" s="591"/>
      <c r="X106" s="591"/>
      <c r="Y106" s="591"/>
      <c r="Z106" s="591"/>
      <c r="AA106" s="591"/>
      <c r="AB106" s="591"/>
      <c r="AC106" s="591"/>
      <c r="AG106" s="591"/>
      <c r="AH106" s="591"/>
      <c r="AI106" s="591"/>
      <c r="AJ106" s="591"/>
      <c r="AK106" s="591"/>
      <c r="AM106" s="591"/>
      <c r="AN106" s="591"/>
      <c r="AO106" s="591"/>
      <c r="AP106" s="591"/>
      <c r="AQ106" s="591"/>
      <c r="AS106" s="591"/>
      <c r="AT106" s="591"/>
      <c r="AU106" s="591"/>
      <c r="AV106" s="591"/>
      <c r="AW106" s="591"/>
      <c r="AY106" s="591"/>
    </row>
    <row r="107" spans="1:51" ht="21" customHeight="1" x14ac:dyDescent="0.2">
      <c r="A107" s="2"/>
      <c r="B107" s="2"/>
      <c r="C107" s="2"/>
      <c r="D107" s="2"/>
      <c r="E107" s="2"/>
      <c r="F107" s="278" t="s">
        <v>324</v>
      </c>
      <c r="G107" s="2"/>
      <c r="H107" s="2"/>
      <c r="I107" s="256"/>
      <c r="J107" s="256"/>
      <c r="K107" s="256"/>
      <c r="L107" s="2"/>
      <c r="M107" s="2"/>
      <c r="N107" s="2"/>
      <c r="O107" s="2"/>
      <c r="P107" s="2"/>
      <c r="Q107" s="2"/>
      <c r="R107" s="2"/>
      <c r="S107" s="2"/>
      <c r="T107" s="2"/>
      <c r="U107" s="2"/>
      <c r="V107" s="591"/>
      <c r="W107" s="591"/>
      <c r="X107" s="591"/>
      <c r="Y107" s="591"/>
      <c r="Z107" s="591"/>
      <c r="AA107" s="591"/>
      <c r="AB107" s="591"/>
      <c r="AC107" s="591"/>
      <c r="AG107" s="591"/>
      <c r="AH107" s="591"/>
      <c r="AI107" s="591"/>
      <c r="AJ107" s="591"/>
      <c r="AK107" s="591"/>
      <c r="AM107" s="591"/>
      <c r="AN107" s="591"/>
      <c r="AO107" s="591"/>
      <c r="AP107" s="591"/>
      <c r="AQ107" s="591"/>
      <c r="AS107" s="591"/>
      <c r="AT107" s="591"/>
      <c r="AU107" s="591"/>
      <c r="AV107" s="591"/>
      <c r="AW107" s="591"/>
      <c r="AY107" s="591"/>
    </row>
    <row r="108" spans="1:51" ht="18.75" customHeight="1" x14ac:dyDescent="0.2">
      <c r="A108" s="2"/>
      <c r="B108" s="2"/>
      <c r="C108" s="2"/>
      <c r="D108" s="2"/>
      <c r="E108" s="2"/>
      <c r="F108" s="763" t="s">
        <v>735</v>
      </c>
      <c r="G108" s="763"/>
      <c r="H108" s="763"/>
      <c r="I108" s="763"/>
      <c r="J108" s="2"/>
      <c r="K108" s="666">
        <f>E7</f>
        <v>0</v>
      </c>
      <c r="L108" s="2245">
        <f>K108-(SUM(G7:H7)+K7+N7)+SUMIF(G42:N42,K134,G7:N7)</f>
        <v>0</v>
      </c>
      <c r="M108" s="2246"/>
      <c r="N108" s="1045" t="s">
        <v>492</v>
      </c>
      <c r="O108" s="2"/>
      <c r="P108" s="2"/>
      <c r="Q108" s="2"/>
      <c r="R108" s="2"/>
      <c r="S108" s="2"/>
      <c r="T108" s="2"/>
      <c r="U108" s="2"/>
      <c r="V108" s="591"/>
      <c r="W108" s="591"/>
      <c r="X108" s="591"/>
      <c r="Y108" s="591"/>
      <c r="Z108" s="591"/>
      <c r="AA108" s="591"/>
      <c r="AB108" s="591"/>
      <c r="AC108" s="591"/>
      <c r="AG108" s="591"/>
      <c r="AH108" s="591"/>
      <c r="AI108" s="591"/>
      <c r="AJ108" s="591"/>
      <c r="AK108" s="591"/>
      <c r="AM108" s="591"/>
      <c r="AN108" s="591"/>
      <c r="AO108" s="591"/>
      <c r="AP108" s="591"/>
      <c r="AQ108" s="591"/>
      <c r="AS108" s="591"/>
      <c r="AT108" s="591"/>
      <c r="AU108" s="591"/>
      <c r="AV108" s="591"/>
      <c r="AW108" s="591"/>
      <c r="AY108" s="591"/>
    </row>
    <row r="109" spans="1:51" ht="18.75" customHeight="1" x14ac:dyDescent="0.2">
      <c r="A109" s="2"/>
      <c r="B109" s="2"/>
      <c r="C109" s="2"/>
      <c r="D109" s="2"/>
      <c r="E109" s="2"/>
      <c r="F109" s="764" t="s">
        <v>736</v>
      </c>
      <c r="G109" s="764"/>
      <c r="H109" s="764"/>
      <c r="I109" s="764"/>
      <c r="J109" s="2"/>
      <c r="K109" s="279">
        <f>E39</f>
        <v>0</v>
      </c>
      <c r="L109" s="2247">
        <f>K109-(SUM(G39:H39)+K39+N39)+SUMIF(G42:N42,K134,G39:N39)</f>
        <v>0</v>
      </c>
      <c r="M109" s="2248"/>
      <c r="N109" s="1046" t="s">
        <v>493</v>
      </c>
      <c r="O109" s="2"/>
      <c r="P109" s="2"/>
      <c r="Q109" s="2"/>
      <c r="R109" s="2"/>
      <c r="S109" s="2"/>
      <c r="T109" s="2"/>
      <c r="U109" s="2"/>
      <c r="V109" s="591"/>
      <c r="W109" s="591"/>
      <c r="X109" s="591"/>
      <c r="Y109" s="591"/>
      <c r="Z109" s="591"/>
      <c r="AA109" s="591"/>
      <c r="AB109" s="591"/>
      <c r="AC109" s="591"/>
      <c r="AG109" s="591"/>
      <c r="AH109" s="591"/>
      <c r="AI109" s="591"/>
      <c r="AJ109" s="591"/>
      <c r="AK109" s="591"/>
      <c r="AM109" s="591"/>
      <c r="AN109" s="591"/>
      <c r="AO109" s="591"/>
      <c r="AP109" s="591"/>
      <c r="AQ109" s="591"/>
      <c r="AS109" s="591"/>
      <c r="AT109" s="591"/>
      <c r="AU109" s="591"/>
      <c r="AV109" s="591"/>
      <c r="AW109" s="591"/>
      <c r="AY109" s="591"/>
    </row>
    <row r="110" spans="1:51" ht="19.5" customHeight="1" x14ac:dyDescent="0.25">
      <c r="A110" s="2"/>
      <c r="B110" s="2"/>
      <c r="C110" s="2"/>
      <c r="D110" s="2"/>
      <c r="E110" s="2"/>
      <c r="F110" s="661" t="s">
        <v>485</v>
      </c>
      <c r="G110" s="661"/>
      <c r="H110" s="661"/>
      <c r="I110" s="661"/>
      <c r="J110" s="2"/>
      <c r="K110" s="661"/>
      <c r="L110" s="668"/>
      <c r="M110" s="662"/>
      <c r="N110" s="2"/>
      <c r="O110" s="2"/>
      <c r="P110" s="2"/>
      <c r="Q110" s="2"/>
      <c r="R110" s="2"/>
      <c r="S110" s="2"/>
      <c r="T110" s="2"/>
      <c r="U110" s="2"/>
      <c r="V110" s="591"/>
      <c r="W110" s="591"/>
      <c r="X110" s="591"/>
      <c r="Y110" s="591"/>
      <c r="Z110" s="591"/>
      <c r="AA110" s="591"/>
      <c r="AB110" s="591"/>
      <c r="AC110" s="591"/>
      <c r="AG110" s="591"/>
      <c r="AH110" s="591"/>
      <c r="AI110" s="591"/>
      <c r="AJ110" s="591"/>
      <c r="AK110" s="591"/>
      <c r="AM110" s="591"/>
      <c r="AN110" s="591"/>
      <c r="AO110" s="591"/>
      <c r="AP110" s="591"/>
      <c r="AQ110" s="591"/>
      <c r="AS110" s="591"/>
      <c r="AT110" s="591"/>
      <c r="AU110" s="591"/>
      <c r="AV110" s="591"/>
      <c r="AW110" s="591"/>
      <c r="AY110" s="591"/>
    </row>
    <row r="111" spans="1:51" ht="19.5" customHeight="1" x14ac:dyDescent="0.2">
      <c r="A111" s="2"/>
      <c r="B111" s="2"/>
      <c r="C111" s="2"/>
      <c r="D111" s="2"/>
      <c r="E111" s="2"/>
      <c r="F111" s="663" t="s">
        <v>480</v>
      </c>
      <c r="G111" s="663"/>
      <c r="H111" s="663"/>
      <c r="I111" s="663"/>
      <c r="J111" s="2"/>
      <c r="K111" s="663"/>
      <c r="L111" s="669"/>
      <c r="M111" s="664"/>
      <c r="N111" s="2"/>
      <c r="O111" s="2"/>
      <c r="P111" s="2"/>
      <c r="Q111" s="2"/>
      <c r="R111" s="2"/>
      <c r="S111" s="2"/>
      <c r="T111" s="2"/>
      <c r="U111" s="2"/>
      <c r="V111" s="591"/>
      <c r="W111" s="591"/>
      <c r="X111" s="591"/>
      <c r="Y111" s="591"/>
      <c r="Z111" s="591"/>
      <c r="AA111" s="591"/>
      <c r="AB111" s="591"/>
      <c r="AC111" s="591"/>
      <c r="AG111" s="591"/>
      <c r="AH111" s="591"/>
      <c r="AI111" s="591"/>
      <c r="AJ111" s="591"/>
      <c r="AK111" s="591"/>
      <c r="AM111" s="591"/>
      <c r="AN111" s="591"/>
      <c r="AO111" s="591"/>
      <c r="AP111" s="591"/>
      <c r="AQ111" s="591"/>
      <c r="AS111" s="591"/>
      <c r="AT111" s="591"/>
      <c r="AU111" s="591"/>
      <c r="AV111" s="591"/>
      <c r="AW111" s="591"/>
      <c r="AY111" s="591"/>
    </row>
    <row r="112" spans="1:51" ht="21" customHeight="1" x14ac:dyDescent="0.2">
      <c r="A112" s="2"/>
      <c r="B112" s="2"/>
      <c r="C112" s="2"/>
      <c r="D112" s="2"/>
      <c r="E112" s="2"/>
      <c r="F112" s="104" t="s">
        <v>97</v>
      </c>
      <c r="G112" s="104"/>
      <c r="H112" s="104"/>
      <c r="I112" s="104"/>
      <c r="J112" s="2"/>
      <c r="K112" s="104"/>
      <c r="L112" s="484"/>
      <c r="M112" s="665"/>
      <c r="N112" s="2"/>
      <c r="O112" s="2"/>
      <c r="P112" s="2"/>
      <c r="Q112" s="2"/>
      <c r="R112" s="2"/>
      <c r="S112" s="2"/>
      <c r="T112" s="2"/>
      <c r="U112" s="2"/>
      <c r="V112" s="591"/>
      <c r="W112" s="591"/>
      <c r="X112" s="591"/>
      <c r="Y112" s="591"/>
      <c r="Z112" s="591"/>
      <c r="AA112" s="591"/>
      <c r="AB112" s="591"/>
      <c r="AC112" s="591"/>
      <c r="AG112" s="591"/>
      <c r="AH112" s="591"/>
      <c r="AI112" s="591"/>
      <c r="AJ112" s="591"/>
      <c r="AK112" s="591"/>
      <c r="AM112" s="591"/>
      <c r="AN112" s="591"/>
      <c r="AO112" s="591"/>
      <c r="AP112" s="591"/>
      <c r="AQ112" s="591"/>
      <c r="AS112" s="591"/>
      <c r="AT112" s="591"/>
      <c r="AU112" s="591"/>
      <c r="AV112" s="591"/>
      <c r="AW112" s="591"/>
      <c r="AY112" s="591"/>
    </row>
    <row r="113" spans="1:51" ht="12" customHeight="1" x14ac:dyDescent="0.2">
      <c r="A113" s="2"/>
      <c r="B113" s="2"/>
      <c r="C113" s="2"/>
      <c r="D113" s="2"/>
      <c r="E113" s="2"/>
      <c r="F113" s="2"/>
      <c r="G113" s="2"/>
      <c r="H113" s="2"/>
      <c r="I113" s="2"/>
      <c r="J113" s="2"/>
      <c r="K113" s="2"/>
      <c r="L113" s="14"/>
      <c r="M113" s="139"/>
      <c r="N113" s="2"/>
      <c r="O113" s="2"/>
      <c r="P113" s="2"/>
      <c r="Q113" s="2"/>
      <c r="R113" s="2"/>
      <c r="S113" s="2"/>
      <c r="T113" s="2"/>
      <c r="U113" s="2"/>
      <c r="V113" s="591"/>
      <c r="W113" s="591"/>
      <c r="X113" s="591"/>
      <c r="Y113" s="591"/>
      <c r="Z113" s="591"/>
      <c r="AA113" s="591"/>
      <c r="AB113" s="591"/>
      <c r="AC113" s="591"/>
      <c r="AG113" s="591"/>
      <c r="AH113" s="591"/>
      <c r="AI113" s="591"/>
      <c r="AJ113" s="591"/>
      <c r="AK113" s="591"/>
      <c r="AM113" s="591"/>
      <c r="AN113" s="591"/>
      <c r="AO113" s="591"/>
      <c r="AP113" s="591"/>
      <c r="AQ113" s="591"/>
      <c r="AS113" s="591"/>
      <c r="AT113" s="591"/>
      <c r="AU113" s="591"/>
      <c r="AV113" s="591"/>
      <c r="AW113" s="591"/>
      <c r="AY113" s="591"/>
    </row>
    <row r="114" spans="1:51" ht="15" hidden="1" customHeight="1" x14ac:dyDescent="0.2">
      <c r="A114" s="2"/>
      <c r="B114" s="2"/>
      <c r="C114" s="2"/>
      <c r="D114" s="2"/>
      <c r="E114" s="2"/>
      <c r="F114" s="2"/>
      <c r="G114" s="103">
        <f>IF(ISERROR(G$135),HLOOKUP(L$138,$J$138:$L$138,1,FALSE),HLOOKUP(G$135,$G$129:$I129,1,FALSE))</f>
        <v>3</v>
      </c>
      <c r="H114" s="103">
        <f>IF(ISERROR(H$135),HLOOKUP(K$138,$J$138:$L$138,1,FALSE),HLOOKUP(H$135,$G$129:$I129,1,FALSE))</f>
        <v>2</v>
      </c>
      <c r="I114" s="2053">
        <f>IF(ISERROR(I$135),HLOOKUP(J$138,$J$138:$L$138,1,FALSE),HLOOKUP(I$135,$G$129:$I129,1,FALSE))</f>
        <v>1</v>
      </c>
      <c r="J114" s="2053"/>
      <c r="K114" s="2"/>
      <c r="L114" s="14"/>
      <c r="M114" s="139"/>
      <c r="N114" s="2"/>
      <c r="O114" s="2"/>
      <c r="P114" s="2"/>
      <c r="Q114" s="2"/>
      <c r="R114" s="2"/>
      <c r="S114" s="2"/>
      <c r="T114" s="2"/>
      <c r="U114" s="2"/>
      <c r="V114" s="591"/>
      <c r="W114" s="591"/>
      <c r="X114" s="591"/>
      <c r="Y114" s="591"/>
      <c r="Z114" s="591"/>
      <c r="AA114" s="591"/>
      <c r="AB114" s="591"/>
      <c r="AC114" s="591"/>
      <c r="AG114" s="591"/>
      <c r="AH114" s="591"/>
      <c r="AI114" s="591"/>
      <c r="AJ114" s="591"/>
      <c r="AK114" s="591"/>
      <c r="AM114" s="591"/>
      <c r="AN114" s="591"/>
      <c r="AO114" s="591"/>
      <c r="AP114" s="591"/>
      <c r="AQ114" s="591"/>
      <c r="AS114" s="591"/>
      <c r="AT114" s="591"/>
      <c r="AU114" s="591"/>
      <c r="AV114" s="591"/>
      <c r="AW114" s="591"/>
      <c r="AY114" s="591"/>
    </row>
    <row r="115" spans="1:51" ht="21" hidden="1" customHeight="1" x14ac:dyDescent="0.2">
      <c r="A115" s="2"/>
      <c r="B115" s="2"/>
      <c r="C115" s="2"/>
      <c r="D115" s="2"/>
      <c r="E115" s="2"/>
      <c r="F115" s="2"/>
      <c r="G115" s="129">
        <f>IF(ISERROR(G$135),0,HLOOKUP(G$135,$G$129:$I130,2,FALSE))</f>
        <v>0</v>
      </c>
      <c r="H115" s="129">
        <f>IF(ISERROR(H$135),0,HLOOKUP(H$135,$G$129:$I130,2,FALSE))</f>
        <v>0</v>
      </c>
      <c r="I115" s="2244">
        <f>IF(ISERROR(I$135),0,HLOOKUP(I$135,$G$129:$I130,2,FALSE))</f>
        <v>0</v>
      </c>
      <c r="J115" s="2244"/>
      <c r="K115" s="2"/>
      <c r="L115" s="14"/>
      <c r="M115" s="139"/>
      <c r="N115" s="2"/>
      <c r="O115" s="2"/>
      <c r="P115" s="2"/>
      <c r="Q115" s="2"/>
      <c r="R115" s="2"/>
      <c r="S115" s="2"/>
      <c r="T115" s="2"/>
      <c r="U115" s="2"/>
      <c r="V115" s="591"/>
      <c r="W115" s="591"/>
      <c r="X115" s="591"/>
      <c r="Y115" s="591"/>
      <c r="Z115" s="591"/>
      <c r="AA115" s="591"/>
      <c r="AB115" s="591"/>
      <c r="AC115" s="591"/>
      <c r="AG115" s="591"/>
      <c r="AH115" s="591"/>
      <c r="AI115" s="591"/>
      <c r="AJ115" s="591"/>
      <c r="AK115" s="591"/>
      <c r="AM115" s="591"/>
      <c r="AN115" s="591"/>
      <c r="AO115" s="591"/>
      <c r="AP115" s="591"/>
      <c r="AQ115" s="591"/>
      <c r="AS115" s="591"/>
      <c r="AT115" s="591"/>
      <c r="AU115" s="591"/>
      <c r="AV115" s="591"/>
      <c r="AW115" s="591"/>
      <c r="AY115" s="591"/>
    </row>
    <row r="116" spans="1:51" ht="18" customHeight="1" x14ac:dyDescent="0.2">
      <c r="A116" s="2"/>
      <c r="B116" s="2"/>
      <c r="C116" s="2"/>
      <c r="D116" s="2"/>
      <c r="E116" s="2"/>
      <c r="F116" s="2"/>
      <c r="G116" s="280">
        <f>IF(ISERROR(G$135),HLOOKUP(L$138,$J$138:$L140,3,FALSE),HLOOKUP(G$135,$G$129:$I131,3,FALSE))</f>
        <v>0</v>
      </c>
      <c r="H116" s="280">
        <f>IF(ISERROR(H$135),HLOOKUP(K$138,$J$138:$L140,3,FALSE),HLOOKUP(H$135,$G$129:$I131,3,FALSE))</f>
        <v>0</v>
      </c>
      <c r="I116" s="2249">
        <f>IF(ISERROR(I$135),HLOOKUP(J$138,$J$138:$L140,3,FALSE),HLOOKUP(I$135,$G$129:$I131,3,FALSE))</f>
        <v>0</v>
      </c>
      <c r="J116" s="2250"/>
      <c r="K116" s="2"/>
      <c r="L116" s="14"/>
      <c r="M116" s="139"/>
      <c r="N116" s="2"/>
      <c r="O116" s="2"/>
      <c r="P116" s="2"/>
      <c r="Q116" s="2"/>
      <c r="R116" s="2"/>
      <c r="S116" s="2"/>
      <c r="T116" s="2"/>
      <c r="U116" s="2"/>
      <c r="V116" s="591"/>
      <c r="W116" s="591"/>
      <c r="X116" s="591"/>
      <c r="Y116" s="591"/>
      <c r="Z116" s="591"/>
      <c r="AA116" s="591"/>
      <c r="AB116" s="591"/>
      <c r="AC116" s="591"/>
      <c r="AG116" s="591"/>
      <c r="AH116" s="591"/>
      <c r="AI116" s="591"/>
      <c r="AJ116" s="591"/>
      <c r="AK116" s="591"/>
      <c r="AM116" s="591"/>
      <c r="AN116" s="591"/>
      <c r="AO116" s="591"/>
      <c r="AP116" s="591"/>
      <c r="AQ116" s="591"/>
      <c r="AS116" s="591"/>
      <c r="AT116" s="591"/>
      <c r="AU116" s="591"/>
      <c r="AV116" s="591"/>
      <c r="AW116" s="591"/>
      <c r="AY116" s="591"/>
    </row>
    <row r="117" spans="1:51" ht="18" customHeight="1" x14ac:dyDescent="0.2">
      <c r="A117" s="2"/>
      <c r="B117" s="2"/>
      <c r="C117" s="2"/>
      <c r="D117" s="2"/>
      <c r="E117" s="2"/>
      <c r="F117" s="2"/>
      <c r="G117" s="281">
        <f>IF(ISERROR(G$135),HLOOKUP(L$138,$J$138:$L141,4,FALSE),HLOOKUP(G$135,$G$129:$I132,4,FALSE))</f>
        <v>0</v>
      </c>
      <c r="H117" s="281">
        <f>IF(ISERROR(H$135),HLOOKUP(K$138,$J$138:$L141,4,FALSE),HLOOKUP(H$135,$G$129:$I132,4,FALSE))</f>
        <v>0</v>
      </c>
      <c r="I117" s="2251">
        <f>IF(ISERROR(I$135),HLOOKUP(J$138,$J$138:$L141,4,FALSE),HLOOKUP(I$135,$G$129:$I132,4,FALSE))</f>
        <v>0</v>
      </c>
      <c r="J117" s="2252"/>
      <c r="K117" s="2"/>
      <c r="L117" s="14"/>
      <c r="M117" s="139"/>
      <c r="N117" s="2"/>
      <c r="O117" s="2"/>
      <c r="P117" s="2"/>
      <c r="Q117" s="2"/>
      <c r="R117" s="2"/>
      <c r="S117" s="2"/>
      <c r="T117" s="2"/>
      <c r="U117" s="2"/>
      <c r="V117" s="591"/>
      <c r="W117" s="591"/>
      <c r="X117" s="591"/>
      <c r="Y117" s="591"/>
      <c r="Z117" s="591"/>
      <c r="AA117" s="591"/>
      <c r="AB117" s="591"/>
      <c r="AC117" s="591"/>
      <c r="AG117" s="591"/>
      <c r="AH117" s="591"/>
      <c r="AI117" s="591"/>
      <c r="AJ117" s="591"/>
      <c r="AK117" s="591"/>
      <c r="AM117" s="591"/>
      <c r="AN117" s="591"/>
      <c r="AO117" s="591"/>
      <c r="AP117" s="591"/>
      <c r="AQ117" s="591"/>
      <c r="AS117" s="591"/>
      <c r="AT117" s="591"/>
      <c r="AU117" s="591"/>
      <c r="AV117" s="591"/>
      <c r="AW117" s="591"/>
      <c r="AY117" s="591"/>
    </row>
    <row r="118" spans="1:51" ht="18" customHeight="1" x14ac:dyDescent="0.2">
      <c r="A118" s="2"/>
      <c r="B118" s="2"/>
      <c r="C118" s="2"/>
      <c r="D118" s="2"/>
      <c r="E118" s="2"/>
      <c r="F118" s="2"/>
      <c r="G118" s="282">
        <f>IF(ISERROR(G$135),HLOOKUP(L$138,$J$138:$L142,5,FALSE),HLOOKUP(G$135,$G$129:$I133,5,FALSE))</f>
        <v>0</v>
      </c>
      <c r="H118" s="282">
        <f>IF(ISERROR(H$135),HLOOKUP(K$138,$J$138:$L142,5,FALSE),HLOOKUP(H$135,$G$129:$I133,5,FALSE))</f>
        <v>0</v>
      </c>
      <c r="I118" s="2257">
        <f>IF(ISERROR(I$135),HLOOKUP(J$138,$J$138:$L142,5,FALSE),HLOOKUP(I$135,$G$129:$I133,5,FALSE))</f>
        <v>0</v>
      </c>
      <c r="J118" s="2258"/>
      <c r="K118" s="2"/>
      <c r="L118" s="14"/>
      <c r="M118" s="139"/>
      <c r="N118" s="2"/>
      <c r="O118" s="2"/>
      <c r="P118" s="2"/>
      <c r="Q118" s="2"/>
      <c r="R118" s="2"/>
      <c r="S118" s="2"/>
      <c r="T118" s="2"/>
      <c r="U118" s="2"/>
      <c r="V118" s="591"/>
      <c r="W118" s="591"/>
      <c r="X118" s="591"/>
      <c r="Y118" s="591"/>
      <c r="Z118" s="591"/>
      <c r="AA118" s="591"/>
      <c r="AB118" s="591"/>
      <c r="AC118" s="591"/>
      <c r="AG118" s="591"/>
      <c r="AH118" s="591"/>
      <c r="AI118" s="591"/>
      <c r="AJ118" s="591"/>
      <c r="AK118" s="591"/>
      <c r="AM118" s="591"/>
      <c r="AN118" s="591"/>
      <c r="AO118" s="591"/>
      <c r="AP118" s="591"/>
      <c r="AQ118" s="591"/>
      <c r="AS118" s="591"/>
      <c r="AT118" s="591"/>
      <c r="AU118" s="591"/>
      <c r="AV118" s="591"/>
      <c r="AW118" s="591"/>
      <c r="AY118" s="591"/>
    </row>
    <row r="119" spans="1:51" ht="21" hidden="1" customHeight="1" x14ac:dyDescent="0.2">
      <c r="A119" s="2"/>
      <c r="B119" s="2"/>
      <c r="C119" s="2"/>
      <c r="D119" s="2"/>
      <c r="E119" s="2"/>
      <c r="F119" s="2"/>
      <c r="G119" s="117" t="e">
        <f>IF(ISERROR(G$135),HLOOKUP(L$138,$J$138:$L139,2,FALSE),HLOOKUP(G$135,$G$129:$I136,8,FALSE))</f>
        <v>#N/A</v>
      </c>
      <c r="H119" s="117" t="e">
        <f>IF(ISERROR(H$135),HLOOKUP(K$138,$J$138:$L139,2,FALSE),HLOOKUP(H$135,$G$129:$I136,8,FALSE))</f>
        <v>#N/A</v>
      </c>
      <c r="I119" s="2259" t="e">
        <f>IF(ISERROR(I$135),HLOOKUP(J$138,$J$138:$L139,2,FALSE),HLOOKUP(I$135,$G$129:$I136,8,FALSE))</f>
        <v>#N/A</v>
      </c>
      <c r="J119" s="2259"/>
      <c r="K119" s="2"/>
      <c r="L119" s="14"/>
      <c r="M119" s="139"/>
      <c r="N119" s="2"/>
      <c r="O119" s="2"/>
      <c r="P119" s="2"/>
      <c r="Q119" s="2"/>
      <c r="R119" s="2"/>
      <c r="S119" s="2"/>
      <c r="T119" s="2"/>
      <c r="U119" s="2"/>
      <c r="V119" s="591"/>
      <c r="W119" s="591"/>
      <c r="X119" s="591"/>
      <c r="Y119" s="591"/>
      <c r="Z119" s="591"/>
      <c r="AA119" s="591"/>
      <c r="AB119" s="591"/>
      <c r="AC119" s="591"/>
      <c r="AG119" s="591"/>
      <c r="AH119" s="591"/>
      <c r="AI119" s="591"/>
      <c r="AJ119" s="591"/>
      <c r="AK119" s="591"/>
      <c r="AM119" s="591"/>
      <c r="AN119" s="591"/>
      <c r="AO119" s="591"/>
      <c r="AP119" s="591"/>
      <c r="AQ119" s="591"/>
      <c r="AS119" s="591"/>
      <c r="AT119" s="591"/>
      <c r="AU119" s="591"/>
      <c r="AV119" s="591"/>
      <c r="AW119" s="591"/>
      <c r="AY119" s="591"/>
    </row>
    <row r="120" spans="1:51" ht="4.5" customHeight="1" x14ac:dyDescent="0.2">
      <c r="A120" s="2"/>
      <c r="B120" s="2"/>
      <c r="C120" s="2"/>
      <c r="D120" s="2"/>
      <c r="E120" s="2"/>
      <c r="F120" s="2"/>
      <c r="G120" s="14"/>
      <c r="H120" s="14"/>
      <c r="I120" s="2202"/>
      <c r="J120" s="2202"/>
      <c r="K120" s="2"/>
      <c r="L120" s="14"/>
      <c r="M120" s="139"/>
      <c r="N120" s="2"/>
      <c r="O120" s="2"/>
      <c r="P120" s="2"/>
      <c r="Q120" s="2"/>
      <c r="R120" s="2"/>
      <c r="S120" s="2"/>
      <c r="T120" s="2"/>
      <c r="U120" s="2"/>
      <c r="V120" s="591"/>
      <c r="W120" s="591"/>
      <c r="X120" s="591"/>
      <c r="Y120" s="591"/>
      <c r="Z120" s="591"/>
      <c r="AA120" s="591"/>
      <c r="AB120" s="591"/>
      <c r="AC120" s="591"/>
      <c r="AG120" s="591"/>
      <c r="AH120" s="591"/>
      <c r="AI120" s="591"/>
      <c r="AJ120" s="591"/>
      <c r="AK120" s="591"/>
      <c r="AM120" s="591"/>
      <c r="AN120" s="591"/>
      <c r="AO120" s="591"/>
      <c r="AP120" s="591"/>
      <c r="AQ120" s="591"/>
      <c r="AS120" s="591"/>
      <c r="AT120" s="591"/>
      <c r="AU120" s="591"/>
      <c r="AV120" s="591"/>
      <c r="AW120" s="591"/>
      <c r="AY120" s="591"/>
    </row>
    <row r="121" spans="1:51" ht="18" customHeight="1" x14ac:dyDescent="0.25">
      <c r="A121" s="2"/>
      <c r="B121" s="2"/>
      <c r="C121" s="2"/>
      <c r="D121" s="2"/>
      <c r="E121" s="2"/>
      <c r="F121" s="283" t="s">
        <v>483</v>
      </c>
      <c r="G121" s="285">
        <f>IMPOSTAZIONI!AL285</f>
        <v>0</v>
      </c>
      <c r="H121" s="285">
        <f>IMPOSTAZIONI!AL286</f>
        <v>0</v>
      </c>
      <c r="I121" s="2253">
        <f>IMPOSTAZIONI!AL287</f>
        <v>0</v>
      </c>
      <c r="J121" s="2254"/>
      <c r="K121" s="667">
        <f>SUM(G121:I121)</f>
        <v>0</v>
      </c>
      <c r="L121" s="14"/>
      <c r="M121" s="139"/>
      <c r="N121" s="2"/>
      <c r="O121" s="2"/>
      <c r="P121" s="2"/>
      <c r="Q121" s="2"/>
      <c r="R121" s="2"/>
      <c r="S121" s="2"/>
      <c r="T121" s="2"/>
      <c r="U121" s="2"/>
      <c r="V121" s="591"/>
      <c r="W121" s="591"/>
      <c r="X121" s="591"/>
      <c r="Y121" s="591"/>
      <c r="Z121" s="591"/>
      <c r="AA121" s="591"/>
      <c r="AB121" s="591"/>
      <c r="AC121" s="591"/>
      <c r="AG121" s="591"/>
      <c r="AH121" s="591"/>
      <c r="AI121" s="591"/>
      <c r="AJ121" s="591"/>
      <c r="AK121" s="591"/>
      <c r="AM121" s="591"/>
      <c r="AN121" s="591"/>
      <c r="AO121" s="591"/>
      <c r="AP121" s="591"/>
      <c r="AQ121" s="591"/>
      <c r="AS121" s="591"/>
      <c r="AT121" s="591"/>
      <c r="AU121" s="591"/>
      <c r="AV121" s="591"/>
      <c r="AW121" s="591"/>
      <c r="AY121" s="591"/>
    </row>
    <row r="122" spans="1:51" ht="18" customHeight="1" x14ac:dyDescent="0.2">
      <c r="A122" s="2"/>
      <c r="B122" s="2"/>
      <c r="C122" s="2"/>
      <c r="D122" s="2"/>
      <c r="E122" s="2"/>
      <c r="F122" s="284" t="s">
        <v>484</v>
      </c>
      <c r="G122" s="286">
        <f>IMPOSTAZIONI!AQ285</f>
        <v>0</v>
      </c>
      <c r="H122" s="286">
        <f>IMPOSTAZIONI!AQ286</f>
        <v>0</v>
      </c>
      <c r="I122" s="2255">
        <f>IMPOSTAZIONI!AQ287</f>
        <v>0</v>
      </c>
      <c r="J122" s="2256"/>
      <c r="K122" s="310">
        <f>SUM(G122:I122)</f>
        <v>0</v>
      </c>
      <c r="L122" s="287"/>
      <c r="M122" s="311"/>
      <c r="N122" s="2"/>
      <c r="O122" s="2"/>
      <c r="P122" s="2"/>
      <c r="Q122" s="2"/>
      <c r="R122" s="2"/>
      <c r="S122" s="2"/>
      <c r="T122" s="2"/>
      <c r="U122" s="2"/>
      <c r="V122" s="591"/>
      <c r="W122" s="591"/>
      <c r="X122" s="591"/>
      <c r="Y122" s="591"/>
      <c r="Z122" s="591"/>
      <c r="AA122" s="591"/>
      <c r="AB122" s="591"/>
      <c r="AC122" s="591"/>
      <c r="AG122" s="591"/>
      <c r="AH122" s="591"/>
      <c r="AI122" s="591"/>
      <c r="AJ122" s="591"/>
      <c r="AK122" s="591"/>
      <c r="AM122" s="591"/>
      <c r="AN122" s="591"/>
      <c r="AO122" s="591"/>
      <c r="AP122" s="591"/>
      <c r="AQ122" s="591"/>
      <c r="AS122" s="591"/>
      <c r="AT122" s="591"/>
      <c r="AU122" s="591"/>
      <c r="AV122" s="591"/>
      <c r="AW122" s="591"/>
      <c r="AY122" s="591"/>
    </row>
    <row r="123" spans="1:51" ht="21" customHeight="1" x14ac:dyDescent="0.2">
      <c r="A123" s="2"/>
      <c r="B123" s="2"/>
      <c r="C123" s="2"/>
      <c r="D123" s="2"/>
      <c r="E123" s="2"/>
      <c r="F123" s="2"/>
      <c r="G123" s="2"/>
      <c r="H123" s="2"/>
      <c r="I123" s="2"/>
      <c r="J123" s="2"/>
      <c r="K123" s="2"/>
      <c r="L123" s="2"/>
      <c r="M123" s="2"/>
      <c r="N123" s="2"/>
      <c r="O123" s="2"/>
      <c r="P123" s="2"/>
      <c r="Q123" s="2"/>
      <c r="R123" s="2"/>
      <c r="S123" s="2"/>
      <c r="T123" s="2"/>
      <c r="U123" s="2"/>
      <c r="V123" s="591"/>
      <c r="W123" s="591"/>
      <c r="X123" s="591"/>
      <c r="Y123" s="591"/>
      <c r="Z123" s="591"/>
      <c r="AA123" s="591"/>
      <c r="AB123" s="591"/>
      <c r="AC123" s="591"/>
      <c r="AG123" s="591"/>
      <c r="AH123" s="591"/>
      <c r="AI123" s="591"/>
      <c r="AJ123" s="591"/>
      <c r="AK123" s="591"/>
      <c r="AM123" s="591"/>
      <c r="AN123" s="591"/>
      <c r="AO123" s="591"/>
      <c r="AP123" s="591"/>
      <c r="AQ123" s="591"/>
      <c r="AS123" s="591"/>
      <c r="AT123" s="591"/>
      <c r="AU123" s="591"/>
      <c r="AV123" s="591"/>
      <c r="AW123" s="591"/>
      <c r="AY123" s="591"/>
    </row>
    <row r="124" spans="1:51" ht="21" customHeight="1" x14ac:dyDescent="0.2">
      <c r="A124" s="2"/>
      <c r="B124" s="2"/>
      <c r="C124" s="287"/>
      <c r="D124" s="287"/>
      <c r="E124" s="287"/>
      <c r="F124" s="287"/>
      <c r="G124" s="287"/>
      <c r="H124" s="287"/>
      <c r="I124" s="287"/>
      <c r="J124" s="287"/>
      <c r="K124" s="287"/>
      <c r="L124" s="287"/>
      <c r="M124" s="287"/>
      <c r="N124" s="287"/>
      <c r="O124" s="287"/>
      <c r="P124" s="2"/>
      <c r="Q124" s="2"/>
      <c r="R124" s="2"/>
      <c r="S124" s="2"/>
      <c r="T124" s="2"/>
      <c r="U124" s="2"/>
      <c r="V124" s="591"/>
      <c r="W124" s="591"/>
      <c r="X124" s="591"/>
      <c r="Y124" s="591"/>
      <c r="Z124" s="591"/>
      <c r="AA124" s="591"/>
      <c r="AB124" s="591"/>
      <c r="AC124" s="591"/>
      <c r="AG124" s="591"/>
      <c r="AH124" s="591"/>
      <c r="AI124" s="591"/>
      <c r="AJ124" s="591"/>
      <c r="AK124" s="591"/>
      <c r="AM124" s="591"/>
      <c r="AN124" s="591"/>
      <c r="AO124" s="591"/>
      <c r="AP124" s="591"/>
      <c r="AQ124" s="591"/>
      <c r="AS124" s="591"/>
      <c r="AT124" s="591"/>
      <c r="AU124" s="591"/>
      <c r="AV124" s="591"/>
      <c r="AW124" s="591"/>
      <c r="AY124" s="591"/>
    </row>
    <row r="125" spans="1:51" ht="13.5" hidden="1" customHeight="1" x14ac:dyDescent="0.2">
      <c r="A125" s="2"/>
      <c r="B125" s="2"/>
      <c r="C125" s="2"/>
      <c r="D125" s="2"/>
      <c r="E125" s="2"/>
      <c r="F125" s="2"/>
      <c r="G125" s="2"/>
      <c r="H125" s="2"/>
      <c r="I125" s="2"/>
      <c r="J125" s="2"/>
      <c r="K125" s="2"/>
      <c r="L125" s="2"/>
      <c r="M125" s="2"/>
      <c r="N125" s="2"/>
      <c r="O125" s="2"/>
      <c r="P125" s="2"/>
      <c r="Q125" s="2"/>
      <c r="R125" s="2"/>
      <c r="S125" s="2"/>
      <c r="T125" s="2"/>
      <c r="U125" s="2"/>
      <c r="V125" s="591"/>
      <c r="W125" s="591"/>
      <c r="X125" s="591"/>
      <c r="Y125" s="591"/>
      <c r="Z125" s="591"/>
      <c r="AA125" s="591"/>
      <c r="AB125" s="591"/>
      <c r="AC125" s="591"/>
      <c r="AG125" s="591"/>
      <c r="AH125" s="591"/>
      <c r="AI125" s="591"/>
      <c r="AJ125" s="591"/>
      <c r="AK125" s="591"/>
      <c r="AM125" s="591"/>
      <c r="AN125" s="591"/>
      <c r="AO125" s="591"/>
      <c r="AP125" s="591"/>
      <c r="AQ125" s="591"/>
      <c r="AS125" s="591"/>
      <c r="AT125" s="591"/>
      <c r="AU125" s="591"/>
      <c r="AV125" s="591"/>
      <c r="AW125" s="591"/>
      <c r="AY125" s="591"/>
    </row>
    <row r="126" spans="1:51" ht="18.75" customHeight="1" x14ac:dyDescent="0.2">
      <c r="A126" s="2"/>
      <c r="B126" s="2"/>
      <c r="C126" s="2083" t="str">
        <f ca="1">Presentazione!D70</f>
        <v>Questo file risulta al momento completamente funzionante ed il sistema rileva tutti i suoi fogli.</v>
      </c>
      <c r="D126" s="2083"/>
      <c r="E126" s="2083"/>
      <c r="F126" s="2083"/>
      <c r="G126" s="2083"/>
      <c r="H126" s="2083"/>
      <c r="I126" s="2083"/>
      <c r="J126" s="2083"/>
      <c r="K126" s="2083"/>
      <c r="L126" s="2083"/>
      <c r="M126" s="2083"/>
      <c r="N126" s="553"/>
      <c r="O126" s="553"/>
      <c r="P126" s="553"/>
      <c r="Q126" s="2"/>
      <c r="R126" s="2"/>
      <c r="S126" s="2"/>
      <c r="T126" s="2"/>
      <c r="U126" s="2"/>
      <c r="V126" s="591"/>
      <c r="W126" s="591"/>
      <c r="X126" s="591"/>
      <c r="Y126" s="591"/>
      <c r="Z126" s="591"/>
      <c r="AA126" s="591"/>
      <c r="AB126" s="591"/>
      <c r="AC126" s="591"/>
      <c r="AG126" s="591"/>
      <c r="AH126" s="591"/>
      <c r="AI126" s="591"/>
      <c r="AJ126" s="591"/>
      <c r="AK126" s="591"/>
      <c r="AM126" s="591"/>
      <c r="AN126" s="591"/>
      <c r="AO126" s="591"/>
      <c r="AP126" s="591"/>
      <c r="AQ126" s="591"/>
      <c r="AS126" s="591"/>
      <c r="AT126" s="591"/>
      <c r="AU126" s="591"/>
      <c r="AV126" s="591"/>
      <c r="AW126" s="591"/>
      <c r="AY126" s="591"/>
    </row>
    <row r="127" spans="1:51" ht="33" customHeight="1" x14ac:dyDescent="0.25">
      <c r="A127" s="2"/>
      <c r="B127" s="2"/>
      <c r="C127" s="930" t="s">
        <v>716</v>
      </c>
      <c r="D127" s="930"/>
      <c r="E127" s="930"/>
      <c r="F127" s="930"/>
      <c r="G127" s="930"/>
      <c r="H127" s="2"/>
      <c r="I127" s="2"/>
      <c r="J127" s="2"/>
      <c r="K127" s="2"/>
      <c r="L127" s="2"/>
      <c r="M127" s="908" t="s">
        <v>581</v>
      </c>
      <c r="N127" s="2"/>
      <c r="O127" s="2"/>
      <c r="P127" s="2"/>
      <c r="Q127" s="2"/>
      <c r="R127" s="2"/>
      <c r="S127" s="2"/>
      <c r="T127" s="2"/>
      <c r="U127" s="2"/>
      <c r="V127" s="591"/>
      <c r="W127" s="591"/>
      <c r="X127" s="591"/>
      <c r="Y127" s="591"/>
      <c r="Z127" s="591"/>
      <c r="AA127" s="591"/>
      <c r="AB127" s="591"/>
      <c r="AC127" s="591"/>
      <c r="AG127" s="591"/>
      <c r="AH127" s="591"/>
      <c r="AI127" s="591"/>
      <c r="AJ127" s="591"/>
      <c r="AK127" s="591"/>
      <c r="AM127" s="591"/>
      <c r="AN127" s="591"/>
      <c r="AO127" s="591"/>
      <c r="AP127" s="591"/>
      <c r="AQ127" s="591"/>
      <c r="AS127" s="591"/>
      <c r="AT127" s="591"/>
      <c r="AU127" s="591"/>
      <c r="AV127" s="591"/>
      <c r="AW127" s="591"/>
      <c r="AY127" s="591"/>
    </row>
    <row r="128" spans="1:51" ht="21" hidden="1" customHeight="1" x14ac:dyDescent="0.2">
      <c r="A128" s="2"/>
      <c r="B128" s="2"/>
      <c r="C128" s="2"/>
      <c r="D128" s="2"/>
      <c r="E128" s="2"/>
      <c r="F128" s="2"/>
      <c r="G128" s="2"/>
      <c r="H128" s="2"/>
      <c r="I128" s="2"/>
      <c r="J128" s="2"/>
      <c r="K128" s="2"/>
      <c r="L128" s="2"/>
      <c r="M128" s="2"/>
      <c r="N128" s="2"/>
      <c r="O128" s="2"/>
      <c r="P128" s="2"/>
      <c r="Q128" s="2"/>
      <c r="R128" s="2"/>
      <c r="S128" s="2"/>
      <c r="T128" s="2"/>
      <c r="U128" s="2"/>
      <c r="V128" s="591"/>
      <c r="W128" s="591"/>
      <c r="X128" s="591"/>
      <c r="Y128" s="591"/>
      <c r="Z128" s="591"/>
      <c r="AA128" s="591"/>
      <c r="AB128" s="591"/>
      <c r="AC128" s="591"/>
      <c r="AG128" s="591"/>
      <c r="AH128" s="591"/>
      <c r="AI128" s="591"/>
      <c r="AJ128" s="591"/>
      <c r="AK128" s="591"/>
      <c r="AM128" s="591"/>
      <c r="AN128" s="591"/>
      <c r="AO128" s="591"/>
      <c r="AP128" s="591"/>
      <c r="AQ128" s="591"/>
      <c r="AS128" s="591"/>
      <c r="AT128" s="591"/>
      <c r="AU128" s="591"/>
      <c r="AV128" s="591"/>
      <c r="AW128" s="591"/>
      <c r="AY128" s="591"/>
    </row>
    <row r="129" spans="1:51" ht="15.75" hidden="1" customHeight="1" x14ac:dyDescent="0.2">
      <c r="A129" s="2"/>
      <c r="B129" s="2"/>
      <c r="C129" s="2"/>
      <c r="D129" s="2"/>
      <c r="E129" s="2"/>
      <c r="F129" s="2"/>
      <c r="G129" s="257">
        <v>1</v>
      </c>
      <c r="H129" s="257">
        <v>2</v>
      </c>
      <c r="I129" s="257">
        <v>3</v>
      </c>
      <c r="J129" s="2"/>
      <c r="K129" s="2"/>
      <c r="L129" s="2"/>
      <c r="M129" s="2"/>
      <c r="N129" s="2"/>
      <c r="O129" s="2"/>
      <c r="P129" s="2"/>
      <c r="Q129" s="2"/>
      <c r="R129" s="2"/>
      <c r="S129" s="2"/>
      <c r="T129" s="2"/>
      <c r="U129" s="2"/>
      <c r="V129" s="591"/>
      <c r="W129" s="591"/>
      <c r="X129" s="591"/>
      <c r="Y129" s="591"/>
      <c r="Z129" s="591"/>
      <c r="AA129" s="591"/>
      <c r="AB129" s="591"/>
      <c r="AC129" s="591"/>
      <c r="AG129" s="591"/>
      <c r="AH129" s="591"/>
      <c r="AI129" s="591"/>
      <c r="AJ129" s="591"/>
      <c r="AK129" s="591"/>
      <c r="AM129" s="591"/>
      <c r="AN129" s="591"/>
      <c r="AO129" s="591"/>
      <c r="AP129" s="591"/>
      <c r="AQ129" s="591"/>
      <c r="AS129" s="591"/>
      <c r="AT129" s="591"/>
      <c r="AU129" s="591"/>
      <c r="AV129" s="591"/>
      <c r="AW129" s="591"/>
      <c r="AY129" s="591"/>
    </row>
    <row r="130" spans="1:51" ht="15.75" hidden="1" customHeight="1" x14ac:dyDescent="0.2">
      <c r="A130" s="2"/>
      <c r="B130" s="2"/>
      <c r="C130" s="2"/>
      <c r="D130" s="2"/>
      <c r="E130" s="2"/>
      <c r="F130" s="2"/>
      <c r="G130" s="263">
        <f>IF(E$131=1,IMPOSTAZIONI!J94,0)</f>
        <v>0</v>
      </c>
      <c r="H130" s="263">
        <f>IF(E$132=1,IMPOSTAZIONI!J102,0)</f>
        <v>0</v>
      </c>
      <c r="I130" s="263">
        <f>IF(E$133=1,IMPOSTAZIONI!J110,0)</f>
        <v>0</v>
      </c>
      <c r="J130" s="2"/>
      <c r="K130" s="263" t="str">
        <f>IMPOSTAZIONI!C154</f>
        <v>Note</v>
      </c>
      <c r="L130" s="2"/>
      <c r="M130" s="2"/>
      <c r="N130" s="2"/>
      <c r="O130" s="2"/>
      <c r="P130" s="2"/>
      <c r="Q130" s="2"/>
      <c r="R130" s="2"/>
      <c r="S130" s="2"/>
      <c r="T130" s="2"/>
      <c r="U130" s="2"/>
      <c r="V130" s="591"/>
      <c r="W130" s="591"/>
      <c r="X130" s="591"/>
      <c r="Y130" s="591"/>
      <c r="Z130" s="591"/>
      <c r="AA130" s="591"/>
      <c r="AB130" s="591"/>
      <c r="AC130" s="591"/>
      <c r="AG130" s="591"/>
      <c r="AH130" s="591"/>
      <c r="AI130" s="591"/>
      <c r="AJ130" s="591"/>
      <c r="AK130" s="591"/>
      <c r="AM130" s="591"/>
      <c r="AN130" s="591"/>
      <c r="AO130" s="591"/>
      <c r="AP130" s="591"/>
      <c r="AQ130" s="591"/>
      <c r="AS130" s="591"/>
      <c r="AT130" s="591"/>
      <c r="AU130" s="591"/>
      <c r="AV130" s="591"/>
      <c r="AW130" s="591"/>
      <c r="AY130" s="591"/>
    </row>
    <row r="131" spans="1:51" ht="15.75" hidden="1" customHeight="1" x14ac:dyDescent="0.2">
      <c r="A131" s="2"/>
      <c r="B131" s="2"/>
      <c r="C131" s="2"/>
      <c r="D131" s="2"/>
      <c r="E131" s="263">
        <f>IF(IMPOSTAZIONI!S184=0,1,0)</f>
        <v>0</v>
      </c>
      <c r="F131" s="2"/>
      <c r="G131" s="267">
        <f>IF(E$131=1,IMPOSTAZIONI!J96,0)</f>
        <v>0</v>
      </c>
      <c r="H131" s="268">
        <f>IF(E$132=1,IMPOSTAZIONI!J104,0)</f>
        <v>0</v>
      </c>
      <c r="I131" s="269">
        <f>IF(E$133=1,IMPOSTAZIONI!J112,0)</f>
        <v>0</v>
      </c>
      <c r="J131" s="2"/>
      <c r="K131" s="2"/>
      <c r="L131" s="925" t="str">
        <f>Presentazione!$K$150</f>
        <v>attiva trim.</v>
      </c>
      <c r="M131" s="2"/>
      <c r="N131" s="2"/>
      <c r="O131" s="2"/>
      <c r="P131" s="2"/>
      <c r="Q131" s="2"/>
      <c r="R131" s="2"/>
      <c r="S131" s="2"/>
      <c r="T131" s="2"/>
      <c r="U131" s="2"/>
      <c r="V131" s="591"/>
      <c r="W131" s="591"/>
      <c r="X131" s="591"/>
      <c r="Y131" s="591"/>
      <c r="Z131" s="591"/>
      <c r="AA131" s="591"/>
      <c r="AB131" s="591"/>
      <c r="AC131" s="591"/>
      <c r="AG131" s="591"/>
      <c r="AH131" s="591"/>
      <c r="AI131" s="591"/>
      <c r="AJ131" s="591"/>
      <c r="AK131" s="591"/>
      <c r="AM131" s="591"/>
      <c r="AN131" s="591"/>
      <c r="AO131" s="591"/>
      <c r="AP131" s="591"/>
      <c r="AQ131" s="591"/>
      <c r="AS131" s="591"/>
      <c r="AT131" s="591"/>
      <c r="AU131" s="591"/>
      <c r="AV131" s="591"/>
      <c r="AW131" s="591"/>
      <c r="AY131" s="591"/>
    </row>
    <row r="132" spans="1:51" ht="15.75" hidden="1" customHeight="1" x14ac:dyDescent="0.2">
      <c r="A132" s="2"/>
      <c r="B132" s="2"/>
      <c r="C132" s="2"/>
      <c r="D132" s="2"/>
      <c r="E132" s="263">
        <f>IF(IMPOSTAZIONI!S185=0,1,0)</f>
        <v>0</v>
      </c>
      <c r="F132" s="2"/>
      <c r="G132" s="264">
        <f>IF(E$131=1,IMPOSTAZIONI!J97,0)</f>
        <v>0</v>
      </c>
      <c r="H132" s="266">
        <f>IF(E$132=1,IMPOSTAZIONI!J105,0)</f>
        <v>0</v>
      </c>
      <c r="I132" s="265">
        <f>IF(E$133=1,IMPOSTAZIONI!J113,0)</f>
        <v>0</v>
      </c>
      <c r="J132" s="2"/>
      <c r="K132" s="263" t="s">
        <v>356</v>
      </c>
      <c r="L132" s="2"/>
      <c r="M132" s="2"/>
      <c r="N132" s="2"/>
      <c r="O132" s="2"/>
      <c r="P132" s="2"/>
      <c r="Q132" s="2"/>
      <c r="R132" s="2"/>
      <c r="S132" s="2"/>
      <c r="T132" s="2"/>
      <c r="U132" s="2"/>
      <c r="V132" s="591"/>
      <c r="W132" s="591"/>
      <c r="X132" s="591"/>
      <c r="Y132" s="591"/>
      <c r="Z132" s="591"/>
      <c r="AA132" s="591"/>
      <c r="AB132" s="591"/>
      <c r="AC132" s="591"/>
      <c r="AG132" s="591"/>
      <c r="AH132" s="591"/>
      <c r="AI132" s="591"/>
      <c r="AJ132" s="591"/>
      <c r="AK132" s="591"/>
      <c r="AM132" s="591"/>
      <c r="AN132" s="591"/>
      <c r="AO132" s="591"/>
      <c r="AP132" s="591"/>
      <c r="AQ132" s="591"/>
      <c r="AS132" s="591"/>
      <c r="AT132" s="591"/>
      <c r="AU132" s="591"/>
      <c r="AV132" s="591"/>
      <c r="AW132" s="591"/>
      <c r="AY132" s="591"/>
    </row>
    <row r="133" spans="1:51" ht="15.75" hidden="1" customHeight="1" x14ac:dyDescent="0.2">
      <c r="A133" s="2"/>
      <c r="B133" s="2"/>
      <c r="C133" s="2"/>
      <c r="D133" s="2"/>
      <c r="E133" s="263">
        <f>IF(IMPOSTAZIONI!S186=0,1,0)</f>
        <v>0</v>
      </c>
      <c r="F133" s="2"/>
      <c r="G133" s="270">
        <f>IF(E$131=1,IMPOSTAZIONI!J98,0)</f>
        <v>0</v>
      </c>
      <c r="H133" s="271">
        <f>IF(E$132=1,IMPOSTAZIONI!J106,0)</f>
        <v>0</v>
      </c>
      <c r="I133" s="272">
        <f>IF(E$133=1,IMPOSTAZIONI!J114,0)</f>
        <v>0</v>
      </c>
      <c r="J133" s="2"/>
      <c r="K133" s="2"/>
      <c r="L133" s="2"/>
      <c r="M133" s="2"/>
      <c r="N133" s="2"/>
      <c r="O133" s="2"/>
      <c r="P133" s="2"/>
      <c r="Q133" s="2"/>
      <c r="R133" s="2"/>
      <c r="S133" s="2"/>
      <c r="T133" s="2"/>
      <c r="U133" s="2"/>
      <c r="V133" s="591"/>
      <c r="W133" s="591"/>
      <c r="X133" s="591"/>
      <c r="Y133" s="591"/>
      <c r="Z133" s="591"/>
      <c r="AA133" s="591"/>
      <c r="AB133" s="591"/>
      <c r="AC133" s="591"/>
      <c r="AG133" s="591"/>
      <c r="AH133" s="591"/>
      <c r="AI133" s="591"/>
      <c r="AJ133" s="591"/>
      <c r="AK133" s="591"/>
      <c r="AM133" s="591"/>
      <c r="AN133" s="591"/>
      <c r="AO133" s="591"/>
      <c r="AP133" s="591"/>
      <c r="AQ133" s="591"/>
      <c r="AS133" s="591"/>
      <c r="AT133" s="591"/>
      <c r="AU133" s="591"/>
      <c r="AV133" s="591"/>
      <c r="AW133" s="591"/>
      <c r="AY133" s="591"/>
    </row>
    <row r="134" spans="1:51" ht="15.75" hidden="1" customHeight="1" x14ac:dyDescent="0.2">
      <c r="A134" s="2"/>
      <c r="B134" s="2"/>
      <c r="C134" s="2"/>
      <c r="D134" s="2"/>
      <c r="E134" s="129"/>
      <c r="F134" s="2"/>
      <c r="G134" s="108">
        <f>IF(G130=0,0,G129)</f>
        <v>0</v>
      </c>
      <c r="H134" s="108">
        <f>IF(H130=0,0,H129)</f>
        <v>0</v>
      </c>
      <c r="I134" s="108">
        <f>IF(I130=0,0,I129)</f>
        <v>0</v>
      </c>
      <c r="J134" s="2"/>
      <c r="K134" s="263" t="str">
        <f>IMPOSTAZIONI!C146</f>
        <v>ESCLUDI</v>
      </c>
      <c r="L134" s="263" t="str">
        <f>IMPOSTAZIONI!H146</f>
        <v>VENTILAZIONE</v>
      </c>
      <c r="M134" s="306" t="s">
        <v>745</v>
      </c>
      <c r="N134" s="2"/>
      <c r="O134" s="2"/>
      <c r="P134" s="2"/>
      <c r="Q134" s="2"/>
      <c r="R134" s="2"/>
      <c r="S134" s="2"/>
      <c r="T134" s="2"/>
      <c r="U134" s="2"/>
      <c r="V134" s="591"/>
      <c r="W134" s="591"/>
      <c r="X134" s="591"/>
      <c r="Y134" s="591"/>
      <c r="Z134" s="591"/>
      <c r="AA134" s="591"/>
      <c r="AB134" s="591"/>
      <c r="AC134" s="591"/>
      <c r="AG134" s="591"/>
      <c r="AH134" s="591"/>
      <c r="AI134" s="591"/>
      <c r="AJ134" s="591"/>
      <c r="AK134" s="591"/>
      <c r="AM134" s="591"/>
      <c r="AN134" s="591"/>
      <c r="AO134" s="591"/>
      <c r="AP134" s="591"/>
      <c r="AQ134" s="591"/>
      <c r="AS134" s="591"/>
      <c r="AT134" s="591"/>
      <c r="AU134" s="591"/>
      <c r="AV134" s="591"/>
      <c r="AW134" s="591"/>
      <c r="AY134" s="591"/>
    </row>
    <row r="135" spans="1:51" ht="15.75" hidden="1" customHeight="1" x14ac:dyDescent="0.2">
      <c r="A135" s="2"/>
      <c r="B135" s="2"/>
      <c r="C135" s="2"/>
      <c r="D135" s="2"/>
      <c r="E135" s="274">
        <f>COUNTIF(G134:I134,0)</f>
        <v>3</v>
      </c>
      <c r="F135" s="2"/>
      <c r="G135" s="273" t="e">
        <f>SMALL($G134:$I134,$E135+1)</f>
        <v>#NUM!</v>
      </c>
      <c r="H135" s="273" t="e">
        <f>SMALL($G134:$I134,$E135+2)</f>
        <v>#NUM!</v>
      </c>
      <c r="I135" s="273" t="e">
        <f>SMALL($G134:$I134,$E135+3)</f>
        <v>#NUM!</v>
      </c>
      <c r="J135" s="2"/>
      <c r="K135" s="2"/>
      <c r="L135" s="263" t="str">
        <f>IMPOSTAZIONI!H148</f>
        <v>SCORPORO</v>
      </c>
      <c r="M135" s="306" t="s">
        <v>742</v>
      </c>
      <c r="N135" s="2"/>
      <c r="O135" s="2"/>
      <c r="P135" s="2"/>
      <c r="Q135" s="2"/>
      <c r="R135" s="2"/>
      <c r="S135" s="2"/>
      <c r="T135" s="2"/>
      <c r="U135" s="2"/>
      <c r="V135" s="591"/>
      <c r="W135" s="591"/>
      <c r="X135" s="591"/>
      <c r="Y135" s="591"/>
      <c r="Z135" s="591"/>
      <c r="AA135" s="591"/>
      <c r="AB135" s="591"/>
      <c r="AC135" s="591"/>
      <c r="AG135" s="591"/>
      <c r="AH135" s="591"/>
      <c r="AI135" s="591"/>
      <c r="AJ135" s="591"/>
      <c r="AK135" s="591"/>
      <c r="AM135" s="591"/>
      <c r="AN135" s="591"/>
      <c r="AO135" s="591"/>
      <c r="AP135" s="591"/>
      <c r="AQ135" s="591"/>
      <c r="AS135" s="591"/>
      <c r="AT135" s="591"/>
      <c r="AU135" s="591"/>
      <c r="AV135" s="591"/>
      <c r="AW135" s="591"/>
      <c r="AY135" s="591"/>
    </row>
    <row r="136" spans="1:51" ht="15.75" hidden="1" customHeight="1" x14ac:dyDescent="0.2">
      <c r="A136" s="2"/>
      <c r="B136" s="2"/>
      <c r="C136" s="2"/>
      <c r="D136" s="2"/>
      <c r="E136" s="274"/>
      <c r="F136" s="2"/>
      <c r="G136" s="275">
        <f>IF(E$131=1,CONCATENATE(IMPOSTAZIONI!I96,"-",IMPOSTAZIONI!I97,"-",IMPOSTAZIONI!I98),0)</f>
        <v>0</v>
      </c>
      <c r="H136" s="276">
        <f>IF(E$132=1,CONCATENATE(IMPOSTAZIONI!I104,"-",IMPOSTAZIONI!I105,"-",IMPOSTAZIONI!I106),0)</f>
        <v>0</v>
      </c>
      <c r="I136" s="277">
        <f>IF(E$133=1,CONCATENATE(IMPOSTAZIONI!I112,"-",IMPOSTAZIONI!I113,"-",IMPOSTAZIONI!I114),0)</f>
        <v>0</v>
      </c>
      <c r="J136" s="2"/>
      <c r="K136" s="2"/>
      <c r="L136" s="2"/>
      <c r="M136" s="2"/>
      <c r="N136" s="2"/>
      <c r="O136" s="2"/>
      <c r="P136" s="2"/>
      <c r="Q136" s="2"/>
      <c r="R136" s="2"/>
      <c r="S136" s="2"/>
      <c r="T136" s="2"/>
      <c r="U136" s="2"/>
      <c r="V136" s="591"/>
      <c r="W136" s="591"/>
      <c r="X136" s="591"/>
      <c r="Y136" s="591"/>
      <c r="Z136" s="591"/>
      <c r="AA136" s="591"/>
      <c r="AB136" s="591"/>
      <c r="AC136" s="591"/>
      <c r="AG136" s="591"/>
      <c r="AH136" s="591"/>
      <c r="AI136" s="591"/>
      <c r="AJ136" s="591"/>
      <c r="AK136" s="591"/>
      <c r="AM136" s="591"/>
      <c r="AN136" s="591"/>
      <c r="AO136" s="591"/>
      <c r="AP136" s="591"/>
      <c r="AQ136" s="591"/>
      <c r="AS136" s="591"/>
      <c r="AT136" s="591"/>
      <c r="AU136" s="591"/>
      <c r="AV136" s="591"/>
      <c r="AW136" s="591"/>
      <c r="AY136" s="591"/>
    </row>
    <row r="137" spans="1:51" ht="15.75" hidden="1" customHeight="1" x14ac:dyDescent="0.2">
      <c r="A137" s="2"/>
      <c r="B137" s="2"/>
      <c r="C137" s="2"/>
      <c r="D137" s="2"/>
      <c r="E137" s="129"/>
      <c r="F137" s="2"/>
      <c r="G137" s="273"/>
      <c r="H137" s="273"/>
      <c r="I137" s="2"/>
      <c r="J137" s="2"/>
      <c r="K137" s="2"/>
      <c r="L137" s="2"/>
      <c r="M137" s="2"/>
      <c r="N137" s="2"/>
      <c r="O137" s="2"/>
      <c r="P137" s="2"/>
      <c r="Q137" s="2"/>
      <c r="R137" s="2"/>
      <c r="S137" s="2"/>
      <c r="T137" s="2"/>
      <c r="U137" s="2"/>
      <c r="V137" s="591"/>
      <c r="W137" s="591"/>
      <c r="X137" s="591"/>
      <c r="Y137" s="591"/>
      <c r="Z137" s="591"/>
      <c r="AA137" s="591"/>
      <c r="AB137" s="591"/>
      <c r="AC137" s="591"/>
      <c r="AG137" s="591"/>
      <c r="AH137" s="591"/>
      <c r="AI137" s="591"/>
      <c r="AJ137" s="591"/>
      <c r="AK137" s="591"/>
      <c r="AM137" s="591"/>
      <c r="AN137" s="591"/>
      <c r="AO137" s="591"/>
      <c r="AP137" s="591"/>
      <c r="AQ137" s="591"/>
      <c r="AS137" s="591"/>
      <c r="AT137" s="591"/>
      <c r="AU137" s="591"/>
      <c r="AV137" s="591"/>
      <c r="AW137" s="591"/>
      <c r="AY137" s="591"/>
    </row>
    <row r="138" spans="1:51" ht="15.75" hidden="1" customHeight="1" x14ac:dyDescent="0.2">
      <c r="A138" s="2"/>
      <c r="B138" s="2"/>
      <c r="C138" s="2"/>
      <c r="D138" s="2"/>
      <c r="E138" s="129"/>
      <c r="F138" s="2"/>
      <c r="G138" s="273"/>
      <c r="H138" s="273"/>
      <c r="I138" s="273"/>
      <c r="J138" s="148">
        <v>1</v>
      </c>
      <c r="K138" s="148">
        <v>2</v>
      </c>
      <c r="L138" s="148">
        <v>3</v>
      </c>
      <c r="M138" s="2"/>
      <c r="N138" s="2"/>
      <c r="O138" s="2"/>
      <c r="P138" s="2"/>
      <c r="Q138" s="2"/>
      <c r="R138" s="2"/>
      <c r="S138" s="2"/>
      <c r="T138" s="2"/>
      <c r="U138" s="2"/>
      <c r="V138" s="591"/>
      <c r="W138" s="591"/>
      <c r="X138" s="591"/>
      <c r="Y138" s="591"/>
      <c r="Z138" s="591"/>
      <c r="AA138" s="591"/>
      <c r="AB138" s="591"/>
      <c r="AC138" s="591"/>
      <c r="AG138" s="591"/>
      <c r="AH138" s="591"/>
      <c r="AI138" s="591"/>
      <c r="AJ138" s="591"/>
      <c r="AK138" s="591"/>
      <c r="AM138" s="591"/>
      <c r="AN138" s="591"/>
      <c r="AO138" s="591"/>
      <c r="AP138" s="591"/>
      <c r="AQ138" s="591"/>
      <c r="AS138" s="591"/>
      <c r="AT138" s="591"/>
      <c r="AU138" s="591"/>
      <c r="AV138" s="591"/>
      <c r="AW138" s="591"/>
      <c r="AY138" s="591"/>
    </row>
    <row r="139" spans="1:51" ht="15.75" hidden="1" customHeight="1" x14ac:dyDescent="0.2">
      <c r="A139" s="2"/>
      <c r="B139" s="2"/>
      <c r="C139" s="148">
        <v>1</v>
      </c>
      <c r="D139" s="148">
        <f>IF(I139=0,0,1)</f>
        <v>0</v>
      </c>
      <c r="E139" s="263" t="str">
        <f>IMPOSTAZIONI!B298</f>
        <v>--</v>
      </c>
      <c r="F139" s="2"/>
      <c r="G139" s="305">
        <f>VLOOKUP(E139,IMPOSTAZIONI!$B$298:$AK$304,$E$149,FALSE)</f>
        <v>0</v>
      </c>
      <c r="H139" s="306" t="str">
        <f>IF(G139&gt;0,IF(AND(ISERROR(HLOOKUP(E139,G$136:I$136,1,FALSE)),ISERROR(HLOOKUP(E139,G$1:N$1,1,FALSE))),E139,"OK"),"")</f>
        <v/>
      </c>
      <c r="I139" s="307">
        <f>IF(H139="OK",0,IF(H139="",0,1))</f>
        <v>0</v>
      </c>
      <c r="J139" s="263" t="e">
        <f>VLOOKUP(C139,$D$139:$H$148,5,FALSE)</f>
        <v>#N/A</v>
      </c>
      <c r="K139" s="263" t="e">
        <f>VLOOKUP(C140,$D$139:$H$148,5,FALSE)</f>
        <v>#N/A</v>
      </c>
      <c r="L139" s="263" t="e">
        <f>VLOOKUP(C141,$D$139:$H$148,5,FALSE)</f>
        <v>#N/A</v>
      </c>
      <c r="M139" s="2"/>
      <c r="N139" s="2"/>
      <c r="O139" s="2"/>
      <c r="P139" s="2"/>
      <c r="Q139" s="2"/>
      <c r="R139" s="2"/>
      <c r="S139" s="2"/>
      <c r="T139" s="2"/>
      <c r="U139" s="2"/>
      <c r="V139" s="591"/>
      <c r="W139" s="591"/>
      <c r="X139" s="591"/>
      <c r="Y139" s="591"/>
      <c r="Z139" s="591"/>
      <c r="AA139" s="591"/>
      <c r="AB139" s="591"/>
      <c r="AC139" s="591"/>
      <c r="AG139" s="591"/>
      <c r="AH139" s="591"/>
      <c r="AI139" s="591"/>
      <c r="AJ139" s="591"/>
      <c r="AK139" s="591"/>
      <c r="AM139" s="591"/>
      <c r="AN139" s="591"/>
      <c r="AO139" s="591"/>
      <c r="AP139" s="591"/>
      <c r="AQ139" s="591"/>
      <c r="AS139" s="591"/>
      <c r="AT139" s="591"/>
      <c r="AU139" s="591"/>
      <c r="AV139" s="591"/>
      <c r="AW139" s="591"/>
      <c r="AY139" s="591"/>
    </row>
    <row r="140" spans="1:51" ht="15.75" hidden="1" customHeight="1" x14ac:dyDescent="0.2">
      <c r="A140" s="2"/>
      <c r="B140" s="2"/>
      <c r="C140" s="148">
        <v>2</v>
      </c>
      <c r="D140" s="103">
        <f>IF(I140=0,0,COUNTIF(D$139:D139,"&gt;0")+1)</f>
        <v>0</v>
      </c>
      <c r="E140" s="263" t="str">
        <f>IMPOSTAZIONI!B299</f>
        <v>--</v>
      </c>
      <c r="F140" s="2"/>
      <c r="G140" s="305">
        <f>VLOOKUP(E140,IMPOSTAZIONI!$B$298:$AK$304,$E$149,FALSE)</f>
        <v>0</v>
      </c>
      <c r="H140" s="306" t="str">
        <f>IF(G140&gt;0,IF(AND(ISERROR(HLOOKUP(E140,G$136:I$136,1,FALSE)),ISERROR(HLOOKUP(E140,G$1:N$1,1,FALSE))),E140,"OK"),"")</f>
        <v/>
      </c>
      <c r="I140" s="307">
        <f t="shared" ref="I140:I148" si="35">IF(H140="OK",0,IF(H140="",0,1))</f>
        <v>0</v>
      </c>
      <c r="J140" s="267">
        <f>IF(ISERROR(J$139),0,HLOOKUP(J$139,IMPOSTAZIONI!$AB$183:$AH$187,3,FALSE))</f>
        <v>0</v>
      </c>
      <c r="K140" s="267">
        <f>IF(ISERROR(K$139),0,HLOOKUP(K$139,IMPOSTAZIONI!$AB$183:$AH$187,3,FALSE))</f>
        <v>0</v>
      </c>
      <c r="L140" s="268">
        <f>IF(ISERROR(L$139),0,HLOOKUP(L$139,IMPOSTAZIONI!$AB$183:$AH$187,3,FALSE))</f>
        <v>0</v>
      </c>
      <c r="M140" s="2"/>
      <c r="N140" s="2"/>
      <c r="O140" s="2"/>
      <c r="P140" s="2"/>
      <c r="Q140" s="2"/>
      <c r="R140" s="2"/>
      <c r="S140" s="2"/>
      <c r="T140" s="2"/>
      <c r="U140" s="2"/>
      <c r="V140" s="591"/>
      <c r="W140" s="591"/>
      <c r="X140" s="591"/>
      <c r="Y140" s="591"/>
      <c r="Z140" s="591"/>
      <c r="AA140" s="591"/>
      <c r="AB140" s="591"/>
      <c r="AC140" s="591"/>
      <c r="AG140" s="591"/>
      <c r="AH140" s="591"/>
      <c r="AI140" s="591"/>
      <c r="AJ140" s="591"/>
      <c r="AK140" s="591"/>
      <c r="AM140" s="591"/>
      <c r="AN140" s="591"/>
      <c r="AO140" s="591"/>
      <c r="AP140" s="591"/>
      <c r="AQ140" s="591"/>
      <c r="AS140" s="591"/>
      <c r="AT140" s="591"/>
      <c r="AU140" s="591"/>
      <c r="AV140" s="591"/>
      <c r="AW140" s="591"/>
      <c r="AY140" s="591"/>
    </row>
    <row r="141" spans="1:51" ht="15.75" hidden="1" customHeight="1" x14ac:dyDescent="0.2">
      <c r="A141" s="2"/>
      <c r="B141" s="2"/>
      <c r="C141" s="148">
        <v>3</v>
      </c>
      <c r="D141" s="103">
        <f>IF(I141=0,0,COUNTIF(D$139:D140,"&gt;0")+1)</f>
        <v>0</v>
      </c>
      <c r="E141" s="263" t="str">
        <f>IMPOSTAZIONI!B300</f>
        <v>--</v>
      </c>
      <c r="F141" s="2"/>
      <c r="G141" s="305">
        <f>VLOOKUP(E141,IMPOSTAZIONI!$B$298:$AK$304,$E$149,FALSE)</f>
        <v>0</v>
      </c>
      <c r="H141" s="306" t="str">
        <f>IF(G141&gt;0,IF(AND(ISERROR(HLOOKUP(E141,G$136:I$136,1,FALSE)),ISERROR(HLOOKUP(E141,G$1:N$1,1,FALSE))),E141,"OK"),"")</f>
        <v/>
      </c>
      <c r="I141" s="307">
        <f t="shared" si="35"/>
        <v>0</v>
      </c>
      <c r="J141" s="264">
        <f>IF(ISERROR(J$139),0,HLOOKUP(J$139,IMPOSTAZIONI!$AB$183:$AH$187,4,FALSE))</f>
        <v>0</v>
      </c>
      <c r="K141" s="264">
        <f>IF(ISERROR(K$139),0,HLOOKUP(K$139,IMPOSTAZIONI!$AB$183:$AH$187,4,FALSE))</f>
        <v>0</v>
      </c>
      <c r="L141" s="266">
        <f>IF(ISERROR(L$139),0,HLOOKUP(L$139,IMPOSTAZIONI!$AB$183:$AH$187,4,FALSE))</f>
        <v>0</v>
      </c>
      <c r="M141" s="2"/>
      <c r="N141" s="2"/>
      <c r="O141" s="2"/>
      <c r="P141" s="2"/>
      <c r="Q141" s="2"/>
      <c r="R141" s="2"/>
      <c r="S141" s="2"/>
      <c r="T141" s="2"/>
      <c r="U141" s="2"/>
      <c r="V141" s="591"/>
      <c r="W141" s="591"/>
      <c r="X141" s="591"/>
      <c r="Y141" s="591"/>
      <c r="Z141" s="591"/>
      <c r="AA141" s="591"/>
      <c r="AB141" s="591"/>
      <c r="AC141" s="591"/>
      <c r="AG141" s="591"/>
      <c r="AH141" s="591"/>
      <c r="AI141" s="591"/>
      <c r="AJ141" s="591"/>
      <c r="AK141" s="591"/>
      <c r="AM141" s="591"/>
      <c r="AN141" s="591"/>
      <c r="AO141" s="591"/>
      <c r="AP141" s="591"/>
      <c r="AQ141" s="591"/>
      <c r="AS141" s="591"/>
      <c r="AT141" s="591"/>
      <c r="AU141" s="591"/>
      <c r="AV141" s="591"/>
      <c r="AW141" s="591"/>
      <c r="AY141" s="591"/>
    </row>
    <row r="142" spans="1:51" ht="15.75" hidden="1" customHeight="1" x14ac:dyDescent="0.2">
      <c r="A142" s="2"/>
      <c r="B142" s="2"/>
      <c r="C142" s="103"/>
      <c r="D142" s="591"/>
      <c r="E142" s="591"/>
      <c r="F142" s="591"/>
      <c r="G142" s="591"/>
      <c r="H142" s="591"/>
      <c r="I142" s="591"/>
      <c r="J142" s="270">
        <f>IF(ISERROR(J$139),0,HLOOKUP(J$139,IMPOSTAZIONI!$AB$183:$AH$187,5,FALSE))</f>
        <v>0</v>
      </c>
      <c r="K142" s="270">
        <f>IF(ISERROR(K$139),0,HLOOKUP(K$139,IMPOSTAZIONI!$AB$183:$AH$187,5,FALSE))</f>
        <v>0</v>
      </c>
      <c r="L142" s="271">
        <f>IF(ISERROR(L$139),0,HLOOKUP(L$139,IMPOSTAZIONI!$AB$183:$AH$187,5,FALSE))</f>
        <v>0</v>
      </c>
      <c r="M142" s="2"/>
      <c r="N142" s="2"/>
      <c r="O142" s="2"/>
      <c r="P142" s="2"/>
      <c r="Q142" s="2"/>
      <c r="R142" s="2"/>
      <c r="S142" s="2"/>
      <c r="T142" s="2"/>
      <c r="U142" s="2"/>
      <c r="V142" s="591"/>
      <c r="W142" s="591"/>
      <c r="X142" s="591"/>
      <c r="Y142" s="591"/>
      <c r="Z142" s="591"/>
      <c r="AA142" s="591"/>
      <c r="AB142" s="591"/>
      <c r="AC142" s="591"/>
      <c r="AG142" s="591"/>
      <c r="AH142" s="591"/>
      <c r="AI142" s="591"/>
      <c r="AJ142" s="591"/>
      <c r="AK142" s="591"/>
      <c r="AM142" s="591"/>
      <c r="AN142" s="591"/>
      <c r="AO142" s="591"/>
      <c r="AP142" s="591"/>
      <c r="AQ142" s="591"/>
      <c r="AS142" s="591"/>
      <c r="AT142" s="591"/>
      <c r="AU142" s="591"/>
      <c r="AV142" s="591"/>
      <c r="AW142" s="591"/>
      <c r="AY142" s="591"/>
    </row>
    <row r="143" spans="1:51" ht="15.75" hidden="1" customHeight="1" x14ac:dyDescent="0.2">
      <c r="A143" s="2"/>
      <c r="B143" s="2"/>
      <c r="C143" s="103"/>
      <c r="D143" s="591"/>
      <c r="E143" s="591"/>
      <c r="F143" s="591"/>
      <c r="G143" s="591"/>
      <c r="H143" s="591"/>
      <c r="I143" s="591"/>
      <c r="J143" s="2"/>
      <c r="K143" s="2"/>
      <c r="L143" s="2"/>
      <c r="M143" s="2"/>
      <c r="N143" s="2"/>
      <c r="O143" s="2"/>
      <c r="P143" s="2"/>
      <c r="Q143" s="2"/>
      <c r="R143" s="2"/>
      <c r="S143" s="2"/>
      <c r="T143" s="2"/>
      <c r="U143" s="2"/>
      <c r="V143" s="591"/>
      <c r="W143" s="591"/>
      <c r="X143" s="591"/>
      <c r="Y143" s="591"/>
      <c r="Z143" s="591"/>
      <c r="AA143" s="591"/>
      <c r="AB143" s="591"/>
      <c r="AC143" s="591"/>
      <c r="AG143" s="591"/>
      <c r="AH143" s="591"/>
      <c r="AI143" s="591"/>
      <c r="AJ143" s="591"/>
      <c r="AK143" s="591"/>
      <c r="AM143" s="591"/>
      <c r="AN143" s="591"/>
      <c r="AO143" s="591"/>
      <c r="AP143" s="591"/>
      <c r="AQ143" s="591"/>
      <c r="AS143" s="591"/>
      <c r="AT143" s="591"/>
      <c r="AU143" s="591"/>
      <c r="AV143" s="591"/>
      <c r="AW143" s="591"/>
      <c r="AY143" s="591"/>
    </row>
    <row r="144" spans="1:51" ht="15.75" hidden="1" customHeight="1" x14ac:dyDescent="0.2">
      <c r="A144" s="2"/>
      <c r="B144" s="2"/>
      <c r="C144" s="103"/>
      <c r="D144" s="591"/>
      <c r="E144" s="591"/>
      <c r="F144" s="591"/>
      <c r="G144" s="591"/>
      <c r="H144" s="591"/>
      <c r="I144" s="591"/>
      <c r="J144" s="2"/>
      <c r="K144" s="2102" t="s">
        <v>543</v>
      </c>
      <c r="L144" s="2103"/>
      <c r="M144" s="1297" t="s">
        <v>198</v>
      </c>
      <c r="N144" s="1298" t="s">
        <v>202</v>
      </c>
      <c r="O144" s="1297" t="s">
        <v>199</v>
      </c>
      <c r="P144" s="1298" t="s">
        <v>203</v>
      </c>
      <c r="Q144" s="1297" t="s">
        <v>65</v>
      </c>
      <c r="R144" s="1298" t="s">
        <v>66</v>
      </c>
      <c r="S144" s="1297" t="s">
        <v>65</v>
      </c>
      <c r="T144" s="1298" t="s">
        <v>66</v>
      </c>
      <c r="U144" s="2"/>
      <c r="V144" s="591"/>
      <c r="W144" s="591"/>
      <c r="X144" s="591"/>
      <c r="Y144" s="591"/>
      <c r="Z144" s="591"/>
      <c r="AA144" s="591"/>
      <c r="AB144" s="591"/>
      <c r="AC144" s="591"/>
      <c r="AG144" s="591"/>
      <c r="AH144" s="591"/>
      <c r="AI144" s="591"/>
      <c r="AJ144" s="591"/>
      <c r="AK144" s="591"/>
      <c r="AM144" s="591"/>
      <c r="AN144" s="591"/>
      <c r="AO144" s="591"/>
      <c r="AP144" s="591"/>
      <c r="AQ144" s="591"/>
      <c r="AS144" s="591"/>
      <c r="AT144" s="591"/>
      <c r="AU144" s="591"/>
      <c r="AV144" s="591"/>
      <c r="AW144" s="591"/>
      <c r="AY144" s="591"/>
    </row>
    <row r="145" spans="1:51" ht="15.75" hidden="1" customHeight="1" x14ac:dyDescent="0.2">
      <c r="A145" s="2"/>
      <c r="B145" s="2"/>
      <c r="C145" s="103"/>
      <c r="D145" s="103">
        <f>IF(I145=0,0,COUNTIF(D$139:D144,"&gt;0")+1)</f>
        <v>0</v>
      </c>
      <c r="E145" s="263" t="str">
        <f>IMPOSTAZIONI!B301</f>
        <v>--</v>
      </c>
      <c r="F145" s="2"/>
      <c r="G145" s="305">
        <f>VLOOKUP(E145,IMPOSTAZIONI!$B$298:$AK$304,$E$149,FALSE)</f>
        <v>0</v>
      </c>
      <c r="H145" s="306" t="str">
        <f>IF(G145&gt;0,IF(AND(ISERROR(HLOOKUP(E145,G$136:I$136,1,FALSE)),ISERROR(HLOOKUP(E145,G$1:N$1,1,FALSE))),E145,"OK"),"")</f>
        <v/>
      </c>
      <c r="I145" s="307">
        <f t="shared" si="35"/>
        <v>0</v>
      </c>
      <c r="J145" s="2"/>
      <c r="K145" s="2102" t="s">
        <v>58</v>
      </c>
      <c r="L145" s="2103"/>
      <c r="M145" s="100" t="s">
        <v>198</v>
      </c>
      <c r="N145" s="1299" t="s">
        <v>202</v>
      </c>
      <c r="O145" s="100" t="s">
        <v>199</v>
      </c>
      <c r="P145" s="1299" t="s">
        <v>203</v>
      </c>
      <c r="Q145" s="100" t="s">
        <v>65</v>
      </c>
      <c r="R145" s="1299" t="s">
        <v>66</v>
      </c>
      <c r="S145" s="100" t="s">
        <v>65</v>
      </c>
      <c r="T145" s="1299" t="s">
        <v>66</v>
      </c>
      <c r="U145" s="2"/>
      <c r="V145" s="591"/>
      <c r="W145" s="591"/>
      <c r="X145" s="591"/>
      <c r="Y145" s="591"/>
      <c r="Z145" s="591"/>
      <c r="AA145" s="591"/>
      <c r="AB145" s="591"/>
      <c r="AC145" s="591"/>
      <c r="AG145" s="591"/>
      <c r="AH145" s="591"/>
      <c r="AI145" s="591"/>
      <c r="AJ145" s="591"/>
      <c r="AK145" s="591"/>
      <c r="AM145" s="591"/>
      <c r="AN145" s="591"/>
      <c r="AO145" s="591"/>
      <c r="AP145" s="591"/>
      <c r="AQ145" s="591"/>
      <c r="AS145" s="591"/>
      <c r="AT145" s="591"/>
      <c r="AU145" s="591"/>
      <c r="AV145" s="591"/>
      <c r="AW145" s="591"/>
      <c r="AY145" s="591"/>
    </row>
    <row r="146" spans="1:51" ht="15.75" hidden="1" customHeight="1" x14ac:dyDescent="0.2">
      <c r="A146" s="2"/>
      <c r="B146" s="2"/>
      <c r="C146" s="103"/>
      <c r="D146" s="103">
        <f>IF(I146=0,0,COUNTIF(D$139:D145,"&gt;0")+1)</f>
        <v>0</v>
      </c>
      <c r="E146" s="263" t="str">
        <f>IMPOSTAZIONI!B302</f>
        <v/>
      </c>
      <c r="F146" s="2"/>
      <c r="G146" s="305">
        <f>VLOOKUP(E146,IMPOSTAZIONI!$B$298:$AK$304,$E$149,FALSE)</f>
        <v>0</v>
      </c>
      <c r="H146" s="306" t="str">
        <f>IF(G146&gt;0,IF(AND(ISERROR(HLOOKUP(E146,G$136:I$136,1,FALSE)),ISERROR(HLOOKUP(E146,G$1:N$1,1,FALSE))),E146,"OK"),"")</f>
        <v/>
      </c>
      <c r="I146" s="307">
        <f t="shared" si="35"/>
        <v>0</v>
      </c>
      <c r="J146" s="2"/>
      <c r="K146" s="2102" t="s">
        <v>59</v>
      </c>
      <c r="L146" s="2103"/>
      <c r="M146" s="100" t="s">
        <v>198</v>
      </c>
      <c r="N146" s="1299" t="s">
        <v>62</v>
      </c>
      <c r="O146" s="100" t="s">
        <v>199</v>
      </c>
      <c r="P146" s="1299" t="s">
        <v>203</v>
      </c>
      <c r="Q146" s="100" t="s">
        <v>65</v>
      </c>
      <c r="R146" s="1299" t="s">
        <v>66</v>
      </c>
      <c r="S146" s="100" t="s">
        <v>65</v>
      </c>
      <c r="T146" s="1299" t="s">
        <v>66</v>
      </c>
      <c r="U146" s="2"/>
      <c r="V146" s="591"/>
      <c r="W146" s="591"/>
      <c r="X146" s="591"/>
      <c r="Y146" s="591"/>
      <c r="Z146" s="591"/>
      <c r="AA146" s="591"/>
      <c r="AB146" s="591"/>
      <c r="AC146" s="591"/>
      <c r="AG146" s="591"/>
      <c r="AH146" s="591"/>
      <c r="AI146" s="591"/>
      <c r="AJ146" s="591"/>
      <c r="AK146" s="591"/>
      <c r="AM146" s="591"/>
      <c r="AN146" s="591"/>
      <c r="AO146" s="591"/>
      <c r="AP146" s="591"/>
      <c r="AQ146" s="591"/>
      <c r="AS146" s="591"/>
      <c r="AT146" s="591"/>
      <c r="AU146" s="591"/>
      <c r="AV146" s="591"/>
      <c r="AW146" s="591"/>
      <c r="AY146" s="591"/>
    </row>
    <row r="147" spans="1:51" ht="15.75" hidden="1" customHeight="1" x14ac:dyDescent="0.2">
      <c r="A147" s="2"/>
      <c r="B147" s="2"/>
      <c r="C147" s="103"/>
      <c r="D147" s="103">
        <f>IF(I147=0,0,COUNTIF(D$139:D146,"&gt;0")+1)</f>
        <v>0</v>
      </c>
      <c r="E147" s="263" t="str">
        <f>IMPOSTAZIONI!B303</f>
        <v/>
      </c>
      <c r="F147" s="2"/>
      <c r="G147" s="305">
        <f>VLOOKUP(E147,IMPOSTAZIONI!$B$298:$AK$304,$E$149,FALSE)</f>
        <v>0</v>
      </c>
      <c r="H147" s="306" t="str">
        <f>IF(G147&gt;0,IF(AND(ISERROR(HLOOKUP(E147,G$136:I$136,1,FALSE)),ISERROR(HLOOKUP(E147,G$1:N$1,1,FALSE))),E147,"OK"),"")</f>
        <v/>
      </c>
      <c r="I147" s="307">
        <f t="shared" si="35"/>
        <v>0</v>
      </c>
      <c r="J147" s="2"/>
      <c r="K147" s="2102" t="s">
        <v>60</v>
      </c>
      <c r="L147" s="2103"/>
      <c r="M147" s="100" t="s">
        <v>199</v>
      </c>
      <c r="N147" s="1299" t="s">
        <v>203</v>
      </c>
      <c r="O147" s="100" t="s">
        <v>198</v>
      </c>
      <c r="P147" s="1299" t="s">
        <v>63</v>
      </c>
      <c r="Q147" s="100" t="s">
        <v>67</v>
      </c>
      <c r="R147" s="1299" t="s">
        <v>68</v>
      </c>
      <c r="S147" s="100" t="s">
        <v>67</v>
      </c>
      <c r="T147" s="1299" t="s">
        <v>68</v>
      </c>
      <c r="U147" s="2"/>
      <c r="V147" s="591"/>
      <c r="W147" s="591"/>
      <c r="X147" s="591"/>
      <c r="Y147" s="591"/>
      <c r="Z147" s="591"/>
      <c r="AA147" s="591"/>
      <c r="AB147" s="591"/>
      <c r="AC147" s="591"/>
      <c r="AG147" s="591"/>
      <c r="AH147" s="591"/>
      <c r="AI147" s="591"/>
      <c r="AJ147" s="591"/>
      <c r="AK147" s="591"/>
      <c r="AM147" s="591"/>
      <c r="AN147" s="591"/>
      <c r="AO147" s="591"/>
      <c r="AP147" s="591"/>
      <c r="AQ147" s="591"/>
      <c r="AS147" s="591"/>
      <c r="AT147" s="591"/>
      <c r="AU147" s="591"/>
      <c r="AV147" s="591"/>
      <c r="AW147" s="591"/>
      <c r="AY147" s="591"/>
    </row>
    <row r="148" spans="1:51" ht="15.75" hidden="1" customHeight="1" x14ac:dyDescent="0.2">
      <c r="A148" s="2"/>
      <c r="B148" s="2"/>
      <c r="C148" s="103"/>
      <c r="D148" s="103">
        <f>IF(I148=0,0,COUNTIF(D$139:D147,"&gt;0")+1)</f>
        <v>0</v>
      </c>
      <c r="E148" s="263" t="str">
        <f>IMPOSTAZIONI!B304</f>
        <v/>
      </c>
      <c r="F148" s="2"/>
      <c r="G148" s="305">
        <f>VLOOKUP(E148,IMPOSTAZIONI!$B$298:$AK$304,$E$149,FALSE)</f>
        <v>0</v>
      </c>
      <c r="H148" s="306" t="str">
        <f>IF(G148&gt;0,IF(AND(ISERROR(HLOOKUP(E148,G$136:I$136,1,FALSE)),ISERROR(HLOOKUP(E148,G$1:N$1,1,FALSE))),E148,"OK"),"")</f>
        <v/>
      </c>
      <c r="I148" s="307">
        <f t="shared" si="35"/>
        <v>0</v>
      </c>
      <c r="J148" s="2"/>
      <c r="K148" s="2102" t="s">
        <v>61</v>
      </c>
      <c r="L148" s="2103"/>
      <c r="M148" s="100" t="s">
        <v>195</v>
      </c>
      <c r="N148" s="1301" t="s">
        <v>64</v>
      </c>
      <c r="O148" s="1300" t="s">
        <v>195</v>
      </c>
      <c r="P148" s="1301" t="s">
        <v>64</v>
      </c>
      <c r="Q148" s="1300" t="s">
        <v>69</v>
      </c>
      <c r="R148" s="1301"/>
      <c r="S148" s="1300" t="s">
        <v>70</v>
      </c>
      <c r="T148" s="1301"/>
      <c r="U148" s="2"/>
      <c r="V148" s="591"/>
      <c r="W148" s="591"/>
      <c r="X148" s="591"/>
      <c r="Y148" s="591"/>
      <c r="Z148" s="591"/>
      <c r="AA148" s="591"/>
      <c r="AB148" s="591"/>
      <c r="AC148" s="591"/>
      <c r="AG148" s="591"/>
      <c r="AH148" s="591"/>
      <c r="AI148" s="591"/>
      <c r="AJ148" s="591"/>
      <c r="AK148" s="591"/>
      <c r="AM148" s="591"/>
      <c r="AN148" s="591"/>
      <c r="AO148" s="591"/>
      <c r="AP148" s="591"/>
      <c r="AQ148" s="591"/>
      <c r="AS148" s="591"/>
      <c r="AT148" s="591"/>
      <c r="AU148" s="591"/>
      <c r="AV148" s="591"/>
      <c r="AW148" s="591"/>
      <c r="AY148" s="591"/>
    </row>
    <row r="149" spans="1:51" ht="15.75" hidden="1" customHeight="1" x14ac:dyDescent="0.2">
      <c r="A149" s="2"/>
      <c r="B149" s="2"/>
      <c r="C149" s="2"/>
      <c r="D149" s="2"/>
      <c r="E149" s="306">
        <v>15</v>
      </c>
      <c r="F149" s="2"/>
      <c r="G149" s="306" t="str">
        <f>IF(MAX(D139:D148)&gt;C141,K132,"")</f>
        <v/>
      </c>
      <c r="H149" s="308">
        <f>IF((MAX(D139:D148)+3-E135)&gt;3,K132,MAX(D139:D148))</f>
        <v>0</v>
      </c>
      <c r="I149" s="273"/>
      <c r="J149" s="2"/>
      <c r="K149" s="2099"/>
      <c r="L149" s="2099"/>
      <c r="M149" s="1302"/>
      <c r="N149" s="1302"/>
      <c r="O149" s="2"/>
      <c r="P149" s="2"/>
      <c r="Q149" s="2"/>
      <c r="R149" s="2"/>
      <c r="S149" s="2"/>
      <c r="T149" s="2"/>
      <c r="U149" s="2"/>
      <c r="V149" s="591"/>
      <c r="W149" s="591"/>
      <c r="X149" s="591"/>
      <c r="Y149" s="591"/>
      <c r="Z149" s="591"/>
      <c r="AA149" s="591"/>
      <c r="AB149" s="591"/>
      <c r="AC149" s="591"/>
      <c r="AG149" s="591"/>
      <c r="AH149" s="591"/>
      <c r="AI149" s="591"/>
      <c r="AJ149" s="591"/>
      <c r="AK149" s="591"/>
      <c r="AM149" s="591"/>
      <c r="AN149" s="591"/>
      <c r="AO149" s="591"/>
      <c r="AP149" s="591"/>
      <c r="AQ149" s="591"/>
      <c r="AS149" s="591"/>
      <c r="AT149" s="591"/>
      <c r="AU149" s="591"/>
      <c r="AV149" s="591"/>
      <c r="AW149" s="591"/>
      <c r="AY149" s="591"/>
    </row>
    <row r="150" spans="1:51" ht="21" hidden="1" customHeight="1" x14ac:dyDescent="0.2">
      <c r="A150" s="2"/>
      <c r="B150" s="2"/>
      <c r="C150" s="2"/>
      <c r="D150" s="2"/>
      <c r="E150" s="807">
        <f>VLOOKUP(E3,STORICO!C153:AO197,39,FALSE)</f>
        <v>0</v>
      </c>
      <c r="F150" s="2"/>
      <c r="G150" s="1211">
        <f>IF(AND(G152&gt;0,OR(G99&lt;&gt;"OK",G105&lt;&gt;"OK")),1,0)</f>
        <v>0</v>
      </c>
      <c r="H150" s="1211">
        <f>IF(AND(H152&gt;0,OR(H99&lt;&gt;"OK",H105&lt;&gt;"OK")),1,0)</f>
        <v>0</v>
      </c>
      <c r="I150" s="1211">
        <f>IF(AND(I152&gt;0,OR(K99&lt;&gt;"OK",K105&lt;&gt;"OK")),1,0)</f>
        <v>0</v>
      </c>
      <c r="J150" s="1211">
        <f>IF(AND(J152&gt;0,OR(N99&lt;&gt;"OK",N105&lt;&gt;"OK")),1,0)</f>
        <v>0</v>
      </c>
      <c r="K150" s="2"/>
      <c r="L150" s="2"/>
      <c r="M150" s="2"/>
      <c r="N150" s="2"/>
      <c r="O150" s="2"/>
      <c r="P150" s="2"/>
      <c r="Q150" s="2"/>
      <c r="R150" s="2"/>
      <c r="S150" s="2"/>
      <c r="T150" s="2"/>
      <c r="U150" s="2"/>
      <c r="V150" s="591"/>
      <c r="W150" s="591"/>
      <c r="X150" s="591"/>
      <c r="Y150" s="591"/>
      <c r="Z150" s="591"/>
      <c r="AA150" s="591"/>
      <c r="AB150" s="591"/>
      <c r="AC150" s="591"/>
      <c r="AG150" s="591"/>
      <c r="AH150" s="591"/>
      <c r="AI150" s="591"/>
      <c r="AJ150" s="591"/>
      <c r="AK150" s="591"/>
      <c r="AM150" s="591"/>
      <c r="AN150" s="591"/>
      <c r="AO150" s="591"/>
      <c r="AP150" s="591"/>
      <c r="AQ150" s="591"/>
      <c r="AS150" s="591"/>
      <c r="AT150" s="591"/>
      <c r="AU150" s="591"/>
      <c r="AV150" s="591"/>
      <c r="AW150" s="591"/>
      <c r="AY150" s="591"/>
    </row>
    <row r="151" spans="1:51" ht="21" hidden="1" customHeight="1" x14ac:dyDescent="0.2">
      <c r="A151" s="2"/>
      <c r="B151" s="2"/>
      <c r="C151" s="2"/>
      <c r="D151" s="2"/>
      <c r="E151" s="2"/>
      <c r="F151" s="2"/>
      <c r="G151" s="1212" t="str">
        <f>IMPOSTAZIONI!Y382</f>
        <v>Hai delle colonne ALIQUOTE DIVERSE che DEVI SCORPORARE manualmente qui.</v>
      </c>
      <c r="H151" s="1212"/>
      <c r="I151" s="1212"/>
      <c r="J151" s="1212"/>
      <c r="K151" s="1213"/>
      <c r="L151" s="1213"/>
      <c r="M151" s="1213"/>
      <c r="N151" s="1213"/>
      <c r="O151" s="688"/>
      <c r="P151" s="688"/>
      <c r="Q151" s="688"/>
      <c r="R151" s="99"/>
      <c r="S151" s="1306"/>
      <c r="T151" s="591"/>
      <c r="U151" s="591"/>
      <c r="V151" s="591"/>
      <c r="W151" s="591"/>
      <c r="X151" s="591"/>
      <c r="Y151" s="591"/>
      <c r="Z151" s="591"/>
      <c r="AA151" s="591"/>
      <c r="AB151" s="591"/>
      <c r="AC151" s="591"/>
      <c r="AG151" s="591"/>
      <c r="AH151" s="591"/>
      <c r="AI151" s="591"/>
      <c r="AJ151" s="591"/>
      <c r="AK151" s="591"/>
      <c r="AM151" s="591"/>
      <c r="AN151" s="591"/>
      <c r="AO151" s="591"/>
      <c r="AP151" s="591"/>
      <c r="AQ151" s="591"/>
      <c r="AS151" s="591"/>
      <c r="AT151" s="591"/>
      <c r="AU151" s="591"/>
      <c r="AV151" s="591"/>
      <c r="AW151" s="591"/>
      <c r="AY151" s="591"/>
    </row>
    <row r="152" spans="1:51" ht="21" hidden="1" customHeight="1" x14ac:dyDescent="0.2">
      <c r="A152" s="2"/>
      <c r="B152" s="2"/>
      <c r="C152" s="2"/>
      <c r="D152" s="2"/>
      <c r="E152" s="92" t="str">
        <f>IMPOSTAZIONI!J383</f>
        <v>INSERISCI</v>
      </c>
      <c r="F152" s="2"/>
      <c r="G152" s="86">
        <f>IF(G46=0,0,IF(AND(G62&lt;&gt;$L134,G155="X"),1,0))</f>
        <v>0</v>
      </c>
      <c r="H152" s="87">
        <f>IF(H46=0,0,IF(AND(H62&lt;&gt;$L134,H155="X"),1,0))</f>
        <v>0</v>
      </c>
      <c r="I152" s="87">
        <f>IF(K46=0,0,IF(AND(K62&lt;&gt;$L134,I155="X"),1,0))</f>
        <v>0</v>
      </c>
      <c r="J152" s="88">
        <f>IF(N46=0,0,IF(AND(N62&lt;&gt;$L134,J155="X"),1,0))</f>
        <v>0</v>
      </c>
      <c r="K152" s="100" t="str">
        <f>IMPOSTAZIONI!M383</f>
        <v>VERIFICA</v>
      </c>
      <c r="L152" s="92" t="str">
        <f>IMPOSTAZIONI!P383</f>
        <v>CANCELLA</v>
      </c>
      <c r="M152" s="2"/>
      <c r="N152" s="2"/>
      <c r="O152" s="2"/>
      <c r="P152" s="2"/>
      <c r="Q152" s="2"/>
      <c r="R152" s="2"/>
      <c r="S152" s="591"/>
      <c r="T152" s="591"/>
      <c r="U152" s="591"/>
      <c r="V152" s="591"/>
      <c r="W152" s="591"/>
      <c r="X152" s="591"/>
      <c r="Y152" s="591"/>
      <c r="Z152" s="591"/>
      <c r="AA152" s="591"/>
      <c r="AB152" s="591"/>
      <c r="AC152" s="591"/>
      <c r="AG152" s="591"/>
      <c r="AH152" s="591"/>
      <c r="AI152" s="591"/>
      <c r="AJ152" s="591"/>
      <c r="AK152" s="591"/>
      <c r="AM152" s="591"/>
      <c r="AN152" s="591"/>
      <c r="AO152" s="591"/>
      <c r="AP152" s="591"/>
      <c r="AQ152" s="591"/>
      <c r="AS152" s="591"/>
      <c r="AT152" s="591"/>
      <c r="AU152" s="591"/>
      <c r="AV152" s="591"/>
      <c r="AW152" s="591"/>
      <c r="AY152" s="591"/>
    </row>
    <row r="153" spans="1:51" hidden="1" x14ac:dyDescent="0.2">
      <c r="A153" s="2"/>
      <c r="B153" s="2"/>
      <c r="C153" s="2"/>
      <c r="D153" s="2"/>
      <c r="E153" s="2"/>
      <c r="F153" s="2"/>
      <c r="G153" s="756">
        <f>G46</f>
        <v>0</v>
      </c>
      <c r="H153" s="757">
        <f>H46</f>
        <v>0</v>
      </c>
      <c r="I153" s="757">
        <f>K46</f>
        <v>0</v>
      </c>
      <c r="J153" s="758">
        <f>N46</f>
        <v>0</v>
      </c>
      <c r="K153" s="2"/>
      <c r="L153" s="2"/>
      <c r="M153" s="2"/>
      <c r="N153" s="2"/>
      <c r="O153" s="2"/>
      <c r="P153" s="2"/>
      <c r="Q153" s="2"/>
      <c r="R153" s="2"/>
      <c r="S153" s="591"/>
      <c r="T153" s="591"/>
      <c r="U153" s="591"/>
      <c r="V153" s="591"/>
      <c r="W153" s="591"/>
      <c r="X153" s="591"/>
      <c r="Y153" s="591"/>
      <c r="Z153" s="591"/>
      <c r="AA153" s="591"/>
      <c r="AB153" s="591"/>
      <c r="AC153" s="591"/>
      <c r="AG153" s="591"/>
      <c r="AH153" s="591"/>
      <c r="AI153" s="591"/>
      <c r="AJ153" s="591"/>
      <c r="AK153" s="591"/>
      <c r="AM153" s="591"/>
      <c r="AN153" s="591"/>
      <c r="AO153" s="591"/>
      <c r="AP153" s="591"/>
      <c r="AQ153" s="591"/>
      <c r="AS153" s="591"/>
      <c r="AT153" s="591"/>
      <c r="AU153" s="591"/>
      <c r="AV153" s="591"/>
      <c r="AW153" s="591"/>
      <c r="AY153" s="591"/>
    </row>
    <row r="154" spans="1:51" ht="16.5" hidden="1" customHeight="1" x14ac:dyDescent="0.2">
      <c r="A154" s="2"/>
      <c r="B154" s="2"/>
      <c r="C154" s="2"/>
      <c r="D154" s="2"/>
      <c r="E154" s="2"/>
      <c r="F154" s="2"/>
      <c r="G154" s="756">
        <f>G48</f>
        <v>0</v>
      </c>
      <c r="H154" s="757">
        <f>H48</f>
        <v>0</v>
      </c>
      <c r="I154" s="757">
        <f>K48</f>
        <v>0</v>
      </c>
      <c r="J154" s="758">
        <f>N48</f>
        <v>0</v>
      </c>
      <c r="K154" s="2"/>
      <c r="L154" s="2"/>
      <c r="M154" s="2"/>
      <c r="N154" s="2"/>
      <c r="O154" s="2"/>
      <c r="P154" s="2"/>
      <c r="Q154" s="2"/>
      <c r="R154" s="2"/>
      <c r="S154" s="591"/>
      <c r="T154" s="591"/>
      <c r="U154" s="591"/>
      <c r="V154" s="591"/>
      <c r="W154" s="591"/>
      <c r="X154" s="591"/>
      <c r="Y154" s="591"/>
      <c r="Z154" s="591"/>
      <c r="AA154" s="591"/>
      <c r="AB154" s="591"/>
      <c r="AC154" s="591"/>
      <c r="AG154" s="591"/>
      <c r="AH154" s="591"/>
      <c r="AI154" s="591"/>
      <c r="AJ154" s="591"/>
      <c r="AK154" s="591"/>
      <c r="AM154" s="591"/>
      <c r="AN154" s="591"/>
      <c r="AO154" s="591"/>
      <c r="AP154" s="591"/>
      <c r="AQ154" s="591"/>
      <c r="AS154" s="591"/>
      <c r="AT154" s="591"/>
      <c r="AU154" s="591"/>
      <c r="AV154" s="591"/>
      <c r="AW154" s="591"/>
      <c r="AY154" s="591"/>
    </row>
    <row r="155" spans="1:51" ht="15" hidden="1" customHeight="1" x14ac:dyDescent="0.2">
      <c r="A155" s="2"/>
      <c r="B155" s="2"/>
      <c r="C155" s="2"/>
      <c r="D155" s="2"/>
      <c r="E155" s="2"/>
      <c r="F155" s="2"/>
      <c r="G155" s="753">
        <f>IF(G156="",0,VLOOKUP(G156,IMPOSTAZIONI!$R$131:$AD$145,13,FALSE))</f>
        <v>0</v>
      </c>
      <c r="H155" s="754">
        <f>IF(H156="",0,VLOOKUP(H156,IMPOSTAZIONI!$R$131:$AD$145,13,FALSE))</f>
        <v>0</v>
      </c>
      <c r="I155" s="754">
        <f>IF(I156="",0,VLOOKUP(I156,IMPOSTAZIONI!$R$131:$AD$145,13,FALSE))</f>
        <v>0</v>
      </c>
      <c r="J155" s="755">
        <f>IF(J156="",0,VLOOKUP(J156,IMPOSTAZIONI!$R$131:$AD$145,13,FALSE))</f>
        <v>0</v>
      </c>
      <c r="K155" s="2"/>
      <c r="L155" s="2"/>
      <c r="M155" s="2"/>
      <c r="N155" s="2"/>
      <c r="O155" s="2"/>
      <c r="P155" s="2"/>
      <c r="Q155" s="2"/>
      <c r="R155" s="2"/>
      <c r="S155" s="591"/>
      <c r="T155" s="591"/>
      <c r="U155" s="591"/>
      <c r="V155" s="591"/>
      <c r="W155" s="591"/>
      <c r="X155" s="591"/>
      <c r="Y155" s="591"/>
      <c r="Z155" s="591"/>
      <c r="AA155" s="591"/>
      <c r="AB155" s="591"/>
      <c r="AC155" s="591"/>
      <c r="AG155" s="591"/>
      <c r="AH155" s="591"/>
      <c r="AI155" s="591"/>
      <c r="AJ155" s="591"/>
      <c r="AK155" s="591"/>
      <c r="AM155" s="591"/>
      <c r="AN155" s="591"/>
      <c r="AO155" s="591"/>
      <c r="AP155" s="591"/>
      <c r="AQ155" s="591"/>
      <c r="AS155" s="591"/>
      <c r="AT155" s="591"/>
      <c r="AU155" s="591"/>
      <c r="AV155" s="591"/>
      <c r="AW155" s="591"/>
      <c r="AY155" s="591"/>
    </row>
    <row r="156" spans="1:51" ht="15" hidden="1" customHeight="1" x14ac:dyDescent="0.2">
      <c r="A156" s="2"/>
      <c r="B156" s="2"/>
      <c r="C156" s="2"/>
      <c r="D156" s="2"/>
      <c r="E156" s="2"/>
      <c r="F156" s="56"/>
      <c r="G156" s="752" t="str">
        <f>IMPOSTAZIONI!F206</f>
        <v/>
      </c>
      <c r="H156" s="752" t="str">
        <f>IMPOSTAZIONI!K206</f>
        <v/>
      </c>
      <c r="I156" s="752" t="str">
        <f>IMPOSTAZIONI!P206</f>
        <v/>
      </c>
      <c r="J156" s="752" t="str">
        <f>IMPOSTAZIONI!U206</f>
        <v/>
      </c>
      <c r="K156" s="2100" t="s">
        <v>195</v>
      </c>
      <c r="L156" s="2100"/>
      <c r="M156" s="2"/>
      <c r="N156" s="2"/>
      <c r="O156" s="2"/>
      <c r="P156" s="2"/>
      <c r="Q156" s="2"/>
      <c r="R156" s="2"/>
      <c r="S156" s="591"/>
      <c r="T156" s="591"/>
      <c r="U156" s="591"/>
      <c r="V156" s="591"/>
      <c r="W156" s="591"/>
      <c r="X156" s="591"/>
      <c r="Y156" s="591"/>
      <c r="Z156" s="591"/>
      <c r="AA156" s="591"/>
      <c r="AB156" s="591"/>
      <c r="AC156" s="591"/>
      <c r="AG156" s="591"/>
      <c r="AH156" s="591"/>
      <c r="AI156" s="591"/>
      <c r="AJ156" s="591"/>
      <c r="AK156" s="591"/>
      <c r="AM156" s="591"/>
      <c r="AN156" s="591"/>
      <c r="AO156" s="591"/>
      <c r="AP156" s="591"/>
      <c r="AQ156" s="591"/>
      <c r="AS156" s="591"/>
      <c r="AT156" s="591"/>
      <c r="AU156" s="591"/>
      <c r="AV156" s="591"/>
      <c r="AW156" s="591"/>
      <c r="AY156" s="591"/>
    </row>
    <row r="157" spans="1:51" ht="15" hidden="1" customHeight="1" x14ac:dyDescent="0.2">
      <c r="A157" s="2"/>
      <c r="B157" s="2"/>
      <c r="C157" s="2"/>
      <c r="D157" s="2"/>
      <c r="E157" s="288" t="str">
        <f>IMPOSTAZIONI!B321</f>
        <v>SC</v>
      </c>
      <c r="F157" s="56"/>
      <c r="G157" s="288" t="str">
        <f>IF(MID(G1,7,2)="",$E157,MID(G1,7,2))</f>
        <v>SC</v>
      </c>
      <c r="H157" s="288" t="str">
        <f>IF(MID(H1,7,2)="",$E157,MID(H1,7,2))</f>
        <v>SC</v>
      </c>
      <c r="I157" s="288" t="str">
        <f>IF(MID(K1,7,2)="",$E157,MID(K1,7,2))</f>
        <v>SC</v>
      </c>
      <c r="J157" s="288" t="str">
        <f>IF(MID(N1,7,2)="",$E157,MID(N1,7,2))</f>
        <v>SC</v>
      </c>
      <c r="K157" s="2100" t="str">
        <f>IMPOSTAZIONI!AH7</f>
        <v>Categoria</v>
      </c>
      <c r="L157" s="2100"/>
      <c r="M157" s="2"/>
      <c r="N157" s="2"/>
      <c r="O157" s="2"/>
      <c r="P157" s="2"/>
      <c r="Q157" s="2"/>
      <c r="R157" s="2"/>
      <c r="S157" s="591"/>
      <c r="T157" s="591"/>
      <c r="U157" s="591"/>
      <c r="V157" s="591"/>
      <c r="W157" s="591"/>
      <c r="X157" s="591"/>
      <c r="Y157" s="591"/>
      <c r="Z157" s="591"/>
      <c r="AA157" s="591"/>
      <c r="AB157" s="591"/>
      <c r="AC157" s="591"/>
      <c r="AG157" s="591"/>
      <c r="AH157" s="591"/>
      <c r="AI157" s="591"/>
      <c r="AJ157" s="591"/>
      <c r="AK157" s="591"/>
      <c r="AM157" s="591"/>
      <c r="AN157" s="591"/>
      <c r="AO157" s="591"/>
      <c r="AP157" s="591"/>
      <c r="AQ157" s="591"/>
      <c r="AS157" s="591"/>
      <c r="AT157" s="591"/>
      <c r="AU157" s="591"/>
      <c r="AV157" s="591"/>
      <c r="AW157" s="591"/>
      <c r="AY157" s="591"/>
    </row>
    <row r="158" spans="1:51" ht="15" hidden="1" customHeight="1" x14ac:dyDescent="0.2">
      <c r="A158" s="2"/>
      <c r="B158" s="2"/>
      <c r="C158" s="2"/>
      <c r="D158" s="2"/>
      <c r="E158" s="288" t="str">
        <f>IMPOSTAZIONI!B351</f>
        <v>%</v>
      </c>
      <c r="F158" s="56"/>
      <c r="G158" s="288" t="str">
        <f>IF(OR(G155&gt;0,G155="X"),$E158,IF(G156="","",MID(G1,4,2)))</f>
        <v/>
      </c>
      <c r="H158" s="288" t="str">
        <f>IF(OR(H155&gt;0,H155="X"),$E158,IF(H156="","",MID(H1,4,2)))</f>
        <v/>
      </c>
      <c r="I158" s="288" t="str">
        <f>IF(OR(I155&gt;0,I155="X"),$E158,IF(I156="","",MID(K1,4,2)))</f>
        <v/>
      </c>
      <c r="J158" s="288" t="str">
        <f>IF(OR(J155&gt;0,J155="X"),$E158,IF(J156="","",MID(N1,4,2)))</f>
        <v/>
      </c>
      <c r="K158" s="2100" t="str">
        <f>IMPOSTAZIONI!B337</f>
        <v>NO IVA</v>
      </c>
      <c r="L158" s="2100"/>
      <c r="M158" s="2"/>
      <c r="N158" s="2"/>
      <c r="O158" s="2"/>
      <c r="P158" s="2"/>
      <c r="Q158" s="2"/>
      <c r="R158" s="2"/>
      <c r="S158" s="591"/>
      <c r="T158" s="591"/>
      <c r="U158" s="591"/>
      <c r="V158" s="591"/>
      <c r="W158" s="591"/>
      <c r="X158" s="591"/>
      <c r="Y158" s="591"/>
      <c r="Z158" s="591"/>
      <c r="AA158" s="591"/>
      <c r="AB158" s="591"/>
      <c r="AC158" s="591"/>
      <c r="AG158" s="591"/>
      <c r="AH158" s="591"/>
      <c r="AI158" s="591"/>
      <c r="AJ158" s="591"/>
      <c r="AK158" s="591"/>
      <c r="AM158" s="591"/>
      <c r="AN158" s="591"/>
      <c r="AO158" s="591"/>
      <c r="AP158" s="591"/>
      <c r="AQ158" s="591"/>
      <c r="AS158" s="591"/>
      <c r="AT158" s="591"/>
      <c r="AU158" s="591"/>
      <c r="AV158" s="591"/>
      <c r="AW158" s="591"/>
      <c r="AY158" s="591"/>
    </row>
    <row r="159" spans="1:51" ht="15" hidden="1" customHeight="1" x14ac:dyDescent="0.2">
      <c r="A159" s="2"/>
      <c r="B159" s="2"/>
      <c r="C159" s="2"/>
      <c r="D159" s="2"/>
      <c r="E159" s="288"/>
      <c r="F159" s="56"/>
      <c r="G159" s="376" t="str">
        <f>MID(G1,1,2)</f>
        <v>--</v>
      </c>
      <c r="H159" s="376" t="str">
        <f>MID(H1,1,2)</f>
        <v>--</v>
      </c>
      <c r="I159" s="376" t="str">
        <f>MID(K1,1,2)</f>
        <v>--</v>
      </c>
      <c r="J159" s="376" t="str">
        <f>MID(N1,1,2)</f>
        <v>--</v>
      </c>
      <c r="K159" s="2100" t="str">
        <f>IMPOSTAZIONI!B354</f>
        <v>TIPO</v>
      </c>
      <c r="L159" s="2100"/>
      <c r="M159" s="2"/>
      <c r="N159" s="2"/>
      <c r="O159" s="2"/>
      <c r="P159" s="2"/>
      <c r="Q159" s="2"/>
      <c r="R159" s="2"/>
      <c r="S159" s="591"/>
      <c r="T159" s="591"/>
      <c r="U159" s="591"/>
      <c r="V159" s="591"/>
      <c r="W159" s="591"/>
      <c r="X159" s="591"/>
      <c r="Y159" s="591"/>
      <c r="Z159" s="591"/>
      <c r="AA159" s="591"/>
      <c r="AB159" s="591"/>
      <c r="AC159" s="591"/>
      <c r="AG159" s="591"/>
      <c r="AH159" s="591"/>
      <c r="AI159" s="591"/>
      <c r="AJ159" s="591"/>
      <c r="AK159" s="591"/>
      <c r="AM159" s="591"/>
      <c r="AN159" s="591"/>
      <c r="AO159" s="591"/>
      <c r="AP159" s="591"/>
      <c r="AQ159" s="591"/>
      <c r="AS159" s="591"/>
      <c r="AT159" s="591"/>
      <c r="AU159" s="591"/>
      <c r="AV159" s="591"/>
      <c r="AW159" s="591"/>
      <c r="AY159" s="591"/>
    </row>
    <row r="160" spans="1:51" ht="15" hidden="1" customHeight="1" x14ac:dyDescent="0.2">
      <c r="A160" s="2"/>
      <c r="B160" s="2"/>
      <c r="C160" s="2"/>
      <c r="D160" s="2"/>
      <c r="E160" s="288"/>
      <c r="F160" s="56"/>
      <c r="G160" s="951">
        <f>SUM(G101:G104)</f>
        <v>0</v>
      </c>
      <c r="H160" s="377">
        <f>SUM(H101:H104)</f>
        <v>0</v>
      </c>
      <c r="I160" s="377">
        <f>SUM(K101:K104)</f>
        <v>0</v>
      </c>
      <c r="J160" s="377">
        <f>SUM(N101:N104)</f>
        <v>0</v>
      </c>
      <c r="K160" s="2107" t="s">
        <v>529</v>
      </c>
      <c r="L160" s="2107"/>
      <c r="M160" s="14"/>
      <c r="N160" s="14"/>
      <c r="O160" s="14"/>
      <c r="P160" s="14"/>
      <c r="Q160" s="14"/>
      <c r="R160" s="2"/>
      <c r="S160" s="591"/>
      <c r="T160" s="591"/>
      <c r="U160" s="591"/>
      <c r="V160" s="591"/>
      <c r="W160" s="591"/>
      <c r="X160" s="591"/>
      <c r="Y160" s="591"/>
      <c r="Z160" s="591"/>
      <c r="AA160" s="591"/>
      <c r="AB160" s="591"/>
      <c r="AC160" s="591"/>
      <c r="AG160" s="591"/>
      <c r="AH160" s="591"/>
      <c r="AI160" s="591"/>
      <c r="AJ160" s="591"/>
      <c r="AK160" s="591"/>
      <c r="AM160" s="591"/>
      <c r="AN160" s="591"/>
      <c r="AO160" s="591"/>
      <c r="AP160" s="591"/>
      <c r="AQ160" s="591"/>
      <c r="AS160" s="591"/>
      <c r="AT160" s="591"/>
      <c r="AU160" s="591"/>
      <c r="AV160" s="591"/>
      <c r="AW160" s="591"/>
      <c r="AY160" s="591"/>
    </row>
    <row r="161" spans="1:51" ht="15" hidden="1" customHeight="1" x14ac:dyDescent="0.2">
      <c r="A161" s="2"/>
      <c r="B161" s="2"/>
      <c r="C161" s="2"/>
      <c r="D161" s="2"/>
      <c r="E161" s="72"/>
      <c r="F161" s="2"/>
      <c r="G161" s="950">
        <f>IF(AND(G42=$K134,G62=$L135),G48,0)</f>
        <v>0</v>
      </c>
      <c r="H161" s="950">
        <f>IF(AND(H42=$K134,H62=$L135),H48,0)</f>
        <v>0</v>
      </c>
      <c r="I161" s="950">
        <f>IF(AND(K42=$K134,K62=$L135),K48,0)</f>
        <v>0</v>
      </c>
      <c r="J161" s="950">
        <f>IF(AND(N42=$K134,N62=$L135),N48,0)</f>
        <v>0</v>
      </c>
      <c r="K161" s="211"/>
      <c r="L161" s="211"/>
      <c r="M161" s="211"/>
      <c r="N161" s="211"/>
      <c r="O161" s="211"/>
      <c r="P161" s="211"/>
      <c r="Q161" s="211"/>
      <c r="R161" s="2"/>
      <c r="S161" s="591"/>
      <c r="T161" s="591"/>
      <c r="U161" s="591"/>
      <c r="V161" s="591"/>
      <c r="W161" s="591"/>
      <c r="X161" s="591"/>
      <c r="Y161" s="591"/>
      <c r="Z161" s="591"/>
      <c r="AA161" s="591"/>
      <c r="AB161" s="591"/>
      <c r="AC161" s="591"/>
      <c r="AG161" s="591"/>
      <c r="AH161" s="591"/>
      <c r="AI161" s="591"/>
      <c r="AJ161" s="591"/>
      <c r="AK161" s="591"/>
      <c r="AM161" s="591"/>
      <c r="AN161" s="591"/>
      <c r="AO161" s="591"/>
      <c r="AP161" s="591"/>
      <c r="AQ161" s="591"/>
      <c r="AS161" s="591"/>
      <c r="AT161" s="591"/>
      <c r="AU161" s="591"/>
      <c r="AV161" s="591"/>
      <c r="AW161" s="591"/>
      <c r="AY161" s="591"/>
    </row>
    <row r="162" spans="1:51" hidden="1" x14ac:dyDescent="0.2">
      <c r="A162" s="2"/>
      <c r="B162" s="2086">
        <f>Presentazione!Q13</f>
        <v>45292</v>
      </c>
      <c r="C162" s="2087"/>
      <c r="D162" s="2088"/>
      <c r="E162" s="288" t="str">
        <f>CONCATENATE(CASSA!X485,"    ")</f>
        <v xml:space="preserve">Chiuso    </v>
      </c>
      <c r="F162" s="2"/>
      <c r="G162" s="950">
        <f>IF(G62&lt;&gt;$L134,G48-G161,0)</f>
        <v>0</v>
      </c>
      <c r="H162" s="950">
        <f>IF(H62&lt;&gt;$L134,H48-H161,0)</f>
        <v>0</v>
      </c>
      <c r="I162" s="950">
        <f>IF(K62&lt;&gt;$L134,K48-I161,0)</f>
        <v>0</v>
      </c>
      <c r="J162" s="950">
        <f>IF(N62&lt;&gt;$L134,N48-J161,0)</f>
        <v>0</v>
      </c>
      <c r="K162" s="2"/>
      <c r="L162" s="2"/>
      <c r="M162" s="2"/>
      <c r="N162" s="2"/>
      <c r="O162" s="2"/>
      <c r="P162" s="2"/>
      <c r="Q162" s="2"/>
      <c r="R162" s="2"/>
      <c r="S162" s="591"/>
      <c r="T162" s="591"/>
      <c r="U162" s="591"/>
      <c r="V162" s="591"/>
      <c r="W162" s="591"/>
      <c r="X162" s="591"/>
      <c r="Y162" s="591"/>
      <c r="Z162" s="591"/>
      <c r="AA162" s="591"/>
      <c r="AB162" s="591"/>
      <c r="AC162" s="591"/>
      <c r="AG162" s="591"/>
      <c r="AH162" s="591"/>
      <c r="AI162" s="591"/>
      <c r="AJ162" s="591"/>
      <c r="AK162" s="591"/>
      <c r="AM162" s="591"/>
      <c r="AN162" s="591"/>
      <c r="AO162" s="591"/>
      <c r="AP162" s="591"/>
      <c r="AQ162" s="591"/>
      <c r="AS162" s="591"/>
      <c r="AT162" s="591"/>
      <c r="AU162" s="591"/>
      <c r="AV162" s="591"/>
      <c r="AW162" s="591"/>
      <c r="AY162" s="591"/>
    </row>
    <row r="163" spans="1:51" ht="15" hidden="1" customHeight="1" x14ac:dyDescent="0.2">
      <c r="A163" s="2"/>
      <c r="B163" s="2086">
        <f>Presentazione!R13</f>
        <v>45382</v>
      </c>
      <c r="C163" s="2087"/>
      <c r="D163" s="2088"/>
      <c r="E163" s="288" t="str">
        <f>CONCATENATE(IMPOSTAZIONI!L188,"    ")</f>
        <v xml:space="preserve">ERROR    </v>
      </c>
      <c r="F163" s="232"/>
      <c r="G163" s="233" t="s">
        <v>299</v>
      </c>
      <c r="H163" s="60">
        <f>IMPOSTAZIONI!N387</f>
        <v>18</v>
      </c>
      <c r="I163" s="288">
        <f>IMPOSTAZIONI!Y153</f>
        <v>0</v>
      </c>
      <c r="J163" s="140" t="s">
        <v>463</v>
      </c>
      <c r="K163" s="233" t="s">
        <v>549</v>
      </c>
      <c r="L163" s="60">
        <f>Presentazione!E159</f>
        <v>0</v>
      </c>
      <c r="M163" s="170" t="s">
        <v>398</v>
      </c>
      <c r="N163" s="79">
        <v>1</v>
      </c>
      <c r="O163" s="508">
        <f>IF(OR(COUNTIF(G99:N99,E152)&gt;0,COUNTIF(G99:N99,K152)&gt;0,COUNTIF(G99:N99,L152)&gt;0,COUNTIF(G105:N105,E152)&gt;0,COUNTIF(G105:N105,K152)&gt;0,COUNTIF(G105:N105,L152)&gt;0,COUNTIF(C101:F104,"ERROR")&gt;0,COUNTIF(E8:F38,E163)&gt;0),1,0)</f>
        <v>0</v>
      </c>
      <c r="P163" s="509" t="s">
        <v>550</v>
      </c>
      <c r="Q163" s="2"/>
      <c r="R163" s="2"/>
      <c r="S163" s="591"/>
      <c r="T163" s="591"/>
      <c r="U163" s="591"/>
      <c r="V163" s="591"/>
      <c r="W163" s="591"/>
      <c r="X163" s="591"/>
      <c r="Y163" s="591"/>
      <c r="Z163" s="591"/>
      <c r="AA163" s="591"/>
      <c r="AB163" s="591"/>
      <c r="AC163" s="591"/>
      <c r="AG163" s="591"/>
      <c r="AH163" s="591"/>
      <c r="AI163" s="591"/>
      <c r="AJ163" s="591"/>
      <c r="AK163" s="591"/>
      <c r="AM163" s="591"/>
      <c r="AN163" s="591"/>
      <c r="AO163" s="591"/>
      <c r="AP163" s="591"/>
      <c r="AQ163" s="591"/>
      <c r="AS163" s="591"/>
      <c r="AT163" s="591"/>
      <c r="AU163" s="591"/>
      <c r="AV163" s="591"/>
      <c r="AW163" s="591"/>
      <c r="AY163" s="591"/>
    </row>
    <row r="164" spans="1:51" ht="15" hidden="1" customHeight="1" x14ac:dyDescent="0.2">
      <c r="A164" s="2"/>
      <c r="B164" s="2"/>
      <c r="C164" s="2"/>
      <c r="D164" s="2"/>
      <c r="E164" s="2"/>
      <c r="F164" s="2"/>
      <c r="G164" s="950">
        <f>IF(G42=$K134,0,G87)</f>
        <v>0</v>
      </c>
      <c r="H164" s="950">
        <f>IF(H42=$K134,0,H87)</f>
        <v>0</v>
      </c>
      <c r="I164" s="950">
        <f>IF(K42=$K134,0,I87)</f>
        <v>0</v>
      </c>
      <c r="J164" s="950">
        <f>IF(N42=$K134,0,K87)</f>
        <v>0</v>
      </c>
      <c r="K164" s="2"/>
      <c r="L164" s="2"/>
      <c r="M164" s="2"/>
      <c r="N164" s="2"/>
      <c r="O164" s="2"/>
      <c r="P164" s="2"/>
      <c r="Q164" s="2"/>
      <c r="R164" s="2"/>
      <c r="S164" s="591"/>
      <c r="T164" s="591"/>
      <c r="U164" s="591"/>
      <c r="V164" s="591"/>
      <c r="W164" s="591"/>
      <c r="X164" s="591"/>
      <c r="Y164" s="591"/>
      <c r="Z164" s="591"/>
      <c r="AA164" s="591"/>
      <c r="AB164" s="591"/>
      <c r="AC164" s="591"/>
      <c r="AG164" s="591"/>
      <c r="AH164" s="591"/>
      <c r="AI164" s="591"/>
      <c r="AJ164" s="591"/>
      <c r="AK164" s="591"/>
      <c r="AM164" s="591"/>
      <c r="AN164" s="591"/>
      <c r="AO164" s="591"/>
      <c r="AP164" s="591"/>
      <c r="AQ164" s="591"/>
      <c r="AS164" s="591"/>
      <c r="AT164" s="591"/>
      <c r="AU164" s="591"/>
      <c r="AV164" s="591"/>
      <c r="AW164" s="591"/>
      <c r="AY164" s="591"/>
    </row>
    <row r="165" spans="1:51" hidden="1" x14ac:dyDescent="0.2">
      <c r="A165" s="2"/>
      <c r="B165" s="2"/>
      <c r="C165" s="2"/>
      <c r="D165" s="2"/>
      <c r="E165" s="2"/>
      <c r="F165" s="2"/>
      <c r="G165" s="2"/>
      <c r="H165" s="2"/>
      <c r="I165" s="2"/>
      <c r="J165" s="2"/>
      <c r="K165" s="2"/>
      <c r="L165" s="2"/>
      <c r="M165" s="2"/>
      <c r="N165" s="2"/>
      <c r="O165" s="2"/>
      <c r="P165" s="2"/>
      <c r="Q165" s="2"/>
      <c r="R165" s="2"/>
      <c r="S165" s="591"/>
      <c r="T165" s="591"/>
      <c r="U165" s="591"/>
      <c r="V165" s="591"/>
      <c r="W165" s="591"/>
      <c r="X165" s="591"/>
      <c r="Y165" s="591"/>
      <c r="Z165" s="591"/>
      <c r="AA165" s="591"/>
      <c r="AB165" s="591"/>
      <c r="AC165" s="591"/>
      <c r="AG165" s="591"/>
      <c r="AH165" s="591"/>
      <c r="AI165" s="591"/>
      <c r="AJ165" s="591"/>
      <c r="AK165" s="591"/>
      <c r="AM165" s="591"/>
      <c r="AN165" s="591"/>
      <c r="AO165" s="591"/>
      <c r="AP165" s="591"/>
      <c r="AQ165" s="591"/>
      <c r="AS165" s="591"/>
      <c r="AT165" s="591"/>
      <c r="AU165" s="591"/>
      <c r="AV165" s="591"/>
      <c r="AW165" s="591"/>
      <c r="AY165" s="591"/>
    </row>
    <row r="166" spans="1:51" ht="22.5" customHeight="1" x14ac:dyDescent="0.2">
      <c r="A166" s="2"/>
      <c r="B166" s="2"/>
      <c r="C166" s="2"/>
      <c r="D166" s="2"/>
      <c r="E166" s="2"/>
      <c r="F166" s="2"/>
      <c r="G166" s="624">
        <v>1</v>
      </c>
      <c r="H166" s="624">
        <v>2</v>
      </c>
      <c r="I166" s="2229">
        <v>5</v>
      </c>
      <c r="J166" s="2229"/>
      <c r="K166" s="624">
        <v>8</v>
      </c>
      <c r="L166" s="2"/>
      <c r="M166" s="2228" t="s">
        <v>193</v>
      </c>
      <c r="N166" s="2228"/>
      <c r="O166" s="2"/>
      <c r="P166" s="2"/>
      <c r="Q166" s="2"/>
      <c r="R166" s="591"/>
      <c r="S166" s="591"/>
      <c r="T166" s="591"/>
      <c r="U166" s="591"/>
      <c r="V166" s="591"/>
      <c r="W166" s="591"/>
      <c r="X166" s="591"/>
      <c r="Y166" s="591"/>
      <c r="Z166" s="591"/>
      <c r="AA166" s="591"/>
      <c r="AB166" s="591"/>
      <c r="AC166" s="591"/>
      <c r="AG166" s="591"/>
      <c r="AS166" s="591"/>
    </row>
    <row r="167" spans="1:51" ht="18" customHeight="1" x14ac:dyDescent="0.2">
      <c r="A167" s="2"/>
      <c r="B167" s="2"/>
      <c r="C167" s="2084" t="s">
        <v>175</v>
      </c>
      <c r="D167" s="2084"/>
      <c r="E167" s="2085">
        <f>E43</f>
        <v>2024</v>
      </c>
      <c r="F167" s="2085">
        <f>F43</f>
        <v>0</v>
      </c>
      <c r="G167" s="590" t="str">
        <f>G43</f>
        <v/>
      </c>
      <c r="H167" s="590" t="str">
        <f>H43</f>
        <v/>
      </c>
      <c r="I167" s="2232" t="str">
        <f>K43</f>
        <v/>
      </c>
      <c r="J167" s="2232"/>
      <c r="K167" s="590" t="str">
        <f>N43</f>
        <v/>
      </c>
      <c r="L167" s="2"/>
      <c r="M167" s="908" t="s">
        <v>717</v>
      </c>
      <c r="N167" s="2"/>
      <c r="O167" s="2"/>
      <c r="P167" s="2"/>
      <c r="Q167" s="2"/>
      <c r="R167" s="591"/>
      <c r="S167" s="591"/>
      <c r="T167" s="591"/>
      <c r="U167" s="591"/>
      <c r="V167" s="591"/>
      <c r="W167" s="591"/>
      <c r="X167" s="591"/>
      <c r="Y167" s="591"/>
      <c r="Z167" s="591"/>
      <c r="AA167" s="591"/>
      <c r="AB167" s="591"/>
      <c r="AC167" s="591"/>
      <c r="AG167" s="591"/>
      <c r="AS167" s="591"/>
    </row>
    <row r="168" spans="1:51" ht="22.5" customHeight="1" x14ac:dyDescent="0.2">
      <c r="A168" s="2"/>
      <c r="B168" s="2"/>
      <c r="C168" s="2091" t="s">
        <v>298</v>
      </c>
      <c r="D168" s="2091"/>
      <c r="E168" s="2091"/>
      <c r="F168" s="2091"/>
      <c r="G168" s="57" t="str">
        <f>G44</f>
        <v/>
      </c>
      <c r="H168" s="57" t="str">
        <f>H44</f>
        <v/>
      </c>
      <c r="I168" s="2230" t="str">
        <f>K44</f>
        <v/>
      </c>
      <c r="J168" s="2230"/>
      <c r="K168" s="57" t="str">
        <f>N44</f>
        <v/>
      </c>
      <c r="L168" s="2"/>
      <c r="M168" s="2228" t="s">
        <v>719</v>
      </c>
      <c r="N168" s="2228"/>
      <c r="O168" s="2"/>
      <c r="P168" s="2"/>
      <c r="Q168" s="2"/>
      <c r="R168" s="591"/>
      <c r="S168" s="591"/>
      <c r="T168" s="591"/>
      <c r="U168" s="591"/>
      <c r="V168" s="591"/>
      <c r="W168" s="591"/>
      <c r="X168" s="591"/>
      <c r="Y168" s="591"/>
      <c r="Z168" s="591"/>
      <c r="AA168" s="591"/>
      <c r="AB168" s="591"/>
      <c r="AC168" s="591"/>
      <c r="AG168" s="591"/>
      <c r="AS168" s="591"/>
    </row>
    <row r="169" spans="1:51" ht="19.5" customHeight="1" x14ac:dyDescent="0.2">
      <c r="A169" s="2"/>
      <c r="B169" s="2"/>
      <c r="C169" s="2094" t="str">
        <f>C95</f>
        <v>01/05 - 31/05</v>
      </c>
      <c r="D169" s="2095"/>
      <c r="E169" s="2095"/>
      <c r="F169" s="2095"/>
      <c r="G169" s="90" t="str">
        <f>G45</f>
        <v/>
      </c>
      <c r="H169" s="90" t="str">
        <f>H45</f>
        <v/>
      </c>
      <c r="I169" s="2231" t="str">
        <f>K45</f>
        <v/>
      </c>
      <c r="J169" s="2231"/>
      <c r="K169" s="90" t="str">
        <f>N45</f>
        <v/>
      </c>
      <c r="L169" s="2"/>
      <c r="M169" s="12"/>
      <c r="N169" s="2"/>
      <c r="O169" s="2"/>
      <c r="P169" s="2"/>
      <c r="Q169" s="2"/>
      <c r="R169" s="591"/>
      <c r="S169" s="591"/>
      <c r="T169" s="591"/>
      <c r="U169" s="591"/>
      <c r="V169" s="591"/>
      <c r="W169" s="591"/>
      <c r="X169" s="591"/>
      <c r="Y169" s="591"/>
      <c r="Z169" s="591"/>
      <c r="AA169" s="591"/>
      <c r="AB169" s="591"/>
      <c r="AC169" s="591"/>
      <c r="AG169" s="591"/>
      <c r="AS169" s="591"/>
    </row>
    <row r="170" spans="1:51" ht="7.5" customHeight="1" x14ac:dyDescent="0.2">
      <c r="A170" s="2"/>
      <c r="B170" s="2"/>
      <c r="C170" s="2089"/>
      <c r="D170" s="2090"/>
      <c r="E170" s="484"/>
      <c r="F170" s="2"/>
      <c r="G170" s="597">
        <f>IF(AND(G$180&lt;&gt;0,G$180&gt;0),IF(($E$171*9)&gt;=G$180,0,1),IF(AND(G$180&lt;&gt;0,G$180&lt;0),IF(($E$171*9)&lt;=G$180,0,1),0))</f>
        <v>0</v>
      </c>
      <c r="H170" s="597">
        <f>IF(AND(H$180&lt;&gt;0,H$180&gt;0),IF(($E$171*9)&gt;=H$180,0,1),IF(AND(H$180&lt;&gt;0,H$180&lt;0),IF(($E$171*9)&lt;=H$180,0,1),0))</f>
        <v>0</v>
      </c>
      <c r="I170" s="2104">
        <f>IF(AND(I$180&lt;&gt;0,I$180&gt;0),IF(($E$171*9)&gt;=I$180,0,1),IF(AND(I$180&lt;&gt;0,I$180&lt;0),IF(($E$171*9)&lt;=I$180,0,1),0))</f>
        <v>0</v>
      </c>
      <c r="J170" s="2105"/>
      <c r="K170" s="597">
        <f>IF(AND(K$180&lt;&gt;0,K$180&gt;0),IF(($E$171*9)&gt;=K$180,0,1),IF(AND(K$180&lt;&gt;0,K$180&lt;0),IF(($E$171*9)&lt;=K$180,0,1),0))</f>
        <v>0</v>
      </c>
      <c r="L170" s="2"/>
      <c r="M170" s="2"/>
      <c r="N170" s="2"/>
      <c r="O170" s="2"/>
      <c r="P170" s="2"/>
      <c r="Q170" s="2"/>
      <c r="R170" s="591"/>
      <c r="S170" s="591"/>
      <c r="T170" s="591"/>
      <c r="U170" s="591"/>
      <c r="V170" s="591"/>
      <c r="W170" s="591"/>
      <c r="X170" s="591"/>
      <c r="Y170" s="591"/>
      <c r="Z170" s="591"/>
      <c r="AA170" s="591"/>
      <c r="AB170" s="591"/>
      <c r="AC170" s="591"/>
      <c r="AG170" s="591"/>
      <c r="AS170" s="591"/>
    </row>
    <row r="171" spans="1:51" ht="7.5" customHeight="1" x14ac:dyDescent="0.2">
      <c r="A171" s="2"/>
      <c r="B171" s="2"/>
      <c r="C171" s="2096" t="s">
        <v>587</v>
      </c>
      <c r="D171" s="2096"/>
      <c r="E171" s="2098">
        <f>IF(OR(M166=0,M168=""),0,IF(M168=E220,E221,MAX(G180:K180)/10))</f>
        <v>0</v>
      </c>
      <c r="F171" s="2"/>
      <c r="G171" s="598">
        <f>IF(AND(G$180&lt;&gt;0,G$180&gt;0),IF(($E$171*8)&gt;=G$180,0,1),IF(AND(G$180&lt;&gt;0,G$180&lt;0),IF(($E$171*8)&lt;=G$180,0,1),0))</f>
        <v>0</v>
      </c>
      <c r="H171" s="598">
        <f>IF(AND(H$180&lt;&gt;0,H$180&gt;0),IF(($E$171*8)&gt;=H$180,0,1),IF(AND(H$180&lt;&gt;0,H$180&lt;0),IF(($E$171*8)&lt;=H$180,0,1),0))</f>
        <v>0</v>
      </c>
      <c r="I171" s="2061">
        <f>IF(AND(I$180&lt;&gt;0,I$180&gt;0),IF(($E$171*8)&gt;=I$180,0,1),IF(AND(I$180&lt;&gt;0,I$180&lt;0),IF(($E$171*8)&lt;=I$180,0,1),0))</f>
        <v>0</v>
      </c>
      <c r="J171" s="2062"/>
      <c r="K171" s="598">
        <f>IF(AND(K$180&lt;&gt;0,K$180&gt;0),IF(($E$171*8)&gt;=K$180,0,1),IF(AND(K$180&lt;&gt;0,K$180&lt;0),IF(($E$171*8)&lt;=K$180,0,1),0))</f>
        <v>0</v>
      </c>
      <c r="L171" s="2"/>
      <c r="M171" s="2"/>
      <c r="N171" s="2"/>
      <c r="O171" s="2"/>
      <c r="P171" s="2"/>
      <c r="Q171" s="2"/>
      <c r="R171" s="591"/>
      <c r="S171" s="591"/>
      <c r="T171" s="591"/>
      <c r="U171" s="591"/>
      <c r="V171" s="591"/>
      <c r="W171" s="591"/>
      <c r="X171" s="591"/>
      <c r="AA171" s="591"/>
      <c r="AB171" s="591"/>
      <c r="AC171" s="591"/>
      <c r="AG171" s="591"/>
      <c r="AS171" s="591"/>
    </row>
    <row r="172" spans="1:51" ht="7.5" customHeight="1" x14ac:dyDescent="0.2">
      <c r="A172" s="2"/>
      <c r="B172" s="2"/>
      <c r="C172" s="2097"/>
      <c r="D172" s="2097"/>
      <c r="E172" s="2098"/>
      <c r="F172" s="2"/>
      <c r="G172" s="598">
        <f>IF(AND(G$180&lt;&gt;0,G$180&gt;0),IF(($E$171*7)&gt;=G$180,0,1),IF(AND(G$180&lt;&gt;0,G$180&lt;0),IF(($E$171*7)&lt;=G$180,0,1),0))</f>
        <v>0</v>
      </c>
      <c r="H172" s="598">
        <f>IF(AND(H$180&lt;&gt;0,H$180&gt;0),IF(($E$171*7)&gt;=H$180,0,1),IF(AND(H$180&lt;&gt;0,H$180&lt;0),IF(($E$171*7)&lt;=H$180,0,1),0))</f>
        <v>0</v>
      </c>
      <c r="I172" s="2061">
        <f>IF(AND(I$180&lt;&gt;0,I$180&gt;0),IF(($E$171*7)&gt;=I$180,0,1),IF(AND(I$180&lt;&gt;0,I$180&lt;0),IF(($E$171*7)&lt;=I$180,0,1),0))</f>
        <v>0</v>
      </c>
      <c r="J172" s="2062"/>
      <c r="K172" s="598">
        <f>IF(AND(K$180&lt;&gt;0,K$180&gt;0),IF(($E$171*7)&gt;=K$180,0,1),IF(AND(K$180&lt;&gt;0,K$180&lt;0),IF(($E$171*7)&lt;=K$180,0,1),0))</f>
        <v>0</v>
      </c>
      <c r="L172" s="2"/>
      <c r="M172" s="2"/>
      <c r="N172" s="2"/>
      <c r="O172" s="2"/>
      <c r="P172" s="2"/>
      <c r="Q172" s="2"/>
      <c r="R172" s="591"/>
      <c r="S172" s="591"/>
      <c r="T172" s="591"/>
      <c r="U172" s="591"/>
      <c r="V172" s="591"/>
      <c r="W172" s="591"/>
      <c r="X172" s="591"/>
      <c r="AA172" s="591"/>
      <c r="AB172" s="591"/>
      <c r="AC172" s="591"/>
      <c r="AG172" s="591"/>
      <c r="AS172" s="591"/>
    </row>
    <row r="173" spans="1:51" ht="7.5" customHeight="1" x14ac:dyDescent="0.2">
      <c r="A173" s="2"/>
      <c r="B173" s="2"/>
      <c r="C173" s="2"/>
      <c r="D173" s="2"/>
      <c r="E173" s="2"/>
      <c r="F173" s="2"/>
      <c r="G173" s="598">
        <f>IF(AND(G$180&lt;&gt;0,G$180&gt;0),IF(($E$171*6)&gt;=G$180,0,1),IF(AND(G$180&lt;&gt;0,G$180&lt;0),IF(($E$171*6)&lt;=G$180,0,1),0))</f>
        <v>0</v>
      </c>
      <c r="H173" s="598">
        <f>IF(AND(H$180&lt;&gt;0,H$180&gt;0),IF(($E$171*6)&gt;=H$180,0,1),IF(AND(H$180&lt;&gt;0,H$180&lt;0),IF(($E$171*6)&lt;=H$180,0,1),0))</f>
        <v>0</v>
      </c>
      <c r="I173" s="2061">
        <f>IF(AND(I$180&lt;&gt;0,I$180&gt;0),IF(($E$171*6)&gt;=I$180,0,1),IF(AND(I$180&lt;&gt;0,I$180&lt;0),IF(($E$171*6)&lt;=I$180,0,1),0))</f>
        <v>0</v>
      </c>
      <c r="J173" s="2062"/>
      <c r="K173" s="598">
        <f>IF(AND(K$180&lt;&gt;0,K$180&gt;0),IF(($E$171*6)&gt;=K$180,0,1),IF(AND(K$180&lt;&gt;0,K$180&lt;0),IF(($E$171*6)&lt;=K$180,0,1),0))</f>
        <v>0</v>
      </c>
      <c r="L173" s="2"/>
      <c r="M173" s="2"/>
      <c r="N173" s="2"/>
      <c r="O173" s="2"/>
      <c r="P173" s="2"/>
      <c r="Q173" s="2"/>
      <c r="R173" s="591"/>
      <c r="S173" s="591"/>
      <c r="T173" s="591"/>
      <c r="U173" s="591"/>
      <c r="V173" s="591"/>
      <c r="W173" s="591"/>
      <c r="X173" s="591"/>
      <c r="AA173" s="591"/>
      <c r="AB173" s="591"/>
      <c r="AC173" s="591"/>
      <c r="AG173" s="591"/>
      <c r="AS173" s="591"/>
    </row>
    <row r="174" spans="1:51" ht="7.5" customHeight="1" x14ac:dyDescent="0.2">
      <c r="A174" s="2"/>
      <c r="B174" s="2"/>
      <c r="C174" s="2"/>
      <c r="D174" s="2"/>
      <c r="E174" s="2"/>
      <c r="F174" s="2"/>
      <c r="G174" s="598">
        <f>IF(AND(G$180&lt;&gt;0,G$180&gt;0),IF(($E$171*5)&gt;=G$180,0,1),IF(AND(G$180&lt;&gt;0,G$180&lt;0),IF(($E$171*5)&lt;=G$180,0,1),0))</f>
        <v>0</v>
      </c>
      <c r="H174" s="598">
        <f>IF(AND(H$180&lt;&gt;0,H$180&gt;0),IF(($E$171*5)&gt;=H$180,0,1),IF(AND(H$180&lt;&gt;0,H$180&lt;0),IF(($E$171*5)&lt;=H$180,0,1),0))</f>
        <v>0</v>
      </c>
      <c r="I174" s="2061">
        <f>IF(AND(I$180&lt;&gt;0,I$180&gt;0),IF(($E$171*5)&gt;=I$180,0,1),IF(AND(I$180&lt;&gt;0,I$180&lt;0),IF(($E$171*5)&lt;=I$180,0,1),0))</f>
        <v>0</v>
      </c>
      <c r="J174" s="2062"/>
      <c r="K174" s="598">
        <f>IF(AND(K$180&lt;&gt;0,K$180&gt;0),IF(($E$171*5)&gt;=K$180,0,1),IF(AND(K$180&lt;&gt;0,K$180&lt;0),IF(($E$171*5)&lt;=K$180,0,1),0))</f>
        <v>0</v>
      </c>
      <c r="L174" s="2"/>
      <c r="M174" s="2"/>
      <c r="N174" s="2"/>
      <c r="O174" s="2"/>
      <c r="P174" s="2"/>
      <c r="Q174" s="2"/>
      <c r="R174" s="591"/>
      <c r="S174" s="591"/>
      <c r="T174" s="591"/>
      <c r="U174" s="591"/>
      <c r="V174" s="591"/>
      <c r="W174" s="591"/>
      <c r="X174" s="591"/>
      <c r="AA174" s="591"/>
      <c r="AB174" s="591"/>
      <c r="AC174" s="591"/>
      <c r="AG174" s="591"/>
      <c r="AS174" s="591"/>
    </row>
    <row r="175" spans="1:51" ht="7.5" customHeight="1" x14ac:dyDescent="0.2">
      <c r="A175" s="2"/>
      <c r="B175" s="2"/>
      <c r="C175" s="2"/>
      <c r="D175" s="2"/>
      <c r="E175" s="2"/>
      <c r="F175" s="2"/>
      <c r="G175" s="598">
        <f>IF(AND(G$180&lt;&gt;0,G$180&gt;0),IF(($E$171*4)&gt;=G$180,0,1),IF(AND(G$180&lt;&gt;0,G$180&lt;0),IF(($E$171*4)&lt;=G$180,0,1),0))</f>
        <v>0</v>
      </c>
      <c r="H175" s="598">
        <f>IF(AND(H$180&lt;&gt;0,H$180&gt;0),IF(($E$171*4)&gt;=H$180,0,1),IF(AND(H$180&lt;&gt;0,H$180&lt;0),IF(($E$171*4)&lt;=H$180,0,1),0))</f>
        <v>0</v>
      </c>
      <c r="I175" s="2061">
        <f>IF(AND(I$180&lt;&gt;0,I$180&gt;0),IF(($E$171*4)&gt;=I$180,0,1),IF(AND(I$180&lt;&gt;0,I$180&lt;0),IF(($E$171*4)&lt;=I$180,0,1),0))</f>
        <v>0</v>
      </c>
      <c r="J175" s="2062"/>
      <c r="K175" s="598">
        <f>IF(AND(K$180&lt;&gt;0,K$180&gt;0),IF(($E$171*4)&gt;=K$180,0,1),IF(AND(K$180&lt;&gt;0,K$180&lt;0),IF(($E$171*4)&lt;=K$180,0,1),0))</f>
        <v>0</v>
      </c>
      <c r="L175" s="2"/>
      <c r="M175" s="2"/>
      <c r="N175" s="2"/>
      <c r="O175" s="2"/>
      <c r="P175" s="2"/>
      <c r="Q175" s="2"/>
      <c r="R175" s="591"/>
      <c r="S175" s="591"/>
      <c r="T175" s="591"/>
      <c r="U175" s="591"/>
      <c r="V175" s="591"/>
      <c r="W175" s="591"/>
      <c r="X175" s="591"/>
      <c r="AA175" s="591"/>
      <c r="AB175" s="591"/>
      <c r="AC175" s="591"/>
      <c r="AG175" s="591"/>
      <c r="AS175" s="591"/>
    </row>
    <row r="176" spans="1:51" ht="7.5" customHeight="1" x14ac:dyDescent="0.2">
      <c r="A176" s="2"/>
      <c r="B176" s="2"/>
      <c r="C176" s="2"/>
      <c r="D176" s="2"/>
      <c r="E176" s="2"/>
      <c r="F176" s="2"/>
      <c r="G176" s="598">
        <f>IF(AND(G$180&lt;&gt;0,G$180&gt;0),IF(($E$171*3)&gt;=G$180,0,1),IF(AND(G$180&lt;&gt;0,G$180&lt;0),IF(($E$171*3)&lt;=G$180,0,1),0))</f>
        <v>0</v>
      </c>
      <c r="H176" s="598">
        <f>IF(AND(H$180&lt;&gt;0,H$180&gt;0),IF(($E$171*3)&gt;=H$180,0,1),IF(AND(H$180&lt;&gt;0,H$180&lt;0),IF(($E$171*3)&lt;=H$180,0,1),0))</f>
        <v>0</v>
      </c>
      <c r="I176" s="2061">
        <f>IF(AND(I$180&lt;&gt;0,I$180&gt;0),IF(($E$171*3)&gt;=I$180,0,1),IF(AND(I$180&lt;&gt;0,I$180&lt;0),IF(($E$171*3)&lt;=I$180,0,1),0))</f>
        <v>0</v>
      </c>
      <c r="J176" s="2062"/>
      <c r="K176" s="598">
        <f>IF(AND(K$180&lt;&gt;0,K$180&gt;0),IF(($E$171*3)&gt;=K$180,0,1),IF(AND(K$180&lt;&gt;0,K$180&lt;0),IF(($E$171*3)&lt;=K$180,0,1),0))</f>
        <v>0</v>
      </c>
      <c r="L176" s="2"/>
      <c r="M176" s="2"/>
      <c r="N176" s="2"/>
      <c r="O176" s="2"/>
      <c r="P176" s="2"/>
      <c r="Q176" s="2"/>
      <c r="R176" s="591"/>
      <c r="S176" s="591"/>
      <c r="T176" s="591"/>
      <c r="U176" s="591"/>
      <c r="V176" s="591"/>
      <c r="W176" s="591"/>
      <c r="X176" s="591"/>
      <c r="AA176" s="591"/>
      <c r="AB176" s="591"/>
      <c r="AC176" s="591"/>
      <c r="AG176" s="591"/>
      <c r="AS176" s="591"/>
    </row>
    <row r="177" spans="1:45" ht="7.5" customHeight="1" x14ac:dyDescent="0.2">
      <c r="A177" s="2"/>
      <c r="B177" s="2"/>
      <c r="C177" s="2"/>
      <c r="D177" s="2"/>
      <c r="E177" s="2"/>
      <c r="F177" s="2"/>
      <c r="G177" s="598">
        <f>IF(AND(G$180&lt;&gt;0,G$180&gt;0),IF(($E$171*2)&gt;=G$180,0,1),IF(AND(G$180&lt;&gt;0,G$180&lt;0),IF(($E$171*2)&lt;=G$180,0,1),0))</f>
        <v>0</v>
      </c>
      <c r="H177" s="598">
        <f>IF(AND(H$180&lt;&gt;0,H$180&gt;0),IF(($E$171*2)&gt;=H$180,0,1),IF(AND(H$180&lt;&gt;0,H$180&lt;0),IF(($E$171*2)&lt;=H$180,0,1),0))</f>
        <v>0</v>
      </c>
      <c r="I177" s="2061">
        <f>IF(AND(I$180&lt;&gt;0,I$180&gt;0),IF(($E$171*2)&gt;=I$180,0,1),IF(AND(I$180&lt;&gt;0,I$180&lt;0),IF(($E$171*2)&lt;=I$180,0,1),0))</f>
        <v>0</v>
      </c>
      <c r="J177" s="2062"/>
      <c r="K177" s="598">
        <f>IF(AND(K$180&lt;&gt;0,K$180&gt;0),IF(($E$171*2)&gt;=K$180,0,1),IF(AND(K$180&lt;&gt;0,K$180&lt;0),IF(($E$171*2)&lt;=K$180,0,1),0))</f>
        <v>0</v>
      </c>
      <c r="L177" s="2"/>
      <c r="M177" s="2"/>
      <c r="N177" s="2"/>
      <c r="O177" s="2"/>
      <c r="P177" s="2"/>
      <c r="Q177" s="2"/>
      <c r="R177" s="591"/>
      <c r="S177" s="591"/>
      <c r="T177" s="591"/>
      <c r="U177" s="591"/>
      <c r="V177" s="591"/>
      <c r="W177" s="591"/>
      <c r="X177" s="591"/>
      <c r="AA177" s="591"/>
      <c r="AB177" s="591"/>
      <c r="AC177" s="591"/>
      <c r="AG177" s="591"/>
      <c r="AS177" s="591"/>
    </row>
    <row r="178" spans="1:45" ht="7.5" customHeight="1" x14ac:dyDescent="0.2">
      <c r="A178" s="2"/>
      <c r="B178" s="2"/>
      <c r="C178" s="2"/>
      <c r="D178" s="2"/>
      <c r="E178" s="2"/>
      <c r="F178" s="2"/>
      <c r="G178" s="598">
        <f>IF(AND(G$180&lt;&gt;0,G$180&gt;0),IF(($E$171*1)&gt;=G$180,0,1),IF(AND(G$180&lt;&gt;0,G$180&lt;0),IF(($E$171*1)&lt;=G$180,0,1),0))</f>
        <v>0</v>
      </c>
      <c r="H178" s="598">
        <f>IF(AND(H$180&lt;&gt;0,H$180&gt;0),IF(($E$171*1)&gt;=H$180,0,1),IF(AND(H$180&lt;&gt;0,H$180&lt;0),IF(($E$171*1)&lt;=H$180,0,1),0))</f>
        <v>0</v>
      </c>
      <c r="I178" s="2061">
        <f>IF(AND(I$180&lt;&gt;0,I$180&gt;0),IF(($E$171*1)&gt;=I$180,0,1),IF(AND(I$180&lt;&gt;0,I$180&lt;0),IF(($E$171*1)&lt;=I$180,0,1),0))</f>
        <v>0</v>
      </c>
      <c r="J178" s="2062"/>
      <c r="K178" s="598">
        <f>IF(AND(K$180&lt;&gt;0,K$180&gt;0),IF(($E$171*1)&gt;=K$180,0,1),IF(AND(K$180&lt;&gt;0,K$180&lt;0),IF(($E$171*1)&lt;=K$180,0,1),0))</f>
        <v>0</v>
      </c>
      <c r="L178" s="2"/>
      <c r="M178" s="2"/>
      <c r="N178" s="2"/>
      <c r="O178" s="2"/>
      <c r="P178" s="2"/>
      <c r="Q178" s="2"/>
      <c r="R178" s="591"/>
      <c r="S178" s="591"/>
      <c r="T178" s="591"/>
      <c r="U178" s="591"/>
      <c r="V178" s="591"/>
      <c r="W178" s="591"/>
      <c r="X178" s="591"/>
      <c r="AA178" s="591"/>
      <c r="AB178" s="591"/>
      <c r="AC178" s="591"/>
      <c r="AG178" s="591"/>
      <c r="AS178" s="591"/>
    </row>
    <row r="179" spans="1:45" ht="7.5" customHeight="1" x14ac:dyDescent="0.2">
      <c r="A179" s="2"/>
      <c r="B179" s="2"/>
      <c r="C179" s="2"/>
      <c r="D179" s="2"/>
      <c r="E179" s="2"/>
      <c r="F179" s="2"/>
      <c r="G179" s="599">
        <f>IF(G180&lt;&gt;0,1,0)</f>
        <v>0</v>
      </c>
      <c r="H179" s="599">
        <f>IF(H180&lt;&gt;0,1,0)</f>
        <v>0</v>
      </c>
      <c r="I179" s="2199">
        <f>IF(I180&lt;&gt;0,1,0)</f>
        <v>0</v>
      </c>
      <c r="J179" s="2200"/>
      <c r="K179" s="599">
        <f>IF(K180&lt;&gt;0,1,0)</f>
        <v>0</v>
      </c>
      <c r="L179" s="2"/>
      <c r="M179" s="2"/>
      <c r="N179" s="2"/>
      <c r="O179" s="2"/>
      <c r="P179" s="2"/>
      <c r="Q179" s="2"/>
      <c r="R179" s="591"/>
      <c r="S179" s="591"/>
      <c r="T179" s="591"/>
      <c r="U179" s="591"/>
      <c r="V179" s="591"/>
      <c r="W179" s="591"/>
      <c r="X179" s="591"/>
      <c r="AA179" s="591"/>
      <c r="AB179" s="591"/>
      <c r="AC179" s="591"/>
      <c r="AG179" s="591"/>
      <c r="AS179" s="591"/>
    </row>
    <row r="180" spans="1:45" ht="21.95" customHeight="1" x14ac:dyDescent="0.2">
      <c r="A180" s="2"/>
      <c r="B180" s="7"/>
      <c r="C180" s="2092" t="s">
        <v>582</v>
      </c>
      <c r="D180" s="2092"/>
      <c r="E180" s="2093">
        <f>SUM(G180:K180)</f>
        <v>0</v>
      </c>
      <c r="F180" s="2093"/>
      <c r="G180" s="623">
        <f>VLOOKUP($M166,$C46:G48,G166+4,FALSE)</f>
        <v>0</v>
      </c>
      <c r="H180" s="623">
        <f>VLOOKUP($M166,$C46:H48,H166+4,FALSE)</f>
        <v>0</v>
      </c>
      <c r="I180" s="2196">
        <f>VLOOKUP($M166,$C46:K48,I166+4,FALSE)</f>
        <v>0</v>
      </c>
      <c r="J180" s="2196"/>
      <c r="K180" s="623">
        <f>VLOOKUP($M166,$C46:N48,K166+4,FALSE)</f>
        <v>0</v>
      </c>
      <c r="L180" s="2"/>
      <c r="M180" s="12"/>
      <c r="N180" s="2"/>
      <c r="O180" s="2"/>
      <c r="P180" s="2"/>
      <c r="Q180" s="2"/>
      <c r="R180" s="591"/>
      <c r="S180" s="591"/>
      <c r="T180" s="591"/>
      <c r="U180" s="591"/>
      <c r="V180" s="591"/>
      <c r="W180" s="591"/>
      <c r="X180" s="591"/>
      <c r="AA180" s="591"/>
      <c r="AB180" s="591"/>
      <c r="AC180" s="591"/>
      <c r="AG180" s="591"/>
      <c r="AS180" s="591"/>
    </row>
    <row r="181" spans="1:45" ht="11.25" customHeight="1" x14ac:dyDescent="0.2">
      <c r="A181" s="2"/>
      <c r="B181" s="2"/>
      <c r="C181" s="2"/>
      <c r="D181" s="2"/>
      <c r="E181" s="2"/>
      <c r="F181" s="2"/>
      <c r="G181" s="2"/>
      <c r="H181" s="2"/>
      <c r="I181" s="2201"/>
      <c r="J181" s="2201"/>
      <c r="K181" s="2"/>
      <c r="L181" s="2"/>
      <c r="M181" s="2"/>
      <c r="N181" s="2"/>
      <c r="O181" s="2"/>
      <c r="P181" s="2"/>
      <c r="Q181" s="2"/>
      <c r="R181" s="591"/>
      <c r="S181" s="591"/>
      <c r="T181" s="591"/>
      <c r="U181" s="591"/>
      <c r="V181" s="591"/>
      <c r="W181" s="591"/>
      <c r="X181" s="591"/>
      <c r="AA181" s="591"/>
      <c r="AB181" s="591"/>
      <c r="AC181" s="591"/>
      <c r="AG181" s="591"/>
      <c r="AS181" s="591"/>
    </row>
    <row r="182" spans="1:45" ht="19.5" customHeight="1" x14ac:dyDescent="0.2">
      <c r="A182" s="2"/>
      <c r="B182" s="2"/>
      <c r="C182" s="2095" t="str">
        <f>CONCATENATE("01/01 - ",RIGHT(C169,5))</f>
        <v>01/01 - 31/05</v>
      </c>
      <c r="D182" s="2095"/>
      <c r="E182" s="2095"/>
      <c r="F182" s="2095"/>
      <c r="G182" s="2"/>
      <c r="H182" s="2"/>
      <c r="I182" s="2202"/>
      <c r="J182" s="2202"/>
      <c r="K182" s="2"/>
      <c r="L182" s="2"/>
      <c r="M182" s="2"/>
      <c r="N182" s="2"/>
      <c r="O182" s="2"/>
      <c r="P182" s="2"/>
      <c r="Q182" s="2"/>
      <c r="R182" s="591"/>
      <c r="S182" s="591"/>
      <c r="T182" s="591"/>
      <c r="U182" s="591"/>
      <c r="V182" s="591"/>
      <c r="W182" s="591"/>
      <c r="X182" s="591"/>
      <c r="AA182" s="591"/>
      <c r="AB182" s="591"/>
      <c r="AC182" s="591"/>
      <c r="AG182" s="591"/>
      <c r="AS182" s="591"/>
    </row>
    <row r="183" spans="1:45" ht="7.5" customHeight="1" x14ac:dyDescent="0.2">
      <c r="A183" s="2"/>
      <c r="B183" s="2"/>
      <c r="C183" s="2089"/>
      <c r="D183" s="2090"/>
      <c r="E183" s="484"/>
      <c r="F183" s="2"/>
      <c r="G183" s="597">
        <f>IF(AND(G$193&lt;&gt;0,G$193&gt;0),IF(($E$184*9)&gt;=G$193,0,1),IF(AND(G$193&lt;&gt;0,G$193&lt;0),IF(($E$184*9)&lt;=G$193,0,1),0))</f>
        <v>0</v>
      </c>
      <c r="H183" s="597">
        <f>IF(AND(H$193&lt;&gt;0,H$193&gt;0),IF(($E$184*9)&gt;=H$193,0,1),IF(AND(H$193&lt;&gt;0,H$193&lt;0),IF(($E$184*9)&lt;=H$193,0,1),0))</f>
        <v>0</v>
      </c>
      <c r="I183" s="2104">
        <f>IF(AND(I$193&lt;&gt;0,I$193&gt;0),IF(($E$184*9)&gt;=I$193,0,1),IF(AND(I$193&lt;&gt;0,I$193&lt;0),IF(($E$184*9)&lt;=I$193,0,1),0))</f>
        <v>0</v>
      </c>
      <c r="J183" s="2105"/>
      <c r="K183" s="597">
        <f>IF(AND(K$193&lt;&gt;0,K$193&gt;0),IF(($E$184*9)&gt;=K$193,0,1),IF(AND(K$193&lt;&gt;0,K$193&lt;0),IF(($E$184*9)&lt;=K$193,0,1),0))</f>
        <v>0</v>
      </c>
      <c r="L183" s="2"/>
      <c r="M183" s="2"/>
      <c r="N183" s="2"/>
      <c r="O183" s="2"/>
      <c r="P183" s="2"/>
      <c r="Q183" s="2"/>
      <c r="R183" s="591"/>
      <c r="S183" s="591"/>
      <c r="T183" s="591"/>
      <c r="U183" s="591"/>
      <c r="V183" s="591"/>
      <c r="W183" s="591"/>
      <c r="X183" s="591"/>
      <c r="AA183" s="591"/>
      <c r="AB183" s="591"/>
      <c r="AC183" s="591"/>
      <c r="AG183" s="591"/>
      <c r="AS183" s="591"/>
    </row>
    <row r="184" spans="1:45" ht="7.5" customHeight="1" x14ac:dyDescent="0.2">
      <c r="A184" s="2"/>
      <c r="B184" s="2"/>
      <c r="C184" s="2096" t="s">
        <v>587</v>
      </c>
      <c r="D184" s="2096"/>
      <c r="E184" s="2098">
        <f>IF(OR(M166=0,M168=""),0,IF(M168=E220,E221,MAX(G193:K193)/10))</f>
        <v>0</v>
      </c>
      <c r="F184" s="2"/>
      <c r="G184" s="598">
        <f>IF(AND(G$193&lt;&gt;0,G$193&gt;0),IF(($E$184*8)&gt;=G$193,0,1),IF(AND(G$193&lt;&gt;0,G$193&lt;0),IF(($E$184*8)&lt;=G$193,0,1),0))</f>
        <v>0</v>
      </c>
      <c r="H184" s="598">
        <f>IF(AND(H$193&lt;&gt;0,H$193&gt;0),IF(($E$184*8)&gt;=H$193,0,1),IF(AND(H$193&lt;&gt;0,H$193&lt;0),IF(($E$184*8)&lt;=H$193,0,1),0))</f>
        <v>0</v>
      </c>
      <c r="I184" s="2061">
        <f>IF(AND(I$193&lt;&gt;0,I$193&gt;0),IF(($E$184*8)&gt;=I$193,0,1),IF(AND(I$193&lt;&gt;0,I$193&lt;0),IF(($E$184*8)&lt;=I$193,0,1),0))</f>
        <v>0</v>
      </c>
      <c r="J184" s="2062"/>
      <c r="K184" s="598">
        <f>IF(AND(K$193&lt;&gt;0,K$193&gt;0),IF(($E$184*8)&gt;=K$193,0,1),IF(AND(K$193&lt;&gt;0,K$193&lt;0),IF(($E$184*8)&lt;=K$193,0,1),0))</f>
        <v>0</v>
      </c>
      <c r="L184" s="2"/>
      <c r="M184" s="2"/>
      <c r="N184" s="2"/>
      <c r="O184" s="2"/>
      <c r="P184" s="2"/>
      <c r="Q184" s="2"/>
      <c r="R184" s="591"/>
      <c r="S184" s="591"/>
      <c r="T184" s="591"/>
      <c r="U184" s="591"/>
      <c r="V184" s="591"/>
      <c r="W184" s="591"/>
      <c r="X184" s="591"/>
      <c r="AA184" s="591"/>
      <c r="AB184" s="591"/>
      <c r="AC184" s="591"/>
      <c r="AG184" s="591"/>
      <c r="AS184" s="591"/>
    </row>
    <row r="185" spans="1:45" ht="7.5" customHeight="1" x14ac:dyDescent="0.2">
      <c r="A185" s="2"/>
      <c r="B185" s="2"/>
      <c r="C185" s="2097"/>
      <c r="D185" s="2097"/>
      <c r="E185" s="2098"/>
      <c r="F185" s="2"/>
      <c r="G185" s="598">
        <f>IF(AND(G$193&lt;&gt;0,G$193&gt;0),IF(($E$184*7)&gt;=G$193,0,1),IF(AND(G$193&lt;&gt;0,G$193&lt;0),IF(($E$184*7)&lt;=G$193,0,1),0))</f>
        <v>0</v>
      </c>
      <c r="H185" s="598">
        <f>IF(AND(H$193&lt;&gt;0,H$193&gt;0),IF(($E$184*7)&gt;=H$193,0,1),IF(AND(H$193&lt;&gt;0,H$193&lt;0),IF(($E$184*7)&lt;=H$193,0,1),0))</f>
        <v>0</v>
      </c>
      <c r="I185" s="2061">
        <f>IF(AND(I$193&lt;&gt;0,I$193&gt;0),IF(($E$184*7)&gt;=I$193,0,1),IF(AND(I$193&lt;&gt;0,I$193&lt;0),IF(($E$184*7)&lt;=I$193,0,1),0))</f>
        <v>0</v>
      </c>
      <c r="J185" s="2062"/>
      <c r="K185" s="598">
        <f>IF(AND(K$193&lt;&gt;0,K$193&gt;0),IF(($E$184*7)&gt;=K$193,0,1),IF(AND(K$193&lt;&gt;0,K$193&lt;0),IF(($E$184*7)&lt;=K$193,0,1),0))</f>
        <v>0</v>
      </c>
      <c r="L185" s="2"/>
      <c r="M185" s="2"/>
      <c r="N185" s="2"/>
      <c r="O185" s="2"/>
      <c r="P185" s="2"/>
      <c r="Q185" s="2"/>
      <c r="R185" s="591"/>
      <c r="S185" s="591"/>
      <c r="T185" s="591"/>
      <c r="U185" s="591"/>
      <c r="V185" s="591"/>
      <c r="W185" s="591"/>
      <c r="X185" s="591"/>
      <c r="AA185" s="591"/>
      <c r="AB185" s="591"/>
      <c r="AC185" s="591"/>
      <c r="AG185" s="591"/>
      <c r="AS185" s="591"/>
    </row>
    <row r="186" spans="1:45" ht="7.5" customHeight="1" x14ac:dyDescent="0.2">
      <c r="A186" s="2"/>
      <c r="B186" s="2"/>
      <c r="C186" s="2"/>
      <c r="D186" s="2"/>
      <c r="E186" s="2"/>
      <c r="F186" s="2"/>
      <c r="G186" s="598">
        <f>IF(AND(G$193&lt;&gt;0,G$193&gt;0),IF(($E$184*6)&gt;=G$193,0,1),IF(AND(G$193&lt;&gt;0,G$193&lt;0),IF(($E$184*6)&lt;=G$193,0,1),0))</f>
        <v>0</v>
      </c>
      <c r="H186" s="598">
        <f>IF(AND(H$193&lt;&gt;0,H$193&gt;0),IF(($E$184*6)&gt;=H$193,0,1),IF(AND(H$193&lt;&gt;0,H$193&lt;0),IF(($E$184*6)&lt;=H$193,0,1),0))</f>
        <v>0</v>
      </c>
      <c r="I186" s="2061">
        <f>IF(AND(I$193&lt;&gt;0,I$193&gt;0),IF(($E$184*6)&gt;=I$193,0,1),IF(AND(I$193&lt;&gt;0,I$193&lt;0),IF(($E$184*6)&lt;=I$193,0,1),0))</f>
        <v>0</v>
      </c>
      <c r="J186" s="2062"/>
      <c r="K186" s="598">
        <f>IF(AND(K$193&lt;&gt;0,K$193&gt;0),IF(($E$184*6)&gt;=K$193,0,1),IF(AND(K$193&lt;&gt;0,K$193&lt;0),IF(($E$184*6)&lt;=K$193,0,1),0))</f>
        <v>0</v>
      </c>
      <c r="L186" s="2"/>
      <c r="M186" s="2"/>
      <c r="N186" s="2"/>
      <c r="O186" s="2"/>
      <c r="P186" s="2"/>
      <c r="Q186" s="2"/>
      <c r="R186" s="591"/>
      <c r="S186" s="591"/>
      <c r="T186" s="591"/>
      <c r="U186" s="591"/>
      <c r="V186" s="591"/>
      <c r="W186" s="591"/>
      <c r="X186" s="591"/>
      <c r="AA186" s="591"/>
      <c r="AB186" s="591"/>
      <c r="AC186" s="591"/>
      <c r="AG186" s="591"/>
      <c r="AS186" s="591"/>
    </row>
    <row r="187" spans="1:45" ht="7.5" customHeight="1" x14ac:dyDescent="0.2">
      <c r="A187" s="2"/>
      <c r="B187" s="2"/>
      <c r="C187" s="2"/>
      <c r="D187" s="2"/>
      <c r="E187" s="2"/>
      <c r="F187" s="2"/>
      <c r="G187" s="598">
        <f>IF(AND(G$193&lt;&gt;0,G$193&gt;0),IF(($E$184*5)&gt;=G$193,0,1),IF(AND(G$193&lt;&gt;0,G$193&lt;0),IF(($E$184*5)&lt;=G$193,0,1),0))</f>
        <v>0</v>
      </c>
      <c r="H187" s="598">
        <f>IF(AND(H$193&lt;&gt;0,H$193&gt;0),IF(($E$184*5)&gt;=H$193,0,1),IF(AND(H$193&lt;&gt;0,H$193&lt;0),IF(($E$184*5)&lt;=H$193,0,1),0))</f>
        <v>0</v>
      </c>
      <c r="I187" s="2061">
        <f>IF(AND(I$193&lt;&gt;0,I$193&gt;0),IF(($E$184*5)&gt;=I$193,0,1),IF(AND(I$193&lt;&gt;0,I$193&lt;0),IF(($E$184*5)&lt;=I$193,0,1),0))</f>
        <v>0</v>
      </c>
      <c r="J187" s="2062"/>
      <c r="K187" s="598">
        <f>IF(AND(K$193&lt;&gt;0,K$193&gt;0),IF(($E$184*5)&gt;=K$193,0,1),IF(AND(K$193&lt;&gt;0,K$193&lt;0),IF(($E$184*5)&lt;=K$193,0,1),0))</f>
        <v>0</v>
      </c>
      <c r="L187" s="2"/>
      <c r="M187" s="2"/>
      <c r="N187" s="2"/>
      <c r="O187" s="2"/>
      <c r="P187" s="2"/>
      <c r="Q187" s="2"/>
      <c r="R187" s="591"/>
      <c r="S187" s="591"/>
      <c r="T187" s="591"/>
      <c r="U187" s="591"/>
      <c r="V187" s="591"/>
      <c r="W187" s="591"/>
      <c r="X187" s="591"/>
      <c r="AA187" s="591"/>
      <c r="AB187" s="591"/>
      <c r="AC187" s="591"/>
      <c r="AG187" s="591"/>
      <c r="AS187" s="591"/>
    </row>
    <row r="188" spans="1:45" ht="7.5" customHeight="1" x14ac:dyDescent="0.2">
      <c r="A188" s="2"/>
      <c r="B188" s="2"/>
      <c r="C188" s="2"/>
      <c r="D188" s="2"/>
      <c r="E188" s="2"/>
      <c r="F188" s="2"/>
      <c r="G188" s="598">
        <f>IF(AND(G$193&lt;&gt;0,G$193&gt;0),IF(($E$184*4)&gt;=G$193,0,1),IF(AND(G$193&lt;&gt;0,G$193&lt;0),IF(($E$184*4)&lt;=G$193,0,1),0))</f>
        <v>0</v>
      </c>
      <c r="H188" s="598">
        <f>IF(AND(H$193&lt;&gt;0,H$193&gt;0),IF(($E$184*4)&gt;=H$193,0,1),IF(AND(H$193&lt;&gt;0,H$193&lt;0),IF(($E$184*4)&lt;=H$193,0,1),0))</f>
        <v>0</v>
      </c>
      <c r="I188" s="2061">
        <f>IF(AND(I$193&lt;&gt;0,I$193&gt;0),IF(($E$184*4)&gt;=I$193,0,1),IF(AND(I$193&lt;&gt;0,I$193&lt;0),IF(($E$184*4)&lt;=I$193,0,1),0))</f>
        <v>0</v>
      </c>
      <c r="J188" s="2062"/>
      <c r="K188" s="598">
        <f>IF(AND(K$193&lt;&gt;0,K$193&gt;0),IF(($E$184*4)&gt;=K$193,0,1),IF(AND(K$193&lt;&gt;0,K$193&lt;0),IF(($E$184*4)&lt;=K$193,0,1),0))</f>
        <v>0</v>
      </c>
      <c r="L188" s="2"/>
      <c r="M188" s="2"/>
      <c r="N188" s="2"/>
      <c r="O188" s="2"/>
      <c r="P188" s="2"/>
      <c r="Q188" s="2"/>
      <c r="R188" s="591"/>
      <c r="S188" s="591"/>
      <c r="T188" s="591"/>
      <c r="U188" s="591"/>
      <c r="V188" s="591"/>
      <c r="W188" s="591"/>
      <c r="X188" s="591"/>
      <c r="AA188" s="591"/>
      <c r="AB188" s="591"/>
      <c r="AC188" s="591"/>
      <c r="AG188" s="591"/>
      <c r="AS188" s="591"/>
    </row>
    <row r="189" spans="1:45" ht="7.5" customHeight="1" x14ac:dyDescent="0.2">
      <c r="A189" s="2"/>
      <c r="B189" s="2"/>
      <c r="C189" s="2"/>
      <c r="D189" s="2"/>
      <c r="E189" s="2"/>
      <c r="F189" s="2"/>
      <c r="G189" s="598">
        <f>IF(AND(G$193&lt;&gt;0,G$193&gt;0),IF(($E$184*3)&gt;=G$193,0,1),IF(AND(G$193&lt;&gt;0,G$193&lt;0),IF(($E$184*3)&lt;=G$193,0,1),0))</f>
        <v>0</v>
      </c>
      <c r="H189" s="598">
        <f>IF(AND(H$193&lt;&gt;0,H$193&gt;0),IF(($E$184*3)&gt;=H$193,0,1),IF(AND(H$193&lt;&gt;0,H$193&lt;0),IF(($E$184*3)&lt;=H$193,0,1),0))</f>
        <v>0</v>
      </c>
      <c r="I189" s="2061">
        <f>IF(AND(I$193&lt;&gt;0,I$193&gt;0),IF(($E$184*3)&gt;=I$193,0,1),IF(AND(I$193&lt;&gt;0,I$193&lt;0),IF(($E$184*3)&lt;=I$193,0,1),0))</f>
        <v>0</v>
      </c>
      <c r="J189" s="2062"/>
      <c r="K189" s="598">
        <f>IF(AND(K$193&lt;&gt;0,K$193&gt;0),IF(($E$184*3)&gt;=K$193,0,1),IF(AND(K$193&lt;&gt;0,K$193&lt;0),IF(($E$184*3)&lt;=K$193,0,1),0))</f>
        <v>0</v>
      </c>
      <c r="L189" s="2"/>
      <c r="M189" s="2"/>
      <c r="N189" s="2"/>
      <c r="O189" s="2"/>
      <c r="P189" s="2"/>
      <c r="Q189" s="2"/>
      <c r="R189" s="591"/>
      <c r="S189" s="591"/>
      <c r="T189" s="591"/>
      <c r="U189" s="591"/>
      <c r="V189" s="591"/>
      <c r="W189" s="591"/>
      <c r="X189" s="591"/>
      <c r="AA189" s="591"/>
      <c r="AB189" s="591"/>
      <c r="AC189" s="591"/>
      <c r="AG189" s="591"/>
      <c r="AS189" s="591"/>
    </row>
    <row r="190" spans="1:45" ht="7.5" customHeight="1" x14ac:dyDescent="0.2">
      <c r="A190" s="2"/>
      <c r="B190" s="2"/>
      <c r="C190" s="2"/>
      <c r="D190" s="2"/>
      <c r="E190" s="2"/>
      <c r="F190" s="2"/>
      <c r="G190" s="598">
        <f>IF(AND(G$193&lt;&gt;0,G$193&gt;0),IF(($E$184*2)&gt;=G$193,0,1),IF(AND(G$193&lt;&gt;0,G$193&lt;0),IF(($E$184*2)&lt;=G$193,0,1),0))</f>
        <v>0</v>
      </c>
      <c r="H190" s="598">
        <f>IF(AND(H$193&lt;&gt;0,H$193&gt;0),IF(($E$184*2)&gt;=H$193,0,1),IF(AND(H$193&lt;&gt;0,H$193&lt;0),IF(($E$184*2)&lt;=H$193,0,1),0))</f>
        <v>0</v>
      </c>
      <c r="I190" s="2061">
        <f>IF(AND(I$193&lt;&gt;0,I$193&gt;0),IF(($E$184*2)&gt;=I$193,0,1),IF(AND(I$193&lt;&gt;0,I$193&lt;0),IF(($E$184*2)&lt;=I$193,0,1),0))</f>
        <v>0</v>
      </c>
      <c r="J190" s="2062"/>
      <c r="K190" s="598">
        <f>IF(AND(K$193&lt;&gt;0,K$193&gt;0),IF(($E$184*2)&gt;=K$193,0,1),IF(AND(K$193&lt;&gt;0,K$193&lt;0),IF(($E$184*2)&lt;=K$193,0,1),0))</f>
        <v>0</v>
      </c>
      <c r="L190" s="2"/>
      <c r="M190" s="2"/>
      <c r="N190" s="2"/>
      <c r="O190" s="2"/>
      <c r="P190" s="2"/>
      <c r="Q190" s="2"/>
      <c r="R190" s="591"/>
      <c r="S190" s="591"/>
      <c r="T190" s="591"/>
      <c r="U190" s="591"/>
      <c r="V190" s="591"/>
      <c r="W190" s="591"/>
      <c r="X190" s="591"/>
      <c r="AA190" s="591"/>
      <c r="AB190" s="591"/>
      <c r="AC190" s="591"/>
      <c r="AG190" s="591"/>
      <c r="AS190" s="591"/>
    </row>
    <row r="191" spans="1:45" ht="7.5" customHeight="1" x14ac:dyDescent="0.2">
      <c r="A191" s="2"/>
      <c r="B191" s="2"/>
      <c r="C191" s="2"/>
      <c r="D191" s="2"/>
      <c r="E191" s="2"/>
      <c r="F191" s="2"/>
      <c r="G191" s="598">
        <f>IF(AND(G$193&lt;&gt;0,G$193&gt;0),IF(($E$184*1)&gt;=G$193,0,1),IF(AND(G$193&lt;&gt;0,G$193&lt;0),IF(($E$184*1)&lt;=G$193,0,1),0))</f>
        <v>0</v>
      </c>
      <c r="H191" s="598">
        <f>IF(AND(H$193&lt;&gt;0,H$193&gt;0),IF(($E$184*1)&gt;=H$193,0,1),IF(AND(H$193&lt;&gt;0,H$193&lt;0),IF(($E$184*1)&lt;=H$193,0,1),0))</f>
        <v>0</v>
      </c>
      <c r="I191" s="2061">
        <f>IF(AND(I$193&lt;&gt;0,I$193&gt;0),IF(($E$184*1)&gt;=I$193,0,1),IF(AND(I$193&lt;&gt;0,I$193&lt;0),IF(($E$184*1)&lt;=I$193,0,1),0))</f>
        <v>0</v>
      </c>
      <c r="J191" s="2062"/>
      <c r="K191" s="598">
        <f>IF(AND(K$193&lt;&gt;0,K$193&gt;0),IF(($E$184*1)&gt;=K$193,0,1),IF(AND(K$193&lt;&gt;0,K$193&lt;0),IF(($E$184*1)&lt;=K$193,0,1),0))</f>
        <v>0</v>
      </c>
      <c r="L191" s="2"/>
      <c r="M191" s="2"/>
      <c r="N191" s="2"/>
      <c r="O191" s="2"/>
      <c r="P191" s="2"/>
      <c r="Q191" s="2"/>
      <c r="R191" s="591"/>
      <c r="S191" s="591"/>
      <c r="T191" s="591"/>
      <c r="U191" s="591"/>
      <c r="V191" s="591"/>
      <c r="W191" s="591"/>
      <c r="X191" s="591"/>
      <c r="AA191" s="591"/>
      <c r="AB191" s="591"/>
      <c r="AC191" s="591"/>
      <c r="AG191" s="591"/>
      <c r="AS191" s="591"/>
    </row>
    <row r="192" spans="1:45" ht="7.5" customHeight="1" x14ac:dyDescent="0.2">
      <c r="A192" s="2"/>
      <c r="B192" s="2"/>
      <c r="C192" s="2"/>
      <c r="D192" s="2"/>
      <c r="E192" s="2"/>
      <c r="F192" s="2"/>
      <c r="G192" s="599">
        <f>IF(G193&lt;&gt;0,1,0)</f>
        <v>0</v>
      </c>
      <c r="H192" s="599">
        <f>IF(H193&lt;&gt;0,1,0)</f>
        <v>0</v>
      </c>
      <c r="I192" s="2199">
        <f>IF(I193&lt;&gt;0,1,0)</f>
        <v>0</v>
      </c>
      <c r="J192" s="2200"/>
      <c r="K192" s="599">
        <f>IF(K193&lt;&gt;0,1,0)</f>
        <v>0</v>
      </c>
      <c r="L192" s="2"/>
      <c r="M192" s="2"/>
      <c r="N192" s="2"/>
      <c r="O192" s="2"/>
      <c r="P192" s="2"/>
      <c r="Q192" s="2"/>
      <c r="R192" s="591"/>
      <c r="S192" s="591"/>
      <c r="T192" s="591"/>
      <c r="U192" s="591"/>
      <c r="V192" s="591"/>
      <c r="W192" s="591"/>
      <c r="X192" s="591"/>
      <c r="AA192" s="591"/>
      <c r="AB192" s="591"/>
      <c r="AC192" s="591"/>
      <c r="AG192" s="591"/>
      <c r="AS192" s="591"/>
    </row>
    <row r="193" spans="1:45" ht="21.95" customHeight="1" x14ac:dyDescent="0.2">
      <c r="A193" s="2"/>
      <c r="B193" s="7"/>
      <c r="C193" s="2092" t="s">
        <v>582</v>
      </c>
      <c r="D193" s="2092"/>
      <c r="E193" s="2093">
        <f>SUM(G193:K193)</f>
        <v>0</v>
      </c>
      <c r="F193" s="2093"/>
      <c r="G193" s="623">
        <f>VLOOKUP($M166,$C215:G217,G214,FALSE)</f>
        <v>0</v>
      </c>
      <c r="H193" s="623">
        <f>VLOOKUP($M166,$C215:H217,H214,FALSE)</f>
        <v>0</v>
      </c>
      <c r="I193" s="2196">
        <f>VLOOKUP($M166,$C215:I217,I214,FALSE)</f>
        <v>0</v>
      </c>
      <c r="J193" s="2196"/>
      <c r="K193" s="623">
        <f>VLOOKUP($M166,$C215:J217,J214,FALSE)</f>
        <v>0</v>
      </c>
      <c r="L193" s="2"/>
      <c r="M193" s="12"/>
      <c r="N193" s="2"/>
      <c r="O193" s="2"/>
      <c r="P193" s="2"/>
      <c r="Q193" s="2"/>
      <c r="R193" s="591"/>
      <c r="S193" s="591"/>
      <c r="T193" s="591"/>
      <c r="U193" s="591"/>
      <c r="V193" s="591"/>
      <c r="W193" s="591"/>
      <c r="X193" s="591"/>
      <c r="AA193" s="591"/>
      <c r="AB193" s="591"/>
      <c r="AC193" s="591"/>
      <c r="AG193" s="591"/>
      <c r="AS193" s="591"/>
    </row>
    <row r="194" spans="1:45" ht="11.25" customHeight="1" x14ac:dyDescent="0.2">
      <c r="A194" s="2"/>
      <c r="B194" s="2"/>
      <c r="C194" s="2"/>
      <c r="D194" s="2"/>
      <c r="E194" s="2"/>
      <c r="F194" s="2"/>
      <c r="G194" s="2"/>
      <c r="H194" s="2"/>
      <c r="I194" s="2203"/>
      <c r="J194" s="2203"/>
      <c r="K194" s="2"/>
      <c r="L194" s="2"/>
      <c r="M194" s="2"/>
      <c r="N194" s="2"/>
      <c r="O194" s="2"/>
      <c r="P194" s="2"/>
      <c r="Q194" s="2"/>
      <c r="R194" s="591"/>
      <c r="S194" s="591"/>
      <c r="T194" s="591"/>
      <c r="U194" s="591"/>
      <c r="V194" s="591"/>
      <c r="W194" s="591"/>
      <c r="X194" s="591"/>
      <c r="AA194" s="591"/>
      <c r="AB194" s="591"/>
      <c r="AC194" s="591"/>
      <c r="AG194" s="591"/>
      <c r="AS194" s="591"/>
    </row>
    <row r="195" spans="1:45" ht="19.5" customHeight="1" x14ac:dyDescent="0.2">
      <c r="A195" s="2"/>
      <c r="B195" s="2"/>
      <c r="C195" s="2063" t="e">
        <f>VLOOKUP(I207,I220:K229,3,FALSE)</f>
        <v>#N/A</v>
      </c>
      <c r="D195" s="2063"/>
      <c r="E195" s="2063"/>
      <c r="F195" s="2063"/>
      <c r="G195" s="2063"/>
      <c r="H195" s="2063"/>
      <c r="I195" s="2202"/>
      <c r="J195" s="2202"/>
      <c r="K195" s="2"/>
      <c r="L195" s="2"/>
      <c r="M195" s="2"/>
      <c r="N195" s="2"/>
      <c r="O195" s="2"/>
      <c r="P195" s="2"/>
      <c r="Q195" s="2"/>
      <c r="R195" s="591"/>
      <c r="S195" s="591"/>
      <c r="T195" s="591"/>
      <c r="U195" s="591"/>
      <c r="V195" s="591"/>
      <c r="W195" s="591"/>
      <c r="X195" s="591"/>
      <c r="AA195" s="591"/>
      <c r="AB195" s="591"/>
      <c r="AC195" s="591"/>
      <c r="AG195" s="591"/>
      <c r="AS195" s="591"/>
    </row>
    <row r="196" spans="1:45" ht="7.5" customHeight="1" x14ac:dyDescent="0.2">
      <c r="A196" s="2"/>
      <c r="B196" s="2"/>
      <c r="C196" s="2064"/>
      <c r="D196" s="2065"/>
      <c r="E196" s="484"/>
      <c r="F196" s="2"/>
      <c r="G196" s="594" t="e">
        <f>IF(AND(G$206&lt;&gt;0,G$206&gt;0),IF(($E$197*9)&gt;=G$206,0,1),IF(AND(G$206&lt;&gt;0,G$206&lt;0),IF(($E$197*9)&lt;=G$206,0,1),0))</f>
        <v>#N/A</v>
      </c>
      <c r="H196" s="594" t="e">
        <f>IF(AND(H$206&lt;&gt;0,H$206&gt;0),IF(($E$197*9)&gt;=H$206,0,1),IF(AND(H$206&lt;&gt;0,H$206&lt;0),IF(($E$197*9)&lt;=H$206,0,1),0))</f>
        <v>#N/A</v>
      </c>
      <c r="I196" s="2197" t="e">
        <f>IF(AND(I$206&lt;&gt;0,I$206&gt;0),IF(($E$197*9)&gt;=I$206,0,1),IF(AND(I$206&lt;&gt;0,I$206&lt;0),IF(($E$197*9)&lt;=I$206,0,1),0))</f>
        <v>#N/A</v>
      </c>
      <c r="J196" s="2198"/>
      <c r="K196" s="594" t="e">
        <f>IF(AND(K$206&lt;&gt;0,K$206&gt;0),IF(($E$197*9)&gt;=K$206,0,1),IF(AND(K$206&lt;&gt;0,K$206&lt;0),IF(($E$197*9)&lt;=K$206,0,1),0))</f>
        <v>#N/A</v>
      </c>
      <c r="L196" s="2"/>
      <c r="M196" s="2"/>
      <c r="N196" s="2"/>
      <c r="O196" s="2"/>
      <c r="P196" s="2"/>
      <c r="Q196" s="2"/>
      <c r="R196" s="591"/>
      <c r="S196" s="591"/>
      <c r="T196" s="591"/>
      <c r="U196" s="591"/>
      <c r="V196" s="591"/>
      <c r="W196" s="591"/>
      <c r="X196" s="591"/>
      <c r="AA196" s="591"/>
      <c r="AB196" s="591"/>
      <c r="AC196" s="591"/>
      <c r="AG196" s="591"/>
      <c r="AS196" s="591"/>
    </row>
    <row r="197" spans="1:45" ht="7.5" customHeight="1" x14ac:dyDescent="0.2">
      <c r="A197" s="2"/>
      <c r="B197" s="2"/>
      <c r="C197" s="2096" t="s">
        <v>587</v>
      </c>
      <c r="D197" s="2096"/>
      <c r="E197" s="2098">
        <f>IF(OR(M166=0,M168=""),0,IF(M168=E220,E221,MAX(G206:K206)/10))</f>
        <v>0</v>
      </c>
      <c r="F197" s="2"/>
      <c r="G197" s="595" t="e">
        <f>IF(AND(G$206&lt;&gt;0,G$206&gt;0),IF(($E$197*8)&gt;=G$206,0,1),IF(AND(G$206&lt;&gt;0,G$206&lt;0),IF(($E$197*8)&lt;=G$206,0,1),0))</f>
        <v>#N/A</v>
      </c>
      <c r="H197" s="595" t="e">
        <f>IF(AND(H$206&lt;&gt;0,H$206&gt;0),IF(($E$197*8)&gt;=H$206,0,1),IF(AND(H$206&lt;&gt;0,H$206&lt;0),IF(($E$197*8)&lt;=H$206,0,1),0))</f>
        <v>#N/A</v>
      </c>
      <c r="I197" s="2049" t="e">
        <f>IF(AND(I$206&lt;&gt;0,I$206&gt;0),IF(($E$197*8)&gt;=I$206,0,1),IF(AND(I$206&lt;&gt;0,I$206&lt;0),IF(($E$197*8)&lt;=I$206,0,1),0))</f>
        <v>#N/A</v>
      </c>
      <c r="J197" s="2050"/>
      <c r="K197" s="595" t="e">
        <f>IF(AND(K$206&lt;&gt;0,K$206&gt;0),IF(($E$197*8)&gt;=K$206,0,1),IF(AND(K$206&lt;&gt;0,K$206&lt;0),IF(($E$197*8)&lt;=K$206,0,1),0))</f>
        <v>#N/A</v>
      </c>
      <c r="L197" s="2"/>
      <c r="M197" s="2"/>
      <c r="N197" s="2"/>
      <c r="O197" s="2"/>
      <c r="P197" s="2"/>
      <c r="Q197" s="2"/>
      <c r="R197" s="591"/>
      <c r="S197" s="591"/>
      <c r="T197" s="591"/>
      <c r="U197" s="591"/>
      <c r="V197" s="591"/>
      <c r="W197" s="591"/>
      <c r="X197" s="591"/>
      <c r="AA197" s="591"/>
      <c r="AB197" s="591"/>
      <c r="AC197" s="591"/>
      <c r="AG197" s="591"/>
      <c r="AS197" s="591"/>
    </row>
    <row r="198" spans="1:45" ht="7.5" customHeight="1" x14ac:dyDescent="0.2">
      <c r="A198" s="2"/>
      <c r="B198" s="2"/>
      <c r="C198" s="2097"/>
      <c r="D198" s="2097"/>
      <c r="E198" s="2098"/>
      <c r="F198" s="2"/>
      <c r="G198" s="595" t="e">
        <f>IF(AND(G$206&lt;&gt;0,G$206&gt;0),IF(($E$197*7)&gt;=G$206,0,1),IF(AND(G$206&lt;&gt;0,G$206&lt;0),IF(($E$197*7)&lt;=G$206,0,1),0))</f>
        <v>#N/A</v>
      </c>
      <c r="H198" s="595" t="e">
        <f>IF(AND(H$206&lt;&gt;0,H$206&gt;0),IF(($E$197*7)&gt;=H$206,0,1),IF(AND(H$206&lt;&gt;0,H$206&lt;0),IF(($E$197*7)&lt;=H$206,0,1),0))</f>
        <v>#N/A</v>
      </c>
      <c r="I198" s="2049" t="e">
        <f>IF(AND(I$206&lt;&gt;0,I$206&gt;0),IF(($E$197*7)&gt;=I$206,0,1),IF(AND(I$206&lt;&gt;0,I$206&lt;0),IF(($E$197*7)&lt;=I$206,0,1),0))</f>
        <v>#N/A</v>
      </c>
      <c r="J198" s="2050"/>
      <c r="K198" s="595" t="e">
        <f>IF(AND(K$206&lt;&gt;0,K$206&gt;0),IF(($E$197*7)&gt;=K$206,0,1),IF(AND(K$206&lt;&gt;0,K$206&lt;0),IF(($E$197*7)&lt;=K$206,0,1),0))</f>
        <v>#N/A</v>
      </c>
      <c r="L198" s="2"/>
      <c r="M198" s="2"/>
      <c r="N198" s="2"/>
      <c r="O198" s="2"/>
      <c r="P198" s="2"/>
      <c r="Q198" s="2"/>
      <c r="R198" s="591"/>
      <c r="S198" s="591"/>
      <c r="T198" s="591"/>
      <c r="U198" s="591"/>
      <c r="V198" s="591"/>
      <c r="W198" s="591"/>
      <c r="X198" s="591"/>
      <c r="AA198" s="591"/>
      <c r="AB198" s="591"/>
      <c r="AC198" s="591"/>
      <c r="AG198" s="591"/>
      <c r="AS198" s="591"/>
    </row>
    <row r="199" spans="1:45" ht="7.5" customHeight="1" x14ac:dyDescent="0.2">
      <c r="A199" s="2"/>
      <c r="B199" s="2"/>
      <c r="C199" s="2"/>
      <c r="D199" s="2"/>
      <c r="E199" s="2"/>
      <c r="F199" s="2"/>
      <c r="G199" s="595" t="e">
        <f>IF(AND(G$206&lt;&gt;0,G$206&gt;0),IF(($E$197*6)&gt;=G$206,0,1),IF(AND(G$206&lt;&gt;0,G$206&lt;0),IF(($E$197*6)&lt;=G$206,0,1),0))</f>
        <v>#N/A</v>
      </c>
      <c r="H199" s="595" t="e">
        <f>IF(AND(H$206&lt;&gt;0,H$206&gt;0),IF(($E$197*6)&gt;=H$206,0,1),IF(AND(H$206&lt;&gt;0,H$206&lt;0),IF(($E$197*6)&lt;=H$206,0,1),0))</f>
        <v>#N/A</v>
      </c>
      <c r="I199" s="2049" t="e">
        <f>IF(AND(I$206&lt;&gt;0,I$206&gt;0),IF(($E$197*6)&gt;=I$206,0,1),IF(AND(I$206&lt;&gt;0,I$206&lt;0),IF(($E$197*6)&lt;=I$206,0,1),0))</f>
        <v>#N/A</v>
      </c>
      <c r="J199" s="2050"/>
      <c r="K199" s="595" t="e">
        <f>IF(AND(K$206&lt;&gt;0,K$206&gt;0),IF(($E$197*6)&gt;=K$206,0,1),IF(AND(K$206&lt;&gt;0,K$206&lt;0),IF(($E$197*6)&lt;=K$206,0,1),0))</f>
        <v>#N/A</v>
      </c>
      <c r="L199" s="2"/>
      <c r="M199" s="2"/>
      <c r="N199" s="2"/>
      <c r="O199" s="2"/>
      <c r="P199" s="2"/>
      <c r="Q199" s="2"/>
      <c r="R199" s="591"/>
      <c r="S199" s="591"/>
      <c r="T199" s="591"/>
      <c r="U199" s="591"/>
      <c r="V199" s="591"/>
      <c r="W199" s="591"/>
      <c r="X199" s="591"/>
      <c r="AA199" s="591"/>
      <c r="AB199" s="591"/>
      <c r="AC199" s="591"/>
      <c r="AG199" s="591"/>
      <c r="AS199" s="591"/>
    </row>
    <row r="200" spans="1:45" ht="7.5" customHeight="1" x14ac:dyDescent="0.2">
      <c r="A200" s="2"/>
      <c r="B200" s="2"/>
      <c r="C200" s="2"/>
      <c r="D200" s="2"/>
      <c r="E200" s="2"/>
      <c r="F200" s="2"/>
      <c r="G200" s="595" t="e">
        <f>IF(AND(G$206&lt;&gt;0,G$206&gt;0),IF(($E$197*5)&gt;=G$206,0,1),IF(AND(G$206&lt;&gt;0,G$206&lt;0),IF(($E$197*5)&lt;=G$206,0,1),0))</f>
        <v>#N/A</v>
      </c>
      <c r="H200" s="595" t="e">
        <f>IF(AND(H$206&lt;&gt;0,H$206&gt;0),IF(($E$197*5)&gt;=H$206,0,1),IF(AND(H$206&lt;&gt;0,H$206&lt;0),IF(($E$197*5)&lt;=H$206,0,1),0))</f>
        <v>#N/A</v>
      </c>
      <c r="I200" s="2049" t="e">
        <f>IF(AND(I$206&lt;&gt;0,I$206&gt;0),IF(($E$197*5)&gt;=I$206,0,1),IF(AND(I$206&lt;&gt;0,I$206&lt;0),IF(($E$197*5)&lt;=I$206,0,1),0))</f>
        <v>#N/A</v>
      </c>
      <c r="J200" s="2050"/>
      <c r="K200" s="595" t="e">
        <f>IF(AND(K$206&lt;&gt;0,K$206&gt;0),IF(($E$197*5)&gt;=K$206,0,1),IF(AND(K$206&lt;&gt;0,K$206&lt;0),IF(($E$197*5)&lt;=K$206,0,1),0))</f>
        <v>#N/A</v>
      </c>
      <c r="L200" s="2"/>
      <c r="M200" s="2"/>
      <c r="N200" s="2"/>
      <c r="O200" s="2"/>
      <c r="P200" s="2"/>
      <c r="Q200" s="2"/>
      <c r="R200" s="591"/>
      <c r="S200" s="591"/>
      <c r="T200" s="591"/>
      <c r="U200" s="591"/>
      <c r="V200" s="591"/>
      <c r="W200" s="591"/>
      <c r="X200" s="591"/>
      <c r="AA200" s="591"/>
      <c r="AB200" s="591"/>
      <c r="AC200" s="591"/>
      <c r="AG200" s="591"/>
      <c r="AS200" s="591"/>
    </row>
    <row r="201" spans="1:45" ht="7.5" customHeight="1" x14ac:dyDescent="0.2">
      <c r="A201" s="2"/>
      <c r="B201" s="2"/>
      <c r="C201" s="2"/>
      <c r="D201" s="2"/>
      <c r="E201" s="2"/>
      <c r="F201" s="2"/>
      <c r="G201" s="595" t="e">
        <f>IF(AND(G$206&lt;&gt;0,G$206&gt;0),IF(($E$197*4)&gt;=G$206,0,1),IF(AND(G$206&lt;&gt;0,G$206&lt;0),IF(($E$197*4)&lt;=G$206,0,1),0))</f>
        <v>#N/A</v>
      </c>
      <c r="H201" s="595" t="e">
        <f>IF(AND(H$206&lt;&gt;0,H$206&gt;0),IF(($E$197*4)&gt;=H$206,0,1),IF(AND(H$206&lt;&gt;0,H$206&lt;0),IF(($E$197*4)&lt;=H$206,0,1),0))</f>
        <v>#N/A</v>
      </c>
      <c r="I201" s="2049" t="e">
        <f>IF(AND(I$206&lt;&gt;0,I$206&gt;0),IF(($E$197*4)&gt;=I$206,0,1),IF(AND(I$206&lt;&gt;0,I$206&lt;0),IF(($E$197*4)&lt;=I$206,0,1),0))</f>
        <v>#N/A</v>
      </c>
      <c r="J201" s="2050"/>
      <c r="K201" s="595" t="e">
        <f>IF(AND(K$206&lt;&gt;0,K$206&gt;0),IF(($E$197*4)&gt;=K$206,0,1),IF(AND(K$206&lt;&gt;0,K$206&lt;0),IF(($E$197*4)&lt;=K$206,0,1),0))</f>
        <v>#N/A</v>
      </c>
      <c r="L201" s="2"/>
      <c r="M201" s="2"/>
      <c r="N201" s="2"/>
      <c r="O201" s="2"/>
      <c r="P201" s="2"/>
      <c r="Q201" s="2"/>
      <c r="R201" s="591"/>
      <c r="S201" s="591"/>
      <c r="T201" s="591"/>
      <c r="U201" s="591"/>
      <c r="V201" s="591"/>
      <c r="W201" s="591"/>
      <c r="X201" s="591"/>
      <c r="AA201" s="591"/>
      <c r="AB201" s="591"/>
      <c r="AC201" s="591"/>
      <c r="AG201" s="591"/>
      <c r="AS201" s="591"/>
    </row>
    <row r="202" spans="1:45" ht="7.5" customHeight="1" x14ac:dyDescent="0.2">
      <c r="A202" s="2"/>
      <c r="B202" s="2"/>
      <c r="C202" s="2"/>
      <c r="D202" s="2"/>
      <c r="E202" s="2"/>
      <c r="F202" s="2"/>
      <c r="G202" s="595" t="e">
        <f>IF(AND(G$206&lt;&gt;0,G$206&gt;0),IF(($E$197*3)&gt;=G$206,0,1),IF(AND(G$206&lt;&gt;0,G$206&lt;0),IF(($E$197*3)&lt;=G$206,0,1),0))</f>
        <v>#N/A</v>
      </c>
      <c r="H202" s="595" t="e">
        <f>IF(AND(H$206&lt;&gt;0,H$206&gt;0),IF(($E$197*3)&gt;=H$206,0,1),IF(AND(H$206&lt;&gt;0,H$206&lt;0),IF(($E$197*3)&lt;=H$206,0,1),0))</f>
        <v>#N/A</v>
      </c>
      <c r="I202" s="2049" t="e">
        <f>IF(AND(I$206&lt;&gt;0,I$206&gt;0),IF(($E$197*3)&gt;=I$206,0,1),IF(AND(I$206&lt;&gt;0,I$206&lt;0),IF(($E$197*3)&lt;=I$206,0,1),0))</f>
        <v>#N/A</v>
      </c>
      <c r="J202" s="2050"/>
      <c r="K202" s="595" t="e">
        <f>IF(AND(K$206&lt;&gt;0,K$206&gt;0),IF(($E$197*3)&gt;=K$206,0,1),IF(AND(K$206&lt;&gt;0,K$206&lt;0),IF(($E$197*3)&lt;=K$206,0,1),0))</f>
        <v>#N/A</v>
      </c>
      <c r="L202" s="2"/>
      <c r="M202" s="2"/>
      <c r="N202" s="2"/>
      <c r="O202" s="2"/>
      <c r="P202" s="2"/>
      <c r="Q202" s="2"/>
      <c r="R202" s="591"/>
      <c r="S202" s="591"/>
      <c r="T202" s="591"/>
      <c r="U202" s="591"/>
      <c r="V202" s="591"/>
      <c r="W202" s="591"/>
      <c r="X202" s="591"/>
      <c r="AA202" s="591"/>
      <c r="AB202" s="591"/>
      <c r="AC202" s="591"/>
      <c r="AG202" s="591"/>
      <c r="AS202" s="591"/>
    </row>
    <row r="203" spans="1:45" ht="7.5" customHeight="1" x14ac:dyDescent="0.2">
      <c r="A203" s="2"/>
      <c r="B203" s="2"/>
      <c r="C203" s="2"/>
      <c r="D203" s="2"/>
      <c r="E203" s="2"/>
      <c r="F203" s="2"/>
      <c r="G203" s="595" t="e">
        <f>IF(AND(G$206&lt;&gt;0,G$206&gt;0),IF(($E$197*2)&gt;=G$206,0,1),IF(AND(G$206&lt;&gt;0,G$206&lt;0),IF(($E$197*2)&lt;=G$206,0,1),0))</f>
        <v>#N/A</v>
      </c>
      <c r="H203" s="595" t="e">
        <f>IF(AND(H$206&lt;&gt;0,H$206&gt;0),IF(($E$197*2)&gt;=H$206,0,1),IF(AND(H$206&lt;&gt;0,H$206&lt;0),IF(($E$197*2)&lt;=H$206,0,1),0))</f>
        <v>#N/A</v>
      </c>
      <c r="I203" s="2049" t="e">
        <f>IF(AND(I$206&lt;&gt;0,I$206&gt;0),IF(($E$197*2)&gt;=I$206,0,1),IF(AND(I$206&lt;&gt;0,I$206&lt;0),IF(($E$197*2)&lt;=I$206,0,1),0))</f>
        <v>#N/A</v>
      </c>
      <c r="J203" s="2050"/>
      <c r="K203" s="595" t="e">
        <f>IF(AND(K$206&lt;&gt;0,K$206&gt;0),IF(($E$197*2)&gt;=K$206,0,1),IF(AND(K$206&lt;&gt;0,K$206&lt;0),IF(($E$197*2)&lt;=K$206,0,1),0))</f>
        <v>#N/A</v>
      </c>
      <c r="L203" s="2"/>
      <c r="M203" s="2"/>
      <c r="N203" s="2"/>
      <c r="O203" s="2"/>
      <c r="P203" s="2"/>
      <c r="Q203" s="2"/>
      <c r="R203" s="591"/>
      <c r="S203" s="591"/>
      <c r="T203" s="591"/>
      <c r="U203" s="591"/>
      <c r="V203" s="591"/>
      <c r="W203" s="591"/>
      <c r="X203" s="591"/>
      <c r="AA203" s="591"/>
      <c r="AB203" s="591"/>
      <c r="AC203" s="591"/>
      <c r="AG203" s="591"/>
      <c r="AS203" s="591"/>
    </row>
    <row r="204" spans="1:45" ht="7.5" customHeight="1" x14ac:dyDescent="0.2">
      <c r="A204" s="2"/>
      <c r="B204" s="2"/>
      <c r="C204" s="2"/>
      <c r="D204" s="2"/>
      <c r="E204" s="2"/>
      <c r="F204" s="2"/>
      <c r="G204" s="595" t="e">
        <f>IF(AND(G$206&lt;&gt;0,G$206&gt;0),IF(($E$197*1)&gt;=G$206,0,1),IF(AND(G$206&lt;&gt;0,G$206&lt;0),IF(($E$197*1)&lt;=G$206,0,1),0))</f>
        <v>#N/A</v>
      </c>
      <c r="H204" s="595" t="e">
        <f>IF(AND(H$206&lt;&gt;0,H$206&gt;0),IF(($E$197*1)&gt;=H$206,0,1),IF(AND(H$206&lt;&gt;0,H$206&lt;0),IF(($E$197*1)&lt;=H$206,0,1),0))</f>
        <v>#N/A</v>
      </c>
      <c r="I204" s="2049" t="e">
        <f>IF(AND(I$206&lt;&gt;0,I$206&gt;0),IF(($E$197*1)&gt;=I$206,0,1),IF(AND(I$206&lt;&gt;0,I$206&lt;0),IF(($E$197*1)&lt;=I$206,0,1),0))</f>
        <v>#N/A</v>
      </c>
      <c r="J204" s="2050"/>
      <c r="K204" s="595" t="e">
        <f>IF(AND(K$206&lt;&gt;0,K$206&gt;0),IF(($E$197*1)&gt;=K$206,0,1),IF(AND(K$206&lt;&gt;0,K$206&lt;0),IF(($E$197*1)&lt;=K$206,0,1),0))</f>
        <v>#N/A</v>
      </c>
      <c r="L204" s="2"/>
      <c r="M204" s="2"/>
      <c r="N204" s="2"/>
      <c r="O204" s="2"/>
      <c r="P204" s="2"/>
      <c r="Q204" s="2"/>
      <c r="R204" s="591"/>
      <c r="S204" s="591"/>
      <c r="T204" s="591"/>
      <c r="U204" s="591"/>
      <c r="V204" s="591"/>
      <c r="W204" s="591"/>
      <c r="X204" s="591"/>
      <c r="AA204" s="591"/>
      <c r="AB204" s="591"/>
      <c r="AC204" s="591"/>
      <c r="AG204" s="591"/>
      <c r="AS204" s="591"/>
    </row>
    <row r="205" spans="1:45" ht="7.5" customHeight="1" x14ac:dyDescent="0.2">
      <c r="A205" s="2"/>
      <c r="B205" s="2"/>
      <c r="C205" s="2"/>
      <c r="D205" s="2"/>
      <c r="E205" s="2"/>
      <c r="F205" s="2"/>
      <c r="G205" s="596" t="e">
        <f>IF(G206&lt;&gt;0,1,0)</f>
        <v>#N/A</v>
      </c>
      <c r="H205" s="596" t="e">
        <f>IF(H206&lt;&gt;0,1,0)</f>
        <v>#N/A</v>
      </c>
      <c r="I205" s="2194" t="e">
        <f>IF(I206&lt;&gt;0,1,0)</f>
        <v>#N/A</v>
      </c>
      <c r="J205" s="2195"/>
      <c r="K205" s="596" t="e">
        <f>IF(K206&lt;&gt;0,1,0)</f>
        <v>#N/A</v>
      </c>
      <c r="L205" s="2"/>
      <c r="M205" s="2"/>
      <c r="N205" s="2"/>
      <c r="O205" s="2"/>
      <c r="P205" s="2"/>
      <c r="Q205" s="2"/>
      <c r="R205" s="591"/>
      <c r="S205" s="591"/>
      <c r="T205" s="591"/>
      <c r="U205" s="591"/>
      <c r="V205" s="591"/>
      <c r="W205" s="591"/>
      <c r="X205" s="591"/>
      <c r="AA205" s="591"/>
      <c r="AB205" s="591"/>
      <c r="AC205" s="591"/>
      <c r="AG205" s="591"/>
      <c r="AS205" s="591"/>
    </row>
    <row r="206" spans="1:45" ht="21.95" customHeight="1" x14ac:dyDescent="0.2">
      <c r="A206" s="2"/>
      <c r="B206" s="7"/>
      <c r="C206" s="2092" t="s">
        <v>582</v>
      </c>
      <c r="D206" s="2092"/>
      <c r="E206" s="2093" t="e">
        <f>SUM(G206:K206)</f>
        <v>#N/A</v>
      </c>
      <c r="F206" s="2093"/>
      <c r="G206" s="623" t="e">
        <f>HLOOKUP(G1,STORICO!$E$109:$Y$140,VLOOKUP(CONCATENATE($M166,$I207),STORICO!$AP$111:$AQ$140,2,FALSE),FALSE)</f>
        <v>#N/A</v>
      </c>
      <c r="H206" s="623" t="e">
        <f>HLOOKUP(H1,STORICO!$E$109:$Y$140,VLOOKUP(CONCATENATE($M166,$I207),STORICO!$AP$111:$AQ$140,2,FALSE),FALSE)</f>
        <v>#N/A</v>
      </c>
      <c r="I206" s="2196" t="e">
        <f>HLOOKUP(K1,STORICO!$E$109:$Y$140,VLOOKUP(CONCATENATE($M166,$I207),STORICO!$AP$111:$AQ$140,2,FALSE),FALSE)</f>
        <v>#N/A</v>
      </c>
      <c r="J206" s="2196"/>
      <c r="K206" s="623" t="e">
        <f>HLOOKUP(N1,STORICO!$E$109:$Y$140,VLOOKUP(CONCATENATE($M166,$I207),STORICO!$AP$111:$AQ$140,2,FALSE),FALSE)</f>
        <v>#N/A</v>
      </c>
      <c r="L206" s="2"/>
      <c r="M206" s="12"/>
      <c r="N206" s="2"/>
      <c r="O206" s="2"/>
      <c r="P206" s="2"/>
      <c r="Q206" s="2"/>
      <c r="R206" s="591"/>
      <c r="S206" s="591"/>
      <c r="T206" s="591"/>
      <c r="U206" s="591"/>
      <c r="V206" s="591"/>
      <c r="W206" s="591"/>
      <c r="X206" s="591"/>
      <c r="AA206" s="591"/>
      <c r="AB206" s="591"/>
      <c r="AC206" s="591"/>
      <c r="AG206" s="591"/>
      <c r="AS206" s="591"/>
    </row>
    <row r="207" spans="1:45" ht="18.75" customHeight="1" x14ac:dyDescent="0.2">
      <c r="A207" s="2"/>
      <c r="B207" s="2"/>
      <c r="C207" s="2059" t="s">
        <v>563</v>
      </c>
      <c r="D207" s="2059"/>
      <c r="E207" s="2059"/>
      <c r="F207" s="2059"/>
      <c r="G207" s="2059"/>
      <c r="H207" s="2060"/>
      <c r="I207" s="2191"/>
      <c r="J207" s="2192"/>
      <c r="K207" s="2193"/>
      <c r="L207" s="2"/>
      <c r="M207" s="2"/>
      <c r="N207" s="2"/>
      <c r="O207" s="2"/>
      <c r="P207" s="2"/>
      <c r="Q207" s="2"/>
      <c r="R207" s="591"/>
      <c r="S207" s="591"/>
      <c r="T207" s="591"/>
      <c r="U207" s="591"/>
      <c r="V207" s="591"/>
      <c r="W207" s="591"/>
      <c r="X207" s="591"/>
      <c r="AA207" s="591"/>
      <c r="AB207" s="591"/>
      <c r="AC207" s="591"/>
      <c r="AG207" s="591"/>
      <c r="AS207" s="591"/>
    </row>
    <row r="208" spans="1:45" ht="18.75" customHeight="1" x14ac:dyDescent="0.2">
      <c r="A208" s="2"/>
      <c r="B208" s="2"/>
      <c r="C208" s="14"/>
      <c r="D208" s="14"/>
      <c r="E208" s="14"/>
      <c r="F208" s="14"/>
      <c r="G208" s="14"/>
      <c r="H208" s="14"/>
      <c r="I208" s="14"/>
      <c r="J208" s="2"/>
      <c r="K208" s="2"/>
      <c r="L208" s="2"/>
      <c r="M208" s="2"/>
      <c r="N208" s="2"/>
      <c r="O208" s="2"/>
      <c r="P208" s="2"/>
      <c r="Q208" s="2"/>
      <c r="R208" s="591"/>
      <c r="S208" s="591"/>
      <c r="T208" s="591"/>
      <c r="U208" s="591"/>
      <c r="V208" s="591"/>
      <c r="W208" s="591"/>
      <c r="X208" s="591"/>
      <c r="AA208" s="591"/>
      <c r="AB208" s="591"/>
      <c r="AC208" s="591"/>
      <c r="AG208" s="591"/>
      <c r="AS208" s="591"/>
    </row>
    <row r="209" spans="1:45" ht="18.75" customHeight="1" x14ac:dyDescent="0.2">
      <c r="A209" s="2"/>
      <c r="B209" s="2"/>
      <c r="C209" s="2"/>
      <c r="D209" s="2"/>
      <c r="E209" s="2"/>
      <c r="F209" s="2"/>
      <c r="G209" s="2"/>
      <c r="H209" s="2"/>
      <c r="I209" s="2"/>
      <c r="J209" s="2"/>
      <c r="K209" s="638" t="str">
        <f ca="1">Presentazione!$H$13</f>
        <v/>
      </c>
      <c r="L209" s="2"/>
      <c r="M209" s="2"/>
      <c r="N209" s="2"/>
      <c r="O209" s="2"/>
      <c r="P209" s="2"/>
      <c r="Q209" s="2"/>
      <c r="R209" s="591"/>
      <c r="S209" s="591"/>
      <c r="T209" s="591"/>
      <c r="U209" s="591"/>
      <c r="V209" s="591"/>
      <c r="W209" s="591"/>
      <c r="X209" s="591"/>
      <c r="AA209" s="591"/>
      <c r="AB209" s="591"/>
      <c r="AC209" s="591"/>
      <c r="AG209" s="591"/>
      <c r="AS209" s="591"/>
    </row>
    <row r="210" spans="1:45" ht="18.75" customHeight="1" x14ac:dyDescent="0.2">
      <c r="A210" s="2"/>
      <c r="B210" s="2"/>
      <c r="C210" s="2"/>
      <c r="D210" s="2"/>
      <c r="E210" s="2"/>
      <c r="F210" s="2"/>
      <c r="G210" s="2"/>
      <c r="H210" s="2"/>
      <c r="I210" s="2"/>
      <c r="J210" s="2"/>
      <c r="K210" s="639" t="str">
        <f ca="1">IF(Presentazione!$J$165=Presentazione!$K$83,CONCATENATE(Presentazione!$F$77,"   -   ","P.I./C.F ",Presentazione!$K$79),Presentazione!$I$157)</f>
        <v>Sistema parzialmente attivato. Inserisci il tuo CODICE di PROPRIETA' nel foglio Presentazione.</v>
      </c>
      <c r="L210" s="2"/>
      <c r="M210" s="2"/>
      <c r="N210" s="2"/>
      <c r="O210" s="2"/>
      <c r="P210" s="2"/>
      <c r="Q210" s="2"/>
      <c r="R210" s="591"/>
      <c r="S210" s="591"/>
      <c r="T210" s="591"/>
      <c r="U210" s="591"/>
      <c r="V210" s="591"/>
      <c r="W210" s="591"/>
      <c r="X210" s="591"/>
      <c r="AA210" s="591"/>
      <c r="AB210" s="591"/>
      <c r="AC210" s="591"/>
      <c r="AG210" s="591"/>
      <c r="AS210" s="591"/>
    </row>
    <row r="211" spans="1:45" ht="18.75" customHeight="1" x14ac:dyDescent="0.2">
      <c r="A211" s="2"/>
      <c r="B211" s="2"/>
      <c r="C211" s="2"/>
      <c r="D211" s="2"/>
      <c r="E211" s="2"/>
      <c r="F211" s="2"/>
      <c r="G211" s="2"/>
      <c r="H211" s="2"/>
      <c r="I211" s="2"/>
      <c r="J211" s="2"/>
      <c r="K211" s="2"/>
      <c r="L211" s="2"/>
      <c r="M211" s="2"/>
      <c r="N211" s="2"/>
      <c r="O211" s="2"/>
      <c r="P211" s="2"/>
      <c r="Q211" s="2"/>
      <c r="R211" s="591"/>
      <c r="S211" s="591"/>
      <c r="T211" s="591"/>
      <c r="U211" s="591"/>
      <c r="V211" s="591"/>
      <c r="W211" s="591"/>
      <c r="X211" s="591"/>
      <c r="AA211" s="591"/>
      <c r="AB211" s="591"/>
      <c r="AC211" s="591"/>
      <c r="AG211" s="591"/>
      <c r="AS211" s="591"/>
    </row>
    <row r="212" spans="1:45" ht="18.75" customHeight="1" x14ac:dyDescent="0.2">
      <c r="A212" s="2"/>
      <c r="B212" s="2"/>
      <c r="C212" s="637" t="str">
        <f>CASSA!B108</f>
        <v>www.marcopiccoli.it   -   Registro dei Corrispettivi 5.2.4 3txt - per EXCEL .xlsm</v>
      </c>
      <c r="D212" s="2"/>
      <c r="E212" s="2"/>
      <c r="F212" s="2"/>
      <c r="G212" s="2"/>
      <c r="H212" s="2"/>
      <c r="I212" s="2"/>
      <c r="J212" s="2"/>
      <c r="K212" s="2"/>
      <c r="L212" s="2"/>
      <c r="M212" s="2"/>
      <c r="N212" s="2"/>
      <c r="O212" s="2"/>
      <c r="P212" s="2"/>
      <c r="Q212" s="2"/>
      <c r="R212" s="591"/>
      <c r="S212" s="591"/>
      <c r="T212" s="591"/>
      <c r="U212" s="591"/>
      <c r="V212" s="591"/>
      <c r="W212" s="591"/>
      <c r="X212" s="591"/>
      <c r="AA212" s="591"/>
      <c r="AB212" s="591"/>
      <c r="AC212" s="591"/>
      <c r="AG212" s="591"/>
      <c r="AS212" s="591"/>
    </row>
    <row r="213" spans="1:45" ht="18.75" customHeight="1" x14ac:dyDescent="0.2">
      <c r="A213" s="2"/>
      <c r="B213" s="2"/>
      <c r="C213" s="2"/>
      <c r="D213" s="2"/>
      <c r="E213" s="2"/>
      <c r="F213" s="2"/>
      <c r="G213" s="2"/>
      <c r="H213" s="2"/>
      <c r="I213" s="2"/>
      <c r="J213" s="2"/>
      <c r="K213" s="2"/>
      <c r="L213" s="2"/>
      <c r="M213" s="2"/>
      <c r="N213" s="2"/>
      <c r="O213" s="2"/>
      <c r="P213" s="2"/>
      <c r="Q213" s="2"/>
      <c r="R213" s="591"/>
      <c r="S213" s="591"/>
      <c r="T213" s="591"/>
      <c r="U213" s="591"/>
      <c r="V213" s="591"/>
      <c r="W213" s="591"/>
      <c r="X213" s="591"/>
      <c r="AA213" s="591"/>
      <c r="AB213" s="591"/>
      <c r="AC213" s="591"/>
      <c r="AG213" s="591"/>
      <c r="AS213" s="591"/>
    </row>
    <row r="214" spans="1:45" ht="18.75" hidden="1" customHeight="1" x14ac:dyDescent="0.2">
      <c r="A214" s="2"/>
      <c r="B214" s="2"/>
      <c r="C214" s="2"/>
      <c r="D214" s="600">
        <v>15</v>
      </c>
      <c r="E214" s="2"/>
      <c r="F214" s="2"/>
      <c r="G214" s="148">
        <v>5</v>
      </c>
      <c r="H214" s="148">
        <v>6</v>
      </c>
      <c r="I214" s="148">
        <v>7</v>
      </c>
      <c r="J214" s="148">
        <v>8</v>
      </c>
      <c r="K214" s="2"/>
      <c r="L214" s="2"/>
      <c r="M214" s="2"/>
      <c r="N214" s="2"/>
      <c r="O214" s="2"/>
      <c r="P214" s="2"/>
      <c r="Q214" s="2"/>
      <c r="R214" s="591"/>
      <c r="S214" s="591"/>
      <c r="T214" s="591"/>
      <c r="U214" s="591"/>
      <c r="V214" s="591"/>
      <c r="W214" s="591"/>
      <c r="X214" s="591"/>
      <c r="AA214" s="591"/>
      <c r="AB214" s="591"/>
      <c r="AC214" s="591"/>
      <c r="AG214" s="591"/>
      <c r="AS214" s="591"/>
    </row>
    <row r="215" spans="1:45" ht="21.95" hidden="1" customHeight="1" x14ac:dyDescent="0.2">
      <c r="A215" s="2"/>
      <c r="B215" s="7"/>
      <c r="C215" s="2187" t="str">
        <f>C46</f>
        <v>LORDO</v>
      </c>
      <c r="D215" s="2187"/>
      <c r="E215" s="2188">
        <f>SUM(G215:J215)</f>
        <v>0</v>
      </c>
      <c r="F215" s="2188"/>
      <c r="G215" s="602">
        <f>VLOOKUP(G$1,IMPOSTAZIONI!$B$298:$AM$304,$D$214,FALSE)</f>
        <v>0</v>
      </c>
      <c r="H215" s="602">
        <f>VLOOKUP(H$1,IMPOSTAZIONI!$B$298:$AM$304,$D$214,FALSE)</f>
        <v>0</v>
      </c>
      <c r="I215" s="602">
        <f>VLOOKUP(K$1,IMPOSTAZIONI!$B$298:$AM$304,$D$214,FALSE)</f>
        <v>0</v>
      </c>
      <c r="J215" s="602">
        <f>VLOOKUP(N$1,IMPOSTAZIONI!$B$298:$AM$304,$D$214,FALSE)</f>
        <v>0</v>
      </c>
      <c r="K215" s="14"/>
      <c r="L215" s="2"/>
      <c r="M215" s="12"/>
      <c r="N215" s="2"/>
      <c r="O215" s="2"/>
      <c r="P215" s="2"/>
      <c r="Q215" s="2"/>
      <c r="R215" s="591"/>
      <c r="S215" s="591"/>
      <c r="T215" s="591"/>
      <c r="U215" s="591"/>
      <c r="V215" s="591"/>
      <c r="W215" s="591"/>
      <c r="X215" s="591"/>
      <c r="AA215" s="591"/>
      <c r="AB215" s="591"/>
      <c r="AC215" s="591"/>
      <c r="AG215" s="591"/>
      <c r="AS215" s="591"/>
    </row>
    <row r="216" spans="1:45" hidden="1" x14ac:dyDescent="0.2">
      <c r="A216" s="2"/>
      <c r="B216" s="7"/>
      <c r="C216" s="2189" t="str">
        <f>C47</f>
        <v>NETTO</v>
      </c>
      <c r="D216" s="2189"/>
      <c r="E216" s="2190">
        <f>SUM(G216:J216)</f>
        <v>4000</v>
      </c>
      <c r="F216" s="2190"/>
      <c r="G216" s="601">
        <f>VLOOKUP(G$1,IMPOSTAZIONI!$B$391:$AM$397,$D$214,FALSE)</f>
        <v>1000</v>
      </c>
      <c r="H216" s="601">
        <f>VLOOKUP(H$1,IMPOSTAZIONI!$B$391:$AM$397,$D$214,FALSE)</f>
        <v>1000</v>
      </c>
      <c r="I216" s="601">
        <f>VLOOKUP(K$1,IMPOSTAZIONI!$B$391:$AM$397,$D$214,FALSE)</f>
        <v>1000</v>
      </c>
      <c r="J216" s="601">
        <f>VLOOKUP(N$1,IMPOSTAZIONI!$B$391:$AM$397,$D$214,FALSE)</f>
        <v>1000</v>
      </c>
      <c r="K216" s="14"/>
      <c r="L216" s="2"/>
      <c r="M216" s="12"/>
      <c r="N216" s="2"/>
      <c r="O216" s="2"/>
      <c r="P216" s="2"/>
      <c r="Q216" s="2"/>
      <c r="R216" s="591"/>
      <c r="S216" s="591"/>
      <c r="T216" s="591"/>
      <c r="U216" s="591"/>
      <c r="V216" s="591"/>
      <c r="W216" s="591"/>
      <c r="X216" s="591"/>
      <c r="AA216" s="591"/>
      <c r="AB216" s="591"/>
      <c r="AC216" s="591"/>
      <c r="AG216" s="591"/>
      <c r="AS216" s="591"/>
    </row>
    <row r="217" spans="1:45" ht="21.95" hidden="1" customHeight="1" x14ac:dyDescent="0.2">
      <c r="A217" s="2"/>
      <c r="B217" s="7"/>
      <c r="C217" s="2185" t="str">
        <f>C48</f>
        <v>IVA</v>
      </c>
      <c r="D217" s="2185"/>
      <c r="E217" s="2186">
        <f>SUM(G217:J217)</f>
        <v>-4000</v>
      </c>
      <c r="F217" s="2186"/>
      <c r="G217" s="603">
        <f>G215-G216</f>
        <v>-1000</v>
      </c>
      <c r="H217" s="603">
        <f>H215-H216</f>
        <v>-1000</v>
      </c>
      <c r="I217" s="603">
        <f>I215-I216</f>
        <v>-1000</v>
      </c>
      <c r="J217" s="603">
        <f>J215-J216</f>
        <v>-1000</v>
      </c>
      <c r="K217" s="14"/>
      <c r="L217" s="2"/>
      <c r="M217" s="12"/>
      <c r="N217" s="2"/>
      <c r="O217" s="2"/>
      <c r="P217" s="2"/>
      <c r="Q217" s="2"/>
      <c r="R217" s="591"/>
      <c r="S217" s="591"/>
      <c r="T217" s="591"/>
      <c r="U217" s="591"/>
      <c r="V217" s="591"/>
      <c r="W217" s="591"/>
      <c r="X217" s="591"/>
      <c r="AA217" s="591"/>
      <c r="AB217" s="591"/>
      <c r="AC217" s="591"/>
      <c r="AG217" s="591"/>
      <c r="AS217" s="591"/>
    </row>
    <row r="218" spans="1:45" ht="18.75" hidden="1" customHeight="1" x14ac:dyDescent="0.2">
      <c r="A218" s="2"/>
      <c r="B218" s="2"/>
      <c r="C218" s="2"/>
      <c r="D218" s="2"/>
      <c r="E218" s="2"/>
      <c r="F218" s="2"/>
      <c r="G218" s="2"/>
      <c r="H218" s="2"/>
      <c r="I218" s="2"/>
      <c r="J218" s="2"/>
      <c r="K218" s="2"/>
      <c r="L218" s="2"/>
      <c r="M218" s="2"/>
      <c r="N218" s="2"/>
      <c r="O218" s="2"/>
      <c r="P218" s="2"/>
      <c r="Q218" s="2"/>
      <c r="R218" s="591"/>
      <c r="S218" s="591"/>
      <c r="T218" s="591"/>
      <c r="U218" s="591"/>
      <c r="V218" s="591"/>
      <c r="W218" s="591"/>
      <c r="X218" s="591"/>
      <c r="AA218" s="591"/>
      <c r="AB218" s="591"/>
      <c r="AC218" s="591"/>
      <c r="AG218" s="591"/>
      <c r="AS218" s="591"/>
    </row>
    <row r="219" spans="1:45" hidden="1" x14ac:dyDescent="0.2">
      <c r="A219" s="2"/>
      <c r="B219" s="2"/>
      <c r="C219" s="2"/>
      <c r="D219" s="2"/>
      <c r="E219" s="931" t="s">
        <v>718</v>
      </c>
      <c r="F219" s="2"/>
      <c r="G219" s="592" t="s">
        <v>175</v>
      </c>
      <c r="H219" s="2"/>
      <c r="I219" s="2"/>
      <c r="J219" s="2"/>
      <c r="K219" s="2"/>
      <c r="L219" s="2"/>
      <c r="M219" s="2"/>
      <c r="N219" s="2"/>
      <c r="O219" s="2"/>
      <c r="P219" s="2"/>
      <c r="Q219" s="2"/>
      <c r="R219" s="591"/>
      <c r="S219" s="591"/>
      <c r="T219" s="591"/>
      <c r="U219" s="591"/>
      <c r="V219" s="591"/>
      <c r="W219" s="591"/>
      <c r="X219" s="591"/>
      <c r="AA219" s="591"/>
      <c r="AB219" s="591"/>
      <c r="AC219" s="591"/>
      <c r="AG219" s="591"/>
      <c r="AS219" s="591"/>
    </row>
    <row r="220" spans="1:45" ht="14.25" hidden="1" customHeight="1" x14ac:dyDescent="0.2">
      <c r="A220" s="2"/>
      <c r="B220" s="2"/>
      <c r="C220" s="2"/>
      <c r="D220" s="2"/>
      <c r="E220" s="932" t="s">
        <v>719</v>
      </c>
      <c r="F220" s="2"/>
      <c r="G220" s="593">
        <f>STORICO!C16</f>
        <v>2024</v>
      </c>
      <c r="H220" s="2"/>
      <c r="I220" s="592" t="str">
        <f t="shared" ref="I220:I229" si="36">CONCATENATE(G$219,"   ",G220)</f>
        <v>ANNO   2024</v>
      </c>
      <c r="J220" s="2"/>
      <c r="K220" s="592" t="s">
        <v>583</v>
      </c>
      <c r="L220" s="2"/>
      <c r="M220" s="2"/>
      <c r="N220" s="2"/>
      <c r="O220" s="2"/>
      <c r="P220" s="2"/>
      <c r="Q220" s="2"/>
      <c r="R220" s="591"/>
      <c r="S220" s="591"/>
      <c r="T220" s="591"/>
      <c r="U220" s="591"/>
      <c r="V220" s="591"/>
      <c r="W220" s="591"/>
      <c r="X220" s="591"/>
      <c r="AA220" s="591"/>
      <c r="AB220" s="591"/>
      <c r="AC220" s="591"/>
      <c r="AG220" s="591"/>
      <c r="AS220" s="591"/>
    </row>
    <row r="221" spans="1:45" ht="14.25" hidden="1" customHeight="1" x14ac:dyDescent="0.2">
      <c r="A221" s="2"/>
      <c r="B221" s="2"/>
      <c r="C221" s="2"/>
      <c r="D221" s="2"/>
      <c r="E221" s="933">
        <f>IF(ISERROR(G206),MAX(G180:K180,G193:K193)/10,MAX(G180:K180,G193:K193,G206:K206)/10)</f>
        <v>0</v>
      </c>
      <c r="F221" s="2"/>
      <c r="G221" s="593">
        <f>STORICO!C27</f>
        <v>2023</v>
      </c>
      <c r="H221" s="2"/>
      <c r="I221" s="592" t="str">
        <f t="shared" si="36"/>
        <v>ANNO   2023</v>
      </c>
      <c r="J221" s="2"/>
      <c r="K221" s="592" t="s">
        <v>584</v>
      </c>
      <c r="L221" s="2"/>
      <c r="M221" s="2"/>
      <c r="N221" s="2"/>
      <c r="O221" s="2"/>
      <c r="P221" s="2"/>
      <c r="Q221" s="2"/>
      <c r="AA221" s="591"/>
      <c r="AB221" s="591"/>
      <c r="AC221" s="591"/>
      <c r="AG221" s="591"/>
      <c r="AS221" s="591"/>
    </row>
    <row r="222" spans="1:45" ht="14.25" hidden="1" customHeight="1" x14ac:dyDescent="0.2">
      <c r="A222" s="2"/>
      <c r="B222" s="2"/>
      <c r="C222" s="2"/>
      <c r="D222" s="2"/>
      <c r="E222" s="2"/>
      <c r="F222" s="2"/>
      <c r="G222" s="593">
        <f>STORICO!C33</f>
        <v>2022</v>
      </c>
      <c r="H222" s="2"/>
      <c r="I222" s="592" t="str">
        <f t="shared" si="36"/>
        <v>ANNO   2022</v>
      </c>
      <c r="J222" s="2"/>
      <c r="K222" s="592" t="s">
        <v>585</v>
      </c>
      <c r="L222" s="2"/>
      <c r="M222" s="2"/>
      <c r="N222" s="2"/>
      <c r="O222" s="2"/>
      <c r="P222" s="2"/>
      <c r="Q222" s="2"/>
      <c r="AA222" s="591"/>
      <c r="AB222" s="591"/>
      <c r="AC222" s="591"/>
      <c r="AG222" s="591"/>
      <c r="AS222" s="591"/>
    </row>
    <row r="223" spans="1:45" ht="14.25" hidden="1" customHeight="1" x14ac:dyDescent="0.2">
      <c r="A223" s="2"/>
      <c r="B223" s="2"/>
      <c r="C223" s="2"/>
      <c r="D223" s="2"/>
      <c r="E223" s="2"/>
      <c r="F223" s="2"/>
      <c r="G223" s="593">
        <f>STORICO!C39</f>
        <v>2021</v>
      </c>
      <c r="H223" s="2"/>
      <c r="I223" s="592" t="str">
        <f t="shared" si="36"/>
        <v>ANNO   2021</v>
      </c>
      <c r="J223" s="2"/>
      <c r="K223" s="592" t="s">
        <v>586</v>
      </c>
      <c r="L223" s="2"/>
      <c r="M223" s="2"/>
      <c r="N223" s="2"/>
      <c r="O223" s="2"/>
      <c r="P223" s="2"/>
      <c r="Q223" s="2"/>
      <c r="AA223" s="591"/>
      <c r="AB223" s="591"/>
      <c r="AC223" s="591"/>
      <c r="AG223" s="591"/>
      <c r="AS223" s="591"/>
    </row>
    <row r="224" spans="1:45" ht="14.25" hidden="1" customHeight="1" x14ac:dyDescent="0.2">
      <c r="A224" s="2"/>
      <c r="B224" s="2"/>
      <c r="C224" s="2"/>
      <c r="D224" s="2"/>
      <c r="E224" s="934" t="str">
        <f>C215</f>
        <v>LORDO</v>
      </c>
      <c r="F224" s="2"/>
      <c r="G224" s="593" t="str">
        <f>CONCATENATE(G220," + ",G221)</f>
        <v>2024 + 2023</v>
      </c>
      <c r="H224" s="2"/>
      <c r="I224" s="592" t="str">
        <f t="shared" si="36"/>
        <v>ANNO   2024 + 2023</v>
      </c>
      <c r="J224" s="2"/>
      <c r="K224" s="592" t="str">
        <f>CONCATENATE(K220," + ",K221)</f>
        <v>ANNO IN CORSO + ANNO PRECEDENTE 1</v>
      </c>
      <c r="L224" s="2"/>
      <c r="M224" s="2"/>
      <c r="N224" s="2"/>
      <c r="O224" s="2"/>
      <c r="P224" s="2"/>
      <c r="Q224" s="2"/>
      <c r="AA224" s="591"/>
      <c r="AB224" s="591"/>
      <c r="AC224" s="591"/>
      <c r="AG224" s="591"/>
      <c r="AS224" s="591"/>
    </row>
    <row r="225" spans="1:45" ht="14.25" hidden="1" customHeight="1" x14ac:dyDescent="0.2">
      <c r="A225" s="2"/>
      <c r="B225" s="2"/>
      <c r="C225" s="2"/>
      <c r="D225" s="2"/>
      <c r="E225" s="934" t="str">
        <f>C216</f>
        <v>NETTO</v>
      </c>
      <c r="F225" s="2"/>
      <c r="G225" s="593" t="str">
        <f>CONCATENATE(G220," + ",G221," + ",G222)</f>
        <v>2024 + 2023 + 2022</v>
      </c>
      <c r="H225" s="2"/>
      <c r="I225" s="592" t="str">
        <f t="shared" si="36"/>
        <v>ANNO   2024 + 2023 + 2022</v>
      </c>
      <c r="J225" s="2"/>
      <c r="K225" s="592" t="str">
        <f>CONCATENATE(K220," + ",K221," + 2")</f>
        <v>ANNO IN CORSO + ANNO PRECEDENTE 1 + 2</v>
      </c>
      <c r="L225" s="2"/>
      <c r="M225" s="2"/>
      <c r="N225" s="2"/>
      <c r="O225" s="2"/>
      <c r="P225" s="2"/>
      <c r="Q225" s="2"/>
      <c r="AA225" s="591"/>
      <c r="AB225" s="591"/>
      <c r="AC225" s="591"/>
      <c r="AG225" s="591"/>
      <c r="AS225" s="591"/>
    </row>
    <row r="226" spans="1:45" ht="14.25" hidden="1" customHeight="1" x14ac:dyDescent="0.2">
      <c r="A226" s="2"/>
      <c r="B226" s="2"/>
      <c r="C226" s="2"/>
      <c r="D226" s="2"/>
      <c r="E226" s="934" t="str">
        <f>C217</f>
        <v>IVA</v>
      </c>
      <c r="F226" s="2"/>
      <c r="G226" s="593" t="str">
        <f>CONCATENATE(G220," + ",G221," + ",G222," + ",G223)</f>
        <v>2024 + 2023 + 2022 + 2021</v>
      </c>
      <c r="H226" s="2"/>
      <c r="I226" s="592" t="str">
        <f t="shared" si="36"/>
        <v>ANNO   2024 + 2023 + 2022 + 2021</v>
      </c>
      <c r="J226" s="2"/>
      <c r="K226" s="592" t="str">
        <f>CONCATENATE(K220," + ",K221," + 2 + 3")</f>
        <v>ANNO IN CORSO + ANNO PRECEDENTE 1 + 2 + 3</v>
      </c>
      <c r="L226" s="2"/>
      <c r="M226" s="2"/>
      <c r="N226" s="2"/>
      <c r="O226" s="2"/>
      <c r="P226" s="2"/>
      <c r="Q226" s="2"/>
      <c r="AA226" s="591"/>
      <c r="AB226" s="591"/>
      <c r="AC226" s="591"/>
      <c r="AG226" s="591"/>
      <c r="AS226" s="591"/>
    </row>
    <row r="227" spans="1:45" ht="14.25" hidden="1" customHeight="1" x14ac:dyDescent="0.2">
      <c r="A227" s="2"/>
      <c r="B227" s="2"/>
      <c r="C227" s="2"/>
      <c r="D227" s="2"/>
      <c r="E227" s="2"/>
      <c r="F227" s="2"/>
      <c r="G227" s="593" t="str">
        <f>CONCATENATE(G221," + ",G222)</f>
        <v>2023 + 2022</v>
      </c>
      <c r="H227" s="2"/>
      <c r="I227" s="592" t="str">
        <f t="shared" si="36"/>
        <v>ANNO   2023 + 2022</v>
      </c>
      <c r="J227" s="2"/>
      <c r="K227" s="592" t="str">
        <f>CONCATENATE(K221," + 2")</f>
        <v>ANNO PRECEDENTE 1 + 2</v>
      </c>
      <c r="L227" s="2"/>
      <c r="M227" s="2"/>
      <c r="N227" s="2"/>
      <c r="O227" s="2"/>
      <c r="P227" s="2"/>
      <c r="Q227" s="2"/>
      <c r="AA227" s="591"/>
      <c r="AB227" s="591"/>
      <c r="AC227" s="591"/>
      <c r="AG227" s="591"/>
      <c r="AS227" s="591"/>
    </row>
    <row r="228" spans="1:45" ht="14.25" hidden="1" customHeight="1" x14ac:dyDescent="0.2">
      <c r="A228" s="2"/>
      <c r="B228" s="2"/>
      <c r="C228" s="2"/>
      <c r="D228" s="2"/>
      <c r="E228" s="2"/>
      <c r="F228" s="2"/>
      <c r="G228" s="593" t="str">
        <f>CONCATENATE(G221," + ",G222," + ",G223)</f>
        <v>2023 + 2022 + 2021</v>
      </c>
      <c r="H228" s="2"/>
      <c r="I228" s="592" t="str">
        <f t="shared" si="36"/>
        <v>ANNO   2023 + 2022 + 2021</v>
      </c>
      <c r="J228" s="2"/>
      <c r="K228" s="592" t="str">
        <f>CONCATENATE(K221," + 2 + 3")</f>
        <v>ANNO PRECEDENTE 1 + 2 + 3</v>
      </c>
      <c r="L228" s="2"/>
      <c r="M228" s="2"/>
      <c r="N228" s="2"/>
      <c r="O228" s="2"/>
      <c r="P228" s="2"/>
      <c r="Q228" s="2"/>
      <c r="AA228" s="591"/>
      <c r="AB228" s="591"/>
      <c r="AC228" s="591"/>
      <c r="AG228" s="591"/>
      <c r="AS228" s="591"/>
    </row>
    <row r="229" spans="1:45" ht="14.25" hidden="1" customHeight="1" x14ac:dyDescent="0.2">
      <c r="A229" s="2"/>
      <c r="B229" s="2"/>
      <c r="C229" s="2"/>
      <c r="D229" s="2"/>
      <c r="E229" s="2"/>
      <c r="F229" s="2"/>
      <c r="G229" s="593" t="str">
        <f>CONCATENATE(G222," + ",G223)</f>
        <v>2022 + 2021</v>
      </c>
      <c r="H229" s="2"/>
      <c r="I229" s="592" t="str">
        <f t="shared" si="36"/>
        <v>ANNO   2022 + 2021</v>
      </c>
      <c r="J229" s="2"/>
      <c r="K229" s="592" t="str">
        <f>CONCATENATE(K222," + 3")</f>
        <v>ANNO PRECEDENTE 2 + 3</v>
      </c>
      <c r="L229" s="2"/>
      <c r="M229" s="2"/>
      <c r="N229" s="2"/>
      <c r="O229" s="2"/>
      <c r="P229" s="2"/>
      <c r="Q229" s="2"/>
      <c r="AA229" s="591"/>
      <c r="AB229" s="591"/>
      <c r="AC229" s="591"/>
      <c r="AG229" s="591"/>
      <c r="AS229" s="591"/>
    </row>
    <row r="230" spans="1:45" hidden="1" x14ac:dyDescent="0.2">
      <c r="A230" s="2"/>
      <c r="B230" s="2"/>
      <c r="C230" s="2"/>
      <c r="D230" s="2"/>
      <c r="E230" s="2"/>
      <c r="F230" s="2"/>
      <c r="G230" s="2"/>
      <c r="H230" s="2"/>
      <c r="I230" s="2"/>
      <c r="J230" s="2"/>
      <c r="K230" s="2"/>
      <c r="L230" s="2"/>
      <c r="M230" s="2"/>
      <c r="N230" s="2"/>
      <c r="O230" s="2"/>
      <c r="P230" s="2"/>
      <c r="Q230" s="2"/>
      <c r="AA230" s="591"/>
      <c r="AB230" s="591"/>
      <c r="AC230" s="591"/>
      <c r="AG230" s="591"/>
      <c r="AS230" s="591"/>
    </row>
    <row r="231" spans="1:45" x14ac:dyDescent="0.2">
      <c r="A231" s="2"/>
      <c r="B231" s="2"/>
      <c r="C231" s="2"/>
      <c r="D231" s="2"/>
      <c r="E231" s="2"/>
      <c r="F231" s="2"/>
      <c r="G231" s="1433" t="s">
        <v>572</v>
      </c>
      <c r="H231" s="1434" t="s">
        <v>869</v>
      </c>
      <c r="I231" s="2"/>
      <c r="J231" s="2"/>
      <c r="K231" s="2"/>
      <c r="L231" s="1433" t="s">
        <v>572</v>
      </c>
      <c r="M231" s="1434" t="s">
        <v>870</v>
      </c>
      <c r="N231" s="2"/>
      <c r="O231" s="2"/>
      <c r="P231" s="2"/>
      <c r="Q231" s="2"/>
      <c r="AA231" s="591"/>
      <c r="AB231" s="591"/>
      <c r="AC231" s="591"/>
      <c r="AG231" s="591"/>
      <c r="AS231" s="591"/>
    </row>
  </sheetData>
  <sheetProtection algorithmName="SHA-512" hashValue="W+UNcAHKhMbT+LYpgLmRMNMi6YCcnKTdaaZTKAZDjHl+nujqKSlptC4j5gw8KxwTW22qbVQ756ypoI2Kqn1x5A==" saltValue="dtfAX6xW+UzeGsvHfo5LVg==" spinCount="100000" sheet="1" objects="1" scenarios="1" selectLockedCells="1"/>
  <mergeCells count="242">
    <mergeCell ref="AN6:AQ6"/>
    <mergeCell ref="I205:J205"/>
    <mergeCell ref="I196:J196"/>
    <mergeCell ref="I197:J197"/>
    <mergeCell ref="I198:J198"/>
    <mergeCell ref="I199:J199"/>
    <mergeCell ref="I193:J193"/>
    <mergeCell ref="I195:J195"/>
    <mergeCell ref="I194:J194"/>
    <mergeCell ref="I189:J189"/>
    <mergeCell ref="I185:J185"/>
    <mergeCell ref="I186:J186"/>
    <mergeCell ref="I187:J187"/>
    <mergeCell ref="I188:J188"/>
    <mergeCell ref="I179:J179"/>
    <mergeCell ref="I180:J180"/>
    <mergeCell ref="I181:J181"/>
    <mergeCell ref="I182:J182"/>
    <mergeCell ref="I183:J183"/>
    <mergeCell ref="I184:J184"/>
    <mergeCell ref="I173:J173"/>
    <mergeCell ref="I174:J174"/>
    <mergeCell ref="I175:J175"/>
    <mergeCell ref="I176:J176"/>
    <mergeCell ref="I206:J206"/>
    <mergeCell ref="I207:K207"/>
    <mergeCell ref="I200:J200"/>
    <mergeCell ref="I201:J201"/>
    <mergeCell ref="I202:J202"/>
    <mergeCell ref="I203:J203"/>
    <mergeCell ref="I204:J204"/>
    <mergeCell ref="I190:J190"/>
    <mergeCell ref="I191:J191"/>
    <mergeCell ref="I192:J192"/>
    <mergeCell ref="I177:J177"/>
    <mergeCell ref="I178:J178"/>
    <mergeCell ref="O102:P102"/>
    <mergeCell ref="O103:P103"/>
    <mergeCell ref="I169:J169"/>
    <mergeCell ref="I170:J170"/>
    <mergeCell ref="I171:J171"/>
    <mergeCell ref="I172:J172"/>
    <mergeCell ref="L53:M54"/>
    <mergeCell ref="L55:M55"/>
    <mergeCell ref="L109:M109"/>
    <mergeCell ref="C126:M126"/>
    <mergeCell ref="K156:L156"/>
    <mergeCell ref="I118:J118"/>
    <mergeCell ref="M168:N168"/>
    <mergeCell ref="M166:N166"/>
    <mergeCell ref="K149:L149"/>
    <mergeCell ref="I78:J78"/>
    <mergeCell ref="C55:E55"/>
    <mergeCell ref="C53:E53"/>
    <mergeCell ref="C54:E54"/>
    <mergeCell ref="O101:P101"/>
    <mergeCell ref="O97:P97"/>
    <mergeCell ref="O96:P96"/>
    <mergeCell ref="I52:J52"/>
    <mergeCell ref="I53:J54"/>
    <mergeCell ref="I55:J55"/>
    <mergeCell ref="I168:J168"/>
    <mergeCell ref="I56:J56"/>
    <mergeCell ref="I119:J119"/>
    <mergeCell ref="C91:P91"/>
    <mergeCell ref="O104:P104"/>
    <mergeCell ref="L4:M5"/>
    <mergeCell ref="L44:M44"/>
    <mergeCell ref="I4:J5"/>
    <mergeCell ref="I44:J44"/>
    <mergeCell ref="L51:M51"/>
    <mergeCell ref="L52:M52"/>
    <mergeCell ref="K158:L158"/>
    <mergeCell ref="K157:L157"/>
    <mergeCell ref="I120:J120"/>
    <mergeCell ref="I121:J121"/>
    <mergeCell ref="K146:L146"/>
    <mergeCell ref="K145:L145"/>
    <mergeCell ref="I122:J122"/>
    <mergeCell ref="K144:L144"/>
    <mergeCell ref="K147:L147"/>
    <mergeCell ref="K148:L148"/>
    <mergeCell ref="C217:D217"/>
    <mergeCell ref="E217:F217"/>
    <mergeCell ref="C215:D215"/>
    <mergeCell ref="E215:F215"/>
    <mergeCell ref="C216:D216"/>
    <mergeCell ref="E216:F216"/>
    <mergeCell ref="K159:L159"/>
    <mergeCell ref="K160:L160"/>
    <mergeCell ref="B162:D162"/>
    <mergeCell ref="C167:D167"/>
    <mergeCell ref="E167:F167"/>
    <mergeCell ref="I166:J166"/>
    <mergeCell ref="I167:J167"/>
    <mergeCell ref="C169:F169"/>
    <mergeCell ref="C171:D172"/>
    <mergeCell ref="C170:D170"/>
    <mergeCell ref="C195:H195"/>
    <mergeCell ref="C193:D193"/>
    <mergeCell ref="E193:F193"/>
    <mergeCell ref="C196:D196"/>
    <mergeCell ref="C180:D180"/>
    <mergeCell ref="E180:F180"/>
    <mergeCell ref="C182:F182"/>
    <mergeCell ref="C207:H207"/>
    <mergeCell ref="G53:G54"/>
    <mergeCell ref="O98:P98"/>
    <mergeCell ref="K53:K54"/>
    <mergeCell ref="P58:Q58"/>
    <mergeCell ref="C56:D56"/>
    <mergeCell ref="H53:H54"/>
    <mergeCell ref="C57:F57"/>
    <mergeCell ref="C59:E59"/>
    <mergeCell ref="O57:P57"/>
    <mergeCell ref="L78:M78"/>
    <mergeCell ref="I72:J72"/>
    <mergeCell ref="L72:M72"/>
    <mergeCell ref="I73:J73"/>
    <mergeCell ref="I74:K74"/>
    <mergeCell ref="C95:F95"/>
    <mergeCell ref="C96:D96"/>
    <mergeCell ref="C98:F98"/>
    <mergeCell ref="C97:F97"/>
    <mergeCell ref="C102:F102"/>
    <mergeCell ref="C100:F100"/>
    <mergeCell ref="I79:J79"/>
    <mergeCell ref="I81:J81"/>
    <mergeCell ref="I82:J82"/>
    <mergeCell ref="I71:J71"/>
    <mergeCell ref="L71:M71"/>
    <mergeCell ref="L77:M77"/>
    <mergeCell ref="I67:J67"/>
    <mergeCell ref="I68:J68"/>
    <mergeCell ref="L68:M68"/>
    <mergeCell ref="I69:J69"/>
    <mergeCell ref="I76:J76"/>
    <mergeCell ref="I77:J77"/>
    <mergeCell ref="E32:F32"/>
    <mergeCell ref="E23:F23"/>
    <mergeCell ref="E14:F14"/>
    <mergeCell ref="E12:F12"/>
    <mergeCell ref="E13:F13"/>
    <mergeCell ref="E17:F17"/>
    <mergeCell ref="E15:F15"/>
    <mergeCell ref="E19:F19"/>
    <mergeCell ref="E18:F18"/>
    <mergeCell ref="C4:D5"/>
    <mergeCell ref="O4:P5"/>
    <mergeCell ref="E4:F5"/>
    <mergeCell ref="E28:F28"/>
    <mergeCell ref="E24:F24"/>
    <mergeCell ref="E25:F25"/>
    <mergeCell ref="E26:F26"/>
    <mergeCell ref="C6:D6"/>
    <mergeCell ref="E16:F16"/>
    <mergeCell ref="E21:F21"/>
    <mergeCell ref="E6:F6"/>
    <mergeCell ref="E7:F7"/>
    <mergeCell ref="E8:F8"/>
    <mergeCell ref="C197:D198"/>
    <mergeCell ref="E171:E172"/>
    <mergeCell ref="B163:D163"/>
    <mergeCell ref="E197:E198"/>
    <mergeCell ref="C184:D185"/>
    <mergeCell ref="E184:E185"/>
    <mergeCell ref="C183:D183"/>
    <mergeCell ref="C206:D206"/>
    <mergeCell ref="E206:F206"/>
    <mergeCell ref="C168:F168"/>
    <mergeCell ref="C2:I2"/>
    <mergeCell ref="J2:P2"/>
    <mergeCell ref="C3:D3"/>
    <mergeCell ref="E3:G3"/>
    <mergeCell ref="M3:P3"/>
    <mergeCell ref="H3:L3"/>
    <mergeCell ref="E48:F48"/>
    <mergeCell ref="E47:F47"/>
    <mergeCell ref="E36:F36"/>
    <mergeCell ref="E30:F30"/>
    <mergeCell ref="C45:F45"/>
    <mergeCell ref="C39:D39"/>
    <mergeCell ref="E35:F35"/>
    <mergeCell ref="E20:F20"/>
    <mergeCell ref="C46:D46"/>
    <mergeCell ref="E22:F22"/>
    <mergeCell ref="E31:F31"/>
    <mergeCell ref="E27:F27"/>
    <mergeCell ref="C44:F44"/>
    <mergeCell ref="C43:D43"/>
    <mergeCell ref="E29:F29"/>
    <mergeCell ref="C7:D7"/>
    <mergeCell ref="E11:F11"/>
    <mergeCell ref="E9:F9"/>
    <mergeCell ref="I117:J117"/>
    <mergeCell ref="L56:M56"/>
    <mergeCell ref="L108:M108"/>
    <mergeCell ref="I114:J114"/>
    <mergeCell ref="I115:J115"/>
    <mergeCell ref="C104:F104"/>
    <mergeCell ref="E96:F96"/>
    <mergeCell ref="I83:J83"/>
    <mergeCell ref="I88:J88"/>
    <mergeCell ref="C101:F101"/>
    <mergeCell ref="I89:J89"/>
    <mergeCell ref="I84:J84"/>
    <mergeCell ref="I85:J85"/>
    <mergeCell ref="I86:J86"/>
    <mergeCell ref="I87:J87"/>
    <mergeCell ref="C58:F58"/>
    <mergeCell ref="C94:F94"/>
    <mergeCell ref="E93:F93"/>
    <mergeCell ref="C93:D93"/>
    <mergeCell ref="C103:F103"/>
    <mergeCell ref="I116:J116"/>
    <mergeCell ref="L69:M69"/>
    <mergeCell ref="I70:J70"/>
    <mergeCell ref="L70:M70"/>
    <mergeCell ref="T65:T66"/>
    <mergeCell ref="AS7:AW7"/>
    <mergeCell ref="AB7:AE7"/>
    <mergeCell ref="AG7:AK7"/>
    <mergeCell ref="L87:M87"/>
    <mergeCell ref="L86:M86"/>
    <mergeCell ref="O93:P93"/>
    <mergeCell ref="O56:P56"/>
    <mergeCell ref="C50:E50"/>
    <mergeCell ref="C51:E51"/>
    <mergeCell ref="C52:E52"/>
    <mergeCell ref="G50:M50"/>
    <mergeCell ref="I51:J51"/>
    <mergeCell ref="E10:F10"/>
    <mergeCell ref="C47:D47"/>
    <mergeCell ref="C48:D48"/>
    <mergeCell ref="E46:F46"/>
    <mergeCell ref="O44:P44"/>
    <mergeCell ref="E33:F33"/>
    <mergeCell ref="E34:F34"/>
    <mergeCell ref="E37:F37"/>
    <mergeCell ref="E38:F38"/>
    <mergeCell ref="E43:F43"/>
    <mergeCell ref="E39:F39"/>
  </mergeCells>
  <phoneticPr fontId="24" type="noConversion"/>
  <conditionalFormatting sqref="C57 G57">
    <cfRule type="expression" dxfId="4167" priority="1" stopIfTrue="1">
      <formula>C58=0</formula>
    </cfRule>
  </conditionalFormatting>
  <conditionalFormatting sqref="F121:F122">
    <cfRule type="expression" dxfId="4166" priority="2" stopIfTrue="1">
      <formula>SUM($G121:$I121)=0</formula>
    </cfRule>
  </conditionalFormatting>
  <conditionalFormatting sqref="G184:H192 K197:K205 K184:K192 K171:K179 G171:H179 G197:H205">
    <cfRule type="cellIs" dxfId="4165" priority="3" stopIfTrue="1" operator="equal">
      <formula>0</formula>
    </cfRule>
    <cfRule type="expression" dxfId="4164" priority="4" stopIfTrue="1">
      <formula>AND(G171=1,G170=0)</formula>
    </cfRule>
  </conditionalFormatting>
  <conditionalFormatting sqref="I171:J179 I184:J192 I197:J205">
    <cfRule type="cellIs" dxfId="4163" priority="5" stopIfTrue="1" operator="equal">
      <formula>0</formula>
    </cfRule>
    <cfRule type="expression" dxfId="4162" priority="6" stopIfTrue="1">
      <formula>AND($I171=1,$I170=0)</formula>
    </cfRule>
  </conditionalFormatting>
  <conditionalFormatting sqref="I93">
    <cfRule type="expression" dxfId="4161" priority="7" stopIfTrue="1">
      <formula>AND(I$155="X",I$93&lt;&gt;"")</formula>
    </cfRule>
  </conditionalFormatting>
  <conditionalFormatting sqref="I97">
    <cfRule type="expression" dxfId="4160" priority="8" stopIfTrue="1">
      <formula>AND(I$152=0,I$97&lt;&gt;0)</formula>
    </cfRule>
    <cfRule type="expression" dxfId="4159" priority="9" stopIfTrue="1">
      <formula>I$152=0</formula>
    </cfRule>
  </conditionalFormatting>
  <conditionalFormatting sqref="G98:I98">
    <cfRule type="expression" dxfId="4158" priority="10" stopIfTrue="1">
      <formula>AND(G$152=0,G$98&lt;&gt;0)</formula>
    </cfRule>
    <cfRule type="expression" dxfId="4157" priority="11" stopIfTrue="1">
      <formula>G$152=0</formula>
    </cfRule>
  </conditionalFormatting>
  <conditionalFormatting sqref="J93">
    <cfRule type="expression" dxfId="4156" priority="12" stopIfTrue="1">
      <formula>AND(I$155="X",J$93&lt;&gt;"")</formula>
    </cfRule>
  </conditionalFormatting>
  <conditionalFormatting sqref="J97">
    <cfRule type="expression" dxfId="4155" priority="13" stopIfTrue="1">
      <formula>AND(I$152=0,J$97&lt;&gt;0)</formula>
    </cfRule>
    <cfRule type="expression" dxfId="4154" priority="14" stopIfTrue="1">
      <formula>I$152=0</formula>
    </cfRule>
  </conditionalFormatting>
  <conditionalFormatting sqref="J98">
    <cfRule type="expression" dxfId="4153" priority="15" stopIfTrue="1">
      <formula>AND(I$152=0,J$98&lt;&gt;0)</formula>
    </cfRule>
    <cfRule type="expression" dxfId="4152" priority="16" stopIfTrue="1">
      <formula>I$152=0</formula>
    </cfRule>
  </conditionalFormatting>
  <conditionalFormatting sqref="G101:I101">
    <cfRule type="expression" dxfId="4151" priority="17" stopIfTrue="1">
      <formula>AND(G$152=0,G$101&lt;&gt;0)</formula>
    </cfRule>
    <cfRule type="expression" dxfId="4150" priority="18" stopIfTrue="1">
      <formula>AND($C101="ERROR",G101&gt;0)</formula>
    </cfRule>
    <cfRule type="expression" dxfId="4149" priority="19" stopIfTrue="1">
      <formula>G$152=0</formula>
    </cfRule>
  </conditionalFormatting>
  <conditionalFormatting sqref="G102:I102">
    <cfRule type="expression" dxfId="4148" priority="20" stopIfTrue="1">
      <formula>AND(G$152=0,G$102&lt;&gt;0)</formula>
    </cfRule>
    <cfRule type="expression" dxfId="4147" priority="21" stopIfTrue="1">
      <formula>AND($C102="ERROR",G102&gt;0)</formula>
    </cfRule>
    <cfRule type="expression" dxfId="4146" priority="22" stopIfTrue="1">
      <formula>G$152=0</formula>
    </cfRule>
  </conditionalFormatting>
  <conditionalFormatting sqref="G103:I103">
    <cfRule type="expression" dxfId="4145" priority="23" stopIfTrue="1">
      <formula>AND(G$152=0,G$103&lt;&gt;0)</formula>
    </cfRule>
    <cfRule type="expression" dxfId="4144" priority="24" stopIfTrue="1">
      <formula>AND($C103="ERROR",G103&gt;0)</formula>
    </cfRule>
    <cfRule type="expression" dxfId="4143" priority="25" stopIfTrue="1">
      <formula>G$152=0</formula>
    </cfRule>
  </conditionalFormatting>
  <conditionalFormatting sqref="G104:I104">
    <cfRule type="expression" dxfId="4142" priority="26" stopIfTrue="1">
      <formula>AND(G$152=0,G$104&lt;&gt;0)</formula>
    </cfRule>
    <cfRule type="expression" dxfId="4141" priority="27" stopIfTrue="1">
      <formula>AND($C104="ERROR",G104&gt;0)</formula>
    </cfRule>
    <cfRule type="expression" dxfId="4140" priority="28" stopIfTrue="1">
      <formula>G$152=0</formula>
    </cfRule>
  </conditionalFormatting>
  <conditionalFormatting sqref="J101">
    <cfRule type="expression" dxfId="4139" priority="29" stopIfTrue="1">
      <formula>AND(I$152=0,J$101&lt;&gt;0)</formula>
    </cfRule>
    <cfRule type="expression" dxfId="4138" priority="30" stopIfTrue="1">
      <formula>AND($C101="ERROR",J101&gt;0)</formula>
    </cfRule>
    <cfRule type="expression" dxfId="4137" priority="31" stopIfTrue="1">
      <formula>I$152=0</formula>
    </cfRule>
  </conditionalFormatting>
  <conditionalFormatting sqref="J102">
    <cfRule type="expression" dxfId="4136" priority="32" stopIfTrue="1">
      <formula>AND(I$152=0,J$102&lt;&gt;0)</formula>
    </cfRule>
    <cfRule type="expression" dxfId="4135" priority="33" stopIfTrue="1">
      <formula>AND($C102="ERROR",J102&gt;0)</formula>
    </cfRule>
    <cfRule type="expression" dxfId="4134" priority="34" stopIfTrue="1">
      <formula>I$152=0</formula>
    </cfRule>
  </conditionalFormatting>
  <conditionalFormatting sqref="J103">
    <cfRule type="expression" dxfId="4133" priority="35" stopIfTrue="1">
      <formula>AND(I$152=0,J$103&lt;&gt;0)</formula>
    </cfRule>
    <cfRule type="expression" dxfId="4132" priority="36" stopIfTrue="1">
      <formula>AND($C103="ERROR",J103&gt;0)</formula>
    </cfRule>
    <cfRule type="expression" dxfId="4131" priority="37" stopIfTrue="1">
      <formula>I$152=0</formula>
    </cfRule>
  </conditionalFormatting>
  <conditionalFormatting sqref="J104">
    <cfRule type="expression" dxfId="4130" priority="38" stopIfTrue="1">
      <formula>AND(I$152=0,J$104&lt;&gt;0)</formula>
    </cfRule>
    <cfRule type="expression" dxfId="4129" priority="39" stopIfTrue="1">
      <formula>AND($C104="ERROR",J104&gt;0)</formula>
    </cfRule>
    <cfRule type="expression" dxfId="4128" priority="40" stopIfTrue="1">
      <formula>I$152=0</formula>
    </cfRule>
  </conditionalFormatting>
  <conditionalFormatting sqref="O101:P104">
    <cfRule type="expression" dxfId="4127" priority="41" stopIfTrue="1">
      <formula>SUM($G$152:$J$152)=0</formula>
    </cfRule>
    <cfRule type="expression" dxfId="4126" priority="42" stopIfTrue="1">
      <formula>$B101=""</formula>
    </cfRule>
  </conditionalFormatting>
  <conditionalFormatting sqref="E8:F38">
    <cfRule type="expression" dxfId="4125" priority="43" stopIfTrue="1">
      <formula>$AA8=$Y$6</formula>
    </cfRule>
    <cfRule type="expression" dxfId="4124" priority="44" stopIfTrue="1">
      <formula>AND($AA8=0,$E8=0)</formula>
    </cfRule>
    <cfRule type="expression" dxfId="4123" priority="45" stopIfTrue="1">
      <formula>$AA8=0</formula>
    </cfRule>
  </conditionalFormatting>
  <conditionalFormatting sqref="I6 L6 O6">
    <cfRule type="expression" dxfId="4122" priority="46" stopIfTrue="1">
      <formula>I6=""</formula>
    </cfRule>
    <cfRule type="expression" dxfId="4121" priority="47" stopIfTrue="1">
      <formula>OR(I4=0,I4=$K$130)</formula>
    </cfRule>
    <cfRule type="expression" dxfId="4120" priority="48" stopIfTrue="1">
      <formula>I4&lt;&gt;$K$130</formula>
    </cfRule>
  </conditionalFormatting>
  <conditionalFormatting sqref="J6 M6 P6">
    <cfRule type="expression" dxfId="4119" priority="49" stopIfTrue="1">
      <formula>J6=""</formula>
    </cfRule>
    <cfRule type="expression" dxfId="4118" priority="50" stopIfTrue="1">
      <formula>OR(I4=0,I4=$K$130)</formula>
    </cfRule>
    <cfRule type="expression" dxfId="4117" priority="51" stopIfTrue="1">
      <formula>I4&lt;&gt;$K$130</formula>
    </cfRule>
  </conditionalFormatting>
  <conditionalFormatting sqref="I53">
    <cfRule type="expression" dxfId="4116" priority="52" stopIfTrue="1">
      <formula>ISERROR($G$155)</formula>
    </cfRule>
    <cfRule type="expression" dxfId="4115" priority="53" stopIfTrue="1">
      <formula>ISERROR($I53)</formula>
    </cfRule>
  </conditionalFormatting>
  <conditionalFormatting sqref="G39:H39">
    <cfRule type="expression" dxfId="4114" priority="54" stopIfTrue="1">
      <formula>ISERROR($G$155)</formula>
    </cfRule>
    <cfRule type="expression" dxfId="4113" priority="55" stopIfTrue="1">
      <formula>OR($I$163=0,G$4="")</formula>
    </cfRule>
    <cfRule type="expression" dxfId="4112" priority="56" stopIfTrue="1">
      <formula>OR(G$4="",ISERROR(G$155))</formula>
    </cfRule>
  </conditionalFormatting>
  <conditionalFormatting sqref="G97:H97">
    <cfRule type="expression" dxfId="4111" priority="57" stopIfTrue="1">
      <formula>AND(G$152=0,G$97&lt;&gt;0)</formula>
    </cfRule>
    <cfRule type="expression" dxfId="4110" priority="58" stopIfTrue="1">
      <formula>G$152=0</formula>
    </cfRule>
    <cfRule type="expression" dxfId="4109" priority="59" stopIfTrue="1">
      <formula>AND(G$96&lt;&gt;0,G$97="")</formula>
    </cfRule>
  </conditionalFormatting>
  <conditionalFormatting sqref="C101:F104">
    <cfRule type="cellIs" dxfId="4108" priority="60" stopIfTrue="1" operator="equal">
      <formula>"ERROR"</formula>
    </cfRule>
    <cfRule type="expression" dxfId="4107" priority="61" stopIfTrue="1">
      <formula>ISBLANK($B101)</formula>
    </cfRule>
    <cfRule type="expression" dxfId="4106" priority="62" stopIfTrue="1">
      <formula>SUM($G$152:$J$152)=0</formula>
    </cfRule>
  </conditionalFormatting>
  <conditionalFormatting sqref="K73">
    <cfRule type="expression" dxfId="4105" priority="63" stopIfTrue="1">
      <formula>ISERROR(K73)</formula>
    </cfRule>
    <cfRule type="expression" dxfId="4104" priority="64" stopIfTrue="1">
      <formula>I73=0</formula>
    </cfRule>
    <cfRule type="expression" dxfId="4103" priority="65" stopIfTrue="1">
      <formula>$C$61=0</formula>
    </cfRule>
  </conditionalFormatting>
  <conditionalFormatting sqref="G70:G71">
    <cfRule type="expression" dxfId="4102" priority="66" stopIfTrue="1">
      <formula>$C$61=0</formula>
    </cfRule>
    <cfRule type="expression" dxfId="4101" priority="67" stopIfTrue="1">
      <formula>SUM($G$69:$G$72)=0</formula>
    </cfRule>
    <cfRule type="expression" dxfId="4100" priority="68" stopIfTrue="1">
      <formula>AND(G70&lt;&gt;0,ISERROR(H70))</formula>
    </cfRule>
  </conditionalFormatting>
  <conditionalFormatting sqref="G72">
    <cfRule type="expression" dxfId="4099" priority="69" stopIfTrue="1">
      <formula>$C$61=0</formula>
    </cfRule>
    <cfRule type="expression" dxfId="4098" priority="70" stopIfTrue="1">
      <formula>SUM($G$69:$G$72)=0</formula>
    </cfRule>
    <cfRule type="expression" dxfId="4097" priority="71" stopIfTrue="1">
      <formula>AND(G72&lt;&gt;0,ISERROR(H72))</formula>
    </cfRule>
  </conditionalFormatting>
  <conditionalFormatting sqref="G69">
    <cfRule type="expression" dxfId="4096" priority="72" stopIfTrue="1">
      <formula>$C$61=0</formula>
    </cfRule>
    <cfRule type="expression" dxfId="4095" priority="73" stopIfTrue="1">
      <formula>SUM($G$69:$G$72)=0</formula>
    </cfRule>
    <cfRule type="expression" dxfId="4094" priority="74" stopIfTrue="1">
      <formula>AND(G69&lt;&gt;0,ISERROR(H69))</formula>
    </cfRule>
  </conditionalFormatting>
  <conditionalFormatting sqref="I74">
    <cfRule type="expression" dxfId="4093" priority="75" stopIfTrue="1">
      <formula>$C$61=0</formula>
    </cfRule>
    <cfRule type="expression" dxfId="4092" priority="76" stopIfTrue="1">
      <formula>I73=0</formula>
    </cfRule>
  </conditionalFormatting>
  <conditionalFormatting sqref="G89:K89">
    <cfRule type="cellIs" dxfId="4091" priority="77" stopIfTrue="1" operator="equal">
      <formula>0</formula>
    </cfRule>
    <cfRule type="expression" dxfId="4090" priority="78" stopIfTrue="1">
      <formula>G$88=0</formula>
    </cfRule>
  </conditionalFormatting>
  <conditionalFormatting sqref="I77:J78">
    <cfRule type="expression" dxfId="4089" priority="79" stopIfTrue="1">
      <formula>$C$61=0</formula>
    </cfRule>
    <cfRule type="expression" dxfId="4088" priority="80" stopIfTrue="1">
      <formula>ISERROR($I77)</formula>
    </cfRule>
    <cfRule type="cellIs" dxfId="4087" priority="81" stopIfTrue="1" operator="equal">
      <formula>0</formula>
    </cfRule>
  </conditionalFormatting>
  <conditionalFormatting sqref="I79:J79">
    <cfRule type="expression" dxfId="4086" priority="82" stopIfTrue="1">
      <formula>ISERROR($I79)</formula>
    </cfRule>
    <cfRule type="expression" dxfId="4085" priority="83" stopIfTrue="1">
      <formula>$C$61=0</formula>
    </cfRule>
    <cfRule type="cellIs" dxfId="4084" priority="84" stopIfTrue="1" operator="equal">
      <formula>0</formula>
    </cfRule>
  </conditionalFormatting>
  <conditionalFormatting sqref="L77:M78">
    <cfRule type="expression" dxfId="4083" priority="85" stopIfTrue="1">
      <formula>ISERROR($L77)</formula>
    </cfRule>
    <cfRule type="expression" dxfId="4082" priority="86" stopIfTrue="1">
      <formula>$C$61=0</formula>
    </cfRule>
  </conditionalFormatting>
  <conditionalFormatting sqref="G93:H93">
    <cfRule type="expression" dxfId="4081" priority="87" stopIfTrue="1">
      <formula>AND(G$155="X",G$93&lt;&gt;"")</formula>
    </cfRule>
  </conditionalFormatting>
  <conditionalFormatting sqref="G81:K81">
    <cfRule type="expression" dxfId="4080" priority="88" stopIfTrue="1">
      <formula>$C$61=0</formula>
    </cfRule>
    <cfRule type="expression" dxfId="4079" priority="89" stopIfTrue="1">
      <formula>G$89&lt;&gt;0</formula>
    </cfRule>
  </conditionalFormatting>
  <conditionalFormatting sqref="I88:J88">
    <cfRule type="expression" dxfId="4078" priority="90" stopIfTrue="1">
      <formula>ISERROR($I88)</formula>
    </cfRule>
    <cfRule type="cellIs" dxfId="4077" priority="91" stopIfTrue="1" operator="equal">
      <formula>0</formula>
    </cfRule>
    <cfRule type="expression" dxfId="4076" priority="92" stopIfTrue="1">
      <formula>$C$61=0</formula>
    </cfRule>
  </conditionalFormatting>
  <conditionalFormatting sqref="H69:H72">
    <cfRule type="expression" dxfId="4075" priority="93" stopIfTrue="1">
      <formula>ISERROR(H69)</formula>
    </cfRule>
    <cfRule type="expression" dxfId="4074" priority="94" stopIfTrue="1">
      <formula>$C$61=0</formula>
    </cfRule>
    <cfRule type="expression" dxfId="4073" priority="95" stopIfTrue="1">
      <formula>$H69=$E$163</formula>
    </cfRule>
  </conditionalFormatting>
  <conditionalFormatting sqref="G76:H76 K76">
    <cfRule type="expression" dxfId="4072" priority="96" stopIfTrue="1">
      <formula>ISERROR(G76)</formula>
    </cfRule>
    <cfRule type="expression" dxfId="4071" priority="97" stopIfTrue="1">
      <formula>$C$61=0</formula>
    </cfRule>
    <cfRule type="expression" dxfId="4070" priority="98" stopIfTrue="1">
      <formula>G$76=$E$163</formula>
    </cfRule>
  </conditionalFormatting>
  <conditionalFormatting sqref="I76:J76">
    <cfRule type="expression" dxfId="4069" priority="99" stopIfTrue="1">
      <formula>ISERROR($I76)</formula>
    </cfRule>
    <cfRule type="expression" dxfId="4068" priority="100" stopIfTrue="1">
      <formula>$C$61=0</formula>
    </cfRule>
    <cfRule type="expression" dxfId="4067" priority="101" stopIfTrue="1">
      <formula>$I76=$E$163</formula>
    </cfRule>
  </conditionalFormatting>
  <conditionalFormatting sqref="K69:K72">
    <cfRule type="expression" dxfId="4066" priority="102" stopIfTrue="1">
      <formula>OR(ISERROR(H69),ISERROR(K69))</formula>
    </cfRule>
    <cfRule type="expression" dxfId="4065" priority="103" stopIfTrue="1">
      <formula>AND($I69=0,$C$61&lt;&gt;0,$G69=0)</formula>
    </cfRule>
    <cfRule type="expression" dxfId="4064" priority="104" stopIfTrue="1">
      <formula>$C$61=0</formula>
    </cfRule>
  </conditionalFormatting>
  <conditionalFormatting sqref="L93">
    <cfRule type="expression" dxfId="4063" priority="105" stopIfTrue="1">
      <formula>AND(J$155="X",L$93&lt;&gt;"")</formula>
    </cfRule>
  </conditionalFormatting>
  <conditionalFormatting sqref="L97">
    <cfRule type="expression" dxfId="4062" priority="106" stopIfTrue="1">
      <formula>AND(J$152=0,L$97&lt;&gt;0)</formula>
    </cfRule>
    <cfRule type="expression" dxfId="4061" priority="107" stopIfTrue="1">
      <formula>J$152=0</formula>
    </cfRule>
  </conditionalFormatting>
  <conditionalFormatting sqref="K98:L98">
    <cfRule type="expression" dxfId="4060" priority="108" stopIfTrue="1">
      <formula>AND(I$152=0,K$98&lt;&gt;0)</formula>
    </cfRule>
    <cfRule type="expression" dxfId="4059" priority="109" stopIfTrue="1">
      <formula>I$152=0</formula>
    </cfRule>
  </conditionalFormatting>
  <conditionalFormatting sqref="N98">
    <cfRule type="expression" dxfId="4058" priority="110" stopIfTrue="1">
      <formula>AND(J$152=0,N$98&lt;&gt;0)</formula>
    </cfRule>
    <cfRule type="expression" dxfId="4057" priority="111" stopIfTrue="1">
      <formula>J$152=0</formula>
    </cfRule>
  </conditionalFormatting>
  <conditionalFormatting sqref="M93">
    <cfRule type="expression" dxfId="4056" priority="112" stopIfTrue="1">
      <formula>AND(J$155="X",M$93&lt;&gt;"")</formula>
    </cfRule>
  </conditionalFormatting>
  <conditionalFormatting sqref="M97">
    <cfRule type="expression" dxfId="4055" priority="113" stopIfTrue="1">
      <formula>AND(J$152=0,M$97&lt;&gt;0)</formula>
    </cfRule>
    <cfRule type="expression" dxfId="4054" priority="114" stopIfTrue="1">
      <formula>J$152=0</formula>
    </cfRule>
  </conditionalFormatting>
  <conditionalFormatting sqref="M98">
    <cfRule type="expression" dxfId="4053" priority="115" stopIfTrue="1">
      <formula>AND(J$152=0,M$98&lt;&gt;0)</formula>
    </cfRule>
    <cfRule type="expression" dxfId="4052" priority="116" stopIfTrue="1">
      <formula>J$152=0</formula>
    </cfRule>
  </conditionalFormatting>
  <conditionalFormatting sqref="K101:L101">
    <cfRule type="expression" dxfId="4051" priority="117" stopIfTrue="1">
      <formula>AND(I$152=0,K$101&lt;&gt;0)</formula>
    </cfRule>
    <cfRule type="expression" dxfId="4050" priority="118" stopIfTrue="1">
      <formula>AND($C101="ERROR",K101&gt;0)</formula>
    </cfRule>
    <cfRule type="expression" dxfId="4049" priority="119" stopIfTrue="1">
      <formula>I$152=0</formula>
    </cfRule>
  </conditionalFormatting>
  <conditionalFormatting sqref="K102:L102">
    <cfRule type="expression" dxfId="4048" priority="120" stopIfTrue="1">
      <formula>AND(I$152=0,K$102&lt;&gt;0)</formula>
    </cfRule>
    <cfRule type="expression" dxfId="4047" priority="121" stopIfTrue="1">
      <formula>AND($C102="ERROR",K102&gt;0)</formula>
    </cfRule>
    <cfRule type="expression" dxfId="4046" priority="122" stopIfTrue="1">
      <formula>I$152=0</formula>
    </cfRule>
  </conditionalFormatting>
  <conditionalFormatting sqref="K103:L103">
    <cfRule type="expression" dxfId="4045" priority="123" stopIfTrue="1">
      <formula>AND(I$152=0,K$103&lt;&gt;0)</formula>
    </cfRule>
    <cfRule type="expression" dxfId="4044" priority="124" stopIfTrue="1">
      <formula>AND($C103="ERROR",K103&gt;0)</formula>
    </cfRule>
    <cfRule type="expression" dxfId="4043" priority="125" stopIfTrue="1">
      <formula>I$152=0</formula>
    </cfRule>
  </conditionalFormatting>
  <conditionalFormatting sqref="K104:L104">
    <cfRule type="expression" dxfId="4042" priority="126" stopIfTrue="1">
      <formula>AND(I$152=0,K$104&lt;&gt;0)</formula>
    </cfRule>
    <cfRule type="expression" dxfId="4041" priority="127" stopIfTrue="1">
      <formula>AND($C104="ERROR",K104&gt;0)</formula>
    </cfRule>
    <cfRule type="expression" dxfId="4040" priority="128" stopIfTrue="1">
      <formula>I$152=0</formula>
    </cfRule>
  </conditionalFormatting>
  <conditionalFormatting sqref="N101">
    <cfRule type="expression" dxfId="4039" priority="129" stopIfTrue="1">
      <formula>AND(J$152=0,N$101&lt;&gt;0)</formula>
    </cfRule>
    <cfRule type="expression" dxfId="4038" priority="130" stopIfTrue="1">
      <formula>AND($C101="ERROR",N101&gt;0)</formula>
    </cfRule>
    <cfRule type="expression" dxfId="4037" priority="131" stopIfTrue="1">
      <formula>J$152=0</formula>
    </cfRule>
  </conditionalFormatting>
  <conditionalFormatting sqref="N102">
    <cfRule type="expression" dxfId="4036" priority="132" stopIfTrue="1">
      <formula>AND(J$152=0,N$102&lt;&gt;0)</formula>
    </cfRule>
    <cfRule type="expression" dxfId="4035" priority="133" stopIfTrue="1">
      <formula>AND($C102="ERROR",N102&gt;0)</formula>
    </cfRule>
    <cfRule type="expression" dxfId="4034" priority="134" stopIfTrue="1">
      <formula>J$152=0</formula>
    </cfRule>
  </conditionalFormatting>
  <conditionalFormatting sqref="N103">
    <cfRule type="expression" dxfId="4033" priority="135" stopIfTrue="1">
      <formula>AND(J$152=0,N$103&lt;&gt;0)</formula>
    </cfRule>
    <cfRule type="expression" dxfId="4032" priority="136" stopIfTrue="1">
      <formula>AND($C103="ERROR",N103&gt;0)</formula>
    </cfRule>
    <cfRule type="expression" dxfId="4031" priority="137" stopIfTrue="1">
      <formula>J$152=0</formula>
    </cfRule>
  </conditionalFormatting>
  <conditionalFormatting sqref="N104">
    <cfRule type="expression" dxfId="4030" priority="138" stopIfTrue="1">
      <formula>AND(J$152=0,N$104&lt;&gt;0)</formula>
    </cfRule>
    <cfRule type="expression" dxfId="4029" priority="139" stopIfTrue="1">
      <formula>AND($C104="ERROR",N104&gt;0)</formula>
    </cfRule>
    <cfRule type="expression" dxfId="4028" priority="140" stopIfTrue="1">
      <formula>J$152=0</formula>
    </cfRule>
  </conditionalFormatting>
  <conditionalFormatting sqref="M101">
    <cfRule type="expression" dxfId="4027" priority="141" stopIfTrue="1">
      <formula>AND(J$152=0,M$101&lt;&gt;0)</formula>
    </cfRule>
    <cfRule type="expression" dxfId="4026" priority="142" stopIfTrue="1">
      <formula>AND($C101="ERROR",M101&gt;0)</formula>
    </cfRule>
    <cfRule type="expression" dxfId="4025" priority="143" stopIfTrue="1">
      <formula>J$152=0</formula>
    </cfRule>
  </conditionalFormatting>
  <conditionalFormatting sqref="M102">
    <cfRule type="expression" dxfId="4024" priority="144" stopIfTrue="1">
      <formula>AND(J$152=0,M$102&lt;&gt;0)</formula>
    </cfRule>
    <cfRule type="expression" dxfId="4023" priority="145" stopIfTrue="1">
      <formula>AND($C102="ERROR",M102&gt;0)</formula>
    </cfRule>
    <cfRule type="expression" dxfId="4022" priority="146" stopIfTrue="1">
      <formula>J$152=0</formula>
    </cfRule>
  </conditionalFormatting>
  <conditionalFormatting sqref="M103">
    <cfRule type="expression" dxfId="4021" priority="147" stopIfTrue="1">
      <formula>AND(J$152=0,M$103&lt;&gt;0)</formula>
    </cfRule>
    <cfRule type="expression" dxfId="4020" priority="148" stopIfTrue="1">
      <formula>AND($C103="ERROR",M103&gt;0)</formula>
    </cfRule>
    <cfRule type="expression" dxfId="4019" priority="149" stopIfTrue="1">
      <formula>J$152=0</formula>
    </cfRule>
  </conditionalFormatting>
  <conditionalFormatting sqref="M104">
    <cfRule type="expression" dxfId="4018" priority="150" stopIfTrue="1">
      <formula>AND(J$152=0,M$104&lt;&gt;0)</formula>
    </cfRule>
    <cfRule type="expression" dxfId="4017" priority="151" stopIfTrue="1">
      <formula>AND($C104="ERROR",M104&gt;0)</formula>
    </cfRule>
    <cfRule type="expression" dxfId="4016" priority="152" stopIfTrue="1">
      <formula>J$152=0</formula>
    </cfRule>
  </conditionalFormatting>
  <conditionalFormatting sqref="K97">
    <cfRule type="expression" dxfId="4015" priority="153" stopIfTrue="1">
      <formula>AND(I$152=0,K$97&lt;&gt;0)</formula>
    </cfRule>
    <cfRule type="expression" dxfId="4014" priority="154" stopIfTrue="1">
      <formula>I$152=0</formula>
    </cfRule>
    <cfRule type="expression" dxfId="4013" priority="155" stopIfTrue="1">
      <formula>AND(K$96&lt;&gt;0,K$97="")</formula>
    </cfRule>
  </conditionalFormatting>
  <conditionalFormatting sqref="N97">
    <cfRule type="expression" dxfId="4012" priority="156" stopIfTrue="1">
      <formula>AND(J$152=0,N$97&lt;&gt;0)</formula>
    </cfRule>
    <cfRule type="expression" dxfId="4011" priority="157" stopIfTrue="1">
      <formula>J$152=0</formula>
    </cfRule>
    <cfRule type="expression" dxfId="4010" priority="158" stopIfTrue="1">
      <formula>AND(N$96&lt;&gt;0,N$97="")</formula>
    </cfRule>
  </conditionalFormatting>
  <conditionalFormatting sqref="G83:I83 K83">
    <cfRule type="expression" dxfId="4009" priority="159" stopIfTrue="1">
      <formula>$C$61=0</formula>
    </cfRule>
    <cfRule type="expression" dxfId="4008" priority="160" stopIfTrue="1">
      <formula>G85=$M$135</formula>
    </cfRule>
    <cfRule type="cellIs" dxfId="4007" priority="161" stopIfTrue="1" operator="equal">
      <formula>0</formula>
    </cfRule>
  </conditionalFormatting>
  <conditionalFormatting sqref="G84:I84 K84">
    <cfRule type="expression" dxfId="4006" priority="162" stopIfTrue="1">
      <formula>$C$61=0</formula>
    </cfRule>
    <cfRule type="expression" dxfId="4005" priority="163" stopIfTrue="1">
      <formula>G85=$M$135</formula>
    </cfRule>
    <cfRule type="cellIs" dxfId="4004" priority="164" stopIfTrue="1" operator="equal">
      <formula>0</formula>
    </cfRule>
  </conditionalFormatting>
  <conditionalFormatting sqref="K86 G86:H86">
    <cfRule type="expression" dxfId="4003" priority="165" stopIfTrue="1">
      <formula>$C$61=0</formula>
    </cfRule>
    <cfRule type="expression" dxfId="4002" priority="166" stopIfTrue="1">
      <formula>G85=$M$135</formula>
    </cfRule>
  </conditionalFormatting>
  <conditionalFormatting sqref="G82:K82">
    <cfRule type="expression" dxfId="4001" priority="167" stopIfTrue="1">
      <formula>$C$61=0</formula>
    </cfRule>
    <cfRule type="expression" dxfId="4000" priority="168" stopIfTrue="1">
      <formula>G85=$M$135</formula>
    </cfRule>
    <cfRule type="cellIs" dxfId="3999" priority="169" stopIfTrue="1" operator="equal">
      <formula>0</formula>
    </cfRule>
  </conditionalFormatting>
  <conditionalFormatting sqref="I86:J86">
    <cfRule type="expression" dxfId="3998" priority="170" stopIfTrue="1">
      <formula>$C$61=0</formula>
    </cfRule>
    <cfRule type="expression" dxfId="3997" priority="171" stopIfTrue="1">
      <formula>$I85=$M$135</formula>
    </cfRule>
  </conditionalFormatting>
  <conditionalFormatting sqref="G87:H87 K87">
    <cfRule type="expression" dxfId="3996" priority="172" stopIfTrue="1">
      <formula>G85=$M$135</formula>
    </cfRule>
    <cfRule type="expression" dxfId="3995" priority="173" stopIfTrue="1">
      <formula>$C$61=0</formula>
    </cfRule>
  </conditionalFormatting>
  <conditionalFormatting sqref="I87:J87">
    <cfRule type="expression" dxfId="3994" priority="174" stopIfTrue="1">
      <formula>$I85=$M$135</formula>
    </cfRule>
    <cfRule type="expression" dxfId="3993" priority="175" stopIfTrue="1">
      <formula>$C$61=0</formula>
    </cfRule>
  </conditionalFormatting>
  <conditionalFormatting sqref="K93">
    <cfRule type="expression" dxfId="3992" priority="176" stopIfTrue="1">
      <formula>AND(I$155="X",K$93&lt;&gt;"")</formula>
    </cfRule>
  </conditionalFormatting>
  <conditionalFormatting sqref="N93">
    <cfRule type="expression" dxfId="3991" priority="177" stopIfTrue="1">
      <formula>AND(J$155="X",N$93&lt;&gt;"")</formula>
    </cfRule>
  </conditionalFormatting>
  <conditionalFormatting sqref="L69:M72">
    <cfRule type="expression" dxfId="3990" priority="178" stopIfTrue="1">
      <formula>OR(ISERROR($L69),$H69="")</formula>
    </cfRule>
    <cfRule type="expression" dxfId="3989" priority="179" stopIfTrue="1">
      <formula>$C$61=0</formula>
    </cfRule>
    <cfRule type="expression" dxfId="3988" priority="180" stopIfTrue="1">
      <formula>$H69=$E$163</formula>
    </cfRule>
  </conditionalFormatting>
  <conditionalFormatting sqref="I85:J85">
    <cfRule type="expression" dxfId="3987" priority="181" stopIfTrue="1">
      <formula>$C$61=0</formula>
    </cfRule>
    <cfRule type="expression" dxfId="3986" priority="182" stopIfTrue="1">
      <formula>$I85=$M$135</formula>
    </cfRule>
  </conditionalFormatting>
  <conditionalFormatting sqref="I51:J52 L51:M52">
    <cfRule type="expression" dxfId="3985" priority="183" stopIfTrue="1">
      <formula>ISERROR(I55)</formula>
    </cfRule>
  </conditionalFormatting>
  <conditionalFormatting sqref="K51:K52">
    <cfRule type="expression" dxfId="3984" priority="184" stopIfTrue="1">
      <formula>ISERROR(G51)</formula>
    </cfRule>
  </conditionalFormatting>
  <conditionalFormatting sqref="I7:I39">
    <cfRule type="expression" dxfId="3983" priority="185" stopIfTrue="1">
      <formula>OR($I$4=0,$I$4&lt;&gt;$K$130)</formula>
    </cfRule>
    <cfRule type="expression" dxfId="3982" priority="186" stopIfTrue="1">
      <formula>$AA7&lt;&gt;0</formula>
    </cfRule>
  </conditionalFormatting>
  <conditionalFormatting sqref="J7:J39">
    <cfRule type="expression" dxfId="3981" priority="187" stopIfTrue="1">
      <formula>OR($I$4=0,$I$4&lt;&gt;$K$130)</formula>
    </cfRule>
    <cfRule type="expression" dxfId="3980" priority="188" stopIfTrue="1">
      <formula>$AA7&lt;&gt;0</formula>
    </cfRule>
  </conditionalFormatting>
  <conditionalFormatting sqref="L7:L39">
    <cfRule type="expression" dxfId="3979" priority="189" stopIfTrue="1">
      <formula>OR($L$4=0,$L$4&lt;&gt;$K$130)</formula>
    </cfRule>
    <cfRule type="expression" dxfId="3978" priority="190" stopIfTrue="1">
      <formula>$AA7&lt;&gt;0</formula>
    </cfRule>
  </conditionalFormatting>
  <conditionalFormatting sqref="M7:M39">
    <cfRule type="expression" dxfId="3977" priority="191" stopIfTrue="1">
      <formula>OR($L$4=0,$L$4&lt;&gt;$K$130)</formula>
    </cfRule>
    <cfRule type="expression" dxfId="3976" priority="192" stopIfTrue="1">
      <formula>$AA7&lt;&gt;0</formula>
    </cfRule>
  </conditionalFormatting>
  <conditionalFormatting sqref="O7:O39">
    <cfRule type="expression" dxfId="3975" priority="193" stopIfTrue="1">
      <formula>OR($O$4=0,$O$4&lt;&gt;$K$130)</formula>
    </cfRule>
    <cfRule type="expression" dxfId="3974" priority="194" stopIfTrue="1">
      <formula>$AA7&lt;&gt;0</formula>
    </cfRule>
  </conditionalFormatting>
  <conditionalFormatting sqref="P7:P39">
    <cfRule type="expression" dxfId="3973" priority="195" stopIfTrue="1">
      <formula>OR($O$4=0,$O$4&lt;&gt;$K$130)</formula>
    </cfRule>
    <cfRule type="expression" dxfId="3972" priority="196" stopIfTrue="1">
      <formula>$AA7&lt;&gt;0</formula>
    </cfRule>
  </conditionalFormatting>
  <conditionalFormatting sqref="K39">
    <cfRule type="expression" dxfId="3971" priority="197" stopIfTrue="1">
      <formula>ISERROR($G$155)</formula>
    </cfRule>
    <cfRule type="expression" dxfId="3970" priority="198" stopIfTrue="1">
      <formula>OR($I$163=0,K$4="")</formula>
    </cfRule>
    <cfRule type="expression" dxfId="3969" priority="199" stopIfTrue="1">
      <formula>OR(K$4="",ISERROR(I$155))</formula>
    </cfRule>
  </conditionalFormatting>
  <conditionalFormatting sqref="N39">
    <cfRule type="expression" dxfId="3968" priority="200" stopIfTrue="1">
      <formula>ISERROR($G$155)</formula>
    </cfRule>
    <cfRule type="expression" dxfId="3967" priority="201" stopIfTrue="1">
      <formula>OR($I$163=0,N$4="")</formula>
    </cfRule>
    <cfRule type="expression" dxfId="3966" priority="202" stopIfTrue="1">
      <formula>OR(N$4="",ISERROR(J$155))</formula>
    </cfRule>
  </conditionalFormatting>
  <conditionalFormatting sqref="G8:H38 K8:K38 N8:N38">
    <cfRule type="expression" dxfId="3965" priority="203" stopIfTrue="1">
      <formula>$AA8=$Y$6</formula>
    </cfRule>
    <cfRule type="expression" dxfId="3964" priority="204" stopIfTrue="1">
      <formula>OR($AA8=0,$E8=$E$162)</formula>
    </cfRule>
  </conditionalFormatting>
  <conditionalFormatting sqref="C8:D38">
    <cfRule type="expression" dxfId="3963" priority="205" stopIfTrue="1">
      <formula>$AA8=$Y$6</formula>
    </cfRule>
    <cfRule type="expression" dxfId="3962" priority="206" stopIfTrue="1">
      <formula>AND($L$163=0,OR($V8&lt;$B$162,$V8&gt;$B$163))</formula>
    </cfRule>
    <cfRule type="expression" dxfId="3961" priority="207" stopIfTrue="1">
      <formula>AND($AA8=0,$E8=0)</formula>
    </cfRule>
  </conditionalFormatting>
  <conditionalFormatting sqref="G46:H46 K46 N46">
    <cfRule type="expression" dxfId="3960" priority="208" stopIfTrue="1">
      <formula>G$42=$K$134</formula>
    </cfRule>
    <cfRule type="expression" dxfId="3959" priority="209" stopIfTrue="1">
      <formula>OR($I$163=0,G$4="")</formula>
    </cfRule>
    <cfRule type="expression" dxfId="3958" priority="210" stopIfTrue="1">
      <formula>G44=""</formula>
    </cfRule>
  </conditionalFormatting>
  <conditionalFormatting sqref="G47:H47 K47 N47">
    <cfRule type="expression" dxfId="3957" priority="211" stopIfTrue="1">
      <formula>OR(ISERROR(G47),G$4="")</formula>
    </cfRule>
    <cfRule type="expression" dxfId="3956" priority="212" stopIfTrue="1">
      <formula>G$42=$K$134</formula>
    </cfRule>
    <cfRule type="expression" dxfId="3955" priority="213" stopIfTrue="1">
      <formula>AND(G$46&gt;0,OR(G$99=$E$152,G$99=$K$152))</formula>
    </cfRule>
  </conditionalFormatting>
  <conditionalFormatting sqref="G48:H48 K48 N48">
    <cfRule type="expression" dxfId="3954" priority="214" stopIfTrue="1">
      <formula>OR(ISERROR(G48),G$4="")</formula>
    </cfRule>
    <cfRule type="expression" dxfId="3953" priority="215" stopIfTrue="1">
      <formula>G$42=$K$134</formula>
    </cfRule>
    <cfRule type="expression" dxfId="3952" priority="216" stopIfTrue="1">
      <formula>AND(G$46&gt;0,OR(G$99=$E$152,G$99=$K$152,COUNTIF($C$101:$F$104,"ERROR")&gt;0,G$105=$E$152,G$105=$K$152))</formula>
    </cfRule>
  </conditionalFormatting>
  <conditionalFormatting sqref="I69:J72">
    <cfRule type="expression" dxfId="3951" priority="217" stopIfTrue="1">
      <formula>$C$61=0</formula>
    </cfRule>
    <cfRule type="expression" dxfId="3950" priority="218" stopIfTrue="1">
      <formula>$Z69=0</formula>
    </cfRule>
    <cfRule type="expression" dxfId="3949" priority="219" stopIfTrue="1">
      <formula>$I69=0</formula>
    </cfRule>
  </conditionalFormatting>
  <conditionalFormatting sqref="G61:H62 K61:K62 N61:N62">
    <cfRule type="expression" dxfId="3948" priority="220" stopIfTrue="1">
      <formula>$C$61=0</formula>
    </cfRule>
    <cfRule type="expression" dxfId="3947" priority="221" stopIfTrue="1">
      <formula>G$62=$L$135</formula>
    </cfRule>
  </conditionalFormatting>
  <conditionalFormatting sqref="M166:N166">
    <cfRule type="expression" dxfId="3946" priority="222" stopIfTrue="1">
      <formula>ISBLANK($M166)</formula>
    </cfRule>
  </conditionalFormatting>
  <conditionalFormatting sqref="F107 N108:N109 F108:I109 K108:K109">
    <cfRule type="expression" dxfId="3945" priority="223" stopIfTrue="1">
      <formula>$L$108=0</formula>
    </cfRule>
  </conditionalFormatting>
  <conditionalFormatting sqref="G116:J118 K121:K122 L108:M109">
    <cfRule type="cellIs" dxfId="3944" priority="224" stopIfTrue="1" operator="equal">
      <formula>0</formula>
    </cfRule>
  </conditionalFormatting>
  <conditionalFormatting sqref="L113:M121">
    <cfRule type="expression" dxfId="3943" priority="225" stopIfTrue="1">
      <formula>$L$109=0</formula>
    </cfRule>
  </conditionalFormatting>
  <conditionalFormatting sqref="L122:M122">
    <cfRule type="expression" dxfId="3942" priority="226" stopIfTrue="1">
      <formula>$K$122=0</formula>
    </cfRule>
  </conditionalFormatting>
  <conditionalFormatting sqref="K53:K54 H53:H54">
    <cfRule type="expression" dxfId="3941" priority="227" stopIfTrue="1">
      <formula>ISERROR($G$155)</formula>
    </cfRule>
  </conditionalFormatting>
  <conditionalFormatting sqref="L180 P46 L193 L206 L215:L217">
    <cfRule type="expression" dxfId="3940" priority="228" stopIfTrue="1">
      <formula>$O$44=""</formula>
    </cfRule>
    <cfRule type="expression" dxfId="3939" priority="229" stopIfTrue="1">
      <formula>$O$44=0</formula>
    </cfRule>
  </conditionalFormatting>
  <conditionalFormatting sqref="G180:I180 K180 G215:J217 G193:I193 K206 K193 G206:I206">
    <cfRule type="expression" dxfId="3938" priority="230" stopIfTrue="1">
      <formula>ISERROR(G180)</formula>
    </cfRule>
    <cfRule type="cellIs" dxfId="3937" priority="231" stopIfTrue="1" operator="equal">
      <formula>0</formula>
    </cfRule>
  </conditionalFormatting>
  <conditionalFormatting sqref="G183:K183 G170:K170 G196:K196 G121:J122">
    <cfRule type="cellIs" dxfId="3936" priority="232" stopIfTrue="1" operator="equal">
      <formula>0</formula>
    </cfRule>
  </conditionalFormatting>
  <conditionalFormatting sqref="C126:P126">
    <cfRule type="expression" dxfId="3935" priority="233" stopIfTrue="1">
      <formula>ISERROR($H$163)</formula>
    </cfRule>
  </conditionalFormatting>
  <conditionalFormatting sqref="G53:G54">
    <cfRule type="expression" dxfId="3934" priority="234" stopIfTrue="1">
      <formula>ISERROR($G$155)</formula>
    </cfRule>
    <cfRule type="expression" dxfId="3933" priority="235" stopIfTrue="1">
      <formula>ISERROR(G53)</formula>
    </cfRule>
  </conditionalFormatting>
  <conditionalFormatting sqref="O95:P95">
    <cfRule type="expression" dxfId="3932" priority="236" stopIfTrue="1">
      <formula>$O$44=""</formula>
    </cfRule>
  </conditionalFormatting>
  <conditionalFormatting sqref="O94:P94">
    <cfRule type="expression" dxfId="3931" priority="237" stopIfTrue="1">
      <formula>$O$44=""</formula>
    </cfRule>
  </conditionalFormatting>
  <conditionalFormatting sqref="AA8:AA38 O44:P44 G58 C58 I44:J44 L44:M44 G152:J152 L168 E6:F6 K42 N42 G42:H42">
    <cfRule type="cellIs" dxfId="3930" priority="238" stopIfTrue="1" operator="equal">
      <formula>0</formula>
    </cfRule>
  </conditionalFormatting>
  <conditionalFormatting sqref="W8:Z38 R8:U38 AB8:AE38 AG8:AK38 AM8:AQ38 AS8:AW38 AY8:AY38">
    <cfRule type="cellIs" dxfId="3929" priority="239" stopIfTrue="1" operator="equal">
      <formula>0</formula>
    </cfRule>
  </conditionalFormatting>
  <conditionalFormatting sqref="O45:P45 L169">
    <cfRule type="expression" dxfId="3928" priority="240" stopIfTrue="1">
      <formula>$O$4=$K$130</formula>
    </cfRule>
    <cfRule type="expression" dxfId="3927" priority="241" stopIfTrue="1">
      <formula>$O$44=0</formula>
    </cfRule>
  </conditionalFormatting>
  <conditionalFormatting sqref="E47:F48">
    <cfRule type="expression" dxfId="3926" priority="242" stopIfTrue="1">
      <formula>ISERROR(E47)</formula>
    </cfRule>
  </conditionalFormatting>
  <conditionalFormatting sqref="G168:I169 K168:K169 E197:E198 E206:F206 E171:E172 E180:F180 E184:E185 E193:F193 G94:N95 N44:N45 G44:H45 K44:K45 E221 G51:H52">
    <cfRule type="expression" dxfId="3925" priority="243" stopIfTrue="1">
      <formula>ISERROR(E44)</formula>
    </cfRule>
  </conditionalFormatting>
  <conditionalFormatting sqref="G167:I167 K167 N43 G43:H43 K43">
    <cfRule type="cellIs" dxfId="3924" priority="244" stopIfTrue="1" operator="equal">
      <formula>0</formula>
    </cfRule>
  </conditionalFormatting>
  <conditionalFormatting sqref="G99:N99 G105:N105 H139:H141 H145:H148">
    <cfRule type="cellIs" dxfId="3923" priority="245" stopIfTrue="1" operator="equal">
      <formula>"OK"</formula>
    </cfRule>
  </conditionalFormatting>
  <conditionalFormatting sqref="I139:I141 I145:I148">
    <cfRule type="cellIs" dxfId="3922" priority="246" stopIfTrue="1" operator="greaterThan">
      <formula>0</formula>
    </cfRule>
  </conditionalFormatting>
  <conditionalFormatting sqref="F110:I112 K110:M112">
    <cfRule type="expression" dxfId="3921" priority="247" stopIfTrue="1">
      <formula>$L$108=0</formula>
    </cfRule>
  </conditionalFormatting>
  <conditionalFormatting sqref="C195:H195">
    <cfRule type="expression" dxfId="3920" priority="248" stopIfTrue="1">
      <formula>ISERROR($C$195)</formula>
    </cfRule>
  </conditionalFormatting>
  <conditionalFormatting sqref="C2:J2">
    <cfRule type="expression" dxfId="3919" priority="249" stopIfTrue="1">
      <formula>$I$163=0</formula>
    </cfRule>
  </conditionalFormatting>
  <conditionalFormatting sqref="L96:M96 I96:J96">
    <cfRule type="expression" dxfId="3918" priority="250" stopIfTrue="1">
      <formula>ISERROR($G$155)</formula>
    </cfRule>
    <cfRule type="expression" dxfId="3917" priority="251" stopIfTrue="1">
      <formula>I96=0</formula>
    </cfRule>
  </conditionalFormatting>
  <conditionalFormatting sqref="N7 G7:H7 K7">
    <cfRule type="expression" dxfId="3916" priority="252" stopIfTrue="1">
      <formula>$I$163=0</formula>
    </cfRule>
  </conditionalFormatting>
  <conditionalFormatting sqref="I48:J48">
    <cfRule type="expression" dxfId="3915" priority="253" stopIfTrue="1">
      <formula>$I$4=$K$130</formula>
    </cfRule>
  </conditionalFormatting>
  <conditionalFormatting sqref="L48:M48">
    <cfRule type="expression" dxfId="3914" priority="254" stopIfTrue="1">
      <formula>$L$4=$K$130</formula>
    </cfRule>
  </conditionalFormatting>
  <conditionalFormatting sqref="I45:J45">
    <cfRule type="expression" dxfId="3913" priority="255" stopIfTrue="1">
      <formula>$I$4=$K$130</formula>
    </cfRule>
    <cfRule type="expression" dxfId="3912" priority="256" stopIfTrue="1">
      <formula>$I$44=0</formula>
    </cfRule>
  </conditionalFormatting>
  <conditionalFormatting sqref="L45:M45">
    <cfRule type="expression" dxfId="3911" priority="257" stopIfTrue="1">
      <formula>$L$4=$K$130</formula>
    </cfRule>
    <cfRule type="expression" dxfId="3910" priority="258" stopIfTrue="1">
      <formula>$L$44=0</formula>
    </cfRule>
  </conditionalFormatting>
  <conditionalFormatting sqref="L53">
    <cfRule type="expression" dxfId="3909" priority="259" stopIfTrue="1">
      <formula>ISERROR($G$155)</formula>
    </cfRule>
    <cfRule type="expression" dxfId="3908" priority="260" stopIfTrue="1">
      <formula>ISERROR($L$53)</formula>
    </cfRule>
  </conditionalFormatting>
  <conditionalFormatting sqref="O96:P98 C97:F98">
    <cfRule type="expression" dxfId="3907" priority="261" stopIfTrue="1">
      <formula>SUM($G$152:$J$152)=0</formula>
    </cfRule>
  </conditionalFormatting>
  <conditionalFormatting sqref="G155:J155">
    <cfRule type="cellIs" dxfId="3906" priority="262" stopIfTrue="1" operator="equal">
      <formula>0</formula>
    </cfRule>
  </conditionalFormatting>
  <conditionalFormatting sqref="G157:J159">
    <cfRule type="cellIs" dxfId="3905" priority="263" stopIfTrue="1" operator="equal">
      <formula>$E$157</formula>
    </cfRule>
  </conditionalFormatting>
  <conditionalFormatting sqref="Q91:S91">
    <cfRule type="expression" dxfId="3904" priority="264" stopIfTrue="1">
      <formula>SUM($G$152:$J$152)=0</formula>
    </cfRule>
  </conditionalFormatting>
  <conditionalFormatting sqref="I4:J5">
    <cfRule type="expression" dxfId="3903" priority="265" stopIfTrue="1">
      <formula>$I$6=""</formula>
    </cfRule>
    <cfRule type="cellIs" dxfId="3902" priority="266" stopIfTrue="1" operator="equal">
      <formula>0</formula>
    </cfRule>
    <cfRule type="expression" dxfId="3901" priority="267" stopIfTrue="1">
      <formula>$I$4=$K$130</formula>
    </cfRule>
  </conditionalFormatting>
  <conditionalFormatting sqref="L4:M5">
    <cfRule type="expression" dxfId="3900" priority="268" stopIfTrue="1">
      <formula>$L$6=""</formula>
    </cfRule>
    <cfRule type="cellIs" dxfId="3899" priority="269" stopIfTrue="1" operator="equal">
      <formula>0</formula>
    </cfRule>
    <cfRule type="expression" dxfId="3898" priority="270" stopIfTrue="1">
      <formula>$L$4=$K$130</formula>
    </cfRule>
  </conditionalFormatting>
  <conditionalFormatting sqref="O4:P5">
    <cfRule type="expression" dxfId="3897" priority="271" stopIfTrue="1">
      <formula>$O$6=""</formula>
    </cfRule>
    <cfRule type="cellIs" dxfId="3896" priority="272" stopIfTrue="1" operator="equal">
      <formula>0</formula>
    </cfRule>
    <cfRule type="expression" dxfId="3895" priority="273" stopIfTrue="1">
      <formula>$O$4=$K$130</formula>
    </cfRule>
  </conditionalFormatting>
  <conditionalFormatting sqref="E46:F46">
    <cfRule type="expression" dxfId="3894" priority="274" stopIfTrue="1">
      <formula>ISERROR($E$46)</formula>
    </cfRule>
  </conditionalFormatting>
  <conditionalFormatting sqref="I46">
    <cfRule type="expression" dxfId="3893" priority="275" stopIfTrue="1">
      <formula>$I$44=""</formula>
    </cfRule>
    <cfRule type="expression" dxfId="3892" priority="276" stopIfTrue="1">
      <formula>$I$44=0</formula>
    </cfRule>
  </conditionalFormatting>
  <conditionalFormatting sqref="L46">
    <cfRule type="expression" dxfId="3891" priority="277" stopIfTrue="1">
      <formula>$L$44=""</formula>
    </cfRule>
    <cfRule type="expression" dxfId="3890" priority="278" stopIfTrue="1">
      <formula>$L$44=0</formula>
    </cfRule>
  </conditionalFormatting>
  <conditionalFormatting sqref="O46">
    <cfRule type="expression" dxfId="3889" priority="279" stopIfTrue="1">
      <formula>$O$44=""</formula>
    </cfRule>
    <cfRule type="expression" dxfId="3888" priority="280" stopIfTrue="1">
      <formula>$O$44=0</formula>
    </cfRule>
  </conditionalFormatting>
  <conditionalFormatting sqref="J46">
    <cfRule type="expression" dxfId="3887" priority="281" stopIfTrue="1">
      <formula>$I$44=""</formula>
    </cfRule>
    <cfRule type="expression" dxfId="3886" priority="282" stopIfTrue="1">
      <formula>$I$44=0</formula>
    </cfRule>
  </conditionalFormatting>
  <conditionalFormatting sqref="M46">
    <cfRule type="expression" dxfId="3885" priority="283" stopIfTrue="1">
      <formula>$L$44=""</formula>
    </cfRule>
    <cfRule type="expression" dxfId="3884" priority="284" stopIfTrue="1">
      <formula>$L$44=0</formula>
    </cfRule>
  </conditionalFormatting>
  <conditionalFormatting sqref="G96:H96 K96 N96">
    <cfRule type="expression" dxfId="3883" priority="285" stopIfTrue="1">
      <formula>ISERROR($G$155)</formula>
    </cfRule>
    <cfRule type="expression" dxfId="3882" priority="286" stopIfTrue="1">
      <formula>G96=0</formula>
    </cfRule>
    <cfRule type="expression" dxfId="3881" priority="287" stopIfTrue="1">
      <formula>G96&lt;&gt;0</formula>
    </cfRule>
  </conditionalFormatting>
  <conditionalFormatting sqref="M168:N168">
    <cfRule type="expression" dxfId="3880" priority="288" stopIfTrue="1">
      <formula>$M$168=""</formula>
    </cfRule>
  </conditionalFormatting>
  <conditionalFormatting sqref="G63:H63 K63 N63">
    <cfRule type="expression" dxfId="3879" priority="289" stopIfTrue="1">
      <formula>$C$61=0</formula>
    </cfRule>
    <cfRule type="cellIs" dxfId="3878" priority="290" stopIfTrue="1" operator="equal">
      <formula>0</formula>
    </cfRule>
  </conditionalFormatting>
  <conditionalFormatting sqref="F63 F65 F73 F76:F79 F86:F89 N78:N79 N88 L86:N87 K68 C68:C69 I67:J68">
    <cfRule type="expression" dxfId="3877" priority="291" stopIfTrue="1">
      <formula>$C$61=0</formula>
    </cfRule>
  </conditionalFormatting>
  <conditionalFormatting sqref="G65">
    <cfRule type="expression" dxfId="3876" priority="292" stopIfTrue="1">
      <formula>$C$61=0</formula>
    </cfRule>
    <cfRule type="cellIs" dxfId="3875" priority="293" stopIfTrue="1" operator="equal">
      <formula>0</formula>
    </cfRule>
  </conditionalFormatting>
  <conditionalFormatting sqref="N66:N67 N74:N77 L68:N68">
    <cfRule type="expression" dxfId="3874" priority="294" stopIfTrue="1">
      <formula>$C$61=0</formula>
    </cfRule>
  </conditionalFormatting>
  <conditionalFormatting sqref="G68:H68">
    <cfRule type="expression" dxfId="3873" priority="295" stopIfTrue="1">
      <formula>ISERROR(G68)</formula>
    </cfRule>
    <cfRule type="expression" dxfId="3872" priority="296" stopIfTrue="1">
      <formula>$C$61=0</formula>
    </cfRule>
  </conditionalFormatting>
  <conditionalFormatting sqref="N73">
    <cfRule type="expression" dxfId="3871" priority="297" stopIfTrue="1">
      <formula>$C$61=0</formula>
    </cfRule>
    <cfRule type="expression" dxfId="3870" priority="298" stopIfTrue="1">
      <formula>ISERROR(N73)</formula>
    </cfRule>
  </conditionalFormatting>
  <conditionalFormatting sqref="O73 O79 O88">
    <cfRule type="expression" dxfId="3869" priority="299" stopIfTrue="1">
      <formula>O73=$E$163</formula>
    </cfRule>
    <cfRule type="expression" dxfId="3868" priority="300" stopIfTrue="1">
      <formula>$C$61=0</formula>
    </cfRule>
    <cfRule type="expression" dxfId="3867" priority="301" stopIfTrue="1">
      <formula>ISERROR(O73)</formula>
    </cfRule>
  </conditionalFormatting>
  <conditionalFormatting sqref="C67">
    <cfRule type="expression" dxfId="3866" priority="302" stopIfTrue="1">
      <formula>$C$61=0</formula>
    </cfRule>
  </conditionalFormatting>
  <conditionalFormatting sqref="G73 I73">
    <cfRule type="expression" dxfId="3865" priority="303" stopIfTrue="1">
      <formula>ISERROR(G73)</formula>
    </cfRule>
    <cfRule type="expression" dxfId="3864" priority="304" stopIfTrue="1">
      <formula>G73=0</formula>
    </cfRule>
    <cfRule type="expression" dxfId="3863" priority="305" stopIfTrue="1">
      <formula>$C$61=0</formula>
    </cfRule>
  </conditionalFormatting>
  <conditionalFormatting sqref="G77:H78 K77:K78">
    <cfRule type="expression" dxfId="3862" priority="306" stopIfTrue="1">
      <formula>$C$61=0</formula>
    </cfRule>
    <cfRule type="expression" dxfId="3861" priority="307" stopIfTrue="1">
      <formula>ISERROR(G77)</formula>
    </cfRule>
    <cfRule type="cellIs" dxfId="3860" priority="308" stopIfTrue="1" operator="equal">
      <formula>0</formula>
    </cfRule>
  </conditionalFormatting>
  <conditionalFormatting sqref="G79:H79 K79">
    <cfRule type="expression" dxfId="3859" priority="309" stopIfTrue="1">
      <formula>ISERROR(G79)</formula>
    </cfRule>
    <cfRule type="expression" dxfId="3858" priority="310" stopIfTrue="1">
      <formula>$C$61=0</formula>
    </cfRule>
    <cfRule type="cellIs" dxfId="3857" priority="311" stopIfTrue="1" operator="equal">
      <formula>0</formula>
    </cfRule>
  </conditionalFormatting>
  <conditionalFormatting sqref="N69:N72">
    <cfRule type="expression" dxfId="3856" priority="312" stopIfTrue="1">
      <formula>$C$61=0</formula>
    </cfRule>
    <cfRule type="cellIs" dxfId="3855" priority="313" stopIfTrue="1" operator="equal">
      <formula>0</formula>
    </cfRule>
    <cfRule type="expression" dxfId="3854" priority="314" stopIfTrue="1">
      <formula>ISERROR(N69)</formula>
    </cfRule>
  </conditionalFormatting>
  <conditionalFormatting sqref="C70:C71">
    <cfRule type="expression" dxfId="3853" priority="315" stopIfTrue="1">
      <formula>$C$61=0</formula>
    </cfRule>
    <cfRule type="expression" dxfId="3852" priority="316" stopIfTrue="1">
      <formula>$G$73&lt;&gt;0</formula>
    </cfRule>
  </conditionalFormatting>
  <conditionalFormatting sqref="P60:P61">
    <cfRule type="expression" dxfId="3851" priority="317" stopIfTrue="1">
      <formula>$C$61=1</formula>
    </cfRule>
  </conditionalFormatting>
  <conditionalFormatting sqref="H66:M66">
    <cfRule type="expression" dxfId="3850" priority="318" stopIfTrue="1">
      <formula>$C$61=0</formula>
    </cfRule>
  </conditionalFormatting>
  <conditionalFormatting sqref="H65">
    <cfRule type="expression" dxfId="3849" priority="319" stopIfTrue="1">
      <formula>AND($C$61=0,$D$61&gt;0)</formula>
    </cfRule>
    <cfRule type="expression" dxfId="3848" priority="320" stopIfTrue="1">
      <formula>$C$61=0</formula>
    </cfRule>
  </conditionalFormatting>
  <conditionalFormatting sqref="G67">
    <cfRule type="expression" dxfId="3847" priority="321" stopIfTrue="1">
      <formula>$C$61=0</formula>
    </cfRule>
    <cfRule type="expression" dxfId="3846" priority="322" stopIfTrue="1">
      <formula>ISERROR(G67)</formula>
    </cfRule>
  </conditionalFormatting>
  <conditionalFormatting sqref="G88:H88 K88">
    <cfRule type="expression" dxfId="3845" priority="323" stopIfTrue="1">
      <formula>ISERROR(G88)</formula>
    </cfRule>
    <cfRule type="cellIs" dxfId="3844" priority="324" stopIfTrue="1" operator="equal">
      <formula>0</formula>
    </cfRule>
    <cfRule type="expression" dxfId="3843" priority="325" stopIfTrue="1">
      <formula>$C$61=0</formula>
    </cfRule>
  </conditionalFormatting>
  <conditionalFormatting sqref="C91:P91">
    <cfRule type="expression" dxfId="3842" priority="326" stopIfTrue="1">
      <formula>SUM($G$150:$J$150)=0</formula>
    </cfRule>
  </conditionalFormatting>
  <conditionalFormatting sqref="G85:H85 K85">
    <cfRule type="expression" dxfId="3841" priority="327" stopIfTrue="1">
      <formula>$C$61=0</formula>
    </cfRule>
    <cfRule type="expression" dxfId="3840" priority="328" stopIfTrue="1">
      <formula>G85=$M$135</formula>
    </cfRule>
  </conditionalFormatting>
  <conditionalFormatting sqref="I55:J56 L55:M56">
    <cfRule type="cellIs" dxfId="3839" priority="329" stopIfTrue="1" operator="equal">
      <formula>0</formula>
    </cfRule>
    <cfRule type="expression" dxfId="3838" priority="330" stopIfTrue="1">
      <formula>ISERROR(I55)</formula>
    </cfRule>
  </conditionalFormatting>
  <dataValidations count="7">
    <dataValidation type="whole" operator="lessThanOrEqual" allowBlank="1" showInputMessage="1" showErrorMessage="1" sqref="F52">
      <formula1>E162</formula1>
    </dataValidation>
    <dataValidation type="list" allowBlank="1" showInputMessage="1" showErrorMessage="1" sqref="I207">
      <formula1>$I$219:$I$229</formula1>
    </dataValidation>
    <dataValidation type="decimal" operator="greaterThan" allowBlank="1" showInputMessage="1" showErrorMessage="1" errorTitle="ATTENZIONE !!!" error="E' ammesso solo un valore POSITIVO" sqref="G53:G54">
      <formula1>0</formula1>
    </dataValidation>
    <dataValidation type="decimal" operator="lessThan" allowBlank="1" showInputMessage="1" showErrorMessage="1" errorTitle="ATTENZIONE !!!" error="E' ammesso solo un valore NEGATIVO" sqref="H53:H54">
      <formula1>0</formula1>
    </dataValidation>
    <dataValidation type="list" allowBlank="1" showInputMessage="1" showErrorMessage="1" sqref="M168:N168">
      <formula1>$E$218:$E$220</formula1>
    </dataValidation>
    <dataValidation type="list" allowBlank="1" showInputMessage="1" showErrorMessage="1" sqref="M166">
      <formula1>$E$223:$E$226</formula1>
    </dataValidation>
    <dataValidation type="list" allowBlank="1" showInputMessage="1" showErrorMessage="1" sqref="M3:P3">
      <formula1>$K$144:$K$149</formula1>
    </dataValidation>
  </dataValidations>
  <hyperlinks>
    <hyperlink ref="G231" location="Presentazione!I106" display="QUI"/>
    <hyperlink ref="L231" location="Presentazione!K83" display="QUI"/>
  </hyperlinks>
  <printOptions horizontalCentered="1"/>
  <pageMargins left="0.39370078740157483" right="0" top="0.39370078740157483" bottom="0" header="0" footer="0"/>
  <pageSetup paperSize="9" scale="72"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0">
    <pageSetUpPr autoPageBreaks="0"/>
  </sheetPr>
  <dimension ref="A1:BB231"/>
  <sheetViews>
    <sheetView showGridLines="0" showRowColHeaders="0" topLeftCell="A2" zoomScaleNormal="100" workbookViewId="0">
      <selection activeCell="G8" sqref="G8"/>
    </sheetView>
  </sheetViews>
  <sheetFormatPr defaultRowHeight="12.75" x14ac:dyDescent="0.2"/>
  <cols>
    <col min="1" max="2" width="2.85546875" style="4" customWidth="1"/>
    <col min="3" max="4" width="5" style="4" customWidth="1"/>
    <col min="5" max="5" width="15.7109375" style="4" customWidth="1"/>
    <col min="6" max="6" width="1.42578125" style="4" customWidth="1"/>
    <col min="7" max="8" width="15.7109375" style="4" customWidth="1"/>
    <col min="9" max="10" width="7.85546875" style="4" customWidth="1"/>
    <col min="11" max="11" width="15.7109375" style="4" customWidth="1"/>
    <col min="12" max="13" width="7.85546875" style="4" customWidth="1"/>
    <col min="14" max="14" width="15.7109375" style="4" customWidth="1"/>
    <col min="15" max="16" width="7.85546875" style="4" customWidth="1"/>
    <col min="17" max="17" width="2.140625" style="4" customWidth="1"/>
    <col min="18" max="31" width="11" style="4" hidden="1" customWidth="1"/>
    <col min="32" max="32" width="6.42578125" style="4" hidden="1" customWidth="1"/>
    <col min="33" max="37" width="11" style="4" hidden="1" customWidth="1"/>
    <col min="38" max="38" width="6.42578125" style="4" hidden="1" customWidth="1"/>
    <col min="39" max="43" width="11" style="4" hidden="1" customWidth="1"/>
    <col min="44" max="44" width="6.42578125" style="4" hidden="1" customWidth="1"/>
    <col min="45" max="49" width="11" style="4" hidden="1" customWidth="1"/>
    <col min="50" max="50" width="6.42578125" style="4" hidden="1" customWidth="1"/>
    <col min="51" max="51" width="11" style="4" hidden="1" customWidth="1"/>
    <col min="52" max="52" width="35.7109375" style="4" customWidth="1"/>
    <col min="53" max="16384" width="9.140625" style="4"/>
  </cols>
  <sheetData>
    <row r="1" spans="1:53" ht="15" hidden="1" customHeight="1" x14ac:dyDescent="0.2">
      <c r="A1" s="540"/>
      <c r="B1" s="2"/>
      <c r="C1" s="2"/>
      <c r="D1" s="2"/>
      <c r="E1" s="2"/>
      <c r="F1" s="2"/>
      <c r="G1" s="252" t="str">
        <f>CONCATENATE(IMPOSTAZIONI!F208,"-",IMPOSTAZIONI!F209,"-",IMPOSTAZIONI!F210)</f>
        <v>--</v>
      </c>
      <c r="H1" s="252" t="str">
        <f>CONCATENATE(IMPOSTAZIONI!K208,"-",IMPOSTAZIONI!K209,"-",IMPOSTAZIONI!K210)</f>
        <v>--</v>
      </c>
      <c r="I1" s="252"/>
      <c r="J1" s="252"/>
      <c r="K1" s="252" t="str">
        <f>CONCATENATE(IMPOSTAZIONI!P208,"-",IMPOSTAZIONI!P209,"-",IMPOSTAZIONI!P210)</f>
        <v>--</v>
      </c>
      <c r="L1" s="252"/>
      <c r="M1" s="252"/>
      <c r="N1" s="252" t="str">
        <f>CONCATENATE(IMPOSTAZIONI!U208,"-",IMPOSTAZIONI!U209,"-",IMPOSTAZIONI!U210)</f>
        <v>--</v>
      </c>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591"/>
    </row>
    <row r="2" spans="1:53" ht="18" customHeight="1" x14ac:dyDescent="0.2">
      <c r="A2" s="540"/>
      <c r="B2" s="2"/>
      <c r="C2" s="2057" t="str">
        <f>CONCATENATE(IMPOSTAZIONI!C73," - P.I. ",IMPOSTAZIONI!O73)</f>
        <v>Inserisci la tua Ragione Sociale - P.I. 01234567891</v>
      </c>
      <c r="D2" s="2057"/>
      <c r="E2" s="2057"/>
      <c r="F2" s="2057"/>
      <c r="G2" s="2057"/>
      <c r="H2" s="2057"/>
      <c r="I2" s="2057"/>
      <c r="J2" s="2058" t="str">
        <f>CONCATENATE(IMPOSTAZIONI!C75," - ",IMPOSTAZIONI!M75," - ",IMPOSTAZIONI!O75," - ",IMPOSTAZIONI!V75)</f>
        <v xml:space="preserve">Indirizzo per esteso -  -  - </v>
      </c>
      <c r="K2" s="2058"/>
      <c r="L2" s="2058"/>
      <c r="M2" s="2058"/>
      <c r="N2" s="2058"/>
      <c r="O2" s="2058"/>
      <c r="P2" s="2058"/>
      <c r="Q2" s="3"/>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row>
    <row r="3" spans="1:53" ht="24.75" customHeight="1" x14ac:dyDescent="0.2">
      <c r="A3" s="2"/>
      <c r="B3" s="5"/>
      <c r="C3" s="2222" t="s">
        <v>98</v>
      </c>
      <c r="D3" s="2222"/>
      <c r="E3" s="2223" t="s">
        <v>305</v>
      </c>
      <c r="F3" s="2223"/>
      <c r="G3" s="2223"/>
      <c r="H3" s="2073" t="str">
        <f>IF(I163=0,IMPOSTAZIONI!Y384,"")</f>
        <v>Devi convalidare il foglio IMPOSTAZIONI</v>
      </c>
      <c r="I3" s="2073"/>
      <c r="J3" s="2073"/>
      <c r="K3" s="2073"/>
      <c r="L3" s="2073"/>
      <c r="M3" s="2072" t="s">
        <v>543</v>
      </c>
      <c r="N3" s="2072"/>
      <c r="O3" s="2072"/>
      <c r="P3" s="2072"/>
      <c r="Q3" s="3"/>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row>
    <row r="4" spans="1:53" ht="18" customHeight="1" x14ac:dyDescent="0.2">
      <c r="A4" s="2"/>
      <c r="B4" s="2"/>
      <c r="C4" s="2147" t="s">
        <v>175</v>
      </c>
      <c r="D4" s="2148"/>
      <c r="E4" s="2170" t="str">
        <f>IMPOSTAZIONI!E24</f>
        <v>TOTALE</v>
      </c>
      <c r="F4" s="2171"/>
      <c r="G4" s="291" t="str">
        <f>IF($I$163=0,"",IMPOSTAZIONI!G208)</f>
        <v/>
      </c>
      <c r="H4" s="291" t="str">
        <f>IF($I$163=0,"",IMPOSTAZIONI!L208)</f>
        <v/>
      </c>
      <c r="I4" s="2164">
        <f>IMPOSTAZIONI!Q25</f>
        <v>0</v>
      </c>
      <c r="J4" s="2165"/>
      <c r="K4" s="291" t="str">
        <f>IF($I$163=0,"",IMPOSTAZIONI!Q208)</f>
        <v/>
      </c>
      <c r="L4" s="2164">
        <f>IMPOSTAZIONI!Y25</f>
        <v>0</v>
      </c>
      <c r="M4" s="2165"/>
      <c r="N4" s="291" t="str">
        <f>IF($I$163=0,"",IMPOSTAZIONI!V208)</f>
        <v/>
      </c>
      <c r="O4" s="2164">
        <f>IMPOSTAZIONI!AG25</f>
        <v>0</v>
      </c>
      <c r="P4" s="2165"/>
      <c r="Q4" s="83"/>
      <c r="R4" s="2"/>
      <c r="S4" s="2"/>
      <c r="T4" s="2"/>
      <c r="U4" s="2"/>
      <c r="V4" s="251" t="str">
        <f>CONCATENATE(L131,"  ")</f>
        <v xml:space="preserve">attiva trim.  </v>
      </c>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row>
    <row r="5" spans="1:53" ht="18" customHeight="1" x14ac:dyDescent="0.2">
      <c r="A5" s="2"/>
      <c r="B5" s="2"/>
      <c r="C5" s="2149"/>
      <c r="D5" s="2150"/>
      <c r="E5" s="2172"/>
      <c r="F5" s="2173"/>
      <c r="G5" s="292" t="str">
        <f>IF($I$163=0,"",IMPOSTAZIONI!G209)</f>
        <v/>
      </c>
      <c r="H5" s="292" t="str">
        <f>IF($I$163=0,"",IMPOSTAZIONI!L209)</f>
        <v/>
      </c>
      <c r="I5" s="2166"/>
      <c r="J5" s="2167"/>
      <c r="K5" s="292" t="str">
        <f>IF($I$163=0,"",IMPOSTAZIONI!Q209)</f>
        <v/>
      </c>
      <c r="L5" s="2166"/>
      <c r="M5" s="2167"/>
      <c r="N5" s="292" t="str">
        <f>IF($I$163=0,"",IMPOSTAZIONI!V209)</f>
        <v/>
      </c>
      <c r="O5" s="2166"/>
      <c r="P5" s="2167"/>
      <c r="Q5" s="83"/>
      <c r="R5" s="2"/>
      <c r="S5" s="2"/>
      <c r="T5" s="2"/>
      <c r="U5" s="2"/>
      <c r="V5" s="257"/>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row>
    <row r="6" spans="1:53" ht="18" customHeight="1" x14ac:dyDescent="0.2">
      <c r="A6" s="2"/>
      <c r="B6" s="2"/>
      <c r="C6" s="2151">
        <f>IMPOSTAZIONI!$AH$52</f>
        <v>2024</v>
      </c>
      <c r="D6" s="2152"/>
      <c r="E6" s="2153">
        <f>IMPOSTAZIONI!E25</f>
        <v>0</v>
      </c>
      <c r="F6" s="2154"/>
      <c r="G6" s="55" t="str">
        <f>IF($I$163=0,"",IMPOSTAZIONI!G210)</f>
        <v/>
      </c>
      <c r="H6" s="55" t="str">
        <f>IF($I$163=0,"",IMPOSTAZIONI!L210)</f>
        <v/>
      </c>
      <c r="I6" s="834" t="str">
        <f>IMPOSTAZIONI!Q26</f>
        <v>DAL</v>
      </c>
      <c r="J6" s="835" t="str">
        <f>IMPOSTAZIONI!S26</f>
        <v>AL</v>
      </c>
      <c r="K6" s="55" t="str">
        <f>IF($I$163=0,"",IMPOSTAZIONI!Q210)</f>
        <v/>
      </c>
      <c r="L6" s="834" t="str">
        <f>IMPOSTAZIONI!Y26</f>
        <v>DAL</v>
      </c>
      <c r="M6" s="835" t="str">
        <f>IMPOSTAZIONI!AA26</f>
        <v>AL</v>
      </c>
      <c r="N6" s="55" t="str">
        <f>IF($I$163=0,"",IMPOSTAZIONI!V210)</f>
        <v/>
      </c>
      <c r="O6" s="834" t="str">
        <f>IMPOSTAZIONI!AG26</f>
        <v>DAL</v>
      </c>
      <c r="P6" s="835" t="str">
        <f>IMPOSTAZIONI!AI26</f>
        <v>AL</v>
      </c>
      <c r="Q6" s="83"/>
      <c r="R6" s="2"/>
      <c r="S6" s="2"/>
      <c r="T6" s="2"/>
      <c r="U6" s="2"/>
      <c r="V6" s="2"/>
      <c r="W6" s="2"/>
      <c r="X6" s="2"/>
      <c r="Y6" s="501" t="str">
        <f>CASSA!W484</f>
        <v>F</v>
      </c>
      <c r="Z6" s="502" t="str">
        <f>CASSA!W485</f>
        <v>C</v>
      </c>
      <c r="AA6" s="2"/>
      <c r="AB6" s="2"/>
      <c r="AC6" s="2"/>
      <c r="AD6" s="2"/>
      <c r="AE6" s="2"/>
      <c r="AF6" s="2"/>
      <c r="AG6" s="148">
        <f>IF(SUM(G152:J152)&gt;0,1,0)</f>
        <v>0</v>
      </c>
      <c r="AH6" s="1096" t="str">
        <f>$C101</f>
        <v>Aliquota 22 %</v>
      </c>
      <c r="AI6" s="1096" t="str">
        <f>$C102</f>
        <v>Aliquota 10 %</v>
      </c>
      <c r="AJ6" s="1096" t="str">
        <f>$C103</f>
        <v>Aliquota 4 %</v>
      </c>
      <c r="AK6" s="1096" t="str">
        <f>$C104</f>
        <v/>
      </c>
      <c r="AL6" s="2"/>
      <c r="AM6" s="1097" t="s">
        <v>537</v>
      </c>
      <c r="AN6" s="2204" t="s">
        <v>782</v>
      </c>
      <c r="AO6" s="2204"/>
      <c r="AP6" s="2204"/>
      <c r="AQ6" s="2204"/>
      <c r="AR6" s="2"/>
      <c r="AS6" s="148"/>
      <c r="AT6" s="1096" t="str">
        <f>$C101</f>
        <v>Aliquota 22 %</v>
      </c>
      <c r="AU6" s="1096" t="str">
        <f>$C102</f>
        <v>Aliquota 10 %</v>
      </c>
      <c r="AV6" s="1096" t="str">
        <f>$C103</f>
        <v>Aliquota 4 %</v>
      </c>
      <c r="AW6" s="1096" t="str">
        <f>$C104</f>
        <v/>
      </c>
      <c r="AX6" s="2"/>
      <c r="AY6" s="1097" t="s">
        <v>537</v>
      </c>
      <c r="AZ6" s="1382" t="s">
        <v>14</v>
      </c>
      <c r="BA6" s="2"/>
    </row>
    <row r="7" spans="1:53" ht="20.25" customHeight="1" x14ac:dyDescent="0.2">
      <c r="A7" s="2"/>
      <c r="B7" s="2"/>
      <c r="C7" s="2242" t="s">
        <v>177</v>
      </c>
      <c r="D7" s="2243"/>
      <c r="E7" s="2175">
        <f>IMPOSTAZIONI!P265</f>
        <v>0</v>
      </c>
      <c r="F7" s="2176"/>
      <c r="G7" s="1439">
        <f>IMPOSTAZIONI!$AU269</f>
        <v>0</v>
      </c>
      <c r="H7" s="1439">
        <f>IMPOSTAZIONI!$AU270</f>
        <v>0</v>
      </c>
      <c r="I7" s="832"/>
      <c r="J7" s="833"/>
      <c r="K7" s="1439">
        <f>IMPOSTAZIONI!$AU271</f>
        <v>0</v>
      </c>
      <c r="L7" s="832"/>
      <c r="M7" s="833"/>
      <c r="N7" s="1439">
        <f>IMPOSTAZIONI!$AU272</f>
        <v>0</v>
      </c>
      <c r="O7" s="832"/>
      <c r="P7" s="833"/>
      <c r="Q7" s="83"/>
      <c r="R7" s="552" t="s">
        <v>195</v>
      </c>
      <c r="S7" s="552"/>
      <c r="T7" s="552"/>
      <c r="U7" s="552"/>
      <c r="V7" s="507">
        <f>V8-1</f>
        <v>45443</v>
      </c>
      <c r="W7" s="2"/>
      <c r="X7" s="2"/>
      <c r="Y7" s="2"/>
      <c r="Z7" s="2"/>
      <c r="AA7" s="2"/>
      <c r="AB7" s="2021" t="s">
        <v>739</v>
      </c>
      <c r="AC7" s="2021"/>
      <c r="AD7" s="2021"/>
      <c r="AE7" s="2021"/>
      <c r="AF7" s="2"/>
      <c r="AG7" s="2021" t="s">
        <v>781</v>
      </c>
      <c r="AH7" s="2021"/>
      <c r="AI7" s="2021"/>
      <c r="AJ7" s="2021"/>
      <c r="AK7" s="2021"/>
      <c r="AL7" s="2"/>
      <c r="AM7" s="2"/>
      <c r="AN7" s="2"/>
      <c r="AO7" s="2"/>
      <c r="AP7" s="2"/>
      <c r="AQ7" s="2"/>
      <c r="AR7" s="2"/>
      <c r="AS7" s="2021" t="s">
        <v>784</v>
      </c>
      <c r="AT7" s="2021"/>
      <c r="AU7" s="2021"/>
      <c r="AV7" s="2021"/>
      <c r="AW7" s="2021"/>
      <c r="AX7" s="2"/>
      <c r="AY7" s="1097" t="s">
        <v>739</v>
      </c>
      <c r="AZ7" s="1383"/>
      <c r="BA7" s="2"/>
    </row>
    <row r="8" spans="1:53" ht="20.25" customHeight="1" x14ac:dyDescent="0.2">
      <c r="A8" s="2"/>
      <c r="B8" s="18">
        <v>1</v>
      </c>
      <c r="C8" s="234">
        <f>B8</f>
        <v>1</v>
      </c>
      <c r="D8" s="235">
        <v>6</v>
      </c>
      <c r="E8" s="2168" t="str">
        <f t="shared" ref="E8:E37" si="0">IF(AND(L$163=0,OR(V8&lt;B$162,V8&gt;B$163)),CONCATENATE(L$131,"  "),IF(AND((SUM(G8:H8)+K8+N8)&lt;&gt;0,AA8=Z$6),E$163,IF(AND((SUM(G8:H8)+K8+N8)=0,AA8=Z$6),E$162,IF(ISERROR($H$163),0,SUM(G8:H8)+K8+N8-SUMIF(G$42:N$42,K$134,G8:N8)))))</f>
        <v xml:space="preserve">attiva trim.  </v>
      </c>
      <c r="F8" s="2169"/>
      <c r="G8" s="304"/>
      <c r="H8" s="304"/>
      <c r="I8" s="830"/>
      <c r="J8" s="831"/>
      <c r="K8" s="304"/>
      <c r="L8" s="830"/>
      <c r="M8" s="831"/>
      <c r="N8" s="304"/>
      <c r="O8" s="830"/>
      <c r="P8" s="831"/>
      <c r="Q8" s="83"/>
      <c r="R8" s="1050">
        <f>IF(G$62=$L$134,0,IF(AND($L$163=0,$V8&gt;$B$163),0,IF(G$155="X",0,ROUND((G8*G$155)/(100+G$155),2))))</f>
        <v>0</v>
      </c>
      <c r="S8" s="1051">
        <f t="shared" ref="S8:S37" si="1">IF(H$62=$L$134,0,IF(AND($L$163=0,$V8&gt;$B$163),0,IF(H$155="X",0,ROUND((H8*H$155)/(100+H$155),2))))</f>
        <v>0</v>
      </c>
      <c r="T8" s="1051">
        <f>IF(K$62=$L$134,0,IF(AND($L$163=0,$V8&gt;$B$163),0,IF(I$155="X",0,ROUND((K8*I$155)/(100+I$155),2))))</f>
        <v>0</v>
      </c>
      <c r="U8" s="1052">
        <f>IF(N$62=$L$134,0,IF(AND($L$163=0,$V8&gt;$B$163),0,IF(J$155="X",0,ROUND((N8*J$155)/(100+J$155),2))))</f>
        <v>0</v>
      </c>
      <c r="V8" s="231">
        <f>DATE(C$6,D8,C8)</f>
        <v>45444</v>
      </c>
      <c r="W8" s="1050">
        <f t="shared" ref="W8:W37" si="2">IF(AND($L$163=0,$V8&gt;$B$163),0,G8-R8)</f>
        <v>0</v>
      </c>
      <c r="X8" s="1051">
        <f t="shared" ref="X8:X37" si="3">IF(AND($L$163=0,$V8&gt;$B$163),0,H8-S8)</f>
        <v>0</v>
      </c>
      <c r="Y8" s="1051">
        <f t="shared" ref="Y8:Y37" si="4">IF(AND($L$163=0,$V8&gt;$B$163),0,K8-T8)</f>
        <v>0</v>
      </c>
      <c r="Z8" s="1052">
        <f t="shared" ref="Z8:Z37" si="5">IF(AND($L$163=0,$V8&gt;$B$163),0,N8-U8)</f>
        <v>0</v>
      </c>
      <c r="AA8" s="822">
        <f>VLOOKUP(V8,CASSA!$B$114:$C$479,2,FALSE)</f>
        <v>0</v>
      </c>
      <c r="AB8" s="1050">
        <f>IF(AND(G$62=$L$134,$L$78&lt;&gt;0),$L$78/$G$65*G8,0)</f>
        <v>0</v>
      </c>
      <c r="AC8" s="1051">
        <f>IF(AND(H$62=$L$134,$L$78&lt;&gt;0),$L$78/$G$65*H8,0)</f>
        <v>0</v>
      </c>
      <c r="AD8" s="1051">
        <f>IF(AND(K$62=$L$134,$L$78&lt;&gt;0),$L$78/$G$65*K8,0)</f>
        <v>0</v>
      </c>
      <c r="AE8" s="1052">
        <f>IF(AND(N$62=$L$134,$L$78&lt;&gt;0),$L$78/$G$65*N8,0)</f>
        <v>0</v>
      </c>
      <c r="AF8" s="2"/>
      <c r="AG8" s="1087">
        <f>SUMIF($G$152:$J$152,1,W8:Z8)-SUM(AH8:AK8)</f>
        <v>0</v>
      </c>
      <c r="AH8" s="1088">
        <f>IF(AND($AG$6=1,$R$101&lt;&gt;0),$R$101/$R$96*SUMIF($G$152:$J$152,1,$W8:$Z8),0)</f>
        <v>0</v>
      </c>
      <c r="AI8" s="1051">
        <f>IF(AND($AG$6=1,$R$102&lt;&gt;0),$R$102/$R$96*SUMIF($G$152:$J$152,1,$W8:$Z8),0)</f>
        <v>0</v>
      </c>
      <c r="AJ8" s="1051">
        <f>IF(AND($AG$6=1,$R$103&lt;&gt;0),$R$103/$R$96*SUMIF($G$152:$J$152,1,$W8:$Z8),0)</f>
        <v>0</v>
      </c>
      <c r="AK8" s="1089">
        <f t="shared" ref="AK8:AK37" si="6">IF(AND($AG$6=1,$R$104&lt;&gt;0),$R$104/$R$96*SUMIF($G$152:$J$152,1,$W8:$Z8),0)</f>
        <v>0</v>
      </c>
      <c r="AL8" s="2"/>
      <c r="AM8" s="1087">
        <f t="shared" ref="AM8:AM37" si="7">SUMIF($G$42:$N$42,$K$134,$G8:$N8)</f>
        <v>0</v>
      </c>
      <c r="AN8" s="1104">
        <f>IF(G$42=$K$134,R8,0)</f>
        <v>0</v>
      </c>
      <c r="AO8" s="1051">
        <f>IF(H$42=$K$134,S8,0)</f>
        <v>0</v>
      </c>
      <c r="AP8" s="1051">
        <f>IF(K$42=$K$134,T8,0)</f>
        <v>0</v>
      </c>
      <c r="AQ8" s="1089">
        <f>IF(N$42=$K$134,U8,0)</f>
        <v>0</v>
      </c>
      <c r="AR8" s="2"/>
      <c r="AS8" s="1087">
        <f>IF(AG8&lt;&gt;0,AG8*$T$97/100,0)</f>
        <v>0</v>
      </c>
      <c r="AT8" s="1088">
        <f>IF(AH8&lt;&gt;0,AH8*$T$101/100,0)</f>
        <v>0</v>
      </c>
      <c r="AU8" s="1051">
        <f>IF(AI8&lt;&gt;0,AI8*$T$102/100,0)</f>
        <v>0</v>
      </c>
      <c r="AV8" s="1051">
        <f>IF(AJ8&lt;&gt;0,AJ8*$T$103/100,0)</f>
        <v>0</v>
      </c>
      <c r="AW8" s="1089">
        <f>IF(AK8&lt;&gt;0,AK8*$T$104/100,0)</f>
        <v>0</v>
      </c>
      <c r="AX8" s="2"/>
      <c r="AY8" s="1087">
        <f>IF(SUM(AB8:AE8)=0,0,SUM(AB8:AE8)*U$90/100)</f>
        <v>0</v>
      </c>
      <c r="AZ8" s="1384" t="s">
        <v>850</v>
      </c>
      <c r="BA8" s="2"/>
    </row>
    <row r="9" spans="1:53" ht="20.25" customHeight="1" x14ac:dyDescent="0.2">
      <c r="A9" s="2"/>
      <c r="B9" s="18">
        <v>2</v>
      </c>
      <c r="C9" s="234">
        <f>IF(D9="--","--",C8+1)</f>
        <v>2</v>
      </c>
      <c r="D9" s="235">
        <f t="shared" ref="D9:D38" si="8">IF(MONTH(V9)=D$8,D8,"--")</f>
        <v>6</v>
      </c>
      <c r="E9" s="2159" t="str">
        <f t="shared" si="0"/>
        <v xml:space="preserve">attiva trim.  </v>
      </c>
      <c r="F9" s="2160"/>
      <c r="G9" s="237"/>
      <c r="H9" s="237"/>
      <c r="I9" s="828"/>
      <c r="J9" s="829"/>
      <c r="K9" s="237"/>
      <c r="L9" s="828"/>
      <c r="M9" s="829"/>
      <c r="N9" s="237"/>
      <c r="O9" s="828"/>
      <c r="P9" s="829"/>
      <c r="Q9" s="83"/>
      <c r="R9" s="1053">
        <f t="shared" ref="R9:R37" si="9">IF(G$62=$L$134,0,IF(AND($L$163=0,$V9&gt;$B$163),0,IF(G$155="X",0,ROUND((G9*G$155)/(100+G$155),2))))</f>
        <v>0</v>
      </c>
      <c r="S9" s="1054">
        <f t="shared" si="1"/>
        <v>0</v>
      </c>
      <c r="T9" s="1054">
        <f t="shared" ref="T9:T37" si="10">IF(K$62=$L$134,0,IF(AND($L$163=0,$V9&gt;$B$163),0,IF(I$155="X",0,ROUND((K9*I$155)/(100+I$155),2))))</f>
        <v>0</v>
      </c>
      <c r="U9" s="1055">
        <f t="shared" ref="U9:U37" si="11">IF(N$62=$L$134,0,IF(AND($L$163=0,$V9&gt;$B$163),0,IF(J$155="X",0,ROUND((N9*J$155)/(100+J$155),2))))</f>
        <v>0</v>
      </c>
      <c r="V9" s="231">
        <f>V8+1</f>
        <v>45445</v>
      </c>
      <c r="W9" s="1053">
        <f t="shared" si="2"/>
        <v>0</v>
      </c>
      <c r="X9" s="1054">
        <f t="shared" si="3"/>
        <v>0</v>
      </c>
      <c r="Y9" s="1054">
        <f t="shared" si="4"/>
        <v>0</v>
      </c>
      <c r="Z9" s="1055">
        <f t="shared" si="5"/>
        <v>0</v>
      </c>
      <c r="AA9" s="822">
        <f>VLOOKUP(V9,CASSA!$B$114:$C$479,2,FALSE)</f>
        <v>0</v>
      </c>
      <c r="AB9" s="1053">
        <f t="shared" ref="AB9:AB37" si="12">IF(AND(G$62=$L$134,$L$78&lt;&gt;0),$L$78/$G$65*G9,0)</f>
        <v>0</v>
      </c>
      <c r="AC9" s="1054">
        <f t="shared" ref="AC9:AC37" si="13">IF(AND(H$62=$L$134,$L$78&lt;&gt;0),$L$78/$G$65*H9,0)</f>
        <v>0</v>
      </c>
      <c r="AD9" s="1054">
        <f t="shared" ref="AD9:AD37" si="14">IF(AND(K$62=$L$134,$L$78&lt;&gt;0),$L$78/$G$65*K9,0)</f>
        <v>0</v>
      </c>
      <c r="AE9" s="1055">
        <f t="shared" ref="AE9:AE37" si="15">IF(AND(N$62=$L$134,$L$78&lt;&gt;0),$L$78/$G$65*N9,0)</f>
        <v>0</v>
      </c>
      <c r="AF9" s="2"/>
      <c r="AG9" s="1090">
        <f t="shared" ref="AG9:AG37" si="16">SUMIF($G$152:$J$152,1,W9:Z9)-SUM(AH9:AK9)</f>
        <v>0</v>
      </c>
      <c r="AH9" s="1091">
        <f t="shared" ref="AH9:AH37" si="17">IF(AND($AG$6=1,$R$101&lt;&gt;0),$R$101/$R$96*SUMIF($G$152:$J$152,1,$W9:$Z9),0)</f>
        <v>0</v>
      </c>
      <c r="AI9" s="1054">
        <f t="shared" ref="AI9:AI37" si="18">IF(AND($AG$6=1,$R$102&lt;&gt;0),$R$102/$R$96*SUMIF($G$152:$J$152,1,$W9:$Z9),0)</f>
        <v>0</v>
      </c>
      <c r="AJ9" s="1054">
        <f t="shared" ref="AJ9:AJ37" si="19">IF(AND($AG$6=1,$R$103&lt;&gt;0),$R$103/$R$96*SUMIF($G$152:$J$152,1,$W9:$Z9),0)</f>
        <v>0</v>
      </c>
      <c r="AK9" s="1092">
        <f t="shared" si="6"/>
        <v>0</v>
      </c>
      <c r="AL9" s="2"/>
      <c r="AM9" s="1090">
        <f t="shared" si="7"/>
        <v>0</v>
      </c>
      <c r="AN9" s="1105">
        <f t="shared" ref="AN9:AN37" si="20">IF(G$42=$K$134,R9,0)</f>
        <v>0</v>
      </c>
      <c r="AO9" s="1054">
        <f t="shared" ref="AO9:AO37" si="21">IF(H$42=$K$134,S9,0)</f>
        <v>0</v>
      </c>
      <c r="AP9" s="1054">
        <f t="shared" ref="AP9:AP37" si="22">IF(K$42=$K$134,T9,0)</f>
        <v>0</v>
      </c>
      <c r="AQ9" s="1092">
        <f t="shared" ref="AQ9:AQ37" si="23">IF(N$42=$K$134,U9,0)</f>
        <v>0</v>
      </c>
      <c r="AR9" s="2"/>
      <c r="AS9" s="1090">
        <f t="shared" ref="AS9:AS37" si="24">IF(AG9&lt;&gt;0,AG9*$T$97/100,0)</f>
        <v>0</v>
      </c>
      <c r="AT9" s="1091">
        <f t="shared" ref="AT9:AT37" si="25">IF(AH9&lt;&gt;0,AH9*$T$101/100,0)</f>
        <v>0</v>
      </c>
      <c r="AU9" s="1054">
        <f t="shared" ref="AU9:AU37" si="26">IF(AI9&lt;&gt;0,AI9*$T$102/100,0)</f>
        <v>0</v>
      </c>
      <c r="AV9" s="1054">
        <f t="shared" ref="AV9:AV37" si="27">IF(AJ9&lt;&gt;0,AJ9*$T$103/100,0)</f>
        <v>0</v>
      </c>
      <c r="AW9" s="1092">
        <f t="shared" ref="AW9:AW37" si="28">IF(AK9&lt;&gt;0,AK9*$T$104/100,0)</f>
        <v>0</v>
      </c>
      <c r="AX9" s="2"/>
      <c r="AY9" s="1090">
        <f t="shared" ref="AY9:AY37" si="29">IF(SUM(AB9:AE9)=0,0,SUM(AB9:AE9)*U$90/100)</f>
        <v>0</v>
      </c>
      <c r="AZ9" s="1385" t="s">
        <v>851</v>
      </c>
      <c r="BA9" s="2"/>
    </row>
    <row r="10" spans="1:53" ht="20.25" customHeight="1" x14ac:dyDescent="0.2">
      <c r="A10" s="2"/>
      <c r="B10" s="18">
        <v>3</v>
      </c>
      <c r="C10" s="234">
        <f t="shared" ref="C10:C38" si="30">IF(D10="--","--",C9+1)</f>
        <v>3</v>
      </c>
      <c r="D10" s="235">
        <f t="shared" si="8"/>
        <v>6</v>
      </c>
      <c r="E10" s="2159" t="str">
        <f t="shared" si="0"/>
        <v xml:space="preserve">attiva trim.  </v>
      </c>
      <c r="F10" s="2160"/>
      <c r="G10" s="237"/>
      <c r="H10" s="237"/>
      <c r="I10" s="828"/>
      <c r="J10" s="829"/>
      <c r="K10" s="237"/>
      <c r="L10" s="828"/>
      <c r="M10" s="829"/>
      <c r="N10" s="237"/>
      <c r="O10" s="828"/>
      <c r="P10" s="829"/>
      <c r="Q10" s="83"/>
      <c r="R10" s="1053">
        <f t="shared" si="9"/>
        <v>0</v>
      </c>
      <c r="S10" s="1054">
        <f t="shared" si="1"/>
        <v>0</v>
      </c>
      <c r="T10" s="1054">
        <f t="shared" si="10"/>
        <v>0</v>
      </c>
      <c r="U10" s="1055">
        <f t="shared" si="11"/>
        <v>0</v>
      </c>
      <c r="V10" s="231">
        <f t="shared" ref="V10:V37" si="31">V9+1</f>
        <v>45446</v>
      </c>
      <c r="W10" s="1053">
        <f t="shared" si="2"/>
        <v>0</v>
      </c>
      <c r="X10" s="1054">
        <f t="shared" si="3"/>
        <v>0</v>
      </c>
      <c r="Y10" s="1054">
        <f t="shared" si="4"/>
        <v>0</v>
      </c>
      <c r="Z10" s="1055">
        <f t="shared" si="5"/>
        <v>0</v>
      </c>
      <c r="AA10" s="822">
        <f>VLOOKUP(V10,CASSA!$B$114:$C$479,2,FALSE)</f>
        <v>0</v>
      </c>
      <c r="AB10" s="1053">
        <f t="shared" si="12"/>
        <v>0</v>
      </c>
      <c r="AC10" s="1054">
        <f t="shared" si="13"/>
        <v>0</v>
      </c>
      <c r="AD10" s="1054">
        <f t="shared" si="14"/>
        <v>0</v>
      </c>
      <c r="AE10" s="1055">
        <f t="shared" si="15"/>
        <v>0</v>
      </c>
      <c r="AF10" s="2"/>
      <c r="AG10" s="1090">
        <f t="shared" si="16"/>
        <v>0</v>
      </c>
      <c r="AH10" s="1091">
        <f t="shared" si="17"/>
        <v>0</v>
      </c>
      <c r="AI10" s="1054">
        <f t="shared" si="18"/>
        <v>0</v>
      </c>
      <c r="AJ10" s="1054">
        <f t="shared" si="19"/>
        <v>0</v>
      </c>
      <c r="AK10" s="1092">
        <f t="shared" si="6"/>
        <v>0</v>
      </c>
      <c r="AL10" s="2"/>
      <c r="AM10" s="1090">
        <f t="shared" si="7"/>
        <v>0</v>
      </c>
      <c r="AN10" s="1105">
        <f t="shared" si="20"/>
        <v>0</v>
      </c>
      <c r="AO10" s="1054">
        <f t="shared" si="21"/>
        <v>0</v>
      </c>
      <c r="AP10" s="1054">
        <f t="shared" si="22"/>
        <v>0</v>
      </c>
      <c r="AQ10" s="1092">
        <f t="shared" si="23"/>
        <v>0</v>
      </c>
      <c r="AR10" s="2"/>
      <c r="AS10" s="1090">
        <f t="shared" si="24"/>
        <v>0</v>
      </c>
      <c r="AT10" s="1091">
        <f t="shared" si="25"/>
        <v>0</v>
      </c>
      <c r="AU10" s="1054">
        <f t="shared" si="26"/>
        <v>0</v>
      </c>
      <c r="AV10" s="1054">
        <f t="shared" si="27"/>
        <v>0</v>
      </c>
      <c r="AW10" s="1092">
        <f t="shared" si="28"/>
        <v>0</v>
      </c>
      <c r="AX10" s="2"/>
      <c r="AY10" s="1090">
        <f t="shared" si="29"/>
        <v>0</v>
      </c>
      <c r="AZ10" s="1385" t="s">
        <v>852</v>
      </c>
      <c r="BA10" s="2"/>
    </row>
    <row r="11" spans="1:53" ht="20.25" customHeight="1" x14ac:dyDescent="0.2">
      <c r="A11" s="2"/>
      <c r="B11" s="18">
        <v>4</v>
      </c>
      <c r="C11" s="234">
        <f t="shared" si="30"/>
        <v>4</v>
      </c>
      <c r="D11" s="235">
        <f t="shared" si="8"/>
        <v>6</v>
      </c>
      <c r="E11" s="2159" t="str">
        <f t="shared" si="0"/>
        <v xml:space="preserve">attiva trim.  </v>
      </c>
      <c r="F11" s="2160"/>
      <c r="G11" s="237"/>
      <c r="H11" s="237"/>
      <c r="I11" s="828"/>
      <c r="J11" s="829"/>
      <c r="K11" s="237"/>
      <c r="L11" s="828"/>
      <c r="M11" s="829"/>
      <c r="N11" s="237"/>
      <c r="O11" s="828"/>
      <c r="P11" s="829"/>
      <c r="Q11" s="6"/>
      <c r="R11" s="1053">
        <f t="shared" si="9"/>
        <v>0</v>
      </c>
      <c r="S11" s="1054">
        <f t="shared" si="1"/>
        <v>0</v>
      </c>
      <c r="T11" s="1054">
        <f t="shared" si="10"/>
        <v>0</v>
      </c>
      <c r="U11" s="1055">
        <f t="shared" si="11"/>
        <v>0</v>
      </c>
      <c r="V11" s="231">
        <f t="shared" si="31"/>
        <v>45447</v>
      </c>
      <c r="W11" s="1053">
        <f t="shared" si="2"/>
        <v>0</v>
      </c>
      <c r="X11" s="1054">
        <f t="shared" si="3"/>
        <v>0</v>
      </c>
      <c r="Y11" s="1054">
        <f t="shared" si="4"/>
        <v>0</v>
      </c>
      <c r="Z11" s="1055">
        <f t="shared" si="5"/>
        <v>0</v>
      </c>
      <c r="AA11" s="822">
        <f>VLOOKUP(V11,CASSA!$B$114:$C$479,2,FALSE)</f>
        <v>0</v>
      </c>
      <c r="AB11" s="1053">
        <f t="shared" si="12"/>
        <v>0</v>
      </c>
      <c r="AC11" s="1054">
        <f t="shared" si="13"/>
        <v>0</v>
      </c>
      <c r="AD11" s="1054">
        <f t="shared" si="14"/>
        <v>0</v>
      </c>
      <c r="AE11" s="1055">
        <f t="shared" si="15"/>
        <v>0</v>
      </c>
      <c r="AF11" s="2"/>
      <c r="AG11" s="1090">
        <f t="shared" si="16"/>
        <v>0</v>
      </c>
      <c r="AH11" s="1091">
        <f t="shared" si="17"/>
        <v>0</v>
      </c>
      <c r="AI11" s="1054">
        <f t="shared" si="18"/>
        <v>0</v>
      </c>
      <c r="AJ11" s="1054">
        <f t="shared" si="19"/>
        <v>0</v>
      </c>
      <c r="AK11" s="1092">
        <f t="shared" si="6"/>
        <v>0</v>
      </c>
      <c r="AL11" s="2"/>
      <c r="AM11" s="1090">
        <f t="shared" si="7"/>
        <v>0</v>
      </c>
      <c r="AN11" s="1105">
        <f t="shared" si="20"/>
        <v>0</v>
      </c>
      <c r="AO11" s="1054">
        <f t="shared" si="21"/>
        <v>0</v>
      </c>
      <c r="AP11" s="1054">
        <f t="shared" si="22"/>
        <v>0</v>
      </c>
      <c r="AQ11" s="1092">
        <f t="shared" si="23"/>
        <v>0</v>
      </c>
      <c r="AR11" s="2"/>
      <c r="AS11" s="1090">
        <f t="shared" si="24"/>
        <v>0</v>
      </c>
      <c r="AT11" s="1091">
        <f t="shared" si="25"/>
        <v>0</v>
      </c>
      <c r="AU11" s="1054">
        <f t="shared" si="26"/>
        <v>0</v>
      </c>
      <c r="AV11" s="1054">
        <f t="shared" si="27"/>
        <v>0</v>
      </c>
      <c r="AW11" s="1092">
        <f t="shared" si="28"/>
        <v>0</v>
      </c>
      <c r="AX11" s="2"/>
      <c r="AY11" s="1090">
        <f t="shared" si="29"/>
        <v>0</v>
      </c>
      <c r="AZ11" s="1385" t="s">
        <v>853</v>
      </c>
      <c r="BA11" s="2"/>
    </row>
    <row r="12" spans="1:53" ht="20.25" customHeight="1" x14ac:dyDescent="0.2">
      <c r="A12" s="2"/>
      <c r="B12" s="18">
        <v>5</v>
      </c>
      <c r="C12" s="234">
        <f t="shared" si="30"/>
        <v>5</v>
      </c>
      <c r="D12" s="235">
        <f t="shared" si="8"/>
        <v>6</v>
      </c>
      <c r="E12" s="2159" t="str">
        <f t="shared" si="0"/>
        <v xml:space="preserve">attiva trim.  </v>
      </c>
      <c r="F12" s="2160"/>
      <c r="G12" s="237"/>
      <c r="H12" s="237"/>
      <c r="I12" s="828"/>
      <c r="J12" s="829"/>
      <c r="K12" s="237"/>
      <c r="L12" s="828"/>
      <c r="M12" s="829"/>
      <c r="N12" s="237"/>
      <c r="O12" s="828"/>
      <c r="P12" s="829"/>
      <c r="Q12" s="6"/>
      <c r="R12" s="1053">
        <f t="shared" si="9"/>
        <v>0</v>
      </c>
      <c r="S12" s="1054">
        <f t="shared" si="1"/>
        <v>0</v>
      </c>
      <c r="T12" s="1054">
        <f t="shared" si="10"/>
        <v>0</v>
      </c>
      <c r="U12" s="1055">
        <f t="shared" si="11"/>
        <v>0</v>
      </c>
      <c r="V12" s="231">
        <f t="shared" si="31"/>
        <v>45448</v>
      </c>
      <c r="W12" s="1053">
        <f t="shared" si="2"/>
        <v>0</v>
      </c>
      <c r="X12" s="1054">
        <f t="shared" si="3"/>
        <v>0</v>
      </c>
      <c r="Y12" s="1054">
        <f t="shared" si="4"/>
        <v>0</v>
      </c>
      <c r="Z12" s="1055">
        <f t="shared" si="5"/>
        <v>0</v>
      </c>
      <c r="AA12" s="822">
        <f>VLOOKUP(V12,CASSA!$B$114:$C$479,2,FALSE)</f>
        <v>0</v>
      </c>
      <c r="AB12" s="1053">
        <f t="shared" si="12"/>
        <v>0</v>
      </c>
      <c r="AC12" s="1054">
        <f t="shared" si="13"/>
        <v>0</v>
      </c>
      <c r="AD12" s="1054">
        <f t="shared" si="14"/>
        <v>0</v>
      </c>
      <c r="AE12" s="1055">
        <f t="shared" si="15"/>
        <v>0</v>
      </c>
      <c r="AF12" s="2"/>
      <c r="AG12" s="1090">
        <f t="shared" si="16"/>
        <v>0</v>
      </c>
      <c r="AH12" s="1091">
        <f t="shared" si="17"/>
        <v>0</v>
      </c>
      <c r="AI12" s="1054">
        <f t="shared" si="18"/>
        <v>0</v>
      </c>
      <c r="AJ12" s="1054">
        <f t="shared" si="19"/>
        <v>0</v>
      </c>
      <c r="AK12" s="1092">
        <f t="shared" si="6"/>
        <v>0</v>
      </c>
      <c r="AL12" s="2"/>
      <c r="AM12" s="1090">
        <f t="shared" si="7"/>
        <v>0</v>
      </c>
      <c r="AN12" s="1105">
        <f t="shared" si="20"/>
        <v>0</v>
      </c>
      <c r="AO12" s="1054">
        <f t="shared" si="21"/>
        <v>0</v>
      </c>
      <c r="AP12" s="1054">
        <f t="shared" si="22"/>
        <v>0</v>
      </c>
      <c r="AQ12" s="1092">
        <f t="shared" si="23"/>
        <v>0</v>
      </c>
      <c r="AR12" s="2"/>
      <c r="AS12" s="1090">
        <f t="shared" si="24"/>
        <v>0</v>
      </c>
      <c r="AT12" s="1091">
        <f t="shared" si="25"/>
        <v>0</v>
      </c>
      <c r="AU12" s="1054">
        <f t="shared" si="26"/>
        <v>0</v>
      </c>
      <c r="AV12" s="1054">
        <f t="shared" si="27"/>
        <v>0</v>
      </c>
      <c r="AW12" s="1092">
        <f t="shared" si="28"/>
        <v>0</v>
      </c>
      <c r="AX12" s="2"/>
      <c r="AY12" s="1090">
        <f t="shared" si="29"/>
        <v>0</v>
      </c>
      <c r="AZ12" s="1385"/>
      <c r="BA12" s="2"/>
    </row>
    <row r="13" spans="1:53" ht="20.25" customHeight="1" x14ac:dyDescent="0.2">
      <c r="A13" s="2"/>
      <c r="B13" s="18">
        <v>6</v>
      </c>
      <c r="C13" s="234">
        <f t="shared" si="30"/>
        <v>6</v>
      </c>
      <c r="D13" s="235">
        <f t="shared" si="8"/>
        <v>6</v>
      </c>
      <c r="E13" s="2159" t="str">
        <f t="shared" si="0"/>
        <v xml:space="preserve">attiva trim.  </v>
      </c>
      <c r="F13" s="2160"/>
      <c r="G13" s="237"/>
      <c r="H13" s="237"/>
      <c r="I13" s="828"/>
      <c r="J13" s="829"/>
      <c r="K13" s="237"/>
      <c r="L13" s="828"/>
      <c r="M13" s="829"/>
      <c r="N13" s="237"/>
      <c r="O13" s="828"/>
      <c r="P13" s="829"/>
      <c r="Q13" s="6"/>
      <c r="R13" s="1053">
        <f t="shared" si="9"/>
        <v>0</v>
      </c>
      <c r="S13" s="1054">
        <f t="shared" si="1"/>
        <v>0</v>
      </c>
      <c r="T13" s="1054">
        <f t="shared" si="10"/>
        <v>0</v>
      </c>
      <c r="U13" s="1055">
        <f t="shared" si="11"/>
        <v>0</v>
      </c>
      <c r="V13" s="231">
        <f t="shared" si="31"/>
        <v>45449</v>
      </c>
      <c r="W13" s="1053">
        <f t="shared" si="2"/>
        <v>0</v>
      </c>
      <c r="X13" s="1054">
        <f t="shared" si="3"/>
        <v>0</v>
      </c>
      <c r="Y13" s="1054">
        <f t="shared" si="4"/>
        <v>0</v>
      </c>
      <c r="Z13" s="1055">
        <f t="shared" si="5"/>
        <v>0</v>
      </c>
      <c r="AA13" s="822">
        <f>VLOOKUP(V13,CASSA!$B$114:$C$479,2,FALSE)</f>
        <v>0</v>
      </c>
      <c r="AB13" s="1053">
        <f t="shared" si="12"/>
        <v>0</v>
      </c>
      <c r="AC13" s="1054">
        <f t="shared" si="13"/>
        <v>0</v>
      </c>
      <c r="AD13" s="1054">
        <f t="shared" si="14"/>
        <v>0</v>
      </c>
      <c r="AE13" s="1055">
        <f t="shared" si="15"/>
        <v>0</v>
      </c>
      <c r="AF13" s="2"/>
      <c r="AG13" s="1090">
        <f t="shared" si="16"/>
        <v>0</v>
      </c>
      <c r="AH13" s="1091">
        <f t="shared" si="17"/>
        <v>0</v>
      </c>
      <c r="AI13" s="1054">
        <f t="shared" si="18"/>
        <v>0</v>
      </c>
      <c r="AJ13" s="1054">
        <f t="shared" si="19"/>
        <v>0</v>
      </c>
      <c r="AK13" s="1092">
        <f t="shared" si="6"/>
        <v>0</v>
      </c>
      <c r="AL13" s="2"/>
      <c r="AM13" s="1090">
        <f t="shared" si="7"/>
        <v>0</v>
      </c>
      <c r="AN13" s="1105">
        <f t="shared" si="20"/>
        <v>0</v>
      </c>
      <c r="AO13" s="1054">
        <f t="shared" si="21"/>
        <v>0</v>
      </c>
      <c r="AP13" s="1054">
        <f t="shared" si="22"/>
        <v>0</v>
      </c>
      <c r="AQ13" s="1092">
        <f t="shared" si="23"/>
        <v>0</v>
      </c>
      <c r="AR13" s="2"/>
      <c r="AS13" s="1090">
        <f t="shared" si="24"/>
        <v>0</v>
      </c>
      <c r="AT13" s="1091">
        <f t="shared" si="25"/>
        <v>0</v>
      </c>
      <c r="AU13" s="1054">
        <f t="shared" si="26"/>
        <v>0</v>
      </c>
      <c r="AV13" s="1054">
        <f t="shared" si="27"/>
        <v>0</v>
      </c>
      <c r="AW13" s="1092">
        <f t="shared" si="28"/>
        <v>0</v>
      </c>
      <c r="AX13" s="2"/>
      <c r="AY13" s="1090">
        <f t="shared" si="29"/>
        <v>0</v>
      </c>
      <c r="AZ13" s="1385"/>
      <c r="BA13" s="2"/>
    </row>
    <row r="14" spans="1:53" ht="20.25" customHeight="1" x14ac:dyDescent="0.2">
      <c r="A14" s="2"/>
      <c r="B14" s="18">
        <v>7</v>
      </c>
      <c r="C14" s="234">
        <f t="shared" si="30"/>
        <v>7</v>
      </c>
      <c r="D14" s="235">
        <f t="shared" si="8"/>
        <v>6</v>
      </c>
      <c r="E14" s="2159" t="str">
        <f t="shared" si="0"/>
        <v xml:space="preserve">attiva trim.  </v>
      </c>
      <c r="F14" s="2160"/>
      <c r="G14" s="237"/>
      <c r="H14" s="237"/>
      <c r="I14" s="828"/>
      <c r="J14" s="829"/>
      <c r="K14" s="237"/>
      <c r="L14" s="828"/>
      <c r="M14" s="829"/>
      <c r="N14" s="237"/>
      <c r="O14" s="828"/>
      <c r="P14" s="829"/>
      <c r="Q14" s="6"/>
      <c r="R14" s="1053">
        <f t="shared" si="9"/>
        <v>0</v>
      </c>
      <c r="S14" s="1054">
        <f t="shared" si="1"/>
        <v>0</v>
      </c>
      <c r="T14" s="1054">
        <f t="shared" si="10"/>
        <v>0</v>
      </c>
      <c r="U14" s="1055">
        <f t="shared" si="11"/>
        <v>0</v>
      </c>
      <c r="V14" s="231">
        <f t="shared" si="31"/>
        <v>45450</v>
      </c>
      <c r="W14" s="1053">
        <f t="shared" si="2"/>
        <v>0</v>
      </c>
      <c r="X14" s="1054">
        <f t="shared" si="3"/>
        <v>0</v>
      </c>
      <c r="Y14" s="1054">
        <f t="shared" si="4"/>
        <v>0</v>
      </c>
      <c r="Z14" s="1055">
        <f t="shared" si="5"/>
        <v>0</v>
      </c>
      <c r="AA14" s="822">
        <f>VLOOKUP(V14,CASSA!$B$114:$C$479,2,FALSE)</f>
        <v>0</v>
      </c>
      <c r="AB14" s="1053">
        <f t="shared" si="12"/>
        <v>0</v>
      </c>
      <c r="AC14" s="1054">
        <f t="shared" si="13"/>
        <v>0</v>
      </c>
      <c r="AD14" s="1054">
        <f t="shared" si="14"/>
        <v>0</v>
      </c>
      <c r="AE14" s="1055">
        <f t="shared" si="15"/>
        <v>0</v>
      </c>
      <c r="AF14" s="2"/>
      <c r="AG14" s="1090">
        <f t="shared" si="16"/>
        <v>0</v>
      </c>
      <c r="AH14" s="1091">
        <f t="shared" si="17"/>
        <v>0</v>
      </c>
      <c r="AI14" s="1054">
        <f t="shared" si="18"/>
        <v>0</v>
      </c>
      <c r="AJ14" s="1054">
        <f t="shared" si="19"/>
        <v>0</v>
      </c>
      <c r="AK14" s="1092">
        <f t="shared" si="6"/>
        <v>0</v>
      </c>
      <c r="AL14" s="2"/>
      <c r="AM14" s="1090">
        <f t="shared" si="7"/>
        <v>0</v>
      </c>
      <c r="AN14" s="1105">
        <f t="shared" si="20"/>
        <v>0</v>
      </c>
      <c r="AO14" s="1054">
        <f t="shared" si="21"/>
        <v>0</v>
      </c>
      <c r="AP14" s="1054">
        <f t="shared" si="22"/>
        <v>0</v>
      </c>
      <c r="AQ14" s="1092">
        <f t="shared" si="23"/>
        <v>0</v>
      </c>
      <c r="AR14" s="2"/>
      <c r="AS14" s="1090">
        <f t="shared" si="24"/>
        <v>0</v>
      </c>
      <c r="AT14" s="1091">
        <f t="shared" si="25"/>
        <v>0</v>
      </c>
      <c r="AU14" s="1054">
        <f t="shared" si="26"/>
        <v>0</v>
      </c>
      <c r="AV14" s="1054">
        <f t="shared" si="27"/>
        <v>0</v>
      </c>
      <c r="AW14" s="1092">
        <f t="shared" si="28"/>
        <v>0</v>
      </c>
      <c r="AX14" s="2"/>
      <c r="AY14" s="1090">
        <f t="shared" si="29"/>
        <v>0</v>
      </c>
      <c r="AZ14" s="1385"/>
      <c r="BA14" s="2"/>
    </row>
    <row r="15" spans="1:53" ht="20.25" customHeight="1" x14ac:dyDescent="0.2">
      <c r="A15" s="2"/>
      <c r="B15" s="18">
        <v>8</v>
      </c>
      <c r="C15" s="234">
        <f t="shared" si="30"/>
        <v>8</v>
      </c>
      <c r="D15" s="235">
        <f t="shared" si="8"/>
        <v>6</v>
      </c>
      <c r="E15" s="2159" t="str">
        <f t="shared" si="0"/>
        <v xml:space="preserve">attiva trim.  </v>
      </c>
      <c r="F15" s="2160"/>
      <c r="G15" s="237"/>
      <c r="H15" s="237"/>
      <c r="I15" s="828"/>
      <c r="J15" s="829"/>
      <c r="K15" s="237"/>
      <c r="L15" s="828"/>
      <c r="M15" s="829"/>
      <c r="N15" s="237"/>
      <c r="O15" s="828"/>
      <c r="P15" s="829"/>
      <c r="Q15" s="6"/>
      <c r="R15" s="1053">
        <f t="shared" si="9"/>
        <v>0</v>
      </c>
      <c r="S15" s="1054">
        <f t="shared" si="1"/>
        <v>0</v>
      </c>
      <c r="T15" s="1054">
        <f t="shared" si="10"/>
        <v>0</v>
      </c>
      <c r="U15" s="1055">
        <f t="shared" si="11"/>
        <v>0</v>
      </c>
      <c r="V15" s="231">
        <f t="shared" si="31"/>
        <v>45451</v>
      </c>
      <c r="W15" s="1053">
        <f t="shared" si="2"/>
        <v>0</v>
      </c>
      <c r="X15" s="1054">
        <f t="shared" si="3"/>
        <v>0</v>
      </c>
      <c r="Y15" s="1054">
        <f t="shared" si="4"/>
        <v>0</v>
      </c>
      <c r="Z15" s="1055">
        <f t="shared" si="5"/>
        <v>0</v>
      </c>
      <c r="AA15" s="822">
        <f>VLOOKUP(V15,CASSA!$B$114:$C$479,2,FALSE)</f>
        <v>0</v>
      </c>
      <c r="AB15" s="1053">
        <f t="shared" si="12"/>
        <v>0</v>
      </c>
      <c r="AC15" s="1054">
        <f t="shared" si="13"/>
        <v>0</v>
      </c>
      <c r="AD15" s="1054">
        <f t="shared" si="14"/>
        <v>0</v>
      </c>
      <c r="AE15" s="1055">
        <f t="shared" si="15"/>
        <v>0</v>
      </c>
      <c r="AF15" s="2"/>
      <c r="AG15" s="1090">
        <f t="shared" si="16"/>
        <v>0</v>
      </c>
      <c r="AH15" s="1091">
        <f t="shared" si="17"/>
        <v>0</v>
      </c>
      <c r="AI15" s="1054">
        <f t="shared" si="18"/>
        <v>0</v>
      </c>
      <c r="AJ15" s="1054">
        <f t="shared" si="19"/>
        <v>0</v>
      </c>
      <c r="AK15" s="1092">
        <f t="shared" si="6"/>
        <v>0</v>
      </c>
      <c r="AL15" s="2"/>
      <c r="AM15" s="1090">
        <f t="shared" si="7"/>
        <v>0</v>
      </c>
      <c r="AN15" s="1105">
        <f t="shared" si="20"/>
        <v>0</v>
      </c>
      <c r="AO15" s="1054">
        <f t="shared" si="21"/>
        <v>0</v>
      </c>
      <c r="AP15" s="1054">
        <f t="shared" si="22"/>
        <v>0</v>
      </c>
      <c r="AQ15" s="1092">
        <f t="shared" si="23"/>
        <v>0</v>
      </c>
      <c r="AR15" s="2"/>
      <c r="AS15" s="1090">
        <f t="shared" si="24"/>
        <v>0</v>
      </c>
      <c r="AT15" s="1091">
        <f t="shared" si="25"/>
        <v>0</v>
      </c>
      <c r="AU15" s="1054">
        <f t="shared" si="26"/>
        <v>0</v>
      </c>
      <c r="AV15" s="1054">
        <f t="shared" si="27"/>
        <v>0</v>
      </c>
      <c r="AW15" s="1092">
        <f t="shared" si="28"/>
        <v>0</v>
      </c>
      <c r="AX15" s="2"/>
      <c r="AY15" s="1090">
        <f t="shared" si="29"/>
        <v>0</v>
      </c>
      <c r="AZ15" s="1385"/>
      <c r="BA15" s="2"/>
    </row>
    <row r="16" spans="1:53" ht="20.25" customHeight="1" x14ac:dyDescent="0.2">
      <c r="A16" s="2"/>
      <c r="B16" s="18">
        <v>9</v>
      </c>
      <c r="C16" s="234">
        <f t="shared" si="30"/>
        <v>9</v>
      </c>
      <c r="D16" s="235">
        <f t="shared" si="8"/>
        <v>6</v>
      </c>
      <c r="E16" s="2159" t="str">
        <f t="shared" si="0"/>
        <v xml:space="preserve">attiva trim.  </v>
      </c>
      <c r="F16" s="2160"/>
      <c r="G16" s="237"/>
      <c r="H16" s="237"/>
      <c r="I16" s="828"/>
      <c r="J16" s="829"/>
      <c r="K16" s="237"/>
      <c r="L16" s="828"/>
      <c r="M16" s="829"/>
      <c r="N16" s="237"/>
      <c r="O16" s="828"/>
      <c r="P16" s="829"/>
      <c r="Q16" s="6"/>
      <c r="R16" s="1053">
        <f t="shared" si="9"/>
        <v>0</v>
      </c>
      <c r="S16" s="1054">
        <f t="shared" si="1"/>
        <v>0</v>
      </c>
      <c r="T16" s="1054">
        <f t="shared" si="10"/>
        <v>0</v>
      </c>
      <c r="U16" s="1055">
        <f t="shared" si="11"/>
        <v>0</v>
      </c>
      <c r="V16" s="231">
        <f t="shared" si="31"/>
        <v>45452</v>
      </c>
      <c r="W16" s="1053">
        <f t="shared" si="2"/>
        <v>0</v>
      </c>
      <c r="X16" s="1054">
        <f t="shared" si="3"/>
        <v>0</v>
      </c>
      <c r="Y16" s="1054">
        <f t="shared" si="4"/>
        <v>0</v>
      </c>
      <c r="Z16" s="1055">
        <f t="shared" si="5"/>
        <v>0</v>
      </c>
      <c r="AA16" s="822">
        <f>VLOOKUP(V16,CASSA!$B$114:$C$479,2,FALSE)</f>
        <v>0</v>
      </c>
      <c r="AB16" s="1053">
        <f t="shared" si="12"/>
        <v>0</v>
      </c>
      <c r="AC16" s="1054">
        <f t="shared" si="13"/>
        <v>0</v>
      </c>
      <c r="AD16" s="1054">
        <f t="shared" si="14"/>
        <v>0</v>
      </c>
      <c r="AE16" s="1055">
        <f t="shared" si="15"/>
        <v>0</v>
      </c>
      <c r="AF16" s="2"/>
      <c r="AG16" s="1090">
        <f t="shared" si="16"/>
        <v>0</v>
      </c>
      <c r="AH16" s="1091">
        <f t="shared" si="17"/>
        <v>0</v>
      </c>
      <c r="AI16" s="1054">
        <f t="shared" si="18"/>
        <v>0</v>
      </c>
      <c r="AJ16" s="1054">
        <f t="shared" si="19"/>
        <v>0</v>
      </c>
      <c r="AK16" s="1092">
        <f t="shared" si="6"/>
        <v>0</v>
      </c>
      <c r="AL16" s="2"/>
      <c r="AM16" s="1090">
        <f t="shared" si="7"/>
        <v>0</v>
      </c>
      <c r="AN16" s="1105">
        <f t="shared" si="20"/>
        <v>0</v>
      </c>
      <c r="AO16" s="1054">
        <f t="shared" si="21"/>
        <v>0</v>
      </c>
      <c r="AP16" s="1054">
        <f t="shared" si="22"/>
        <v>0</v>
      </c>
      <c r="AQ16" s="1092">
        <f t="shared" si="23"/>
        <v>0</v>
      </c>
      <c r="AR16" s="2"/>
      <c r="AS16" s="1090">
        <f t="shared" si="24"/>
        <v>0</v>
      </c>
      <c r="AT16" s="1091">
        <f t="shared" si="25"/>
        <v>0</v>
      </c>
      <c r="AU16" s="1054">
        <f t="shared" si="26"/>
        <v>0</v>
      </c>
      <c r="AV16" s="1054">
        <f t="shared" si="27"/>
        <v>0</v>
      </c>
      <c r="AW16" s="1092">
        <f t="shared" si="28"/>
        <v>0</v>
      </c>
      <c r="AX16" s="2"/>
      <c r="AY16" s="1090">
        <f t="shared" si="29"/>
        <v>0</v>
      </c>
      <c r="AZ16" s="1385"/>
      <c r="BA16" s="2"/>
    </row>
    <row r="17" spans="1:53" ht="20.25" customHeight="1" x14ac:dyDescent="0.2">
      <c r="A17" s="2"/>
      <c r="B17" s="18">
        <v>10</v>
      </c>
      <c r="C17" s="234">
        <f t="shared" si="30"/>
        <v>10</v>
      </c>
      <c r="D17" s="235">
        <f t="shared" si="8"/>
        <v>6</v>
      </c>
      <c r="E17" s="2159" t="str">
        <f t="shared" si="0"/>
        <v xml:space="preserve">attiva trim.  </v>
      </c>
      <c r="F17" s="2160"/>
      <c r="G17" s="237"/>
      <c r="H17" s="237"/>
      <c r="I17" s="828"/>
      <c r="J17" s="829"/>
      <c r="K17" s="237"/>
      <c r="L17" s="828"/>
      <c r="M17" s="829"/>
      <c r="N17" s="237"/>
      <c r="O17" s="828"/>
      <c r="P17" s="829"/>
      <c r="Q17" s="6"/>
      <c r="R17" s="1053">
        <f t="shared" si="9"/>
        <v>0</v>
      </c>
      <c r="S17" s="1054">
        <f t="shared" si="1"/>
        <v>0</v>
      </c>
      <c r="T17" s="1054">
        <f t="shared" si="10"/>
        <v>0</v>
      </c>
      <c r="U17" s="1055">
        <f t="shared" si="11"/>
        <v>0</v>
      </c>
      <c r="V17" s="231">
        <f t="shared" si="31"/>
        <v>45453</v>
      </c>
      <c r="W17" s="1053">
        <f t="shared" si="2"/>
        <v>0</v>
      </c>
      <c r="X17" s="1054">
        <f t="shared" si="3"/>
        <v>0</v>
      </c>
      <c r="Y17" s="1054">
        <f t="shared" si="4"/>
        <v>0</v>
      </c>
      <c r="Z17" s="1055">
        <f t="shared" si="5"/>
        <v>0</v>
      </c>
      <c r="AA17" s="822">
        <f>VLOOKUP(V17,CASSA!$B$114:$C$479,2,FALSE)</f>
        <v>0</v>
      </c>
      <c r="AB17" s="1053">
        <f t="shared" si="12"/>
        <v>0</v>
      </c>
      <c r="AC17" s="1054">
        <f t="shared" si="13"/>
        <v>0</v>
      </c>
      <c r="AD17" s="1054">
        <f t="shared" si="14"/>
        <v>0</v>
      </c>
      <c r="AE17" s="1055">
        <f t="shared" si="15"/>
        <v>0</v>
      </c>
      <c r="AF17" s="2"/>
      <c r="AG17" s="1090">
        <f t="shared" si="16"/>
        <v>0</v>
      </c>
      <c r="AH17" s="1091">
        <f t="shared" si="17"/>
        <v>0</v>
      </c>
      <c r="AI17" s="1054">
        <f t="shared" si="18"/>
        <v>0</v>
      </c>
      <c r="AJ17" s="1054">
        <f t="shared" si="19"/>
        <v>0</v>
      </c>
      <c r="AK17" s="1092">
        <f t="shared" si="6"/>
        <v>0</v>
      </c>
      <c r="AL17" s="2"/>
      <c r="AM17" s="1090">
        <f t="shared" si="7"/>
        <v>0</v>
      </c>
      <c r="AN17" s="1105">
        <f t="shared" si="20"/>
        <v>0</v>
      </c>
      <c r="AO17" s="1054">
        <f t="shared" si="21"/>
        <v>0</v>
      </c>
      <c r="AP17" s="1054">
        <f t="shared" si="22"/>
        <v>0</v>
      </c>
      <c r="AQ17" s="1092">
        <f t="shared" si="23"/>
        <v>0</v>
      </c>
      <c r="AR17" s="2"/>
      <c r="AS17" s="1090">
        <f t="shared" si="24"/>
        <v>0</v>
      </c>
      <c r="AT17" s="1091">
        <f t="shared" si="25"/>
        <v>0</v>
      </c>
      <c r="AU17" s="1054">
        <f t="shared" si="26"/>
        <v>0</v>
      </c>
      <c r="AV17" s="1054">
        <f t="shared" si="27"/>
        <v>0</v>
      </c>
      <c r="AW17" s="1092">
        <f t="shared" si="28"/>
        <v>0</v>
      </c>
      <c r="AX17" s="2"/>
      <c r="AY17" s="1090">
        <f t="shared" si="29"/>
        <v>0</v>
      </c>
      <c r="AZ17" s="1385"/>
      <c r="BA17" s="2"/>
    </row>
    <row r="18" spans="1:53" ht="20.25" customHeight="1" x14ac:dyDescent="0.2">
      <c r="A18" s="2"/>
      <c r="B18" s="18">
        <v>11</v>
      </c>
      <c r="C18" s="234">
        <f t="shared" si="30"/>
        <v>11</v>
      </c>
      <c r="D18" s="235">
        <f t="shared" si="8"/>
        <v>6</v>
      </c>
      <c r="E18" s="2159" t="str">
        <f t="shared" si="0"/>
        <v xml:space="preserve">attiva trim.  </v>
      </c>
      <c r="F18" s="2160"/>
      <c r="G18" s="237"/>
      <c r="H18" s="237"/>
      <c r="I18" s="828"/>
      <c r="J18" s="829"/>
      <c r="K18" s="237"/>
      <c r="L18" s="828"/>
      <c r="M18" s="829"/>
      <c r="N18" s="237"/>
      <c r="O18" s="828"/>
      <c r="P18" s="829"/>
      <c r="Q18" s="6"/>
      <c r="R18" s="1053">
        <f t="shared" si="9"/>
        <v>0</v>
      </c>
      <c r="S18" s="1054">
        <f t="shared" si="1"/>
        <v>0</v>
      </c>
      <c r="T18" s="1054">
        <f t="shared" si="10"/>
        <v>0</v>
      </c>
      <c r="U18" s="1055">
        <f t="shared" si="11"/>
        <v>0</v>
      </c>
      <c r="V18" s="231">
        <f t="shared" si="31"/>
        <v>45454</v>
      </c>
      <c r="W18" s="1053">
        <f t="shared" si="2"/>
        <v>0</v>
      </c>
      <c r="X18" s="1054">
        <f t="shared" si="3"/>
        <v>0</v>
      </c>
      <c r="Y18" s="1054">
        <f t="shared" si="4"/>
        <v>0</v>
      </c>
      <c r="Z18" s="1055">
        <f t="shared" si="5"/>
        <v>0</v>
      </c>
      <c r="AA18" s="822">
        <f>VLOOKUP(V18,CASSA!$B$114:$C$479,2,FALSE)</f>
        <v>0</v>
      </c>
      <c r="AB18" s="1053">
        <f t="shared" si="12"/>
        <v>0</v>
      </c>
      <c r="AC18" s="1054">
        <f t="shared" si="13"/>
        <v>0</v>
      </c>
      <c r="AD18" s="1054">
        <f t="shared" si="14"/>
        <v>0</v>
      </c>
      <c r="AE18" s="1055">
        <f t="shared" si="15"/>
        <v>0</v>
      </c>
      <c r="AF18" s="2"/>
      <c r="AG18" s="1090">
        <f t="shared" si="16"/>
        <v>0</v>
      </c>
      <c r="AH18" s="1091">
        <f t="shared" si="17"/>
        <v>0</v>
      </c>
      <c r="AI18" s="1054">
        <f t="shared" si="18"/>
        <v>0</v>
      </c>
      <c r="AJ18" s="1054">
        <f t="shared" si="19"/>
        <v>0</v>
      </c>
      <c r="AK18" s="1092">
        <f t="shared" si="6"/>
        <v>0</v>
      </c>
      <c r="AL18" s="2"/>
      <c r="AM18" s="1090">
        <f t="shared" si="7"/>
        <v>0</v>
      </c>
      <c r="AN18" s="1105">
        <f t="shared" si="20"/>
        <v>0</v>
      </c>
      <c r="AO18" s="1054">
        <f t="shared" si="21"/>
        <v>0</v>
      </c>
      <c r="AP18" s="1054">
        <f t="shared" si="22"/>
        <v>0</v>
      </c>
      <c r="AQ18" s="1092">
        <f t="shared" si="23"/>
        <v>0</v>
      </c>
      <c r="AR18" s="2"/>
      <c r="AS18" s="1090">
        <f t="shared" si="24"/>
        <v>0</v>
      </c>
      <c r="AT18" s="1091">
        <f t="shared" si="25"/>
        <v>0</v>
      </c>
      <c r="AU18" s="1054">
        <f t="shared" si="26"/>
        <v>0</v>
      </c>
      <c r="AV18" s="1054">
        <f t="shared" si="27"/>
        <v>0</v>
      </c>
      <c r="AW18" s="1092">
        <f t="shared" si="28"/>
        <v>0</v>
      </c>
      <c r="AX18" s="2"/>
      <c r="AY18" s="1090">
        <f t="shared" si="29"/>
        <v>0</v>
      </c>
      <c r="AZ18" s="1385"/>
      <c r="BA18" s="2"/>
    </row>
    <row r="19" spans="1:53" ht="20.25" customHeight="1" x14ac:dyDescent="0.2">
      <c r="A19" s="2"/>
      <c r="B19" s="18">
        <v>12</v>
      </c>
      <c r="C19" s="234">
        <f t="shared" si="30"/>
        <v>12</v>
      </c>
      <c r="D19" s="235">
        <f t="shared" si="8"/>
        <v>6</v>
      </c>
      <c r="E19" s="2159" t="str">
        <f t="shared" si="0"/>
        <v xml:space="preserve">attiva trim.  </v>
      </c>
      <c r="F19" s="2160"/>
      <c r="G19" s="237"/>
      <c r="H19" s="237"/>
      <c r="I19" s="828"/>
      <c r="J19" s="829"/>
      <c r="K19" s="237"/>
      <c r="L19" s="828"/>
      <c r="M19" s="829"/>
      <c r="N19" s="237"/>
      <c r="O19" s="828"/>
      <c r="P19" s="829"/>
      <c r="Q19" s="6"/>
      <c r="R19" s="1053">
        <f t="shared" si="9"/>
        <v>0</v>
      </c>
      <c r="S19" s="1054">
        <f t="shared" si="1"/>
        <v>0</v>
      </c>
      <c r="T19" s="1054">
        <f t="shared" si="10"/>
        <v>0</v>
      </c>
      <c r="U19" s="1055">
        <f t="shared" si="11"/>
        <v>0</v>
      </c>
      <c r="V19" s="231">
        <f t="shared" si="31"/>
        <v>45455</v>
      </c>
      <c r="W19" s="1053">
        <f t="shared" si="2"/>
        <v>0</v>
      </c>
      <c r="X19" s="1054">
        <f t="shared" si="3"/>
        <v>0</v>
      </c>
      <c r="Y19" s="1054">
        <f t="shared" si="4"/>
        <v>0</v>
      </c>
      <c r="Z19" s="1055">
        <f t="shared" si="5"/>
        <v>0</v>
      </c>
      <c r="AA19" s="822">
        <f>VLOOKUP(V19,CASSA!$B$114:$C$479,2,FALSE)</f>
        <v>0</v>
      </c>
      <c r="AB19" s="1053">
        <f t="shared" si="12"/>
        <v>0</v>
      </c>
      <c r="AC19" s="1054">
        <f t="shared" si="13"/>
        <v>0</v>
      </c>
      <c r="AD19" s="1054">
        <f t="shared" si="14"/>
        <v>0</v>
      </c>
      <c r="AE19" s="1055">
        <f t="shared" si="15"/>
        <v>0</v>
      </c>
      <c r="AF19" s="2"/>
      <c r="AG19" s="1090">
        <f t="shared" si="16"/>
        <v>0</v>
      </c>
      <c r="AH19" s="1091">
        <f t="shared" si="17"/>
        <v>0</v>
      </c>
      <c r="AI19" s="1054">
        <f t="shared" si="18"/>
        <v>0</v>
      </c>
      <c r="AJ19" s="1054">
        <f t="shared" si="19"/>
        <v>0</v>
      </c>
      <c r="AK19" s="1092">
        <f t="shared" si="6"/>
        <v>0</v>
      </c>
      <c r="AL19" s="2"/>
      <c r="AM19" s="1090">
        <f t="shared" si="7"/>
        <v>0</v>
      </c>
      <c r="AN19" s="1105">
        <f t="shared" si="20"/>
        <v>0</v>
      </c>
      <c r="AO19" s="1054">
        <f t="shared" si="21"/>
        <v>0</v>
      </c>
      <c r="AP19" s="1054">
        <f t="shared" si="22"/>
        <v>0</v>
      </c>
      <c r="AQ19" s="1092">
        <f t="shared" si="23"/>
        <v>0</v>
      </c>
      <c r="AR19" s="2"/>
      <c r="AS19" s="1090">
        <f t="shared" si="24"/>
        <v>0</v>
      </c>
      <c r="AT19" s="1091">
        <f t="shared" si="25"/>
        <v>0</v>
      </c>
      <c r="AU19" s="1054">
        <f t="shared" si="26"/>
        <v>0</v>
      </c>
      <c r="AV19" s="1054">
        <f t="shared" si="27"/>
        <v>0</v>
      </c>
      <c r="AW19" s="1092">
        <f t="shared" si="28"/>
        <v>0</v>
      </c>
      <c r="AX19" s="2"/>
      <c r="AY19" s="1090">
        <f t="shared" si="29"/>
        <v>0</v>
      </c>
      <c r="AZ19" s="1385"/>
      <c r="BA19" s="2"/>
    </row>
    <row r="20" spans="1:53" ht="20.25" customHeight="1" x14ac:dyDescent="0.2">
      <c r="A20" s="2"/>
      <c r="B20" s="18">
        <v>13</v>
      </c>
      <c r="C20" s="234">
        <f t="shared" si="30"/>
        <v>13</v>
      </c>
      <c r="D20" s="235">
        <f t="shared" si="8"/>
        <v>6</v>
      </c>
      <c r="E20" s="2159" t="str">
        <f t="shared" si="0"/>
        <v xml:space="preserve">attiva trim.  </v>
      </c>
      <c r="F20" s="2160"/>
      <c r="G20" s="237"/>
      <c r="H20" s="237"/>
      <c r="I20" s="828"/>
      <c r="J20" s="829"/>
      <c r="K20" s="237"/>
      <c r="L20" s="828"/>
      <c r="M20" s="829"/>
      <c r="N20" s="237"/>
      <c r="O20" s="828"/>
      <c r="P20" s="829"/>
      <c r="Q20" s="6"/>
      <c r="R20" s="1053">
        <f t="shared" si="9"/>
        <v>0</v>
      </c>
      <c r="S20" s="1054">
        <f t="shared" si="1"/>
        <v>0</v>
      </c>
      <c r="T20" s="1054">
        <f t="shared" si="10"/>
        <v>0</v>
      </c>
      <c r="U20" s="1055">
        <f t="shared" si="11"/>
        <v>0</v>
      </c>
      <c r="V20" s="231">
        <f t="shared" si="31"/>
        <v>45456</v>
      </c>
      <c r="W20" s="1053">
        <f t="shared" si="2"/>
        <v>0</v>
      </c>
      <c r="X20" s="1054">
        <f t="shared" si="3"/>
        <v>0</v>
      </c>
      <c r="Y20" s="1054">
        <f t="shared" si="4"/>
        <v>0</v>
      </c>
      <c r="Z20" s="1055">
        <f t="shared" si="5"/>
        <v>0</v>
      </c>
      <c r="AA20" s="822">
        <f>VLOOKUP(V20,CASSA!$B$114:$C$479,2,FALSE)</f>
        <v>0</v>
      </c>
      <c r="AB20" s="1053">
        <f t="shared" si="12"/>
        <v>0</v>
      </c>
      <c r="AC20" s="1054">
        <f t="shared" si="13"/>
        <v>0</v>
      </c>
      <c r="AD20" s="1054">
        <f t="shared" si="14"/>
        <v>0</v>
      </c>
      <c r="AE20" s="1055">
        <f t="shared" si="15"/>
        <v>0</v>
      </c>
      <c r="AF20" s="2"/>
      <c r="AG20" s="1090">
        <f t="shared" si="16"/>
        <v>0</v>
      </c>
      <c r="AH20" s="1091">
        <f t="shared" si="17"/>
        <v>0</v>
      </c>
      <c r="AI20" s="1054">
        <f t="shared" si="18"/>
        <v>0</v>
      </c>
      <c r="AJ20" s="1054">
        <f t="shared" si="19"/>
        <v>0</v>
      </c>
      <c r="AK20" s="1092">
        <f t="shared" si="6"/>
        <v>0</v>
      </c>
      <c r="AL20" s="2"/>
      <c r="AM20" s="1090">
        <f t="shared" si="7"/>
        <v>0</v>
      </c>
      <c r="AN20" s="1105">
        <f t="shared" si="20"/>
        <v>0</v>
      </c>
      <c r="AO20" s="1054">
        <f t="shared" si="21"/>
        <v>0</v>
      </c>
      <c r="AP20" s="1054">
        <f t="shared" si="22"/>
        <v>0</v>
      </c>
      <c r="AQ20" s="1092">
        <f t="shared" si="23"/>
        <v>0</v>
      </c>
      <c r="AR20" s="2"/>
      <c r="AS20" s="1090">
        <f t="shared" si="24"/>
        <v>0</v>
      </c>
      <c r="AT20" s="1091">
        <f t="shared" si="25"/>
        <v>0</v>
      </c>
      <c r="AU20" s="1054">
        <f t="shared" si="26"/>
        <v>0</v>
      </c>
      <c r="AV20" s="1054">
        <f t="shared" si="27"/>
        <v>0</v>
      </c>
      <c r="AW20" s="1092">
        <f t="shared" si="28"/>
        <v>0</v>
      </c>
      <c r="AX20" s="2"/>
      <c r="AY20" s="1090">
        <f t="shared" si="29"/>
        <v>0</v>
      </c>
      <c r="AZ20" s="1385"/>
      <c r="BA20" s="2"/>
    </row>
    <row r="21" spans="1:53" ht="20.25" customHeight="1" x14ac:dyDescent="0.2">
      <c r="A21" s="2"/>
      <c r="B21" s="18">
        <v>14</v>
      </c>
      <c r="C21" s="234">
        <f t="shared" si="30"/>
        <v>14</v>
      </c>
      <c r="D21" s="235">
        <f t="shared" si="8"/>
        <v>6</v>
      </c>
      <c r="E21" s="2159" t="str">
        <f t="shared" si="0"/>
        <v xml:space="preserve">attiva trim.  </v>
      </c>
      <c r="F21" s="2160"/>
      <c r="G21" s="237"/>
      <c r="H21" s="237"/>
      <c r="I21" s="828"/>
      <c r="J21" s="829"/>
      <c r="K21" s="237"/>
      <c r="L21" s="828"/>
      <c r="M21" s="829"/>
      <c r="N21" s="237"/>
      <c r="O21" s="828"/>
      <c r="P21" s="829"/>
      <c r="Q21" s="6"/>
      <c r="R21" s="1053">
        <f t="shared" si="9"/>
        <v>0</v>
      </c>
      <c r="S21" s="1054">
        <f t="shared" si="1"/>
        <v>0</v>
      </c>
      <c r="T21" s="1054">
        <f t="shared" si="10"/>
        <v>0</v>
      </c>
      <c r="U21" s="1055">
        <f t="shared" si="11"/>
        <v>0</v>
      </c>
      <c r="V21" s="231">
        <f t="shared" si="31"/>
        <v>45457</v>
      </c>
      <c r="W21" s="1053">
        <f t="shared" si="2"/>
        <v>0</v>
      </c>
      <c r="X21" s="1054">
        <f t="shared" si="3"/>
        <v>0</v>
      </c>
      <c r="Y21" s="1054">
        <f t="shared" si="4"/>
        <v>0</v>
      </c>
      <c r="Z21" s="1055">
        <f t="shared" si="5"/>
        <v>0</v>
      </c>
      <c r="AA21" s="822">
        <f>VLOOKUP(V21,CASSA!$B$114:$C$479,2,FALSE)</f>
        <v>0</v>
      </c>
      <c r="AB21" s="1053">
        <f t="shared" si="12"/>
        <v>0</v>
      </c>
      <c r="AC21" s="1054">
        <f t="shared" si="13"/>
        <v>0</v>
      </c>
      <c r="AD21" s="1054">
        <f t="shared" si="14"/>
        <v>0</v>
      </c>
      <c r="AE21" s="1055">
        <f t="shared" si="15"/>
        <v>0</v>
      </c>
      <c r="AF21" s="2"/>
      <c r="AG21" s="1090">
        <f t="shared" si="16"/>
        <v>0</v>
      </c>
      <c r="AH21" s="1091">
        <f t="shared" si="17"/>
        <v>0</v>
      </c>
      <c r="AI21" s="1054">
        <f t="shared" si="18"/>
        <v>0</v>
      </c>
      <c r="AJ21" s="1054">
        <f t="shared" si="19"/>
        <v>0</v>
      </c>
      <c r="AK21" s="1092">
        <f t="shared" si="6"/>
        <v>0</v>
      </c>
      <c r="AL21" s="2"/>
      <c r="AM21" s="1090">
        <f t="shared" si="7"/>
        <v>0</v>
      </c>
      <c r="AN21" s="1105">
        <f t="shared" si="20"/>
        <v>0</v>
      </c>
      <c r="AO21" s="1054">
        <f t="shared" si="21"/>
        <v>0</v>
      </c>
      <c r="AP21" s="1054">
        <f t="shared" si="22"/>
        <v>0</v>
      </c>
      <c r="AQ21" s="1092">
        <f t="shared" si="23"/>
        <v>0</v>
      </c>
      <c r="AR21" s="2"/>
      <c r="AS21" s="1090">
        <f t="shared" si="24"/>
        <v>0</v>
      </c>
      <c r="AT21" s="1091">
        <f t="shared" si="25"/>
        <v>0</v>
      </c>
      <c r="AU21" s="1054">
        <f t="shared" si="26"/>
        <v>0</v>
      </c>
      <c r="AV21" s="1054">
        <f t="shared" si="27"/>
        <v>0</v>
      </c>
      <c r="AW21" s="1092">
        <f t="shared" si="28"/>
        <v>0</v>
      </c>
      <c r="AX21" s="2"/>
      <c r="AY21" s="1090">
        <f t="shared" si="29"/>
        <v>0</v>
      </c>
      <c r="AZ21" s="1385"/>
      <c r="BA21" s="2"/>
    </row>
    <row r="22" spans="1:53" ht="20.25" customHeight="1" x14ac:dyDescent="0.2">
      <c r="A22" s="2"/>
      <c r="B22" s="18">
        <v>15</v>
      </c>
      <c r="C22" s="234">
        <f t="shared" si="30"/>
        <v>15</v>
      </c>
      <c r="D22" s="235">
        <f t="shared" si="8"/>
        <v>6</v>
      </c>
      <c r="E22" s="2159" t="str">
        <f t="shared" si="0"/>
        <v xml:space="preserve">attiva trim.  </v>
      </c>
      <c r="F22" s="2160"/>
      <c r="G22" s="237"/>
      <c r="H22" s="237"/>
      <c r="I22" s="828"/>
      <c r="J22" s="829"/>
      <c r="K22" s="237"/>
      <c r="L22" s="828"/>
      <c r="M22" s="829"/>
      <c r="N22" s="237"/>
      <c r="O22" s="828"/>
      <c r="P22" s="829"/>
      <c r="Q22" s="6"/>
      <c r="R22" s="1053">
        <f t="shared" si="9"/>
        <v>0</v>
      </c>
      <c r="S22" s="1054">
        <f t="shared" si="1"/>
        <v>0</v>
      </c>
      <c r="T22" s="1054">
        <f t="shared" si="10"/>
        <v>0</v>
      </c>
      <c r="U22" s="1055">
        <f t="shared" si="11"/>
        <v>0</v>
      </c>
      <c r="V22" s="231">
        <f t="shared" si="31"/>
        <v>45458</v>
      </c>
      <c r="W22" s="1053">
        <f t="shared" si="2"/>
        <v>0</v>
      </c>
      <c r="X22" s="1054">
        <f t="shared" si="3"/>
        <v>0</v>
      </c>
      <c r="Y22" s="1054">
        <f t="shared" si="4"/>
        <v>0</v>
      </c>
      <c r="Z22" s="1055">
        <f t="shared" si="5"/>
        <v>0</v>
      </c>
      <c r="AA22" s="822">
        <f>VLOOKUP(V22,CASSA!$B$114:$C$479,2,FALSE)</f>
        <v>0</v>
      </c>
      <c r="AB22" s="1053">
        <f t="shared" si="12"/>
        <v>0</v>
      </c>
      <c r="AC22" s="1054">
        <f t="shared" si="13"/>
        <v>0</v>
      </c>
      <c r="AD22" s="1054">
        <f t="shared" si="14"/>
        <v>0</v>
      </c>
      <c r="AE22" s="1055">
        <f t="shared" si="15"/>
        <v>0</v>
      </c>
      <c r="AF22" s="2"/>
      <c r="AG22" s="1090">
        <f t="shared" si="16"/>
        <v>0</v>
      </c>
      <c r="AH22" s="1091">
        <f t="shared" si="17"/>
        <v>0</v>
      </c>
      <c r="AI22" s="1054">
        <f t="shared" si="18"/>
        <v>0</v>
      </c>
      <c r="AJ22" s="1054">
        <f t="shared" si="19"/>
        <v>0</v>
      </c>
      <c r="AK22" s="1092">
        <f t="shared" si="6"/>
        <v>0</v>
      </c>
      <c r="AL22" s="2"/>
      <c r="AM22" s="1090">
        <f t="shared" si="7"/>
        <v>0</v>
      </c>
      <c r="AN22" s="1105">
        <f t="shared" si="20"/>
        <v>0</v>
      </c>
      <c r="AO22" s="1054">
        <f t="shared" si="21"/>
        <v>0</v>
      </c>
      <c r="AP22" s="1054">
        <f t="shared" si="22"/>
        <v>0</v>
      </c>
      <c r="AQ22" s="1092">
        <f t="shared" si="23"/>
        <v>0</v>
      </c>
      <c r="AR22" s="2"/>
      <c r="AS22" s="1090">
        <f t="shared" si="24"/>
        <v>0</v>
      </c>
      <c r="AT22" s="1091">
        <f t="shared" si="25"/>
        <v>0</v>
      </c>
      <c r="AU22" s="1054">
        <f t="shared" si="26"/>
        <v>0</v>
      </c>
      <c r="AV22" s="1054">
        <f t="shared" si="27"/>
        <v>0</v>
      </c>
      <c r="AW22" s="1092">
        <f t="shared" si="28"/>
        <v>0</v>
      </c>
      <c r="AX22" s="2"/>
      <c r="AY22" s="1090">
        <f t="shared" si="29"/>
        <v>0</v>
      </c>
      <c r="AZ22" s="1385"/>
      <c r="BA22" s="2"/>
    </row>
    <row r="23" spans="1:53" ht="20.25" customHeight="1" x14ac:dyDescent="0.2">
      <c r="A23" s="2"/>
      <c r="B23" s="18">
        <v>16</v>
      </c>
      <c r="C23" s="234">
        <f t="shared" si="30"/>
        <v>16</v>
      </c>
      <c r="D23" s="235">
        <f t="shared" si="8"/>
        <v>6</v>
      </c>
      <c r="E23" s="2159" t="str">
        <f t="shared" si="0"/>
        <v xml:space="preserve">attiva trim.  </v>
      </c>
      <c r="F23" s="2160"/>
      <c r="G23" s="237"/>
      <c r="H23" s="237"/>
      <c r="I23" s="828"/>
      <c r="J23" s="829"/>
      <c r="K23" s="237"/>
      <c r="L23" s="828"/>
      <c r="M23" s="829"/>
      <c r="N23" s="237"/>
      <c r="O23" s="828"/>
      <c r="P23" s="829"/>
      <c r="Q23" s="6"/>
      <c r="R23" s="1053">
        <f t="shared" si="9"/>
        <v>0</v>
      </c>
      <c r="S23" s="1054">
        <f t="shared" si="1"/>
        <v>0</v>
      </c>
      <c r="T23" s="1054">
        <f t="shared" si="10"/>
        <v>0</v>
      </c>
      <c r="U23" s="1055">
        <f t="shared" si="11"/>
        <v>0</v>
      </c>
      <c r="V23" s="231">
        <f t="shared" si="31"/>
        <v>45459</v>
      </c>
      <c r="W23" s="1053">
        <f t="shared" si="2"/>
        <v>0</v>
      </c>
      <c r="X23" s="1054">
        <f t="shared" si="3"/>
        <v>0</v>
      </c>
      <c r="Y23" s="1054">
        <f t="shared" si="4"/>
        <v>0</v>
      </c>
      <c r="Z23" s="1055">
        <f t="shared" si="5"/>
        <v>0</v>
      </c>
      <c r="AA23" s="822">
        <f>VLOOKUP(V23,CASSA!$B$114:$C$479,2,FALSE)</f>
        <v>0</v>
      </c>
      <c r="AB23" s="1053">
        <f t="shared" si="12"/>
        <v>0</v>
      </c>
      <c r="AC23" s="1054">
        <f t="shared" si="13"/>
        <v>0</v>
      </c>
      <c r="AD23" s="1054">
        <f t="shared" si="14"/>
        <v>0</v>
      </c>
      <c r="AE23" s="1055">
        <f t="shared" si="15"/>
        <v>0</v>
      </c>
      <c r="AF23" s="2"/>
      <c r="AG23" s="1090">
        <f t="shared" si="16"/>
        <v>0</v>
      </c>
      <c r="AH23" s="1091">
        <f t="shared" si="17"/>
        <v>0</v>
      </c>
      <c r="AI23" s="1054">
        <f t="shared" si="18"/>
        <v>0</v>
      </c>
      <c r="AJ23" s="1054">
        <f t="shared" si="19"/>
        <v>0</v>
      </c>
      <c r="AK23" s="1092">
        <f t="shared" si="6"/>
        <v>0</v>
      </c>
      <c r="AL23" s="2"/>
      <c r="AM23" s="1090">
        <f t="shared" si="7"/>
        <v>0</v>
      </c>
      <c r="AN23" s="1105">
        <f t="shared" si="20"/>
        <v>0</v>
      </c>
      <c r="AO23" s="1054">
        <f t="shared" si="21"/>
        <v>0</v>
      </c>
      <c r="AP23" s="1054">
        <f t="shared" si="22"/>
        <v>0</v>
      </c>
      <c r="AQ23" s="1092">
        <f t="shared" si="23"/>
        <v>0</v>
      </c>
      <c r="AR23" s="2"/>
      <c r="AS23" s="1090">
        <f t="shared" si="24"/>
        <v>0</v>
      </c>
      <c r="AT23" s="1091">
        <f t="shared" si="25"/>
        <v>0</v>
      </c>
      <c r="AU23" s="1054">
        <f t="shared" si="26"/>
        <v>0</v>
      </c>
      <c r="AV23" s="1054">
        <f t="shared" si="27"/>
        <v>0</v>
      </c>
      <c r="AW23" s="1092">
        <f t="shared" si="28"/>
        <v>0</v>
      </c>
      <c r="AX23" s="2"/>
      <c r="AY23" s="1090">
        <f t="shared" si="29"/>
        <v>0</v>
      </c>
      <c r="AZ23" s="1385"/>
      <c r="BA23" s="2"/>
    </row>
    <row r="24" spans="1:53" ht="20.25" customHeight="1" x14ac:dyDescent="0.2">
      <c r="A24" s="2"/>
      <c r="B24" s="18">
        <v>17</v>
      </c>
      <c r="C24" s="234">
        <f t="shared" si="30"/>
        <v>17</v>
      </c>
      <c r="D24" s="235">
        <f t="shared" si="8"/>
        <v>6</v>
      </c>
      <c r="E24" s="2159" t="str">
        <f t="shared" si="0"/>
        <v xml:space="preserve">attiva trim.  </v>
      </c>
      <c r="F24" s="2160"/>
      <c r="G24" s="237"/>
      <c r="H24" s="237"/>
      <c r="I24" s="828"/>
      <c r="J24" s="829"/>
      <c r="K24" s="237"/>
      <c r="L24" s="828"/>
      <c r="M24" s="829"/>
      <c r="N24" s="237"/>
      <c r="O24" s="828"/>
      <c r="P24" s="829"/>
      <c r="Q24" s="6"/>
      <c r="R24" s="1053">
        <f t="shared" si="9"/>
        <v>0</v>
      </c>
      <c r="S24" s="1054">
        <f t="shared" si="1"/>
        <v>0</v>
      </c>
      <c r="T24" s="1054">
        <f t="shared" si="10"/>
        <v>0</v>
      </c>
      <c r="U24" s="1055">
        <f t="shared" si="11"/>
        <v>0</v>
      </c>
      <c r="V24" s="231">
        <f t="shared" si="31"/>
        <v>45460</v>
      </c>
      <c r="W24" s="1053">
        <f t="shared" si="2"/>
        <v>0</v>
      </c>
      <c r="X24" s="1054">
        <f t="shared" si="3"/>
        <v>0</v>
      </c>
      <c r="Y24" s="1054">
        <f t="shared" si="4"/>
        <v>0</v>
      </c>
      <c r="Z24" s="1055">
        <f t="shared" si="5"/>
        <v>0</v>
      </c>
      <c r="AA24" s="822">
        <f>VLOOKUP(V24,CASSA!$B$114:$C$479,2,FALSE)</f>
        <v>0</v>
      </c>
      <c r="AB24" s="1053">
        <f t="shared" si="12"/>
        <v>0</v>
      </c>
      <c r="AC24" s="1054">
        <f t="shared" si="13"/>
        <v>0</v>
      </c>
      <c r="AD24" s="1054">
        <f t="shared" si="14"/>
        <v>0</v>
      </c>
      <c r="AE24" s="1055">
        <f t="shared" si="15"/>
        <v>0</v>
      </c>
      <c r="AF24" s="2"/>
      <c r="AG24" s="1090">
        <f t="shared" si="16"/>
        <v>0</v>
      </c>
      <c r="AH24" s="1091">
        <f t="shared" si="17"/>
        <v>0</v>
      </c>
      <c r="AI24" s="1054">
        <f t="shared" si="18"/>
        <v>0</v>
      </c>
      <c r="AJ24" s="1054">
        <f t="shared" si="19"/>
        <v>0</v>
      </c>
      <c r="AK24" s="1092">
        <f t="shared" si="6"/>
        <v>0</v>
      </c>
      <c r="AL24" s="2"/>
      <c r="AM24" s="1090">
        <f t="shared" si="7"/>
        <v>0</v>
      </c>
      <c r="AN24" s="1105">
        <f t="shared" si="20"/>
        <v>0</v>
      </c>
      <c r="AO24" s="1054">
        <f t="shared" si="21"/>
        <v>0</v>
      </c>
      <c r="AP24" s="1054">
        <f t="shared" si="22"/>
        <v>0</v>
      </c>
      <c r="AQ24" s="1092">
        <f t="shared" si="23"/>
        <v>0</v>
      </c>
      <c r="AR24" s="2"/>
      <c r="AS24" s="1090">
        <f t="shared" si="24"/>
        <v>0</v>
      </c>
      <c r="AT24" s="1091">
        <f t="shared" si="25"/>
        <v>0</v>
      </c>
      <c r="AU24" s="1054">
        <f t="shared" si="26"/>
        <v>0</v>
      </c>
      <c r="AV24" s="1054">
        <f t="shared" si="27"/>
        <v>0</v>
      </c>
      <c r="AW24" s="1092">
        <f t="shared" si="28"/>
        <v>0</v>
      </c>
      <c r="AX24" s="2"/>
      <c r="AY24" s="1090">
        <f t="shared" si="29"/>
        <v>0</v>
      </c>
      <c r="AZ24" s="1385"/>
      <c r="BA24" s="2"/>
    </row>
    <row r="25" spans="1:53" ht="20.25" customHeight="1" x14ac:dyDescent="0.2">
      <c r="A25" s="2"/>
      <c r="B25" s="18">
        <v>18</v>
      </c>
      <c r="C25" s="234">
        <f t="shared" si="30"/>
        <v>18</v>
      </c>
      <c r="D25" s="235">
        <f t="shared" si="8"/>
        <v>6</v>
      </c>
      <c r="E25" s="2159" t="str">
        <f t="shared" si="0"/>
        <v xml:space="preserve">attiva trim.  </v>
      </c>
      <c r="F25" s="2160"/>
      <c r="G25" s="237"/>
      <c r="H25" s="237"/>
      <c r="I25" s="828"/>
      <c r="J25" s="829"/>
      <c r="K25" s="237"/>
      <c r="L25" s="828"/>
      <c r="M25" s="829"/>
      <c r="N25" s="237"/>
      <c r="O25" s="828"/>
      <c r="P25" s="829"/>
      <c r="Q25" s="6"/>
      <c r="R25" s="1053">
        <f t="shared" si="9"/>
        <v>0</v>
      </c>
      <c r="S25" s="1054">
        <f t="shared" si="1"/>
        <v>0</v>
      </c>
      <c r="T25" s="1054">
        <f t="shared" si="10"/>
        <v>0</v>
      </c>
      <c r="U25" s="1055">
        <f t="shared" si="11"/>
        <v>0</v>
      </c>
      <c r="V25" s="231">
        <f t="shared" si="31"/>
        <v>45461</v>
      </c>
      <c r="W25" s="1053">
        <f t="shared" si="2"/>
        <v>0</v>
      </c>
      <c r="X25" s="1054">
        <f t="shared" si="3"/>
        <v>0</v>
      </c>
      <c r="Y25" s="1054">
        <f t="shared" si="4"/>
        <v>0</v>
      </c>
      <c r="Z25" s="1055">
        <f t="shared" si="5"/>
        <v>0</v>
      </c>
      <c r="AA25" s="822">
        <f>VLOOKUP(V25,CASSA!$B$114:$C$479,2,FALSE)</f>
        <v>0</v>
      </c>
      <c r="AB25" s="1053">
        <f t="shared" si="12"/>
        <v>0</v>
      </c>
      <c r="AC25" s="1054">
        <f t="shared" si="13"/>
        <v>0</v>
      </c>
      <c r="AD25" s="1054">
        <f t="shared" si="14"/>
        <v>0</v>
      </c>
      <c r="AE25" s="1055">
        <f t="shared" si="15"/>
        <v>0</v>
      </c>
      <c r="AF25" s="2"/>
      <c r="AG25" s="1090">
        <f t="shared" si="16"/>
        <v>0</v>
      </c>
      <c r="AH25" s="1091">
        <f t="shared" si="17"/>
        <v>0</v>
      </c>
      <c r="AI25" s="1054">
        <f t="shared" si="18"/>
        <v>0</v>
      </c>
      <c r="AJ25" s="1054">
        <f t="shared" si="19"/>
        <v>0</v>
      </c>
      <c r="AK25" s="1092">
        <f t="shared" si="6"/>
        <v>0</v>
      </c>
      <c r="AL25" s="2"/>
      <c r="AM25" s="1090">
        <f t="shared" si="7"/>
        <v>0</v>
      </c>
      <c r="AN25" s="1105">
        <f t="shared" si="20"/>
        <v>0</v>
      </c>
      <c r="AO25" s="1054">
        <f t="shared" si="21"/>
        <v>0</v>
      </c>
      <c r="AP25" s="1054">
        <f t="shared" si="22"/>
        <v>0</v>
      </c>
      <c r="AQ25" s="1092">
        <f t="shared" si="23"/>
        <v>0</v>
      </c>
      <c r="AR25" s="2"/>
      <c r="AS25" s="1090">
        <f t="shared" si="24"/>
        <v>0</v>
      </c>
      <c r="AT25" s="1091">
        <f t="shared" si="25"/>
        <v>0</v>
      </c>
      <c r="AU25" s="1054">
        <f t="shared" si="26"/>
        <v>0</v>
      </c>
      <c r="AV25" s="1054">
        <f t="shared" si="27"/>
        <v>0</v>
      </c>
      <c r="AW25" s="1092">
        <f t="shared" si="28"/>
        <v>0</v>
      </c>
      <c r="AX25" s="2"/>
      <c r="AY25" s="1090">
        <f t="shared" si="29"/>
        <v>0</v>
      </c>
      <c r="AZ25" s="1385"/>
      <c r="BA25" s="2"/>
    </row>
    <row r="26" spans="1:53" ht="20.25" customHeight="1" x14ac:dyDescent="0.2">
      <c r="A26" s="2"/>
      <c r="B26" s="18">
        <v>19</v>
      </c>
      <c r="C26" s="234">
        <f t="shared" si="30"/>
        <v>19</v>
      </c>
      <c r="D26" s="235">
        <f t="shared" si="8"/>
        <v>6</v>
      </c>
      <c r="E26" s="2159" t="str">
        <f t="shared" si="0"/>
        <v xml:space="preserve">attiva trim.  </v>
      </c>
      <c r="F26" s="2160"/>
      <c r="G26" s="237"/>
      <c r="H26" s="237"/>
      <c r="I26" s="828"/>
      <c r="J26" s="829"/>
      <c r="K26" s="237"/>
      <c r="L26" s="828"/>
      <c r="M26" s="829"/>
      <c r="N26" s="237"/>
      <c r="O26" s="828"/>
      <c r="P26" s="829"/>
      <c r="Q26" s="6"/>
      <c r="R26" s="1053">
        <f t="shared" si="9"/>
        <v>0</v>
      </c>
      <c r="S26" s="1054">
        <f t="shared" si="1"/>
        <v>0</v>
      </c>
      <c r="T26" s="1054">
        <f t="shared" si="10"/>
        <v>0</v>
      </c>
      <c r="U26" s="1055">
        <f t="shared" si="11"/>
        <v>0</v>
      </c>
      <c r="V26" s="231">
        <f t="shared" si="31"/>
        <v>45462</v>
      </c>
      <c r="W26" s="1053">
        <f t="shared" si="2"/>
        <v>0</v>
      </c>
      <c r="X26" s="1054">
        <f t="shared" si="3"/>
        <v>0</v>
      </c>
      <c r="Y26" s="1054">
        <f t="shared" si="4"/>
        <v>0</v>
      </c>
      <c r="Z26" s="1055">
        <f t="shared" si="5"/>
        <v>0</v>
      </c>
      <c r="AA26" s="822">
        <f>VLOOKUP(V26,CASSA!$B$114:$C$479,2,FALSE)</f>
        <v>0</v>
      </c>
      <c r="AB26" s="1053">
        <f t="shared" si="12"/>
        <v>0</v>
      </c>
      <c r="AC26" s="1054">
        <f t="shared" si="13"/>
        <v>0</v>
      </c>
      <c r="AD26" s="1054">
        <f t="shared" si="14"/>
        <v>0</v>
      </c>
      <c r="AE26" s="1055">
        <f t="shared" si="15"/>
        <v>0</v>
      </c>
      <c r="AF26" s="2"/>
      <c r="AG26" s="1090">
        <f t="shared" si="16"/>
        <v>0</v>
      </c>
      <c r="AH26" s="1091">
        <f t="shared" si="17"/>
        <v>0</v>
      </c>
      <c r="AI26" s="1054">
        <f t="shared" si="18"/>
        <v>0</v>
      </c>
      <c r="AJ26" s="1054">
        <f t="shared" si="19"/>
        <v>0</v>
      </c>
      <c r="AK26" s="1092">
        <f t="shared" si="6"/>
        <v>0</v>
      </c>
      <c r="AL26" s="2"/>
      <c r="AM26" s="1090">
        <f t="shared" si="7"/>
        <v>0</v>
      </c>
      <c r="AN26" s="1105">
        <f t="shared" si="20"/>
        <v>0</v>
      </c>
      <c r="AO26" s="1054">
        <f t="shared" si="21"/>
        <v>0</v>
      </c>
      <c r="AP26" s="1054">
        <f t="shared" si="22"/>
        <v>0</v>
      </c>
      <c r="AQ26" s="1092">
        <f t="shared" si="23"/>
        <v>0</v>
      </c>
      <c r="AR26" s="2"/>
      <c r="AS26" s="1090">
        <f t="shared" si="24"/>
        <v>0</v>
      </c>
      <c r="AT26" s="1091">
        <f t="shared" si="25"/>
        <v>0</v>
      </c>
      <c r="AU26" s="1054">
        <f t="shared" si="26"/>
        <v>0</v>
      </c>
      <c r="AV26" s="1054">
        <f t="shared" si="27"/>
        <v>0</v>
      </c>
      <c r="AW26" s="1092">
        <f t="shared" si="28"/>
        <v>0</v>
      </c>
      <c r="AX26" s="2"/>
      <c r="AY26" s="1090">
        <f t="shared" si="29"/>
        <v>0</v>
      </c>
      <c r="AZ26" s="1385"/>
      <c r="BA26" s="2"/>
    </row>
    <row r="27" spans="1:53" ht="20.25" customHeight="1" x14ac:dyDescent="0.2">
      <c r="A27" s="2"/>
      <c r="B27" s="18">
        <v>20</v>
      </c>
      <c r="C27" s="234">
        <f t="shared" si="30"/>
        <v>20</v>
      </c>
      <c r="D27" s="235">
        <f t="shared" si="8"/>
        <v>6</v>
      </c>
      <c r="E27" s="2159" t="str">
        <f t="shared" si="0"/>
        <v xml:space="preserve">attiva trim.  </v>
      </c>
      <c r="F27" s="2160"/>
      <c r="G27" s="237"/>
      <c r="H27" s="237"/>
      <c r="I27" s="828"/>
      <c r="J27" s="829"/>
      <c r="K27" s="237"/>
      <c r="L27" s="828"/>
      <c r="M27" s="829"/>
      <c r="N27" s="237"/>
      <c r="O27" s="828"/>
      <c r="P27" s="829"/>
      <c r="Q27" s="6"/>
      <c r="R27" s="1053">
        <f t="shared" si="9"/>
        <v>0</v>
      </c>
      <c r="S27" s="1054">
        <f t="shared" si="1"/>
        <v>0</v>
      </c>
      <c r="T27" s="1054">
        <f t="shared" si="10"/>
        <v>0</v>
      </c>
      <c r="U27" s="1055">
        <f t="shared" si="11"/>
        <v>0</v>
      </c>
      <c r="V27" s="231">
        <f t="shared" si="31"/>
        <v>45463</v>
      </c>
      <c r="W27" s="1053">
        <f t="shared" si="2"/>
        <v>0</v>
      </c>
      <c r="X27" s="1054">
        <f t="shared" si="3"/>
        <v>0</v>
      </c>
      <c r="Y27" s="1054">
        <f t="shared" si="4"/>
        <v>0</v>
      </c>
      <c r="Z27" s="1055">
        <f t="shared" si="5"/>
        <v>0</v>
      </c>
      <c r="AA27" s="822">
        <f>VLOOKUP(V27,CASSA!$B$114:$C$479,2,FALSE)</f>
        <v>0</v>
      </c>
      <c r="AB27" s="1053">
        <f t="shared" si="12"/>
        <v>0</v>
      </c>
      <c r="AC27" s="1054">
        <f t="shared" si="13"/>
        <v>0</v>
      </c>
      <c r="AD27" s="1054">
        <f t="shared" si="14"/>
        <v>0</v>
      </c>
      <c r="AE27" s="1055">
        <f t="shared" si="15"/>
        <v>0</v>
      </c>
      <c r="AF27" s="2"/>
      <c r="AG27" s="1090">
        <f t="shared" si="16"/>
        <v>0</v>
      </c>
      <c r="AH27" s="1091">
        <f t="shared" si="17"/>
        <v>0</v>
      </c>
      <c r="AI27" s="1054">
        <f t="shared" si="18"/>
        <v>0</v>
      </c>
      <c r="AJ27" s="1054">
        <f t="shared" si="19"/>
        <v>0</v>
      </c>
      <c r="AK27" s="1092">
        <f t="shared" si="6"/>
        <v>0</v>
      </c>
      <c r="AL27" s="2"/>
      <c r="AM27" s="1090">
        <f t="shared" si="7"/>
        <v>0</v>
      </c>
      <c r="AN27" s="1105">
        <f t="shared" si="20"/>
        <v>0</v>
      </c>
      <c r="AO27" s="1054">
        <f t="shared" si="21"/>
        <v>0</v>
      </c>
      <c r="AP27" s="1054">
        <f t="shared" si="22"/>
        <v>0</v>
      </c>
      <c r="AQ27" s="1092">
        <f t="shared" si="23"/>
        <v>0</v>
      </c>
      <c r="AR27" s="2"/>
      <c r="AS27" s="1090">
        <f t="shared" si="24"/>
        <v>0</v>
      </c>
      <c r="AT27" s="1091">
        <f t="shared" si="25"/>
        <v>0</v>
      </c>
      <c r="AU27" s="1054">
        <f t="shared" si="26"/>
        <v>0</v>
      </c>
      <c r="AV27" s="1054">
        <f t="shared" si="27"/>
        <v>0</v>
      </c>
      <c r="AW27" s="1092">
        <f t="shared" si="28"/>
        <v>0</v>
      </c>
      <c r="AX27" s="2"/>
      <c r="AY27" s="1090">
        <f t="shared" si="29"/>
        <v>0</v>
      </c>
      <c r="AZ27" s="1385"/>
      <c r="BA27" s="2"/>
    </row>
    <row r="28" spans="1:53" ht="20.25" customHeight="1" x14ac:dyDescent="0.2">
      <c r="A28" s="2"/>
      <c r="B28" s="18">
        <v>21</v>
      </c>
      <c r="C28" s="234">
        <f t="shared" si="30"/>
        <v>21</v>
      </c>
      <c r="D28" s="235">
        <f t="shared" si="8"/>
        <v>6</v>
      </c>
      <c r="E28" s="2159" t="str">
        <f t="shared" si="0"/>
        <v xml:space="preserve">attiva trim.  </v>
      </c>
      <c r="F28" s="2160"/>
      <c r="G28" s="237"/>
      <c r="H28" s="237"/>
      <c r="I28" s="828"/>
      <c r="J28" s="829"/>
      <c r="K28" s="237"/>
      <c r="L28" s="828"/>
      <c r="M28" s="829"/>
      <c r="N28" s="237"/>
      <c r="O28" s="828"/>
      <c r="P28" s="829"/>
      <c r="Q28" s="6"/>
      <c r="R28" s="1053">
        <f t="shared" si="9"/>
        <v>0</v>
      </c>
      <c r="S28" s="1054">
        <f t="shared" si="1"/>
        <v>0</v>
      </c>
      <c r="T28" s="1054">
        <f t="shared" si="10"/>
        <v>0</v>
      </c>
      <c r="U28" s="1055">
        <f t="shared" si="11"/>
        <v>0</v>
      </c>
      <c r="V28" s="231">
        <f t="shared" si="31"/>
        <v>45464</v>
      </c>
      <c r="W28" s="1053">
        <f t="shared" si="2"/>
        <v>0</v>
      </c>
      <c r="X28" s="1054">
        <f t="shared" si="3"/>
        <v>0</v>
      </c>
      <c r="Y28" s="1054">
        <f t="shared" si="4"/>
        <v>0</v>
      </c>
      <c r="Z28" s="1055">
        <f t="shared" si="5"/>
        <v>0</v>
      </c>
      <c r="AA28" s="822">
        <f>VLOOKUP(V28,CASSA!$B$114:$C$479,2,FALSE)</f>
        <v>0</v>
      </c>
      <c r="AB28" s="1053">
        <f t="shared" si="12"/>
        <v>0</v>
      </c>
      <c r="AC28" s="1054">
        <f t="shared" si="13"/>
        <v>0</v>
      </c>
      <c r="AD28" s="1054">
        <f t="shared" si="14"/>
        <v>0</v>
      </c>
      <c r="AE28" s="1055">
        <f t="shared" si="15"/>
        <v>0</v>
      </c>
      <c r="AF28" s="2"/>
      <c r="AG28" s="1090">
        <f t="shared" si="16"/>
        <v>0</v>
      </c>
      <c r="AH28" s="1091">
        <f t="shared" si="17"/>
        <v>0</v>
      </c>
      <c r="AI28" s="1054">
        <f t="shared" si="18"/>
        <v>0</v>
      </c>
      <c r="AJ28" s="1054">
        <f t="shared" si="19"/>
        <v>0</v>
      </c>
      <c r="AK28" s="1092">
        <f t="shared" si="6"/>
        <v>0</v>
      </c>
      <c r="AL28" s="2"/>
      <c r="AM28" s="1090">
        <f t="shared" si="7"/>
        <v>0</v>
      </c>
      <c r="AN28" s="1105">
        <f t="shared" si="20"/>
        <v>0</v>
      </c>
      <c r="AO28" s="1054">
        <f t="shared" si="21"/>
        <v>0</v>
      </c>
      <c r="AP28" s="1054">
        <f t="shared" si="22"/>
        <v>0</v>
      </c>
      <c r="AQ28" s="1092">
        <f t="shared" si="23"/>
        <v>0</v>
      </c>
      <c r="AR28" s="2"/>
      <c r="AS28" s="1090">
        <f t="shared" si="24"/>
        <v>0</v>
      </c>
      <c r="AT28" s="1091">
        <f t="shared" si="25"/>
        <v>0</v>
      </c>
      <c r="AU28" s="1054">
        <f t="shared" si="26"/>
        <v>0</v>
      </c>
      <c r="AV28" s="1054">
        <f t="shared" si="27"/>
        <v>0</v>
      </c>
      <c r="AW28" s="1092">
        <f t="shared" si="28"/>
        <v>0</v>
      </c>
      <c r="AX28" s="2"/>
      <c r="AY28" s="1090">
        <f t="shared" si="29"/>
        <v>0</v>
      </c>
      <c r="AZ28" s="1385"/>
      <c r="BA28" s="2"/>
    </row>
    <row r="29" spans="1:53" ht="20.25" customHeight="1" x14ac:dyDescent="0.2">
      <c r="A29" s="2"/>
      <c r="B29" s="18">
        <v>22</v>
      </c>
      <c r="C29" s="234">
        <f t="shared" si="30"/>
        <v>22</v>
      </c>
      <c r="D29" s="235">
        <f t="shared" si="8"/>
        <v>6</v>
      </c>
      <c r="E29" s="2159" t="str">
        <f t="shared" si="0"/>
        <v xml:space="preserve">attiva trim.  </v>
      </c>
      <c r="F29" s="2160"/>
      <c r="G29" s="237"/>
      <c r="H29" s="237"/>
      <c r="I29" s="828"/>
      <c r="J29" s="829"/>
      <c r="K29" s="237"/>
      <c r="L29" s="828"/>
      <c r="M29" s="829"/>
      <c r="N29" s="237"/>
      <c r="O29" s="828"/>
      <c r="P29" s="829"/>
      <c r="Q29" s="6"/>
      <c r="R29" s="1053">
        <f t="shared" si="9"/>
        <v>0</v>
      </c>
      <c r="S29" s="1054">
        <f t="shared" si="1"/>
        <v>0</v>
      </c>
      <c r="T29" s="1054">
        <f t="shared" si="10"/>
        <v>0</v>
      </c>
      <c r="U29" s="1055">
        <f t="shared" si="11"/>
        <v>0</v>
      </c>
      <c r="V29" s="231">
        <f t="shared" si="31"/>
        <v>45465</v>
      </c>
      <c r="W29" s="1053">
        <f t="shared" si="2"/>
        <v>0</v>
      </c>
      <c r="X29" s="1054">
        <f t="shared" si="3"/>
        <v>0</v>
      </c>
      <c r="Y29" s="1054">
        <f t="shared" si="4"/>
        <v>0</v>
      </c>
      <c r="Z29" s="1055">
        <f t="shared" si="5"/>
        <v>0</v>
      </c>
      <c r="AA29" s="822">
        <f>VLOOKUP(V29,CASSA!$B$114:$C$479,2,FALSE)</f>
        <v>0</v>
      </c>
      <c r="AB29" s="1053">
        <f t="shared" si="12"/>
        <v>0</v>
      </c>
      <c r="AC29" s="1054">
        <f t="shared" si="13"/>
        <v>0</v>
      </c>
      <c r="AD29" s="1054">
        <f t="shared" si="14"/>
        <v>0</v>
      </c>
      <c r="AE29" s="1055">
        <f t="shared" si="15"/>
        <v>0</v>
      </c>
      <c r="AF29" s="2"/>
      <c r="AG29" s="1090">
        <f t="shared" si="16"/>
        <v>0</v>
      </c>
      <c r="AH29" s="1091">
        <f t="shared" si="17"/>
        <v>0</v>
      </c>
      <c r="AI29" s="1054">
        <f t="shared" si="18"/>
        <v>0</v>
      </c>
      <c r="AJ29" s="1054">
        <f t="shared" si="19"/>
        <v>0</v>
      </c>
      <c r="AK29" s="1092">
        <f t="shared" si="6"/>
        <v>0</v>
      </c>
      <c r="AL29" s="2"/>
      <c r="AM29" s="1090">
        <f t="shared" si="7"/>
        <v>0</v>
      </c>
      <c r="AN29" s="1105">
        <f t="shared" si="20"/>
        <v>0</v>
      </c>
      <c r="AO29" s="1054">
        <f t="shared" si="21"/>
        <v>0</v>
      </c>
      <c r="AP29" s="1054">
        <f t="shared" si="22"/>
        <v>0</v>
      </c>
      <c r="AQ29" s="1092">
        <f t="shared" si="23"/>
        <v>0</v>
      </c>
      <c r="AR29" s="2"/>
      <c r="AS29" s="1090">
        <f t="shared" si="24"/>
        <v>0</v>
      </c>
      <c r="AT29" s="1091">
        <f t="shared" si="25"/>
        <v>0</v>
      </c>
      <c r="AU29" s="1054">
        <f t="shared" si="26"/>
        <v>0</v>
      </c>
      <c r="AV29" s="1054">
        <f t="shared" si="27"/>
        <v>0</v>
      </c>
      <c r="AW29" s="1092">
        <f t="shared" si="28"/>
        <v>0</v>
      </c>
      <c r="AX29" s="2"/>
      <c r="AY29" s="1090">
        <f t="shared" si="29"/>
        <v>0</v>
      </c>
      <c r="AZ29" s="1385"/>
      <c r="BA29" s="2"/>
    </row>
    <row r="30" spans="1:53" ht="20.25" customHeight="1" x14ac:dyDescent="0.2">
      <c r="A30" s="2"/>
      <c r="B30" s="18">
        <v>23</v>
      </c>
      <c r="C30" s="234">
        <f t="shared" si="30"/>
        <v>23</v>
      </c>
      <c r="D30" s="235">
        <f t="shared" si="8"/>
        <v>6</v>
      </c>
      <c r="E30" s="2159" t="str">
        <f t="shared" si="0"/>
        <v xml:space="preserve">attiva trim.  </v>
      </c>
      <c r="F30" s="2160"/>
      <c r="G30" s="237"/>
      <c r="H30" s="237"/>
      <c r="I30" s="828"/>
      <c r="J30" s="829"/>
      <c r="K30" s="237"/>
      <c r="L30" s="828"/>
      <c r="M30" s="829"/>
      <c r="N30" s="237"/>
      <c r="O30" s="828"/>
      <c r="P30" s="829"/>
      <c r="Q30" s="6"/>
      <c r="R30" s="1053">
        <f t="shared" si="9"/>
        <v>0</v>
      </c>
      <c r="S30" s="1054">
        <f t="shared" si="1"/>
        <v>0</v>
      </c>
      <c r="T30" s="1054">
        <f t="shared" si="10"/>
        <v>0</v>
      </c>
      <c r="U30" s="1055">
        <f t="shared" si="11"/>
        <v>0</v>
      </c>
      <c r="V30" s="231">
        <f t="shared" si="31"/>
        <v>45466</v>
      </c>
      <c r="W30" s="1053">
        <f t="shared" si="2"/>
        <v>0</v>
      </c>
      <c r="X30" s="1054">
        <f t="shared" si="3"/>
        <v>0</v>
      </c>
      <c r="Y30" s="1054">
        <f t="shared" si="4"/>
        <v>0</v>
      </c>
      <c r="Z30" s="1055">
        <f t="shared" si="5"/>
        <v>0</v>
      </c>
      <c r="AA30" s="822">
        <f>VLOOKUP(V30,CASSA!$B$114:$C$479,2,FALSE)</f>
        <v>0</v>
      </c>
      <c r="AB30" s="1053">
        <f t="shared" si="12"/>
        <v>0</v>
      </c>
      <c r="AC30" s="1054">
        <f t="shared" si="13"/>
        <v>0</v>
      </c>
      <c r="AD30" s="1054">
        <f t="shared" si="14"/>
        <v>0</v>
      </c>
      <c r="AE30" s="1055">
        <f t="shared" si="15"/>
        <v>0</v>
      </c>
      <c r="AF30" s="2"/>
      <c r="AG30" s="1090">
        <f t="shared" si="16"/>
        <v>0</v>
      </c>
      <c r="AH30" s="1091">
        <f t="shared" si="17"/>
        <v>0</v>
      </c>
      <c r="AI30" s="1054">
        <f t="shared" si="18"/>
        <v>0</v>
      </c>
      <c r="AJ30" s="1054">
        <f t="shared" si="19"/>
        <v>0</v>
      </c>
      <c r="AK30" s="1092">
        <f t="shared" si="6"/>
        <v>0</v>
      </c>
      <c r="AL30" s="2"/>
      <c r="AM30" s="1090">
        <f t="shared" si="7"/>
        <v>0</v>
      </c>
      <c r="AN30" s="1105">
        <f t="shared" si="20"/>
        <v>0</v>
      </c>
      <c r="AO30" s="1054">
        <f t="shared" si="21"/>
        <v>0</v>
      </c>
      <c r="AP30" s="1054">
        <f t="shared" si="22"/>
        <v>0</v>
      </c>
      <c r="AQ30" s="1092">
        <f t="shared" si="23"/>
        <v>0</v>
      </c>
      <c r="AR30" s="2"/>
      <c r="AS30" s="1090">
        <f t="shared" si="24"/>
        <v>0</v>
      </c>
      <c r="AT30" s="1091">
        <f t="shared" si="25"/>
        <v>0</v>
      </c>
      <c r="AU30" s="1054">
        <f t="shared" si="26"/>
        <v>0</v>
      </c>
      <c r="AV30" s="1054">
        <f t="shared" si="27"/>
        <v>0</v>
      </c>
      <c r="AW30" s="1092">
        <f t="shared" si="28"/>
        <v>0</v>
      </c>
      <c r="AX30" s="2"/>
      <c r="AY30" s="1090">
        <f t="shared" si="29"/>
        <v>0</v>
      </c>
      <c r="AZ30" s="1385"/>
      <c r="BA30" s="2"/>
    </row>
    <row r="31" spans="1:53" ht="20.25" customHeight="1" x14ac:dyDescent="0.2">
      <c r="A31" s="2"/>
      <c r="B31" s="18">
        <v>24</v>
      </c>
      <c r="C31" s="234">
        <f t="shared" si="30"/>
        <v>24</v>
      </c>
      <c r="D31" s="235">
        <f t="shared" si="8"/>
        <v>6</v>
      </c>
      <c r="E31" s="2159" t="str">
        <f t="shared" si="0"/>
        <v xml:space="preserve">attiva trim.  </v>
      </c>
      <c r="F31" s="2160"/>
      <c r="G31" s="237"/>
      <c r="H31" s="237"/>
      <c r="I31" s="828"/>
      <c r="J31" s="829"/>
      <c r="K31" s="237"/>
      <c r="L31" s="828"/>
      <c r="M31" s="829"/>
      <c r="N31" s="237"/>
      <c r="O31" s="828"/>
      <c r="P31" s="829"/>
      <c r="Q31" s="6"/>
      <c r="R31" s="1053">
        <f t="shared" si="9"/>
        <v>0</v>
      </c>
      <c r="S31" s="1054">
        <f t="shared" si="1"/>
        <v>0</v>
      </c>
      <c r="T31" s="1054">
        <f t="shared" si="10"/>
        <v>0</v>
      </c>
      <c r="U31" s="1055">
        <f t="shared" si="11"/>
        <v>0</v>
      </c>
      <c r="V31" s="231">
        <f t="shared" si="31"/>
        <v>45467</v>
      </c>
      <c r="W31" s="1053">
        <f t="shared" si="2"/>
        <v>0</v>
      </c>
      <c r="X31" s="1054">
        <f t="shared" si="3"/>
        <v>0</v>
      </c>
      <c r="Y31" s="1054">
        <f t="shared" si="4"/>
        <v>0</v>
      </c>
      <c r="Z31" s="1055">
        <f t="shared" si="5"/>
        <v>0</v>
      </c>
      <c r="AA31" s="822">
        <f>VLOOKUP(V31,CASSA!$B$114:$C$479,2,FALSE)</f>
        <v>0</v>
      </c>
      <c r="AB31" s="1053">
        <f t="shared" si="12"/>
        <v>0</v>
      </c>
      <c r="AC31" s="1054">
        <f t="shared" si="13"/>
        <v>0</v>
      </c>
      <c r="AD31" s="1054">
        <f t="shared" si="14"/>
        <v>0</v>
      </c>
      <c r="AE31" s="1055">
        <f t="shared" si="15"/>
        <v>0</v>
      </c>
      <c r="AF31" s="2"/>
      <c r="AG31" s="1090">
        <f t="shared" si="16"/>
        <v>0</v>
      </c>
      <c r="AH31" s="1091">
        <f t="shared" si="17"/>
        <v>0</v>
      </c>
      <c r="AI31" s="1054">
        <f t="shared" si="18"/>
        <v>0</v>
      </c>
      <c r="AJ31" s="1054">
        <f t="shared" si="19"/>
        <v>0</v>
      </c>
      <c r="AK31" s="1092">
        <f t="shared" si="6"/>
        <v>0</v>
      </c>
      <c r="AL31" s="2"/>
      <c r="AM31" s="1090">
        <f t="shared" si="7"/>
        <v>0</v>
      </c>
      <c r="AN31" s="1105">
        <f t="shared" si="20"/>
        <v>0</v>
      </c>
      <c r="AO31" s="1054">
        <f t="shared" si="21"/>
        <v>0</v>
      </c>
      <c r="AP31" s="1054">
        <f t="shared" si="22"/>
        <v>0</v>
      </c>
      <c r="AQ31" s="1092">
        <f t="shared" si="23"/>
        <v>0</v>
      </c>
      <c r="AR31" s="2"/>
      <c r="AS31" s="1090">
        <f t="shared" si="24"/>
        <v>0</v>
      </c>
      <c r="AT31" s="1091">
        <f t="shared" si="25"/>
        <v>0</v>
      </c>
      <c r="AU31" s="1054">
        <f t="shared" si="26"/>
        <v>0</v>
      </c>
      <c r="AV31" s="1054">
        <f t="shared" si="27"/>
        <v>0</v>
      </c>
      <c r="AW31" s="1092">
        <f t="shared" si="28"/>
        <v>0</v>
      </c>
      <c r="AX31" s="2"/>
      <c r="AY31" s="1090">
        <f t="shared" si="29"/>
        <v>0</v>
      </c>
      <c r="AZ31" s="1385"/>
      <c r="BA31" s="2"/>
    </row>
    <row r="32" spans="1:53" ht="20.25" customHeight="1" x14ac:dyDescent="0.2">
      <c r="A32" s="2"/>
      <c r="B32" s="18">
        <v>25</v>
      </c>
      <c r="C32" s="234">
        <f t="shared" si="30"/>
        <v>25</v>
      </c>
      <c r="D32" s="235">
        <f t="shared" si="8"/>
        <v>6</v>
      </c>
      <c r="E32" s="2159" t="str">
        <f t="shared" si="0"/>
        <v xml:space="preserve">attiva trim.  </v>
      </c>
      <c r="F32" s="2160"/>
      <c r="G32" s="237"/>
      <c r="H32" s="237"/>
      <c r="I32" s="828"/>
      <c r="J32" s="829"/>
      <c r="K32" s="237"/>
      <c r="L32" s="828"/>
      <c r="M32" s="829"/>
      <c r="N32" s="237"/>
      <c r="O32" s="828"/>
      <c r="P32" s="829"/>
      <c r="Q32" s="6"/>
      <c r="R32" s="1053">
        <f t="shared" si="9"/>
        <v>0</v>
      </c>
      <c r="S32" s="1054">
        <f t="shared" si="1"/>
        <v>0</v>
      </c>
      <c r="T32" s="1054">
        <f t="shared" si="10"/>
        <v>0</v>
      </c>
      <c r="U32" s="1055">
        <f t="shared" si="11"/>
        <v>0</v>
      </c>
      <c r="V32" s="231">
        <f t="shared" si="31"/>
        <v>45468</v>
      </c>
      <c r="W32" s="1053">
        <f t="shared" si="2"/>
        <v>0</v>
      </c>
      <c r="X32" s="1054">
        <f t="shared" si="3"/>
        <v>0</v>
      </c>
      <c r="Y32" s="1054">
        <f t="shared" si="4"/>
        <v>0</v>
      </c>
      <c r="Z32" s="1055">
        <f t="shared" si="5"/>
        <v>0</v>
      </c>
      <c r="AA32" s="822">
        <f>VLOOKUP(V32,CASSA!$B$114:$C$479,2,FALSE)</f>
        <v>0</v>
      </c>
      <c r="AB32" s="1053">
        <f t="shared" si="12"/>
        <v>0</v>
      </c>
      <c r="AC32" s="1054">
        <f t="shared" si="13"/>
        <v>0</v>
      </c>
      <c r="AD32" s="1054">
        <f t="shared" si="14"/>
        <v>0</v>
      </c>
      <c r="AE32" s="1055">
        <f t="shared" si="15"/>
        <v>0</v>
      </c>
      <c r="AF32" s="2"/>
      <c r="AG32" s="1090">
        <f t="shared" si="16"/>
        <v>0</v>
      </c>
      <c r="AH32" s="1091">
        <f t="shared" si="17"/>
        <v>0</v>
      </c>
      <c r="AI32" s="1054">
        <f t="shared" si="18"/>
        <v>0</v>
      </c>
      <c r="AJ32" s="1054">
        <f t="shared" si="19"/>
        <v>0</v>
      </c>
      <c r="AK32" s="1092">
        <f t="shared" si="6"/>
        <v>0</v>
      </c>
      <c r="AL32" s="2"/>
      <c r="AM32" s="1090">
        <f t="shared" si="7"/>
        <v>0</v>
      </c>
      <c r="AN32" s="1105">
        <f t="shared" si="20"/>
        <v>0</v>
      </c>
      <c r="AO32" s="1054">
        <f t="shared" si="21"/>
        <v>0</v>
      </c>
      <c r="AP32" s="1054">
        <f t="shared" si="22"/>
        <v>0</v>
      </c>
      <c r="AQ32" s="1092">
        <f t="shared" si="23"/>
        <v>0</v>
      </c>
      <c r="AR32" s="2"/>
      <c r="AS32" s="1090">
        <f t="shared" si="24"/>
        <v>0</v>
      </c>
      <c r="AT32" s="1091">
        <f t="shared" si="25"/>
        <v>0</v>
      </c>
      <c r="AU32" s="1054">
        <f t="shared" si="26"/>
        <v>0</v>
      </c>
      <c r="AV32" s="1054">
        <f t="shared" si="27"/>
        <v>0</v>
      </c>
      <c r="AW32" s="1092">
        <f t="shared" si="28"/>
        <v>0</v>
      </c>
      <c r="AX32" s="2"/>
      <c r="AY32" s="1090">
        <f t="shared" si="29"/>
        <v>0</v>
      </c>
      <c r="AZ32" s="1385"/>
      <c r="BA32" s="2"/>
    </row>
    <row r="33" spans="1:54" ht="20.25" customHeight="1" x14ac:dyDescent="0.2">
      <c r="A33" s="2"/>
      <c r="B33" s="18">
        <v>26</v>
      </c>
      <c r="C33" s="234">
        <f t="shared" si="30"/>
        <v>26</v>
      </c>
      <c r="D33" s="235">
        <f t="shared" si="8"/>
        <v>6</v>
      </c>
      <c r="E33" s="2159" t="str">
        <f t="shared" si="0"/>
        <v xml:space="preserve">attiva trim.  </v>
      </c>
      <c r="F33" s="2160"/>
      <c r="G33" s="237"/>
      <c r="H33" s="237"/>
      <c r="I33" s="828"/>
      <c r="J33" s="829"/>
      <c r="K33" s="237"/>
      <c r="L33" s="828"/>
      <c r="M33" s="829"/>
      <c r="N33" s="237"/>
      <c r="O33" s="828"/>
      <c r="P33" s="829"/>
      <c r="Q33" s="6"/>
      <c r="R33" s="1053">
        <f t="shared" si="9"/>
        <v>0</v>
      </c>
      <c r="S33" s="1054">
        <f t="shared" si="1"/>
        <v>0</v>
      </c>
      <c r="T33" s="1054">
        <f t="shared" si="10"/>
        <v>0</v>
      </c>
      <c r="U33" s="1055">
        <f t="shared" si="11"/>
        <v>0</v>
      </c>
      <c r="V33" s="231">
        <f t="shared" si="31"/>
        <v>45469</v>
      </c>
      <c r="W33" s="1053">
        <f t="shared" si="2"/>
        <v>0</v>
      </c>
      <c r="X33" s="1054">
        <f t="shared" si="3"/>
        <v>0</v>
      </c>
      <c r="Y33" s="1054">
        <f t="shared" si="4"/>
        <v>0</v>
      </c>
      <c r="Z33" s="1055">
        <f t="shared" si="5"/>
        <v>0</v>
      </c>
      <c r="AA33" s="822">
        <f>VLOOKUP(V33,CASSA!$B$114:$C$479,2,FALSE)</f>
        <v>0</v>
      </c>
      <c r="AB33" s="1053">
        <f t="shared" si="12"/>
        <v>0</v>
      </c>
      <c r="AC33" s="1054">
        <f t="shared" si="13"/>
        <v>0</v>
      </c>
      <c r="AD33" s="1054">
        <f t="shared" si="14"/>
        <v>0</v>
      </c>
      <c r="AE33" s="1055">
        <f t="shared" si="15"/>
        <v>0</v>
      </c>
      <c r="AF33" s="2"/>
      <c r="AG33" s="1090">
        <f t="shared" si="16"/>
        <v>0</v>
      </c>
      <c r="AH33" s="1091">
        <f t="shared" si="17"/>
        <v>0</v>
      </c>
      <c r="AI33" s="1054">
        <f t="shared" si="18"/>
        <v>0</v>
      </c>
      <c r="AJ33" s="1054">
        <f t="shared" si="19"/>
        <v>0</v>
      </c>
      <c r="AK33" s="1092">
        <f t="shared" si="6"/>
        <v>0</v>
      </c>
      <c r="AL33" s="2"/>
      <c r="AM33" s="1090">
        <f t="shared" si="7"/>
        <v>0</v>
      </c>
      <c r="AN33" s="1105">
        <f t="shared" si="20"/>
        <v>0</v>
      </c>
      <c r="AO33" s="1054">
        <f t="shared" si="21"/>
        <v>0</v>
      </c>
      <c r="AP33" s="1054">
        <f t="shared" si="22"/>
        <v>0</v>
      </c>
      <c r="AQ33" s="1092">
        <f t="shared" si="23"/>
        <v>0</v>
      </c>
      <c r="AR33" s="2"/>
      <c r="AS33" s="1090">
        <f t="shared" si="24"/>
        <v>0</v>
      </c>
      <c r="AT33" s="1091">
        <f t="shared" si="25"/>
        <v>0</v>
      </c>
      <c r="AU33" s="1054">
        <f t="shared" si="26"/>
        <v>0</v>
      </c>
      <c r="AV33" s="1054">
        <f t="shared" si="27"/>
        <v>0</v>
      </c>
      <c r="AW33" s="1092">
        <f t="shared" si="28"/>
        <v>0</v>
      </c>
      <c r="AX33" s="2"/>
      <c r="AY33" s="1090">
        <f t="shared" si="29"/>
        <v>0</v>
      </c>
      <c r="AZ33" s="1385"/>
      <c r="BA33" s="2"/>
    </row>
    <row r="34" spans="1:54" ht="20.25" customHeight="1" x14ac:dyDescent="0.2">
      <c r="A34" s="2"/>
      <c r="B34" s="18">
        <v>27</v>
      </c>
      <c r="C34" s="234">
        <f t="shared" si="30"/>
        <v>27</v>
      </c>
      <c r="D34" s="235">
        <f t="shared" si="8"/>
        <v>6</v>
      </c>
      <c r="E34" s="2159" t="str">
        <f t="shared" si="0"/>
        <v xml:space="preserve">attiva trim.  </v>
      </c>
      <c r="F34" s="2160"/>
      <c r="G34" s="237"/>
      <c r="H34" s="237"/>
      <c r="I34" s="828"/>
      <c r="J34" s="829"/>
      <c r="K34" s="237"/>
      <c r="L34" s="828"/>
      <c r="M34" s="829"/>
      <c r="N34" s="237"/>
      <c r="O34" s="828"/>
      <c r="P34" s="829"/>
      <c r="Q34" s="6"/>
      <c r="R34" s="1053">
        <f t="shared" si="9"/>
        <v>0</v>
      </c>
      <c r="S34" s="1054">
        <f t="shared" si="1"/>
        <v>0</v>
      </c>
      <c r="T34" s="1054">
        <f t="shared" si="10"/>
        <v>0</v>
      </c>
      <c r="U34" s="1055">
        <f t="shared" si="11"/>
        <v>0</v>
      </c>
      <c r="V34" s="231">
        <f t="shared" si="31"/>
        <v>45470</v>
      </c>
      <c r="W34" s="1053">
        <f t="shared" si="2"/>
        <v>0</v>
      </c>
      <c r="X34" s="1054">
        <f t="shared" si="3"/>
        <v>0</v>
      </c>
      <c r="Y34" s="1054">
        <f t="shared" si="4"/>
        <v>0</v>
      </c>
      <c r="Z34" s="1055">
        <f t="shared" si="5"/>
        <v>0</v>
      </c>
      <c r="AA34" s="822">
        <f>VLOOKUP(V34,CASSA!$B$114:$C$479,2,FALSE)</f>
        <v>0</v>
      </c>
      <c r="AB34" s="1053">
        <f t="shared" si="12"/>
        <v>0</v>
      </c>
      <c r="AC34" s="1054">
        <f t="shared" si="13"/>
        <v>0</v>
      </c>
      <c r="AD34" s="1054">
        <f t="shared" si="14"/>
        <v>0</v>
      </c>
      <c r="AE34" s="1055">
        <f t="shared" si="15"/>
        <v>0</v>
      </c>
      <c r="AF34" s="2"/>
      <c r="AG34" s="1090">
        <f t="shared" si="16"/>
        <v>0</v>
      </c>
      <c r="AH34" s="1091">
        <f t="shared" si="17"/>
        <v>0</v>
      </c>
      <c r="AI34" s="1054">
        <f t="shared" si="18"/>
        <v>0</v>
      </c>
      <c r="AJ34" s="1054">
        <f t="shared" si="19"/>
        <v>0</v>
      </c>
      <c r="AK34" s="1092">
        <f t="shared" si="6"/>
        <v>0</v>
      </c>
      <c r="AL34" s="2"/>
      <c r="AM34" s="1090">
        <f t="shared" si="7"/>
        <v>0</v>
      </c>
      <c r="AN34" s="1105">
        <f t="shared" si="20"/>
        <v>0</v>
      </c>
      <c r="AO34" s="1054">
        <f t="shared" si="21"/>
        <v>0</v>
      </c>
      <c r="AP34" s="1054">
        <f t="shared" si="22"/>
        <v>0</v>
      </c>
      <c r="AQ34" s="1092">
        <f t="shared" si="23"/>
        <v>0</v>
      </c>
      <c r="AR34" s="2"/>
      <c r="AS34" s="1090">
        <f t="shared" si="24"/>
        <v>0</v>
      </c>
      <c r="AT34" s="1091">
        <f t="shared" si="25"/>
        <v>0</v>
      </c>
      <c r="AU34" s="1054">
        <f t="shared" si="26"/>
        <v>0</v>
      </c>
      <c r="AV34" s="1054">
        <f t="shared" si="27"/>
        <v>0</v>
      </c>
      <c r="AW34" s="1092">
        <f t="shared" si="28"/>
        <v>0</v>
      </c>
      <c r="AX34" s="2"/>
      <c r="AY34" s="1090">
        <f t="shared" si="29"/>
        <v>0</v>
      </c>
      <c r="AZ34" s="1385"/>
      <c r="BA34" s="2"/>
    </row>
    <row r="35" spans="1:54" ht="20.25" customHeight="1" x14ac:dyDescent="0.2">
      <c r="A35" s="2"/>
      <c r="B35" s="18">
        <v>28</v>
      </c>
      <c r="C35" s="234">
        <f t="shared" si="30"/>
        <v>28</v>
      </c>
      <c r="D35" s="235">
        <f t="shared" si="8"/>
        <v>6</v>
      </c>
      <c r="E35" s="2159" t="str">
        <f t="shared" si="0"/>
        <v xml:space="preserve">attiva trim.  </v>
      </c>
      <c r="F35" s="2160"/>
      <c r="G35" s="237"/>
      <c r="H35" s="237"/>
      <c r="I35" s="828"/>
      <c r="J35" s="829"/>
      <c r="K35" s="237"/>
      <c r="L35" s="828"/>
      <c r="M35" s="829"/>
      <c r="N35" s="237"/>
      <c r="O35" s="828"/>
      <c r="P35" s="829"/>
      <c r="Q35" s="6"/>
      <c r="R35" s="1053">
        <f t="shared" si="9"/>
        <v>0</v>
      </c>
      <c r="S35" s="1054">
        <f t="shared" si="1"/>
        <v>0</v>
      </c>
      <c r="T35" s="1054">
        <f t="shared" si="10"/>
        <v>0</v>
      </c>
      <c r="U35" s="1055">
        <f t="shared" si="11"/>
        <v>0</v>
      </c>
      <c r="V35" s="231">
        <f t="shared" si="31"/>
        <v>45471</v>
      </c>
      <c r="W35" s="1053">
        <f t="shared" si="2"/>
        <v>0</v>
      </c>
      <c r="X35" s="1054">
        <f t="shared" si="3"/>
        <v>0</v>
      </c>
      <c r="Y35" s="1054">
        <f t="shared" si="4"/>
        <v>0</v>
      </c>
      <c r="Z35" s="1055">
        <f t="shared" si="5"/>
        <v>0</v>
      </c>
      <c r="AA35" s="822">
        <f>VLOOKUP(V35,CASSA!$B$114:$C$479,2,FALSE)</f>
        <v>0</v>
      </c>
      <c r="AB35" s="1053">
        <f t="shared" si="12"/>
        <v>0</v>
      </c>
      <c r="AC35" s="1054">
        <f t="shared" si="13"/>
        <v>0</v>
      </c>
      <c r="AD35" s="1054">
        <f t="shared" si="14"/>
        <v>0</v>
      </c>
      <c r="AE35" s="1055">
        <f t="shared" si="15"/>
        <v>0</v>
      </c>
      <c r="AF35" s="2"/>
      <c r="AG35" s="1090">
        <f t="shared" si="16"/>
        <v>0</v>
      </c>
      <c r="AH35" s="1091">
        <f t="shared" si="17"/>
        <v>0</v>
      </c>
      <c r="AI35" s="1054">
        <f t="shared" si="18"/>
        <v>0</v>
      </c>
      <c r="AJ35" s="1054">
        <f t="shared" si="19"/>
        <v>0</v>
      </c>
      <c r="AK35" s="1092">
        <f t="shared" si="6"/>
        <v>0</v>
      </c>
      <c r="AL35" s="2"/>
      <c r="AM35" s="1090">
        <f t="shared" si="7"/>
        <v>0</v>
      </c>
      <c r="AN35" s="1105">
        <f t="shared" si="20"/>
        <v>0</v>
      </c>
      <c r="AO35" s="1054">
        <f t="shared" si="21"/>
        <v>0</v>
      </c>
      <c r="AP35" s="1054">
        <f t="shared" si="22"/>
        <v>0</v>
      </c>
      <c r="AQ35" s="1092">
        <f t="shared" si="23"/>
        <v>0</v>
      </c>
      <c r="AR35" s="2"/>
      <c r="AS35" s="1090">
        <f t="shared" si="24"/>
        <v>0</v>
      </c>
      <c r="AT35" s="1091">
        <f t="shared" si="25"/>
        <v>0</v>
      </c>
      <c r="AU35" s="1054">
        <f t="shared" si="26"/>
        <v>0</v>
      </c>
      <c r="AV35" s="1054">
        <f t="shared" si="27"/>
        <v>0</v>
      </c>
      <c r="AW35" s="1092">
        <f t="shared" si="28"/>
        <v>0</v>
      </c>
      <c r="AX35" s="2"/>
      <c r="AY35" s="1090">
        <f t="shared" si="29"/>
        <v>0</v>
      </c>
      <c r="AZ35" s="1385"/>
      <c r="BA35" s="2"/>
    </row>
    <row r="36" spans="1:54" ht="20.25" customHeight="1" x14ac:dyDescent="0.2">
      <c r="A36" s="2"/>
      <c r="B36" s="18">
        <v>29</v>
      </c>
      <c r="C36" s="234">
        <f t="shared" si="30"/>
        <v>29</v>
      </c>
      <c r="D36" s="235">
        <f t="shared" si="8"/>
        <v>6</v>
      </c>
      <c r="E36" s="2159" t="str">
        <f t="shared" si="0"/>
        <v xml:space="preserve">attiva trim.  </v>
      </c>
      <c r="F36" s="2160"/>
      <c r="G36" s="237"/>
      <c r="H36" s="237"/>
      <c r="I36" s="828"/>
      <c r="J36" s="829"/>
      <c r="K36" s="237"/>
      <c r="L36" s="828"/>
      <c r="M36" s="829"/>
      <c r="N36" s="237"/>
      <c r="O36" s="828"/>
      <c r="P36" s="829"/>
      <c r="Q36" s="6"/>
      <c r="R36" s="1053">
        <f t="shared" si="9"/>
        <v>0</v>
      </c>
      <c r="S36" s="1054">
        <f t="shared" si="1"/>
        <v>0</v>
      </c>
      <c r="T36" s="1054">
        <f t="shared" si="10"/>
        <v>0</v>
      </c>
      <c r="U36" s="1055">
        <f t="shared" si="11"/>
        <v>0</v>
      </c>
      <c r="V36" s="231">
        <f t="shared" si="31"/>
        <v>45472</v>
      </c>
      <c r="W36" s="1053">
        <f t="shared" si="2"/>
        <v>0</v>
      </c>
      <c r="X36" s="1054">
        <f t="shared" si="3"/>
        <v>0</v>
      </c>
      <c r="Y36" s="1054">
        <f t="shared" si="4"/>
        <v>0</v>
      </c>
      <c r="Z36" s="1055">
        <f t="shared" si="5"/>
        <v>0</v>
      </c>
      <c r="AA36" s="822">
        <f>VLOOKUP(V36,CASSA!$B$114:$C$479,2,FALSE)</f>
        <v>0</v>
      </c>
      <c r="AB36" s="1053">
        <f t="shared" si="12"/>
        <v>0</v>
      </c>
      <c r="AC36" s="1054">
        <f t="shared" si="13"/>
        <v>0</v>
      </c>
      <c r="AD36" s="1054">
        <f t="shared" si="14"/>
        <v>0</v>
      </c>
      <c r="AE36" s="1055">
        <f t="shared" si="15"/>
        <v>0</v>
      </c>
      <c r="AF36" s="2"/>
      <c r="AG36" s="1090">
        <f t="shared" si="16"/>
        <v>0</v>
      </c>
      <c r="AH36" s="1091">
        <f t="shared" si="17"/>
        <v>0</v>
      </c>
      <c r="AI36" s="1054">
        <f t="shared" si="18"/>
        <v>0</v>
      </c>
      <c r="AJ36" s="1054">
        <f t="shared" si="19"/>
        <v>0</v>
      </c>
      <c r="AK36" s="1092">
        <f t="shared" si="6"/>
        <v>0</v>
      </c>
      <c r="AL36" s="2"/>
      <c r="AM36" s="1090">
        <f t="shared" si="7"/>
        <v>0</v>
      </c>
      <c r="AN36" s="1105">
        <f t="shared" si="20"/>
        <v>0</v>
      </c>
      <c r="AO36" s="1054">
        <f t="shared" si="21"/>
        <v>0</v>
      </c>
      <c r="AP36" s="1054">
        <f t="shared" si="22"/>
        <v>0</v>
      </c>
      <c r="AQ36" s="1092">
        <f t="shared" si="23"/>
        <v>0</v>
      </c>
      <c r="AR36" s="2"/>
      <c r="AS36" s="1090">
        <f t="shared" si="24"/>
        <v>0</v>
      </c>
      <c r="AT36" s="1091">
        <f t="shared" si="25"/>
        <v>0</v>
      </c>
      <c r="AU36" s="1054">
        <f t="shared" si="26"/>
        <v>0</v>
      </c>
      <c r="AV36" s="1054">
        <f t="shared" si="27"/>
        <v>0</v>
      </c>
      <c r="AW36" s="1092">
        <f t="shared" si="28"/>
        <v>0</v>
      </c>
      <c r="AX36" s="2"/>
      <c r="AY36" s="1090">
        <f t="shared" si="29"/>
        <v>0</v>
      </c>
      <c r="AZ36" s="1385"/>
      <c r="BA36" s="2"/>
    </row>
    <row r="37" spans="1:54" ht="20.25" customHeight="1" x14ac:dyDescent="0.2">
      <c r="A37" s="2"/>
      <c r="B37" s="18">
        <v>30</v>
      </c>
      <c r="C37" s="234">
        <f t="shared" si="30"/>
        <v>30</v>
      </c>
      <c r="D37" s="235">
        <f t="shared" si="8"/>
        <v>6</v>
      </c>
      <c r="E37" s="2240" t="str">
        <f t="shared" si="0"/>
        <v xml:space="preserve">attiva trim.  </v>
      </c>
      <c r="F37" s="2241"/>
      <c r="G37" s="823"/>
      <c r="H37" s="823"/>
      <c r="I37" s="842"/>
      <c r="J37" s="843"/>
      <c r="K37" s="823"/>
      <c r="L37" s="842"/>
      <c r="M37" s="843"/>
      <c r="N37" s="823"/>
      <c r="O37" s="842"/>
      <c r="P37" s="843"/>
      <c r="Q37" s="6"/>
      <c r="R37" s="1056">
        <f t="shared" si="9"/>
        <v>0</v>
      </c>
      <c r="S37" s="1057">
        <f t="shared" si="1"/>
        <v>0</v>
      </c>
      <c r="T37" s="1057">
        <f t="shared" si="10"/>
        <v>0</v>
      </c>
      <c r="U37" s="1058">
        <f t="shared" si="11"/>
        <v>0</v>
      </c>
      <c r="V37" s="231">
        <f t="shared" si="31"/>
        <v>45473</v>
      </c>
      <c r="W37" s="1056">
        <f t="shared" si="2"/>
        <v>0</v>
      </c>
      <c r="X37" s="1057">
        <f t="shared" si="3"/>
        <v>0</v>
      </c>
      <c r="Y37" s="1057">
        <f t="shared" si="4"/>
        <v>0</v>
      </c>
      <c r="Z37" s="1058">
        <f t="shared" si="5"/>
        <v>0</v>
      </c>
      <c r="AA37" s="822">
        <f>VLOOKUP(V37,CASSA!$B$114:$C$479,2,FALSE)</f>
        <v>0</v>
      </c>
      <c r="AB37" s="1056">
        <f t="shared" si="12"/>
        <v>0</v>
      </c>
      <c r="AC37" s="1057">
        <f t="shared" si="13"/>
        <v>0</v>
      </c>
      <c r="AD37" s="1057">
        <f t="shared" si="14"/>
        <v>0</v>
      </c>
      <c r="AE37" s="1058">
        <f t="shared" si="15"/>
        <v>0</v>
      </c>
      <c r="AF37" s="2"/>
      <c r="AG37" s="1093">
        <f t="shared" si="16"/>
        <v>0</v>
      </c>
      <c r="AH37" s="1094">
        <f t="shared" si="17"/>
        <v>0</v>
      </c>
      <c r="AI37" s="1057">
        <f t="shared" si="18"/>
        <v>0</v>
      </c>
      <c r="AJ37" s="1057">
        <f t="shared" si="19"/>
        <v>0</v>
      </c>
      <c r="AK37" s="1095">
        <f t="shared" si="6"/>
        <v>0</v>
      </c>
      <c r="AL37" s="2"/>
      <c r="AM37" s="1093">
        <f t="shared" si="7"/>
        <v>0</v>
      </c>
      <c r="AN37" s="1106">
        <f t="shared" si="20"/>
        <v>0</v>
      </c>
      <c r="AO37" s="1057">
        <f t="shared" si="21"/>
        <v>0</v>
      </c>
      <c r="AP37" s="1057">
        <f t="shared" si="22"/>
        <v>0</v>
      </c>
      <c r="AQ37" s="1095">
        <f t="shared" si="23"/>
        <v>0</v>
      </c>
      <c r="AR37" s="2"/>
      <c r="AS37" s="1093">
        <f t="shared" si="24"/>
        <v>0</v>
      </c>
      <c r="AT37" s="1094">
        <f t="shared" si="25"/>
        <v>0</v>
      </c>
      <c r="AU37" s="1057">
        <f t="shared" si="26"/>
        <v>0</v>
      </c>
      <c r="AV37" s="1057">
        <f t="shared" si="27"/>
        <v>0</v>
      </c>
      <c r="AW37" s="1095">
        <f t="shared" si="28"/>
        <v>0</v>
      </c>
      <c r="AX37" s="2"/>
      <c r="AY37" s="1093">
        <f t="shared" si="29"/>
        <v>0</v>
      </c>
      <c r="AZ37" s="1385"/>
      <c r="BA37" s="2"/>
    </row>
    <row r="38" spans="1:54" ht="20.25" customHeight="1" x14ac:dyDescent="0.2">
      <c r="A38" s="2"/>
      <c r="B38" s="18">
        <v>31</v>
      </c>
      <c r="C38" s="234" t="str">
        <f t="shared" si="30"/>
        <v>--</v>
      </c>
      <c r="D38" s="235" t="str">
        <f t="shared" si="8"/>
        <v>--</v>
      </c>
      <c r="E38" s="2238"/>
      <c r="F38" s="2239"/>
      <c r="G38" s="300"/>
      <c r="H38" s="300"/>
      <c r="I38" s="840"/>
      <c r="J38" s="841"/>
      <c r="K38" s="300"/>
      <c r="L38" s="840"/>
      <c r="M38" s="841"/>
      <c r="N38" s="300"/>
      <c r="O38" s="840"/>
      <c r="P38" s="841"/>
      <c r="Q38" s="6"/>
      <c r="R38" s="1059"/>
      <c r="S38" s="1059"/>
      <c r="T38" s="1059"/>
      <c r="U38" s="1059"/>
      <c r="V38" s="1060"/>
      <c r="W38" s="1059"/>
      <c r="X38" s="1059"/>
      <c r="Y38" s="1059"/>
      <c r="Z38" s="1059"/>
      <c r="AA38" s="822"/>
      <c r="AB38" s="1059"/>
      <c r="AC38" s="1059"/>
      <c r="AD38" s="1059"/>
      <c r="AE38" s="1059"/>
      <c r="AF38" s="2"/>
      <c r="AG38" s="2"/>
      <c r="AH38" s="2"/>
      <c r="AI38" s="2"/>
      <c r="AJ38" s="2"/>
      <c r="AK38" s="2"/>
      <c r="AL38" s="2"/>
      <c r="AM38" s="2"/>
      <c r="AN38" s="2"/>
      <c r="AO38" s="2"/>
      <c r="AP38" s="2"/>
      <c r="AQ38" s="2"/>
      <c r="AR38" s="2"/>
      <c r="AS38" s="2"/>
      <c r="AT38" s="2"/>
      <c r="AU38" s="2"/>
      <c r="AV38" s="2"/>
      <c r="AW38" s="2"/>
      <c r="AX38" s="2"/>
      <c r="AY38" s="2"/>
      <c r="AZ38" s="1386"/>
      <c r="BA38" s="2"/>
    </row>
    <row r="39" spans="1:54" ht="20.25" customHeight="1" x14ac:dyDescent="0.2">
      <c r="A39" s="2"/>
      <c r="B39" s="7"/>
      <c r="C39" s="2077" t="s">
        <v>177</v>
      </c>
      <c r="D39" s="2078"/>
      <c r="E39" s="2074">
        <f>IMPOSTAZIONI!S265</f>
        <v>0</v>
      </c>
      <c r="F39" s="2075"/>
      <c r="G39" s="1440">
        <f>IF(ISERROR(G$155),0,SUM(G7:G38)-SUMIF($E8:$E38,$V4,G8:G38))</f>
        <v>0</v>
      </c>
      <c r="H39" s="1440">
        <f>IF(ISERROR(H$155),0,SUM(H7:H38)-SUMIF($E8:$E38,$V4,H8:H38))</f>
        <v>0</v>
      </c>
      <c r="I39" s="838"/>
      <c r="J39" s="839"/>
      <c r="K39" s="1440">
        <f>IF(ISERROR(I$155),0,SUM(K7:K38)-SUMIF($E8:$E38,$V4,K8:K38))</f>
        <v>0</v>
      </c>
      <c r="L39" s="838"/>
      <c r="M39" s="839"/>
      <c r="N39" s="1440">
        <f>IF(ISERROR(J$155),0,SUM(N7:N38)-SUMIF($E8:$E38,$V4,N8:N38))</f>
        <v>0</v>
      </c>
      <c r="O39" s="838"/>
      <c r="P39" s="839"/>
      <c r="Q39" s="6"/>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1383"/>
      <c r="BA39" s="2"/>
    </row>
    <row r="40" spans="1:54" ht="3" customHeight="1" x14ac:dyDescent="0.2">
      <c r="A40" s="2"/>
      <c r="B40" s="2"/>
      <c r="C40" s="8"/>
      <c r="D40" s="9"/>
      <c r="E40" s="825"/>
      <c r="F40" s="826"/>
      <c r="G40" s="827"/>
      <c r="H40" s="827"/>
      <c r="I40" s="825"/>
      <c r="J40" s="826"/>
      <c r="K40" s="827"/>
      <c r="L40" s="825"/>
      <c r="M40" s="826"/>
      <c r="N40" s="827"/>
      <c r="O40" s="825"/>
      <c r="P40" s="826"/>
      <c r="Q40" s="6"/>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row>
    <row r="41" spans="1:54" ht="6" customHeight="1" x14ac:dyDescent="0.2">
      <c r="A41" s="2"/>
      <c r="B41" s="2"/>
      <c r="C41" s="10"/>
      <c r="D41" s="10"/>
      <c r="E41" s="11"/>
      <c r="F41" s="11"/>
      <c r="G41" s="11"/>
      <c r="H41" s="11"/>
      <c r="I41" s="11"/>
      <c r="J41" s="11"/>
      <c r="K41" s="11"/>
      <c r="L41" s="11"/>
      <c r="M41" s="11"/>
      <c r="N41" s="11"/>
      <c r="O41" s="11"/>
      <c r="P41" s="11"/>
      <c r="Q41" s="1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row>
    <row r="42" spans="1:54" ht="18.75" customHeight="1" x14ac:dyDescent="0.2">
      <c r="A42" s="2"/>
      <c r="B42" s="2"/>
      <c r="C42" s="946" t="s">
        <v>657</v>
      </c>
      <c r="D42" s="14"/>
      <c r="E42" s="12"/>
      <c r="F42" s="12"/>
      <c r="G42" s="957">
        <f>IMPOSTAZIONI!I33</f>
        <v>0</v>
      </c>
      <c r="H42" s="957">
        <f>IMPOSTAZIONI!M33</f>
        <v>0</v>
      </c>
      <c r="I42" s="12"/>
      <c r="J42" s="12"/>
      <c r="K42" s="957">
        <f>IMPOSTAZIONI!U33</f>
        <v>0</v>
      </c>
      <c r="L42" s="12"/>
      <c r="M42" s="12"/>
      <c r="N42" s="957">
        <f>IMPOSTAZIONI!AC33</f>
        <v>0</v>
      </c>
      <c r="O42" s="12"/>
      <c r="P42" s="12"/>
      <c r="Q42" s="12"/>
      <c r="R42" s="2"/>
      <c r="S42" s="591"/>
      <c r="T42" s="591"/>
      <c r="U42" s="591"/>
      <c r="V42" s="591"/>
      <c r="W42" s="591"/>
      <c r="X42" s="591"/>
      <c r="Y42" s="591"/>
      <c r="Z42" s="591"/>
      <c r="AA42" s="591"/>
      <c r="AB42" s="591"/>
      <c r="AC42" s="591"/>
      <c r="AD42" s="591"/>
      <c r="AE42" s="591"/>
      <c r="AF42" s="591"/>
      <c r="AG42" s="591"/>
      <c r="AH42" s="591"/>
      <c r="AI42" s="591"/>
      <c r="AJ42" s="591"/>
      <c r="AK42" s="591"/>
      <c r="AL42" s="591"/>
      <c r="AM42" s="591"/>
      <c r="AN42" s="591"/>
      <c r="AO42" s="591"/>
      <c r="AP42" s="591"/>
      <c r="AQ42" s="591"/>
      <c r="AR42" s="591"/>
      <c r="AS42" s="591"/>
      <c r="AT42" s="591"/>
      <c r="AU42" s="591"/>
      <c r="AV42" s="591"/>
      <c r="AW42" s="591"/>
      <c r="AX42" s="591"/>
      <c r="AY42" s="591"/>
      <c r="AZ42" s="2"/>
      <c r="BA42" s="2"/>
      <c r="BB42" s="591"/>
    </row>
    <row r="43" spans="1:54" ht="18" customHeight="1" x14ac:dyDescent="0.2">
      <c r="A43" s="2"/>
      <c r="B43" s="2"/>
      <c r="C43" s="2161" t="s">
        <v>175</v>
      </c>
      <c r="D43" s="2161"/>
      <c r="E43" s="2076">
        <f>C6</f>
        <v>2024</v>
      </c>
      <c r="F43" s="2076"/>
      <c r="G43" s="888" t="str">
        <f>G6</f>
        <v/>
      </c>
      <c r="H43" s="889" t="str">
        <f>H6</f>
        <v/>
      </c>
      <c r="I43" s="2"/>
      <c r="J43" s="2"/>
      <c r="K43" s="887" t="str">
        <f>K6</f>
        <v/>
      </c>
      <c r="L43" s="2"/>
      <c r="M43" s="2"/>
      <c r="N43" s="887" t="str">
        <f>N6</f>
        <v/>
      </c>
      <c r="O43" s="2"/>
      <c r="P43" s="2"/>
      <c r="Q43" s="12"/>
      <c r="R43" s="2"/>
      <c r="S43" s="591"/>
      <c r="T43" s="591"/>
      <c r="U43" s="591"/>
      <c r="V43" s="591"/>
      <c r="W43" s="591"/>
      <c r="X43" s="591"/>
      <c r="Y43" s="591"/>
      <c r="Z43" s="591"/>
      <c r="AA43" s="591"/>
      <c r="AB43" s="591"/>
      <c r="AC43" s="591"/>
      <c r="AD43" s="591"/>
      <c r="AE43" s="591"/>
      <c r="AF43" s="591"/>
      <c r="AG43" s="591"/>
      <c r="AH43" s="591"/>
      <c r="AI43" s="591"/>
      <c r="AJ43" s="591"/>
      <c r="AK43" s="591"/>
      <c r="AL43" s="591"/>
      <c r="AM43" s="591"/>
      <c r="AN43" s="591"/>
      <c r="AO43" s="591"/>
      <c r="AP43" s="591"/>
      <c r="AQ43" s="591"/>
      <c r="AR43" s="591"/>
      <c r="AS43" s="591"/>
      <c r="AT43" s="591"/>
      <c r="AU43" s="591"/>
      <c r="AV43" s="591"/>
      <c r="AW43" s="591"/>
      <c r="AX43" s="591"/>
      <c r="AY43" s="591"/>
      <c r="AZ43" s="2"/>
      <c r="BA43" s="2"/>
      <c r="BB43" s="591"/>
    </row>
    <row r="44" spans="1:54" ht="22.5" customHeight="1" x14ac:dyDescent="0.2">
      <c r="A44" s="2"/>
      <c r="B44" s="2"/>
      <c r="C44" s="2091" t="s">
        <v>298</v>
      </c>
      <c r="D44" s="2091"/>
      <c r="E44" s="2091"/>
      <c r="F44" s="2091"/>
      <c r="G44" s="57" t="str">
        <f t="shared" ref="G44:K45" si="32">G4</f>
        <v/>
      </c>
      <c r="H44" s="57" t="str">
        <f t="shared" si="32"/>
        <v/>
      </c>
      <c r="I44" s="2034">
        <f>IF(I4=K130,"",I4)</f>
        <v>0</v>
      </c>
      <c r="J44" s="2034"/>
      <c r="K44" s="57" t="str">
        <f t="shared" si="32"/>
        <v/>
      </c>
      <c r="L44" s="2034">
        <f>IF(L4=K130,"",L4)</f>
        <v>0</v>
      </c>
      <c r="M44" s="2034"/>
      <c r="N44" s="57" t="str">
        <f>N4</f>
        <v/>
      </c>
      <c r="O44" s="2034">
        <f>IF(O4=K130,"",O4)</f>
        <v>0</v>
      </c>
      <c r="P44" s="2034"/>
      <c r="Q44" s="12"/>
      <c r="R44" s="2"/>
      <c r="S44" s="591"/>
      <c r="T44" s="591"/>
      <c r="U44" s="591"/>
      <c r="V44" s="591"/>
      <c r="W44" s="591"/>
      <c r="X44" s="591"/>
      <c r="Y44" s="591"/>
      <c r="Z44" s="591"/>
      <c r="AA44" s="591"/>
      <c r="AB44" s="591"/>
      <c r="AC44" s="591"/>
      <c r="AD44" s="591"/>
      <c r="AE44" s="591"/>
      <c r="AF44" s="591"/>
      <c r="AG44" s="591"/>
      <c r="AH44" s="591"/>
      <c r="AI44" s="591"/>
      <c r="AJ44" s="591"/>
      <c r="AK44" s="591"/>
      <c r="AL44" s="591"/>
      <c r="AM44" s="591"/>
      <c r="AN44" s="591"/>
      <c r="AO44" s="591"/>
      <c r="AP44" s="591"/>
      <c r="AQ44" s="591"/>
      <c r="AR44" s="591"/>
      <c r="AS44" s="591"/>
      <c r="AT44" s="591"/>
      <c r="AU44" s="591"/>
      <c r="AV44" s="591"/>
      <c r="AW44" s="591"/>
      <c r="AX44" s="591"/>
      <c r="AY44" s="591"/>
      <c r="AZ44" s="2"/>
      <c r="BA44" s="2"/>
      <c r="BB44" s="591"/>
    </row>
    <row r="45" spans="1:54" ht="22.5" customHeight="1" x14ac:dyDescent="0.2">
      <c r="A45" s="2"/>
      <c r="B45" s="2"/>
      <c r="C45" s="2081" t="s">
        <v>306</v>
      </c>
      <c r="D45" s="2081"/>
      <c r="E45" s="2082"/>
      <c r="F45" s="2082"/>
      <c r="G45" s="58" t="str">
        <f t="shared" si="32"/>
        <v/>
      </c>
      <c r="H45" s="58" t="str">
        <f t="shared" si="32"/>
        <v/>
      </c>
      <c r="I45" s="488" t="str">
        <f>I6</f>
        <v>DAL</v>
      </c>
      <c r="J45" s="489" t="str">
        <f>J6</f>
        <v>AL</v>
      </c>
      <c r="K45" s="58" t="str">
        <f t="shared" si="32"/>
        <v/>
      </c>
      <c r="L45" s="488" t="str">
        <f>L6</f>
        <v>DAL</v>
      </c>
      <c r="M45" s="489" t="str">
        <f>M6</f>
        <v>AL</v>
      </c>
      <c r="N45" s="58" t="str">
        <f>N5</f>
        <v/>
      </c>
      <c r="O45" s="488" t="str">
        <f>O6</f>
        <v>DAL</v>
      </c>
      <c r="P45" s="489" t="str">
        <f>P6</f>
        <v>AL</v>
      </c>
      <c r="Q45" s="12"/>
      <c r="R45" s="2"/>
      <c r="S45" s="591"/>
      <c r="T45" s="591"/>
      <c r="U45" s="591"/>
      <c r="V45" s="591"/>
      <c r="W45" s="591"/>
      <c r="X45" s="591"/>
      <c r="Y45" s="591"/>
      <c r="Z45" s="591"/>
      <c r="AA45" s="591"/>
      <c r="AB45" s="591"/>
      <c r="AC45" s="591"/>
      <c r="AD45" s="591"/>
      <c r="AE45" s="591"/>
      <c r="AF45" s="591"/>
      <c r="AG45" s="591"/>
      <c r="AH45" s="591"/>
      <c r="AI45" s="591"/>
      <c r="AJ45" s="591"/>
      <c r="AK45" s="591"/>
      <c r="AL45" s="591"/>
      <c r="AM45" s="591"/>
      <c r="AN45" s="591"/>
      <c r="AO45" s="591"/>
      <c r="AP45" s="591"/>
      <c r="AQ45" s="591"/>
      <c r="AR45" s="591"/>
      <c r="AS45" s="591"/>
      <c r="AT45" s="591"/>
      <c r="AU45" s="591"/>
      <c r="AV45" s="591"/>
      <c r="AW45" s="591"/>
      <c r="AX45" s="591"/>
      <c r="AY45" s="591"/>
      <c r="AZ45" s="2"/>
      <c r="BA45" s="2"/>
      <c r="BB45" s="591"/>
    </row>
    <row r="46" spans="1:54" ht="21.95" customHeight="1" x14ac:dyDescent="0.2">
      <c r="A46" s="2"/>
      <c r="B46" s="7"/>
      <c r="C46" s="2079" t="s">
        <v>193</v>
      </c>
      <c r="D46" s="2080"/>
      <c r="E46" s="2157">
        <f>IF(E150=1,SUM(E8:E38),SUM(G46:H46)+K46+N46-SUMIF(G42:N42,K134,G46:N46))</f>
        <v>0</v>
      </c>
      <c r="F46" s="2158"/>
      <c r="G46" s="881">
        <f>IF(ISERROR(G$155),0,SUM(G8:G38)-SUMIF($E8:$E38,$V4,G8:G38)+IF(ISERROR(VLOOKUP(G1,IMPOSTAZIONI!$B$401:$AM$407,$E$149,FALSE)),0,VLOOKUP(G1,IMPOSTAZIONI!$B$401:$AM$407,$E$149,FALSE)))</f>
        <v>0</v>
      </c>
      <c r="H46" s="882">
        <f>IF(ISERROR(H$155),0,SUM(H8:H38)-SUMIF($E8:$E38,$V4,H8:H38)+IF(ISERROR(VLOOKUP(H1,IMPOSTAZIONI!$B$401:$AM$407,$E$149,FALSE)),0,VLOOKUP(H1,IMPOSTAZIONI!$B$401:$AM$407,$E$149,FALSE)))</f>
        <v>0</v>
      </c>
      <c r="I46" s="884"/>
      <c r="J46" s="883"/>
      <c r="K46" s="297">
        <f>IF(ISERROR(I$155),0,SUM(K8:K38)-SUMIF($E8:$E38,$V4,K8:K38)+IF(ISERROR(VLOOKUP(K1,IMPOSTAZIONI!$B$401:$AM$407,$E$149,FALSE)),0,VLOOKUP(K1,IMPOSTAZIONI!$B$401:$AM$407,$E$149,FALSE)))</f>
        <v>0</v>
      </c>
      <c r="L46" s="884"/>
      <c r="M46" s="883"/>
      <c r="N46" s="297">
        <f>IF(ISERROR(J$155),0,SUM(N8:N38)-SUMIF($E8:$E38,$V4,N8:N38)+IF(ISERROR(VLOOKUP(N1,IMPOSTAZIONI!$B$401:$AM$407,$E$149,FALSE)),0,VLOOKUP(N1,IMPOSTAZIONI!$B$401:$AM$407,$E$149,FALSE)))</f>
        <v>0</v>
      </c>
      <c r="O46" s="885"/>
      <c r="P46" s="886"/>
      <c r="Q46" s="12"/>
      <c r="R46" s="2"/>
      <c r="S46" s="591"/>
      <c r="T46" s="591"/>
      <c r="U46" s="591"/>
      <c r="V46" s="591"/>
      <c r="W46" s="591"/>
      <c r="X46" s="591"/>
      <c r="Y46" s="591"/>
      <c r="Z46" s="591"/>
      <c r="AA46" s="591"/>
      <c r="AB46" s="591"/>
      <c r="AC46" s="591"/>
      <c r="AD46" s="591"/>
      <c r="AE46" s="591"/>
      <c r="AF46" s="591"/>
      <c r="AG46" s="591"/>
      <c r="AH46" s="591"/>
      <c r="AI46" s="591"/>
      <c r="AJ46" s="591"/>
      <c r="AK46" s="591"/>
      <c r="AL46" s="591"/>
      <c r="AM46" s="591"/>
      <c r="AN46" s="591"/>
      <c r="AO46" s="591"/>
      <c r="AP46" s="591"/>
      <c r="AQ46" s="591"/>
      <c r="AR46" s="591"/>
      <c r="AS46" s="591"/>
      <c r="AT46" s="591"/>
      <c r="AU46" s="591"/>
      <c r="AV46" s="591"/>
      <c r="AW46" s="591"/>
      <c r="AX46" s="591"/>
      <c r="AY46" s="591"/>
      <c r="AZ46" s="2"/>
      <c r="BA46" s="2"/>
      <c r="BB46" s="591"/>
    </row>
    <row r="47" spans="1:54" ht="16.5" customHeight="1" x14ac:dyDescent="0.2">
      <c r="A47" s="2"/>
      <c r="B47" s="7"/>
      <c r="C47" s="2179" t="s">
        <v>194</v>
      </c>
      <c r="D47" s="2180"/>
      <c r="E47" s="2177">
        <f>E46-E48</f>
        <v>0</v>
      </c>
      <c r="F47" s="2178"/>
      <c r="G47" s="238">
        <f>G46-G48</f>
        <v>0</v>
      </c>
      <c r="H47" s="652">
        <f>H46-H48</f>
        <v>0</v>
      </c>
      <c r="I47" s="2"/>
      <c r="J47" s="2"/>
      <c r="K47" s="654">
        <f>K46-K48</f>
        <v>0</v>
      </c>
      <c r="L47" s="2"/>
      <c r="M47" s="2"/>
      <c r="N47" s="654">
        <f>N46-N48</f>
        <v>0</v>
      </c>
      <c r="O47" s="2"/>
      <c r="P47" s="2"/>
      <c r="Q47" s="12"/>
      <c r="R47" s="2"/>
      <c r="S47" s="591"/>
      <c r="T47" s="591"/>
      <c r="U47" s="591"/>
      <c r="V47" s="591"/>
      <c r="W47" s="591"/>
      <c r="X47" s="591"/>
      <c r="Y47" s="591"/>
      <c r="Z47" s="591"/>
      <c r="AA47" s="591"/>
      <c r="AB47" s="591"/>
      <c r="AC47" s="591"/>
      <c r="AD47" s="591"/>
      <c r="AE47" s="591"/>
      <c r="AF47" s="591"/>
      <c r="AG47" s="591"/>
      <c r="AH47" s="591"/>
      <c r="AI47" s="591"/>
      <c r="AJ47" s="591"/>
      <c r="AK47" s="591"/>
      <c r="AL47" s="591"/>
      <c r="AM47" s="591"/>
      <c r="AN47" s="591"/>
      <c r="AO47" s="591"/>
      <c r="AP47" s="591"/>
      <c r="AQ47" s="591"/>
      <c r="AR47" s="591"/>
      <c r="AS47" s="591"/>
      <c r="AT47" s="591"/>
      <c r="AU47" s="591"/>
      <c r="AV47" s="591"/>
      <c r="AW47" s="591"/>
      <c r="AX47" s="591"/>
      <c r="AY47" s="591"/>
      <c r="AZ47" s="2"/>
      <c r="BA47" s="2"/>
      <c r="BB47" s="591"/>
    </row>
    <row r="48" spans="1:54" ht="16.5" customHeight="1" x14ac:dyDescent="0.2">
      <c r="A48" s="2"/>
      <c r="B48" s="7"/>
      <c r="C48" s="2070" t="s">
        <v>195</v>
      </c>
      <c r="D48" s="2071"/>
      <c r="E48" s="2181">
        <f>IF(I163=0,0,SUM(G48:H48)+K48+N48-SUMIF(G42:N42,K134,G48:N48))</f>
        <v>0</v>
      </c>
      <c r="F48" s="2182"/>
      <c r="G48" s="239">
        <f>IF(AND(C61=1,G63&lt;&gt;0),G87,IF(G152=0,SUM(R8:R38)-SUMIF($E8:$E38,$V4,R8:R38)+VLOOKUP(G1,IMPOSTAZIONI!$B$419:$AK$425,$E$149,FALSE),G98))</f>
        <v>0</v>
      </c>
      <c r="H48" s="653">
        <f>IF(AND(C61=1,H63&lt;&gt;0),H87,IF(H152=0,SUM(S8:S38)-SUMIF($E8:$E38,$V4,S8:S38)+VLOOKUP(H1,IMPOSTAZIONI!$B$419:$AK$425,$E$149,FALSE),H98))</f>
        <v>0</v>
      </c>
      <c r="I48" s="59"/>
      <c r="J48" s="139"/>
      <c r="K48" s="655">
        <f>IF(AND(C61=1,K63&lt;&gt;0),I87,IF(I152=0,SUM(T8:T38)-SUMIF($E8:$E38,$V4,T8:T38)+VLOOKUP(K1,IMPOSTAZIONI!$B$419:$AK$425,$E$149,FALSE),K98))</f>
        <v>0</v>
      </c>
      <c r="L48" s="59"/>
      <c r="M48" s="139"/>
      <c r="N48" s="655">
        <f>IF(AND(C61=1,N63&lt;&gt;0),K87,IF(J152=0,SUM(U8:U38)-SUMIF($E8:$E38,$V4,U8:U38)+VLOOKUP(N1,IMPOSTAZIONI!$B$419:$AK$425,$E$149,FALSE),N98))</f>
        <v>0</v>
      </c>
      <c r="O48" s="2"/>
      <c r="P48" s="2"/>
      <c r="Q48" s="13"/>
      <c r="R48" s="2"/>
      <c r="S48" s="591"/>
      <c r="T48" s="591"/>
      <c r="U48" s="591"/>
      <c r="V48" s="591"/>
      <c r="W48" s="591"/>
      <c r="X48" s="591"/>
      <c r="Y48" s="591"/>
      <c r="Z48" s="591"/>
      <c r="AA48" s="591"/>
      <c r="AB48" s="591"/>
      <c r="AC48" s="591"/>
      <c r="AD48" s="591"/>
      <c r="AE48" s="591"/>
      <c r="AF48" s="591"/>
      <c r="AG48" s="591"/>
      <c r="AH48" s="591"/>
      <c r="AI48" s="591"/>
      <c r="AJ48" s="591"/>
      <c r="AK48" s="591"/>
      <c r="AL48" s="591"/>
      <c r="AM48" s="591"/>
      <c r="AN48" s="591"/>
      <c r="AO48" s="591"/>
      <c r="AP48" s="591"/>
      <c r="AQ48" s="591"/>
      <c r="AR48" s="591"/>
      <c r="AS48" s="591"/>
      <c r="AT48" s="591"/>
      <c r="AU48" s="591"/>
      <c r="AV48" s="591"/>
      <c r="AW48" s="591"/>
      <c r="AX48" s="591"/>
      <c r="AY48" s="591"/>
      <c r="AZ48" s="2"/>
      <c r="BA48" s="2"/>
      <c r="BB48" s="591"/>
    </row>
    <row r="49" spans="1:54" ht="37.5" customHeight="1" x14ac:dyDescent="0.2">
      <c r="A49" s="2"/>
      <c r="B49" s="2"/>
      <c r="C49" s="14"/>
      <c r="D49" s="14"/>
      <c r="E49" s="12"/>
      <c r="F49" s="12"/>
      <c r="G49" s="11"/>
      <c r="H49" s="11"/>
      <c r="I49" s="12"/>
      <c r="J49" s="12"/>
      <c r="K49" s="11"/>
      <c r="L49" s="12"/>
      <c r="M49" s="12"/>
      <c r="N49" s="11"/>
      <c r="O49" s="12"/>
      <c r="P49" s="12"/>
      <c r="Q49" s="12"/>
      <c r="R49" s="12"/>
      <c r="S49" s="1308"/>
      <c r="T49" s="1308"/>
      <c r="U49" s="591"/>
      <c r="V49" s="591"/>
      <c r="W49" s="591"/>
      <c r="X49" s="591"/>
      <c r="Y49" s="591"/>
      <c r="Z49" s="591"/>
      <c r="AA49" s="591"/>
      <c r="AB49" s="591"/>
      <c r="AC49" s="591"/>
      <c r="AD49" s="591"/>
      <c r="AE49" s="591"/>
      <c r="AF49" s="591"/>
      <c r="AG49" s="591"/>
      <c r="AH49" s="591"/>
      <c r="AI49" s="591"/>
      <c r="AJ49" s="591"/>
      <c r="AK49" s="591"/>
      <c r="AL49" s="591"/>
      <c r="AM49" s="591"/>
      <c r="AN49" s="591"/>
      <c r="AO49" s="591"/>
      <c r="AP49" s="591"/>
      <c r="AQ49" s="591"/>
      <c r="AR49" s="591"/>
      <c r="AS49" s="591"/>
      <c r="AT49" s="591"/>
      <c r="AU49" s="591"/>
      <c r="AV49" s="591"/>
      <c r="AW49" s="591"/>
      <c r="AX49" s="591"/>
      <c r="AY49" s="591"/>
      <c r="AZ49" s="2"/>
      <c r="BA49" s="2"/>
      <c r="BB49" s="591"/>
    </row>
    <row r="50" spans="1:54" ht="18.75" customHeight="1" x14ac:dyDescent="0.2">
      <c r="A50" s="2"/>
      <c r="B50" s="2"/>
      <c r="C50" s="2174" t="s">
        <v>196</v>
      </c>
      <c r="D50" s="2174"/>
      <c r="E50" s="2174"/>
      <c r="F50" s="96"/>
      <c r="G50" s="2225" t="s">
        <v>488</v>
      </c>
      <c r="H50" s="2226"/>
      <c r="I50" s="2226"/>
      <c r="J50" s="2226"/>
      <c r="K50" s="2226"/>
      <c r="L50" s="2226"/>
      <c r="M50" s="2227"/>
      <c r="N50" s="656"/>
      <c r="O50" s="656"/>
      <c r="P50" s="14"/>
      <c r="Q50" s="2"/>
      <c r="R50" s="15"/>
      <c r="S50" s="1309"/>
      <c r="T50" s="591"/>
      <c r="U50" s="591"/>
      <c r="V50" s="591"/>
      <c r="W50" s="591"/>
      <c r="X50" s="591"/>
      <c r="Y50" s="591"/>
      <c r="Z50" s="1308"/>
      <c r="AA50" s="1309"/>
      <c r="AB50" s="591"/>
      <c r="AC50" s="591"/>
      <c r="AD50" s="591"/>
      <c r="AE50" s="591"/>
      <c r="AF50" s="591"/>
      <c r="AG50" s="591"/>
      <c r="AH50" s="591"/>
      <c r="AI50" s="591"/>
      <c r="AJ50" s="591"/>
      <c r="AK50" s="591"/>
      <c r="AL50" s="591"/>
      <c r="AM50" s="591"/>
      <c r="AN50" s="591"/>
      <c r="AO50" s="591"/>
      <c r="AP50" s="591"/>
      <c r="AQ50" s="591"/>
      <c r="AR50" s="591"/>
      <c r="AS50" s="591"/>
      <c r="AT50" s="591"/>
      <c r="AU50" s="591"/>
      <c r="AV50" s="591"/>
      <c r="AW50" s="591"/>
      <c r="AX50" s="591"/>
      <c r="AY50" s="591"/>
      <c r="AZ50" s="2"/>
      <c r="BA50" s="2"/>
      <c r="BB50" s="591"/>
    </row>
    <row r="51" spans="1:54" ht="16.5" customHeight="1" x14ac:dyDescent="0.25">
      <c r="A51" s="2"/>
      <c r="B51" s="2"/>
      <c r="C51" s="2126" t="s">
        <v>197</v>
      </c>
      <c r="D51" s="2127"/>
      <c r="E51" s="2128"/>
      <c r="F51" s="554"/>
      <c r="G51" s="293" t="str">
        <f>VLOOKUP(M3,K144:M148,3,FALSE)</f>
        <v>IVA a debito</v>
      </c>
      <c r="H51" s="294" t="str">
        <f>VLOOKUP(M3,K144:O148,5,FALSE)</f>
        <v>IVA a credito</v>
      </c>
      <c r="I51" s="2214" t="s">
        <v>200</v>
      </c>
      <c r="J51" s="2215"/>
      <c r="K51" s="1303" t="s">
        <v>201</v>
      </c>
      <c r="L51" s="2214" t="s">
        <v>71</v>
      </c>
      <c r="M51" s="2215"/>
      <c r="N51" s="14"/>
      <c r="O51" s="14"/>
      <c r="P51" s="14"/>
      <c r="Q51" s="12"/>
      <c r="R51" s="2"/>
      <c r="S51" s="591"/>
      <c r="T51" s="591"/>
      <c r="U51" s="591"/>
      <c r="V51" s="591"/>
      <c r="W51" s="591"/>
      <c r="X51" s="591"/>
      <c r="Y51" s="591"/>
      <c r="Z51" s="591"/>
      <c r="AA51" s="591"/>
      <c r="AB51" s="591"/>
      <c r="AC51" s="591"/>
      <c r="AD51" s="591"/>
      <c r="AE51" s="591"/>
      <c r="AF51" s="591"/>
      <c r="AG51" s="591"/>
      <c r="AH51" s="591"/>
      <c r="AI51" s="591"/>
      <c r="AJ51" s="591"/>
      <c r="AK51" s="591"/>
      <c r="AL51" s="591"/>
      <c r="AM51" s="591"/>
      <c r="AN51" s="591"/>
      <c r="AO51" s="591"/>
      <c r="AP51" s="591"/>
      <c r="AQ51" s="591"/>
      <c r="AR51" s="591"/>
      <c r="AS51" s="591"/>
      <c r="AT51" s="591"/>
      <c r="AU51" s="591"/>
      <c r="AV51" s="591"/>
      <c r="AW51" s="591"/>
      <c r="AX51" s="591"/>
      <c r="AY51" s="591"/>
      <c r="AZ51" s="2"/>
      <c r="BA51" s="2"/>
      <c r="BB51" s="591"/>
    </row>
    <row r="52" spans="1:54" ht="16.5" customHeight="1" x14ac:dyDescent="0.2">
      <c r="A52" s="2"/>
      <c r="B52" s="2"/>
      <c r="C52" s="2129"/>
      <c r="D52" s="2130"/>
      <c r="E52" s="2131"/>
      <c r="F52" s="576"/>
      <c r="G52" s="295" t="str">
        <f>VLOOKUP(M3,K144:N148,4,FALSE)</f>
        <v>corrispettivi</v>
      </c>
      <c r="H52" s="296" t="str">
        <f>VLOOKUP(M3,K144:P148,6,FALSE)</f>
        <v>ACQUISTI</v>
      </c>
      <c r="I52" s="2212" t="s">
        <v>201</v>
      </c>
      <c r="J52" s="2213"/>
      <c r="K52" s="1304" t="s">
        <v>204</v>
      </c>
      <c r="L52" s="2212" t="s">
        <v>205</v>
      </c>
      <c r="M52" s="2213"/>
      <c r="N52" s="14"/>
      <c r="O52" s="14"/>
      <c r="P52" s="14"/>
      <c r="Q52" s="12"/>
      <c r="R52" s="2"/>
      <c r="S52" s="591"/>
      <c r="T52" s="591"/>
      <c r="U52" s="591"/>
      <c r="V52" s="591"/>
      <c r="W52" s="591"/>
      <c r="X52" s="591"/>
      <c r="Y52" s="591"/>
      <c r="Z52" s="591"/>
      <c r="AA52" s="591"/>
      <c r="AB52" s="591"/>
      <c r="AC52" s="591"/>
      <c r="AD52" s="591"/>
      <c r="AE52" s="591"/>
      <c r="AF52" s="591"/>
      <c r="AG52" s="591"/>
      <c r="AH52" s="591"/>
      <c r="AI52" s="591"/>
      <c r="AJ52" s="591"/>
      <c r="AK52" s="591"/>
      <c r="AL52" s="591"/>
      <c r="AM52" s="591"/>
      <c r="AN52" s="591"/>
      <c r="AO52" s="591"/>
      <c r="AP52" s="591"/>
      <c r="AQ52" s="591"/>
      <c r="AR52" s="591"/>
      <c r="AS52" s="591"/>
      <c r="AT52" s="591"/>
      <c r="AU52" s="591"/>
      <c r="AV52" s="591"/>
      <c r="AW52" s="591"/>
      <c r="AX52" s="591"/>
      <c r="AY52" s="591"/>
      <c r="AZ52" s="2"/>
      <c r="BA52" s="2"/>
      <c r="BB52" s="591"/>
    </row>
    <row r="53" spans="1:54" ht="16.5" customHeight="1" x14ac:dyDescent="0.2">
      <c r="A53" s="2"/>
      <c r="B53" s="2"/>
      <c r="C53" s="2132" t="s">
        <v>816</v>
      </c>
      <c r="D53" s="2133"/>
      <c r="E53" s="2134"/>
      <c r="F53" s="554"/>
      <c r="G53" s="2045">
        <f>E48</f>
        <v>0</v>
      </c>
      <c r="H53" s="2047"/>
      <c r="I53" s="2066">
        <f>G53+H53</f>
        <v>0</v>
      </c>
      <c r="J53" s="2067"/>
      <c r="K53" s="2183"/>
      <c r="L53" s="2066">
        <f>I53+K53</f>
        <v>0</v>
      </c>
      <c r="M53" s="2067"/>
      <c r="N53" s="14"/>
      <c r="O53" s="14"/>
      <c r="P53" s="14"/>
      <c r="Q53" s="12"/>
      <c r="R53" s="2"/>
      <c r="S53" s="591"/>
      <c r="T53" s="591"/>
      <c r="U53" s="591"/>
      <c r="V53" s="591"/>
      <c r="W53" s="591"/>
      <c r="X53" s="591"/>
      <c r="Y53" s="591"/>
      <c r="Z53" s="591"/>
      <c r="AA53" s="591"/>
      <c r="AB53" s="591"/>
      <c r="AC53" s="591"/>
      <c r="AD53" s="591"/>
      <c r="AE53" s="591"/>
      <c r="AF53" s="591"/>
      <c r="AG53" s="591"/>
      <c r="AH53" s="591"/>
      <c r="AI53" s="591"/>
      <c r="AJ53" s="591"/>
      <c r="AK53" s="591"/>
      <c r="AL53" s="591"/>
      <c r="AM53" s="591"/>
      <c r="AN53" s="591"/>
      <c r="AO53" s="591"/>
      <c r="AP53" s="591"/>
      <c r="AQ53" s="591"/>
      <c r="AR53" s="591"/>
      <c r="AS53" s="591"/>
      <c r="AT53" s="591"/>
      <c r="AU53" s="591"/>
      <c r="AV53" s="591"/>
      <c r="AW53" s="591"/>
      <c r="AX53" s="591"/>
      <c r="AY53" s="591"/>
      <c r="AZ53" s="2"/>
      <c r="BA53" s="2"/>
      <c r="BB53" s="591"/>
    </row>
    <row r="54" spans="1:54" ht="16.5" customHeight="1" x14ac:dyDescent="0.2">
      <c r="A54" s="2"/>
      <c r="B54" s="2"/>
      <c r="C54" s="2042"/>
      <c r="D54" s="2043"/>
      <c r="E54" s="2044"/>
      <c r="F54" s="577"/>
      <c r="G54" s="2046"/>
      <c r="H54" s="2048"/>
      <c r="I54" s="2068"/>
      <c r="J54" s="2069"/>
      <c r="K54" s="2184"/>
      <c r="L54" s="2068"/>
      <c r="M54" s="2069"/>
      <c r="N54" s="14"/>
      <c r="O54" s="14"/>
      <c r="P54" s="14"/>
      <c r="Q54" s="12"/>
      <c r="R54" s="2"/>
      <c r="S54" s="591"/>
      <c r="T54" s="591"/>
      <c r="U54" s="591"/>
      <c r="V54" s="591"/>
      <c r="W54" s="591"/>
      <c r="X54" s="591"/>
      <c r="Y54" s="591"/>
      <c r="Z54" s="591"/>
      <c r="AA54" s="591"/>
      <c r="AB54" s="591"/>
      <c r="AC54" s="591"/>
      <c r="AD54" s="591"/>
      <c r="AE54" s="591"/>
      <c r="AF54" s="591"/>
      <c r="AG54" s="591"/>
      <c r="AH54" s="591"/>
      <c r="AI54" s="591"/>
      <c r="AJ54" s="591"/>
      <c r="AK54" s="591"/>
      <c r="AL54" s="591"/>
      <c r="AM54" s="591"/>
      <c r="AN54" s="591"/>
      <c r="AO54" s="591"/>
      <c r="AP54" s="591"/>
      <c r="AQ54" s="591"/>
      <c r="AR54" s="591"/>
      <c r="AS54" s="591"/>
      <c r="AT54" s="591"/>
      <c r="AU54" s="591"/>
      <c r="AV54" s="591"/>
      <c r="AW54" s="591"/>
      <c r="AX54" s="591"/>
      <c r="AY54" s="591"/>
      <c r="AZ54" s="2"/>
      <c r="BA54" s="2"/>
      <c r="BB54" s="591"/>
    </row>
    <row r="55" spans="1:54" ht="16.5" customHeight="1" x14ac:dyDescent="0.2">
      <c r="A55" s="2"/>
      <c r="B55" s="2"/>
      <c r="C55" s="2132" t="s">
        <v>815</v>
      </c>
      <c r="D55" s="2133"/>
      <c r="E55" s="2134"/>
      <c r="F55" s="555"/>
      <c r="G55" s="16" t="s">
        <v>206</v>
      </c>
      <c r="H55" s="890" t="s">
        <v>207</v>
      </c>
      <c r="I55" s="2120" t="str">
        <f>VLOOKUP(M3,K144:Q148,7,FALSE)</f>
        <v>DEBITO +</v>
      </c>
      <c r="J55" s="2121"/>
      <c r="K55" s="891" t="s">
        <v>208</v>
      </c>
      <c r="L55" s="2120" t="str">
        <f>VLOOKUP(M3,K144:T148,9,FALSE)</f>
        <v>DEBITO +</v>
      </c>
      <c r="M55" s="2121"/>
      <c r="N55" s="14"/>
      <c r="O55" s="14"/>
      <c r="P55" s="12"/>
      <c r="Q55" s="2"/>
      <c r="R55" s="2"/>
      <c r="S55" s="591"/>
      <c r="T55" s="591"/>
      <c r="U55" s="591"/>
      <c r="V55" s="591"/>
      <c r="W55" s="591"/>
      <c r="X55" s="591"/>
      <c r="Y55" s="591"/>
      <c r="Z55" s="591"/>
      <c r="AA55" s="591"/>
      <c r="AB55" s="591"/>
      <c r="AC55" s="591"/>
      <c r="AD55" s="591"/>
      <c r="AE55" s="591"/>
      <c r="AF55" s="591"/>
      <c r="AG55" s="591"/>
      <c r="AH55" s="591"/>
      <c r="AI55" s="591"/>
      <c r="AJ55" s="591"/>
      <c r="AK55" s="591"/>
      <c r="AL55" s="591"/>
      <c r="AM55" s="591"/>
      <c r="AN55" s="591"/>
      <c r="AO55" s="591"/>
      <c r="AP55" s="591"/>
      <c r="AQ55" s="591"/>
      <c r="AR55" s="591"/>
      <c r="AS55" s="591"/>
      <c r="AT55" s="591"/>
      <c r="AU55" s="591"/>
      <c r="AV55" s="591"/>
      <c r="AW55" s="591"/>
      <c r="AX55" s="591"/>
      <c r="AY55" s="591"/>
      <c r="AZ55" s="2"/>
      <c r="BA55" s="2"/>
      <c r="BB55" s="591"/>
    </row>
    <row r="56" spans="1:54" ht="16.5" customHeight="1" x14ac:dyDescent="0.2">
      <c r="A56" s="2"/>
      <c r="B56" s="2"/>
      <c r="C56" s="2138"/>
      <c r="D56" s="2139"/>
      <c r="E56" s="1215"/>
      <c r="F56" s="514"/>
      <c r="G56" s="97"/>
      <c r="H56" s="14"/>
      <c r="I56" s="2123" t="str">
        <f>VLOOKUP(M3,K144:R148,8,FALSE)</f>
        <v>CREDITO -</v>
      </c>
      <c r="J56" s="2124"/>
      <c r="K56" s="14"/>
      <c r="L56" s="2123" t="str">
        <f>VLOOKUP(M3,K144:T148,10,FALSE)</f>
        <v>CREDITO -</v>
      </c>
      <c r="M56" s="2124"/>
      <c r="N56" s="14"/>
      <c r="O56" s="2122"/>
      <c r="P56" s="2122"/>
      <c r="Q56" s="14"/>
      <c r="R56" s="2"/>
      <c r="S56" s="591"/>
      <c r="T56" s="591"/>
      <c r="U56" s="591"/>
      <c r="V56" s="591"/>
      <c r="W56" s="591"/>
      <c r="X56" s="591"/>
      <c r="Y56" s="591"/>
      <c r="Z56" s="591"/>
      <c r="AA56" s="591"/>
      <c r="AB56" s="591"/>
      <c r="AC56" s="591"/>
      <c r="AD56" s="591"/>
      <c r="AE56" s="591"/>
      <c r="AF56" s="591"/>
      <c r="AG56" s="591"/>
      <c r="AH56" s="591"/>
      <c r="AI56" s="591"/>
      <c r="AJ56" s="591"/>
      <c r="AK56" s="591"/>
      <c r="AL56" s="591"/>
      <c r="AM56" s="591"/>
      <c r="AN56" s="591"/>
      <c r="AO56" s="591"/>
      <c r="AP56" s="591"/>
      <c r="AQ56" s="591"/>
      <c r="AR56" s="591"/>
      <c r="AS56" s="591"/>
      <c r="AT56" s="591"/>
      <c r="AU56" s="591"/>
      <c r="AV56" s="591"/>
      <c r="AW56" s="591"/>
      <c r="AX56" s="591"/>
      <c r="AY56" s="591"/>
      <c r="AZ56" s="2"/>
      <c r="BA56" s="2"/>
      <c r="BB56" s="591"/>
    </row>
    <row r="57" spans="1:54" ht="30" customHeight="1" x14ac:dyDescent="0.2">
      <c r="A57" s="2"/>
      <c r="B57" s="17"/>
      <c r="C57" s="2144" t="s">
        <v>346</v>
      </c>
      <c r="D57" s="2144"/>
      <c r="E57" s="2145"/>
      <c r="F57" s="2145"/>
      <c r="G57" s="892" t="s">
        <v>347</v>
      </c>
      <c r="H57" s="892"/>
      <c r="I57" s="892"/>
      <c r="J57" s="892"/>
      <c r="K57" s="892"/>
      <c r="L57" s="892"/>
      <c r="M57" s="892"/>
      <c r="N57" s="892"/>
      <c r="O57" s="2211" t="s">
        <v>405</v>
      </c>
      <c r="P57" s="2211"/>
      <c r="Q57" s="255"/>
      <c r="R57" s="255"/>
      <c r="S57" s="1307"/>
      <c r="T57" s="1307"/>
      <c r="U57" s="591"/>
      <c r="V57" s="591"/>
      <c r="W57" s="591"/>
      <c r="X57" s="591"/>
      <c r="Y57" s="591"/>
      <c r="Z57" s="591"/>
      <c r="AA57" s="1307"/>
      <c r="AB57" s="1307"/>
      <c r="AC57" s="591"/>
      <c r="AD57" s="591"/>
      <c r="AE57" s="591"/>
      <c r="AF57" s="591"/>
      <c r="AG57" s="591"/>
      <c r="AH57" s="591"/>
      <c r="AI57" s="591"/>
      <c r="AJ57" s="591"/>
      <c r="AK57" s="591"/>
      <c r="AL57" s="591"/>
      <c r="AM57" s="591"/>
      <c r="AN57" s="591"/>
      <c r="AO57" s="591"/>
      <c r="AP57" s="591"/>
      <c r="AQ57" s="591"/>
      <c r="AR57" s="591"/>
      <c r="AS57" s="591"/>
      <c r="AT57" s="591"/>
      <c r="AU57" s="591"/>
      <c r="AV57" s="591"/>
      <c r="AW57" s="591"/>
      <c r="AX57" s="591"/>
      <c r="AY57" s="591"/>
      <c r="AZ57" s="2"/>
      <c r="BA57" s="2"/>
      <c r="BB57" s="591"/>
    </row>
    <row r="58" spans="1:54" ht="24.75" customHeight="1" x14ac:dyDescent="0.2">
      <c r="A58" s="2"/>
      <c r="B58" s="2"/>
      <c r="C58" s="2143">
        <f>IMPOSTAZIONI!T73</f>
        <v>0</v>
      </c>
      <c r="D58" s="2143"/>
      <c r="E58" s="2143"/>
      <c r="F58" s="2143"/>
      <c r="G58" s="893" t="str">
        <f>IMPOSTAZIONI!Y75</f>
        <v>Indirizzo esteso UBICAZIONE dell' Esercizio (facoltativo)</v>
      </c>
      <c r="H58" s="893"/>
      <c r="I58" s="893"/>
      <c r="J58" s="893"/>
      <c r="K58" s="893"/>
      <c r="L58" s="893"/>
      <c r="M58" s="893"/>
      <c r="N58" s="893"/>
      <c r="O58" s="1113" t="s">
        <v>344</v>
      </c>
      <c r="P58" s="2119">
        <v>6</v>
      </c>
      <c r="Q58" s="2119"/>
      <c r="R58" s="14"/>
      <c r="S58" s="591"/>
      <c r="T58" s="591"/>
      <c r="U58" s="591"/>
      <c r="V58" s="591"/>
      <c r="W58" s="591"/>
      <c r="X58" s="591"/>
      <c r="Y58" s="591"/>
      <c r="Z58" s="591"/>
      <c r="AA58" s="591"/>
      <c r="AB58" s="591"/>
      <c r="AC58" s="591"/>
      <c r="AD58" s="591"/>
      <c r="AE58" s="591"/>
      <c r="AF58" s="591"/>
      <c r="AG58" s="591"/>
      <c r="AH58" s="591"/>
      <c r="AI58" s="591"/>
      <c r="AJ58" s="591"/>
      <c r="AK58" s="591"/>
      <c r="AL58" s="591"/>
      <c r="AM58" s="591"/>
      <c r="AN58" s="591"/>
      <c r="AO58" s="591"/>
      <c r="AP58" s="591"/>
      <c r="AQ58" s="591"/>
      <c r="AR58" s="591"/>
      <c r="AS58" s="591"/>
      <c r="AT58" s="591"/>
      <c r="AU58" s="591"/>
      <c r="AV58" s="591"/>
      <c r="AW58" s="591"/>
      <c r="AX58" s="591"/>
      <c r="AY58" s="591"/>
      <c r="AZ58" s="2"/>
      <c r="BA58" s="2"/>
      <c r="BB58" s="591"/>
    </row>
    <row r="59" spans="1:54" ht="15.75" customHeight="1" x14ac:dyDescent="0.2">
      <c r="A59" s="2"/>
      <c r="B59" s="2"/>
      <c r="C59" s="2146" t="s">
        <v>248</v>
      </c>
      <c r="D59" s="2146"/>
      <c r="E59" s="2146"/>
      <c r="F59" s="2"/>
      <c r="G59" s="2"/>
      <c r="H59" s="2"/>
      <c r="I59" s="2"/>
      <c r="J59" s="2"/>
      <c r="K59" s="2"/>
      <c r="L59" s="2"/>
      <c r="M59" s="2"/>
      <c r="N59" s="2"/>
      <c r="O59" s="2"/>
      <c r="P59" s="2"/>
      <c r="Q59" s="2"/>
      <c r="R59" s="2"/>
      <c r="S59" s="591"/>
      <c r="T59" s="591"/>
      <c r="U59" s="591"/>
      <c r="V59" s="591"/>
      <c r="W59" s="591"/>
      <c r="X59" s="591"/>
      <c r="Y59" s="591"/>
      <c r="Z59" s="591"/>
      <c r="AA59" s="591"/>
      <c r="AB59" s="591"/>
      <c r="AC59" s="591"/>
      <c r="AD59" s="591"/>
      <c r="AE59" s="591"/>
      <c r="AF59" s="591"/>
      <c r="AG59" s="591"/>
      <c r="AH59" s="591"/>
      <c r="AI59" s="591"/>
      <c r="AJ59" s="591"/>
      <c r="AK59" s="591"/>
      <c r="AL59" s="591"/>
      <c r="AM59" s="591"/>
      <c r="AN59" s="591"/>
      <c r="AO59" s="591"/>
      <c r="AP59" s="591"/>
      <c r="AQ59" s="591"/>
      <c r="AR59" s="591"/>
      <c r="AS59" s="591"/>
      <c r="AT59" s="591"/>
      <c r="AU59" s="591"/>
      <c r="AV59" s="591"/>
      <c r="AW59" s="591"/>
      <c r="AX59" s="591"/>
      <c r="AY59" s="591"/>
      <c r="AZ59" s="591"/>
      <c r="BA59" s="591"/>
      <c r="BB59" s="591"/>
    </row>
    <row r="60" spans="1:54" ht="15" hidden="1" customHeight="1" x14ac:dyDescent="0.2">
      <c r="A60" s="2"/>
      <c r="B60" s="2"/>
      <c r="C60" s="2"/>
      <c r="D60" s="2"/>
      <c r="E60" s="2"/>
      <c r="F60" s="2"/>
      <c r="G60" s="2"/>
      <c r="H60" s="2"/>
      <c r="I60" s="2"/>
      <c r="J60" s="2"/>
      <c r="K60" s="2"/>
      <c r="L60" s="2"/>
      <c r="M60" s="2"/>
      <c r="N60" s="2"/>
      <c r="O60" s="2"/>
      <c r="P60" s="1012" t="s">
        <v>765</v>
      </c>
      <c r="Q60" s="2"/>
      <c r="R60" s="2"/>
      <c r="S60" s="591"/>
      <c r="T60" s="591"/>
      <c r="U60" s="591"/>
      <c r="V60" s="591"/>
      <c r="W60" s="591"/>
      <c r="X60" s="591"/>
      <c r="Y60" s="591"/>
      <c r="Z60" s="591"/>
      <c r="AA60" s="591"/>
      <c r="AB60" s="591"/>
      <c r="AC60" s="591"/>
      <c r="AD60" s="591"/>
      <c r="AE60" s="591"/>
      <c r="AF60" s="591"/>
      <c r="AG60" s="591"/>
      <c r="AH60" s="591"/>
      <c r="AI60" s="591"/>
      <c r="AJ60" s="591"/>
      <c r="AK60" s="591"/>
      <c r="AL60" s="591"/>
      <c r="AM60" s="591"/>
      <c r="AN60" s="591"/>
      <c r="AO60" s="591"/>
      <c r="AP60" s="591"/>
      <c r="AQ60" s="591"/>
      <c r="AR60" s="591"/>
      <c r="AS60" s="591"/>
      <c r="AT60" s="591"/>
      <c r="AU60" s="591"/>
      <c r="AV60" s="591"/>
      <c r="AW60" s="591"/>
      <c r="AX60" s="591"/>
      <c r="AY60" s="591"/>
      <c r="AZ60" s="591"/>
      <c r="BA60" s="591"/>
      <c r="BB60" s="591"/>
    </row>
    <row r="61" spans="1:54" ht="16.5" hidden="1" customHeight="1" x14ac:dyDescent="0.2">
      <c r="A61" s="2"/>
      <c r="B61" s="2"/>
      <c r="C61" s="1369">
        <f>IF(M3=K147,0,IF(T65=0,0,IF(E8=CONCATENATE(L131,"  "),0,IF(COUNTIF(G62:N62,$L$134)&gt;0,1,0))))</f>
        <v>0</v>
      </c>
      <c r="D61" s="1369">
        <f>IMPOSTAZIONI!H35</f>
        <v>0</v>
      </c>
      <c r="E61" s="2"/>
      <c r="F61" s="2"/>
      <c r="G61" s="1010" t="str">
        <f>IMPOSTAZIONI!$I$19</f>
        <v>Colonna 1</v>
      </c>
      <c r="H61" s="1010" t="str">
        <f>IMPOSTAZIONI!$M$19</f>
        <v>Colonna 2</v>
      </c>
      <c r="I61" s="101"/>
      <c r="J61" s="101"/>
      <c r="K61" s="1010" t="str">
        <f>IMPOSTAZIONI!$U$19</f>
        <v>Colonna 3</v>
      </c>
      <c r="L61" s="101"/>
      <c r="M61" s="101"/>
      <c r="N61" s="1010" t="str">
        <f>IMPOSTAZIONI!$AC$19</f>
        <v>Colonna 4</v>
      </c>
      <c r="O61" s="2"/>
      <c r="P61" s="1013" t="s">
        <v>766</v>
      </c>
      <c r="Q61" s="2"/>
      <c r="R61" s="2"/>
      <c r="S61" s="591"/>
      <c r="T61" s="591"/>
      <c r="U61" s="591"/>
      <c r="V61" s="591"/>
      <c r="W61" s="591"/>
      <c r="X61" s="591"/>
      <c r="Y61" s="591"/>
      <c r="Z61" s="591"/>
      <c r="AA61" s="591"/>
      <c r="AB61" s="591"/>
      <c r="AC61" s="591"/>
      <c r="AD61" s="591"/>
      <c r="AE61" s="591"/>
      <c r="AF61" s="591"/>
      <c r="AG61" s="591"/>
      <c r="AH61" s="591"/>
      <c r="AI61" s="591"/>
      <c r="AJ61" s="591"/>
      <c r="AK61" s="591"/>
      <c r="AL61" s="591"/>
      <c r="AM61" s="591"/>
      <c r="AN61" s="591"/>
      <c r="AO61" s="591"/>
      <c r="AP61" s="591"/>
      <c r="AQ61" s="591"/>
      <c r="AR61" s="591"/>
      <c r="AS61" s="591"/>
      <c r="AT61" s="591"/>
      <c r="AU61" s="591"/>
      <c r="AV61" s="591"/>
      <c r="AW61" s="591"/>
      <c r="AX61" s="591"/>
      <c r="AY61" s="591"/>
      <c r="AZ61" s="591"/>
      <c r="BA61" s="591"/>
      <c r="BB61" s="591"/>
    </row>
    <row r="62" spans="1:54" ht="20.25" hidden="1" customHeight="1" x14ac:dyDescent="0.2">
      <c r="A62" s="2"/>
      <c r="B62" s="2"/>
      <c r="C62" s="2"/>
      <c r="D62" s="2"/>
      <c r="E62" s="2"/>
      <c r="F62" s="2"/>
      <c r="G62" s="1011" t="str">
        <f>IF(IMPOSTAZIONI!$I$35=0,$L$135,IMPOSTAZIONI!$I$35)</f>
        <v>SCORPORO</v>
      </c>
      <c r="H62" s="1011" t="str">
        <f>IF(IMPOSTAZIONI!$M$35=0,$L$135,IMPOSTAZIONI!$M$35)</f>
        <v>SCORPORO</v>
      </c>
      <c r="I62" s="101"/>
      <c r="J62" s="101"/>
      <c r="K62" s="1011" t="str">
        <f>IF(IMPOSTAZIONI!$U$35=0,$L$135,IMPOSTAZIONI!$U$35)</f>
        <v>SCORPORO</v>
      </c>
      <c r="L62" s="101"/>
      <c r="M62" s="101"/>
      <c r="N62" s="1011" t="str">
        <f>IF(IMPOSTAZIONI!$AC$35=0,$L$135,IMPOSTAZIONI!$AC$35)</f>
        <v>SCORPORO</v>
      </c>
      <c r="O62" s="2"/>
      <c r="P62" s="2"/>
      <c r="Q62" s="2"/>
      <c r="R62" s="2"/>
      <c r="S62" s="2"/>
      <c r="T62" s="2"/>
      <c r="U62" s="2"/>
      <c r="V62" s="2"/>
      <c r="W62" s="2"/>
      <c r="X62" s="2"/>
      <c r="Y62" s="2"/>
      <c r="Z62" s="2"/>
      <c r="AA62" s="2"/>
      <c r="AB62" s="591"/>
      <c r="AC62" s="591"/>
      <c r="AD62" s="591"/>
      <c r="AE62" s="591"/>
      <c r="AF62" s="591"/>
      <c r="AG62" s="591"/>
      <c r="AH62" s="591"/>
      <c r="AI62" s="591"/>
      <c r="AJ62" s="591"/>
      <c r="AK62" s="591"/>
      <c r="AL62" s="591"/>
      <c r="AM62" s="591"/>
      <c r="AN62" s="591"/>
      <c r="AO62" s="591"/>
      <c r="AP62" s="591"/>
      <c r="AQ62" s="591"/>
      <c r="AR62" s="591"/>
      <c r="AS62" s="591"/>
      <c r="AT62" s="591"/>
      <c r="AU62" s="591"/>
      <c r="AV62" s="591"/>
      <c r="AW62" s="591"/>
      <c r="AX62" s="591"/>
      <c r="AY62" s="591"/>
      <c r="AZ62" s="591"/>
      <c r="BA62" s="591"/>
      <c r="BB62" s="591"/>
    </row>
    <row r="63" spans="1:54" ht="20.25" hidden="1" customHeight="1" x14ac:dyDescent="0.2">
      <c r="A63" s="2"/>
      <c r="B63" s="2"/>
      <c r="C63" s="2"/>
      <c r="D63" s="2"/>
      <c r="E63" s="2"/>
      <c r="F63" s="966" t="s">
        <v>814</v>
      </c>
      <c r="G63" s="965">
        <f>IF(G62=$L134,ROUND(G46,2),0)</f>
        <v>0</v>
      </c>
      <c r="H63" s="964">
        <f>IF(H62=$L134,ROUND(H46,2),0)</f>
        <v>0</v>
      </c>
      <c r="I63" s="2"/>
      <c r="J63" s="2"/>
      <c r="K63" s="963">
        <f>IF(K62=$L134,ROUND(K46,2),0)</f>
        <v>0</v>
      </c>
      <c r="L63" s="2"/>
      <c r="M63" s="2"/>
      <c r="N63" s="963">
        <f>IF(N62=$L134,ROUND(N46,2),0)</f>
        <v>0</v>
      </c>
      <c r="O63" s="2"/>
      <c r="P63" s="2"/>
      <c r="Q63" s="2"/>
      <c r="R63" s="2"/>
      <c r="S63" s="2"/>
      <c r="T63" s="2"/>
      <c r="U63" s="2"/>
      <c r="V63" s="2"/>
      <c r="W63" s="2"/>
      <c r="X63" s="2"/>
      <c r="Y63" s="2"/>
      <c r="Z63" s="2"/>
      <c r="AA63" s="2"/>
      <c r="AB63" s="591"/>
      <c r="AC63" s="591"/>
      <c r="AD63" s="591"/>
      <c r="AE63" s="591"/>
      <c r="AF63" s="591"/>
      <c r="AG63" s="591"/>
      <c r="AH63" s="591"/>
      <c r="AI63" s="591"/>
      <c r="AJ63" s="591"/>
      <c r="AK63" s="591"/>
      <c r="AL63" s="591"/>
      <c r="AM63" s="591"/>
      <c r="AN63" s="591"/>
      <c r="AO63" s="591"/>
      <c r="AP63" s="591"/>
      <c r="AQ63" s="591"/>
      <c r="AR63" s="591"/>
      <c r="AS63" s="591"/>
      <c r="AT63" s="591"/>
      <c r="AU63" s="591"/>
      <c r="AV63" s="591"/>
      <c r="AW63" s="591"/>
      <c r="AX63" s="591"/>
      <c r="AY63" s="591"/>
      <c r="AZ63" s="591"/>
      <c r="BA63" s="591"/>
      <c r="BB63" s="591"/>
    </row>
    <row r="64" spans="1:54" ht="3.75" hidden="1"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591"/>
      <c r="AC64" s="591"/>
      <c r="AD64" s="591"/>
      <c r="AE64" s="591"/>
      <c r="AF64" s="591"/>
      <c r="AG64" s="591"/>
      <c r="AH64" s="591"/>
      <c r="AI64" s="591"/>
      <c r="AJ64" s="591"/>
      <c r="AK64" s="591"/>
      <c r="AL64" s="591"/>
      <c r="AM64" s="591"/>
      <c r="AN64" s="591"/>
      <c r="AO64" s="591"/>
      <c r="AP64" s="591"/>
      <c r="AQ64" s="591"/>
      <c r="AR64" s="591"/>
      <c r="AS64" s="591"/>
      <c r="AT64" s="591"/>
      <c r="AU64" s="591"/>
      <c r="AV64" s="591"/>
      <c r="AW64" s="591"/>
      <c r="AX64" s="591"/>
      <c r="AY64" s="591"/>
      <c r="AZ64" s="591"/>
      <c r="BA64" s="591"/>
      <c r="BB64" s="591"/>
    </row>
    <row r="65" spans="1:54" ht="20.25" hidden="1" customHeight="1" x14ac:dyDescent="0.2">
      <c r="A65" s="2"/>
      <c r="B65" s="2"/>
      <c r="C65" s="2"/>
      <c r="D65" s="2"/>
      <c r="E65" s="2"/>
      <c r="F65" s="966" t="s">
        <v>744</v>
      </c>
      <c r="G65" s="967">
        <f>G63+H63+K63+N63</f>
        <v>0</v>
      </c>
      <c r="H65" s="1114" t="str">
        <f>IF(M3=K147,"",CONCATENATE("VENTILAZIONE ",IMPOSTAZIONI!D35,IMPOSTAZIONI!B32))</f>
        <v xml:space="preserve">VENTILAZIONE </v>
      </c>
      <c r="I65" s="2"/>
      <c r="J65" s="2"/>
      <c r="K65" s="2"/>
      <c r="L65" s="2"/>
      <c r="M65" s="2"/>
      <c r="N65" s="2"/>
      <c r="O65" s="2"/>
      <c r="P65" s="2"/>
      <c r="Q65" s="2"/>
      <c r="R65" s="2"/>
      <c r="S65" s="1111" t="str">
        <f>IMPOSTAZIONI!H143</f>
        <v>MENSILE</v>
      </c>
      <c r="T65" s="2019">
        <f>IMPOSTAZIONI!D35</f>
        <v>0</v>
      </c>
      <c r="U65" s="1116" t="str">
        <f>$C182</f>
        <v>01/01 - 30/06</v>
      </c>
      <c r="V65" s="1081" t="s">
        <v>790</v>
      </c>
      <c r="W65" s="2"/>
      <c r="X65" s="2"/>
      <c r="Y65" s="1081" t="s">
        <v>792</v>
      </c>
      <c r="Z65" s="2"/>
      <c r="AA65" s="2"/>
      <c r="AB65" s="591"/>
      <c r="AC65" s="591"/>
      <c r="AD65" s="591"/>
      <c r="AE65" s="591"/>
      <c r="AF65" s="591"/>
      <c r="AG65" s="591"/>
      <c r="AH65" s="591"/>
      <c r="AI65" s="591"/>
      <c r="AJ65" s="591"/>
      <c r="AK65" s="591"/>
      <c r="AL65" s="591"/>
      <c r="AM65" s="591"/>
      <c r="AN65" s="591"/>
      <c r="AO65" s="591"/>
      <c r="AP65" s="591"/>
      <c r="AQ65" s="591"/>
      <c r="AR65" s="591"/>
      <c r="AS65" s="591"/>
      <c r="AT65" s="591"/>
      <c r="AU65" s="591"/>
      <c r="AV65" s="591"/>
      <c r="AW65" s="591"/>
      <c r="AX65" s="591"/>
      <c r="AY65" s="591"/>
      <c r="AZ65" s="591"/>
      <c r="BA65" s="591"/>
      <c r="BB65" s="591"/>
    </row>
    <row r="66" spans="1:54" ht="20.25" hidden="1" customHeight="1" x14ac:dyDescent="0.2">
      <c r="A66" s="2"/>
      <c r="B66" s="2"/>
      <c r="C66" s="2"/>
      <c r="D66" s="2"/>
      <c r="E66" s="2"/>
      <c r="F66" s="2"/>
      <c r="G66" s="2"/>
      <c r="H66" s="10"/>
      <c r="I66" s="10"/>
      <c r="J66" s="10"/>
      <c r="K66" s="10"/>
      <c r="L66" s="10"/>
      <c r="M66" s="10"/>
      <c r="N66" s="1008" t="s">
        <v>746</v>
      </c>
      <c r="O66" s="2"/>
      <c r="P66" s="2"/>
      <c r="Q66" s="2"/>
      <c r="R66" s="2"/>
      <c r="S66" s="1112" t="str">
        <f>IMPOSTAZIONI!H144</f>
        <v>TRIMESTRALE</v>
      </c>
      <c r="T66" s="2020"/>
      <c r="U66" s="806" t="str">
        <f>U65</f>
        <v>01/01 - 30/06</v>
      </c>
      <c r="V66" s="478" t="s">
        <v>790</v>
      </c>
      <c r="W66" s="2"/>
      <c r="X66" s="2"/>
      <c r="Y66" s="478" t="s">
        <v>792</v>
      </c>
      <c r="Z66" s="2"/>
      <c r="AA66" s="2"/>
      <c r="AB66" s="591"/>
      <c r="AC66" s="591"/>
      <c r="AD66" s="591"/>
      <c r="AE66" s="591"/>
      <c r="AF66" s="591"/>
      <c r="AG66" s="591"/>
      <c r="AH66" s="591"/>
      <c r="AI66" s="591"/>
      <c r="AJ66" s="591"/>
      <c r="AK66" s="591"/>
      <c r="AM66" s="591"/>
      <c r="AN66" s="591"/>
      <c r="AO66" s="591"/>
      <c r="AP66" s="591"/>
      <c r="AQ66" s="591"/>
      <c r="AS66" s="591"/>
      <c r="AT66" s="591"/>
      <c r="AU66" s="591"/>
      <c r="AV66" s="591"/>
      <c r="AW66" s="591"/>
      <c r="AY66" s="591"/>
    </row>
    <row r="67" spans="1:54" ht="24" hidden="1" customHeight="1" x14ac:dyDescent="0.2">
      <c r="A67" s="2"/>
      <c r="B67" s="2"/>
      <c r="C67" s="1183" t="s">
        <v>747</v>
      </c>
      <c r="D67" s="1165"/>
      <c r="E67" s="1165"/>
      <c r="F67" s="1165"/>
      <c r="G67" s="1197" t="e">
        <f>VLOOKUP(T65,S65:V66,4,FALSE)</f>
        <v>#N/A</v>
      </c>
      <c r="H67" s="1165"/>
      <c r="I67" s="2136" t="s">
        <v>748</v>
      </c>
      <c r="J67" s="2136"/>
      <c r="K67" s="1167"/>
      <c r="L67" s="14"/>
      <c r="M67" s="14"/>
      <c r="N67" s="1009" t="s">
        <v>749</v>
      </c>
      <c r="O67" s="2"/>
      <c r="P67" s="2"/>
      <c r="Q67" s="2"/>
      <c r="R67" s="2"/>
      <c r="S67" s="1129" t="e">
        <f>VLOOKUP(G67,V65:Y66,4,FALSE)</f>
        <v>#N/A</v>
      </c>
      <c r="T67" s="1115" t="str">
        <f>IF(T65=S66,U66,U65)</f>
        <v>01/01 - 30/06</v>
      </c>
      <c r="U67" s="2"/>
      <c r="V67" s="2"/>
      <c r="W67" s="2"/>
      <c r="X67" s="2"/>
      <c r="Y67" s="2"/>
      <c r="Z67" s="2"/>
      <c r="AA67" s="2"/>
      <c r="AB67" s="591"/>
      <c r="AC67" s="591"/>
      <c r="AD67" s="591"/>
      <c r="AE67" s="591"/>
      <c r="AF67" s="591"/>
      <c r="AG67" s="591"/>
      <c r="AH67" s="591"/>
      <c r="AI67" s="591"/>
      <c r="AJ67" s="591"/>
      <c r="AK67" s="591"/>
      <c r="AM67" s="591"/>
      <c r="AN67" s="591"/>
      <c r="AO67" s="591"/>
      <c r="AP67" s="591"/>
      <c r="AQ67" s="591"/>
      <c r="AS67" s="591"/>
      <c r="AT67" s="591"/>
      <c r="AU67" s="591"/>
      <c r="AV67" s="591"/>
      <c r="AW67" s="591"/>
      <c r="AY67" s="591"/>
    </row>
    <row r="68" spans="1:54" ht="20.25" hidden="1" customHeight="1" x14ac:dyDescent="0.2">
      <c r="A68" s="2"/>
      <c r="B68" s="2"/>
      <c r="C68" s="1169" t="s">
        <v>750</v>
      </c>
      <c r="D68" s="14"/>
      <c r="E68" s="14"/>
      <c r="F68" s="14"/>
      <c r="G68" s="1209" t="str">
        <f>C95</f>
        <v>01/06 - 30/06</v>
      </c>
      <c r="H68" s="971" t="s">
        <v>751</v>
      </c>
      <c r="I68" s="2137" t="str">
        <f>T67</f>
        <v>01/01 - 30/06</v>
      </c>
      <c r="J68" s="2137"/>
      <c r="K68" s="1208" t="s">
        <v>752</v>
      </c>
      <c r="L68" s="2022" t="s">
        <v>195</v>
      </c>
      <c r="M68" s="2022"/>
      <c r="N68" s="972" t="s">
        <v>353</v>
      </c>
      <c r="O68" s="2"/>
      <c r="P68" s="2"/>
      <c r="Q68" s="2"/>
      <c r="R68" s="2"/>
      <c r="S68" s="2"/>
      <c r="T68" s="2"/>
      <c r="U68" s="2"/>
      <c r="V68" s="2"/>
      <c r="W68" s="2"/>
      <c r="X68" s="2"/>
      <c r="Y68" s="2"/>
      <c r="Z68" s="2"/>
      <c r="AA68" s="2"/>
      <c r="AB68" s="591"/>
      <c r="AC68" s="591"/>
      <c r="AD68" s="591"/>
      <c r="AE68" s="591"/>
      <c r="AF68" s="591"/>
      <c r="AG68" s="591"/>
      <c r="AH68" s="591"/>
      <c r="AI68" s="591"/>
      <c r="AJ68" s="591"/>
      <c r="AK68" s="591"/>
      <c r="AM68" s="591"/>
      <c r="AN68" s="591"/>
      <c r="AO68" s="591"/>
      <c r="AP68" s="591"/>
      <c r="AQ68" s="591"/>
      <c r="AS68" s="591"/>
      <c r="AT68" s="591"/>
      <c r="AU68" s="591"/>
      <c r="AV68" s="591"/>
      <c r="AW68" s="591"/>
      <c r="AY68" s="591"/>
    </row>
    <row r="69" spans="1:54" ht="20.25" hidden="1" customHeight="1" x14ac:dyDescent="0.2">
      <c r="A69" s="2"/>
      <c r="B69" s="2"/>
      <c r="C69" s="1198" t="s">
        <v>753</v>
      </c>
      <c r="D69" s="14"/>
      <c r="E69" s="14"/>
      <c r="F69" s="14"/>
      <c r="G69" s="1015"/>
      <c r="H69" s="1202">
        <f>IF(AND(IMPOSTAZIONI!AF$147="",G69&lt;&gt;0),E$163,IMPOSTAZIONI!AF$147)</f>
        <v>22</v>
      </c>
      <c r="I69" s="2024">
        <f>IF($T$65=$S$66,Z69,G69+MAG!I69)</f>
        <v>0</v>
      </c>
      <c r="J69" s="2025"/>
      <c r="K69" s="1201">
        <f>IF(I73=0,0,K73-SUM(K70:K72))</f>
        <v>0</v>
      </c>
      <c r="L69" s="2023" t="str">
        <f>CONCATENATE("al ",H69," %")</f>
        <v>al 22 %</v>
      </c>
      <c r="M69" s="2023"/>
      <c r="N69" s="973">
        <f>IF(SUM(I69:J72)=0,0,ROUND(G65-SUM(N70:N72),2))</f>
        <v>0</v>
      </c>
      <c r="O69" s="2"/>
      <c r="P69" s="2"/>
      <c r="Q69" s="2"/>
      <c r="R69" s="2"/>
      <c r="S69" s="974">
        <f>IF(ISERROR(G77),0,G77)</f>
        <v>0</v>
      </c>
      <c r="T69" s="975">
        <f>IF(ISERROR(G78),0,G78)</f>
        <v>0</v>
      </c>
      <c r="U69" s="976">
        <f>IF(ISERROR(G79),0,G79)</f>
        <v>0</v>
      </c>
      <c r="V69" s="2"/>
      <c r="W69" s="1117">
        <f>APR!$G69</f>
        <v>0</v>
      </c>
      <c r="X69" s="1118">
        <f>MAG!$G69</f>
        <v>0</v>
      </c>
      <c r="Y69" s="1119">
        <f>GIU!$G69</f>
        <v>0</v>
      </c>
      <c r="Z69" s="1120">
        <f>SUM(W69:Y69)+MAR!Z69</f>
        <v>0</v>
      </c>
      <c r="AA69" s="2"/>
      <c r="AB69" s="591"/>
      <c r="AC69" s="591"/>
      <c r="AD69" s="591"/>
      <c r="AE69" s="591"/>
      <c r="AF69" s="591"/>
      <c r="AG69" s="591"/>
      <c r="AH69" s="591"/>
      <c r="AI69" s="591"/>
      <c r="AJ69" s="591"/>
      <c r="AK69" s="591"/>
      <c r="AM69" s="591"/>
      <c r="AN69" s="591"/>
      <c r="AO69" s="591"/>
      <c r="AP69" s="591"/>
      <c r="AQ69" s="591"/>
      <c r="AS69" s="591"/>
      <c r="AT69" s="591"/>
      <c r="AU69" s="591"/>
      <c r="AV69" s="591"/>
      <c r="AW69" s="591"/>
      <c r="AY69" s="591"/>
    </row>
    <row r="70" spans="1:54" ht="20.25" hidden="1" customHeight="1" x14ac:dyDescent="0.25">
      <c r="A70" s="2"/>
      <c r="B70" s="2"/>
      <c r="C70" s="1199" t="s">
        <v>754</v>
      </c>
      <c r="D70" s="14"/>
      <c r="E70" s="14"/>
      <c r="F70" s="14"/>
      <c r="G70" s="1016"/>
      <c r="H70" s="1202">
        <f>IF(AND(IMPOSTAZIONI!AG$147="",G70&lt;&gt;0),E$163,IMPOSTAZIONI!AG$147)</f>
        <v>10</v>
      </c>
      <c r="I70" s="2026">
        <f>IF($T$65=$S$66,Z70,G70+MAG!I70)</f>
        <v>0</v>
      </c>
      <c r="J70" s="2027"/>
      <c r="K70" s="1201">
        <f>IF(I$73=0,0,ROUND(I70/I$73*100,2))</f>
        <v>0</v>
      </c>
      <c r="L70" s="2023" t="str">
        <f>CONCATENATE("al ",H70," %")</f>
        <v>al 10 %</v>
      </c>
      <c r="M70" s="2023"/>
      <c r="N70" s="977">
        <f>ROUND(G$65*K70/100,2)</f>
        <v>0</v>
      </c>
      <c r="O70" s="2"/>
      <c r="P70" s="2"/>
      <c r="Q70" s="2"/>
      <c r="R70" s="2"/>
      <c r="S70" s="978">
        <f>IF(ISERROR(H77),0,H77)</f>
        <v>0</v>
      </c>
      <c r="T70" s="968">
        <f>IF(ISERROR(H78),0,H78)</f>
        <v>0</v>
      </c>
      <c r="U70" s="979">
        <f>IF(ISERROR(H79),0,H79)</f>
        <v>0</v>
      </c>
      <c r="V70" s="2"/>
      <c r="W70" s="1121">
        <f>APR!$G70</f>
        <v>0</v>
      </c>
      <c r="X70" s="1122">
        <f>MAG!$G70</f>
        <v>0</v>
      </c>
      <c r="Y70" s="1123">
        <f>GIU!$G70</f>
        <v>0</v>
      </c>
      <c r="Z70" s="1124">
        <f>SUM(W70:Y70)+MAR!Z70</f>
        <v>0</v>
      </c>
      <c r="AA70" s="2"/>
      <c r="AB70" s="591"/>
      <c r="AC70" s="591"/>
      <c r="AD70" s="591"/>
      <c r="AE70" s="591"/>
      <c r="AF70" s="591"/>
      <c r="AG70" s="591"/>
      <c r="AH70" s="591"/>
      <c r="AI70" s="591"/>
      <c r="AJ70" s="591"/>
      <c r="AK70" s="591"/>
      <c r="AM70" s="591"/>
      <c r="AN70" s="591"/>
      <c r="AO70" s="591"/>
      <c r="AP70" s="591"/>
      <c r="AQ70" s="591"/>
      <c r="AS70" s="591"/>
      <c r="AT70" s="591"/>
      <c r="AU70" s="591"/>
      <c r="AV70" s="591"/>
      <c r="AW70" s="591"/>
      <c r="AY70" s="591"/>
    </row>
    <row r="71" spans="1:54" ht="20.25" hidden="1" customHeight="1" x14ac:dyDescent="0.2">
      <c r="A71" s="2"/>
      <c r="B71" s="2"/>
      <c r="C71" s="1200" t="s">
        <v>755</v>
      </c>
      <c r="D71" s="14"/>
      <c r="E71" s="14"/>
      <c r="F71" s="14"/>
      <c r="G71" s="1016"/>
      <c r="H71" s="1202">
        <f>IF(AND(IMPOSTAZIONI!AH$147="",G71&lt;&gt;0),E$163,IMPOSTAZIONI!AH$147)</f>
        <v>4</v>
      </c>
      <c r="I71" s="2026">
        <f>IF($T$65=$S$66,Z71,G71+MAG!I71)</f>
        <v>0</v>
      </c>
      <c r="J71" s="2027"/>
      <c r="K71" s="1201">
        <f>IF(I$73=0,0,ROUND(I71/I$73*100,2))</f>
        <v>0</v>
      </c>
      <c r="L71" s="2023" t="str">
        <f>CONCATENATE("al ",H71," %")</f>
        <v>al 4 %</v>
      </c>
      <c r="M71" s="2023"/>
      <c r="N71" s="977">
        <f>ROUND(G$65*K71/100,2)</f>
        <v>0</v>
      </c>
      <c r="O71" s="2"/>
      <c r="P71" s="2"/>
      <c r="Q71" s="2"/>
      <c r="R71" s="2"/>
      <c r="S71" s="978">
        <f>IF(ISERROR(I77),0,I77)</f>
        <v>0</v>
      </c>
      <c r="T71" s="968">
        <f>IF(ISERROR(I78),0,I78)</f>
        <v>0</v>
      </c>
      <c r="U71" s="979">
        <f>IF(ISERROR(I79),0,I79)</f>
        <v>0</v>
      </c>
      <c r="V71" s="2"/>
      <c r="W71" s="1121">
        <f>APR!$G71</f>
        <v>0</v>
      </c>
      <c r="X71" s="1122">
        <f>MAG!$G71</f>
        <v>0</v>
      </c>
      <c r="Y71" s="1123">
        <f>GIU!$G71</f>
        <v>0</v>
      </c>
      <c r="Z71" s="1124">
        <f>SUM(W71:Y71)+MAR!Z71</f>
        <v>0</v>
      </c>
      <c r="AA71" s="2"/>
      <c r="AB71" s="591"/>
      <c r="AC71" s="591"/>
      <c r="AD71" s="591"/>
      <c r="AE71" s="591"/>
      <c r="AF71" s="591"/>
      <c r="AG71" s="591"/>
      <c r="AH71" s="591"/>
      <c r="AI71" s="591"/>
      <c r="AJ71" s="591"/>
      <c r="AK71" s="591"/>
      <c r="AM71" s="591"/>
      <c r="AN71" s="591"/>
      <c r="AO71" s="591"/>
      <c r="AP71" s="591"/>
      <c r="AQ71" s="591"/>
      <c r="AS71" s="591"/>
      <c r="AT71" s="591"/>
      <c r="AU71" s="591"/>
      <c r="AV71" s="591"/>
      <c r="AW71" s="591"/>
      <c r="AY71" s="591"/>
    </row>
    <row r="72" spans="1:54" ht="20.25" hidden="1" customHeight="1" x14ac:dyDescent="0.2">
      <c r="A72" s="2"/>
      <c r="B72" s="2"/>
      <c r="C72" s="1171"/>
      <c r="D72" s="14"/>
      <c r="E72" s="14"/>
      <c r="F72" s="14"/>
      <c r="G72" s="1017"/>
      <c r="H72" s="1202" t="str">
        <f>IF(AND(IMPOSTAZIONI!AI$147="",G72&lt;&gt;0),E$163,IMPOSTAZIONI!AI$147)</f>
        <v/>
      </c>
      <c r="I72" s="2039">
        <f>IF($T$65=$S$66,Z72,G72+MAG!I72)</f>
        <v>0</v>
      </c>
      <c r="J72" s="2040"/>
      <c r="K72" s="1201">
        <f>IF(I$73=0,0,ROUND(I72/I$73*100,2))</f>
        <v>0</v>
      </c>
      <c r="L72" s="2023" t="str">
        <f>CONCATENATE("al ",H72," %")</f>
        <v>al  %</v>
      </c>
      <c r="M72" s="2023"/>
      <c r="N72" s="980">
        <f>ROUND(G$65*K72/100,2)</f>
        <v>0</v>
      </c>
      <c r="O72" s="2"/>
      <c r="P72" s="2"/>
      <c r="Q72" s="2"/>
      <c r="R72" s="2"/>
      <c r="S72" s="981">
        <f>IF(ISERROR(K77),0,K77)</f>
        <v>0</v>
      </c>
      <c r="T72" s="969">
        <f>IF(ISERROR(K78),0,K78)</f>
        <v>0</v>
      </c>
      <c r="U72" s="982">
        <f>IF(ISERROR(K79),0,K79)</f>
        <v>0</v>
      </c>
      <c r="V72" s="2"/>
      <c r="W72" s="1125">
        <f>APR!$G72</f>
        <v>0</v>
      </c>
      <c r="X72" s="1126">
        <f>MAG!$G72</f>
        <v>0</v>
      </c>
      <c r="Y72" s="1127">
        <f>GIU!$G72</f>
        <v>0</v>
      </c>
      <c r="Z72" s="1128">
        <f>SUM(W72:Y72)+MAR!Z72</f>
        <v>0</v>
      </c>
      <c r="AA72" s="2"/>
      <c r="AB72" s="591"/>
      <c r="AC72" s="591"/>
      <c r="AD72" s="591"/>
      <c r="AE72" s="591"/>
      <c r="AF72" s="591"/>
      <c r="AG72" s="591"/>
      <c r="AH72" s="591"/>
      <c r="AI72" s="591"/>
      <c r="AJ72" s="591"/>
      <c r="AK72" s="591"/>
      <c r="AM72" s="591"/>
      <c r="AN72" s="591"/>
      <c r="AO72" s="591"/>
      <c r="AP72" s="591"/>
      <c r="AQ72" s="591"/>
      <c r="AS72" s="591"/>
      <c r="AT72" s="591"/>
      <c r="AU72" s="591"/>
      <c r="AV72" s="591"/>
      <c r="AW72" s="591"/>
      <c r="AY72" s="591"/>
    </row>
    <row r="73" spans="1:54" ht="20.25" hidden="1" customHeight="1" x14ac:dyDescent="0.2">
      <c r="A73" s="2"/>
      <c r="B73" s="2"/>
      <c r="C73" s="1171"/>
      <c r="D73" s="14"/>
      <c r="E73" s="14"/>
      <c r="F73" s="983" t="s">
        <v>105</v>
      </c>
      <c r="G73" s="1014">
        <f>SUM(G69:G72)</f>
        <v>0</v>
      </c>
      <c r="H73" s="866"/>
      <c r="I73" s="2041">
        <f>SUM(I69:I72)</f>
        <v>0</v>
      </c>
      <c r="J73" s="2041"/>
      <c r="K73" s="1196">
        <v>100</v>
      </c>
      <c r="L73" s="2"/>
      <c r="M73" s="2"/>
      <c r="N73" s="967">
        <f>SUM(N69:N72)</f>
        <v>0</v>
      </c>
      <c r="O73" s="503" t="str">
        <f>IF(C61=0,"",IF(G65=N73,"OK",E163))</f>
        <v/>
      </c>
      <c r="P73" s="2"/>
      <c r="Q73" s="2"/>
      <c r="R73" s="2"/>
      <c r="S73" s="2"/>
      <c r="T73" s="2"/>
      <c r="U73" s="2"/>
      <c r="V73" s="2"/>
      <c r="W73" s="2"/>
      <c r="X73" s="2"/>
      <c r="Y73" s="2"/>
      <c r="Z73" s="2"/>
      <c r="AA73" s="2"/>
      <c r="AB73" s="591"/>
      <c r="AC73" s="591"/>
      <c r="AD73" s="591"/>
      <c r="AE73" s="591"/>
      <c r="AF73" s="591"/>
      <c r="AG73" s="591"/>
      <c r="AH73" s="591"/>
      <c r="AI73" s="591"/>
      <c r="AJ73" s="591"/>
      <c r="AK73" s="591"/>
      <c r="AM73" s="591"/>
      <c r="AN73" s="591"/>
      <c r="AO73" s="591"/>
      <c r="AP73" s="591"/>
      <c r="AQ73" s="591"/>
      <c r="AS73" s="591"/>
      <c r="AT73" s="591"/>
      <c r="AU73" s="591"/>
      <c r="AV73" s="591"/>
      <c r="AW73" s="591"/>
      <c r="AY73" s="591"/>
    </row>
    <row r="74" spans="1:54" ht="20.25" hidden="1" customHeight="1" x14ac:dyDescent="0.2">
      <c r="A74" s="2"/>
      <c r="B74" s="2"/>
      <c r="C74" s="1172"/>
      <c r="D74" s="1173"/>
      <c r="E74" s="1173"/>
      <c r="F74" s="1173"/>
      <c r="G74" s="1173"/>
      <c r="H74" s="1173"/>
      <c r="I74" s="2051" t="s">
        <v>756</v>
      </c>
      <c r="J74" s="2051"/>
      <c r="K74" s="2052"/>
      <c r="L74" s="14"/>
      <c r="M74" s="14"/>
      <c r="N74" s="139"/>
      <c r="O74" s="2"/>
      <c r="P74" s="2"/>
      <c r="Q74" s="2"/>
      <c r="R74" s="2"/>
      <c r="S74" s="2"/>
      <c r="T74" s="2"/>
      <c r="U74" s="2"/>
      <c r="V74" s="2"/>
      <c r="W74" s="2"/>
      <c r="X74" s="2"/>
      <c r="Y74" s="2"/>
      <c r="Z74" s="2"/>
      <c r="AA74" s="2"/>
      <c r="AB74" s="591"/>
      <c r="AC74" s="591"/>
      <c r="AD74" s="591"/>
      <c r="AE74" s="591"/>
      <c r="AF74" s="591"/>
      <c r="AG74" s="591"/>
      <c r="AH74" s="591"/>
      <c r="AI74" s="591"/>
      <c r="AJ74" s="591"/>
      <c r="AK74" s="591"/>
      <c r="AM74" s="591"/>
      <c r="AN74" s="591"/>
      <c r="AO74" s="591"/>
      <c r="AP74" s="591"/>
      <c r="AQ74" s="591"/>
      <c r="AS74" s="591"/>
      <c r="AT74" s="591"/>
      <c r="AU74" s="591"/>
      <c r="AV74" s="591"/>
      <c r="AW74" s="591"/>
      <c r="AY74" s="591"/>
    </row>
    <row r="75" spans="1:54" ht="11.25" hidden="1" customHeight="1" x14ac:dyDescent="0.2">
      <c r="A75" s="2"/>
      <c r="B75" s="2"/>
      <c r="C75" s="2"/>
      <c r="D75" s="2"/>
      <c r="E75" s="2"/>
      <c r="F75" s="2"/>
      <c r="G75" s="2"/>
      <c r="H75" s="2"/>
      <c r="I75" s="2"/>
      <c r="J75" s="2"/>
      <c r="K75" s="2"/>
      <c r="L75" s="14"/>
      <c r="M75" s="14"/>
      <c r="N75" s="139"/>
      <c r="O75" s="2"/>
      <c r="P75" s="2"/>
      <c r="Q75" s="2"/>
      <c r="R75" s="2"/>
      <c r="S75" s="2"/>
      <c r="T75" s="2"/>
      <c r="U75" s="2"/>
      <c r="V75" s="2"/>
      <c r="W75" s="2"/>
      <c r="X75" s="2"/>
      <c r="Y75" s="2"/>
      <c r="Z75" s="2"/>
      <c r="AA75" s="2"/>
      <c r="AB75" s="591"/>
      <c r="AC75" s="591"/>
      <c r="AD75" s="591"/>
      <c r="AE75" s="591"/>
      <c r="AF75" s="591"/>
      <c r="AG75" s="591"/>
      <c r="AH75" s="591"/>
      <c r="AI75" s="591"/>
      <c r="AJ75" s="591"/>
      <c r="AK75" s="591"/>
      <c r="AM75" s="591"/>
      <c r="AN75" s="591"/>
      <c r="AO75" s="591"/>
      <c r="AP75" s="591"/>
      <c r="AQ75" s="591"/>
      <c r="AS75" s="591"/>
      <c r="AT75" s="591"/>
      <c r="AU75" s="591"/>
      <c r="AV75" s="591"/>
      <c r="AW75" s="591"/>
      <c r="AY75" s="591"/>
    </row>
    <row r="76" spans="1:54" ht="20.25" hidden="1" customHeight="1" x14ac:dyDescent="0.2">
      <c r="A76" s="2"/>
      <c r="B76" s="2"/>
      <c r="C76" s="2"/>
      <c r="D76" s="2"/>
      <c r="E76" s="20"/>
      <c r="F76" s="984" t="s">
        <v>764</v>
      </c>
      <c r="G76" s="985">
        <f>H69</f>
        <v>22</v>
      </c>
      <c r="H76" s="985">
        <f>H70</f>
        <v>10</v>
      </c>
      <c r="I76" s="2142">
        <f>H71</f>
        <v>4</v>
      </c>
      <c r="J76" s="2142"/>
      <c r="K76" s="1162" t="str">
        <f>H72</f>
        <v/>
      </c>
      <c r="L76" s="2"/>
      <c r="M76" s="2"/>
      <c r="N76" s="986"/>
      <c r="O76" s="2"/>
      <c r="P76" s="2"/>
      <c r="Q76" s="2"/>
      <c r="R76" s="2"/>
      <c r="S76" s="2"/>
      <c r="T76" s="2"/>
      <c r="U76" s="2"/>
      <c r="V76" s="2"/>
      <c r="W76" s="2"/>
      <c r="X76" s="591"/>
      <c r="Y76" s="591"/>
      <c r="AB76" s="591"/>
      <c r="AC76" s="591"/>
      <c r="AD76" s="591"/>
      <c r="AE76" s="591"/>
      <c r="AF76" s="591"/>
      <c r="AG76" s="591"/>
      <c r="AH76" s="591"/>
      <c r="AI76" s="591"/>
      <c r="AJ76" s="591"/>
      <c r="AK76" s="591"/>
      <c r="AM76" s="591"/>
      <c r="AN76" s="591"/>
      <c r="AO76" s="591"/>
      <c r="AP76" s="591"/>
      <c r="AQ76" s="591"/>
      <c r="AS76" s="591"/>
      <c r="AT76" s="591"/>
      <c r="AU76" s="591"/>
      <c r="AV76" s="591"/>
      <c r="AW76" s="591"/>
      <c r="AY76" s="591"/>
    </row>
    <row r="77" spans="1:54" ht="20.25" hidden="1" customHeight="1" x14ac:dyDescent="0.2">
      <c r="A77" s="2"/>
      <c r="B77" s="2"/>
      <c r="C77" s="2"/>
      <c r="D77" s="2"/>
      <c r="E77" s="2"/>
      <c r="F77" s="987" t="s">
        <v>757</v>
      </c>
      <c r="G77" s="988">
        <f>N69-G78</f>
        <v>0</v>
      </c>
      <c r="H77" s="989">
        <f>N70-H78</f>
        <v>0</v>
      </c>
      <c r="I77" s="2037">
        <f>N71-I78</f>
        <v>0</v>
      </c>
      <c r="J77" s="2038"/>
      <c r="K77" s="989">
        <f>N72-K78</f>
        <v>0</v>
      </c>
      <c r="L77" s="2233">
        <f>SUM(S69:S72)</f>
        <v>0</v>
      </c>
      <c r="M77" s="2234"/>
      <c r="N77" s="990" t="s">
        <v>758</v>
      </c>
      <c r="O77" s="2"/>
      <c r="P77" s="2"/>
      <c r="Q77" s="2"/>
      <c r="R77" s="2"/>
      <c r="S77" s="2"/>
      <c r="T77" s="2"/>
      <c r="U77" s="2"/>
      <c r="V77" s="2"/>
      <c r="W77" s="2"/>
      <c r="X77" s="591"/>
      <c r="Y77" s="591"/>
      <c r="AG77" s="591"/>
      <c r="AH77" s="591"/>
      <c r="AI77" s="591"/>
      <c r="AJ77" s="591"/>
      <c r="AK77" s="591"/>
      <c r="AM77" s="591"/>
      <c r="AN77" s="591"/>
      <c r="AO77" s="591"/>
      <c r="AP77" s="591"/>
      <c r="AQ77" s="591"/>
      <c r="AS77" s="591"/>
      <c r="AT77" s="591"/>
      <c r="AU77" s="591"/>
      <c r="AV77" s="591"/>
      <c r="AW77" s="591"/>
      <c r="AY77" s="591"/>
    </row>
    <row r="78" spans="1:54" ht="20.25" hidden="1" customHeight="1" x14ac:dyDescent="0.2">
      <c r="A78" s="2"/>
      <c r="B78" s="2"/>
      <c r="C78" s="2"/>
      <c r="D78" s="2"/>
      <c r="E78" s="2"/>
      <c r="F78" s="991" t="s">
        <v>759</v>
      </c>
      <c r="G78" s="992">
        <f>IF(G76="",0,ROUND(N69*G76/(100+G76),2))</f>
        <v>0</v>
      </c>
      <c r="H78" s="993">
        <f>IF(H76="",0,ROUND(N70*H76/(100+H76),2))</f>
        <v>0</v>
      </c>
      <c r="I78" s="2140">
        <f>IF(I76="",0,ROUND(N71*I76/(100+I76),2))</f>
        <v>0</v>
      </c>
      <c r="J78" s="2141"/>
      <c r="K78" s="993">
        <f>IF(K76="",0,ROUND(N72*K76/(100+K76),2))</f>
        <v>0</v>
      </c>
      <c r="L78" s="2235">
        <f>SUM(T69:T72)</f>
        <v>0</v>
      </c>
      <c r="M78" s="2236"/>
      <c r="N78" s="994" t="s">
        <v>760</v>
      </c>
      <c r="O78" s="2"/>
      <c r="P78" s="2"/>
      <c r="Q78" s="2"/>
      <c r="R78" s="2"/>
      <c r="S78" s="2"/>
      <c r="T78" s="2"/>
      <c r="U78" s="128" t="s">
        <v>783</v>
      </c>
      <c r="V78" s="2"/>
      <c r="W78" s="2"/>
      <c r="X78" s="591"/>
      <c r="Y78" s="591"/>
      <c r="AG78" s="591"/>
      <c r="AH78" s="591"/>
      <c r="AI78" s="591"/>
      <c r="AJ78" s="591"/>
      <c r="AK78" s="591"/>
      <c r="AM78" s="591"/>
      <c r="AN78" s="591"/>
      <c r="AO78" s="591"/>
      <c r="AP78" s="591"/>
      <c r="AQ78" s="591"/>
      <c r="AS78" s="591"/>
      <c r="AT78" s="591"/>
      <c r="AU78" s="591"/>
      <c r="AV78" s="591"/>
      <c r="AW78" s="591"/>
      <c r="AY78" s="591"/>
    </row>
    <row r="79" spans="1:54" ht="20.25" hidden="1" customHeight="1" x14ac:dyDescent="0.2">
      <c r="A79" s="2"/>
      <c r="B79" s="2"/>
      <c r="C79" s="2"/>
      <c r="D79" s="2"/>
      <c r="E79" s="287"/>
      <c r="F79" s="995" t="s">
        <v>105</v>
      </c>
      <c r="G79" s="996">
        <f>G77+G78</f>
        <v>0</v>
      </c>
      <c r="H79" s="996">
        <f>H77+H78</f>
        <v>0</v>
      </c>
      <c r="I79" s="2135">
        <f>I77+I78</f>
        <v>0</v>
      </c>
      <c r="J79" s="2135"/>
      <c r="K79" s="996">
        <f>K77+K78</f>
        <v>0</v>
      </c>
      <c r="L79" s="287"/>
      <c r="M79" s="287"/>
      <c r="N79" s="996">
        <f>SUM(U69:U72)</f>
        <v>0</v>
      </c>
      <c r="O79" s="503" t="str">
        <f>IF(N79=N73,"OK",E163)</f>
        <v>OK</v>
      </c>
      <c r="P79" s="2"/>
      <c r="Q79" s="2"/>
      <c r="R79" s="924" t="str">
        <f>G62</f>
        <v>SCORPORO</v>
      </c>
      <c r="S79" s="997">
        <f>IF(R79=L$134,G$63,0)</f>
        <v>0</v>
      </c>
      <c r="T79" s="92">
        <f>G42</f>
        <v>0</v>
      </c>
      <c r="U79" s="997">
        <f>IF(T79=K$134,S79,0)</f>
        <v>0</v>
      </c>
      <c r="V79" s="2"/>
      <c r="W79" s="2"/>
      <c r="X79" s="591"/>
      <c r="Y79" s="591"/>
      <c r="AG79" s="591"/>
      <c r="AH79" s="591"/>
      <c r="AI79" s="591"/>
      <c r="AJ79" s="591"/>
      <c r="AK79" s="591"/>
      <c r="AM79" s="591"/>
      <c r="AN79" s="591"/>
      <c r="AO79" s="591"/>
      <c r="AP79" s="591"/>
      <c r="AQ79" s="591"/>
      <c r="AS79" s="591"/>
      <c r="AT79" s="591"/>
      <c r="AU79" s="591"/>
      <c r="AV79" s="591"/>
      <c r="AW79" s="591"/>
      <c r="AY79" s="591"/>
    </row>
    <row r="80" spans="1:54" ht="20.25" hidden="1" customHeight="1" x14ac:dyDescent="0.2">
      <c r="A80" s="2"/>
      <c r="B80" s="2"/>
      <c r="C80" s="2"/>
      <c r="D80" s="2"/>
      <c r="E80" s="2"/>
      <c r="F80" s="2"/>
      <c r="G80" s="2"/>
      <c r="H80" s="2"/>
      <c r="I80" s="2"/>
      <c r="J80" s="2"/>
      <c r="K80" s="2"/>
      <c r="L80" s="2"/>
      <c r="M80" s="2"/>
      <c r="N80" s="10"/>
      <c r="O80" s="2"/>
      <c r="P80" s="2"/>
      <c r="Q80" s="2"/>
      <c r="R80" s="924" t="str">
        <f>H62</f>
        <v>SCORPORO</v>
      </c>
      <c r="S80" s="998">
        <f>IF(R80=L$134,H63,0)</f>
        <v>0</v>
      </c>
      <c r="T80" s="92">
        <f>H42</f>
        <v>0</v>
      </c>
      <c r="U80" s="998">
        <f>IF(T80=K$134,S80,0)</f>
        <v>0</v>
      </c>
      <c r="V80" s="2"/>
      <c r="W80" s="2"/>
      <c r="X80" s="591"/>
      <c r="Y80" s="591"/>
      <c r="AG80" s="591"/>
      <c r="AH80" s="591"/>
      <c r="AI80" s="591"/>
      <c r="AJ80" s="591"/>
      <c r="AK80" s="591"/>
      <c r="AM80" s="591"/>
      <c r="AN80" s="591"/>
      <c r="AO80" s="591"/>
      <c r="AP80" s="591"/>
      <c r="AQ80" s="591"/>
      <c r="AS80" s="591"/>
      <c r="AT80" s="591"/>
      <c r="AU80" s="591"/>
      <c r="AV80" s="591"/>
      <c r="AW80" s="591"/>
      <c r="AY80" s="591"/>
    </row>
    <row r="81" spans="1:51" ht="20.25" hidden="1" customHeight="1" x14ac:dyDescent="0.2">
      <c r="A81" s="2"/>
      <c r="B81" s="2"/>
      <c r="C81" s="2"/>
      <c r="D81" s="2"/>
      <c r="E81" s="2"/>
      <c r="F81" s="2"/>
      <c r="G81" s="103" t="str">
        <f>G61</f>
        <v>Colonna 1</v>
      </c>
      <c r="H81" s="103" t="str">
        <f>H61</f>
        <v>Colonna 2</v>
      </c>
      <c r="I81" s="2053" t="str">
        <f>K61</f>
        <v>Colonna 3</v>
      </c>
      <c r="J81" s="2053"/>
      <c r="K81" s="103" t="str">
        <f>N61</f>
        <v>Colonna 4</v>
      </c>
      <c r="L81" s="2"/>
      <c r="M81" s="2"/>
      <c r="N81" s="14"/>
      <c r="O81" s="2"/>
      <c r="P81" s="2"/>
      <c r="Q81" s="2"/>
      <c r="R81" s="924" t="str">
        <f>K62</f>
        <v>SCORPORO</v>
      </c>
      <c r="S81" s="998">
        <f>IF(R81=L$134,K63,0)</f>
        <v>0</v>
      </c>
      <c r="T81" s="92">
        <f>K42</f>
        <v>0</v>
      </c>
      <c r="U81" s="998">
        <f>IF(T81=K$134,S81,0)</f>
        <v>0</v>
      </c>
      <c r="V81" s="2"/>
      <c r="W81" s="2"/>
      <c r="X81" s="591"/>
      <c r="Y81" s="591"/>
      <c r="AG81" s="591"/>
      <c r="AH81" s="591"/>
      <c r="AI81" s="591"/>
      <c r="AJ81" s="591"/>
      <c r="AK81" s="591"/>
      <c r="AM81" s="591"/>
      <c r="AN81" s="591"/>
      <c r="AO81" s="591"/>
      <c r="AP81" s="591"/>
      <c r="AQ81" s="591"/>
      <c r="AS81" s="591"/>
      <c r="AT81" s="591"/>
      <c r="AU81" s="591"/>
      <c r="AV81" s="591"/>
      <c r="AW81" s="591"/>
      <c r="AY81" s="591"/>
    </row>
    <row r="82" spans="1:51" ht="18" hidden="1" customHeight="1" x14ac:dyDescent="0.2">
      <c r="A82" s="2"/>
      <c r="B82" s="2"/>
      <c r="C82" s="2"/>
      <c r="D82" s="2"/>
      <c r="E82" s="2"/>
      <c r="F82" s="2"/>
      <c r="G82" s="1203" t="str">
        <f t="shared" ref="G82:H84" si="33">G43</f>
        <v/>
      </c>
      <c r="H82" s="1204" t="str">
        <f t="shared" si="33"/>
        <v/>
      </c>
      <c r="I82" s="2031" t="str">
        <f>K43</f>
        <v/>
      </c>
      <c r="J82" s="2031"/>
      <c r="K82" s="1205" t="str">
        <f>N43</f>
        <v/>
      </c>
      <c r="L82" s="2"/>
      <c r="M82" s="2"/>
      <c r="N82" s="14"/>
      <c r="O82" s="2"/>
      <c r="P82" s="2"/>
      <c r="Q82" s="2"/>
      <c r="R82" s="924" t="str">
        <f>N62</f>
        <v>SCORPORO</v>
      </c>
      <c r="S82" s="1007">
        <f>IF(R82=L$134,N63,0)</f>
        <v>0</v>
      </c>
      <c r="T82" s="92">
        <f>N42</f>
        <v>0</v>
      </c>
      <c r="U82" s="1007">
        <f>IF(T82=K$134,S82,0)</f>
        <v>0</v>
      </c>
      <c r="V82" s="2"/>
      <c r="W82" s="2"/>
      <c r="X82" s="591"/>
      <c r="Y82" s="591"/>
      <c r="AG82" s="591"/>
      <c r="AH82" s="591"/>
      <c r="AI82" s="591"/>
      <c r="AJ82" s="591"/>
      <c r="AK82" s="591"/>
      <c r="AM82" s="591"/>
      <c r="AN82" s="591"/>
      <c r="AO82" s="591"/>
      <c r="AP82" s="591"/>
      <c r="AQ82" s="591"/>
      <c r="AS82" s="591"/>
      <c r="AT82" s="591"/>
      <c r="AU82" s="591"/>
      <c r="AV82" s="591"/>
      <c r="AW82" s="591"/>
      <c r="AY82" s="591"/>
    </row>
    <row r="83" spans="1:51" ht="18" hidden="1" customHeight="1" x14ac:dyDescent="0.2">
      <c r="A83" s="2"/>
      <c r="B83" s="2"/>
      <c r="C83" s="2"/>
      <c r="D83" s="2"/>
      <c r="E83" s="2"/>
      <c r="F83" s="2"/>
      <c r="G83" s="1000" t="str">
        <f t="shared" si="33"/>
        <v/>
      </c>
      <c r="H83" s="1000" t="str">
        <f t="shared" si="33"/>
        <v/>
      </c>
      <c r="I83" s="2054" t="str">
        <f>K44</f>
        <v/>
      </c>
      <c r="J83" s="2054"/>
      <c r="K83" s="1000" t="str">
        <f>N44</f>
        <v/>
      </c>
      <c r="L83" s="2"/>
      <c r="M83" s="2"/>
      <c r="N83" s="14"/>
      <c r="O83" s="2"/>
      <c r="P83" s="2"/>
      <c r="Q83" s="2"/>
      <c r="R83" s="2"/>
      <c r="S83" s="999"/>
      <c r="T83" s="2"/>
      <c r="U83" s="999"/>
      <c r="V83" s="2"/>
      <c r="W83" s="2"/>
      <c r="X83" s="591"/>
      <c r="Y83" s="591"/>
      <c r="AG83" s="591"/>
      <c r="AH83" s="591"/>
      <c r="AI83" s="591"/>
      <c r="AJ83" s="591"/>
      <c r="AK83" s="591"/>
      <c r="AM83" s="591"/>
      <c r="AN83" s="591"/>
      <c r="AO83" s="591"/>
      <c r="AP83" s="591"/>
      <c r="AQ83" s="591"/>
      <c r="AS83" s="591"/>
      <c r="AT83" s="591"/>
      <c r="AU83" s="591"/>
      <c r="AV83" s="591"/>
      <c r="AW83" s="591"/>
      <c r="AY83" s="591"/>
    </row>
    <row r="84" spans="1:51" ht="18" hidden="1" customHeight="1" x14ac:dyDescent="0.2">
      <c r="A84" s="2"/>
      <c r="B84" s="2"/>
      <c r="C84" s="2"/>
      <c r="D84" s="2"/>
      <c r="E84" s="2"/>
      <c r="F84" s="2"/>
      <c r="G84" s="1001" t="str">
        <f t="shared" si="33"/>
        <v/>
      </c>
      <c r="H84" s="1001" t="str">
        <f t="shared" si="33"/>
        <v/>
      </c>
      <c r="I84" s="2055" t="str">
        <f>K45</f>
        <v/>
      </c>
      <c r="J84" s="2055"/>
      <c r="K84" s="1001" t="str">
        <f>N45</f>
        <v/>
      </c>
      <c r="L84" s="2"/>
      <c r="M84" s="2"/>
      <c r="N84" s="14"/>
      <c r="O84" s="2"/>
      <c r="P84" s="2"/>
      <c r="Q84" s="2"/>
      <c r="R84" s="2"/>
      <c r="S84" s="999"/>
      <c r="T84" s="2"/>
      <c r="U84" s="999"/>
      <c r="V84" s="2"/>
      <c r="W84" s="2"/>
      <c r="X84" s="591"/>
      <c r="Y84" s="591"/>
      <c r="AG84" s="591"/>
      <c r="AH84" s="591"/>
      <c r="AI84" s="591"/>
      <c r="AJ84" s="591"/>
      <c r="AK84" s="591"/>
      <c r="AM84" s="591"/>
      <c r="AN84" s="591"/>
      <c r="AO84" s="591"/>
      <c r="AP84" s="591"/>
      <c r="AQ84" s="591"/>
      <c r="AS84" s="591"/>
      <c r="AT84" s="591"/>
      <c r="AU84" s="591"/>
      <c r="AV84" s="591"/>
      <c r="AW84" s="591"/>
      <c r="AY84" s="591"/>
    </row>
    <row r="85" spans="1:51" ht="18" hidden="1" customHeight="1" x14ac:dyDescent="0.2">
      <c r="A85" s="2"/>
      <c r="B85" s="2"/>
      <c r="C85" s="2"/>
      <c r="D85" s="2"/>
      <c r="E85" s="2"/>
      <c r="F85" s="2"/>
      <c r="G85" s="1011" t="str">
        <f>VLOOKUP(G62,$L$134:$M$135,2,FALSE)</f>
        <v>SCORPORO</v>
      </c>
      <c r="H85" s="1011" t="str">
        <f>VLOOKUP(H62,$L$134:$M$135,2,FALSE)</f>
        <v>SCORPORO</v>
      </c>
      <c r="I85" s="2056" t="str">
        <f>VLOOKUP(K62,$L$134:$M$135,2,FALSE)</f>
        <v>SCORPORO</v>
      </c>
      <c r="J85" s="2056"/>
      <c r="K85" s="1011" t="str">
        <f>VLOOKUP(N62,$L$134:$M$135,2,FALSE)</f>
        <v>SCORPORO</v>
      </c>
      <c r="L85" s="2"/>
      <c r="M85" s="2"/>
      <c r="N85" s="14"/>
      <c r="O85" s="2"/>
      <c r="P85" s="2"/>
      <c r="Q85" s="2"/>
      <c r="R85" s="2"/>
      <c r="S85" s="999"/>
      <c r="T85" s="2"/>
      <c r="U85" s="999"/>
      <c r="V85" s="2"/>
      <c r="W85" s="2"/>
      <c r="X85" s="591"/>
      <c r="Y85" s="591"/>
      <c r="AG85" s="591"/>
      <c r="AH85" s="591"/>
      <c r="AI85" s="591"/>
      <c r="AJ85" s="591"/>
      <c r="AK85" s="591"/>
      <c r="AM85" s="591"/>
      <c r="AN85" s="591"/>
      <c r="AO85" s="591"/>
      <c r="AP85" s="591"/>
      <c r="AQ85" s="591"/>
      <c r="AS85" s="591"/>
      <c r="AT85" s="591"/>
      <c r="AU85" s="591"/>
      <c r="AV85" s="591"/>
      <c r="AW85" s="591"/>
      <c r="AY85" s="591"/>
    </row>
    <row r="86" spans="1:51" ht="20.25" hidden="1" customHeight="1" x14ac:dyDescent="0.2">
      <c r="A86" s="2"/>
      <c r="B86" s="2"/>
      <c r="C86" s="2"/>
      <c r="D86" s="2"/>
      <c r="E86" s="2"/>
      <c r="F86" s="1002" t="s">
        <v>761</v>
      </c>
      <c r="G86" s="1206">
        <f>IF($L77=0,0,$S79-G87)</f>
        <v>0</v>
      </c>
      <c r="H86" s="1206">
        <f>IF($L77=0,0,S80-H87)</f>
        <v>0</v>
      </c>
      <c r="I86" s="2035">
        <f>IF($L77=0,0,S81-I87)</f>
        <v>0</v>
      </c>
      <c r="J86" s="2036"/>
      <c r="K86" s="1206">
        <f>IF($L77=0,0,S82-K87)</f>
        <v>0</v>
      </c>
      <c r="L86" s="2237">
        <f>SUM(G86:K86)</f>
        <v>0</v>
      </c>
      <c r="M86" s="2237"/>
      <c r="N86" s="1003" t="s">
        <v>758</v>
      </c>
      <c r="O86" s="2"/>
      <c r="P86" s="2"/>
      <c r="Q86" s="2"/>
      <c r="R86" s="2"/>
      <c r="S86" s="999"/>
      <c r="T86" s="2"/>
      <c r="U86" s="999"/>
      <c r="V86" s="2"/>
      <c r="W86" s="2"/>
      <c r="X86" s="591"/>
      <c r="Y86" s="591"/>
      <c r="AG86" s="591"/>
      <c r="AH86" s="591"/>
      <c r="AI86" s="591"/>
      <c r="AJ86" s="591"/>
      <c r="AK86" s="591"/>
      <c r="AM86" s="591"/>
      <c r="AN86" s="591"/>
      <c r="AO86" s="591"/>
      <c r="AP86" s="591"/>
      <c r="AQ86" s="591"/>
      <c r="AS86" s="591"/>
      <c r="AT86" s="591"/>
      <c r="AU86" s="591"/>
      <c r="AV86" s="591"/>
      <c r="AW86" s="591"/>
      <c r="AY86" s="591"/>
    </row>
    <row r="87" spans="1:51" ht="20.25" hidden="1" customHeight="1" x14ac:dyDescent="0.2">
      <c r="A87" s="2"/>
      <c r="B87" s="2"/>
      <c r="C87" s="2"/>
      <c r="D87" s="2"/>
      <c r="E87" s="2"/>
      <c r="F87" s="1004" t="s">
        <v>762</v>
      </c>
      <c r="G87" s="1207">
        <f>IF($C$61=0,0,ROUND($L78*G89/100,2))</f>
        <v>0</v>
      </c>
      <c r="H87" s="1207">
        <f>IF($C$61=0,0,ROUND($L78*H89/100,2))</f>
        <v>0</v>
      </c>
      <c r="I87" s="2028">
        <f>IF($C$61=0,0,ROUND($L78*I89/100,2))</f>
        <v>0</v>
      </c>
      <c r="J87" s="2029"/>
      <c r="K87" s="1207">
        <f>IF($C$61=0,0,L78-G87-H87-I87)</f>
        <v>0</v>
      </c>
      <c r="L87" s="2125">
        <f>SUM(G87:K87)</f>
        <v>0</v>
      </c>
      <c r="M87" s="2125"/>
      <c r="N87" s="1005" t="s">
        <v>760</v>
      </c>
      <c r="O87" s="2"/>
      <c r="P87" s="2"/>
      <c r="Q87" s="2"/>
      <c r="R87" s="2"/>
      <c r="S87" s="999"/>
      <c r="T87" s="2"/>
      <c r="U87" s="999"/>
      <c r="V87" s="2"/>
      <c r="W87" s="2"/>
      <c r="X87" s="591"/>
      <c r="Y87" s="591"/>
      <c r="AG87" s="591"/>
      <c r="AH87" s="591"/>
      <c r="AI87" s="591"/>
      <c r="AJ87" s="591"/>
      <c r="AK87" s="591"/>
      <c r="AM87" s="591"/>
      <c r="AN87" s="591"/>
      <c r="AO87" s="591"/>
      <c r="AP87" s="591"/>
      <c r="AQ87" s="591"/>
      <c r="AS87" s="591"/>
      <c r="AT87" s="591"/>
      <c r="AU87" s="591"/>
      <c r="AV87" s="591"/>
      <c r="AW87" s="591"/>
      <c r="AY87" s="591"/>
    </row>
    <row r="88" spans="1:51" ht="20.25" hidden="1" customHeight="1" x14ac:dyDescent="0.2">
      <c r="A88" s="2"/>
      <c r="B88" s="2"/>
      <c r="C88" s="2"/>
      <c r="D88" s="2"/>
      <c r="E88" s="287"/>
      <c r="F88" s="995" t="s">
        <v>105</v>
      </c>
      <c r="G88" s="1020">
        <f>IF(G85=$M135,0,G86+G87)</f>
        <v>0</v>
      </c>
      <c r="H88" s="1020">
        <f>IF(H85=$M135,0,H86+H87)</f>
        <v>0</v>
      </c>
      <c r="I88" s="2216">
        <f>IF(I85=$M135,0,I86+I87)</f>
        <v>0</v>
      </c>
      <c r="J88" s="2216"/>
      <c r="K88" s="1020">
        <f>IF(K85=$M135,0,K86+K87)</f>
        <v>0</v>
      </c>
      <c r="L88" s="287"/>
      <c r="M88" s="287"/>
      <c r="N88" s="996">
        <f>SUM(G88:K88)</f>
        <v>0</v>
      </c>
      <c r="O88" s="503" t="str">
        <f>IF(N88=N79,"OK",E163)</f>
        <v>OK</v>
      </c>
      <c r="P88" s="2"/>
      <c r="Q88" s="2"/>
      <c r="R88" s="2"/>
      <c r="S88" s="1006"/>
      <c r="T88" s="2"/>
      <c r="U88" s="1006"/>
      <c r="V88" s="2"/>
      <c r="W88" s="2"/>
      <c r="X88" s="591"/>
      <c r="Y88" s="591"/>
      <c r="AG88" s="591"/>
      <c r="AH88" s="591"/>
      <c r="AI88" s="591"/>
      <c r="AJ88" s="591"/>
      <c r="AK88" s="591"/>
      <c r="AM88" s="591"/>
      <c r="AN88" s="591"/>
      <c r="AO88" s="591"/>
      <c r="AP88" s="591"/>
      <c r="AQ88" s="591"/>
      <c r="AS88" s="591"/>
      <c r="AT88" s="591"/>
      <c r="AU88" s="591"/>
      <c r="AV88" s="591"/>
      <c r="AW88" s="591"/>
      <c r="AY88" s="591"/>
    </row>
    <row r="89" spans="1:51" ht="20.25" hidden="1" customHeight="1" x14ac:dyDescent="0.2">
      <c r="A89" s="2"/>
      <c r="B89" s="2"/>
      <c r="C89" s="2"/>
      <c r="D89" s="2"/>
      <c r="E89" s="2"/>
      <c r="F89" s="970" t="s">
        <v>763</v>
      </c>
      <c r="G89" s="1021">
        <f>IF($C$61=0,0,IF(S79=0,0,ROUND($S79/$S89*100,10)))</f>
        <v>0</v>
      </c>
      <c r="H89" s="1021">
        <f>IF($C$61=0,0,IF(S80=0,0,ROUND(S80/$S89*100,10)))</f>
        <v>0</v>
      </c>
      <c r="I89" s="2101">
        <f>IF($C$61=0,0,IF(S81=0,0,ROUND(S81/$S89*100,10)))</f>
        <v>0</v>
      </c>
      <c r="J89" s="2101"/>
      <c r="K89" s="1021">
        <f>IF($C$61=0,0,IF(S82=0,0,100-G89-H89-I89))</f>
        <v>0</v>
      </c>
      <c r="L89" s="2"/>
      <c r="M89" s="2"/>
      <c r="N89" s="2"/>
      <c r="O89" s="2"/>
      <c r="P89" s="2"/>
      <c r="Q89" s="2"/>
      <c r="R89" s="2"/>
      <c r="S89" s="1006">
        <f>SUM(S79:S88)</f>
        <v>0</v>
      </c>
      <c r="T89" s="2"/>
      <c r="U89" s="1006">
        <f>SUM(U79:U88)</f>
        <v>0</v>
      </c>
      <c r="V89" s="2"/>
      <c r="W89" s="2"/>
      <c r="X89" s="591"/>
      <c r="Y89" s="591"/>
      <c r="Z89" s="591"/>
      <c r="AA89" s="591"/>
      <c r="AB89" s="591"/>
      <c r="AC89" s="591"/>
      <c r="AG89" s="591"/>
      <c r="AH89" s="591"/>
      <c r="AI89" s="591"/>
      <c r="AJ89" s="591"/>
      <c r="AK89" s="591"/>
      <c r="AM89" s="591"/>
      <c r="AN89" s="591"/>
      <c r="AO89" s="591"/>
      <c r="AP89" s="591"/>
      <c r="AQ89" s="591"/>
      <c r="AS89" s="591"/>
      <c r="AT89" s="591"/>
      <c r="AU89" s="591"/>
      <c r="AV89" s="591"/>
      <c r="AW89" s="591"/>
      <c r="AY89" s="591"/>
    </row>
    <row r="90" spans="1:51" ht="20.25" customHeight="1" x14ac:dyDescent="0.2">
      <c r="A90" s="2"/>
      <c r="B90" s="2"/>
      <c r="C90" s="2"/>
      <c r="D90" s="2"/>
      <c r="E90" s="2"/>
      <c r="F90" s="2"/>
      <c r="G90" s="2"/>
      <c r="H90" s="2"/>
      <c r="I90" s="2"/>
      <c r="J90" s="2"/>
      <c r="K90" s="2"/>
      <c r="L90" s="2"/>
      <c r="M90" s="2"/>
      <c r="N90" s="2"/>
      <c r="O90" s="2"/>
      <c r="P90" s="2"/>
      <c r="Q90" s="2"/>
      <c r="R90" s="2"/>
      <c r="S90" s="2"/>
      <c r="T90" s="2"/>
      <c r="U90" s="1110" t="e">
        <f>U89/S89*100</f>
        <v>#DIV/0!</v>
      </c>
      <c r="V90" s="2"/>
      <c r="W90" s="2"/>
      <c r="X90" s="591"/>
      <c r="Y90" s="591"/>
      <c r="Z90" s="591"/>
      <c r="AA90" s="591"/>
      <c r="AB90" s="591"/>
      <c r="AC90" s="591"/>
      <c r="AG90" s="591"/>
      <c r="AH90" s="591"/>
      <c r="AI90" s="591"/>
      <c r="AJ90" s="591"/>
      <c r="AK90" s="591"/>
      <c r="AM90" s="591"/>
      <c r="AN90" s="591"/>
      <c r="AO90" s="591"/>
      <c r="AP90" s="591"/>
      <c r="AQ90" s="591"/>
      <c r="AS90" s="591"/>
      <c r="AT90" s="591"/>
      <c r="AU90" s="591"/>
      <c r="AV90" s="591"/>
      <c r="AW90" s="591"/>
      <c r="AY90" s="591"/>
    </row>
    <row r="91" spans="1:51" ht="30" customHeight="1" x14ac:dyDescent="0.2">
      <c r="A91" s="2"/>
      <c r="B91" s="2"/>
      <c r="C91" s="2030" t="str">
        <f>IF(SUM(G150:J150)&gt;0,G151,IMPOSTAZIONI!Y383)</f>
        <v>Quest' area si attiva con colonne IVA "Aliquote diverse" - Al momento non c'è nessun importo da scorporare manualmente.</v>
      </c>
      <c r="D91" s="2030"/>
      <c r="E91" s="2030"/>
      <c r="F91" s="2030"/>
      <c r="G91" s="2030"/>
      <c r="H91" s="2030"/>
      <c r="I91" s="2030"/>
      <c r="J91" s="2030"/>
      <c r="K91" s="2030"/>
      <c r="L91" s="2030"/>
      <c r="M91" s="2030"/>
      <c r="N91" s="2030"/>
      <c r="O91" s="2030"/>
      <c r="P91" s="2030"/>
      <c r="Q91" s="98"/>
      <c r="R91" s="98"/>
      <c r="S91" s="98"/>
      <c r="T91" s="2"/>
      <c r="U91" s="2"/>
      <c r="V91" s="2"/>
      <c r="W91" s="2"/>
      <c r="X91" s="591"/>
      <c r="Y91" s="591"/>
      <c r="Z91" s="591"/>
      <c r="AA91" s="591"/>
      <c r="AB91" s="591"/>
      <c r="AC91" s="591"/>
      <c r="AG91" s="591"/>
      <c r="AH91" s="591"/>
      <c r="AI91" s="591"/>
      <c r="AJ91" s="591"/>
      <c r="AK91" s="591"/>
      <c r="AM91" s="591"/>
      <c r="AN91" s="591"/>
      <c r="AO91" s="591"/>
      <c r="AP91" s="591"/>
      <c r="AQ91" s="591"/>
      <c r="AS91" s="591"/>
      <c r="AT91" s="591"/>
      <c r="AU91" s="591"/>
      <c r="AV91" s="591"/>
      <c r="AW91" s="591"/>
      <c r="AY91" s="591"/>
    </row>
    <row r="92" spans="1:51" ht="5.25" customHeight="1" x14ac:dyDescent="0.2">
      <c r="A92" s="2"/>
      <c r="B92" s="2"/>
      <c r="C92" s="2"/>
      <c r="D92" s="2"/>
      <c r="E92" s="2"/>
      <c r="F92" s="2"/>
      <c r="G92" s="2"/>
      <c r="H92" s="2"/>
      <c r="I92" s="2"/>
      <c r="J92" s="2"/>
      <c r="K92" s="2"/>
      <c r="L92" s="2"/>
      <c r="M92" s="2"/>
      <c r="N92" s="2"/>
      <c r="O92" s="2"/>
      <c r="P92" s="2"/>
      <c r="Q92" s="2"/>
      <c r="R92" s="2"/>
      <c r="S92" s="2"/>
      <c r="T92" s="2"/>
      <c r="U92" s="2"/>
      <c r="V92" s="2"/>
      <c r="W92" s="2"/>
      <c r="X92" s="591"/>
      <c r="Y92" s="591"/>
      <c r="Z92" s="591"/>
      <c r="AA92" s="591"/>
      <c r="AB92" s="591"/>
      <c r="AC92" s="591"/>
      <c r="AG92" s="591"/>
      <c r="AH92" s="591"/>
      <c r="AI92" s="591"/>
      <c r="AJ92" s="591"/>
      <c r="AK92" s="591"/>
      <c r="AM92" s="591"/>
      <c r="AN92" s="591"/>
      <c r="AO92" s="591"/>
      <c r="AP92" s="591"/>
      <c r="AQ92" s="591"/>
      <c r="AS92" s="591"/>
      <c r="AT92" s="591"/>
      <c r="AU92" s="591"/>
      <c r="AV92" s="591"/>
      <c r="AW92" s="591"/>
      <c r="AY92" s="591"/>
    </row>
    <row r="93" spans="1:51" ht="18" customHeight="1" x14ac:dyDescent="0.2">
      <c r="A93" s="2"/>
      <c r="B93" s="2"/>
      <c r="C93" s="2111"/>
      <c r="D93" s="2111"/>
      <c r="E93" s="2112"/>
      <c r="F93" s="2113"/>
      <c r="G93" s="298" t="str">
        <f t="shared" ref="G93:H95" si="34">IF(G$155="X",G43,"")</f>
        <v/>
      </c>
      <c r="H93" s="298" t="str">
        <f t="shared" si="34"/>
        <v/>
      </c>
      <c r="I93" s="298"/>
      <c r="J93" s="298"/>
      <c r="K93" s="298" t="str">
        <f>IF(I$155="X",K43,"")</f>
        <v/>
      </c>
      <c r="L93" s="298"/>
      <c r="M93" s="298"/>
      <c r="N93" s="298" t="str">
        <f>IF(J$155="X",N43,"")</f>
        <v/>
      </c>
      <c r="O93" s="2033"/>
      <c r="P93" s="2033"/>
      <c r="Q93" s="12"/>
      <c r="R93" s="2"/>
      <c r="S93" s="2"/>
      <c r="T93" s="2"/>
      <c r="U93" s="2"/>
      <c r="V93" s="2"/>
      <c r="W93" s="2"/>
      <c r="X93" s="591"/>
      <c r="Y93" s="591"/>
      <c r="Z93" s="591"/>
      <c r="AA93" s="591"/>
      <c r="AB93" s="591"/>
      <c r="AC93" s="591"/>
      <c r="AG93" s="591"/>
      <c r="AH93" s="591"/>
      <c r="AI93" s="591"/>
      <c r="AJ93" s="591"/>
      <c r="AK93" s="591"/>
      <c r="AM93" s="591"/>
      <c r="AN93" s="591"/>
      <c r="AO93" s="591"/>
      <c r="AP93" s="591"/>
      <c r="AQ93" s="591"/>
      <c r="AS93" s="591"/>
      <c r="AT93" s="591"/>
      <c r="AU93" s="591"/>
      <c r="AV93" s="591"/>
      <c r="AW93" s="591"/>
      <c r="AY93" s="591"/>
    </row>
    <row r="94" spans="1:51" ht="18" customHeight="1" x14ac:dyDescent="0.2">
      <c r="A94" s="2"/>
      <c r="B94" s="2"/>
      <c r="C94" s="2114" t="str">
        <f>C44</f>
        <v>TOTALI DEL PERIODO:</v>
      </c>
      <c r="D94" s="2091"/>
      <c r="E94" s="2091"/>
      <c r="F94" s="2091"/>
      <c r="G94" s="57" t="str">
        <f t="shared" si="34"/>
        <v/>
      </c>
      <c r="H94" s="57" t="str">
        <f t="shared" si="34"/>
        <v/>
      </c>
      <c r="I94" s="57" t="s">
        <v>288</v>
      </c>
      <c r="J94" s="57"/>
      <c r="K94" s="57" t="str">
        <f>IF(I$155="X",K44,"")</f>
        <v/>
      </c>
      <c r="L94" s="57" t="s">
        <v>288</v>
      </c>
      <c r="M94" s="57"/>
      <c r="N94" s="57" t="str">
        <f>IF(J$155="X",N44,"")</f>
        <v/>
      </c>
      <c r="O94" s="85"/>
      <c r="P94" s="85"/>
      <c r="Q94" s="12"/>
      <c r="R94" s="2"/>
      <c r="S94" s="2"/>
      <c r="T94" s="2"/>
      <c r="U94" s="2"/>
      <c r="V94" s="2"/>
      <c r="W94" s="2"/>
      <c r="X94" s="591"/>
      <c r="Y94" s="591"/>
      <c r="Z94" s="591"/>
      <c r="AA94" s="591"/>
      <c r="AB94" s="591"/>
      <c r="AC94" s="591"/>
      <c r="AG94" s="591"/>
      <c r="AH94" s="591"/>
      <c r="AI94" s="591"/>
      <c r="AJ94" s="591"/>
      <c r="AK94" s="591"/>
      <c r="AM94" s="591"/>
      <c r="AN94" s="591"/>
      <c r="AO94" s="591"/>
      <c r="AP94" s="591"/>
      <c r="AQ94" s="591"/>
      <c r="AS94" s="591"/>
      <c r="AT94" s="591"/>
      <c r="AU94" s="591"/>
      <c r="AV94" s="591"/>
      <c r="AW94" s="591"/>
      <c r="AY94" s="591"/>
    </row>
    <row r="95" spans="1:51" ht="18" customHeight="1" x14ac:dyDescent="0.2">
      <c r="A95" s="2"/>
      <c r="B95" s="2"/>
      <c r="C95" s="2115" t="str">
        <f>C45</f>
        <v>01/06 - 30/06</v>
      </c>
      <c r="D95" s="2115"/>
      <c r="E95" s="2115"/>
      <c r="F95" s="2115"/>
      <c r="G95" s="90" t="str">
        <f t="shared" si="34"/>
        <v/>
      </c>
      <c r="H95" s="90" t="str">
        <f t="shared" si="34"/>
        <v/>
      </c>
      <c r="I95" s="90" t="s">
        <v>288</v>
      </c>
      <c r="J95" s="90"/>
      <c r="K95" s="90" t="str">
        <f>IF(I$155="X",K45,"")</f>
        <v/>
      </c>
      <c r="L95" s="90" t="s">
        <v>288</v>
      </c>
      <c r="M95" s="90"/>
      <c r="N95" s="90" t="str">
        <f>IF(J$155="X",N45,"")</f>
        <v/>
      </c>
      <c r="O95" s="89"/>
      <c r="P95" s="89"/>
      <c r="Q95" s="12"/>
      <c r="R95" s="2"/>
      <c r="S95" s="2"/>
      <c r="T95" s="2"/>
      <c r="U95" s="2"/>
      <c r="V95" s="2"/>
      <c r="W95" s="2"/>
      <c r="X95" s="591"/>
      <c r="Y95" s="591"/>
      <c r="Z95" s="591"/>
      <c r="AA95" s="591"/>
      <c r="AB95" s="591"/>
      <c r="AC95" s="591"/>
      <c r="AG95" s="591"/>
      <c r="AH95" s="591"/>
      <c r="AI95" s="591"/>
      <c r="AJ95" s="591"/>
      <c r="AK95" s="591"/>
      <c r="AM95" s="591"/>
      <c r="AN95" s="591"/>
      <c r="AO95" s="591"/>
      <c r="AP95" s="591"/>
      <c r="AQ95" s="591"/>
      <c r="AS95" s="591"/>
      <c r="AT95" s="591"/>
      <c r="AU95" s="591"/>
      <c r="AV95" s="591"/>
      <c r="AW95" s="591"/>
      <c r="AY95" s="591"/>
    </row>
    <row r="96" spans="1:51" ht="18.75" customHeight="1" x14ac:dyDescent="0.2">
      <c r="A96" s="2"/>
      <c r="B96" s="7"/>
      <c r="C96" s="2110"/>
      <c r="D96" s="2110"/>
      <c r="E96" s="2109"/>
      <c r="F96" s="2109"/>
      <c r="G96" s="297">
        <f>IF(G155="X",G46,0)</f>
        <v>0</v>
      </c>
      <c r="H96" s="297">
        <f>IF(H155="X",H46,0)</f>
        <v>0</v>
      </c>
      <c r="I96" s="657"/>
      <c r="J96" s="657"/>
      <c r="K96" s="297">
        <f>IF(I155="X",K46,0)</f>
        <v>0</v>
      </c>
      <c r="L96" s="657"/>
      <c r="M96" s="657"/>
      <c r="N96" s="297">
        <f>IF(J155="X",N46,0)</f>
        <v>0</v>
      </c>
      <c r="O96" s="2210" t="s">
        <v>353</v>
      </c>
      <c r="P96" s="2210"/>
      <c r="Q96" s="12"/>
      <c r="R96" s="462">
        <f>R97+R98</f>
        <v>0</v>
      </c>
      <c r="S96" s="2"/>
      <c r="T96" s="2"/>
      <c r="U96" s="2"/>
      <c r="V96" s="591"/>
      <c r="W96" s="591"/>
      <c r="X96" s="591"/>
      <c r="Y96" s="591"/>
      <c r="Z96" s="591"/>
      <c r="AA96" s="591"/>
      <c r="AB96" s="591"/>
      <c r="AC96" s="591"/>
      <c r="AG96" s="591"/>
      <c r="AH96" s="591"/>
      <c r="AI96" s="591"/>
      <c r="AJ96" s="591"/>
      <c r="AK96" s="591"/>
      <c r="AM96" s="591"/>
      <c r="AN96" s="591"/>
      <c r="AO96" s="591"/>
      <c r="AP96" s="591"/>
      <c r="AQ96" s="591"/>
      <c r="AS96" s="591"/>
      <c r="AT96" s="591"/>
      <c r="AU96" s="591"/>
      <c r="AV96" s="591"/>
      <c r="AW96" s="591"/>
      <c r="AY96" s="591"/>
    </row>
    <row r="97" spans="1:51" ht="18.75" customHeight="1" x14ac:dyDescent="0.25">
      <c r="A97" s="2"/>
      <c r="B97" s="7"/>
      <c r="C97" s="2032" t="s">
        <v>350</v>
      </c>
      <c r="D97" s="2032"/>
      <c r="E97" s="2032"/>
      <c r="F97" s="2032"/>
      <c r="G97" s="299"/>
      <c r="H97" s="299"/>
      <c r="I97" s="658"/>
      <c r="J97" s="658"/>
      <c r="K97" s="299"/>
      <c r="L97" s="658"/>
      <c r="M97" s="658"/>
      <c r="N97" s="299"/>
      <c r="O97" s="2221" t="s">
        <v>355</v>
      </c>
      <c r="P97" s="2221"/>
      <c r="Q97" s="12"/>
      <c r="R97" s="462">
        <f>SUM(G97:N97)</f>
        <v>0</v>
      </c>
      <c r="S97" s="462">
        <f>SUMIF($G$42:N$42,K$134,$G97:N97)</f>
        <v>0</v>
      </c>
      <c r="T97" s="1110" t="e">
        <f>S97/R97*100</f>
        <v>#DIV/0!</v>
      </c>
      <c r="U97" s="2"/>
      <c r="V97" s="591"/>
      <c r="W97" s="591"/>
      <c r="X97" s="591"/>
      <c r="Y97" s="591"/>
      <c r="Z97" s="591"/>
      <c r="AA97" s="591"/>
      <c r="AB97" s="591"/>
      <c r="AC97" s="591"/>
      <c r="AG97" s="591"/>
      <c r="AH97" s="591"/>
      <c r="AI97" s="591"/>
      <c r="AJ97" s="591"/>
      <c r="AK97" s="591"/>
      <c r="AM97" s="591"/>
      <c r="AN97" s="591"/>
      <c r="AO97" s="591"/>
      <c r="AP97" s="591"/>
      <c r="AQ97" s="591"/>
      <c r="AS97" s="591"/>
      <c r="AT97" s="591"/>
      <c r="AU97" s="591"/>
      <c r="AV97" s="591"/>
      <c r="AW97" s="591"/>
      <c r="AY97" s="591"/>
    </row>
    <row r="98" spans="1:51" ht="18.75" customHeight="1" x14ac:dyDescent="0.2">
      <c r="A98" s="2"/>
      <c r="B98" s="7"/>
      <c r="C98" s="2108" t="s">
        <v>490</v>
      </c>
      <c r="D98" s="2108"/>
      <c r="E98" s="2108"/>
      <c r="F98" s="2108"/>
      <c r="G98" s="300"/>
      <c r="H98" s="660"/>
      <c r="I98" s="659"/>
      <c r="J98" s="659"/>
      <c r="K98" s="660"/>
      <c r="L98" s="659"/>
      <c r="M98" s="659"/>
      <c r="N98" s="660"/>
      <c r="O98" s="2018" t="s">
        <v>349</v>
      </c>
      <c r="P98" s="2018"/>
      <c r="Q98" s="13"/>
      <c r="R98" s="462">
        <f>SUM(G98:N98)</f>
        <v>0</v>
      </c>
      <c r="S98" s="2"/>
      <c r="T98" s="2"/>
      <c r="U98" s="2"/>
      <c r="V98" s="591"/>
      <c r="W98" s="591"/>
      <c r="X98" s="591"/>
      <c r="Y98" s="591"/>
      <c r="Z98" s="591"/>
      <c r="AA98" s="591"/>
      <c r="AB98" s="591"/>
      <c r="AC98" s="591"/>
      <c r="AG98" s="591"/>
      <c r="AH98" s="591"/>
      <c r="AI98" s="591"/>
      <c r="AJ98" s="591"/>
      <c r="AK98" s="591"/>
      <c r="AM98" s="591"/>
      <c r="AN98" s="591"/>
      <c r="AO98" s="591"/>
      <c r="AP98" s="591"/>
      <c r="AQ98" s="591"/>
      <c r="AS98" s="591"/>
      <c r="AT98" s="591"/>
      <c r="AU98" s="591"/>
      <c r="AV98" s="591"/>
      <c r="AW98" s="591"/>
      <c r="AY98" s="591"/>
    </row>
    <row r="99" spans="1:51" ht="15" customHeight="1" x14ac:dyDescent="0.2">
      <c r="A99" s="2"/>
      <c r="B99" s="2"/>
      <c r="C99" s="10"/>
      <c r="D99" s="10"/>
      <c r="E99" s="10"/>
      <c r="F99" s="10"/>
      <c r="G99" s="91" t="str">
        <f>IF(AND(SUM(G97:G98)&lt;&gt;0,G152=0),$L$152,IF(G152=0,"",IF(G97=0,IMPOSTAZIONI!$J$383,IF((G97+G98)&lt;&gt;G96,IMPOSTAZIONI!$M$383,IMPOSTAZIONI!$H$383))))</f>
        <v/>
      </c>
      <c r="H99" s="91" t="str">
        <f>IF(AND(SUM(H97:H98)&lt;&gt;0,H152=0),$L$152,IF(H152=0,"",IF(H97=0,IMPOSTAZIONI!$J$383,IF((H97+H98)&lt;&gt;H96,IMPOSTAZIONI!$M$383,IMPOSTAZIONI!$H$383))))</f>
        <v/>
      </c>
      <c r="I99" s="91"/>
      <c r="J99" s="91"/>
      <c r="K99" s="91" t="str">
        <f>IF(AND(SUM(K97:K98)&lt;&gt;0,I152=0),$L$152,IF(I152=0,"",IF(K97=0,IMPOSTAZIONI!$J$383,IF((K97+K98)&lt;&gt;K96,IMPOSTAZIONI!$M$383,IMPOSTAZIONI!$H$383))))</f>
        <v/>
      </c>
      <c r="L99" s="91"/>
      <c r="M99" s="91"/>
      <c r="N99" s="91" t="str">
        <f>IF(AND(SUM(N97:N98)&lt;&gt;0,J152=0),$L$152,IF(J152=0,"",IF(N97=0,IMPOSTAZIONI!$J$383,IF((N97+N98)&lt;&gt;N96,IMPOSTAZIONI!$M$383,IMPOSTAZIONI!$H$383))))</f>
        <v/>
      </c>
      <c r="O99" s="10"/>
      <c r="P99" s="10"/>
      <c r="Q99" s="2"/>
      <c r="R99" s="2"/>
      <c r="S99" s="2"/>
      <c r="T99" s="2"/>
      <c r="U99" s="2"/>
      <c r="V99" s="591"/>
      <c r="W99" s="591"/>
      <c r="X99" s="591"/>
      <c r="Y99" s="591"/>
      <c r="Z99" s="591"/>
      <c r="AA99" s="591"/>
      <c r="AB99" s="591"/>
      <c r="AC99" s="591"/>
      <c r="AG99" s="591"/>
      <c r="AH99" s="591"/>
      <c r="AI99" s="591"/>
      <c r="AJ99" s="591"/>
      <c r="AK99" s="591"/>
      <c r="AM99" s="591"/>
      <c r="AN99" s="591"/>
      <c r="AO99" s="591"/>
      <c r="AP99" s="591"/>
      <c r="AQ99" s="591"/>
      <c r="AS99" s="591"/>
      <c r="AT99" s="591"/>
      <c r="AU99" s="591"/>
      <c r="AV99" s="591"/>
      <c r="AW99" s="591"/>
      <c r="AY99" s="591"/>
    </row>
    <row r="100" spans="1:51" ht="21" customHeight="1" x14ac:dyDescent="0.2">
      <c r="A100" s="2"/>
      <c r="B100" s="2"/>
      <c r="C100" s="2116" t="s">
        <v>354</v>
      </c>
      <c r="D100" s="2116"/>
      <c r="E100" s="2116"/>
      <c r="F100" s="2116"/>
      <c r="G100" s="2"/>
      <c r="H100" s="2"/>
      <c r="I100" s="2"/>
      <c r="J100" s="2"/>
      <c r="K100" s="2"/>
      <c r="L100" s="2"/>
      <c r="M100" s="2"/>
      <c r="N100" s="2"/>
      <c r="O100" s="2"/>
      <c r="P100" s="2"/>
      <c r="Q100" s="2"/>
      <c r="R100" s="2"/>
      <c r="S100" s="2"/>
      <c r="T100" s="128" t="s">
        <v>783</v>
      </c>
      <c r="U100" s="2"/>
      <c r="V100" s="591"/>
      <c r="W100" s="591"/>
      <c r="X100" s="591"/>
      <c r="Y100" s="591"/>
      <c r="Z100" s="591"/>
      <c r="AA100" s="591"/>
      <c r="AB100" s="591"/>
      <c r="AC100" s="591"/>
      <c r="AG100" s="591"/>
      <c r="AH100" s="591"/>
      <c r="AI100" s="591"/>
      <c r="AJ100" s="591"/>
      <c r="AK100" s="591"/>
      <c r="AM100" s="591"/>
      <c r="AN100" s="591"/>
      <c r="AO100" s="591"/>
      <c r="AP100" s="591"/>
      <c r="AQ100" s="591"/>
      <c r="AS100" s="591"/>
      <c r="AT100" s="591"/>
      <c r="AU100" s="591"/>
      <c r="AV100" s="591"/>
      <c r="AW100" s="591"/>
      <c r="AY100" s="591"/>
    </row>
    <row r="101" spans="1:51" ht="16.5" customHeight="1" x14ac:dyDescent="0.2">
      <c r="A101" s="2"/>
      <c r="B101" s="18" t="e">
        <f>VERIFICA!#REF!</f>
        <v>#REF!</v>
      </c>
      <c r="C101" s="2106" t="str">
        <f>IF(AND(RIEPILOGO!B8="",SUM(G101:N101)&gt;0),"ERROR",RIEPILOGO!B8)</f>
        <v>Aliquota 22 %</v>
      </c>
      <c r="D101" s="2106"/>
      <c r="E101" s="2106"/>
      <c r="F101" s="2106"/>
      <c r="G101" s="236"/>
      <c r="H101" s="236"/>
      <c r="I101" s="658"/>
      <c r="J101" s="658"/>
      <c r="K101" s="236"/>
      <c r="L101" s="658"/>
      <c r="M101" s="658"/>
      <c r="N101" s="236"/>
      <c r="O101" s="2218" t="s">
        <v>349</v>
      </c>
      <c r="P101" s="2218"/>
      <c r="Q101" s="12"/>
      <c r="R101" s="93">
        <f>SUM(G101:N101)</f>
        <v>0</v>
      </c>
      <c r="S101" s="93">
        <f>SUMIF($G$42:N$42,K$134,$G101:N101)</f>
        <v>0</v>
      </c>
      <c r="T101" s="1110" t="e">
        <f>S101/R101*100</f>
        <v>#DIV/0!</v>
      </c>
      <c r="U101" s="2"/>
      <c r="V101" s="591"/>
      <c r="W101" s="591"/>
      <c r="X101" s="591"/>
      <c r="Y101" s="591"/>
      <c r="Z101" s="591"/>
      <c r="AA101" s="591"/>
      <c r="AB101" s="591"/>
      <c r="AC101" s="591"/>
      <c r="AG101" s="591"/>
      <c r="AH101" s="591"/>
      <c r="AI101" s="591"/>
      <c r="AJ101" s="591"/>
      <c r="AK101" s="591"/>
      <c r="AM101" s="591"/>
      <c r="AN101" s="591"/>
      <c r="AO101" s="591"/>
      <c r="AP101" s="591"/>
      <c r="AQ101" s="591"/>
      <c r="AS101" s="591"/>
      <c r="AT101" s="591"/>
      <c r="AU101" s="591"/>
      <c r="AV101" s="591"/>
      <c r="AW101" s="591"/>
      <c r="AY101" s="591"/>
    </row>
    <row r="102" spans="1:51" ht="16.5" customHeight="1" x14ac:dyDescent="0.2">
      <c r="A102" s="2"/>
      <c r="B102" s="18" t="e">
        <f>VERIFICA!#REF!</f>
        <v>#REF!</v>
      </c>
      <c r="C102" s="2106" t="str">
        <f>IF(AND(RIEPILOGO!B9="",SUM(G102:N102)&gt;0),"ERROR",RIEPILOGO!B9)</f>
        <v>Aliquota 10 %</v>
      </c>
      <c r="D102" s="2106"/>
      <c r="E102" s="2106"/>
      <c r="F102" s="2106"/>
      <c r="G102" s="237"/>
      <c r="H102" s="237"/>
      <c r="I102" s="658"/>
      <c r="J102" s="658"/>
      <c r="K102" s="237"/>
      <c r="L102" s="658"/>
      <c r="M102" s="658"/>
      <c r="N102" s="237"/>
      <c r="O102" s="2218" t="s">
        <v>349</v>
      </c>
      <c r="P102" s="2218"/>
      <c r="Q102" s="12"/>
      <c r="R102" s="94">
        <f>SUM(G102:N102)</f>
        <v>0</v>
      </c>
      <c r="S102" s="94">
        <f>SUMIF($G$42:N$42,K$134,$G102:N102)</f>
        <v>0</v>
      </c>
      <c r="T102" s="1110" t="e">
        <f>S102/R102*100</f>
        <v>#DIV/0!</v>
      </c>
      <c r="U102" s="2"/>
      <c r="V102" s="591"/>
      <c r="W102" s="591"/>
      <c r="X102" s="591"/>
      <c r="Y102" s="591"/>
      <c r="Z102" s="591"/>
      <c r="AA102" s="591"/>
      <c r="AB102" s="591"/>
      <c r="AC102" s="591"/>
      <c r="AG102" s="591"/>
      <c r="AH102" s="591"/>
      <c r="AI102" s="591"/>
      <c r="AJ102" s="591"/>
      <c r="AK102" s="591"/>
      <c r="AM102" s="591"/>
      <c r="AN102" s="591"/>
      <c r="AO102" s="591"/>
      <c r="AP102" s="591"/>
      <c r="AQ102" s="591"/>
      <c r="AS102" s="591"/>
      <c r="AT102" s="591"/>
      <c r="AU102" s="591"/>
      <c r="AV102" s="591"/>
      <c r="AW102" s="591"/>
      <c r="AY102" s="591"/>
    </row>
    <row r="103" spans="1:51" ht="16.5" customHeight="1" x14ac:dyDescent="0.2">
      <c r="A103" s="2"/>
      <c r="B103" s="18" t="e">
        <f>VERIFICA!#REF!</f>
        <v>#REF!</v>
      </c>
      <c r="C103" s="2106" t="str">
        <f>IF(AND(RIEPILOGO!B10="",SUM(G103:N103)&gt;0),"ERROR",RIEPILOGO!B10)</f>
        <v>Aliquota 4 %</v>
      </c>
      <c r="D103" s="2106"/>
      <c r="E103" s="2106"/>
      <c r="F103" s="2106"/>
      <c r="G103" s="304"/>
      <c r="H103" s="304"/>
      <c r="I103" s="658"/>
      <c r="J103" s="658"/>
      <c r="K103" s="304"/>
      <c r="L103" s="658"/>
      <c r="M103" s="658"/>
      <c r="N103" s="304"/>
      <c r="O103" s="2218" t="s">
        <v>349</v>
      </c>
      <c r="P103" s="2218"/>
      <c r="Q103" s="12"/>
      <c r="R103" s="94">
        <f>SUM(G103:N103)</f>
        <v>0</v>
      </c>
      <c r="S103" s="94">
        <f>SUMIF($G$42:N$42,K$134,$G103:N103)</f>
        <v>0</v>
      </c>
      <c r="T103" s="1110" t="e">
        <f>S103/R103*100</f>
        <v>#DIV/0!</v>
      </c>
      <c r="U103" s="2"/>
      <c r="V103" s="591"/>
      <c r="W103" s="591"/>
      <c r="X103" s="591"/>
      <c r="Y103" s="591"/>
      <c r="Z103" s="591"/>
      <c r="AA103" s="591"/>
      <c r="AB103" s="591"/>
      <c r="AC103" s="591"/>
      <c r="AG103" s="591"/>
      <c r="AH103" s="591"/>
      <c r="AI103" s="591"/>
      <c r="AJ103" s="591"/>
      <c r="AK103" s="591"/>
      <c r="AM103" s="591"/>
      <c r="AN103" s="591"/>
      <c r="AO103" s="591"/>
      <c r="AP103" s="591"/>
      <c r="AQ103" s="591"/>
      <c r="AS103" s="591"/>
      <c r="AT103" s="591"/>
      <c r="AU103" s="591"/>
      <c r="AV103" s="591"/>
      <c r="AW103" s="591"/>
      <c r="AY103" s="591"/>
    </row>
    <row r="104" spans="1:51" ht="16.5" customHeight="1" x14ac:dyDescent="0.2">
      <c r="A104" s="2"/>
      <c r="B104" s="18" t="e">
        <f>VERIFICA!#REF!</f>
        <v>#REF!</v>
      </c>
      <c r="C104" s="2106" t="str">
        <f>IF(AND(RIEPILOGO!B11="",SUM(G104:N104)&gt;0),"ERROR",RIEPILOGO!B11)</f>
        <v/>
      </c>
      <c r="D104" s="2106"/>
      <c r="E104" s="2106"/>
      <c r="F104" s="2106"/>
      <c r="G104" s="304"/>
      <c r="H104" s="660"/>
      <c r="I104" s="659"/>
      <c r="J104" s="659"/>
      <c r="K104" s="660"/>
      <c r="L104" s="659"/>
      <c r="M104" s="659"/>
      <c r="N104" s="660"/>
      <c r="O104" s="2217" t="s">
        <v>349</v>
      </c>
      <c r="P104" s="2217"/>
      <c r="Q104" s="12"/>
      <c r="R104" s="95">
        <f>SUM(G104:N104)</f>
        <v>0</v>
      </c>
      <c r="S104" s="95">
        <f>SUMIF($G$42:N$42,K$134,$G104:N104)</f>
        <v>0</v>
      </c>
      <c r="T104" s="1110" t="e">
        <f>S104/R104*100</f>
        <v>#DIV/0!</v>
      </c>
      <c r="U104" s="2"/>
      <c r="V104" s="591"/>
      <c r="W104" s="591"/>
      <c r="X104" s="591"/>
      <c r="Y104" s="591"/>
      <c r="Z104" s="591"/>
      <c r="AA104" s="591"/>
      <c r="AB104" s="591"/>
      <c r="AC104" s="591"/>
      <c r="AG104" s="591"/>
      <c r="AH104" s="591"/>
      <c r="AI104" s="591"/>
      <c r="AJ104" s="591"/>
      <c r="AK104" s="591"/>
      <c r="AM104" s="591"/>
      <c r="AN104" s="591"/>
      <c r="AO104" s="591"/>
      <c r="AP104" s="591"/>
      <c r="AQ104" s="591"/>
      <c r="AS104" s="591"/>
      <c r="AT104" s="591"/>
      <c r="AU104" s="591"/>
      <c r="AV104" s="591"/>
      <c r="AW104" s="591"/>
      <c r="AY104" s="591"/>
    </row>
    <row r="105" spans="1:51" ht="15" customHeight="1" x14ac:dyDescent="0.2">
      <c r="A105" s="2"/>
      <c r="B105" s="2"/>
      <c r="C105" s="10"/>
      <c r="D105" s="10"/>
      <c r="E105" s="10"/>
      <c r="F105" s="10"/>
      <c r="G105" s="91" t="str">
        <f>IF(AND(SUM(G101:G104)&lt;&gt;0,G152=0),$L$152,IF(G152=0,"",IF(SUM(G101:G104)&lt;&gt;G98,IMPOSTAZIONI!$J$383,IF(SUM(G101:G104)&lt;&gt;G98,IMPOSTAZIONI!$M$383,IMPOSTAZIONI!$H$383))))</f>
        <v/>
      </c>
      <c r="H105" s="91" t="str">
        <f>IF(AND(SUM(H101:H104)&lt;&gt;0,H152=0),$L$152,IF(H152=0,"",IF(SUM(H101:H104)&lt;&gt;H98,IMPOSTAZIONI!$J$383,IF(SUM(H101:H104)&lt;&gt;H98,IMPOSTAZIONI!$M$383,IMPOSTAZIONI!$H$383))))</f>
        <v/>
      </c>
      <c r="I105" s="91"/>
      <c r="J105" s="91"/>
      <c r="K105" s="91" t="str">
        <f>IF(AND(SUM(K101:K104)&lt;&gt;0,I152=0),$L$152,IF(I152=0,"",IF(SUM(K101:K104)&lt;&gt;K98,IMPOSTAZIONI!$J$383,IF(SUM(K101:K104)&lt;&gt;K98,IMPOSTAZIONI!$M$383,IMPOSTAZIONI!$H$383))))</f>
        <v/>
      </c>
      <c r="L105" s="91"/>
      <c r="M105" s="91"/>
      <c r="N105" s="91" t="str">
        <f>IF(AND(SUM(N101:N104)&lt;&gt;0,J152=0),$L$152,IF(J152=0,"",IF(SUM(N101:N104)&lt;&gt;N98,IMPOSTAZIONI!$J$383,IF(SUM(N101:N104)&lt;&gt;N98,IMPOSTAZIONI!$M$383,IMPOSTAZIONI!$H$383))))</f>
        <v/>
      </c>
      <c r="O105" s="10"/>
      <c r="P105" s="10"/>
      <c r="Q105" s="2"/>
      <c r="R105" s="2"/>
      <c r="S105" s="2"/>
      <c r="T105" s="2"/>
      <c r="U105" s="2"/>
      <c r="V105" s="591"/>
      <c r="W105" s="591"/>
      <c r="X105" s="591"/>
      <c r="Y105" s="591"/>
      <c r="Z105" s="591"/>
      <c r="AA105" s="591"/>
      <c r="AB105" s="591"/>
      <c r="AC105" s="591"/>
      <c r="AG105" s="591"/>
      <c r="AH105" s="591"/>
      <c r="AI105" s="591"/>
      <c r="AJ105" s="591"/>
      <c r="AK105" s="591"/>
      <c r="AM105" s="591"/>
      <c r="AN105" s="591"/>
      <c r="AO105" s="591"/>
      <c r="AP105" s="591"/>
      <c r="AQ105" s="591"/>
      <c r="AS105" s="591"/>
      <c r="AT105" s="591"/>
      <c r="AU105" s="591"/>
      <c r="AV105" s="591"/>
      <c r="AW105" s="591"/>
      <c r="AY105" s="591"/>
    </row>
    <row r="106" spans="1:51" ht="21" customHeight="1" x14ac:dyDescent="0.2">
      <c r="A106" s="2"/>
      <c r="B106" s="2"/>
      <c r="C106" s="2"/>
      <c r="D106" s="2"/>
      <c r="E106" s="2"/>
      <c r="F106" s="2"/>
      <c r="G106" s="2"/>
      <c r="H106" s="2"/>
      <c r="I106" s="2"/>
      <c r="J106" s="2"/>
      <c r="K106" s="2"/>
      <c r="L106" s="2"/>
      <c r="M106" s="2"/>
      <c r="N106" s="2"/>
      <c r="O106" s="2"/>
      <c r="P106" s="2"/>
      <c r="Q106" s="2"/>
      <c r="R106" s="2"/>
      <c r="S106" s="2"/>
      <c r="T106" s="2"/>
      <c r="U106" s="2"/>
      <c r="V106" s="591"/>
      <c r="W106" s="591"/>
      <c r="X106" s="591"/>
      <c r="Y106" s="591"/>
      <c r="Z106" s="591"/>
      <c r="AA106" s="591"/>
      <c r="AB106" s="591"/>
      <c r="AC106" s="591"/>
      <c r="AG106" s="591"/>
      <c r="AH106" s="591"/>
      <c r="AI106" s="591"/>
      <c r="AJ106" s="591"/>
      <c r="AK106" s="591"/>
      <c r="AM106" s="591"/>
      <c r="AN106" s="591"/>
      <c r="AO106" s="591"/>
      <c r="AP106" s="591"/>
      <c r="AQ106" s="591"/>
      <c r="AS106" s="591"/>
      <c r="AT106" s="591"/>
      <c r="AU106" s="591"/>
      <c r="AV106" s="591"/>
      <c r="AW106" s="591"/>
      <c r="AY106" s="591"/>
    </row>
    <row r="107" spans="1:51" ht="21" customHeight="1" x14ac:dyDescent="0.2">
      <c r="A107" s="2"/>
      <c r="B107" s="2"/>
      <c r="C107" s="2"/>
      <c r="D107" s="2"/>
      <c r="E107" s="2"/>
      <c r="F107" s="278" t="s">
        <v>324</v>
      </c>
      <c r="G107" s="2"/>
      <c r="H107" s="2"/>
      <c r="I107" s="256"/>
      <c r="J107" s="256"/>
      <c r="K107" s="256"/>
      <c r="L107" s="2"/>
      <c r="M107" s="2"/>
      <c r="N107" s="2"/>
      <c r="O107" s="2"/>
      <c r="P107" s="2"/>
      <c r="Q107" s="2"/>
      <c r="R107" s="2"/>
      <c r="S107" s="2"/>
      <c r="T107" s="2"/>
      <c r="U107" s="2"/>
      <c r="V107" s="591"/>
      <c r="W107" s="591"/>
      <c r="X107" s="591"/>
      <c r="Y107" s="591"/>
      <c r="Z107" s="591"/>
      <c r="AA107" s="591"/>
      <c r="AB107" s="591"/>
      <c r="AC107" s="591"/>
      <c r="AG107" s="591"/>
      <c r="AH107" s="591"/>
      <c r="AI107" s="591"/>
      <c r="AJ107" s="591"/>
      <c r="AK107" s="591"/>
      <c r="AM107" s="591"/>
      <c r="AN107" s="591"/>
      <c r="AO107" s="591"/>
      <c r="AP107" s="591"/>
      <c r="AQ107" s="591"/>
      <c r="AS107" s="591"/>
      <c r="AT107" s="591"/>
      <c r="AU107" s="591"/>
      <c r="AV107" s="591"/>
      <c r="AW107" s="591"/>
      <c r="AY107" s="591"/>
    </row>
    <row r="108" spans="1:51" ht="18.75" customHeight="1" x14ac:dyDescent="0.2">
      <c r="A108" s="2"/>
      <c r="B108" s="2"/>
      <c r="C108" s="2"/>
      <c r="D108" s="2"/>
      <c r="E108" s="2"/>
      <c r="F108" s="763" t="s">
        <v>735</v>
      </c>
      <c r="G108" s="763"/>
      <c r="H108" s="763"/>
      <c r="I108" s="763"/>
      <c r="J108" s="2"/>
      <c r="K108" s="666">
        <f>E7</f>
        <v>0</v>
      </c>
      <c r="L108" s="2245">
        <f>K108-(SUM(G7:H7)+K7+N7)+SUMIF(G42:N42,K134,G7:N7)</f>
        <v>0</v>
      </c>
      <c r="M108" s="2246"/>
      <c r="N108" s="1045" t="s">
        <v>492</v>
      </c>
      <c r="O108" s="2"/>
      <c r="P108" s="2"/>
      <c r="Q108" s="2"/>
      <c r="R108" s="2"/>
      <c r="S108" s="2"/>
      <c r="T108" s="2"/>
      <c r="U108" s="2"/>
      <c r="V108" s="591"/>
      <c r="W108" s="591"/>
      <c r="X108" s="591"/>
      <c r="Y108" s="591"/>
      <c r="Z108" s="591"/>
      <c r="AA108" s="591"/>
      <c r="AB108" s="591"/>
      <c r="AC108" s="591"/>
      <c r="AG108" s="591"/>
      <c r="AH108" s="591"/>
      <c r="AI108" s="591"/>
      <c r="AJ108" s="591"/>
      <c r="AK108" s="591"/>
      <c r="AM108" s="591"/>
      <c r="AN108" s="591"/>
      <c r="AO108" s="591"/>
      <c r="AP108" s="591"/>
      <c r="AQ108" s="591"/>
      <c r="AS108" s="591"/>
      <c r="AT108" s="591"/>
      <c r="AU108" s="591"/>
      <c r="AV108" s="591"/>
      <c r="AW108" s="591"/>
      <c r="AY108" s="591"/>
    </row>
    <row r="109" spans="1:51" ht="18.75" customHeight="1" x14ac:dyDescent="0.2">
      <c r="A109" s="2"/>
      <c r="B109" s="2"/>
      <c r="C109" s="2"/>
      <c r="D109" s="2"/>
      <c r="E109" s="2"/>
      <c r="F109" s="764" t="s">
        <v>736</v>
      </c>
      <c r="G109" s="764"/>
      <c r="H109" s="764"/>
      <c r="I109" s="764"/>
      <c r="J109" s="2"/>
      <c r="K109" s="279">
        <f>E39</f>
        <v>0</v>
      </c>
      <c r="L109" s="2247">
        <f>K109-(SUM(G39:H39)+K39+N39)+SUMIF(G42:N42,K134,G39:N39)</f>
        <v>0</v>
      </c>
      <c r="M109" s="2248"/>
      <c r="N109" s="1046" t="s">
        <v>493</v>
      </c>
      <c r="O109" s="2"/>
      <c r="P109" s="2"/>
      <c r="Q109" s="2"/>
      <c r="R109" s="2"/>
      <c r="S109" s="2"/>
      <c r="T109" s="2"/>
      <c r="U109" s="2"/>
      <c r="V109" s="591"/>
      <c r="W109" s="591"/>
      <c r="X109" s="591"/>
      <c r="Y109" s="591"/>
      <c r="Z109" s="591"/>
      <c r="AA109" s="591"/>
      <c r="AB109" s="591"/>
      <c r="AC109" s="591"/>
      <c r="AG109" s="591"/>
      <c r="AH109" s="591"/>
      <c r="AI109" s="591"/>
      <c r="AJ109" s="591"/>
      <c r="AK109" s="591"/>
      <c r="AM109" s="591"/>
      <c r="AN109" s="591"/>
      <c r="AO109" s="591"/>
      <c r="AP109" s="591"/>
      <c r="AQ109" s="591"/>
      <c r="AS109" s="591"/>
      <c r="AT109" s="591"/>
      <c r="AU109" s="591"/>
      <c r="AV109" s="591"/>
      <c r="AW109" s="591"/>
      <c r="AY109" s="591"/>
    </row>
    <row r="110" spans="1:51" ht="19.5" customHeight="1" x14ac:dyDescent="0.25">
      <c r="A110" s="2"/>
      <c r="B110" s="2"/>
      <c r="C110" s="2"/>
      <c r="D110" s="2"/>
      <c r="E110" s="2"/>
      <c r="F110" s="661" t="s">
        <v>485</v>
      </c>
      <c r="G110" s="661"/>
      <c r="H110" s="661"/>
      <c r="I110" s="661"/>
      <c r="J110" s="2"/>
      <c r="K110" s="661"/>
      <c r="L110" s="668"/>
      <c r="M110" s="662"/>
      <c r="N110" s="2"/>
      <c r="O110" s="2"/>
      <c r="P110" s="2"/>
      <c r="Q110" s="2"/>
      <c r="R110" s="2"/>
      <c r="S110" s="2"/>
      <c r="T110" s="2"/>
      <c r="U110" s="2"/>
      <c r="V110" s="591"/>
      <c r="W110" s="591"/>
      <c r="X110" s="591"/>
      <c r="Y110" s="591"/>
      <c r="Z110" s="591"/>
      <c r="AA110" s="591"/>
      <c r="AB110" s="591"/>
      <c r="AC110" s="591"/>
      <c r="AG110" s="591"/>
      <c r="AH110" s="591"/>
      <c r="AI110" s="591"/>
      <c r="AJ110" s="591"/>
      <c r="AK110" s="591"/>
      <c r="AM110" s="591"/>
      <c r="AN110" s="591"/>
      <c r="AO110" s="591"/>
      <c r="AP110" s="591"/>
      <c r="AQ110" s="591"/>
      <c r="AS110" s="591"/>
      <c r="AT110" s="591"/>
      <c r="AU110" s="591"/>
      <c r="AV110" s="591"/>
      <c r="AW110" s="591"/>
      <c r="AY110" s="591"/>
    </row>
    <row r="111" spans="1:51" ht="19.5" customHeight="1" x14ac:dyDescent="0.2">
      <c r="A111" s="2"/>
      <c r="B111" s="2"/>
      <c r="C111" s="2"/>
      <c r="D111" s="2"/>
      <c r="E111" s="2"/>
      <c r="F111" s="663" t="s">
        <v>480</v>
      </c>
      <c r="G111" s="663"/>
      <c r="H111" s="663"/>
      <c r="I111" s="663"/>
      <c r="J111" s="2"/>
      <c r="K111" s="663"/>
      <c r="L111" s="669"/>
      <c r="M111" s="664"/>
      <c r="N111" s="2"/>
      <c r="O111" s="2"/>
      <c r="P111" s="2"/>
      <c r="Q111" s="2"/>
      <c r="R111" s="2"/>
      <c r="S111" s="2"/>
      <c r="T111" s="2"/>
      <c r="U111" s="2"/>
      <c r="V111" s="591"/>
      <c r="W111" s="591"/>
      <c r="X111" s="591"/>
      <c r="Y111" s="591"/>
      <c r="Z111" s="591"/>
      <c r="AA111" s="591"/>
      <c r="AB111" s="591"/>
      <c r="AC111" s="591"/>
      <c r="AG111" s="591"/>
      <c r="AH111" s="591"/>
      <c r="AI111" s="591"/>
      <c r="AJ111" s="591"/>
      <c r="AK111" s="591"/>
      <c r="AM111" s="591"/>
      <c r="AN111" s="591"/>
      <c r="AO111" s="591"/>
      <c r="AP111" s="591"/>
      <c r="AQ111" s="591"/>
      <c r="AS111" s="591"/>
      <c r="AT111" s="591"/>
      <c r="AU111" s="591"/>
      <c r="AV111" s="591"/>
      <c r="AW111" s="591"/>
      <c r="AY111" s="591"/>
    </row>
    <row r="112" spans="1:51" ht="21" customHeight="1" x14ac:dyDescent="0.2">
      <c r="A112" s="2"/>
      <c r="B112" s="2"/>
      <c r="C112" s="2"/>
      <c r="D112" s="2"/>
      <c r="E112" s="2"/>
      <c r="F112" s="104" t="s">
        <v>97</v>
      </c>
      <c r="G112" s="104"/>
      <c r="H112" s="104"/>
      <c r="I112" s="104"/>
      <c r="J112" s="2"/>
      <c r="K112" s="104"/>
      <c r="L112" s="484"/>
      <c r="M112" s="665"/>
      <c r="N112" s="2"/>
      <c r="O112" s="2"/>
      <c r="P112" s="2"/>
      <c r="Q112" s="2"/>
      <c r="R112" s="2"/>
      <c r="S112" s="2"/>
      <c r="T112" s="2"/>
      <c r="U112" s="2"/>
      <c r="V112" s="591"/>
      <c r="W112" s="591"/>
      <c r="X112" s="591"/>
      <c r="Y112" s="591"/>
      <c r="Z112" s="591"/>
      <c r="AA112" s="591"/>
      <c r="AB112" s="591"/>
      <c r="AC112" s="591"/>
      <c r="AG112" s="591"/>
      <c r="AH112" s="591"/>
      <c r="AI112" s="591"/>
      <c r="AJ112" s="591"/>
      <c r="AK112" s="591"/>
      <c r="AM112" s="591"/>
      <c r="AN112" s="591"/>
      <c r="AO112" s="591"/>
      <c r="AP112" s="591"/>
      <c r="AQ112" s="591"/>
      <c r="AS112" s="591"/>
      <c r="AT112" s="591"/>
      <c r="AU112" s="591"/>
      <c r="AV112" s="591"/>
      <c r="AW112" s="591"/>
      <c r="AY112" s="591"/>
    </row>
    <row r="113" spans="1:51" ht="12" customHeight="1" x14ac:dyDescent="0.2">
      <c r="A113" s="2"/>
      <c r="B113" s="2"/>
      <c r="C113" s="2"/>
      <c r="D113" s="2"/>
      <c r="E113" s="2"/>
      <c r="F113" s="2"/>
      <c r="G113" s="2"/>
      <c r="H113" s="2"/>
      <c r="I113" s="2"/>
      <c r="J113" s="2"/>
      <c r="K113" s="2"/>
      <c r="L113" s="14"/>
      <c r="M113" s="139"/>
      <c r="N113" s="2"/>
      <c r="O113" s="2"/>
      <c r="P113" s="2"/>
      <c r="Q113" s="2"/>
      <c r="R113" s="2"/>
      <c r="S113" s="2"/>
      <c r="T113" s="2"/>
      <c r="U113" s="2"/>
      <c r="V113" s="591"/>
      <c r="W113" s="591"/>
      <c r="X113" s="591"/>
      <c r="Y113" s="591"/>
      <c r="Z113" s="591"/>
      <c r="AA113" s="591"/>
      <c r="AB113" s="591"/>
      <c r="AC113" s="591"/>
      <c r="AG113" s="591"/>
      <c r="AH113" s="591"/>
      <c r="AI113" s="591"/>
      <c r="AJ113" s="591"/>
      <c r="AK113" s="591"/>
      <c r="AM113" s="591"/>
      <c r="AN113" s="591"/>
      <c r="AO113" s="591"/>
      <c r="AP113" s="591"/>
      <c r="AQ113" s="591"/>
      <c r="AS113" s="591"/>
      <c r="AT113" s="591"/>
      <c r="AU113" s="591"/>
      <c r="AV113" s="591"/>
      <c r="AW113" s="591"/>
      <c r="AY113" s="591"/>
    </row>
    <row r="114" spans="1:51" ht="15" hidden="1" customHeight="1" x14ac:dyDescent="0.2">
      <c r="A114" s="2"/>
      <c r="B114" s="2"/>
      <c r="C114" s="2"/>
      <c r="D114" s="2"/>
      <c r="E114" s="2"/>
      <c r="F114" s="2"/>
      <c r="G114" s="103">
        <f>IF(ISERROR(G$135),HLOOKUP(L$138,$J$138:$L$138,1,FALSE),HLOOKUP(G$135,$G$129:$I129,1,FALSE))</f>
        <v>3</v>
      </c>
      <c r="H114" s="103">
        <f>IF(ISERROR(H$135),HLOOKUP(K$138,$J$138:$L$138,1,FALSE),HLOOKUP(H$135,$G$129:$I129,1,FALSE))</f>
        <v>2</v>
      </c>
      <c r="I114" s="2053">
        <f>IF(ISERROR(I$135),HLOOKUP(J$138,$J$138:$L$138,1,FALSE),HLOOKUP(I$135,$G$129:$I129,1,FALSE))</f>
        <v>1</v>
      </c>
      <c r="J114" s="2053"/>
      <c r="K114" s="2"/>
      <c r="L114" s="14"/>
      <c r="M114" s="139"/>
      <c r="N114" s="2"/>
      <c r="O114" s="2"/>
      <c r="P114" s="2"/>
      <c r="Q114" s="2"/>
      <c r="R114" s="2"/>
      <c r="S114" s="2"/>
      <c r="T114" s="2"/>
      <c r="U114" s="2"/>
      <c r="V114" s="591"/>
      <c r="W114" s="591"/>
      <c r="X114" s="591"/>
      <c r="Y114" s="591"/>
      <c r="Z114" s="591"/>
      <c r="AA114" s="591"/>
      <c r="AB114" s="591"/>
      <c r="AC114" s="591"/>
      <c r="AG114" s="591"/>
      <c r="AH114" s="591"/>
      <c r="AI114" s="591"/>
      <c r="AJ114" s="591"/>
      <c r="AK114" s="591"/>
      <c r="AM114" s="591"/>
      <c r="AN114" s="591"/>
      <c r="AO114" s="591"/>
      <c r="AP114" s="591"/>
      <c r="AQ114" s="591"/>
      <c r="AS114" s="591"/>
      <c r="AT114" s="591"/>
      <c r="AU114" s="591"/>
      <c r="AV114" s="591"/>
      <c r="AW114" s="591"/>
      <c r="AY114" s="591"/>
    </row>
    <row r="115" spans="1:51" ht="21" hidden="1" customHeight="1" x14ac:dyDescent="0.2">
      <c r="A115" s="2"/>
      <c r="B115" s="2"/>
      <c r="C115" s="2"/>
      <c r="D115" s="2"/>
      <c r="E115" s="2"/>
      <c r="F115" s="2"/>
      <c r="G115" s="129">
        <f>IF(ISERROR(G$135),0,HLOOKUP(G$135,$G$129:$I130,2,FALSE))</f>
        <v>0</v>
      </c>
      <c r="H115" s="129">
        <f>IF(ISERROR(H$135),0,HLOOKUP(H$135,$G$129:$I130,2,FALSE))</f>
        <v>0</v>
      </c>
      <c r="I115" s="2244">
        <f>IF(ISERROR(I$135),0,HLOOKUP(I$135,$G$129:$I130,2,FALSE))</f>
        <v>0</v>
      </c>
      <c r="J115" s="2244"/>
      <c r="K115" s="2"/>
      <c r="L115" s="14"/>
      <c r="M115" s="139"/>
      <c r="N115" s="2"/>
      <c r="O115" s="2"/>
      <c r="P115" s="2"/>
      <c r="Q115" s="2"/>
      <c r="R115" s="2"/>
      <c r="S115" s="2"/>
      <c r="T115" s="2"/>
      <c r="U115" s="2"/>
      <c r="V115" s="591"/>
      <c r="W115" s="591"/>
      <c r="X115" s="591"/>
      <c r="Y115" s="591"/>
      <c r="Z115" s="591"/>
      <c r="AA115" s="591"/>
      <c r="AB115" s="591"/>
      <c r="AC115" s="591"/>
      <c r="AG115" s="591"/>
      <c r="AH115" s="591"/>
      <c r="AI115" s="591"/>
      <c r="AJ115" s="591"/>
      <c r="AK115" s="591"/>
      <c r="AM115" s="591"/>
      <c r="AN115" s="591"/>
      <c r="AO115" s="591"/>
      <c r="AP115" s="591"/>
      <c r="AQ115" s="591"/>
      <c r="AS115" s="591"/>
      <c r="AT115" s="591"/>
      <c r="AU115" s="591"/>
      <c r="AV115" s="591"/>
      <c r="AW115" s="591"/>
      <c r="AY115" s="591"/>
    </row>
    <row r="116" spans="1:51" ht="18" customHeight="1" x14ac:dyDescent="0.2">
      <c r="A116" s="2"/>
      <c r="B116" s="2"/>
      <c r="C116" s="2"/>
      <c r="D116" s="2"/>
      <c r="E116" s="2"/>
      <c r="F116" s="2"/>
      <c r="G116" s="280">
        <f>IF(ISERROR(G$135),HLOOKUP(L$138,$J$138:$L140,3,FALSE),HLOOKUP(G$135,$G$129:$I131,3,FALSE))</f>
        <v>0</v>
      </c>
      <c r="H116" s="280">
        <f>IF(ISERROR(H$135),HLOOKUP(K$138,$J$138:$L140,3,FALSE),HLOOKUP(H$135,$G$129:$I131,3,FALSE))</f>
        <v>0</v>
      </c>
      <c r="I116" s="2249">
        <f>IF(ISERROR(I$135),HLOOKUP(J$138,$J$138:$L140,3,FALSE),HLOOKUP(I$135,$G$129:$I131,3,FALSE))</f>
        <v>0</v>
      </c>
      <c r="J116" s="2250"/>
      <c r="K116" s="2"/>
      <c r="L116" s="14"/>
      <c r="M116" s="139"/>
      <c r="N116" s="2"/>
      <c r="O116" s="2"/>
      <c r="P116" s="2"/>
      <c r="Q116" s="2"/>
      <c r="R116" s="2"/>
      <c r="S116" s="2"/>
      <c r="T116" s="2"/>
      <c r="U116" s="2"/>
      <c r="V116" s="591"/>
      <c r="W116" s="591"/>
      <c r="X116" s="591"/>
      <c r="Y116" s="591"/>
      <c r="Z116" s="591"/>
      <c r="AA116" s="591"/>
      <c r="AB116" s="591"/>
      <c r="AC116" s="591"/>
      <c r="AG116" s="591"/>
      <c r="AH116" s="591"/>
      <c r="AI116" s="591"/>
      <c r="AJ116" s="591"/>
      <c r="AK116" s="591"/>
      <c r="AM116" s="591"/>
      <c r="AN116" s="591"/>
      <c r="AO116" s="591"/>
      <c r="AP116" s="591"/>
      <c r="AQ116" s="591"/>
      <c r="AS116" s="591"/>
      <c r="AT116" s="591"/>
      <c r="AU116" s="591"/>
      <c r="AV116" s="591"/>
      <c r="AW116" s="591"/>
      <c r="AY116" s="591"/>
    </row>
    <row r="117" spans="1:51" ht="18" customHeight="1" x14ac:dyDescent="0.2">
      <c r="A117" s="2"/>
      <c r="B117" s="2"/>
      <c r="C117" s="2"/>
      <c r="D117" s="2"/>
      <c r="E117" s="2"/>
      <c r="F117" s="2"/>
      <c r="G117" s="281">
        <f>IF(ISERROR(G$135),HLOOKUP(L$138,$J$138:$L141,4,FALSE),HLOOKUP(G$135,$G$129:$I132,4,FALSE))</f>
        <v>0</v>
      </c>
      <c r="H117" s="281">
        <f>IF(ISERROR(H$135),HLOOKUP(K$138,$J$138:$L141,4,FALSE),HLOOKUP(H$135,$G$129:$I132,4,FALSE))</f>
        <v>0</v>
      </c>
      <c r="I117" s="2251">
        <f>IF(ISERROR(I$135),HLOOKUP(J$138,$J$138:$L141,4,FALSE),HLOOKUP(I$135,$G$129:$I132,4,FALSE))</f>
        <v>0</v>
      </c>
      <c r="J117" s="2252"/>
      <c r="K117" s="2"/>
      <c r="L117" s="14"/>
      <c r="M117" s="139"/>
      <c r="N117" s="2"/>
      <c r="O117" s="2"/>
      <c r="P117" s="2"/>
      <c r="Q117" s="2"/>
      <c r="R117" s="2"/>
      <c r="S117" s="2"/>
      <c r="T117" s="2"/>
      <c r="U117" s="2"/>
      <c r="V117" s="591"/>
      <c r="W117" s="591"/>
      <c r="X117" s="591"/>
      <c r="Y117" s="591"/>
      <c r="Z117" s="591"/>
      <c r="AA117" s="591"/>
      <c r="AB117" s="591"/>
      <c r="AC117" s="591"/>
      <c r="AG117" s="591"/>
      <c r="AH117" s="591"/>
      <c r="AI117" s="591"/>
      <c r="AJ117" s="591"/>
      <c r="AK117" s="591"/>
      <c r="AM117" s="591"/>
      <c r="AN117" s="591"/>
      <c r="AO117" s="591"/>
      <c r="AP117" s="591"/>
      <c r="AQ117" s="591"/>
      <c r="AS117" s="591"/>
      <c r="AT117" s="591"/>
      <c r="AU117" s="591"/>
      <c r="AV117" s="591"/>
      <c r="AW117" s="591"/>
      <c r="AY117" s="591"/>
    </row>
    <row r="118" spans="1:51" ht="18" customHeight="1" x14ac:dyDescent="0.2">
      <c r="A118" s="2"/>
      <c r="B118" s="2"/>
      <c r="C118" s="2"/>
      <c r="D118" s="2"/>
      <c r="E118" s="2"/>
      <c r="F118" s="2"/>
      <c r="G118" s="282">
        <f>IF(ISERROR(G$135),HLOOKUP(L$138,$J$138:$L142,5,FALSE),HLOOKUP(G$135,$G$129:$I133,5,FALSE))</f>
        <v>0</v>
      </c>
      <c r="H118" s="282">
        <f>IF(ISERROR(H$135),HLOOKUP(K$138,$J$138:$L142,5,FALSE),HLOOKUP(H$135,$G$129:$I133,5,FALSE))</f>
        <v>0</v>
      </c>
      <c r="I118" s="2257">
        <f>IF(ISERROR(I$135),HLOOKUP(J$138,$J$138:$L142,5,FALSE),HLOOKUP(I$135,$G$129:$I133,5,FALSE))</f>
        <v>0</v>
      </c>
      <c r="J118" s="2258"/>
      <c r="K118" s="2"/>
      <c r="L118" s="14"/>
      <c r="M118" s="139"/>
      <c r="N118" s="2"/>
      <c r="O118" s="2"/>
      <c r="P118" s="2"/>
      <c r="Q118" s="2"/>
      <c r="R118" s="2"/>
      <c r="S118" s="2"/>
      <c r="T118" s="2"/>
      <c r="U118" s="2"/>
      <c r="V118" s="591"/>
      <c r="W118" s="591"/>
      <c r="X118" s="591"/>
      <c r="Y118" s="591"/>
      <c r="Z118" s="591"/>
      <c r="AA118" s="591"/>
      <c r="AB118" s="591"/>
      <c r="AC118" s="591"/>
      <c r="AG118" s="591"/>
      <c r="AH118" s="591"/>
      <c r="AI118" s="591"/>
      <c r="AJ118" s="591"/>
      <c r="AK118" s="591"/>
      <c r="AM118" s="591"/>
      <c r="AN118" s="591"/>
      <c r="AO118" s="591"/>
      <c r="AP118" s="591"/>
      <c r="AQ118" s="591"/>
      <c r="AS118" s="591"/>
      <c r="AT118" s="591"/>
      <c r="AU118" s="591"/>
      <c r="AV118" s="591"/>
      <c r="AW118" s="591"/>
      <c r="AY118" s="591"/>
    </row>
    <row r="119" spans="1:51" ht="21" hidden="1" customHeight="1" x14ac:dyDescent="0.2">
      <c r="A119" s="2"/>
      <c r="B119" s="2"/>
      <c r="C119" s="2"/>
      <c r="D119" s="2"/>
      <c r="E119" s="2"/>
      <c r="F119" s="2"/>
      <c r="G119" s="117" t="e">
        <f>IF(ISERROR(G$135),HLOOKUP(L$138,$J$138:$L139,2,FALSE),HLOOKUP(G$135,$G$129:$I136,8,FALSE))</f>
        <v>#N/A</v>
      </c>
      <c r="H119" s="117" t="e">
        <f>IF(ISERROR(H$135),HLOOKUP(K$138,$J$138:$L139,2,FALSE),HLOOKUP(H$135,$G$129:$I136,8,FALSE))</f>
        <v>#N/A</v>
      </c>
      <c r="I119" s="2259" t="e">
        <f>IF(ISERROR(I$135),HLOOKUP(J$138,$J$138:$L139,2,FALSE),HLOOKUP(I$135,$G$129:$I136,8,FALSE))</f>
        <v>#N/A</v>
      </c>
      <c r="J119" s="2259"/>
      <c r="K119" s="2"/>
      <c r="L119" s="14"/>
      <c r="M119" s="139"/>
      <c r="N119" s="2"/>
      <c r="O119" s="2"/>
      <c r="P119" s="2"/>
      <c r="Q119" s="2"/>
      <c r="R119" s="2"/>
      <c r="S119" s="2"/>
      <c r="T119" s="2"/>
      <c r="U119" s="2"/>
      <c r="V119" s="591"/>
      <c r="W119" s="591"/>
      <c r="X119" s="591"/>
      <c r="Y119" s="591"/>
      <c r="Z119" s="591"/>
      <c r="AA119" s="591"/>
      <c r="AB119" s="591"/>
      <c r="AC119" s="591"/>
      <c r="AG119" s="591"/>
      <c r="AH119" s="591"/>
      <c r="AI119" s="591"/>
      <c r="AJ119" s="591"/>
      <c r="AK119" s="591"/>
      <c r="AM119" s="591"/>
      <c r="AN119" s="591"/>
      <c r="AO119" s="591"/>
      <c r="AP119" s="591"/>
      <c r="AQ119" s="591"/>
      <c r="AS119" s="591"/>
      <c r="AT119" s="591"/>
      <c r="AU119" s="591"/>
      <c r="AV119" s="591"/>
      <c r="AW119" s="591"/>
      <c r="AY119" s="591"/>
    </row>
    <row r="120" spans="1:51" ht="4.5" customHeight="1" x14ac:dyDescent="0.2">
      <c r="A120" s="2"/>
      <c r="B120" s="2"/>
      <c r="C120" s="2"/>
      <c r="D120" s="2"/>
      <c r="E120" s="2"/>
      <c r="F120" s="2"/>
      <c r="G120" s="14"/>
      <c r="H120" s="14"/>
      <c r="I120" s="2202"/>
      <c r="J120" s="2202"/>
      <c r="K120" s="2"/>
      <c r="L120" s="14"/>
      <c r="M120" s="139"/>
      <c r="N120" s="2"/>
      <c r="O120" s="2"/>
      <c r="P120" s="2"/>
      <c r="Q120" s="2"/>
      <c r="R120" s="2"/>
      <c r="S120" s="2"/>
      <c r="T120" s="2"/>
      <c r="U120" s="2"/>
      <c r="V120" s="591"/>
      <c r="W120" s="591"/>
      <c r="X120" s="591"/>
      <c r="Y120" s="591"/>
      <c r="Z120" s="591"/>
      <c r="AA120" s="591"/>
      <c r="AB120" s="591"/>
      <c r="AC120" s="591"/>
      <c r="AG120" s="591"/>
      <c r="AH120" s="591"/>
      <c r="AI120" s="591"/>
      <c r="AJ120" s="591"/>
      <c r="AK120" s="591"/>
      <c r="AM120" s="591"/>
      <c r="AN120" s="591"/>
      <c r="AO120" s="591"/>
      <c r="AP120" s="591"/>
      <c r="AQ120" s="591"/>
      <c r="AS120" s="591"/>
      <c r="AT120" s="591"/>
      <c r="AU120" s="591"/>
      <c r="AV120" s="591"/>
      <c r="AW120" s="591"/>
      <c r="AY120" s="591"/>
    </row>
    <row r="121" spans="1:51" ht="18" customHeight="1" x14ac:dyDescent="0.25">
      <c r="A121" s="2"/>
      <c r="B121" s="2"/>
      <c r="C121" s="2"/>
      <c r="D121" s="2"/>
      <c r="E121" s="2"/>
      <c r="F121" s="283" t="s">
        <v>483</v>
      </c>
      <c r="G121" s="285">
        <f>IMPOSTAZIONI!AU285</f>
        <v>0</v>
      </c>
      <c r="H121" s="285">
        <f>IMPOSTAZIONI!AU286</f>
        <v>0</v>
      </c>
      <c r="I121" s="2253">
        <f>IMPOSTAZIONI!AU287</f>
        <v>0</v>
      </c>
      <c r="J121" s="2254"/>
      <c r="K121" s="667">
        <f>SUM(G121:I121)</f>
        <v>0</v>
      </c>
      <c r="L121" s="14"/>
      <c r="M121" s="139"/>
      <c r="N121" s="2"/>
      <c r="O121" s="2"/>
      <c r="P121" s="2"/>
      <c r="Q121" s="2"/>
      <c r="R121" s="2"/>
      <c r="S121" s="2"/>
      <c r="T121" s="2"/>
      <c r="U121" s="2"/>
      <c r="V121" s="591"/>
      <c r="W121" s="591"/>
      <c r="X121" s="591"/>
      <c r="Y121" s="591"/>
      <c r="Z121" s="591"/>
      <c r="AA121" s="591"/>
      <c r="AB121" s="591"/>
      <c r="AC121" s="591"/>
      <c r="AG121" s="591"/>
      <c r="AH121" s="591"/>
      <c r="AI121" s="591"/>
      <c r="AJ121" s="591"/>
      <c r="AK121" s="591"/>
      <c r="AM121" s="591"/>
      <c r="AN121" s="591"/>
      <c r="AO121" s="591"/>
      <c r="AP121" s="591"/>
      <c r="AQ121" s="591"/>
      <c r="AS121" s="591"/>
      <c r="AT121" s="591"/>
      <c r="AU121" s="591"/>
      <c r="AV121" s="591"/>
      <c r="AW121" s="591"/>
      <c r="AY121" s="591"/>
    </row>
    <row r="122" spans="1:51" ht="18" customHeight="1" x14ac:dyDescent="0.2">
      <c r="A122" s="2"/>
      <c r="B122" s="2"/>
      <c r="C122" s="2"/>
      <c r="D122" s="2"/>
      <c r="E122" s="2"/>
      <c r="F122" s="284" t="s">
        <v>484</v>
      </c>
      <c r="G122" s="286">
        <f>IMPOSTAZIONI!AZ285</f>
        <v>0</v>
      </c>
      <c r="H122" s="286">
        <f>IMPOSTAZIONI!AZ286</f>
        <v>0</v>
      </c>
      <c r="I122" s="2255">
        <f>IMPOSTAZIONI!AZ287</f>
        <v>0</v>
      </c>
      <c r="J122" s="2256"/>
      <c r="K122" s="310">
        <f>SUM(G122:I122)</f>
        <v>0</v>
      </c>
      <c r="L122" s="287"/>
      <c r="M122" s="311"/>
      <c r="N122" s="2"/>
      <c r="O122" s="2"/>
      <c r="P122" s="2"/>
      <c r="Q122" s="2"/>
      <c r="R122" s="2"/>
      <c r="S122" s="2"/>
      <c r="T122" s="2"/>
      <c r="U122" s="2"/>
      <c r="V122" s="591"/>
      <c r="W122" s="591"/>
      <c r="X122" s="591"/>
      <c r="Y122" s="591"/>
      <c r="Z122" s="591"/>
      <c r="AA122" s="591"/>
      <c r="AB122" s="591"/>
      <c r="AC122" s="591"/>
      <c r="AG122" s="591"/>
      <c r="AH122" s="591"/>
      <c r="AI122" s="591"/>
      <c r="AJ122" s="591"/>
      <c r="AK122" s="591"/>
      <c r="AM122" s="591"/>
      <c r="AN122" s="591"/>
      <c r="AO122" s="591"/>
      <c r="AP122" s="591"/>
      <c r="AQ122" s="591"/>
      <c r="AS122" s="591"/>
      <c r="AT122" s="591"/>
      <c r="AU122" s="591"/>
      <c r="AV122" s="591"/>
      <c r="AW122" s="591"/>
      <c r="AY122" s="591"/>
    </row>
    <row r="123" spans="1:51" ht="21" customHeight="1" x14ac:dyDescent="0.2">
      <c r="A123" s="2"/>
      <c r="B123" s="2"/>
      <c r="C123" s="2"/>
      <c r="D123" s="2"/>
      <c r="E123" s="2"/>
      <c r="F123" s="2"/>
      <c r="G123" s="2"/>
      <c r="H123" s="2"/>
      <c r="I123" s="2"/>
      <c r="J123" s="2"/>
      <c r="K123" s="2"/>
      <c r="L123" s="2"/>
      <c r="M123" s="2"/>
      <c r="N123" s="2"/>
      <c r="O123" s="2"/>
      <c r="P123" s="2"/>
      <c r="Q123" s="2"/>
      <c r="R123" s="2"/>
      <c r="S123" s="2"/>
      <c r="T123" s="2"/>
      <c r="U123" s="2"/>
      <c r="V123" s="591"/>
      <c r="W123" s="591"/>
      <c r="X123" s="591"/>
      <c r="Y123" s="591"/>
      <c r="Z123" s="591"/>
      <c r="AA123" s="591"/>
      <c r="AB123" s="591"/>
      <c r="AC123" s="591"/>
      <c r="AG123" s="591"/>
      <c r="AH123" s="591"/>
      <c r="AI123" s="591"/>
      <c r="AJ123" s="591"/>
      <c r="AK123" s="591"/>
      <c r="AM123" s="591"/>
      <c r="AN123" s="591"/>
      <c r="AO123" s="591"/>
      <c r="AP123" s="591"/>
      <c r="AQ123" s="591"/>
      <c r="AS123" s="591"/>
      <c r="AT123" s="591"/>
      <c r="AU123" s="591"/>
      <c r="AV123" s="591"/>
      <c r="AW123" s="591"/>
      <c r="AY123" s="591"/>
    </row>
    <row r="124" spans="1:51" ht="21" customHeight="1" x14ac:dyDescent="0.2">
      <c r="A124" s="2"/>
      <c r="B124" s="2"/>
      <c r="C124" s="287"/>
      <c r="D124" s="287"/>
      <c r="E124" s="287"/>
      <c r="F124" s="287"/>
      <c r="G124" s="287"/>
      <c r="H124" s="287"/>
      <c r="I124" s="287"/>
      <c r="J124" s="287"/>
      <c r="K124" s="287"/>
      <c r="L124" s="287"/>
      <c r="M124" s="287"/>
      <c r="N124" s="287"/>
      <c r="O124" s="287"/>
      <c r="P124" s="2"/>
      <c r="Q124" s="2"/>
      <c r="R124" s="2"/>
      <c r="S124" s="2"/>
      <c r="T124" s="2"/>
      <c r="U124" s="2"/>
      <c r="V124" s="591"/>
      <c r="W124" s="591"/>
      <c r="X124" s="591"/>
      <c r="Y124" s="591"/>
      <c r="Z124" s="591"/>
      <c r="AA124" s="591"/>
      <c r="AB124" s="591"/>
      <c r="AC124" s="591"/>
      <c r="AG124" s="591"/>
      <c r="AH124" s="591"/>
      <c r="AI124" s="591"/>
      <c r="AJ124" s="591"/>
      <c r="AK124" s="591"/>
      <c r="AM124" s="591"/>
      <c r="AN124" s="591"/>
      <c r="AO124" s="591"/>
      <c r="AP124" s="591"/>
      <c r="AQ124" s="591"/>
      <c r="AS124" s="591"/>
      <c r="AT124" s="591"/>
      <c r="AU124" s="591"/>
      <c r="AV124" s="591"/>
      <c r="AW124" s="591"/>
      <c r="AY124" s="591"/>
    </row>
    <row r="125" spans="1:51" ht="13.5" hidden="1" customHeight="1" x14ac:dyDescent="0.2">
      <c r="A125" s="2"/>
      <c r="B125" s="2"/>
      <c r="C125" s="2"/>
      <c r="D125" s="2"/>
      <c r="E125" s="2"/>
      <c r="F125" s="2"/>
      <c r="G125" s="2"/>
      <c r="H125" s="2"/>
      <c r="I125" s="2"/>
      <c r="J125" s="2"/>
      <c r="K125" s="2"/>
      <c r="L125" s="2"/>
      <c r="M125" s="2"/>
      <c r="N125" s="2"/>
      <c r="O125" s="2"/>
      <c r="P125" s="2"/>
      <c r="Q125" s="2"/>
      <c r="R125" s="2"/>
      <c r="S125" s="2"/>
      <c r="T125" s="2"/>
      <c r="U125" s="2"/>
      <c r="V125" s="591"/>
      <c r="W125" s="591"/>
      <c r="X125" s="591"/>
      <c r="Y125" s="591"/>
      <c r="Z125" s="591"/>
      <c r="AA125" s="591"/>
      <c r="AB125" s="591"/>
      <c r="AC125" s="591"/>
      <c r="AG125" s="591"/>
      <c r="AH125" s="591"/>
      <c r="AI125" s="591"/>
      <c r="AJ125" s="591"/>
      <c r="AK125" s="591"/>
      <c r="AM125" s="591"/>
      <c r="AN125" s="591"/>
      <c r="AO125" s="591"/>
      <c r="AP125" s="591"/>
      <c r="AQ125" s="591"/>
      <c r="AS125" s="591"/>
      <c r="AT125" s="591"/>
      <c r="AU125" s="591"/>
      <c r="AV125" s="591"/>
      <c r="AW125" s="591"/>
      <c r="AY125" s="591"/>
    </row>
    <row r="126" spans="1:51" ht="18.75" customHeight="1" x14ac:dyDescent="0.2">
      <c r="A126" s="2"/>
      <c r="B126" s="2"/>
      <c r="C126" s="2083" t="str">
        <f ca="1">Presentazione!D70</f>
        <v>Questo file risulta al momento completamente funzionante ed il sistema rileva tutti i suoi fogli.</v>
      </c>
      <c r="D126" s="2083"/>
      <c r="E126" s="2083"/>
      <c r="F126" s="2083"/>
      <c r="G126" s="2083"/>
      <c r="H126" s="2083"/>
      <c r="I126" s="2083"/>
      <c r="J126" s="2083"/>
      <c r="K126" s="2083"/>
      <c r="L126" s="2083"/>
      <c r="M126" s="2083"/>
      <c r="N126" s="553"/>
      <c r="O126" s="553"/>
      <c r="P126" s="553"/>
      <c r="Q126" s="2"/>
      <c r="R126" s="2"/>
      <c r="S126" s="2"/>
      <c r="T126" s="2"/>
      <c r="U126" s="2"/>
      <c r="V126" s="591"/>
      <c r="W126" s="591"/>
      <c r="X126" s="591"/>
      <c r="Y126" s="591"/>
      <c r="Z126" s="591"/>
      <c r="AA126" s="591"/>
      <c r="AB126" s="591"/>
      <c r="AC126" s="591"/>
      <c r="AG126" s="591"/>
      <c r="AH126" s="591"/>
      <c r="AI126" s="591"/>
      <c r="AJ126" s="591"/>
      <c r="AK126" s="591"/>
      <c r="AM126" s="591"/>
      <c r="AN126" s="591"/>
      <c r="AO126" s="591"/>
      <c r="AP126" s="591"/>
      <c r="AQ126" s="591"/>
      <c r="AS126" s="591"/>
      <c r="AT126" s="591"/>
      <c r="AU126" s="591"/>
      <c r="AV126" s="591"/>
      <c r="AW126" s="591"/>
      <c r="AY126" s="591"/>
    </row>
    <row r="127" spans="1:51" ht="33" customHeight="1" x14ac:dyDescent="0.25">
      <c r="A127" s="2"/>
      <c r="B127" s="2"/>
      <c r="C127" s="930" t="s">
        <v>716</v>
      </c>
      <c r="D127" s="930"/>
      <c r="E127" s="930"/>
      <c r="F127" s="930"/>
      <c r="G127" s="930"/>
      <c r="H127" s="2"/>
      <c r="I127" s="2"/>
      <c r="J127" s="2"/>
      <c r="K127" s="2"/>
      <c r="L127" s="2"/>
      <c r="M127" s="908" t="s">
        <v>581</v>
      </c>
      <c r="N127" s="2"/>
      <c r="O127" s="2"/>
      <c r="P127" s="2"/>
      <c r="Q127" s="2"/>
      <c r="R127" s="2"/>
      <c r="S127" s="2"/>
      <c r="T127" s="2"/>
      <c r="U127" s="2"/>
      <c r="V127" s="591"/>
      <c r="W127" s="591"/>
      <c r="X127" s="591"/>
      <c r="Y127" s="591"/>
      <c r="Z127" s="591"/>
      <c r="AA127" s="591"/>
      <c r="AB127" s="591"/>
      <c r="AC127" s="591"/>
      <c r="AG127" s="591"/>
      <c r="AH127" s="591"/>
      <c r="AI127" s="591"/>
      <c r="AJ127" s="591"/>
      <c r="AK127" s="591"/>
      <c r="AM127" s="591"/>
      <c r="AN127" s="591"/>
      <c r="AO127" s="591"/>
      <c r="AP127" s="591"/>
      <c r="AQ127" s="591"/>
      <c r="AS127" s="591"/>
      <c r="AT127" s="591"/>
      <c r="AU127" s="591"/>
      <c r="AV127" s="591"/>
      <c r="AW127" s="591"/>
      <c r="AY127" s="591"/>
    </row>
    <row r="128" spans="1:51" ht="21" hidden="1" customHeight="1" x14ac:dyDescent="0.2">
      <c r="A128" s="2"/>
      <c r="B128" s="2"/>
      <c r="C128" s="2"/>
      <c r="D128" s="2"/>
      <c r="E128" s="2"/>
      <c r="F128" s="2"/>
      <c r="G128" s="2"/>
      <c r="H128" s="2"/>
      <c r="I128" s="2"/>
      <c r="J128" s="2"/>
      <c r="K128" s="2"/>
      <c r="L128" s="2"/>
      <c r="M128" s="2"/>
      <c r="N128" s="2"/>
      <c r="O128" s="2"/>
      <c r="P128" s="2"/>
      <c r="Q128" s="2"/>
      <c r="R128" s="2"/>
      <c r="S128" s="2"/>
      <c r="T128" s="2"/>
      <c r="U128" s="2"/>
      <c r="V128" s="591"/>
      <c r="W128" s="591"/>
      <c r="X128" s="591"/>
      <c r="Y128" s="591"/>
      <c r="Z128" s="591"/>
      <c r="AA128" s="591"/>
      <c r="AB128" s="591"/>
      <c r="AC128" s="591"/>
      <c r="AG128" s="591"/>
      <c r="AH128" s="591"/>
      <c r="AI128" s="591"/>
      <c r="AJ128" s="591"/>
      <c r="AK128" s="591"/>
      <c r="AM128" s="591"/>
      <c r="AN128" s="591"/>
      <c r="AO128" s="591"/>
      <c r="AP128" s="591"/>
      <c r="AQ128" s="591"/>
      <c r="AS128" s="591"/>
      <c r="AT128" s="591"/>
      <c r="AU128" s="591"/>
      <c r="AV128" s="591"/>
      <c r="AW128" s="591"/>
      <c r="AY128" s="591"/>
    </row>
    <row r="129" spans="1:51" ht="15.75" hidden="1" customHeight="1" x14ac:dyDescent="0.2">
      <c r="A129" s="2"/>
      <c r="B129" s="2"/>
      <c r="C129" s="2"/>
      <c r="D129" s="2"/>
      <c r="E129" s="2"/>
      <c r="F129" s="2"/>
      <c r="G129" s="257">
        <v>1</v>
      </c>
      <c r="H129" s="257">
        <v>2</v>
      </c>
      <c r="I129" s="257">
        <v>3</v>
      </c>
      <c r="J129" s="2"/>
      <c r="K129" s="2"/>
      <c r="L129" s="2"/>
      <c r="M129" s="2"/>
      <c r="N129" s="2"/>
      <c r="O129" s="2"/>
      <c r="P129" s="2"/>
      <c r="Q129" s="2"/>
      <c r="R129" s="2"/>
      <c r="S129" s="2"/>
      <c r="T129" s="2"/>
      <c r="U129" s="2"/>
      <c r="V129" s="591"/>
      <c r="W129" s="591"/>
      <c r="X129" s="591"/>
      <c r="Y129" s="591"/>
      <c r="Z129" s="591"/>
      <c r="AA129" s="591"/>
      <c r="AB129" s="591"/>
      <c r="AC129" s="591"/>
      <c r="AG129" s="591"/>
      <c r="AH129" s="591"/>
      <c r="AI129" s="591"/>
      <c r="AJ129" s="591"/>
      <c r="AK129" s="591"/>
      <c r="AM129" s="591"/>
      <c r="AN129" s="591"/>
      <c r="AO129" s="591"/>
      <c r="AP129" s="591"/>
      <c r="AQ129" s="591"/>
      <c r="AS129" s="591"/>
      <c r="AT129" s="591"/>
      <c r="AU129" s="591"/>
      <c r="AV129" s="591"/>
      <c r="AW129" s="591"/>
      <c r="AY129" s="591"/>
    </row>
    <row r="130" spans="1:51" ht="15.75" hidden="1" customHeight="1" x14ac:dyDescent="0.2">
      <c r="A130" s="2"/>
      <c r="B130" s="2"/>
      <c r="C130" s="2"/>
      <c r="D130" s="2"/>
      <c r="E130" s="2"/>
      <c r="F130" s="2"/>
      <c r="G130" s="263">
        <f>IF(E$131=1,IMPOSTAZIONI!J94,0)</f>
        <v>0</v>
      </c>
      <c r="H130" s="263">
        <f>IF(E$132=1,IMPOSTAZIONI!J102,0)</f>
        <v>0</v>
      </c>
      <c r="I130" s="263">
        <f>IF(E$133=1,IMPOSTAZIONI!J110,0)</f>
        <v>0</v>
      </c>
      <c r="J130" s="2"/>
      <c r="K130" s="263" t="str">
        <f>IMPOSTAZIONI!C154</f>
        <v>Note</v>
      </c>
      <c r="L130" s="2"/>
      <c r="M130" s="2"/>
      <c r="N130" s="2"/>
      <c r="O130" s="2"/>
      <c r="P130" s="2"/>
      <c r="Q130" s="2"/>
      <c r="R130" s="2"/>
      <c r="S130" s="2"/>
      <c r="T130" s="2"/>
      <c r="U130" s="2"/>
      <c r="V130" s="591"/>
      <c r="W130" s="591"/>
      <c r="X130" s="591"/>
      <c r="Y130" s="591"/>
      <c r="Z130" s="591"/>
      <c r="AA130" s="591"/>
      <c r="AB130" s="591"/>
      <c r="AC130" s="591"/>
      <c r="AG130" s="591"/>
      <c r="AH130" s="591"/>
      <c r="AI130" s="591"/>
      <c r="AJ130" s="591"/>
      <c r="AK130" s="591"/>
      <c r="AM130" s="591"/>
      <c r="AN130" s="591"/>
      <c r="AO130" s="591"/>
      <c r="AP130" s="591"/>
      <c r="AQ130" s="591"/>
      <c r="AS130" s="591"/>
      <c r="AT130" s="591"/>
      <c r="AU130" s="591"/>
      <c r="AV130" s="591"/>
      <c r="AW130" s="591"/>
      <c r="AY130" s="591"/>
    </row>
    <row r="131" spans="1:51" ht="15.75" hidden="1" customHeight="1" x14ac:dyDescent="0.2">
      <c r="A131" s="2"/>
      <c r="B131" s="2"/>
      <c r="C131" s="2"/>
      <c r="D131" s="2"/>
      <c r="E131" s="263">
        <f>IF(IMPOSTAZIONI!T184=0,1,0)</f>
        <v>0</v>
      </c>
      <c r="F131" s="2"/>
      <c r="G131" s="267">
        <f>IF(E$131=1,IMPOSTAZIONI!J96,0)</f>
        <v>0</v>
      </c>
      <c r="H131" s="268">
        <f>IF(E$132=1,IMPOSTAZIONI!J104,0)</f>
        <v>0</v>
      </c>
      <c r="I131" s="269">
        <f>IF(E$133=1,IMPOSTAZIONI!J112,0)</f>
        <v>0</v>
      </c>
      <c r="J131" s="2"/>
      <c r="K131" s="2"/>
      <c r="L131" s="925" t="str">
        <f>Presentazione!$K$150</f>
        <v>attiva trim.</v>
      </c>
      <c r="M131" s="2"/>
      <c r="N131" s="2"/>
      <c r="O131" s="2"/>
      <c r="P131" s="2"/>
      <c r="Q131" s="2"/>
      <c r="R131" s="2"/>
      <c r="S131" s="2"/>
      <c r="T131" s="2"/>
      <c r="U131" s="2"/>
      <c r="V131" s="591"/>
      <c r="W131" s="591"/>
      <c r="X131" s="591"/>
      <c r="Y131" s="591"/>
      <c r="Z131" s="591"/>
      <c r="AA131" s="591"/>
      <c r="AB131" s="591"/>
      <c r="AC131" s="591"/>
      <c r="AG131" s="591"/>
      <c r="AH131" s="591"/>
      <c r="AI131" s="591"/>
      <c r="AJ131" s="591"/>
      <c r="AK131" s="591"/>
      <c r="AM131" s="591"/>
      <c r="AN131" s="591"/>
      <c r="AO131" s="591"/>
      <c r="AP131" s="591"/>
      <c r="AQ131" s="591"/>
      <c r="AS131" s="591"/>
      <c r="AT131" s="591"/>
      <c r="AU131" s="591"/>
      <c r="AV131" s="591"/>
      <c r="AW131" s="591"/>
      <c r="AY131" s="591"/>
    </row>
    <row r="132" spans="1:51" ht="15.75" hidden="1" customHeight="1" x14ac:dyDescent="0.2">
      <c r="A132" s="2"/>
      <c r="B132" s="2"/>
      <c r="C132" s="2"/>
      <c r="D132" s="2"/>
      <c r="E132" s="263">
        <f>IF(IMPOSTAZIONI!T185=0,1,0)</f>
        <v>0</v>
      </c>
      <c r="F132" s="2"/>
      <c r="G132" s="264">
        <f>IF(E$131=1,IMPOSTAZIONI!J97,0)</f>
        <v>0</v>
      </c>
      <c r="H132" s="266">
        <f>IF(E$132=1,IMPOSTAZIONI!J105,0)</f>
        <v>0</v>
      </c>
      <c r="I132" s="265">
        <f>IF(E$133=1,IMPOSTAZIONI!J113,0)</f>
        <v>0</v>
      </c>
      <c r="J132" s="2"/>
      <c r="K132" s="263" t="s">
        <v>356</v>
      </c>
      <c r="L132" s="2"/>
      <c r="M132" s="2"/>
      <c r="N132" s="2"/>
      <c r="O132" s="2"/>
      <c r="P132" s="2"/>
      <c r="Q132" s="2"/>
      <c r="R132" s="2"/>
      <c r="S132" s="2"/>
      <c r="T132" s="2"/>
      <c r="U132" s="2"/>
      <c r="V132" s="591"/>
      <c r="W132" s="591"/>
      <c r="X132" s="591"/>
      <c r="Y132" s="591"/>
      <c r="Z132" s="591"/>
      <c r="AA132" s="591"/>
      <c r="AB132" s="591"/>
      <c r="AC132" s="591"/>
      <c r="AG132" s="591"/>
      <c r="AH132" s="591"/>
      <c r="AI132" s="591"/>
      <c r="AJ132" s="591"/>
      <c r="AK132" s="591"/>
      <c r="AM132" s="591"/>
      <c r="AN132" s="591"/>
      <c r="AO132" s="591"/>
      <c r="AP132" s="591"/>
      <c r="AQ132" s="591"/>
      <c r="AS132" s="591"/>
      <c r="AT132" s="591"/>
      <c r="AU132" s="591"/>
      <c r="AV132" s="591"/>
      <c r="AW132" s="591"/>
      <c r="AY132" s="591"/>
    </row>
    <row r="133" spans="1:51" ht="15.75" hidden="1" customHeight="1" x14ac:dyDescent="0.2">
      <c r="A133" s="2"/>
      <c r="B133" s="2"/>
      <c r="C133" s="2"/>
      <c r="D133" s="2"/>
      <c r="E133" s="263">
        <f>IF(IMPOSTAZIONI!T186=0,1,0)</f>
        <v>0</v>
      </c>
      <c r="F133" s="2"/>
      <c r="G133" s="270">
        <f>IF(E$131=1,IMPOSTAZIONI!J98,0)</f>
        <v>0</v>
      </c>
      <c r="H133" s="271">
        <f>IF(E$132=1,IMPOSTAZIONI!J106,0)</f>
        <v>0</v>
      </c>
      <c r="I133" s="272">
        <f>IF(E$133=1,IMPOSTAZIONI!J114,0)</f>
        <v>0</v>
      </c>
      <c r="J133" s="2"/>
      <c r="K133" s="2"/>
      <c r="L133" s="2"/>
      <c r="M133" s="2"/>
      <c r="N133" s="2"/>
      <c r="O133" s="2"/>
      <c r="P133" s="2"/>
      <c r="Q133" s="2"/>
      <c r="R133" s="2"/>
      <c r="S133" s="2"/>
      <c r="T133" s="2"/>
      <c r="U133" s="2"/>
      <c r="V133" s="591"/>
      <c r="W133" s="591"/>
      <c r="X133" s="591"/>
      <c r="Y133" s="591"/>
      <c r="Z133" s="591"/>
      <c r="AA133" s="591"/>
      <c r="AB133" s="591"/>
      <c r="AC133" s="591"/>
      <c r="AG133" s="591"/>
      <c r="AH133" s="591"/>
      <c r="AI133" s="591"/>
      <c r="AJ133" s="591"/>
      <c r="AK133" s="591"/>
      <c r="AM133" s="591"/>
      <c r="AN133" s="591"/>
      <c r="AO133" s="591"/>
      <c r="AP133" s="591"/>
      <c r="AQ133" s="591"/>
      <c r="AS133" s="591"/>
      <c r="AT133" s="591"/>
      <c r="AU133" s="591"/>
      <c r="AV133" s="591"/>
      <c r="AW133" s="591"/>
      <c r="AY133" s="591"/>
    </row>
    <row r="134" spans="1:51" ht="15.75" hidden="1" customHeight="1" x14ac:dyDescent="0.2">
      <c r="A134" s="2"/>
      <c r="B134" s="2"/>
      <c r="C134" s="2"/>
      <c r="D134" s="2"/>
      <c r="E134" s="129"/>
      <c r="F134" s="2"/>
      <c r="G134" s="108">
        <f>IF(G130=0,0,G129)</f>
        <v>0</v>
      </c>
      <c r="H134" s="108">
        <f>IF(H130=0,0,H129)</f>
        <v>0</v>
      </c>
      <c r="I134" s="108">
        <f>IF(I130=0,0,I129)</f>
        <v>0</v>
      </c>
      <c r="J134" s="2"/>
      <c r="K134" s="263" t="str">
        <f>IMPOSTAZIONI!C146</f>
        <v>ESCLUDI</v>
      </c>
      <c r="L134" s="263" t="str">
        <f>IMPOSTAZIONI!H146</f>
        <v>VENTILAZIONE</v>
      </c>
      <c r="M134" s="306" t="s">
        <v>745</v>
      </c>
      <c r="N134" s="2"/>
      <c r="O134" s="2"/>
      <c r="P134" s="2"/>
      <c r="Q134" s="2"/>
      <c r="R134" s="2"/>
      <c r="S134" s="2"/>
      <c r="T134" s="2"/>
      <c r="U134" s="2"/>
      <c r="V134" s="591"/>
      <c r="W134" s="591"/>
      <c r="X134" s="591"/>
      <c r="Y134" s="591"/>
      <c r="Z134" s="591"/>
      <c r="AA134" s="591"/>
      <c r="AB134" s="591"/>
      <c r="AC134" s="591"/>
      <c r="AG134" s="591"/>
      <c r="AH134" s="591"/>
      <c r="AI134" s="591"/>
      <c r="AJ134" s="591"/>
      <c r="AK134" s="591"/>
      <c r="AM134" s="591"/>
      <c r="AN134" s="591"/>
      <c r="AO134" s="591"/>
      <c r="AP134" s="591"/>
      <c r="AQ134" s="591"/>
      <c r="AS134" s="591"/>
      <c r="AT134" s="591"/>
      <c r="AU134" s="591"/>
      <c r="AV134" s="591"/>
      <c r="AW134" s="591"/>
      <c r="AY134" s="591"/>
    </row>
    <row r="135" spans="1:51" ht="15.75" hidden="1" customHeight="1" x14ac:dyDescent="0.2">
      <c r="A135" s="2"/>
      <c r="B135" s="2"/>
      <c r="C135" s="2"/>
      <c r="D135" s="2"/>
      <c r="E135" s="274">
        <f>COUNTIF(G134:I134,0)</f>
        <v>3</v>
      </c>
      <c r="F135" s="2"/>
      <c r="G135" s="273" t="e">
        <f>SMALL($G134:$I134,$E135+1)</f>
        <v>#NUM!</v>
      </c>
      <c r="H135" s="273" t="e">
        <f>SMALL($G134:$I134,$E135+2)</f>
        <v>#NUM!</v>
      </c>
      <c r="I135" s="273" t="e">
        <f>SMALL($G134:$I134,$E135+3)</f>
        <v>#NUM!</v>
      </c>
      <c r="J135" s="2"/>
      <c r="K135" s="2"/>
      <c r="L135" s="263" t="str">
        <f>IMPOSTAZIONI!H148</f>
        <v>SCORPORO</v>
      </c>
      <c r="M135" s="306" t="s">
        <v>742</v>
      </c>
      <c r="N135" s="2"/>
      <c r="O135" s="2"/>
      <c r="P135" s="2"/>
      <c r="Q135" s="2"/>
      <c r="R135" s="2"/>
      <c r="S135" s="2"/>
      <c r="T135" s="2"/>
      <c r="U135" s="2"/>
      <c r="V135" s="591"/>
      <c r="W135" s="591"/>
      <c r="X135" s="591"/>
      <c r="Y135" s="591"/>
      <c r="Z135" s="591"/>
      <c r="AA135" s="591"/>
      <c r="AB135" s="591"/>
      <c r="AC135" s="591"/>
      <c r="AG135" s="591"/>
      <c r="AH135" s="591"/>
      <c r="AI135" s="591"/>
      <c r="AJ135" s="591"/>
      <c r="AK135" s="591"/>
      <c r="AM135" s="591"/>
      <c r="AN135" s="591"/>
      <c r="AO135" s="591"/>
      <c r="AP135" s="591"/>
      <c r="AQ135" s="591"/>
      <c r="AS135" s="591"/>
      <c r="AT135" s="591"/>
      <c r="AU135" s="591"/>
      <c r="AV135" s="591"/>
      <c r="AW135" s="591"/>
      <c r="AY135" s="591"/>
    </row>
    <row r="136" spans="1:51" ht="15.75" hidden="1" customHeight="1" x14ac:dyDescent="0.2">
      <c r="A136" s="2"/>
      <c r="B136" s="2"/>
      <c r="C136" s="2"/>
      <c r="D136" s="2"/>
      <c r="E136" s="274"/>
      <c r="F136" s="2"/>
      <c r="G136" s="275">
        <f>IF(E$131=1,CONCATENATE(IMPOSTAZIONI!I96,"-",IMPOSTAZIONI!I97,"-",IMPOSTAZIONI!I98),0)</f>
        <v>0</v>
      </c>
      <c r="H136" s="276">
        <f>IF(E$132=1,CONCATENATE(IMPOSTAZIONI!I104,"-",IMPOSTAZIONI!I105,"-",IMPOSTAZIONI!I106),0)</f>
        <v>0</v>
      </c>
      <c r="I136" s="277">
        <f>IF(E$133=1,CONCATENATE(IMPOSTAZIONI!I112,"-",IMPOSTAZIONI!I113,"-",IMPOSTAZIONI!I114),0)</f>
        <v>0</v>
      </c>
      <c r="J136" s="2"/>
      <c r="K136" s="2"/>
      <c r="L136" s="2"/>
      <c r="M136" s="2"/>
      <c r="N136" s="2"/>
      <c r="O136" s="2"/>
      <c r="P136" s="2"/>
      <c r="Q136" s="2"/>
      <c r="R136" s="2"/>
      <c r="S136" s="2"/>
      <c r="T136" s="2"/>
      <c r="U136" s="2"/>
      <c r="V136" s="591"/>
      <c r="W136" s="591"/>
      <c r="X136" s="591"/>
      <c r="Y136" s="591"/>
      <c r="Z136" s="591"/>
      <c r="AA136" s="591"/>
      <c r="AB136" s="591"/>
      <c r="AC136" s="591"/>
      <c r="AG136" s="591"/>
      <c r="AH136" s="591"/>
      <c r="AI136" s="591"/>
      <c r="AJ136" s="591"/>
      <c r="AK136" s="591"/>
      <c r="AM136" s="591"/>
      <c r="AN136" s="591"/>
      <c r="AO136" s="591"/>
      <c r="AP136" s="591"/>
      <c r="AQ136" s="591"/>
      <c r="AS136" s="591"/>
      <c r="AT136" s="591"/>
      <c r="AU136" s="591"/>
      <c r="AV136" s="591"/>
      <c r="AW136" s="591"/>
      <c r="AY136" s="591"/>
    </row>
    <row r="137" spans="1:51" ht="15.75" hidden="1" customHeight="1" x14ac:dyDescent="0.2">
      <c r="A137" s="2"/>
      <c r="B137" s="2"/>
      <c r="C137" s="2"/>
      <c r="D137" s="2"/>
      <c r="E137" s="129"/>
      <c r="F137" s="2"/>
      <c r="G137" s="273"/>
      <c r="H137" s="273"/>
      <c r="I137" s="2"/>
      <c r="J137" s="2"/>
      <c r="K137" s="2"/>
      <c r="L137" s="2"/>
      <c r="M137" s="2"/>
      <c r="N137" s="2"/>
      <c r="O137" s="2"/>
      <c r="P137" s="2"/>
      <c r="Q137" s="2"/>
      <c r="R137" s="2"/>
      <c r="S137" s="2"/>
      <c r="T137" s="2"/>
      <c r="U137" s="2"/>
      <c r="V137" s="591"/>
      <c r="W137" s="591"/>
      <c r="X137" s="591"/>
      <c r="Y137" s="591"/>
      <c r="Z137" s="591"/>
      <c r="AA137" s="591"/>
      <c r="AB137" s="591"/>
      <c r="AC137" s="591"/>
      <c r="AG137" s="591"/>
      <c r="AH137" s="591"/>
      <c r="AI137" s="591"/>
      <c r="AJ137" s="591"/>
      <c r="AK137" s="591"/>
      <c r="AM137" s="591"/>
      <c r="AN137" s="591"/>
      <c r="AO137" s="591"/>
      <c r="AP137" s="591"/>
      <c r="AQ137" s="591"/>
      <c r="AS137" s="591"/>
      <c r="AT137" s="591"/>
      <c r="AU137" s="591"/>
      <c r="AV137" s="591"/>
      <c r="AW137" s="591"/>
      <c r="AY137" s="591"/>
    </row>
    <row r="138" spans="1:51" ht="15.75" hidden="1" customHeight="1" x14ac:dyDescent="0.2">
      <c r="A138" s="2"/>
      <c r="B138" s="2"/>
      <c r="C138" s="2"/>
      <c r="D138" s="2"/>
      <c r="E138" s="129"/>
      <c r="F138" s="2"/>
      <c r="G138" s="273"/>
      <c r="H138" s="273"/>
      <c r="I138" s="273"/>
      <c r="J138" s="148">
        <v>1</v>
      </c>
      <c r="K138" s="148">
        <v>2</v>
      </c>
      <c r="L138" s="148">
        <v>3</v>
      </c>
      <c r="M138" s="2"/>
      <c r="N138" s="2"/>
      <c r="O138" s="2"/>
      <c r="P138" s="2"/>
      <c r="Q138" s="2"/>
      <c r="R138" s="2"/>
      <c r="S138" s="2"/>
      <c r="T138" s="2"/>
      <c r="U138" s="2"/>
      <c r="V138" s="591"/>
      <c r="W138" s="591"/>
      <c r="X138" s="591"/>
      <c r="Y138" s="591"/>
      <c r="Z138" s="591"/>
      <c r="AA138" s="591"/>
      <c r="AB138" s="591"/>
      <c r="AC138" s="591"/>
      <c r="AG138" s="591"/>
      <c r="AH138" s="591"/>
      <c r="AI138" s="591"/>
      <c r="AJ138" s="591"/>
      <c r="AK138" s="591"/>
      <c r="AM138" s="591"/>
      <c r="AN138" s="591"/>
      <c r="AO138" s="591"/>
      <c r="AP138" s="591"/>
      <c r="AQ138" s="591"/>
      <c r="AS138" s="591"/>
      <c r="AT138" s="591"/>
      <c r="AU138" s="591"/>
      <c r="AV138" s="591"/>
      <c r="AW138" s="591"/>
      <c r="AY138" s="591"/>
    </row>
    <row r="139" spans="1:51" ht="15.75" hidden="1" customHeight="1" x14ac:dyDescent="0.2">
      <c r="A139" s="2"/>
      <c r="B139" s="2"/>
      <c r="C139" s="148">
        <v>1</v>
      </c>
      <c r="D139" s="148">
        <f>IF(I139=0,0,1)</f>
        <v>0</v>
      </c>
      <c r="E139" s="263" t="str">
        <f>IMPOSTAZIONI!B298</f>
        <v>--</v>
      </c>
      <c r="F139" s="2"/>
      <c r="G139" s="305">
        <f>VLOOKUP(E139,IMPOSTAZIONI!$B$298:$AK$304,$E$149,FALSE)</f>
        <v>0</v>
      </c>
      <c r="H139" s="306" t="str">
        <f>IF(G139&gt;0,IF(AND(ISERROR(HLOOKUP(E139,G$136:I$136,1,FALSE)),ISERROR(HLOOKUP(E139,G$1:N$1,1,FALSE))),E139,"OK"),"")</f>
        <v/>
      </c>
      <c r="I139" s="307">
        <f>IF(H139="OK",0,IF(H139="",0,1))</f>
        <v>0</v>
      </c>
      <c r="J139" s="263" t="e">
        <f>VLOOKUP(C139,$D$139:$H$148,5,FALSE)</f>
        <v>#N/A</v>
      </c>
      <c r="K139" s="263" t="e">
        <f>VLOOKUP(C140,$D$139:$H$148,5,FALSE)</f>
        <v>#N/A</v>
      </c>
      <c r="L139" s="263" t="e">
        <f>VLOOKUP(C141,$D$139:$H$148,5,FALSE)</f>
        <v>#N/A</v>
      </c>
      <c r="M139" s="2"/>
      <c r="N139" s="2"/>
      <c r="O139" s="2"/>
      <c r="P139" s="2"/>
      <c r="Q139" s="2"/>
      <c r="R139" s="2"/>
      <c r="S139" s="2"/>
      <c r="T139" s="2"/>
      <c r="U139" s="2"/>
      <c r="V139" s="591"/>
      <c r="W139" s="591"/>
      <c r="X139" s="591"/>
      <c r="Y139" s="591"/>
      <c r="Z139" s="591"/>
      <c r="AA139" s="591"/>
      <c r="AB139" s="591"/>
      <c r="AC139" s="591"/>
      <c r="AG139" s="591"/>
      <c r="AH139" s="591"/>
      <c r="AI139" s="591"/>
      <c r="AJ139" s="591"/>
      <c r="AK139" s="591"/>
      <c r="AM139" s="591"/>
      <c r="AN139" s="591"/>
      <c r="AO139" s="591"/>
      <c r="AP139" s="591"/>
      <c r="AQ139" s="591"/>
      <c r="AS139" s="591"/>
      <c r="AT139" s="591"/>
      <c r="AU139" s="591"/>
      <c r="AV139" s="591"/>
      <c r="AW139" s="591"/>
      <c r="AY139" s="591"/>
    </row>
    <row r="140" spans="1:51" ht="15.75" hidden="1" customHeight="1" x14ac:dyDescent="0.2">
      <c r="A140" s="2"/>
      <c r="B140" s="2"/>
      <c r="C140" s="148">
        <v>2</v>
      </c>
      <c r="D140" s="103">
        <f>IF(I140=0,0,COUNTIF(D$139:D139,"&gt;0")+1)</f>
        <v>0</v>
      </c>
      <c r="E140" s="263" t="str">
        <f>IMPOSTAZIONI!B299</f>
        <v>--</v>
      </c>
      <c r="F140" s="2"/>
      <c r="G140" s="305">
        <f>VLOOKUP(E140,IMPOSTAZIONI!$B$298:$AK$304,$E$149,FALSE)</f>
        <v>0</v>
      </c>
      <c r="H140" s="306" t="str">
        <f>IF(G140&gt;0,IF(AND(ISERROR(HLOOKUP(E140,G$136:I$136,1,FALSE)),ISERROR(HLOOKUP(E140,G$1:N$1,1,FALSE))),E140,"OK"),"")</f>
        <v/>
      </c>
      <c r="I140" s="307">
        <f t="shared" ref="I140:I148" si="35">IF(H140="OK",0,IF(H140="",0,1))</f>
        <v>0</v>
      </c>
      <c r="J140" s="267">
        <f>IF(ISERROR(J$139),0,HLOOKUP(J$139,IMPOSTAZIONI!$AB$183:$AH$187,3,FALSE))</f>
        <v>0</v>
      </c>
      <c r="K140" s="267">
        <f>IF(ISERROR(K$139),0,HLOOKUP(K$139,IMPOSTAZIONI!$AB$183:$AH$187,3,FALSE))</f>
        <v>0</v>
      </c>
      <c r="L140" s="268">
        <f>IF(ISERROR(L$139),0,HLOOKUP(L$139,IMPOSTAZIONI!$AB$183:$AH$187,3,FALSE))</f>
        <v>0</v>
      </c>
      <c r="M140" s="2"/>
      <c r="N140" s="2"/>
      <c r="O140" s="2"/>
      <c r="P140" s="2"/>
      <c r="Q140" s="2"/>
      <c r="R140" s="2"/>
      <c r="S140" s="2"/>
      <c r="T140" s="2"/>
      <c r="U140" s="2"/>
      <c r="V140" s="591"/>
      <c r="W140" s="591"/>
      <c r="X140" s="591"/>
      <c r="Y140" s="591"/>
      <c r="Z140" s="591"/>
      <c r="AA140" s="591"/>
      <c r="AB140" s="591"/>
      <c r="AC140" s="591"/>
      <c r="AG140" s="591"/>
      <c r="AH140" s="591"/>
      <c r="AI140" s="591"/>
      <c r="AJ140" s="591"/>
      <c r="AK140" s="591"/>
      <c r="AM140" s="591"/>
      <c r="AN140" s="591"/>
      <c r="AO140" s="591"/>
      <c r="AP140" s="591"/>
      <c r="AQ140" s="591"/>
      <c r="AS140" s="591"/>
      <c r="AT140" s="591"/>
      <c r="AU140" s="591"/>
      <c r="AV140" s="591"/>
      <c r="AW140" s="591"/>
      <c r="AY140" s="591"/>
    </row>
    <row r="141" spans="1:51" ht="15.75" hidden="1" customHeight="1" x14ac:dyDescent="0.2">
      <c r="A141" s="2"/>
      <c r="B141" s="2"/>
      <c r="C141" s="148">
        <v>3</v>
      </c>
      <c r="D141" s="103">
        <f>IF(I141=0,0,COUNTIF(D$139:D140,"&gt;0")+1)</f>
        <v>0</v>
      </c>
      <c r="E141" s="263" t="str">
        <f>IMPOSTAZIONI!B300</f>
        <v>--</v>
      </c>
      <c r="F141" s="2"/>
      <c r="G141" s="305">
        <f>VLOOKUP(E141,IMPOSTAZIONI!$B$298:$AK$304,$E$149,FALSE)</f>
        <v>0</v>
      </c>
      <c r="H141" s="306" t="str">
        <f>IF(G141&gt;0,IF(AND(ISERROR(HLOOKUP(E141,G$136:I$136,1,FALSE)),ISERROR(HLOOKUP(E141,G$1:N$1,1,FALSE))),E141,"OK"),"")</f>
        <v/>
      </c>
      <c r="I141" s="307">
        <f t="shared" si="35"/>
        <v>0</v>
      </c>
      <c r="J141" s="264">
        <f>IF(ISERROR(J$139),0,HLOOKUP(J$139,IMPOSTAZIONI!$AB$183:$AH$187,4,FALSE))</f>
        <v>0</v>
      </c>
      <c r="K141" s="264">
        <f>IF(ISERROR(K$139),0,HLOOKUP(K$139,IMPOSTAZIONI!$AB$183:$AH$187,4,FALSE))</f>
        <v>0</v>
      </c>
      <c r="L141" s="266">
        <f>IF(ISERROR(L$139),0,HLOOKUP(L$139,IMPOSTAZIONI!$AB$183:$AH$187,4,FALSE))</f>
        <v>0</v>
      </c>
      <c r="M141" s="2"/>
      <c r="N141" s="2"/>
      <c r="O141" s="2"/>
      <c r="P141" s="2"/>
      <c r="Q141" s="2"/>
      <c r="R141" s="2"/>
      <c r="S141" s="2"/>
      <c r="T141" s="2"/>
      <c r="U141" s="2"/>
      <c r="V141" s="591"/>
      <c r="W141" s="591"/>
      <c r="X141" s="591"/>
      <c r="Y141" s="591"/>
      <c r="Z141" s="591"/>
      <c r="AA141" s="591"/>
      <c r="AB141" s="591"/>
      <c r="AC141" s="591"/>
      <c r="AG141" s="591"/>
      <c r="AH141" s="591"/>
      <c r="AI141" s="591"/>
      <c r="AJ141" s="591"/>
      <c r="AK141" s="591"/>
      <c r="AM141" s="591"/>
      <c r="AN141" s="591"/>
      <c r="AO141" s="591"/>
      <c r="AP141" s="591"/>
      <c r="AQ141" s="591"/>
      <c r="AS141" s="591"/>
      <c r="AT141" s="591"/>
      <c r="AU141" s="591"/>
      <c r="AV141" s="591"/>
      <c r="AW141" s="591"/>
      <c r="AY141" s="591"/>
    </row>
    <row r="142" spans="1:51" ht="15.75" hidden="1" customHeight="1" x14ac:dyDescent="0.2">
      <c r="A142" s="2"/>
      <c r="B142" s="2"/>
      <c r="C142" s="103"/>
      <c r="D142" s="591"/>
      <c r="E142" s="591"/>
      <c r="F142" s="591"/>
      <c r="G142" s="591"/>
      <c r="H142" s="591"/>
      <c r="I142" s="591"/>
      <c r="J142" s="270">
        <f>IF(ISERROR(J$139),0,HLOOKUP(J$139,IMPOSTAZIONI!$AB$183:$AH$187,5,FALSE))</f>
        <v>0</v>
      </c>
      <c r="K142" s="270">
        <f>IF(ISERROR(K$139),0,HLOOKUP(K$139,IMPOSTAZIONI!$AB$183:$AH$187,5,FALSE))</f>
        <v>0</v>
      </c>
      <c r="L142" s="271">
        <f>IF(ISERROR(L$139),0,HLOOKUP(L$139,IMPOSTAZIONI!$AB$183:$AH$187,5,FALSE))</f>
        <v>0</v>
      </c>
      <c r="M142" s="2"/>
      <c r="N142" s="2"/>
      <c r="O142" s="2"/>
      <c r="P142" s="2"/>
      <c r="Q142" s="2"/>
      <c r="R142" s="2"/>
      <c r="S142" s="2"/>
      <c r="T142" s="2"/>
      <c r="U142" s="2"/>
      <c r="V142" s="591"/>
      <c r="W142" s="591"/>
      <c r="X142" s="591"/>
      <c r="Y142" s="591"/>
      <c r="Z142" s="591"/>
      <c r="AA142" s="591"/>
      <c r="AB142" s="591"/>
      <c r="AC142" s="591"/>
      <c r="AG142" s="591"/>
      <c r="AH142" s="591"/>
      <c r="AI142" s="591"/>
      <c r="AJ142" s="591"/>
      <c r="AK142" s="591"/>
      <c r="AM142" s="591"/>
      <c r="AN142" s="591"/>
      <c r="AO142" s="591"/>
      <c r="AP142" s="591"/>
      <c r="AQ142" s="591"/>
      <c r="AS142" s="591"/>
      <c r="AT142" s="591"/>
      <c r="AU142" s="591"/>
      <c r="AV142" s="591"/>
      <c r="AW142" s="591"/>
      <c r="AY142" s="591"/>
    </row>
    <row r="143" spans="1:51" ht="15.75" hidden="1" customHeight="1" x14ac:dyDescent="0.2">
      <c r="A143" s="2"/>
      <c r="B143" s="2"/>
      <c r="C143" s="103"/>
      <c r="D143" s="591"/>
      <c r="E143" s="591"/>
      <c r="F143" s="591"/>
      <c r="G143" s="591"/>
      <c r="H143" s="591"/>
      <c r="I143" s="591"/>
      <c r="J143" s="2"/>
      <c r="K143" s="2"/>
      <c r="L143" s="2"/>
      <c r="M143" s="2"/>
      <c r="N143" s="2"/>
      <c r="O143" s="2"/>
      <c r="P143" s="2"/>
      <c r="Q143" s="2"/>
      <c r="R143" s="2"/>
      <c r="S143" s="2"/>
      <c r="T143" s="2"/>
      <c r="U143" s="2"/>
      <c r="V143" s="591"/>
      <c r="W143" s="591"/>
      <c r="X143" s="591"/>
      <c r="Y143" s="591"/>
      <c r="Z143" s="591"/>
      <c r="AA143" s="591"/>
      <c r="AB143" s="591"/>
      <c r="AC143" s="591"/>
      <c r="AG143" s="591"/>
      <c r="AH143" s="591"/>
      <c r="AI143" s="591"/>
      <c r="AJ143" s="591"/>
      <c r="AK143" s="591"/>
      <c r="AM143" s="591"/>
      <c r="AN143" s="591"/>
      <c r="AO143" s="591"/>
      <c r="AP143" s="591"/>
      <c r="AQ143" s="591"/>
      <c r="AS143" s="591"/>
      <c r="AT143" s="591"/>
      <c r="AU143" s="591"/>
      <c r="AV143" s="591"/>
      <c r="AW143" s="591"/>
      <c r="AY143" s="591"/>
    </row>
    <row r="144" spans="1:51" ht="15.75" hidden="1" customHeight="1" x14ac:dyDescent="0.2">
      <c r="A144" s="2"/>
      <c r="B144" s="2"/>
      <c r="C144" s="103"/>
      <c r="D144" s="591"/>
      <c r="E144" s="591"/>
      <c r="F144" s="591"/>
      <c r="G144" s="591"/>
      <c r="H144" s="591"/>
      <c r="I144" s="591"/>
      <c r="J144" s="2"/>
      <c r="K144" s="2102" t="s">
        <v>543</v>
      </c>
      <c r="L144" s="2103"/>
      <c r="M144" s="1297" t="s">
        <v>198</v>
      </c>
      <c r="N144" s="1298" t="s">
        <v>202</v>
      </c>
      <c r="O144" s="1297" t="s">
        <v>199</v>
      </c>
      <c r="P144" s="1298" t="s">
        <v>203</v>
      </c>
      <c r="Q144" s="1297" t="s">
        <v>65</v>
      </c>
      <c r="R144" s="1298" t="s">
        <v>66</v>
      </c>
      <c r="S144" s="1297" t="s">
        <v>65</v>
      </c>
      <c r="T144" s="1298" t="s">
        <v>66</v>
      </c>
      <c r="U144" s="2"/>
      <c r="V144" s="591"/>
      <c r="W144" s="591"/>
      <c r="X144" s="591"/>
      <c r="Y144" s="591"/>
      <c r="Z144" s="591"/>
      <c r="AA144" s="591"/>
      <c r="AB144" s="591"/>
      <c r="AC144" s="591"/>
      <c r="AG144" s="591"/>
      <c r="AH144" s="591"/>
      <c r="AI144" s="591"/>
      <c r="AJ144" s="591"/>
      <c r="AK144" s="591"/>
      <c r="AM144" s="591"/>
      <c r="AN144" s="591"/>
      <c r="AO144" s="591"/>
      <c r="AP144" s="591"/>
      <c r="AQ144" s="591"/>
      <c r="AS144" s="591"/>
      <c r="AT144" s="591"/>
      <c r="AU144" s="591"/>
      <c r="AV144" s="591"/>
      <c r="AW144" s="591"/>
      <c r="AY144" s="591"/>
    </row>
    <row r="145" spans="1:51" ht="15.75" hidden="1" customHeight="1" x14ac:dyDescent="0.2">
      <c r="A145" s="2"/>
      <c r="B145" s="2"/>
      <c r="C145" s="103"/>
      <c r="D145" s="103">
        <f>IF(I145=0,0,COUNTIF(D$139:D144,"&gt;0")+1)</f>
        <v>0</v>
      </c>
      <c r="E145" s="263" t="str">
        <f>IMPOSTAZIONI!B301</f>
        <v>--</v>
      </c>
      <c r="F145" s="2"/>
      <c r="G145" s="305">
        <f>VLOOKUP(E145,IMPOSTAZIONI!$B$298:$AK$304,$E$149,FALSE)</f>
        <v>0</v>
      </c>
      <c r="H145" s="306" t="str">
        <f>IF(G145&gt;0,IF(AND(ISERROR(HLOOKUP(E145,G$136:I$136,1,FALSE)),ISERROR(HLOOKUP(E145,G$1:N$1,1,FALSE))),E145,"OK"),"")</f>
        <v/>
      </c>
      <c r="I145" s="307">
        <f t="shared" si="35"/>
        <v>0</v>
      </c>
      <c r="J145" s="2"/>
      <c r="K145" s="2102" t="s">
        <v>58</v>
      </c>
      <c r="L145" s="2103"/>
      <c r="M145" s="100" t="s">
        <v>198</v>
      </c>
      <c r="N145" s="1299" t="s">
        <v>202</v>
      </c>
      <c r="O145" s="100" t="s">
        <v>199</v>
      </c>
      <c r="P145" s="1299" t="s">
        <v>203</v>
      </c>
      <c r="Q145" s="100" t="s">
        <v>65</v>
      </c>
      <c r="R145" s="1299" t="s">
        <v>66</v>
      </c>
      <c r="S145" s="100" t="s">
        <v>65</v>
      </c>
      <c r="T145" s="1299" t="s">
        <v>66</v>
      </c>
      <c r="U145" s="2"/>
      <c r="V145" s="591"/>
      <c r="W145" s="591"/>
      <c r="X145" s="591"/>
      <c r="Y145" s="591"/>
      <c r="Z145" s="591"/>
      <c r="AA145" s="591"/>
      <c r="AB145" s="591"/>
      <c r="AC145" s="591"/>
      <c r="AG145" s="591"/>
      <c r="AH145" s="591"/>
      <c r="AI145" s="591"/>
      <c r="AJ145" s="591"/>
      <c r="AK145" s="591"/>
      <c r="AM145" s="591"/>
      <c r="AN145" s="591"/>
      <c r="AO145" s="591"/>
      <c r="AP145" s="591"/>
      <c r="AQ145" s="591"/>
      <c r="AS145" s="591"/>
      <c r="AT145" s="591"/>
      <c r="AU145" s="591"/>
      <c r="AV145" s="591"/>
      <c r="AW145" s="591"/>
      <c r="AY145" s="591"/>
    </row>
    <row r="146" spans="1:51" ht="15.75" hidden="1" customHeight="1" x14ac:dyDescent="0.2">
      <c r="A146" s="2"/>
      <c r="B146" s="2"/>
      <c r="C146" s="103"/>
      <c r="D146" s="103">
        <f>IF(I146=0,0,COUNTIF(D$139:D145,"&gt;0")+1)</f>
        <v>0</v>
      </c>
      <c r="E146" s="263" t="str">
        <f>IMPOSTAZIONI!B302</f>
        <v/>
      </c>
      <c r="F146" s="2"/>
      <c r="G146" s="305">
        <f>VLOOKUP(E146,IMPOSTAZIONI!$B$298:$AK$304,$E$149,FALSE)</f>
        <v>0</v>
      </c>
      <c r="H146" s="306" t="str">
        <f>IF(G146&gt;0,IF(AND(ISERROR(HLOOKUP(E146,G$136:I$136,1,FALSE)),ISERROR(HLOOKUP(E146,G$1:N$1,1,FALSE))),E146,"OK"),"")</f>
        <v/>
      </c>
      <c r="I146" s="307">
        <f t="shared" si="35"/>
        <v>0</v>
      </c>
      <c r="J146" s="2"/>
      <c r="K146" s="2102" t="s">
        <v>59</v>
      </c>
      <c r="L146" s="2103"/>
      <c r="M146" s="100" t="s">
        <v>198</v>
      </c>
      <c r="N146" s="1299" t="s">
        <v>62</v>
      </c>
      <c r="O146" s="100" t="s">
        <v>199</v>
      </c>
      <c r="P146" s="1299" t="s">
        <v>203</v>
      </c>
      <c r="Q146" s="100" t="s">
        <v>65</v>
      </c>
      <c r="R146" s="1299" t="s">
        <v>66</v>
      </c>
      <c r="S146" s="100" t="s">
        <v>65</v>
      </c>
      <c r="T146" s="1299" t="s">
        <v>66</v>
      </c>
      <c r="U146" s="2"/>
      <c r="V146" s="591"/>
      <c r="W146" s="591"/>
      <c r="X146" s="591"/>
      <c r="Y146" s="591"/>
      <c r="Z146" s="591"/>
      <c r="AA146" s="591"/>
      <c r="AB146" s="591"/>
      <c r="AC146" s="591"/>
      <c r="AG146" s="591"/>
      <c r="AH146" s="591"/>
      <c r="AI146" s="591"/>
      <c r="AJ146" s="591"/>
      <c r="AK146" s="591"/>
      <c r="AM146" s="591"/>
      <c r="AN146" s="591"/>
      <c r="AO146" s="591"/>
      <c r="AP146" s="591"/>
      <c r="AQ146" s="591"/>
      <c r="AS146" s="591"/>
      <c r="AT146" s="591"/>
      <c r="AU146" s="591"/>
      <c r="AV146" s="591"/>
      <c r="AW146" s="591"/>
      <c r="AY146" s="591"/>
    </row>
    <row r="147" spans="1:51" ht="15.75" hidden="1" customHeight="1" x14ac:dyDescent="0.2">
      <c r="A147" s="2"/>
      <c r="B147" s="2"/>
      <c r="C147" s="103"/>
      <c r="D147" s="103">
        <f>IF(I147=0,0,COUNTIF(D$139:D146,"&gt;0")+1)</f>
        <v>0</v>
      </c>
      <c r="E147" s="263" t="str">
        <f>IMPOSTAZIONI!B303</f>
        <v/>
      </c>
      <c r="F147" s="2"/>
      <c r="G147" s="305">
        <f>VLOOKUP(E147,IMPOSTAZIONI!$B$298:$AK$304,$E$149,FALSE)</f>
        <v>0</v>
      </c>
      <c r="H147" s="306" t="str">
        <f>IF(G147&gt;0,IF(AND(ISERROR(HLOOKUP(E147,G$136:I$136,1,FALSE)),ISERROR(HLOOKUP(E147,G$1:N$1,1,FALSE))),E147,"OK"),"")</f>
        <v/>
      </c>
      <c r="I147" s="307">
        <f t="shared" si="35"/>
        <v>0</v>
      </c>
      <c r="J147" s="2"/>
      <c r="K147" s="2102" t="s">
        <v>60</v>
      </c>
      <c r="L147" s="2103"/>
      <c r="M147" s="100" t="s">
        <v>199</v>
      </c>
      <c r="N147" s="1299" t="s">
        <v>203</v>
      </c>
      <c r="O147" s="100" t="s">
        <v>198</v>
      </c>
      <c r="P147" s="1299" t="s">
        <v>63</v>
      </c>
      <c r="Q147" s="100" t="s">
        <v>67</v>
      </c>
      <c r="R147" s="1299" t="s">
        <v>68</v>
      </c>
      <c r="S147" s="100" t="s">
        <v>67</v>
      </c>
      <c r="T147" s="1299" t="s">
        <v>68</v>
      </c>
      <c r="U147" s="2"/>
      <c r="V147" s="591"/>
      <c r="W147" s="591"/>
      <c r="X147" s="591"/>
      <c r="Y147" s="591"/>
      <c r="Z147" s="591"/>
      <c r="AA147" s="591"/>
      <c r="AB147" s="591"/>
      <c r="AC147" s="591"/>
      <c r="AG147" s="591"/>
      <c r="AH147" s="591"/>
      <c r="AI147" s="591"/>
      <c r="AJ147" s="591"/>
      <c r="AK147" s="591"/>
      <c r="AM147" s="591"/>
      <c r="AN147" s="591"/>
      <c r="AO147" s="591"/>
      <c r="AP147" s="591"/>
      <c r="AQ147" s="591"/>
      <c r="AS147" s="591"/>
      <c r="AT147" s="591"/>
      <c r="AU147" s="591"/>
      <c r="AV147" s="591"/>
      <c r="AW147" s="591"/>
      <c r="AY147" s="591"/>
    </row>
    <row r="148" spans="1:51" ht="15.75" hidden="1" customHeight="1" x14ac:dyDescent="0.2">
      <c r="A148" s="2"/>
      <c r="B148" s="2"/>
      <c r="C148" s="103"/>
      <c r="D148" s="103">
        <f>IF(I148=0,0,COUNTIF(D$139:D147,"&gt;0")+1)</f>
        <v>0</v>
      </c>
      <c r="E148" s="263" t="str">
        <f>IMPOSTAZIONI!B304</f>
        <v/>
      </c>
      <c r="F148" s="2"/>
      <c r="G148" s="305">
        <f>VLOOKUP(E148,IMPOSTAZIONI!$B$298:$AK$304,$E$149,FALSE)</f>
        <v>0</v>
      </c>
      <c r="H148" s="306" t="str">
        <f>IF(G148&gt;0,IF(AND(ISERROR(HLOOKUP(E148,G$136:I$136,1,FALSE)),ISERROR(HLOOKUP(E148,G$1:N$1,1,FALSE))),E148,"OK"),"")</f>
        <v/>
      </c>
      <c r="I148" s="307">
        <f t="shared" si="35"/>
        <v>0</v>
      </c>
      <c r="J148" s="2"/>
      <c r="K148" s="2102" t="s">
        <v>61</v>
      </c>
      <c r="L148" s="2103"/>
      <c r="M148" s="100" t="s">
        <v>195</v>
      </c>
      <c r="N148" s="1301" t="s">
        <v>64</v>
      </c>
      <c r="O148" s="1300" t="s">
        <v>195</v>
      </c>
      <c r="P148" s="1301" t="s">
        <v>64</v>
      </c>
      <c r="Q148" s="1300" t="s">
        <v>69</v>
      </c>
      <c r="R148" s="1301"/>
      <c r="S148" s="1300" t="s">
        <v>70</v>
      </c>
      <c r="T148" s="1301"/>
      <c r="U148" s="2"/>
      <c r="V148" s="591"/>
      <c r="W148" s="591"/>
      <c r="X148" s="591"/>
      <c r="Y148" s="591"/>
      <c r="Z148" s="591"/>
      <c r="AA148" s="591"/>
      <c r="AB148" s="591"/>
      <c r="AC148" s="591"/>
      <c r="AG148" s="591"/>
      <c r="AH148" s="591"/>
      <c r="AI148" s="591"/>
      <c r="AJ148" s="591"/>
      <c r="AK148" s="591"/>
      <c r="AM148" s="591"/>
      <c r="AN148" s="591"/>
      <c r="AO148" s="591"/>
      <c r="AP148" s="591"/>
      <c r="AQ148" s="591"/>
      <c r="AS148" s="591"/>
      <c r="AT148" s="591"/>
      <c r="AU148" s="591"/>
      <c r="AV148" s="591"/>
      <c r="AW148" s="591"/>
      <c r="AY148" s="591"/>
    </row>
    <row r="149" spans="1:51" ht="15.75" hidden="1" customHeight="1" x14ac:dyDescent="0.2">
      <c r="A149" s="2"/>
      <c r="B149" s="2"/>
      <c r="C149" s="2"/>
      <c r="D149" s="2"/>
      <c r="E149" s="306">
        <v>18</v>
      </c>
      <c r="F149" s="2"/>
      <c r="G149" s="306" t="str">
        <f>IF(MAX(D139:D148)&gt;C141,K132,"")</f>
        <v/>
      </c>
      <c r="H149" s="308">
        <f>IF((MAX(D139:D148)+3-E135)&gt;3,K132,MAX(D139:D148))</f>
        <v>0</v>
      </c>
      <c r="I149" s="273"/>
      <c r="J149" s="2"/>
      <c r="K149" s="2099"/>
      <c r="L149" s="2099"/>
      <c r="M149" s="1302"/>
      <c r="N149" s="1302"/>
      <c r="O149" s="2"/>
      <c r="P149" s="2"/>
      <c r="Q149" s="2"/>
      <c r="R149" s="2"/>
      <c r="S149" s="2"/>
      <c r="T149" s="2"/>
      <c r="U149" s="2"/>
      <c r="V149" s="591"/>
      <c r="W149" s="591"/>
      <c r="X149" s="591"/>
      <c r="Y149" s="591"/>
      <c r="Z149" s="591"/>
      <c r="AA149" s="591"/>
      <c r="AB149" s="591"/>
      <c r="AC149" s="591"/>
      <c r="AG149" s="591"/>
      <c r="AH149" s="591"/>
      <c r="AI149" s="591"/>
      <c r="AJ149" s="591"/>
      <c r="AK149" s="591"/>
      <c r="AM149" s="591"/>
      <c r="AN149" s="591"/>
      <c r="AO149" s="591"/>
      <c r="AP149" s="591"/>
      <c r="AQ149" s="591"/>
      <c r="AS149" s="591"/>
      <c r="AT149" s="591"/>
      <c r="AU149" s="591"/>
      <c r="AV149" s="591"/>
      <c r="AW149" s="591"/>
      <c r="AY149" s="591"/>
    </row>
    <row r="150" spans="1:51" ht="21" hidden="1" customHeight="1" x14ac:dyDescent="0.2">
      <c r="A150" s="2"/>
      <c r="B150" s="2"/>
      <c r="C150" s="2"/>
      <c r="D150" s="2"/>
      <c r="E150" s="807">
        <f>VLOOKUP(E3,STORICO!C153:AO197,39,FALSE)</f>
        <v>0</v>
      </c>
      <c r="F150" s="2"/>
      <c r="G150" s="1211">
        <f>IF(AND(G152&gt;0,OR(G99&lt;&gt;"OK",G105&lt;&gt;"OK")),1,0)</f>
        <v>0</v>
      </c>
      <c r="H150" s="1211">
        <f>IF(AND(H152&gt;0,OR(H99&lt;&gt;"OK",H105&lt;&gt;"OK")),1,0)</f>
        <v>0</v>
      </c>
      <c r="I150" s="1211">
        <f>IF(AND(I152&gt;0,OR(K99&lt;&gt;"OK",K105&lt;&gt;"OK")),1,0)</f>
        <v>0</v>
      </c>
      <c r="J150" s="1211">
        <f>IF(AND(J152&gt;0,OR(N99&lt;&gt;"OK",N105&lt;&gt;"OK")),1,0)</f>
        <v>0</v>
      </c>
      <c r="K150" s="2"/>
      <c r="L150" s="2"/>
      <c r="M150" s="2"/>
      <c r="N150" s="2"/>
      <c r="O150" s="2"/>
      <c r="P150" s="2"/>
      <c r="Q150" s="2"/>
      <c r="R150" s="2"/>
      <c r="S150" s="2"/>
      <c r="T150" s="2"/>
      <c r="U150" s="2"/>
      <c r="V150" s="591"/>
      <c r="W150" s="591"/>
      <c r="X150" s="591"/>
      <c r="Y150" s="591"/>
      <c r="Z150" s="591"/>
      <c r="AA150" s="591"/>
      <c r="AB150" s="591"/>
      <c r="AC150" s="591"/>
      <c r="AG150" s="591"/>
      <c r="AH150" s="591"/>
      <c r="AI150" s="591"/>
      <c r="AJ150" s="591"/>
      <c r="AK150" s="591"/>
      <c r="AM150" s="591"/>
      <c r="AN150" s="591"/>
      <c r="AO150" s="591"/>
      <c r="AP150" s="591"/>
      <c r="AQ150" s="591"/>
      <c r="AS150" s="591"/>
      <c r="AT150" s="591"/>
      <c r="AU150" s="591"/>
      <c r="AV150" s="591"/>
      <c r="AW150" s="591"/>
      <c r="AY150" s="591"/>
    </row>
    <row r="151" spans="1:51" ht="21" hidden="1" customHeight="1" x14ac:dyDescent="0.2">
      <c r="A151" s="2"/>
      <c r="B151" s="2"/>
      <c r="C151" s="2"/>
      <c r="D151" s="2"/>
      <c r="E151" s="2"/>
      <c r="F151" s="2"/>
      <c r="G151" s="1212" t="str">
        <f>IMPOSTAZIONI!Y382</f>
        <v>Hai delle colonne ALIQUOTE DIVERSE che DEVI SCORPORARE manualmente qui.</v>
      </c>
      <c r="H151" s="1212"/>
      <c r="I151" s="1212"/>
      <c r="J151" s="1212"/>
      <c r="K151" s="1213"/>
      <c r="L151" s="1213"/>
      <c r="M151" s="1213"/>
      <c r="N151" s="1213"/>
      <c r="O151" s="688"/>
      <c r="P151" s="688"/>
      <c r="Q151" s="688"/>
      <c r="R151" s="99"/>
      <c r="S151" s="1306"/>
      <c r="T151" s="591"/>
      <c r="U151" s="591"/>
      <c r="V151" s="591"/>
      <c r="W151" s="591"/>
      <c r="X151" s="591"/>
      <c r="Y151" s="591"/>
      <c r="Z151" s="591"/>
      <c r="AA151" s="591"/>
      <c r="AB151" s="591"/>
      <c r="AC151" s="591"/>
      <c r="AG151" s="591"/>
      <c r="AH151" s="591"/>
      <c r="AI151" s="591"/>
      <c r="AJ151" s="591"/>
      <c r="AK151" s="591"/>
      <c r="AM151" s="591"/>
      <c r="AN151" s="591"/>
      <c r="AO151" s="591"/>
      <c r="AP151" s="591"/>
      <c r="AQ151" s="591"/>
      <c r="AS151" s="591"/>
      <c r="AT151" s="591"/>
      <c r="AU151" s="591"/>
      <c r="AV151" s="591"/>
      <c r="AW151" s="591"/>
      <c r="AY151" s="591"/>
    </row>
    <row r="152" spans="1:51" ht="21" hidden="1" customHeight="1" x14ac:dyDescent="0.2">
      <c r="A152" s="2"/>
      <c r="B152" s="2"/>
      <c r="C152" s="2"/>
      <c r="D152" s="2"/>
      <c r="E152" s="92" t="str">
        <f>IMPOSTAZIONI!J383</f>
        <v>INSERISCI</v>
      </c>
      <c r="F152" s="2"/>
      <c r="G152" s="86">
        <f>IF(G46=0,0,IF(AND(G62&lt;&gt;$L134,G155="X"),1,0))</f>
        <v>0</v>
      </c>
      <c r="H152" s="87">
        <f>IF(H46=0,0,IF(AND(H62&lt;&gt;$L134,H155="X"),1,0))</f>
        <v>0</v>
      </c>
      <c r="I152" s="87">
        <f>IF(K46=0,0,IF(AND(K62&lt;&gt;$L134,I155="X"),1,0))</f>
        <v>0</v>
      </c>
      <c r="J152" s="88">
        <f>IF(N46=0,0,IF(AND(N62&lt;&gt;$L134,J155="X"),1,0))</f>
        <v>0</v>
      </c>
      <c r="K152" s="100" t="str">
        <f>IMPOSTAZIONI!M383</f>
        <v>VERIFICA</v>
      </c>
      <c r="L152" s="92" t="str">
        <f>IMPOSTAZIONI!P383</f>
        <v>CANCELLA</v>
      </c>
      <c r="M152" s="2"/>
      <c r="N152" s="2"/>
      <c r="O152" s="2"/>
      <c r="P152" s="2"/>
      <c r="Q152" s="2"/>
      <c r="R152" s="2"/>
      <c r="S152" s="591"/>
      <c r="T152" s="591"/>
      <c r="U152" s="591"/>
      <c r="V152" s="591"/>
      <c r="W152" s="591"/>
      <c r="X152" s="591"/>
      <c r="Y152" s="591"/>
      <c r="Z152" s="591"/>
      <c r="AA152" s="591"/>
      <c r="AB152" s="591"/>
      <c r="AC152" s="591"/>
      <c r="AG152" s="591"/>
      <c r="AH152" s="591"/>
      <c r="AI152" s="591"/>
      <c r="AJ152" s="591"/>
      <c r="AK152" s="591"/>
      <c r="AM152" s="591"/>
      <c r="AN152" s="591"/>
      <c r="AO152" s="591"/>
      <c r="AP152" s="591"/>
      <c r="AQ152" s="591"/>
      <c r="AS152" s="591"/>
      <c r="AT152" s="591"/>
      <c r="AU152" s="591"/>
      <c r="AV152" s="591"/>
      <c r="AW152" s="591"/>
      <c r="AY152" s="591"/>
    </row>
    <row r="153" spans="1:51" hidden="1" x14ac:dyDescent="0.2">
      <c r="A153" s="2"/>
      <c r="B153" s="2"/>
      <c r="C153" s="2"/>
      <c r="D153" s="2"/>
      <c r="E153" s="2"/>
      <c r="F153" s="2"/>
      <c r="G153" s="756">
        <f>G46</f>
        <v>0</v>
      </c>
      <c r="H153" s="757">
        <f>H46</f>
        <v>0</v>
      </c>
      <c r="I153" s="757">
        <f>K46</f>
        <v>0</v>
      </c>
      <c r="J153" s="758">
        <f>N46</f>
        <v>0</v>
      </c>
      <c r="K153" s="2"/>
      <c r="L153" s="2"/>
      <c r="M153" s="2"/>
      <c r="N153" s="2"/>
      <c r="O153" s="2"/>
      <c r="P153" s="2"/>
      <c r="Q153" s="2"/>
      <c r="R153" s="2"/>
      <c r="S153" s="591"/>
      <c r="T153" s="591"/>
      <c r="U153" s="591"/>
      <c r="V153" s="591"/>
      <c r="W153" s="591"/>
      <c r="X153" s="591"/>
      <c r="Y153" s="591"/>
      <c r="Z153" s="591"/>
      <c r="AA153" s="591"/>
      <c r="AB153" s="591"/>
      <c r="AC153" s="591"/>
      <c r="AG153" s="591"/>
      <c r="AH153" s="591"/>
      <c r="AI153" s="591"/>
      <c r="AJ153" s="591"/>
      <c r="AK153" s="591"/>
      <c r="AM153" s="591"/>
      <c r="AN153" s="591"/>
      <c r="AO153" s="591"/>
      <c r="AP153" s="591"/>
      <c r="AQ153" s="591"/>
      <c r="AS153" s="591"/>
      <c r="AT153" s="591"/>
      <c r="AU153" s="591"/>
      <c r="AV153" s="591"/>
      <c r="AW153" s="591"/>
      <c r="AY153" s="591"/>
    </row>
    <row r="154" spans="1:51" ht="16.5" hidden="1" customHeight="1" x14ac:dyDescent="0.2">
      <c r="A154" s="2"/>
      <c r="B154" s="2"/>
      <c r="C154" s="2"/>
      <c r="D154" s="2"/>
      <c r="E154" s="2"/>
      <c r="F154" s="2"/>
      <c r="G154" s="756">
        <f>G48</f>
        <v>0</v>
      </c>
      <c r="H154" s="757">
        <f>H48</f>
        <v>0</v>
      </c>
      <c r="I154" s="757">
        <f>K48</f>
        <v>0</v>
      </c>
      <c r="J154" s="758">
        <f>N48</f>
        <v>0</v>
      </c>
      <c r="K154" s="2"/>
      <c r="L154" s="2"/>
      <c r="M154" s="2"/>
      <c r="N154" s="2"/>
      <c r="O154" s="2"/>
      <c r="P154" s="2"/>
      <c r="Q154" s="2"/>
      <c r="R154" s="2"/>
      <c r="S154" s="591"/>
      <c r="T154" s="591"/>
      <c r="U154" s="591"/>
      <c r="V154" s="591"/>
      <c r="W154" s="591"/>
      <c r="X154" s="591"/>
      <c r="Y154" s="591"/>
      <c r="Z154" s="591"/>
      <c r="AA154" s="591"/>
      <c r="AB154" s="591"/>
      <c r="AC154" s="591"/>
      <c r="AG154" s="591"/>
      <c r="AH154" s="591"/>
      <c r="AI154" s="591"/>
      <c r="AJ154" s="591"/>
      <c r="AK154" s="591"/>
      <c r="AM154" s="591"/>
      <c r="AN154" s="591"/>
      <c r="AO154" s="591"/>
      <c r="AP154" s="591"/>
      <c r="AQ154" s="591"/>
      <c r="AS154" s="591"/>
      <c r="AT154" s="591"/>
      <c r="AU154" s="591"/>
      <c r="AV154" s="591"/>
      <c r="AW154" s="591"/>
      <c r="AY154" s="591"/>
    </row>
    <row r="155" spans="1:51" ht="15" hidden="1" customHeight="1" x14ac:dyDescent="0.2">
      <c r="A155" s="2"/>
      <c r="B155" s="2"/>
      <c r="C155" s="2"/>
      <c r="D155" s="2"/>
      <c r="E155" s="2"/>
      <c r="F155" s="2"/>
      <c r="G155" s="753">
        <f>IF(G156="",0,VLOOKUP(G156,IMPOSTAZIONI!$R$131:$AD$145,13,FALSE))</f>
        <v>0</v>
      </c>
      <c r="H155" s="754">
        <f>IF(H156="",0,VLOOKUP(H156,IMPOSTAZIONI!$R$131:$AD$145,13,FALSE))</f>
        <v>0</v>
      </c>
      <c r="I155" s="754">
        <f>IF(I156="",0,VLOOKUP(I156,IMPOSTAZIONI!$R$131:$AD$145,13,FALSE))</f>
        <v>0</v>
      </c>
      <c r="J155" s="755">
        <f>IF(J156="",0,VLOOKUP(J156,IMPOSTAZIONI!$R$131:$AD$145,13,FALSE))</f>
        <v>0</v>
      </c>
      <c r="K155" s="2"/>
      <c r="L155" s="2"/>
      <c r="M155" s="2"/>
      <c r="N155" s="2"/>
      <c r="O155" s="2"/>
      <c r="P155" s="2"/>
      <c r="Q155" s="2"/>
      <c r="R155" s="2"/>
      <c r="S155" s="591"/>
      <c r="T155" s="591"/>
      <c r="U155" s="591"/>
      <c r="V155" s="591"/>
      <c r="W155" s="591"/>
      <c r="X155" s="591"/>
      <c r="Y155" s="591"/>
      <c r="Z155" s="591"/>
      <c r="AA155" s="591"/>
      <c r="AB155" s="591"/>
      <c r="AC155" s="591"/>
      <c r="AG155" s="591"/>
      <c r="AH155" s="591"/>
      <c r="AI155" s="591"/>
      <c r="AJ155" s="591"/>
      <c r="AK155" s="591"/>
      <c r="AM155" s="591"/>
      <c r="AN155" s="591"/>
      <c r="AO155" s="591"/>
      <c r="AP155" s="591"/>
      <c r="AQ155" s="591"/>
      <c r="AS155" s="591"/>
      <c r="AT155" s="591"/>
      <c r="AU155" s="591"/>
      <c r="AV155" s="591"/>
      <c r="AW155" s="591"/>
      <c r="AY155" s="591"/>
    </row>
    <row r="156" spans="1:51" ht="15" hidden="1" customHeight="1" x14ac:dyDescent="0.2">
      <c r="A156" s="2"/>
      <c r="B156" s="2"/>
      <c r="C156" s="2"/>
      <c r="D156" s="2"/>
      <c r="E156" s="2"/>
      <c r="F156" s="56"/>
      <c r="G156" s="752" t="str">
        <f>IMPOSTAZIONI!F209</f>
        <v/>
      </c>
      <c r="H156" s="752" t="str">
        <f>IMPOSTAZIONI!K209</f>
        <v/>
      </c>
      <c r="I156" s="752" t="str">
        <f>IMPOSTAZIONI!P209</f>
        <v/>
      </c>
      <c r="J156" s="752" t="str">
        <f>IMPOSTAZIONI!U209</f>
        <v/>
      </c>
      <c r="K156" s="2100" t="s">
        <v>195</v>
      </c>
      <c r="L156" s="2100"/>
      <c r="M156" s="2"/>
      <c r="N156" s="2"/>
      <c r="O156" s="2"/>
      <c r="P156" s="2"/>
      <c r="Q156" s="2"/>
      <c r="R156" s="2"/>
      <c r="S156" s="591"/>
      <c r="T156" s="591"/>
      <c r="U156" s="591"/>
      <c r="V156" s="591"/>
      <c r="W156" s="591"/>
      <c r="X156" s="591"/>
      <c r="Y156" s="591"/>
      <c r="Z156" s="591"/>
      <c r="AA156" s="591"/>
      <c r="AB156" s="591"/>
      <c r="AC156" s="591"/>
      <c r="AG156" s="591"/>
      <c r="AH156" s="591"/>
      <c r="AI156" s="591"/>
      <c r="AJ156" s="591"/>
      <c r="AK156" s="591"/>
      <c r="AM156" s="591"/>
      <c r="AN156" s="591"/>
      <c r="AO156" s="591"/>
      <c r="AP156" s="591"/>
      <c r="AQ156" s="591"/>
      <c r="AS156" s="591"/>
      <c r="AT156" s="591"/>
      <c r="AU156" s="591"/>
      <c r="AV156" s="591"/>
      <c r="AW156" s="591"/>
      <c r="AY156" s="591"/>
    </row>
    <row r="157" spans="1:51" ht="15" hidden="1" customHeight="1" x14ac:dyDescent="0.2">
      <c r="A157" s="2"/>
      <c r="B157" s="2"/>
      <c r="C157" s="2"/>
      <c r="D157" s="2"/>
      <c r="E157" s="288" t="str">
        <f>IMPOSTAZIONI!B321</f>
        <v>SC</v>
      </c>
      <c r="F157" s="56"/>
      <c r="G157" s="288" t="str">
        <f>IF(MID(G1,7,2)="",$E157,MID(G1,7,2))</f>
        <v>SC</v>
      </c>
      <c r="H157" s="288" t="str">
        <f>IF(MID(H1,7,2)="",$E157,MID(H1,7,2))</f>
        <v>SC</v>
      </c>
      <c r="I157" s="288" t="str">
        <f>IF(MID(K1,7,2)="",$E157,MID(K1,7,2))</f>
        <v>SC</v>
      </c>
      <c r="J157" s="288" t="str">
        <f>IF(MID(N1,7,2)="",$E157,MID(N1,7,2))</f>
        <v>SC</v>
      </c>
      <c r="K157" s="2100" t="str">
        <f>IMPOSTAZIONI!AH7</f>
        <v>Categoria</v>
      </c>
      <c r="L157" s="2100"/>
      <c r="M157" s="2"/>
      <c r="N157" s="2"/>
      <c r="O157" s="2"/>
      <c r="P157" s="2"/>
      <c r="Q157" s="2"/>
      <c r="R157" s="2"/>
      <c r="S157" s="591"/>
      <c r="T157" s="591"/>
      <c r="U157" s="591"/>
      <c r="V157" s="591"/>
      <c r="W157" s="591"/>
      <c r="X157" s="591"/>
      <c r="Y157" s="591"/>
      <c r="Z157" s="591"/>
      <c r="AA157" s="591"/>
      <c r="AB157" s="591"/>
      <c r="AC157" s="591"/>
      <c r="AG157" s="591"/>
      <c r="AH157" s="591"/>
      <c r="AI157" s="591"/>
      <c r="AJ157" s="591"/>
      <c r="AK157" s="591"/>
      <c r="AM157" s="591"/>
      <c r="AN157" s="591"/>
      <c r="AO157" s="591"/>
      <c r="AP157" s="591"/>
      <c r="AQ157" s="591"/>
      <c r="AS157" s="591"/>
      <c r="AT157" s="591"/>
      <c r="AU157" s="591"/>
      <c r="AV157" s="591"/>
      <c r="AW157" s="591"/>
      <c r="AY157" s="591"/>
    </row>
    <row r="158" spans="1:51" ht="15" hidden="1" customHeight="1" x14ac:dyDescent="0.2">
      <c r="A158" s="2"/>
      <c r="B158" s="2"/>
      <c r="C158" s="2"/>
      <c r="D158" s="2"/>
      <c r="E158" s="288" t="str">
        <f>IMPOSTAZIONI!B351</f>
        <v>%</v>
      </c>
      <c r="F158" s="56"/>
      <c r="G158" s="288" t="str">
        <f>IF(OR(G155&gt;0,G155="X"),$E158,IF(G156="","",MID(G1,4,2)))</f>
        <v/>
      </c>
      <c r="H158" s="288" t="str">
        <f>IF(OR(H155&gt;0,H155="X"),$E158,IF(H156="","",MID(H1,4,2)))</f>
        <v/>
      </c>
      <c r="I158" s="288" t="str">
        <f>IF(OR(I155&gt;0,I155="X"),$E158,IF(I156="","",MID(K1,4,2)))</f>
        <v/>
      </c>
      <c r="J158" s="288" t="str">
        <f>IF(OR(J155&gt;0,J155="X"),$E158,IF(J156="","",MID(N1,4,2)))</f>
        <v/>
      </c>
      <c r="K158" s="2100" t="str">
        <f>IMPOSTAZIONI!B337</f>
        <v>NO IVA</v>
      </c>
      <c r="L158" s="2100"/>
      <c r="M158" s="2"/>
      <c r="N158" s="2"/>
      <c r="O158" s="2"/>
      <c r="P158" s="2"/>
      <c r="Q158" s="2"/>
      <c r="R158" s="2"/>
      <c r="S158" s="591"/>
      <c r="T158" s="591"/>
      <c r="U158" s="591"/>
      <c r="V158" s="591"/>
      <c r="W158" s="591"/>
      <c r="X158" s="591"/>
      <c r="Y158" s="591"/>
      <c r="Z158" s="591"/>
      <c r="AA158" s="591"/>
      <c r="AB158" s="591"/>
      <c r="AC158" s="591"/>
      <c r="AG158" s="591"/>
      <c r="AH158" s="591"/>
      <c r="AI158" s="591"/>
      <c r="AJ158" s="591"/>
      <c r="AK158" s="591"/>
      <c r="AM158" s="591"/>
      <c r="AN158" s="591"/>
      <c r="AO158" s="591"/>
      <c r="AP158" s="591"/>
      <c r="AQ158" s="591"/>
      <c r="AS158" s="591"/>
      <c r="AT158" s="591"/>
      <c r="AU158" s="591"/>
      <c r="AV158" s="591"/>
      <c r="AW158" s="591"/>
      <c r="AY158" s="591"/>
    </row>
    <row r="159" spans="1:51" ht="15" hidden="1" customHeight="1" x14ac:dyDescent="0.2">
      <c r="A159" s="2"/>
      <c r="B159" s="2"/>
      <c r="C159" s="2"/>
      <c r="D159" s="2"/>
      <c r="E159" s="288"/>
      <c r="F159" s="56"/>
      <c r="G159" s="376" t="str">
        <f>MID(G1,1,2)</f>
        <v>--</v>
      </c>
      <c r="H159" s="376" t="str">
        <f>MID(H1,1,2)</f>
        <v>--</v>
      </c>
      <c r="I159" s="376" t="str">
        <f>MID(K1,1,2)</f>
        <v>--</v>
      </c>
      <c r="J159" s="376" t="str">
        <f>MID(N1,1,2)</f>
        <v>--</v>
      </c>
      <c r="K159" s="2100" t="str">
        <f>IMPOSTAZIONI!B354</f>
        <v>TIPO</v>
      </c>
      <c r="L159" s="2100"/>
      <c r="M159" s="2"/>
      <c r="N159" s="2"/>
      <c r="O159" s="2"/>
      <c r="P159" s="2"/>
      <c r="Q159" s="2"/>
      <c r="R159" s="2"/>
      <c r="S159" s="591"/>
      <c r="T159" s="591"/>
      <c r="U159" s="591"/>
      <c r="V159" s="591"/>
      <c r="W159" s="591"/>
      <c r="X159" s="591"/>
      <c r="Y159" s="591"/>
      <c r="Z159" s="591"/>
      <c r="AA159" s="591"/>
      <c r="AB159" s="591"/>
      <c r="AC159" s="591"/>
      <c r="AG159" s="591"/>
      <c r="AH159" s="591"/>
      <c r="AI159" s="591"/>
      <c r="AJ159" s="591"/>
      <c r="AK159" s="591"/>
      <c r="AM159" s="591"/>
      <c r="AN159" s="591"/>
      <c r="AO159" s="591"/>
      <c r="AP159" s="591"/>
      <c r="AQ159" s="591"/>
      <c r="AS159" s="591"/>
      <c r="AT159" s="591"/>
      <c r="AU159" s="591"/>
      <c r="AV159" s="591"/>
      <c r="AW159" s="591"/>
      <c r="AY159" s="591"/>
    </row>
    <row r="160" spans="1:51" ht="15" hidden="1" customHeight="1" x14ac:dyDescent="0.2">
      <c r="A160" s="2"/>
      <c r="B160" s="2"/>
      <c r="C160" s="2"/>
      <c r="D160" s="2"/>
      <c r="E160" s="288"/>
      <c r="F160" s="56"/>
      <c r="G160" s="951">
        <f>SUM(G101:G104)</f>
        <v>0</v>
      </c>
      <c r="H160" s="377">
        <f>SUM(H101:H104)</f>
        <v>0</v>
      </c>
      <c r="I160" s="377">
        <f>SUM(K101:K104)</f>
        <v>0</v>
      </c>
      <c r="J160" s="377">
        <f>SUM(N101:N104)</f>
        <v>0</v>
      </c>
      <c r="K160" s="2107" t="s">
        <v>529</v>
      </c>
      <c r="L160" s="2107"/>
      <c r="M160" s="14"/>
      <c r="N160" s="14"/>
      <c r="O160" s="14"/>
      <c r="P160" s="14"/>
      <c r="Q160" s="14"/>
      <c r="R160" s="2"/>
      <c r="S160" s="591"/>
      <c r="T160" s="591"/>
      <c r="U160" s="591"/>
      <c r="V160" s="591"/>
      <c r="W160" s="591"/>
      <c r="X160" s="591"/>
      <c r="Y160" s="591"/>
      <c r="Z160" s="591"/>
      <c r="AA160" s="591"/>
      <c r="AB160" s="591"/>
      <c r="AC160" s="591"/>
      <c r="AG160" s="591"/>
      <c r="AH160" s="591"/>
      <c r="AI160" s="591"/>
      <c r="AJ160" s="591"/>
      <c r="AK160" s="591"/>
      <c r="AM160" s="591"/>
      <c r="AN160" s="591"/>
      <c r="AO160" s="591"/>
      <c r="AP160" s="591"/>
      <c r="AQ160" s="591"/>
      <c r="AS160" s="591"/>
      <c r="AT160" s="591"/>
      <c r="AU160" s="591"/>
      <c r="AV160" s="591"/>
      <c r="AW160" s="591"/>
      <c r="AY160" s="591"/>
    </row>
    <row r="161" spans="1:51" ht="15" hidden="1" customHeight="1" x14ac:dyDescent="0.2">
      <c r="A161" s="2"/>
      <c r="B161" s="2"/>
      <c r="C161" s="2"/>
      <c r="D161" s="2"/>
      <c r="E161" s="72"/>
      <c r="F161" s="2"/>
      <c r="G161" s="950">
        <f>IF(AND(G42=$K134,G62=$L135),G48,0)</f>
        <v>0</v>
      </c>
      <c r="H161" s="950">
        <f>IF(AND(H42=$K134,H62=$L135),H48,0)</f>
        <v>0</v>
      </c>
      <c r="I161" s="950">
        <f>IF(AND(K42=$K134,K62=$L135),K48,0)</f>
        <v>0</v>
      </c>
      <c r="J161" s="950">
        <f>IF(AND(N42=$K134,N62=$L135),N48,0)</f>
        <v>0</v>
      </c>
      <c r="K161" s="211"/>
      <c r="L161" s="211"/>
      <c r="M161" s="211"/>
      <c r="N161" s="211"/>
      <c r="O161" s="211"/>
      <c r="P161" s="211"/>
      <c r="Q161" s="211"/>
      <c r="R161" s="2"/>
      <c r="S161" s="591"/>
      <c r="T161" s="591"/>
      <c r="U161" s="591"/>
      <c r="V161" s="591"/>
      <c r="W161" s="591"/>
      <c r="X161" s="591"/>
      <c r="Y161" s="591"/>
      <c r="Z161" s="591"/>
      <c r="AA161" s="591"/>
      <c r="AB161" s="591"/>
      <c r="AC161" s="591"/>
      <c r="AG161" s="591"/>
      <c r="AH161" s="591"/>
      <c r="AI161" s="591"/>
      <c r="AJ161" s="591"/>
      <c r="AK161" s="591"/>
      <c r="AM161" s="591"/>
      <c r="AN161" s="591"/>
      <c r="AO161" s="591"/>
      <c r="AP161" s="591"/>
      <c r="AQ161" s="591"/>
      <c r="AS161" s="591"/>
      <c r="AT161" s="591"/>
      <c r="AU161" s="591"/>
      <c r="AV161" s="591"/>
      <c r="AW161" s="591"/>
      <c r="AY161" s="591"/>
    </row>
    <row r="162" spans="1:51" hidden="1" x14ac:dyDescent="0.2">
      <c r="A162" s="2"/>
      <c r="B162" s="2086">
        <f>Presentazione!Q13</f>
        <v>45292</v>
      </c>
      <c r="C162" s="2087"/>
      <c r="D162" s="2088"/>
      <c r="E162" s="288" t="str">
        <f>CONCATENATE(CASSA!X485,"    ")</f>
        <v xml:space="preserve">Chiuso    </v>
      </c>
      <c r="F162" s="2"/>
      <c r="G162" s="950">
        <f>IF(G62&lt;&gt;$L134,G48-G161,0)</f>
        <v>0</v>
      </c>
      <c r="H162" s="950">
        <f>IF(H62&lt;&gt;$L134,H48-H161,0)</f>
        <v>0</v>
      </c>
      <c r="I162" s="950">
        <f>IF(K62&lt;&gt;$L134,K48-I161,0)</f>
        <v>0</v>
      </c>
      <c r="J162" s="950">
        <f>IF(N62&lt;&gt;$L134,N48-J161,0)</f>
        <v>0</v>
      </c>
      <c r="K162" s="2"/>
      <c r="L162" s="2"/>
      <c r="M162" s="2"/>
      <c r="N162" s="2"/>
      <c r="O162" s="2"/>
      <c r="P162" s="2"/>
      <c r="Q162" s="2"/>
      <c r="R162" s="2"/>
      <c r="S162" s="591"/>
      <c r="T162" s="591"/>
      <c r="U162" s="591"/>
      <c r="V162" s="591"/>
      <c r="W162" s="591"/>
      <c r="X162" s="591"/>
      <c r="Y162" s="591"/>
      <c r="Z162" s="591"/>
      <c r="AA162" s="591"/>
      <c r="AB162" s="591"/>
      <c r="AC162" s="591"/>
      <c r="AG162" s="591"/>
      <c r="AH162" s="591"/>
      <c r="AI162" s="591"/>
      <c r="AJ162" s="591"/>
      <c r="AK162" s="591"/>
      <c r="AM162" s="591"/>
      <c r="AN162" s="591"/>
      <c r="AO162" s="591"/>
      <c r="AP162" s="591"/>
      <c r="AQ162" s="591"/>
      <c r="AS162" s="591"/>
      <c r="AT162" s="591"/>
      <c r="AU162" s="591"/>
      <c r="AV162" s="591"/>
      <c r="AW162" s="591"/>
      <c r="AY162" s="591"/>
    </row>
    <row r="163" spans="1:51" ht="15" hidden="1" customHeight="1" x14ac:dyDescent="0.2">
      <c r="A163" s="2"/>
      <c r="B163" s="2086">
        <f>Presentazione!R13</f>
        <v>45382</v>
      </c>
      <c r="C163" s="2087"/>
      <c r="D163" s="2088"/>
      <c r="E163" s="288" t="str">
        <f>CONCATENATE(IMPOSTAZIONI!L188,"    ")</f>
        <v xml:space="preserve">ERROR    </v>
      </c>
      <c r="F163" s="232"/>
      <c r="G163" s="233" t="s">
        <v>299</v>
      </c>
      <c r="H163" s="60">
        <f>IMPOSTAZIONI!N387</f>
        <v>18</v>
      </c>
      <c r="I163" s="288">
        <f>IMPOSTAZIONI!Y153</f>
        <v>0</v>
      </c>
      <c r="J163" s="140" t="s">
        <v>463</v>
      </c>
      <c r="K163" s="233" t="s">
        <v>549</v>
      </c>
      <c r="L163" s="60">
        <f>Presentazione!E159</f>
        <v>0</v>
      </c>
      <c r="M163" s="170" t="s">
        <v>398</v>
      </c>
      <c r="N163" s="79">
        <v>1</v>
      </c>
      <c r="O163" s="508">
        <f>IF(OR(COUNTIF(G99:N99,E152)&gt;0,COUNTIF(G99:N99,K152)&gt;0,COUNTIF(G99:N99,L152)&gt;0,COUNTIF(G105:N105,E152)&gt;0,COUNTIF(G105:N105,K152)&gt;0,COUNTIF(G105:N105,L152)&gt;0,COUNTIF(C101:F104,"ERROR")&gt;0,COUNTIF(E8:F38,E163)&gt;0),1,0)</f>
        <v>0</v>
      </c>
      <c r="P163" s="509" t="s">
        <v>550</v>
      </c>
      <c r="Q163" s="2"/>
      <c r="R163" s="2"/>
      <c r="S163" s="591"/>
      <c r="T163" s="591"/>
      <c r="U163" s="591"/>
      <c r="V163" s="591"/>
      <c r="W163" s="591"/>
      <c r="X163" s="591"/>
      <c r="Y163" s="591"/>
      <c r="Z163" s="591"/>
      <c r="AA163" s="591"/>
      <c r="AB163" s="591"/>
      <c r="AC163" s="591"/>
      <c r="AG163" s="591"/>
      <c r="AH163" s="591"/>
      <c r="AI163" s="591"/>
      <c r="AJ163" s="591"/>
      <c r="AK163" s="591"/>
      <c r="AM163" s="591"/>
      <c r="AN163" s="591"/>
      <c r="AO163" s="591"/>
      <c r="AP163" s="591"/>
      <c r="AQ163" s="591"/>
      <c r="AS163" s="591"/>
      <c r="AT163" s="591"/>
      <c r="AU163" s="591"/>
      <c r="AV163" s="591"/>
      <c r="AW163" s="591"/>
      <c r="AY163" s="591"/>
    </row>
    <row r="164" spans="1:51" ht="15" hidden="1" customHeight="1" x14ac:dyDescent="0.2">
      <c r="A164" s="2"/>
      <c r="B164" s="2"/>
      <c r="C164" s="2"/>
      <c r="D164" s="2"/>
      <c r="E164" s="2"/>
      <c r="F164" s="2"/>
      <c r="G164" s="950">
        <f>IF(G42=$K134,0,G87)</f>
        <v>0</v>
      </c>
      <c r="H164" s="950">
        <f>IF(H42=$K134,0,H87)</f>
        <v>0</v>
      </c>
      <c r="I164" s="950">
        <f>IF(K42=$K134,0,I87)</f>
        <v>0</v>
      </c>
      <c r="J164" s="950">
        <f>IF(N42=$K134,0,K87)</f>
        <v>0</v>
      </c>
      <c r="K164" s="2"/>
      <c r="L164" s="2"/>
      <c r="M164" s="2"/>
      <c r="N164" s="2"/>
      <c r="O164" s="2"/>
      <c r="P164" s="2"/>
      <c r="Q164" s="2"/>
      <c r="R164" s="2"/>
      <c r="S164" s="591"/>
      <c r="T164" s="591"/>
      <c r="U164" s="591"/>
      <c r="V164" s="591"/>
      <c r="W164" s="591"/>
      <c r="X164" s="591"/>
      <c r="Y164" s="591"/>
      <c r="Z164" s="591"/>
      <c r="AA164" s="591"/>
      <c r="AB164" s="591"/>
      <c r="AC164" s="591"/>
      <c r="AG164" s="591"/>
      <c r="AH164" s="591"/>
      <c r="AI164" s="591"/>
      <c r="AJ164" s="591"/>
      <c r="AK164" s="591"/>
      <c r="AM164" s="591"/>
      <c r="AN164" s="591"/>
      <c r="AO164" s="591"/>
      <c r="AP164" s="591"/>
      <c r="AQ164" s="591"/>
      <c r="AS164" s="591"/>
      <c r="AT164" s="591"/>
      <c r="AU164" s="591"/>
      <c r="AV164" s="591"/>
      <c r="AW164" s="591"/>
      <c r="AY164" s="591"/>
    </row>
    <row r="165" spans="1:51" hidden="1" x14ac:dyDescent="0.2">
      <c r="A165" s="2"/>
      <c r="B165" s="2"/>
      <c r="C165" s="2"/>
      <c r="D165" s="2"/>
      <c r="E165" s="2"/>
      <c r="F165" s="2"/>
      <c r="G165" s="2"/>
      <c r="H165" s="2"/>
      <c r="I165" s="2"/>
      <c r="J165" s="2"/>
      <c r="K165" s="2"/>
      <c r="L165" s="2"/>
      <c r="M165" s="2"/>
      <c r="N165" s="2"/>
      <c r="O165" s="2"/>
      <c r="P165" s="2"/>
      <c r="Q165" s="2"/>
      <c r="R165" s="2"/>
      <c r="S165" s="591"/>
      <c r="T165" s="591"/>
      <c r="U165" s="591"/>
      <c r="V165" s="591"/>
      <c r="W165" s="591"/>
      <c r="X165" s="591"/>
      <c r="Y165" s="591"/>
      <c r="Z165" s="591"/>
      <c r="AA165" s="591"/>
      <c r="AB165" s="591"/>
      <c r="AC165" s="591"/>
      <c r="AG165" s="591"/>
      <c r="AH165" s="591"/>
      <c r="AI165" s="591"/>
      <c r="AJ165" s="591"/>
      <c r="AK165" s="591"/>
      <c r="AM165" s="591"/>
      <c r="AN165" s="591"/>
      <c r="AO165" s="591"/>
      <c r="AP165" s="591"/>
      <c r="AQ165" s="591"/>
      <c r="AS165" s="591"/>
      <c r="AT165" s="591"/>
      <c r="AU165" s="591"/>
      <c r="AV165" s="591"/>
      <c r="AW165" s="591"/>
      <c r="AY165" s="591"/>
    </row>
    <row r="166" spans="1:51" ht="22.5" customHeight="1" x14ac:dyDescent="0.2">
      <c r="A166" s="2"/>
      <c r="B166" s="2"/>
      <c r="C166" s="2"/>
      <c r="D166" s="2"/>
      <c r="E166" s="2"/>
      <c r="F166" s="2"/>
      <c r="G166" s="624">
        <v>1</v>
      </c>
      <c r="H166" s="624">
        <v>2</v>
      </c>
      <c r="I166" s="2229">
        <v>5</v>
      </c>
      <c r="J166" s="2229"/>
      <c r="K166" s="624">
        <v>8</v>
      </c>
      <c r="L166" s="2"/>
      <c r="M166" s="2228" t="s">
        <v>193</v>
      </c>
      <c r="N166" s="2228"/>
      <c r="O166" s="2"/>
      <c r="P166" s="2"/>
      <c r="Q166" s="2"/>
      <c r="R166" s="591"/>
      <c r="S166" s="591"/>
      <c r="T166" s="591"/>
      <c r="U166" s="591"/>
      <c r="V166" s="591"/>
      <c r="W166" s="591"/>
      <c r="X166" s="591"/>
      <c r="Y166" s="591"/>
      <c r="Z166" s="591"/>
      <c r="AA166" s="591"/>
      <c r="AB166" s="591"/>
      <c r="AC166" s="591"/>
      <c r="AG166" s="591"/>
      <c r="AS166" s="591"/>
    </row>
    <row r="167" spans="1:51" ht="18" customHeight="1" x14ac:dyDescent="0.2">
      <c r="A167" s="2"/>
      <c r="B167" s="2"/>
      <c r="C167" s="2084" t="s">
        <v>175</v>
      </c>
      <c r="D167" s="2084"/>
      <c r="E167" s="2085">
        <f>E43</f>
        <v>2024</v>
      </c>
      <c r="F167" s="2085">
        <f>F43</f>
        <v>0</v>
      </c>
      <c r="G167" s="590" t="str">
        <f>G43</f>
        <v/>
      </c>
      <c r="H167" s="590" t="str">
        <f>H43</f>
        <v/>
      </c>
      <c r="I167" s="2232" t="str">
        <f>K43</f>
        <v/>
      </c>
      <c r="J167" s="2232"/>
      <c r="K167" s="590" t="str">
        <f>N43</f>
        <v/>
      </c>
      <c r="L167" s="2"/>
      <c r="M167" s="908" t="s">
        <v>717</v>
      </c>
      <c r="N167" s="2"/>
      <c r="O167" s="2"/>
      <c r="P167" s="2"/>
      <c r="Q167" s="2"/>
      <c r="R167" s="591"/>
      <c r="S167" s="591"/>
      <c r="T167" s="591"/>
      <c r="U167" s="591"/>
      <c r="V167" s="591"/>
      <c r="W167" s="591"/>
      <c r="X167" s="591"/>
      <c r="Y167" s="591"/>
      <c r="Z167" s="591"/>
      <c r="AA167" s="591"/>
      <c r="AB167" s="591"/>
      <c r="AC167" s="591"/>
      <c r="AG167" s="591"/>
      <c r="AS167" s="591"/>
    </row>
    <row r="168" spans="1:51" ht="22.5" customHeight="1" x14ac:dyDescent="0.2">
      <c r="A168" s="2"/>
      <c r="B168" s="2"/>
      <c r="C168" s="2091" t="s">
        <v>298</v>
      </c>
      <c r="D168" s="2091"/>
      <c r="E168" s="2091"/>
      <c r="F168" s="2091"/>
      <c r="G168" s="57" t="str">
        <f>G44</f>
        <v/>
      </c>
      <c r="H168" s="57" t="str">
        <f>H44</f>
        <v/>
      </c>
      <c r="I168" s="2230" t="str">
        <f>K44</f>
        <v/>
      </c>
      <c r="J168" s="2230"/>
      <c r="K168" s="57" t="str">
        <f>N44</f>
        <v/>
      </c>
      <c r="L168" s="2"/>
      <c r="M168" s="2228" t="s">
        <v>719</v>
      </c>
      <c r="N168" s="2228"/>
      <c r="O168" s="2"/>
      <c r="P168" s="2"/>
      <c r="Q168" s="2"/>
      <c r="R168" s="591"/>
      <c r="S168" s="591"/>
      <c r="T168" s="591"/>
      <c r="U168" s="591"/>
      <c r="V168" s="591"/>
      <c r="W168" s="591"/>
      <c r="X168" s="591"/>
      <c r="Y168" s="591"/>
      <c r="Z168" s="591"/>
      <c r="AA168" s="591"/>
      <c r="AB168" s="591"/>
      <c r="AC168" s="591"/>
      <c r="AG168" s="591"/>
      <c r="AS168" s="591"/>
    </row>
    <row r="169" spans="1:51" ht="19.5" customHeight="1" x14ac:dyDescent="0.2">
      <c r="A169" s="2"/>
      <c r="B169" s="2"/>
      <c r="C169" s="2094" t="str">
        <f>C95</f>
        <v>01/06 - 30/06</v>
      </c>
      <c r="D169" s="2095"/>
      <c r="E169" s="2095"/>
      <c r="F169" s="2095"/>
      <c r="G169" s="90" t="str">
        <f>G45</f>
        <v/>
      </c>
      <c r="H169" s="90" t="str">
        <f>H45</f>
        <v/>
      </c>
      <c r="I169" s="2231" t="str">
        <f>K45</f>
        <v/>
      </c>
      <c r="J169" s="2231"/>
      <c r="K169" s="90" t="str">
        <f>N45</f>
        <v/>
      </c>
      <c r="L169" s="2"/>
      <c r="M169" s="12"/>
      <c r="N169" s="2"/>
      <c r="O169" s="2"/>
      <c r="P169" s="2"/>
      <c r="Q169" s="2"/>
      <c r="R169" s="591"/>
      <c r="S169" s="591"/>
      <c r="T169" s="591"/>
      <c r="U169" s="591"/>
      <c r="V169" s="591"/>
      <c r="W169" s="591"/>
      <c r="X169" s="591"/>
      <c r="Y169" s="591"/>
      <c r="Z169" s="591"/>
      <c r="AA169" s="591"/>
      <c r="AB169" s="591"/>
      <c r="AC169" s="591"/>
      <c r="AG169" s="591"/>
      <c r="AS169" s="591"/>
    </row>
    <row r="170" spans="1:51" ht="7.5" customHeight="1" x14ac:dyDescent="0.2">
      <c r="A170" s="2"/>
      <c r="B170" s="2"/>
      <c r="C170" s="2089"/>
      <c r="D170" s="2090"/>
      <c r="E170" s="484"/>
      <c r="F170" s="2"/>
      <c r="G170" s="597">
        <f>IF(AND(G$180&lt;&gt;0,G$180&gt;0),IF(($E$171*9)&gt;=G$180,0,1),IF(AND(G$180&lt;&gt;0,G$180&lt;0),IF(($E$171*9)&lt;=G$180,0,1),0))</f>
        <v>0</v>
      </c>
      <c r="H170" s="597">
        <f>IF(AND(H$180&lt;&gt;0,H$180&gt;0),IF(($E$171*9)&gt;=H$180,0,1),IF(AND(H$180&lt;&gt;0,H$180&lt;0),IF(($E$171*9)&lt;=H$180,0,1),0))</f>
        <v>0</v>
      </c>
      <c r="I170" s="2104">
        <f>IF(AND(I$180&lt;&gt;0,I$180&gt;0),IF(($E$171*9)&gt;=I$180,0,1),IF(AND(I$180&lt;&gt;0,I$180&lt;0),IF(($E$171*9)&lt;=I$180,0,1),0))</f>
        <v>0</v>
      </c>
      <c r="J170" s="2105"/>
      <c r="K170" s="597">
        <f>IF(AND(K$180&lt;&gt;0,K$180&gt;0),IF(($E$171*9)&gt;=K$180,0,1),IF(AND(K$180&lt;&gt;0,K$180&lt;0),IF(($E$171*9)&lt;=K$180,0,1),0))</f>
        <v>0</v>
      </c>
      <c r="L170" s="2"/>
      <c r="M170" s="2"/>
      <c r="N170" s="2"/>
      <c r="O170" s="2"/>
      <c r="P170" s="2"/>
      <c r="Q170" s="2"/>
      <c r="R170" s="591"/>
      <c r="S170" s="591"/>
      <c r="T170" s="591"/>
      <c r="U170" s="591"/>
      <c r="V170" s="591"/>
      <c r="W170" s="591"/>
      <c r="X170" s="591"/>
      <c r="Y170" s="591"/>
      <c r="Z170" s="591"/>
      <c r="AA170" s="591"/>
      <c r="AB170" s="591"/>
      <c r="AC170" s="591"/>
      <c r="AG170" s="591"/>
      <c r="AS170" s="591"/>
    </row>
    <row r="171" spans="1:51" ht="7.5" customHeight="1" x14ac:dyDescent="0.2">
      <c r="A171" s="2"/>
      <c r="B171" s="2"/>
      <c r="C171" s="2096" t="s">
        <v>587</v>
      </c>
      <c r="D171" s="2096"/>
      <c r="E171" s="2098">
        <f>IF(OR(M166=0,M168=""),0,IF(M168=E220,E221,MAX(G180:K180)/10))</f>
        <v>0</v>
      </c>
      <c r="F171" s="2"/>
      <c r="G171" s="598">
        <f>IF(AND(G$180&lt;&gt;0,G$180&gt;0),IF(($E$171*8)&gt;=G$180,0,1),IF(AND(G$180&lt;&gt;0,G$180&lt;0),IF(($E$171*8)&lt;=G$180,0,1),0))</f>
        <v>0</v>
      </c>
      <c r="H171" s="598">
        <f>IF(AND(H$180&lt;&gt;0,H$180&gt;0),IF(($E$171*8)&gt;=H$180,0,1),IF(AND(H$180&lt;&gt;0,H$180&lt;0),IF(($E$171*8)&lt;=H$180,0,1),0))</f>
        <v>0</v>
      </c>
      <c r="I171" s="2061">
        <f>IF(AND(I$180&lt;&gt;0,I$180&gt;0),IF(($E$171*8)&gt;=I$180,0,1),IF(AND(I$180&lt;&gt;0,I$180&lt;0),IF(($E$171*8)&lt;=I$180,0,1),0))</f>
        <v>0</v>
      </c>
      <c r="J171" s="2062"/>
      <c r="K171" s="598">
        <f>IF(AND(K$180&lt;&gt;0,K$180&gt;0),IF(($E$171*8)&gt;=K$180,0,1),IF(AND(K$180&lt;&gt;0,K$180&lt;0),IF(($E$171*8)&lt;=K$180,0,1),0))</f>
        <v>0</v>
      </c>
      <c r="L171" s="2"/>
      <c r="M171" s="2"/>
      <c r="N171" s="2"/>
      <c r="O171" s="2"/>
      <c r="P171" s="2"/>
      <c r="Q171" s="2"/>
      <c r="R171" s="591"/>
      <c r="S171" s="591"/>
      <c r="T171" s="591"/>
      <c r="U171" s="591"/>
      <c r="V171" s="591"/>
      <c r="W171" s="591"/>
      <c r="X171" s="591"/>
      <c r="AA171" s="591"/>
      <c r="AB171" s="591"/>
      <c r="AC171" s="591"/>
      <c r="AG171" s="591"/>
      <c r="AS171" s="591"/>
    </row>
    <row r="172" spans="1:51" ht="7.5" customHeight="1" x14ac:dyDescent="0.2">
      <c r="A172" s="2"/>
      <c r="B172" s="2"/>
      <c r="C172" s="2097"/>
      <c r="D172" s="2097"/>
      <c r="E172" s="2098"/>
      <c r="F172" s="2"/>
      <c r="G172" s="598">
        <f>IF(AND(G$180&lt;&gt;0,G$180&gt;0),IF(($E$171*7)&gt;=G$180,0,1),IF(AND(G$180&lt;&gt;0,G$180&lt;0),IF(($E$171*7)&lt;=G$180,0,1),0))</f>
        <v>0</v>
      </c>
      <c r="H172" s="598">
        <f>IF(AND(H$180&lt;&gt;0,H$180&gt;0),IF(($E$171*7)&gt;=H$180,0,1),IF(AND(H$180&lt;&gt;0,H$180&lt;0),IF(($E$171*7)&lt;=H$180,0,1),0))</f>
        <v>0</v>
      </c>
      <c r="I172" s="2061">
        <f>IF(AND(I$180&lt;&gt;0,I$180&gt;0),IF(($E$171*7)&gt;=I$180,0,1),IF(AND(I$180&lt;&gt;0,I$180&lt;0),IF(($E$171*7)&lt;=I$180,0,1),0))</f>
        <v>0</v>
      </c>
      <c r="J172" s="2062"/>
      <c r="K172" s="598">
        <f>IF(AND(K$180&lt;&gt;0,K$180&gt;0),IF(($E$171*7)&gt;=K$180,0,1),IF(AND(K$180&lt;&gt;0,K$180&lt;0),IF(($E$171*7)&lt;=K$180,0,1),0))</f>
        <v>0</v>
      </c>
      <c r="L172" s="2"/>
      <c r="M172" s="2"/>
      <c r="N172" s="2"/>
      <c r="O172" s="2"/>
      <c r="P172" s="2"/>
      <c r="Q172" s="2"/>
      <c r="R172" s="591"/>
      <c r="S172" s="591"/>
      <c r="T172" s="591"/>
      <c r="U172" s="591"/>
      <c r="V172" s="591"/>
      <c r="W172" s="591"/>
      <c r="X172" s="591"/>
      <c r="AA172" s="591"/>
      <c r="AB172" s="591"/>
      <c r="AC172" s="591"/>
      <c r="AG172" s="591"/>
      <c r="AS172" s="591"/>
    </row>
    <row r="173" spans="1:51" ht="7.5" customHeight="1" x14ac:dyDescent="0.2">
      <c r="A173" s="2"/>
      <c r="B173" s="2"/>
      <c r="C173" s="2"/>
      <c r="D173" s="2"/>
      <c r="E173" s="2"/>
      <c r="F173" s="2"/>
      <c r="G173" s="598">
        <f>IF(AND(G$180&lt;&gt;0,G$180&gt;0),IF(($E$171*6)&gt;=G$180,0,1),IF(AND(G$180&lt;&gt;0,G$180&lt;0),IF(($E$171*6)&lt;=G$180,0,1),0))</f>
        <v>0</v>
      </c>
      <c r="H173" s="598">
        <f>IF(AND(H$180&lt;&gt;0,H$180&gt;0),IF(($E$171*6)&gt;=H$180,0,1),IF(AND(H$180&lt;&gt;0,H$180&lt;0),IF(($E$171*6)&lt;=H$180,0,1),0))</f>
        <v>0</v>
      </c>
      <c r="I173" s="2061">
        <f>IF(AND(I$180&lt;&gt;0,I$180&gt;0),IF(($E$171*6)&gt;=I$180,0,1),IF(AND(I$180&lt;&gt;0,I$180&lt;0),IF(($E$171*6)&lt;=I$180,0,1),0))</f>
        <v>0</v>
      </c>
      <c r="J173" s="2062"/>
      <c r="K173" s="598">
        <f>IF(AND(K$180&lt;&gt;0,K$180&gt;0),IF(($E$171*6)&gt;=K$180,0,1),IF(AND(K$180&lt;&gt;0,K$180&lt;0),IF(($E$171*6)&lt;=K$180,0,1),0))</f>
        <v>0</v>
      </c>
      <c r="L173" s="2"/>
      <c r="M173" s="2"/>
      <c r="N173" s="2"/>
      <c r="O173" s="2"/>
      <c r="P173" s="2"/>
      <c r="Q173" s="2"/>
      <c r="R173" s="591"/>
      <c r="S173" s="591"/>
      <c r="T173" s="591"/>
      <c r="U173" s="591"/>
      <c r="V173" s="591"/>
      <c r="W173" s="591"/>
      <c r="X173" s="591"/>
      <c r="AA173" s="591"/>
      <c r="AB173" s="591"/>
      <c r="AC173" s="591"/>
      <c r="AG173" s="591"/>
      <c r="AS173" s="591"/>
    </row>
    <row r="174" spans="1:51" ht="7.5" customHeight="1" x14ac:dyDescent="0.2">
      <c r="A174" s="2"/>
      <c r="B174" s="2"/>
      <c r="C174" s="2"/>
      <c r="D174" s="2"/>
      <c r="E174" s="2"/>
      <c r="F174" s="2"/>
      <c r="G174" s="598">
        <f>IF(AND(G$180&lt;&gt;0,G$180&gt;0),IF(($E$171*5)&gt;=G$180,0,1),IF(AND(G$180&lt;&gt;0,G$180&lt;0),IF(($E$171*5)&lt;=G$180,0,1),0))</f>
        <v>0</v>
      </c>
      <c r="H174" s="598">
        <f>IF(AND(H$180&lt;&gt;0,H$180&gt;0),IF(($E$171*5)&gt;=H$180,0,1),IF(AND(H$180&lt;&gt;0,H$180&lt;0),IF(($E$171*5)&lt;=H$180,0,1),0))</f>
        <v>0</v>
      </c>
      <c r="I174" s="2061">
        <f>IF(AND(I$180&lt;&gt;0,I$180&gt;0),IF(($E$171*5)&gt;=I$180,0,1),IF(AND(I$180&lt;&gt;0,I$180&lt;0),IF(($E$171*5)&lt;=I$180,0,1),0))</f>
        <v>0</v>
      </c>
      <c r="J174" s="2062"/>
      <c r="K174" s="598">
        <f>IF(AND(K$180&lt;&gt;0,K$180&gt;0),IF(($E$171*5)&gt;=K$180,0,1),IF(AND(K$180&lt;&gt;0,K$180&lt;0),IF(($E$171*5)&lt;=K$180,0,1),0))</f>
        <v>0</v>
      </c>
      <c r="L174" s="2"/>
      <c r="M174" s="2"/>
      <c r="N174" s="2"/>
      <c r="O174" s="2"/>
      <c r="P174" s="2"/>
      <c r="Q174" s="2"/>
      <c r="R174" s="591"/>
      <c r="S174" s="591"/>
      <c r="T174" s="591"/>
      <c r="U174" s="591"/>
      <c r="V174" s="591"/>
      <c r="W174" s="591"/>
      <c r="X174" s="591"/>
      <c r="AA174" s="591"/>
      <c r="AB174" s="591"/>
      <c r="AC174" s="591"/>
      <c r="AG174" s="591"/>
      <c r="AS174" s="591"/>
    </row>
    <row r="175" spans="1:51" ht="7.5" customHeight="1" x14ac:dyDescent="0.2">
      <c r="A175" s="2"/>
      <c r="B175" s="2"/>
      <c r="C175" s="2"/>
      <c r="D175" s="2"/>
      <c r="E175" s="2"/>
      <c r="F175" s="2"/>
      <c r="G175" s="598">
        <f>IF(AND(G$180&lt;&gt;0,G$180&gt;0),IF(($E$171*4)&gt;=G$180,0,1),IF(AND(G$180&lt;&gt;0,G$180&lt;0),IF(($E$171*4)&lt;=G$180,0,1),0))</f>
        <v>0</v>
      </c>
      <c r="H175" s="598">
        <f>IF(AND(H$180&lt;&gt;0,H$180&gt;0),IF(($E$171*4)&gt;=H$180,0,1),IF(AND(H$180&lt;&gt;0,H$180&lt;0),IF(($E$171*4)&lt;=H$180,0,1),0))</f>
        <v>0</v>
      </c>
      <c r="I175" s="2061">
        <f>IF(AND(I$180&lt;&gt;0,I$180&gt;0),IF(($E$171*4)&gt;=I$180,0,1),IF(AND(I$180&lt;&gt;0,I$180&lt;0),IF(($E$171*4)&lt;=I$180,0,1),0))</f>
        <v>0</v>
      </c>
      <c r="J175" s="2062"/>
      <c r="K175" s="598">
        <f>IF(AND(K$180&lt;&gt;0,K$180&gt;0),IF(($E$171*4)&gt;=K$180,0,1),IF(AND(K$180&lt;&gt;0,K$180&lt;0),IF(($E$171*4)&lt;=K$180,0,1),0))</f>
        <v>0</v>
      </c>
      <c r="L175" s="2"/>
      <c r="M175" s="2"/>
      <c r="N175" s="2"/>
      <c r="O175" s="2"/>
      <c r="P175" s="2"/>
      <c r="Q175" s="2"/>
      <c r="R175" s="591"/>
      <c r="S175" s="591"/>
      <c r="T175" s="591"/>
      <c r="U175" s="591"/>
      <c r="V175" s="591"/>
      <c r="W175" s="591"/>
      <c r="X175" s="591"/>
      <c r="AA175" s="591"/>
      <c r="AB175" s="591"/>
      <c r="AC175" s="591"/>
      <c r="AG175" s="591"/>
      <c r="AS175" s="591"/>
    </row>
    <row r="176" spans="1:51" ht="7.5" customHeight="1" x14ac:dyDescent="0.2">
      <c r="A176" s="2"/>
      <c r="B176" s="2"/>
      <c r="C176" s="2"/>
      <c r="D176" s="2"/>
      <c r="E176" s="2"/>
      <c r="F176" s="2"/>
      <c r="G176" s="598">
        <f>IF(AND(G$180&lt;&gt;0,G$180&gt;0),IF(($E$171*3)&gt;=G$180,0,1),IF(AND(G$180&lt;&gt;0,G$180&lt;0),IF(($E$171*3)&lt;=G$180,0,1),0))</f>
        <v>0</v>
      </c>
      <c r="H176" s="598">
        <f>IF(AND(H$180&lt;&gt;0,H$180&gt;0),IF(($E$171*3)&gt;=H$180,0,1),IF(AND(H$180&lt;&gt;0,H$180&lt;0),IF(($E$171*3)&lt;=H$180,0,1),0))</f>
        <v>0</v>
      </c>
      <c r="I176" s="2061">
        <f>IF(AND(I$180&lt;&gt;0,I$180&gt;0),IF(($E$171*3)&gt;=I$180,0,1),IF(AND(I$180&lt;&gt;0,I$180&lt;0),IF(($E$171*3)&lt;=I$180,0,1),0))</f>
        <v>0</v>
      </c>
      <c r="J176" s="2062"/>
      <c r="K176" s="598">
        <f>IF(AND(K$180&lt;&gt;0,K$180&gt;0),IF(($E$171*3)&gt;=K$180,0,1),IF(AND(K$180&lt;&gt;0,K$180&lt;0),IF(($E$171*3)&lt;=K$180,0,1),0))</f>
        <v>0</v>
      </c>
      <c r="L176" s="2"/>
      <c r="M176" s="2"/>
      <c r="N176" s="2"/>
      <c r="O176" s="2"/>
      <c r="P176" s="2"/>
      <c r="Q176" s="2"/>
      <c r="R176" s="591"/>
      <c r="S176" s="591"/>
      <c r="T176" s="591"/>
      <c r="U176" s="591"/>
      <c r="V176" s="591"/>
      <c r="W176" s="591"/>
      <c r="X176" s="591"/>
      <c r="AA176" s="591"/>
      <c r="AB176" s="591"/>
      <c r="AC176" s="591"/>
      <c r="AG176" s="591"/>
      <c r="AS176" s="591"/>
    </row>
    <row r="177" spans="1:45" ht="7.5" customHeight="1" x14ac:dyDescent="0.2">
      <c r="A177" s="2"/>
      <c r="B177" s="2"/>
      <c r="C177" s="2"/>
      <c r="D177" s="2"/>
      <c r="E177" s="2"/>
      <c r="F177" s="2"/>
      <c r="G177" s="598">
        <f>IF(AND(G$180&lt;&gt;0,G$180&gt;0),IF(($E$171*2)&gt;=G$180,0,1),IF(AND(G$180&lt;&gt;0,G$180&lt;0),IF(($E$171*2)&lt;=G$180,0,1),0))</f>
        <v>0</v>
      </c>
      <c r="H177" s="598">
        <f>IF(AND(H$180&lt;&gt;0,H$180&gt;0),IF(($E$171*2)&gt;=H$180,0,1),IF(AND(H$180&lt;&gt;0,H$180&lt;0),IF(($E$171*2)&lt;=H$180,0,1),0))</f>
        <v>0</v>
      </c>
      <c r="I177" s="2061">
        <f>IF(AND(I$180&lt;&gt;0,I$180&gt;0),IF(($E$171*2)&gt;=I$180,0,1),IF(AND(I$180&lt;&gt;0,I$180&lt;0),IF(($E$171*2)&lt;=I$180,0,1),0))</f>
        <v>0</v>
      </c>
      <c r="J177" s="2062"/>
      <c r="K177" s="598">
        <f>IF(AND(K$180&lt;&gt;0,K$180&gt;0),IF(($E$171*2)&gt;=K$180,0,1),IF(AND(K$180&lt;&gt;0,K$180&lt;0),IF(($E$171*2)&lt;=K$180,0,1),0))</f>
        <v>0</v>
      </c>
      <c r="L177" s="2"/>
      <c r="M177" s="2"/>
      <c r="N177" s="2"/>
      <c r="O177" s="2"/>
      <c r="P177" s="2"/>
      <c r="Q177" s="2"/>
      <c r="R177" s="591"/>
      <c r="S177" s="591"/>
      <c r="T177" s="591"/>
      <c r="U177" s="591"/>
      <c r="V177" s="591"/>
      <c r="W177" s="591"/>
      <c r="X177" s="591"/>
      <c r="AA177" s="591"/>
      <c r="AB177" s="591"/>
      <c r="AC177" s="591"/>
      <c r="AG177" s="591"/>
      <c r="AS177" s="591"/>
    </row>
    <row r="178" spans="1:45" ht="7.5" customHeight="1" x14ac:dyDescent="0.2">
      <c r="A178" s="2"/>
      <c r="B178" s="2"/>
      <c r="C178" s="2"/>
      <c r="D178" s="2"/>
      <c r="E178" s="2"/>
      <c r="F178" s="2"/>
      <c r="G178" s="598">
        <f>IF(AND(G$180&lt;&gt;0,G$180&gt;0),IF(($E$171*1)&gt;=G$180,0,1),IF(AND(G$180&lt;&gt;0,G$180&lt;0),IF(($E$171*1)&lt;=G$180,0,1),0))</f>
        <v>0</v>
      </c>
      <c r="H178" s="598">
        <f>IF(AND(H$180&lt;&gt;0,H$180&gt;0),IF(($E$171*1)&gt;=H$180,0,1),IF(AND(H$180&lt;&gt;0,H$180&lt;0),IF(($E$171*1)&lt;=H$180,0,1),0))</f>
        <v>0</v>
      </c>
      <c r="I178" s="2061">
        <f>IF(AND(I$180&lt;&gt;0,I$180&gt;0),IF(($E$171*1)&gt;=I$180,0,1),IF(AND(I$180&lt;&gt;0,I$180&lt;0),IF(($E$171*1)&lt;=I$180,0,1),0))</f>
        <v>0</v>
      </c>
      <c r="J178" s="2062"/>
      <c r="K178" s="598">
        <f>IF(AND(K$180&lt;&gt;0,K$180&gt;0),IF(($E$171*1)&gt;=K$180,0,1),IF(AND(K$180&lt;&gt;0,K$180&lt;0),IF(($E$171*1)&lt;=K$180,0,1),0))</f>
        <v>0</v>
      </c>
      <c r="L178" s="2"/>
      <c r="M178" s="2"/>
      <c r="N178" s="2"/>
      <c r="O178" s="2"/>
      <c r="P178" s="2"/>
      <c r="Q178" s="2"/>
      <c r="R178" s="591"/>
      <c r="S178" s="591"/>
      <c r="T178" s="591"/>
      <c r="U178" s="591"/>
      <c r="V178" s="591"/>
      <c r="W178" s="591"/>
      <c r="X178" s="591"/>
      <c r="AA178" s="591"/>
      <c r="AB178" s="591"/>
      <c r="AC178" s="591"/>
      <c r="AG178" s="591"/>
      <c r="AS178" s="591"/>
    </row>
    <row r="179" spans="1:45" ht="7.5" customHeight="1" x14ac:dyDescent="0.2">
      <c r="A179" s="2"/>
      <c r="B179" s="2"/>
      <c r="C179" s="2"/>
      <c r="D179" s="2"/>
      <c r="E179" s="2"/>
      <c r="F179" s="2"/>
      <c r="G179" s="599">
        <f>IF(G180&lt;&gt;0,1,0)</f>
        <v>0</v>
      </c>
      <c r="H179" s="599">
        <f>IF(H180&lt;&gt;0,1,0)</f>
        <v>0</v>
      </c>
      <c r="I179" s="2199">
        <f>IF(I180&lt;&gt;0,1,0)</f>
        <v>0</v>
      </c>
      <c r="J179" s="2200"/>
      <c r="K179" s="599">
        <f>IF(K180&lt;&gt;0,1,0)</f>
        <v>0</v>
      </c>
      <c r="L179" s="2"/>
      <c r="M179" s="2"/>
      <c r="N179" s="2"/>
      <c r="O179" s="2"/>
      <c r="P179" s="2"/>
      <c r="Q179" s="2"/>
      <c r="R179" s="591"/>
      <c r="S179" s="591"/>
      <c r="T179" s="591"/>
      <c r="U179" s="591"/>
      <c r="V179" s="591"/>
      <c r="W179" s="591"/>
      <c r="X179" s="591"/>
      <c r="AA179" s="591"/>
      <c r="AB179" s="591"/>
      <c r="AC179" s="591"/>
      <c r="AG179" s="591"/>
      <c r="AS179" s="591"/>
    </row>
    <row r="180" spans="1:45" ht="21.95" customHeight="1" x14ac:dyDescent="0.2">
      <c r="A180" s="2"/>
      <c r="B180" s="7"/>
      <c r="C180" s="2092" t="s">
        <v>582</v>
      </c>
      <c r="D180" s="2092"/>
      <c r="E180" s="2093">
        <f>SUM(G180:K180)</f>
        <v>0</v>
      </c>
      <c r="F180" s="2093"/>
      <c r="G180" s="623">
        <f>VLOOKUP($M166,$C46:G48,G166+4,FALSE)</f>
        <v>0</v>
      </c>
      <c r="H180" s="623">
        <f>VLOOKUP($M166,$C46:H48,H166+4,FALSE)</f>
        <v>0</v>
      </c>
      <c r="I180" s="2196">
        <f>VLOOKUP($M166,$C46:K48,I166+4,FALSE)</f>
        <v>0</v>
      </c>
      <c r="J180" s="2196"/>
      <c r="K180" s="623">
        <f>VLOOKUP($M166,$C46:N48,K166+4,FALSE)</f>
        <v>0</v>
      </c>
      <c r="L180" s="2"/>
      <c r="M180" s="12"/>
      <c r="N180" s="2"/>
      <c r="O180" s="2"/>
      <c r="P180" s="2"/>
      <c r="Q180" s="2"/>
      <c r="R180" s="591"/>
      <c r="S180" s="591"/>
      <c r="T180" s="591"/>
      <c r="U180" s="591"/>
      <c r="V180" s="591"/>
      <c r="W180" s="591"/>
      <c r="X180" s="591"/>
      <c r="AA180" s="591"/>
      <c r="AB180" s="591"/>
      <c r="AC180" s="591"/>
      <c r="AG180" s="591"/>
      <c r="AS180" s="591"/>
    </row>
    <row r="181" spans="1:45" ht="11.25" customHeight="1" x14ac:dyDescent="0.2">
      <c r="A181" s="2"/>
      <c r="B181" s="2"/>
      <c r="C181" s="2"/>
      <c r="D181" s="2"/>
      <c r="E181" s="2"/>
      <c r="F181" s="2"/>
      <c r="G181" s="2"/>
      <c r="H181" s="2"/>
      <c r="I181" s="2201"/>
      <c r="J181" s="2201"/>
      <c r="K181" s="2"/>
      <c r="L181" s="2"/>
      <c r="M181" s="2"/>
      <c r="N181" s="2"/>
      <c r="O181" s="2"/>
      <c r="P181" s="2"/>
      <c r="Q181" s="2"/>
      <c r="R181" s="591"/>
      <c r="S181" s="591"/>
      <c r="T181" s="591"/>
      <c r="U181" s="591"/>
      <c r="V181" s="591"/>
      <c r="W181" s="591"/>
      <c r="X181" s="591"/>
      <c r="AA181" s="591"/>
      <c r="AB181" s="591"/>
      <c r="AC181" s="591"/>
      <c r="AG181" s="591"/>
      <c r="AS181" s="591"/>
    </row>
    <row r="182" spans="1:45" ht="19.5" customHeight="1" x14ac:dyDescent="0.2">
      <c r="A182" s="2"/>
      <c r="B182" s="2"/>
      <c r="C182" s="2095" t="str">
        <f>CONCATENATE("01/01 - ",RIGHT(C169,5))</f>
        <v>01/01 - 30/06</v>
      </c>
      <c r="D182" s="2095"/>
      <c r="E182" s="2095"/>
      <c r="F182" s="2095"/>
      <c r="G182" s="2"/>
      <c r="H182" s="2"/>
      <c r="I182" s="2202"/>
      <c r="J182" s="2202"/>
      <c r="K182" s="2"/>
      <c r="L182" s="2"/>
      <c r="M182" s="2"/>
      <c r="N182" s="2"/>
      <c r="O182" s="2"/>
      <c r="P182" s="2"/>
      <c r="Q182" s="2"/>
      <c r="R182" s="591"/>
      <c r="S182" s="591"/>
      <c r="T182" s="591"/>
      <c r="U182" s="591"/>
      <c r="V182" s="591"/>
      <c r="W182" s="591"/>
      <c r="X182" s="591"/>
      <c r="AA182" s="591"/>
      <c r="AB182" s="591"/>
      <c r="AC182" s="591"/>
      <c r="AG182" s="591"/>
      <c r="AS182" s="591"/>
    </row>
    <row r="183" spans="1:45" ht="7.5" customHeight="1" x14ac:dyDescent="0.2">
      <c r="A183" s="2"/>
      <c r="B183" s="2"/>
      <c r="C183" s="2089"/>
      <c r="D183" s="2090"/>
      <c r="E183" s="484"/>
      <c r="F183" s="2"/>
      <c r="G183" s="597">
        <f>IF(AND(G$193&lt;&gt;0,G$193&gt;0),IF(($E$184*9)&gt;=G$193,0,1),IF(AND(G$193&lt;&gt;0,G$193&lt;0),IF(($E$184*9)&lt;=G$193,0,1),0))</f>
        <v>0</v>
      </c>
      <c r="H183" s="597">
        <f>IF(AND(H$193&lt;&gt;0,H$193&gt;0),IF(($E$184*9)&gt;=H$193,0,1),IF(AND(H$193&lt;&gt;0,H$193&lt;0),IF(($E$184*9)&lt;=H$193,0,1),0))</f>
        <v>0</v>
      </c>
      <c r="I183" s="2104">
        <f>IF(AND(I$193&lt;&gt;0,I$193&gt;0),IF(($E$184*9)&gt;=I$193,0,1),IF(AND(I$193&lt;&gt;0,I$193&lt;0),IF(($E$184*9)&lt;=I$193,0,1),0))</f>
        <v>0</v>
      </c>
      <c r="J183" s="2105"/>
      <c r="K183" s="597">
        <f>IF(AND(K$193&lt;&gt;0,K$193&gt;0),IF(($E$184*9)&gt;=K$193,0,1),IF(AND(K$193&lt;&gt;0,K$193&lt;0),IF(($E$184*9)&lt;=K$193,0,1),0))</f>
        <v>0</v>
      </c>
      <c r="L183" s="2"/>
      <c r="M183" s="2"/>
      <c r="N183" s="2"/>
      <c r="O183" s="2"/>
      <c r="P183" s="2"/>
      <c r="Q183" s="2"/>
      <c r="R183" s="591"/>
      <c r="S183" s="591"/>
      <c r="T183" s="591"/>
      <c r="U183" s="591"/>
      <c r="V183" s="591"/>
      <c r="W183" s="591"/>
      <c r="X183" s="591"/>
      <c r="AA183" s="591"/>
      <c r="AB183" s="591"/>
      <c r="AC183" s="591"/>
      <c r="AG183" s="591"/>
      <c r="AS183" s="591"/>
    </row>
    <row r="184" spans="1:45" ht="7.5" customHeight="1" x14ac:dyDescent="0.2">
      <c r="A184" s="2"/>
      <c r="B184" s="2"/>
      <c r="C184" s="2096" t="s">
        <v>587</v>
      </c>
      <c r="D184" s="2096"/>
      <c r="E184" s="2098">
        <f>IF(OR(M166=0,M168=""),0,IF(M168=E220,E221,MAX(G193:K193)/10))</f>
        <v>0</v>
      </c>
      <c r="F184" s="2"/>
      <c r="G184" s="598">
        <f>IF(AND(G$193&lt;&gt;0,G$193&gt;0),IF(($E$184*8)&gt;=G$193,0,1),IF(AND(G$193&lt;&gt;0,G$193&lt;0),IF(($E$184*8)&lt;=G$193,0,1),0))</f>
        <v>0</v>
      </c>
      <c r="H184" s="598">
        <f>IF(AND(H$193&lt;&gt;0,H$193&gt;0),IF(($E$184*8)&gt;=H$193,0,1),IF(AND(H$193&lt;&gt;0,H$193&lt;0),IF(($E$184*8)&lt;=H$193,0,1),0))</f>
        <v>0</v>
      </c>
      <c r="I184" s="2061">
        <f>IF(AND(I$193&lt;&gt;0,I$193&gt;0),IF(($E$184*8)&gt;=I$193,0,1),IF(AND(I$193&lt;&gt;0,I$193&lt;0),IF(($E$184*8)&lt;=I$193,0,1),0))</f>
        <v>0</v>
      </c>
      <c r="J184" s="2062"/>
      <c r="K184" s="598">
        <f>IF(AND(K$193&lt;&gt;0,K$193&gt;0),IF(($E$184*8)&gt;=K$193,0,1),IF(AND(K$193&lt;&gt;0,K$193&lt;0),IF(($E$184*8)&lt;=K$193,0,1),0))</f>
        <v>0</v>
      </c>
      <c r="L184" s="2"/>
      <c r="M184" s="2"/>
      <c r="N184" s="2"/>
      <c r="O184" s="2"/>
      <c r="P184" s="2"/>
      <c r="Q184" s="2"/>
      <c r="R184" s="591"/>
      <c r="S184" s="591"/>
      <c r="T184" s="591"/>
      <c r="U184" s="591"/>
      <c r="V184" s="591"/>
      <c r="W184" s="591"/>
      <c r="X184" s="591"/>
      <c r="AA184" s="591"/>
      <c r="AB184" s="591"/>
      <c r="AC184" s="591"/>
      <c r="AG184" s="591"/>
      <c r="AS184" s="591"/>
    </row>
    <row r="185" spans="1:45" ht="7.5" customHeight="1" x14ac:dyDescent="0.2">
      <c r="A185" s="2"/>
      <c r="B185" s="2"/>
      <c r="C185" s="2097"/>
      <c r="D185" s="2097"/>
      <c r="E185" s="2098"/>
      <c r="F185" s="2"/>
      <c r="G185" s="598">
        <f>IF(AND(G$193&lt;&gt;0,G$193&gt;0),IF(($E$184*7)&gt;=G$193,0,1),IF(AND(G$193&lt;&gt;0,G$193&lt;0),IF(($E$184*7)&lt;=G$193,0,1),0))</f>
        <v>0</v>
      </c>
      <c r="H185" s="598">
        <f>IF(AND(H$193&lt;&gt;0,H$193&gt;0),IF(($E$184*7)&gt;=H$193,0,1),IF(AND(H$193&lt;&gt;0,H$193&lt;0),IF(($E$184*7)&lt;=H$193,0,1),0))</f>
        <v>0</v>
      </c>
      <c r="I185" s="2061">
        <f>IF(AND(I$193&lt;&gt;0,I$193&gt;0),IF(($E$184*7)&gt;=I$193,0,1),IF(AND(I$193&lt;&gt;0,I$193&lt;0),IF(($E$184*7)&lt;=I$193,0,1),0))</f>
        <v>0</v>
      </c>
      <c r="J185" s="2062"/>
      <c r="K185" s="598">
        <f>IF(AND(K$193&lt;&gt;0,K$193&gt;0),IF(($E$184*7)&gt;=K$193,0,1),IF(AND(K$193&lt;&gt;0,K$193&lt;0),IF(($E$184*7)&lt;=K$193,0,1),0))</f>
        <v>0</v>
      </c>
      <c r="L185" s="2"/>
      <c r="M185" s="2"/>
      <c r="N185" s="2"/>
      <c r="O185" s="2"/>
      <c r="P185" s="2"/>
      <c r="Q185" s="2"/>
      <c r="R185" s="591"/>
      <c r="S185" s="591"/>
      <c r="T185" s="591"/>
      <c r="U185" s="591"/>
      <c r="V185" s="591"/>
      <c r="W185" s="591"/>
      <c r="X185" s="591"/>
      <c r="AA185" s="591"/>
      <c r="AB185" s="591"/>
      <c r="AC185" s="591"/>
      <c r="AG185" s="591"/>
      <c r="AS185" s="591"/>
    </row>
    <row r="186" spans="1:45" ht="7.5" customHeight="1" x14ac:dyDescent="0.2">
      <c r="A186" s="2"/>
      <c r="B186" s="2"/>
      <c r="C186" s="2"/>
      <c r="D186" s="2"/>
      <c r="E186" s="2"/>
      <c r="F186" s="2"/>
      <c r="G186" s="598">
        <f>IF(AND(G$193&lt;&gt;0,G$193&gt;0),IF(($E$184*6)&gt;=G$193,0,1),IF(AND(G$193&lt;&gt;0,G$193&lt;0),IF(($E$184*6)&lt;=G$193,0,1),0))</f>
        <v>0</v>
      </c>
      <c r="H186" s="598">
        <f>IF(AND(H$193&lt;&gt;0,H$193&gt;0),IF(($E$184*6)&gt;=H$193,0,1),IF(AND(H$193&lt;&gt;0,H$193&lt;0),IF(($E$184*6)&lt;=H$193,0,1),0))</f>
        <v>0</v>
      </c>
      <c r="I186" s="2061">
        <f>IF(AND(I$193&lt;&gt;0,I$193&gt;0),IF(($E$184*6)&gt;=I$193,0,1),IF(AND(I$193&lt;&gt;0,I$193&lt;0),IF(($E$184*6)&lt;=I$193,0,1),0))</f>
        <v>0</v>
      </c>
      <c r="J186" s="2062"/>
      <c r="K186" s="598">
        <f>IF(AND(K$193&lt;&gt;0,K$193&gt;0),IF(($E$184*6)&gt;=K$193,0,1),IF(AND(K$193&lt;&gt;0,K$193&lt;0),IF(($E$184*6)&lt;=K$193,0,1),0))</f>
        <v>0</v>
      </c>
      <c r="L186" s="2"/>
      <c r="M186" s="2"/>
      <c r="N186" s="2"/>
      <c r="O186" s="2"/>
      <c r="P186" s="2"/>
      <c r="Q186" s="2"/>
      <c r="R186" s="591"/>
      <c r="S186" s="591"/>
      <c r="T186" s="591"/>
      <c r="U186" s="591"/>
      <c r="V186" s="591"/>
      <c r="W186" s="591"/>
      <c r="X186" s="591"/>
      <c r="AA186" s="591"/>
      <c r="AB186" s="591"/>
      <c r="AC186" s="591"/>
      <c r="AG186" s="591"/>
      <c r="AS186" s="591"/>
    </row>
    <row r="187" spans="1:45" ht="7.5" customHeight="1" x14ac:dyDescent="0.2">
      <c r="A187" s="2"/>
      <c r="B187" s="2"/>
      <c r="C187" s="2"/>
      <c r="D187" s="2"/>
      <c r="E187" s="2"/>
      <c r="F187" s="2"/>
      <c r="G187" s="598">
        <f>IF(AND(G$193&lt;&gt;0,G$193&gt;0),IF(($E$184*5)&gt;=G$193,0,1),IF(AND(G$193&lt;&gt;0,G$193&lt;0),IF(($E$184*5)&lt;=G$193,0,1),0))</f>
        <v>0</v>
      </c>
      <c r="H187" s="598">
        <f>IF(AND(H$193&lt;&gt;0,H$193&gt;0),IF(($E$184*5)&gt;=H$193,0,1),IF(AND(H$193&lt;&gt;0,H$193&lt;0),IF(($E$184*5)&lt;=H$193,0,1),0))</f>
        <v>0</v>
      </c>
      <c r="I187" s="2061">
        <f>IF(AND(I$193&lt;&gt;0,I$193&gt;0),IF(($E$184*5)&gt;=I$193,0,1),IF(AND(I$193&lt;&gt;0,I$193&lt;0),IF(($E$184*5)&lt;=I$193,0,1),0))</f>
        <v>0</v>
      </c>
      <c r="J187" s="2062"/>
      <c r="K187" s="598">
        <f>IF(AND(K$193&lt;&gt;0,K$193&gt;0),IF(($E$184*5)&gt;=K$193,0,1),IF(AND(K$193&lt;&gt;0,K$193&lt;0),IF(($E$184*5)&lt;=K$193,0,1),0))</f>
        <v>0</v>
      </c>
      <c r="L187" s="2"/>
      <c r="M187" s="2"/>
      <c r="N187" s="2"/>
      <c r="O187" s="2"/>
      <c r="P187" s="2"/>
      <c r="Q187" s="2"/>
      <c r="R187" s="591"/>
      <c r="S187" s="591"/>
      <c r="T187" s="591"/>
      <c r="U187" s="591"/>
      <c r="V187" s="591"/>
      <c r="W187" s="591"/>
      <c r="X187" s="591"/>
      <c r="AA187" s="591"/>
      <c r="AB187" s="591"/>
      <c r="AC187" s="591"/>
      <c r="AG187" s="591"/>
      <c r="AS187" s="591"/>
    </row>
    <row r="188" spans="1:45" ht="7.5" customHeight="1" x14ac:dyDescent="0.2">
      <c r="A188" s="2"/>
      <c r="B188" s="2"/>
      <c r="C188" s="2"/>
      <c r="D188" s="2"/>
      <c r="E188" s="2"/>
      <c r="F188" s="2"/>
      <c r="G188" s="598">
        <f>IF(AND(G$193&lt;&gt;0,G$193&gt;0),IF(($E$184*4)&gt;=G$193,0,1),IF(AND(G$193&lt;&gt;0,G$193&lt;0),IF(($E$184*4)&lt;=G$193,0,1),0))</f>
        <v>0</v>
      </c>
      <c r="H188" s="598">
        <f>IF(AND(H$193&lt;&gt;0,H$193&gt;0),IF(($E$184*4)&gt;=H$193,0,1),IF(AND(H$193&lt;&gt;0,H$193&lt;0),IF(($E$184*4)&lt;=H$193,0,1),0))</f>
        <v>0</v>
      </c>
      <c r="I188" s="2061">
        <f>IF(AND(I$193&lt;&gt;0,I$193&gt;0),IF(($E$184*4)&gt;=I$193,0,1),IF(AND(I$193&lt;&gt;0,I$193&lt;0),IF(($E$184*4)&lt;=I$193,0,1),0))</f>
        <v>0</v>
      </c>
      <c r="J188" s="2062"/>
      <c r="K188" s="598">
        <f>IF(AND(K$193&lt;&gt;0,K$193&gt;0),IF(($E$184*4)&gt;=K$193,0,1),IF(AND(K$193&lt;&gt;0,K$193&lt;0),IF(($E$184*4)&lt;=K$193,0,1),0))</f>
        <v>0</v>
      </c>
      <c r="L188" s="2"/>
      <c r="M188" s="2"/>
      <c r="N188" s="2"/>
      <c r="O188" s="2"/>
      <c r="P188" s="2"/>
      <c r="Q188" s="2"/>
      <c r="R188" s="591"/>
      <c r="S188" s="591"/>
      <c r="T188" s="591"/>
      <c r="U188" s="591"/>
      <c r="V188" s="591"/>
      <c r="W188" s="591"/>
      <c r="X188" s="591"/>
      <c r="AA188" s="591"/>
      <c r="AB188" s="591"/>
      <c r="AC188" s="591"/>
      <c r="AG188" s="591"/>
      <c r="AS188" s="591"/>
    </row>
    <row r="189" spans="1:45" ht="7.5" customHeight="1" x14ac:dyDescent="0.2">
      <c r="A189" s="2"/>
      <c r="B189" s="2"/>
      <c r="C189" s="2"/>
      <c r="D189" s="2"/>
      <c r="E189" s="2"/>
      <c r="F189" s="2"/>
      <c r="G189" s="598">
        <f>IF(AND(G$193&lt;&gt;0,G$193&gt;0),IF(($E$184*3)&gt;=G$193,0,1),IF(AND(G$193&lt;&gt;0,G$193&lt;0),IF(($E$184*3)&lt;=G$193,0,1),0))</f>
        <v>0</v>
      </c>
      <c r="H189" s="598">
        <f>IF(AND(H$193&lt;&gt;0,H$193&gt;0),IF(($E$184*3)&gt;=H$193,0,1),IF(AND(H$193&lt;&gt;0,H$193&lt;0),IF(($E$184*3)&lt;=H$193,0,1),0))</f>
        <v>0</v>
      </c>
      <c r="I189" s="2061">
        <f>IF(AND(I$193&lt;&gt;0,I$193&gt;0),IF(($E$184*3)&gt;=I$193,0,1),IF(AND(I$193&lt;&gt;0,I$193&lt;0),IF(($E$184*3)&lt;=I$193,0,1),0))</f>
        <v>0</v>
      </c>
      <c r="J189" s="2062"/>
      <c r="K189" s="598">
        <f>IF(AND(K$193&lt;&gt;0,K$193&gt;0),IF(($E$184*3)&gt;=K$193,0,1),IF(AND(K$193&lt;&gt;0,K$193&lt;0),IF(($E$184*3)&lt;=K$193,0,1),0))</f>
        <v>0</v>
      </c>
      <c r="L189" s="2"/>
      <c r="M189" s="2"/>
      <c r="N189" s="2"/>
      <c r="O189" s="2"/>
      <c r="P189" s="2"/>
      <c r="Q189" s="2"/>
      <c r="R189" s="591"/>
      <c r="S189" s="591"/>
      <c r="T189" s="591"/>
      <c r="U189" s="591"/>
      <c r="V189" s="591"/>
      <c r="W189" s="591"/>
      <c r="X189" s="591"/>
      <c r="AA189" s="591"/>
      <c r="AB189" s="591"/>
      <c r="AC189" s="591"/>
      <c r="AG189" s="591"/>
      <c r="AS189" s="591"/>
    </row>
    <row r="190" spans="1:45" ht="7.5" customHeight="1" x14ac:dyDescent="0.2">
      <c r="A190" s="2"/>
      <c r="B190" s="2"/>
      <c r="C190" s="2"/>
      <c r="D190" s="2"/>
      <c r="E190" s="2"/>
      <c r="F190" s="2"/>
      <c r="G190" s="598">
        <f>IF(AND(G$193&lt;&gt;0,G$193&gt;0),IF(($E$184*2)&gt;=G$193,0,1),IF(AND(G$193&lt;&gt;0,G$193&lt;0),IF(($E$184*2)&lt;=G$193,0,1),0))</f>
        <v>0</v>
      </c>
      <c r="H190" s="598">
        <f>IF(AND(H$193&lt;&gt;0,H$193&gt;0),IF(($E$184*2)&gt;=H$193,0,1),IF(AND(H$193&lt;&gt;0,H$193&lt;0),IF(($E$184*2)&lt;=H$193,0,1),0))</f>
        <v>0</v>
      </c>
      <c r="I190" s="2061">
        <f>IF(AND(I$193&lt;&gt;0,I$193&gt;0),IF(($E$184*2)&gt;=I$193,0,1),IF(AND(I$193&lt;&gt;0,I$193&lt;0),IF(($E$184*2)&lt;=I$193,0,1),0))</f>
        <v>0</v>
      </c>
      <c r="J190" s="2062"/>
      <c r="K190" s="598">
        <f>IF(AND(K$193&lt;&gt;0,K$193&gt;0),IF(($E$184*2)&gt;=K$193,0,1),IF(AND(K$193&lt;&gt;0,K$193&lt;0),IF(($E$184*2)&lt;=K$193,0,1),0))</f>
        <v>0</v>
      </c>
      <c r="L190" s="2"/>
      <c r="M190" s="2"/>
      <c r="N190" s="2"/>
      <c r="O190" s="2"/>
      <c r="P190" s="2"/>
      <c r="Q190" s="2"/>
      <c r="R190" s="591"/>
      <c r="S190" s="591"/>
      <c r="T190" s="591"/>
      <c r="U190" s="591"/>
      <c r="V190" s="591"/>
      <c r="W190" s="591"/>
      <c r="X190" s="591"/>
      <c r="AA190" s="591"/>
      <c r="AB190" s="591"/>
      <c r="AC190" s="591"/>
      <c r="AG190" s="591"/>
      <c r="AS190" s="591"/>
    </row>
    <row r="191" spans="1:45" ht="7.5" customHeight="1" x14ac:dyDescent="0.2">
      <c r="A191" s="2"/>
      <c r="B191" s="2"/>
      <c r="C191" s="2"/>
      <c r="D191" s="2"/>
      <c r="E191" s="2"/>
      <c r="F191" s="2"/>
      <c r="G191" s="598">
        <f>IF(AND(G$193&lt;&gt;0,G$193&gt;0),IF(($E$184*1)&gt;=G$193,0,1),IF(AND(G$193&lt;&gt;0,G$193&lt;0),IF(($E$184*1)&lt;=G$193,0,1),0))</f>
        <v>0</v>
      </c>
      <c r="H191" s="598">
        <f>IF(AND(H$193&lt;&gt;0,H$193&gt;0),IF(($E$184*1)&gt;=H$193,0,1),IF(AND(H$193&lt;&gt;0,H$193&lt;0),IF(($E$184*1)&lt;=H$193,0,1),0))</f>
        <v>0</v>
      </c>
      <c r="I191" s="2061">
        <f>IF(AND(I$193&lt;&gt;0,I$193&gt;0),IF(($E$184*1)&gt;=I$193,0,1),IF(AND(I$193&lt;&gt;0,I$193&lt;0),IF(($E$184*1)&lt;=I$193,0,1),0))</f>
        <v>0</v>
      </c>
      <c r="J191" s="2062"/>
      <c r="K191" s="598">
        <f>IF(AND(K$193&lt;&gt;0,K$193&gt;0),IF(($E$184*1)&gt;=K$193,0,1),IF(AND(K$193&lt;&gt;0,K$193&lt;0),IF(($E$184*1)&lt;=K$193,0,1),0))</f>
        <v>0</v>
      </c>
      <c r="L191" s="2"/>
      <c r="M191" s="2"/>
      <c r="N191" s="2"/>
      <c r="O191" s="2"/>
      <c r="P191" s="2"/>
      <c r="Q191" s="2"/>
      <c r="R191" s="591"/>
      <c r="S191" s="591"/>
      <c r="T191" s="591"/>
      <c r="U191" s="591"/>
      <c r="V191" s="591"/>
      <c r="W191" s="591"/>
      <c r="X191" s="591"/>
      <c r="AA191" s="591"/>
      <c r="AB191" s="591"/>
      <c r="AC191" s="591"/>
      <c r="AG191" s="591"/>
      <c r="AS191" s="591"/>
    </row>
    <row r="192" spans="1:45" ht="7.5" customHeight="1" x14ac:dyDescent="0.2">
      <c r="A192" s="2"/>
      <c r="B192" s="2"/>
      <c r="C192" s="2"/>
      <c r="D192" s="2"/>
      <c r="E192" s="2"/>
      <c r="F192" s="2"/>
      <c r="G192" s="599">
        <f>IF(G193&lt;&gt;0,1,0)</f>
        <v>0</v>
      </c>
      <c r="H192" s="599">
        <f>IF(H193&lt;&gt;0,1,0)</f>
        <v>0</v>
      </c>
      <c r="I192" s="2199">
        <f>IF(I193&lt;&gt;0,1,0)</f>
        <v>0</v>
      </c>
      <c r="J192" s="2200"/>
      <c r="K192" s="599">
        <f>IF(K193&lt;&gt;0,1,0)</f>
        <v>0</v>
      </c>
      <c r="L192" s="2"/>
      <c r="M192" s="2"/>
      <c r="N192" s="2"/>
      <c r="O192" s="2"/>
      <c r="P192" s="2"/>
      <c r="Q192" s="2"/>
      <c r="R192" s="591"/>
      <c r="S192" s="591"/>
      <c r="T192" s="591"/>
      <c r="U192" s="591"/>
      <c r="V192" s="591"/>
      <c r="W192" s="591"/>
      <c r="X192" s="591"/>
      <c r="AA192" s="591"/>
      <c r="AB192" s="591"/>
      <c r="AC192" s="591"/>
      <c r="AG192" s="591"/>
      <c r="AS192" s="591"/>
    </row>
    <row r="193" spans="1:45" ht="21.95" customHeight="1" x14ac:dyDescent="0.2">
      <c r="A193" s="2"/>
      <c r="B193" s="7"/>
      <c r="C193" s="2092" t="s">
        <v>582</v>
      </c>
      <c r="D193" s="2092"/>
      <c r="E193" s="2093">
        <f>SUM(G193:K193)</f>
        <v>0</v>
      </c>
      <c r="F193" s="2093"/>
      <c r="G193" s="623">
        <f>VLOOKUP($M166,$C215:G217,G214,FALSE)</f>
        <v>0</v>
      </c>
      <c r="H193" s="623">
        <f>VLOOKUP($M166,$C215:H217,H214,FALSE)</f>
        <v>0</v>
      </c>
      <c r="I193" s="2196">
        <f>VLOOKUP($M166,$C215:I217,I214,FALSE)</f>
        <v>0</v>
      </c>
      <c r="J193" s="2196"/>
      <c r="K193" s="623">
        <f>VLOOKUP($M166,$C215:J217,J214,FALSE)</f>
        <v>0</v>
      </c>
      <c r="L193" s="2"/>
      <c r="M193" s="12"/>
      <c r="N193" s="2"/>
      <c r="O193" s="2"/>
      <c r="P193" s="2"/>
      <c r="Q193" s="2"/>
      <c r="R193" s="591"/>
      <c r="S193" s="591"/>
      <c r="T193" s="591"/>
      <c r="U193" s="591"/>
      <c r="V193" s="591"/>
      <c r="W193" s="591"/>
      <c r="X193" s="591"/>
      <c r="AA193" s="591"/>
      <c r="AB193" s="591"/>
      <c r="AC193" s="591"/>
      <c r="AG193" s="591"/>
      <c r="AS193" s="591"/>
    </row>
    <row r="194" spans="1:45" ht="11.25" customHeight="1" x14ac:dyDescent="0.2">
      <c r="A194" s="2"/>
      <c r="B194" s="2"/>
      <c r="C194" s="2"/>
      <c r="D194" s="2"/>
      <c r="E194" s="2"/>
      <c r="F194" s="2"/>
      <c r="G194" s="2"/>
      <c r="H194" s="2"/>
      <c r="I194" s="2203"/>
      <c r="J194" s="2203"/>
      <c r="K194" s="2"/>
      <c r="L194" s="2"/>
      <c r="M194" s="2"/>
      <c r="N194" s="2"/>
      <c r="O194" s="2"/>
      <c r="P194" s="2"/>
      <c r="Q194" s="2"/>
      <c r="R194" s="591"/>
      <c r="S194" s="591"/>
      <c r="T194" s="591"/>
      <c r="U194" s="591"/>
      <c r="V194" s="591"/>
      <c r="W194" s="591"/>
      <c r="X194" s="591"/>
      <c r="AA194" s="591"/>
      <c r="AB194" s="591"/>
      <c r="AC194" s="591"/>
      <c r="AG194" s="591"/>
      <c r="AS194" s="591"/>
    </row>
    <row r="195" spans="1:45" ht="19.5" customHeight="1" x14ac:dyDescent="0.2">
      <c r="A195" s="2"/>
      <c r="B195" s="2"/>
      <c r="C195" s="2063" t="e">
        <f>VLOOKUP(I207,I220:K229,3,FALSE)</f>
        <v>#N/A</v>
      </c>
      <c r="D195" s="2063"/>
      <c r="E195" s="2063"/>
      <c r="F195" s="2063"/>
      <c r="G195" s="2063"/>
      <c r="H195" s="2063"/>
      <c r="I195" s="2202"/>
      <c r="J195" s="2202"/>
      <c r="K195" s="2"/>
      <c r="L195" s="2"/>
      <c r="M195" s="2"/>
      <c r="N195" s="2"/>
      <c r="O195" s="2"/>
      <c r="P195" s="2"/>
      <c r="Q195" s="2"/>
      <c r="R195" s="591"/>
      <c r="S195" s="591"/>
      <c r="T195" s="591"/>
      <c r="U195" s="591"/>
      <c r="V195" s="591"/>
      <c r="W195" s="591"/>
      <c r="X195" s="591"/>
      <c r="AA195" s="591"/>
      <c r="AB195" s="591"/>
      <c r="AC195" s="591"/>
      <c r="AG195" s="591"/>
      <c r="AS195" s="591"/>
    </row>
    <row r="196" spans="1:45" ht="7.5" customHeight="1" x14ac:dyDescent="0.2">
      <c r="A196" s="2"/>
      <c r="B196" s="2"/>
      <c r="C196" s="2064"/>
      <c r="D196" s="2065"/>
      <c r="E196" s="484"/>
      <c r="F196" s="2"/>
      <c r="G196" s="594" t="e">
        <f>IF(AND(G$206&lt;&gt;0,G$206&gt;0),IF(($E$197*9)&gt;=G$206,0,1),IF(AND(G$206&lt;&gt;0,G$206&lt;0),IF(($E$197*9)&lt;=G$206,0,1),0))</f>
        <v>#N/A</v>
      </c>
      <c r="H196" s="594" t="e">
        <f>IF(AND(H$206&lt;&gt;0,H$206&gt;0),IF(($E$197*9)&gt;=H$206,0,1),IF(AND(H$206&lt;&gt;0,H$206&lt;0),IF(($E$197*9)&lt;=H$206,0,1),0))</f>
        <v>#N/A</v>
      </c>
      <c r="I196" s="2197" t="e">
        <f>IF(AND(I$206&lt;&gt;0,I$206&gt;0),IF(($E$197*9)&gt;=I$206,0,1),IF(AND(I$206&lt;&gt;0,I$206&lt;0),IF(($E$197*9)&lt;=I$206,0,1),0))</f>
        <v>#N/A</v>
      </c>
      <c r="J196" s="2198"/>
      <c r="K196" s="594" t="e">
        <f>IF(AND(K$206&lt;&gt;0,K$206&gt;0),IF(($E$197*9)&gt;=K$206,0,1),IF(AND(K$206&lt;&gt;0,K$206&lt;0),IF(($E$197*9)&lt;=K$206,0,1),0))</f>
        <v>#N/A</v>
      </c>
      <c r="L196" s="2"/>
      <c r="M196" s="2"/>
      <c r="N196" s="2"/>
      <c r="O196" s="2"/>
      <c r="P196" s="2"/>
      <c r="Q196" s="2"/>
      <c r="R196" s="591"/>
      <c r="S196" s="591"/>
      <c r="T196" s="591"/>
      <c r="U196" s="591"/>
      <c r="V196" s="591"/>
      <c r="W196" s="591"/>
      <c r="X196" s="591"/>
      <c r="AA196" s="591"/>
      <c r="AB196" s="591"/>
      <c r="AC196" s="591"/>
      <c r="AG196" s="591"/>
      <c r="AS196" s="591"/>
    </row>
    <row r="197" spans="1:45" ht="7.5" customHeight="1" x14ac:dyDescent="0.2">
      <c r="A197" s="2"/>
      <c r="B197" s="2"/>
      <c r="C197" s="2096" t="s">
        <v>587</v>
      </c>
      <c r="D197" s="2096"/>
      <c r="E197" s="2098">
        <f>IF(OR(M166=0,M168=""),0,IF(M168=E220,E221,MAX(G206:K206)/10))</f>
        <v>0</v>
      </c>
      <c r="F197" s="2"/>
      <c r="G197" s="595" t="e">
        <f>IF(AND(G$206&lt;&gt;0,G$206&gt;0),IF(($E$197*8)&gt;=G$206,0,1),IF(AND(G$206&lt;&gt;0,G$206&lt;0),IF(($E$197*8)&lt;=G$206,0,1),0))</f>
        <v>#N/A</v>
      </c>
      <c r="H197" s="595" t="e">
        <f>IF(AND(H$206&lt;&gt;0,H$206&gt;0),IF(($E$197*8)&gt;=H$206,0,1),IF(AND(H$206&lt;&gt;0,H$206&lt;0),IF(($E$197*8)&lt;=H$206,0,1),0))</f>
        <v>#N/A</v>
      </c>
      <c r="I197" s="2049" t="e">
        <f>IF(AND(I$206&lt;&gt;0,I$206&gt;0),IF(($E$197*8)&gt;=I$206,0,1),IF(AND(I$206&lt;&gt;0,I$206&lt;0),IF(($E$197*8)&lt;=I$206,0,1),0))</f>
        <v>#N/A</v>
      </c>
      <c r="J197" s="2050"/>
      <c r="K197" s="595" t="e">
        <f>IF(AND(K$206&lt;&gt;0,K$206&gt;0),IF(($E$197*8)&gt;=K$206,0,1),IF(AND(K$206&lt;&gt;0,K$206&lt;0),IF(($E$197*8)&lt;=K$206,0,1),0))</f>
        <v>#N/A</v>
      </c>
      <c r="L197" s="2"/>
      <c r="M197" s="2"/>
      <c r="N197" s="2"/>
      <c r="O197" s="2"/>
      <c r="P197" s="2"/>
      <c r="Q197" s="2"/>
      <c r="R197" s="591"/>
      <c r="S197" s="591"/>
      <c r="T197" s="591"/>
      <c r="U197" s="591"/>
      <c r="V197" s="591"/>
      <c r="W197" s="591"/>
      <c r="X197" s="591"/>
      <c r="AA197" s="591"/>
      <c r="AB197" s="591"/>
      <c r="AC197" s="591"/>
      <c r="AG197" s="591"/>
      <c r="AS197" s="591"/>
    </row>
    <row r="198" spans="1:45" ht="7.5" customHeight="1" x14ac:dyDescent="0.2">
      <c r="A198" s="2"/>
      <c r="B198" s="2"/>
      <c r="C198" s="2097"/>
      <c r="D198" s="2097"/>
      <c r="E198" s="2098"/>
      <c r="F198" s="2"/>
      <c r="G198" s="595" t="e">
        <f>IF(AND(G$206&lt;&gt;0,G$206&gt;0),IF(($E$197*7)&gt;=G$206,0,1),IF(AND(G$206&lt;&gt;0,G$206&lt;0),IF(($E$197*7)&lt;=G$206,0,1),0))</f>
        <v>#N/A</v>
      </c>
      <c r="H198" s="595" t="e">
        <f>IF(AND(H$206&lt;&gt;0,H$206&gt;0),IF(($E$197*7)&gt;=H$206,0,1),IF(AND(H$206&lt;&gt;0,H$206&lt;0),IF(($E$197*7)&lt;=H$206,0,1),0))</f>
        <v>#N/A</v>
      </c>
      <c r="I198" s="2049" t="e">
        <f>IF(AND(I$206&lt;&gt;0,I$206&gt;0),IF(($E$197*7)&gt;=I$206,0,1),IF(AND(I$206&lt;&gt;0,I$206&lt;0),IF(($E$197*7)&lt;=I$206,0,1),0))</f>
        <v>#N/A</v>
      </c>
      <c r="J198" s="2050"/>
      <c r="K198" s="595" t="e">
        <f>IF(AND(K$206&lt;&gt;0,K$206&gt;0),IF(($E$197*7)&gt;=K$206,0,1),IF(AND(K$206&lt;&gt;0,K$206&lt;0),IF(($E$197*7)&lt;=K$206,0,1),0))</f>
        <v>#N/A</v>
      </c>
      <c r="L198" s="2"/>
      <c r="M198" s="2"/>
      <c r="N198" s="2"/>
      <c r="O198" s="2"/>
      <c r="P198" s="2"/>
      <c r="Q198" s="2"/>
      <c r="R198" s="591"/>
      <c r="S198" s="591"/>
      <c r="T198" s="591"/>
      <c r="U198" s="591"/>
      <c r="V198" s="591"/>
      <c r="W198" s="591"/>
      <c r="X198" s="591"/>
      <c r="AA198" s="591"/>
      <c r="AB198" s="591"/>
      <c r="AC198" s="591"/>
      <c r="AG198" s="591"/>
      <c r="AS198" s="591"/>
    </row>
    <row r="199" spans="1:45" ht="7.5" customHeight="1" x14ac:dyDescent="0.2">
      <c r="A199" s="2"/>
      <c r="B199" s="2"/>
      <c r="C199" s="2"/>
      <c r="D199" s="2"/>
      <c r="E199" s="2"/>
      <c r="F199" s="2"/>
      <c r="G199" s="595" t="e">
        <f>IF(AND(G$206&lt;&gt;0,G$206&gt;0),IF(($E$197*6)&gt;=G$206,0,1),IF(AND(G$206&lt;&gt;0,G$206&lt;0),IF(($E$197*6)&lt;=G$206,0,1),0))</f>
        <v>#N/A</v>
      </c>
      <c r="H199" s="595" t="e">
        <f>IF(AND(H$206&lt;&gt;0,H$206&gt;0),IF(($E$197*6)&gt;=H$206,0,1),IF(AND(H$206&lt;&gt;0,H$206&lt;0),IF(($E$197*6)&lt;=H$206,0,1),0))</f>
        <v>#N/A</v>
      </c>
      <c r="I199" s="2049" t="e">
        <f>IF(AND(I$206&lt;&gt;0,I$206&gt;0),IF(($E$197*6)&gt;=I$206,0,1),IF(AND(I$206&lt;&gt;0,I$206&lt;0),IF(($E$197*6)&lt;=I$206,0,1),0))</f>
        <v>#N/A</v>
      </c>
      <c r="J199" s="2050"/>
      <c r="K199" s="595" t="e">
        <f>IF(AND(K$206&lt;&gt;0,K$206&gt;0),IF(($E$197*6)&gt;=K$206,0,1),IF(AND(K$206&lt;&gt;0,K$206&lt;0),IF(($E$197*6)&lt;=K$206,0,1),0))</f>
        <v>#N/A</v>
      </c>
      <c r="L199" s="2"/>
      <c r="M199" s="2"/>
      <c r="N199" s="2"/>
      <c r="O199" s="2"/>
      <c r="P199" s="2"/>
      <c r="Q199" s="2"/>
      <c r="R199" s="591"/>
      <c r="S199" s="591"/>
      <c r="T199" s="591"/>
      <c r="U199" s="591"/>
      <c r="V199" s="591"/>
      <c r="W199" s="591"/>
      <c r="X199" s="591"/>
      <c r="AA199" s="591"/>
      <c r="AB199" s="591"/>
      <c r="AC199" s="591"/>
      <c r="AG199" s="591"/>
      <c r="AS199" s="591"/>
    </row>
    <row r="200" spans="1:45" ht="7.5" customHeight="1" x14ac:dyDescent="0.2">
      <c r="A200" s="2"/>
      <c r="B200" s="2"/>
      <c r="C200" s="2"/>
      <c r="D200" s="2"/>
      <c r="E200" s="2"/>
      <c r="F200" s="2"/>
      <c r="G200" s="595" t="e">
        <f>IF(AND(G$206&lt;&gt;0,G$206&gt;0),IF(($E$197*5)&gt;=G$206,0,1),IF(AND(G$206&lt;&gt;0,G$206&lt;0),IF(($E$197*5)&lt;=G$206,0,1),0))</f>
        <v>#N/A</v>
      </c>
      <c r="H200" s="595" t="e">
        <f>IF(AND(H$206&lt;&gt;0,H$206&gt;0),IF(($E$197*5)&gt;=H$206,0,1),IF(AND(H$206&lt;&gt;0,H$206&lt;0),IF(($E$197*5)&lt;=H$206,0,1),0))</f>
        <v>#N/A</v>
      </c>
      <c r="I200" s="2049" t="e">
        <f>IF(AND(I$206&lt;&gt;0,I$206&gt;0),IF(($E$197*5)&gt;=I$206,0,1),IF(AND(I$206&lt;&gt;0,I$206&lt;0),IF(($E$197*5)&lt;=I$206,0,1),0))</f>
        <v>#N/A</v>
      </c>
      <c r="J200" s="2050"/>
      <c r="K200" s="595" t="e">
        <f>IF(AND(K$206&lt;&gt;0,K$206&gt;0),IF(($E$197*5)&gt;=K$206,0,1),IF(AND(K$206&lt;&gt;0,K$206&lt;0),IF(($E$197*5)&lt;=K$206,0,1),0))</f>
        <v>#N/A</v>
      </c>
      <c r="L200" s="2"/>
      <c r="M200" s="2"/>
      <c r="N200" s="2"/>
      <c r="O200" s="2"/>
      <c r="P200" s="2"/>
      <c r="Q200" s="2"/>
      <c r="R200" s="591"/>
      <c r="S200" s="591"/>
      <c r="T200" s="591"/>
      <c r="U200" s="591"/>
      <c r="V200" s="591"/>
      <c r="W200" s="591"/>
      <c r="X200" s="591"/>
      <c r="AA200" s="591"/>
      <c r="AB200" s="591"/>
      <c r="AC200" s="591"/>
      <c r="AG200" s="591"/>
      <c r="AS200" s="591"/>
    </row>
    <row r="201" spans="1:45" ht="7.5" customHeight="1" x14ac:dyDescent="0.2">
      <c r="A201" s="2"/>
      <c r="B201" s="2"/>
      <c r="C201" s="2"/>
      <c r="D201" s="2"/>
      <c r="E201" s="2"/>
      <c r="F201" s="2"/>
      <c r="G201" s="595" t="e">
        <f>IF(AND(G$206&lt;&gt;0,G$206&gt;0),IF(($E$197*4)&gt;=G$206,0,1),IF(AND(G$206&lt;&gt;0,G$206&lt;0),IF(($E$197*4)&lt;=G$206,0,1),0))</f>
        <v>#N/A</v>
      </c>
      <c r="H201" s="595" t="e">
        <f>IF(AND(H$206&lt;&gt;0,H$206&gt;0),IF(($E$197*4)&gt;=H$206,0,1),IF(AND(H$206&lt;&gt;0,H$206&lt;0),IF(($E$197*4)&lt;=H$206,0,1),0))</f>
        <v>#N/A</v>
      </c>
      <c r="I201" s="2049" t="e">
        <f>IF(AND(I$206&lt;&gt;0,I$206&gt;0),IF(($E$197*4)&gt;=I$206,0,1),IF(AND(I$206&lt;&gt;0,I$206&lt;0),IF(($E$197*4)&lt;=I$206,0,1),0))</f>
        <v>#N/A</v>
      </c>
      <c r="J201" s="2050"/>
      <c r="K201" s="595" t="e">
        <f>IF(AND(K$206&lt;&gt;0,K$206&gt;0),IF(($E$197*4)&gt;=K$206,0,1),IF(AND(K$206&lt;&gt;0,K$206&lt;0),IF(($E$197*4)&lt;=K$206,0,1),0))</f>
        <v>#N/A</v>
      </c>
      <c r="L201" s="2"/>
      <c r="M201" s="2"/>
      <c r="N201" s="2"/>
      <c r="O201" s="2"/>
      <c r="P201" s="2"/>
      <c r="Q201" s="2"/>
      <c r="R201" s="591"/>
      <c r="S201" s="591"/>
      <c r="T201" s="591"/>
      <c r="U201" s="591"/>
      <c r="V201" s="591"/>
      <c r="W201" s="591"/>
      <c r="X201" s="591"/>
      <c r="AA201" s="591"/>
      <c r="AB201" s="591"/>
      <c r="AC201" s="591"/>
      <c r="AG201" s="591"/>
      <c r="AS201" s="591"/>
    </row>
    <row r="202" spans="1:45" ht="7.5" customHeight="1" x14ac:dyDescent="0.2">
      <c r="A202" s="2"/>
      <c r="B202" s="2"/>
      <c r="C202" s="2"/>
      <c r="D202" s="2"/>
      <c r="E202" s="2"/>
      <c r="F202" s="2"/>
      <c r="G202" s="595" t="e">
        <f>IF(AND(G$206&lt;&gt;0,G$206&gt;0),IF(($E$197*3)&gt;=G$206,0,1),IF(AND(G$206&lt;&gt;0,G$206&lt;0),IF(($E$197*3)&lt;=G$206,0,1),0))</f>
        <v>#N/A</v>
      </c>
      <c r="H202" s="595" t="e">
        <f>IF(AND(H$206&lt;&gt;0,H$206&gt;0),IF(($E$197*3)&gt;=H$206,0,1),IF(AND(H$206&lt;&gt;0,H$206&lt;0),IF(($E$197*3)&lt;=H$206,0,1),0))</f>
        <v>#N/A</v>
      </c>
      <c r="I202" s="2049" t="e">
        <f>IF(AND(I$206&lt;&gt;0,I$206&gt;0),IF(($E$197*3)&gt;=I$206,0,1),IF(AND(I$206&lt;&gt;0,I$206&lt;0),IF(($E$197*3)&lt;=I$206,0,1),0))</f>
        <v>#N/A</v>
      </c>
      <c r="J202" s="2050"/>
      <c r="K202" s="595" t="e">
        <f>IF(AND(K$206&lt;&gt;0,K$206&gt;0),IF(($E$197*3)&gt;=K$206,0,1),IF(AND(K$206&lt;&gt;0,K$206&lt;0),IF(($E$197*3)&lt;=K$206,0,1),0))</f>
        <v>#N/A</v>
      </c>
      <c r="L202" s="2"/>
      <c r="M202" s="2"/>
      <c r="N202" s="2"/>
      <c r="O202" s="2"/>
      <c r="P202" s="2"/>
      <c r="Q202" s="2"/>
      <c r="R202" s="591"/>
      <c r="S202" s="591"/>
      <c r="T202" s="591"/>
      <c r="U202" s="591"/>
      <c r="V202" s="591"/>
      <c r="W202" s="591"/>
      <c r="X202" s="591"/>
      <c r="AA202" s="591"/>
      <c r="AB202" s="591"/>
      <c r="AC202" s="591"/>
      <c r="AG202" s="591"/>
      <c r="AS202" s="591"/>
    </row>
    <row r="203" spans="1:45" ht="7.5" customHeight="1" x14ac:dyDescent="0.2">
      <c r="A203" s="2"/>
      <c r="B203" s="2"/>
      <c r="C203" s="2"/>
      <c r="D203" s="2"/>
      <c r="E203" s="2"/>
      <c r="F203" s="2"/>
      <c r="G203" s="595" t="e">
        <f>IF(AND(G$206&lt;&gt;0,G$206&gt;0),IF(($E$197*2)&gt;=G$206,0,1),IF(AND(G$206&lt;&gt;0,G$206&lt;0),IF(($E$197*2)&lt;=G$206,0,1),0))</f>
        <v>#N/A</v>
      </c>
      <c r="H203" s="595" t="e">
        <f>IF(AND(H$206&lt;&gt;0,H$206&gt;0),IF(($E$197*2)&gt;=H$206,0,1),IF(AND(H$206&lt;&gt;0,H$206&lt;0),IF(($E$197*2)&lt;=H$206,0,1),0))</f>
        <v>#N/A</v>
      </c>
      <c r="I203" s="2049" t="e">
        <f>IF(AND(I$206&lt;&gt;0,I$206&gt;0),IF(($E$197*2)&gt;=I$206,0,1),IF(AND(I$206&lt;&gt;0,I$206&lt;0),IF(($E$197*2)&lt;=I$206,0,1),0))</f>
        <v>#N/A</v>
      </c>
      <c r="J203" s="2050"/>
      <c r="K203" s="595" t="e">
        <f>IF(AND(K$206&lt;&gt;0,K$206&gt;0),IF(($E$197*2)&gt;=K$206,0,1),IF(AND(K$206&lt;&gt;0,K$206&lt;0),IF(($E$197*2)&lt;=K$206,0,1),0))</f>
        <v>#N/A</v>
      </c>
      <c r="L203" s="2"/>
      <c r="M203" s="2"/>
      <c r="N203" s="2"/>
      <c r="O203" s="2"/>
      <c r="P203" s="2"/>
      <c r="Q203" s="2"/>
      <c r="R203" s="591"/>
      <c r="S203" s="591"/>
      <c r="T203" s="591"/>
      <c r="U203" s="591"/>
      <c r="V203" s="591"/>
      <c r="W203" s="591"/>
      <c r="X203" s="591"/>
      <c r="AA203" s="591"/>
      <c r="AB203" s="591"/>
      <c r="AC203" s="591"/>
      <c r="AG203" s="591"/>
      <c r="AS203" s="591"/>
    </row>
    <row r="204" spans="1:45" ht="7.5" customHeight="1" x14ac:dyDescent="0.2">
      <c r="A204" s="2"/>
      <c r="B204" s="2"/>
      <c r="C204" s="2"/>
      <c r="D204" s="2"/>
      <c r="E204" s="2"/>
      <c r="F204" s="2"/>
      <c r="G204" s="595" t="e">
        <f>IF(AND(G$206&lt;&gt;0,G$206&gt;0),IF(($E$197*1)&gt;=G$206,0,1),IF(AND(G$206&lt;&gt;0,G$206&lt;0),IF(($E$197*1)&lt;=G$206,0,1),0))</f>
        <v>#N/A</v>
      </c>
      <c r="H204" s="595" t="e">
        <f>IF(AND(H$206&lt;&gt;0,H$206&gt;0),IF(($E$197*1)&gt;=H$206,0,1),IF(AND(H$206&lt;&gt;0,H$206&lt;0),IF(($E$197*1)&lt;=H$206,0,1),0))</f>
        <v>#N/A</v>
      </c>
      <c r="I204" s="2049" t="e">
        <f>IF(AND(I$206&lt;&gt;0,I$206&gt;0),IF(($E$197*1)&gt;=I$206,0,1),IF(AND(I$206&lt;&gt;0,I$206&lt;0),IF(($E$197*1)&lt;=I$206,0,1),0))</f>
        <v>#N/A</v>
      </c>
      <c r="J204" s="2050"/>
      <c r="K204" s="595" t="e">
        <f>IF(AND(K$206&lt;&gt;0,K$206&gt;0),IF(($E$197*1)&gt;=K$206,0,1),IF(AND(K$206&lt;&gt;0,K$206&lt;0),IF(($E$197*1)&lt;=K$206,0,1),0))</f>
        <v>#N/A</v>
      </c>
      <c r="L204" s="2"/>
      <c r="M204" s="2"/>
      <c r="N204" s="2"/>
      <c r="O204" s="2"/>
      <c r="P204" s="2"/>
      <c r="Q204" s="2"/>
      <c r="R204" s="591"/>
      <c r="S204" s="591"/>
      <c r="T204" s="591"/>
      <c r="U204" s="591"/>
      <c r="V204" s="591"/>
      <c r="W204" s="591"/>
      <c r="X204" s="591"/>
      <c r="AA204" s="591"/>
      <c r="AB204" s="591"/>
      <c r="AC204" s="591"/>
      <c r="AG204" s="591"/>
      <c r="AS204" s="591"/>
    </row>
    <row r="205" spans="1:45" ht="7.5" customHeight="1" x14ac:dyDescent="0.2">
      <c r="A205" s="2"/>
      <c r="B205" s="2"/>
      <c r="C205" s="2"/>
      <c r="D205" s="2"/>
      <c r="E205" s="2"/>
      <c r="F205" s="2"/>
      <c r="G205" s="596" t="e">
        <f>IF(G206&lt;&gt;0,1,0)</f>
        <v>#N/A</v>
      </c>
      <c r="H205" s="596" t="e">
        <f>IF(H206&lt;&gt;0,1,0)</f>
        <v>#N/A</v>
      </c>
      <c r="I205" s="2194" t="e">
        <f>IF(I206&lt;&gt;0,1,0)</f>
        <v>#N/A</v>
      </c>
      <c r="J205" s="2195"/>
      <c r="K205" s="596" t="e">
        <f>IF(K206&lt;&gt;0,1,0)</f>
        <v>#N/A</v>
      </c>
      <c r="L205" s="2"/>
      <c r="M205" s="2"/>
      <c r="N205" s="2"/>
      <c r="O205" s="2"/>
      <c r="P205" s="2"/>
      <c r="Q205" s="2"/>
      <c r="R205" s="591"/>
      <c r="S205" s="591"/>
      <c r="T205" s="591"/>
      <c r="U205" s="591"/>
      <c r="V205" s="591"/>
      <c r="W205" s="591"/>
      <c r="X205" s="591"/>
      <c r="AA205" s="591"/>
      <c r="AB205" s="591"/>
      <c r="AC205" s="591"/>
      <c r="AG205" s="591"/>
      <c r="AS205" s="591"/>
    </row>
    <row r="206" spans="1:45" ht="21.95" customHeight="1" x14ac:dyDescent="0.2">
      <c r="A206" s="2"/>
      <c r="B206" s="7"/>
      <c r="C206" s="2092" t="s">
        <v>582</v>
      </c>
      <c r="D206" s="2092"/>
      <c r="E206" s="2093" t="e">
        <f>SUM(G206:K206)</f>
        <v>#N/A</v>
      </c>
      <c r="F206" s="2093"/>
      <c r="G206" s="623" t="e">
        <f>HLOOKUP(G1,STORICO!$E$109:$Y$140,VLOOKUP(CONCATENATE($M166,$I207),STORICO!$AP$111:$AQ$140,2,FALSE),FALSE)</f>
        <v>#N/A</v>
      </c>
      <c r="H206" s="623" t="e">
        <f>HLOOKUP(H1,STORICO!$E$109:$Y$140,VLOOKUP(CONCATENATE($M166,$I207),STORICO!$AP$111:$AQ$140,2,FALSE),FALSE)</f>
        <v>#N/A</v>
      </c>
      <c r="I206" s="2196" t="e">
        <f>HLOOKUP(K1,STORICO!$E$109:$Y$140,VLOOKUP(CONCATENATE($M166,$I207),STORICO!$AP$111:$AQ$140,2,FALSE),FALSE)</f>
        <v>#N/A</v>
      </c>
      <c r="J206" s="2196"/>
      <c r="K206" s="623" t="e">
        <f>HLOOKUP(N1,STORICO!$E$109:$Y$140,VLOOKUP(CONCATENATE($M166,$I207),STORICO!$AP$111:$AQ$140,2,FALSE),FALSE)</f>
        <v>#N/A</v>
      </c>
      <c r="L206" s="2"/>
      <c r="M206" s="12"/>
      <c r="N206" s="2"/>
      <c r="O206" s="2"/>
      <c r="P206" s="2"/>
      <c r="Q206" s="2"/>
      <c r="R206" s="591"/>
      <c r="S206" s="591"/>
      <c r="T206" s="591"/>
      <c r="U206" s="591"/>
      <c r="V206" s="591"/>
      <c r="W206" s="591"/>
      <c r="X206" s="591"/>
      <c r="AA206" s="591"/>
      <c r="AB206" s="591"/>
      <c r="AC206" s="591"/>
      <c r="AG206" s="591"/>
      <c r="AS206" s="591"/>
    </row>
    <row r="207" spans="1:45" ht="18.75" customHeight="1" x14ac:dyDescent="0.2">
      <c r="A207" s="2"/>
      <c r="B207" s="2"/>
      <c r="C207" s="2059" t="s">
        <v>563</v>
      </c>
      <c r="D207" s="2059"/>
      <c r="E207" s="2059"/>
      <c r="F207" s="2059"/>
      <c r="G207" s="2059"/>
      <c r="H207" s="2060"/>
      <c r="I207" s="2191"/>
      <c r="J207" s="2192"/>
      <c r="K207" s="2193"/>
      <c r="L207" s="2"/>
      <c r="M207" s="2"/>
      <c r="N207" s="2"/>
      <c r="O207" s="2"/>
      <c r="P207" s="2"/>
      <c r="Q207" s="2"/>
      <c r="R207" s="591"/>
      <c r="S207" s="591"/>
      <c r="T207" s="591"/>
      <c r="U207" s="591"/>
      <c r="V207" s="591"/>
      <c r="W207" s="591"/>
      <c r="X207" s="591"/>
      <c r="AA207" s="591"/>
      <c r="AB207" s="591"/>
      <c r="AC207" s="591"/>
      <c r="AG207" s="591"/>
      <c r="AS207" s="591"/>
    </row>
    <row r="208" spans="1:45" ht="18.75" customHeight="1" x14ac:dyDescent="0.2">
      <c r="A208" s="2"/>
      <c r="B208" s="2"/>
      <c r="C208" s="14"/>
      <c r="D208" s="14"/>
      <c r="E208" s="14"/>
      <c r="F208" s="14"/>
      <c r="G208" s="14"/>
      <c r="H208" s="14"/>
      <c r="I208" s="14"/>
      <c r="J208" s="2"/>
      <c r="K208" s="2"/>
      <c r="L208" s="2"/>
      <c r="M208" s="2"/>
      <c r="N208" s="2"/>
      <c r="O208" s="2"/>
      <c r="P208" s="2"/>
      <c r="Q208" s="2"/>
      <c r="R208" s="591"/>
      <c r="S208" s="591"/>
      <c r="T208" s="591"/>
      <c r="U208" s="591"/>
      <c r="V208" s="591"/>
      <c r="W208" s="591"/>
      <c r="X208" s="591"/>
      <c r="AA208" s="591"/>
      <c r="AB208" s="591"/>
      <c r="AC208" s="591"/>
      <c r="AG208" s="591"/>
      <c r="AS208" s="591"/>
    </row>
    <row r="209" spans="1:45" ht="18.75" customHeight="1" x14ac:dyDescent="0.2">
      <c r="A209" s="2"/>
      <c r="B209" s="2"/>
      <c r="C209" s="2"/>
      <c r="D209" s="2"/>
      <c r="E209" s="2"/>
      <c r="F209" s="2"/>
      <c r="G209" s="2"/>
      <c r="H209" s="2"/>
      <c r="I209" s="2"/>
      <c r="J209" s="2"/>
      <c r="K209" s="638" t="str">
        <f ca="1">Presentazione!$H$13</f>
        <v/>
      </c>
      <c r="L209" s="2"/>
      <c r="M209" s="2"/>
      <c r="N209" s="2"/>
      <c r="O209" s="2"/>
      <c r="P209" s="2"/>
      <c r="Q209" s="2"/>
      <c r="R209" s="591"/>
      <c r="S209" s="591"/>
      <c r="T209" s="591"/>
      <c r="U209" s="591"/>
      <c r="V209" s="591"/>
      <c r="W209" s="591"/>
      <c r="X209" s="591"/>
      <c r="AA209" s="591"/>
      <c r="AB209" s="591"/>
      <c r="AC209" s="591"/>
      <c r="AG209" s="591"/>
      <c r="AS209" s="591"/>
    </row>
    <row r="210" spans="1:45" ht="18.75" customHeight="1" x14ac:dyDescent="0.2">
      <c r="A210" s="2"/>
      <c r="B210" s="2"/>
      <c r="C210" s="2"/>
      <c r="D210" s="2"/>
      <c r="E210" s="2"/>
      <c r="F210" s="2"/>
      <c r="G210" s="2"/>
      <c r="H210" s="2"/>
      <c r="I210" s="2"/>
      <c r="J210" s="2"/>
      <c r="K210" s="639" t="str">
        <f ca="1">IF(Presentazione!$J$165=Presentazione!$K$83,CONCATENATE(Presentazione!$F$77,"   -   ","P.I./C.F ",Presentazione!$K$79),Presentazione!$I$157)</f>
        <v>Sistema parzialmente attivato. Inserisci il tuo CODICE di PROPRIETA' nel foglio Presentazione.</v>
      </c>
      <c r="L210" s="2"/>
      <c r="M210" s="2"/>
      <c r="N210" s="2"/>
      <c r="O210" s="2"/>
      <c r="P210" s="2"/>
      <c r="Q210" s="2"/>
      <c r="R210" s="591"/>
      <c r="S210" s="591"/>
      <c r="T210" s="591"/>
      <c r="U210" s="591"/>
      <c r="V210" s="591"/>
      <c r="W210" s="591"/>
      <c r="X210" s="591"/>
      <c r="AA210" s="591"/>
      <c r="AB210" s="591"/>
      <c r="AC210" s="591"/>
      <c r="AG210" s="591"/>
      <c r="AS210" s="591"/>
    </row>
    <row r="211" spans="1:45" ht="18.75" customHeight="1" x14ac:dyDescent="0.2">
      <c r="A211" s="2"/>
      <c r="B211" s="2"/>
      <c r="C211" s="2"/>
      <c r="D211" s="2"/>
      <c r="E211" s="2"/>
      <c r="F211" s="2"/>
      <c r="G211" s="2"/>
      <c r="H211" s="2"/>
      <c r="I211" s="2"/>
      <c r="J211" s="2"/>
      <c r="K211" s="2"/>
      <c r="L211" s="2"/>
      <c r="M211" s="2"/>
      <c r="N211" s="2"/>
      <c r="O211" s="2"/>
      <c r="P211" s="2"/>
      <c r="Q211" s="2"/>
      <c r="R211" s="591"/>
      <c r="S211" s="591"/>
      <c r="T211" s="591"/>
      <c r="U211" s="591"/>
      <c r="V211" s="591"/>
      <c r="W211" s="591"/>
      <c r="X211" s="591"/>
      <c r="AA211" s="591"/>
      <c r="AB211" s="591"/>
      <c r="AC211" s="591"/>
      <c r="AG211" s="591"/>
      <c r="AS211" s="591"/>
    </row>
    <row r="212" spans="1:45" ht="18.75" customHeight="1" x14ac:dyDescent="0.2">
      <c r="A212" s="2"/>
      <c r="B212" s="2"/>
      <c r="C212" s="637" t="str">
        <f>CASSA!B108</f>
        <v>www.marcopiccoli.it   -   Registro dei Corrispettivi 5.2.4 3txt - per EXCEL .xlsm</v>
      </c>
      <c r="D212" s="2"/>
      <c r="E212" s="2"/>
      <c r="F212" s="2"/>
      <c r="G212" s="2"/>
      <c r="H212" s="2"/>
      <c r="I212" s="2"/>
      <c r="J212" s="2"/>
      <c r="K212" s="2"/>
      <c r="L212" s="2"/>
      <c r="M212" s="2"/>
      <c r="N212" s="2"/>
      <c r="O212" s="2"/>
      <c r="P212" s="2"/>
      <c r="Q212" s="2"/>
      <c r="R212" s="591"/>
      <c r="S212" s="591"/>
      <c r="T212" s="591"/>
      <c r="U212" s="591"/>
      <c r="V212" s="591"/>
      <c r="W212" s="591"/>
      <c r="X212" s="591"/>
      <c r="AA212" s="591"/>
      <c r="AB212" s="591"/>
      <c r="AC212" s="591"/>
      <c r="AG212" s="591"/>
      <c r="AS212" s="591"/>
    </row>
    <row r="213" spans="1:45" ht="18.75" customHeight="1" x14ac:dyDescent="0.2">
      <c r="A213" s="2"/>
      <c r="B213" s="2"/>
      <c r="C213" s="2"/>
      <c r="D213" s="2"/>
      <c r="E213" s="2"/>
      <c r="F213" s="2"/>
      <c r="G213" s="2"/>
      <c r="H213" s="2"/>
      <c r="I213" s="2"/>
      <c r="J213" s="2"/>
      <c r="K213" s="2"/>
      <c r="L213" s="2"/>
      <c r="M213" s="2"/>
      <c r="N213" s="2"/>
      <c r="O213" s="2"/>
      <c r="P213" s="2"/>
      <c r="Q213" s="2"/>
      <c r="R213" s="591"/>
      <c r="S213" s="591"/>
      <c r="T213" s="591"/>
      <c r="U213" s="591"/>
      <c r="V213" s="591"/>
      <c r="W213" s="591"/>
      <c r="X213" s="591"/>
      <c r="AA213" s="591"/>
      <c r="AB213" s="591"/>
      <c r="AC213" s="591"/>
      <c r="AG213" s="591"/>
      <c r="AS213" s="591"/>
    </row>
    <row r="214" spans="1:45" ht="18.75" hidden="1" customHeight="1" x14ac:dyDescent="0.2">
      <c r="A214" s="2"/>
      <c r="B214" s="2"/>
      <c r="C214" s="2"/>
      <c r="D214" s="600">
        <v>18</v>
      </c>
      <c r="E214" s="2"/>
      <c r="F214" s="2"/>
      <c r="G214" s="148">
        <v>5</v>
      </c>
      <c r="H214" s="148">
        <v>6</v>
      </c>
      <c r="I214" s="148">
        <v>7</v>
      </c>
      <c r="J214" s="148">
        <v>8</v>
      </c>
      <c r="K214" s="2"/>
      <c r="L214" s="2"/>
      <c r="M214" s="2"/>
      <c r="N214" s="2"/>
      <c r="O214" s="2"/>
      <c r="P214" s="2"/>
      <c r="Q214" s="2"/>
      <c r="R214" s="591"/>
      <c r="S214" s="591"/>
      <c r="T214" s="591"/>
      <c r="U214" s="591"/>
      <c r="V214" s="591"/>
      <c r="W214" s="591"/>
      <c r="X214" s="591"/>
      <c r="AA214" s="591"/>
      <c r="AB214" s="591"/>
      <c r="AC214" s="591"/>
      <c r="AG214" s="591"/>
      <c r="AS214" s="591"/>
    </row>
    <row r="215" spans="1:45" ht="21.95" hidden="1" customHeight="1" x14ac:dyDescent="0.2">
      <c r="A215" s="2"/>
      <c r="B215" s="7"/>
      <c r="C215" s="2187" t="str">
        <f>C46</f>
        <v>LORDO</v>
      </c>
      <c r="D215" s="2187"/>
      <c r="E215" s="2188">
        <f>SUM(G215:J215)</f>
        <v>0</v>
      </c>
      <c r="F215" s="2188"/>
      <c r="G215" s="602">
        <f>VLOOKUP(G$1,IMPOSTAZIONI!$B$298:$AM$304,$D$214,FALSE)</f>
        <v>0</v>
      </c>
      <c r="H215" s="602">
        <f>VLOOKUP(H$1,IMPOSTAZIONI!$B$298:$AM$304,$D$214,FALSE)</f>
        <v>0</v>
      </c>
      <c r="I215" s="602">
        <f>VLOOKUP(K$1,IMPOSTAZIONI!$B$298:$AM$304,$D$214,FALSE)</f>
        <v>0</v>
      </c>
      <c r="J215" s="602">
        <f>VLOOKUP(N$1,IMPOSTAZIONI!$B$298:$AM$304,$D$214,FALSE)</f>
        <v>0</v>
      </c>
      <c r="K215" s="14"/>
      <c r="L215" s="2"/>
      <c r="M215" s="12"/>
      <c r="N215" s="2"/>
      <c r="O215" s="2"/>
      <c r="P215" s="2"/>
      <c r="Q215" s="2"/>
      <c r="R215" s="591"/>
      <c r="S215" s="591"/>
      <c r="T215" s="591"/>
      <c r="U215" s="591"/>
      <c r="V215" s="591"/>
      <c r="W215" s="591"/>
      <c r="X215" s="591"/>
      <c r="AA215" s="591"/>
      <c r="AB215" s="591"/>
      <c r="AC215" s="591"/>
      <c r="AG215" s="591"/>
      <c r="AS215" s="591"/>
    </row>
    <row r="216" spans="1:45" hidden="1" x14ac:dyDescent="0.2">
      <c r="A216" s="2"/>
      <c r="B216" s="7"/>
      <c r="C216" s="2189" t="str">
        <f>C47</f>
        <v>NETTO</v>
      </c>
      <c r="D216" s="2189"/>
      <c r="E216" s="2190">
        <f>SUM(G216:J216)</f>
        <v>4000</v>
      </c>
      <c r="F216" s="2190"/>
      <c r="G216" s="601">
        <f>VLOOKUP(G$1,IMPOSTAZIONI!$B$391:$AM$397,$D$214,FALSE)</f>
        <v>1000</v>
      </c>
      <c r="H216" s="601">
        <f>VLOOKUP(H$1,IMPOSTAZIONI!$B$391:$AM$397,$D$214,FALSE)</f>
        <v>1000</v>
      </c>
      <c r="I216" s="601">
        <f>VLOOKUP(K$1,IMPOSTAZIONI!$B$391:$AM$397,$D$214,FALSE)</f>
        <v>1000</v>
      </c>
      <c r="J216" s="601">
        <f>VLOOKUP(N$1,IMPOSTAZIONI!$B$391:$AM$397,$D$214,FALSE)</f>
        <v>1000</v>
      </c>
      <c r="K216" s="14"/>
      <c r="L216" s="2"/>
      <c r="M216" s="12"/>
      <c r="N216" s="2"/>
      <c r="O216" s="2"/>
      <c r="P216" s="2"/>
      <c r="Q216" s="2"/>
      <c r="R216" s="591"/>
      <c r="S216" s="591"/>
      <c r="T216" s="591"/>
      <c r="U216" s="591"/>
      <c r="V216" s="591"/>
      <c r="W216" s="591"/>
      <c r="X216" s="591"/>
      <c r="AA216" s="591"/>
      <c r="AB216" s="591"/>
      <c r="AC216" s="591"/>
      <c r="AG216" s="591"/>
      <c r="AS216" s="591"/>
    </row>
    <row r="217" spans="1:45" ht="21.95" hidden="1" customHeight="1" x14ac:dyDescent="0.2">
      <c r="A217" s="2"/>
      <c r="B217" s="7"/>
      <c r="C217" s="2185" t="str">
        <f>C48</f>
        <v>IVA</v>
      </c>
      <c r="D217" s="2185"/>
      <c r="E217" s="2186">
        <f>SUM(G217:J217)</f>
        <v>-4000</v>
      </c>
      <c r="F217" s="2186"/>
      <c r="G217" s="603">
        <f>G215-G216</f>
        <v>-1000</v>
      </c>
      <c r="H217" s="603">
        <f>H215-H216</f>
        <v>-1000</v>
      </c>
      <c r="I217" s="603">
        <f>I215-I216</f>
        <v>-1000</v>
      </c>
      <c r="J217" s="603">
        <f>J215-J216</f>
        <v>-1000</v>
      </c>
      <c r="K217" s="14"/>
      <c r="L217" s="2"/>
      <c r="M217" s="12"/>
      <c r="N217" s="2"/>
      <c r="O217" s="2"/>
      <c r="P217" s="2"/>
      <c r="Q217" s="2"/>
      <c r="R217" s="591"/>
      <c r="S217" s="591"/>
      <c r="T217" s="591"/>
      <c r="U217" s="591"/>
      <c r="V217" s="591"/>
      <c r="W217" s="591"/>
      <c r="X217" s="591"/>
      <c r="AA217" s="591"/>
      <c r="AB217" s="591"/>
      <c r="AC217" s="591"/>
      <c r="AG217" s="591"/>
      <c r="AS217" s="591"/>
    </row>
    <row r="218" spans="1:45" ht="18.75" hidden="1" customHeight="1" x14ac:dyDescent="0.2">
      <c r="A218" s="2"/>
      <c r="B218" s="2"/>
      <c r="C218" s="2"/>
      <c r="D218" s="2"/>
      <c r="E218" s="2"/>
      <c r="F218" s="2"/>
      <c r="G218" s="2"/>
      <c r="H218" s="2"/>
      <c r="I218" s="2"/>
      <c r="J218" s="2"/>
      <c r="K218" s="2"/>
      <c r="L218" s="2"/>
      <c r="M218" s="2"/>
      <c r="N218" s="2"/>
      <c r="O218" s="2"/>
      <c r="P218" s="2"/>
      <c r="Q218" s="2"/>
      <c r="R218" s="591"/>
      <c r="S218" s="591"/>
      <c r="T218" s="591"/>
      <c r="U218" s="591"/>
      <c r="V218" s="591"/>
      <c r="W218" s="591"/>
      <c r="X218" s="591"/>
      <c r="AA218" s="591"/>
      <c r="AB218" s="591"/>
      <c r="AC218" s="591"/>
      <c r="AG218" s="591"/>
      <c r="AS218" s="591"/>
    </row>
    <row r="219" spans="1:45" hidden="1" x14ac:dyDescent="0.2">
      <c r="A219" s="2"/>
      <c r="B219" s="2"/>
      <c r="C219" s="2"/>
      <c r="D219" s="2"/>
      <c r="E219" s="931" t="s">
        <v>718</v>
      </c>
      <c r="F219" s="2"/>
      <c r="G219" s="592" t="s">
        <v>175</v>
      </c>
      <c r="H219" s="2"/>
      <c r="I219" s="2"/>
      <c r="J219" s="2"/>
      <c r="K219" s="2"/>
      <c r="L219" s="2"/>
      <c r="M219" s="2"/>
      <c r="N219" s="2"/>
      <c r="O219" s="2"/>
      <c r="P219" s="2"/>
      <c r="Q219" s="2"/>
      <c r="R219" s="591"/>
      <c r="S219" s="591"/>
      <c r="T219" s="591"/>
      <c r="U219" s="591"/>
      <c r="V219" s="591"/>
      <c r="W219" s="591"/>
      <c r="X219" s="591"/>
      <c r="AA219" s="591"/>
      <c r="AB219" s="591"/>
      <c r="AC219" s="591"/>
      <c r="AG219" s="591"/>
      <c r="AS219" s="591"/>
    </row>
    <row r="220" spans="1:45" ht="14.25" hidden="1" customHeight="1" x14ac:dyDescent="0.2">
      <c r="A220" s="2"/>
      <c r="B220" s="2"/>
      <c r="C220" s="2"/>
      <c r="D220" s="2"/>
      <c r="E220" s="932" t="s">
        <v>719</v>
      </c>
      <c r="F220" s="2"/>
      <c r="G220" s="593">
        <f>STORICO!C16</f>
        <v>2024</v>
      </c>
      <c r="H220" s="2"/>
      <c r="I220" s="592" t="str">
        <f t="shared" ref="I220:I229" si="36">CONCATENATE(G$219,"   ",G220)</f>
        <v>ANNO   2024</v>
      </c>
      <c r="J220" s="2"/>
      <c r="K220" s="592" t="s">
        <v>583</v>
      </c>
      <c r="L220" s="2"/>
      <c r="M220" s="2"/>
      <c r="N220" s="2"/>
      <c r="O220" s="2"/>
      <c r="P220" s="2"/>
      <c r="Q220" s="2"/>
      <c r="R220" s="591"/>
      <c r="S220" s="591"/>
      <c r="T220" s="591"/>
      <c r="U220" s="591"/>
      <c r="V220" s="591"/>
      <c r="W220" s="591"/>
      <c r="X220" s="591"/>
      <c r="AA220" s="591"/>
      <c r="AB220" s="591"/>
      <c r="AC220" s="591"/>
      <c r="AG220" s="591"/>
      <c r="AS220" s="591"/>
    </row>
    <row r="221" spans="1:45" ht="14.25" hidden="1" customHeight="1" x14ac:dyDescent="0.2">
      <c r="A221" s="2"/>
      <c r="B221" s="2"/>
      <c r="C221" s="2"/>
      <c r="D221" s="2"/>
      <c r="E221" s="933">
        <f>IF(ISERROR(G206),MAX(G180:K180,G193:K193)/10,MAX(G180:K180,G193:K193,G206:K206)/10)</f>
        <v>0</v>
      </c>
      <c r="F221" s="2"/>
      <c r="G221" s="593">
        <f>STORICO!C27</f>
        <v>2023</v>
      </c>
      <c r="H221" s="2"/>
      <c r="I221" s="592" t="str">
        <f t="shared" si="36"/>
        <v>ANNO   2023</v>
      </c>
      <c r="J221" s="2"/>
      <c r="K221" s="592" t="s">
        <v>584</v>
      </c>
      <c r="L221" s="2"/>
      <c r="M221" s="2"/>
      <c r="N221" s="2"/>
      <c r="O221" s="2"/>
      <c r="P221" s="2"/>
      <c r="Q221" s="2"/>
      <c r="AA221" s="591"/>
      <c r="AB221" s="591"/>
      <c r="AC221" s="591"/>
      <c r="AG221" s="591"/>
      <c r="AS221" s="591"/>
    </row>
    <row r="222" spans="1:45" ht="14.25" hidden="1" customHeight="1" x14ac:dyDescent="0.2">
      <c r="A222" s="2"/>
      <c r="B222" s="2"/>
      <c r="C222" s="2"/>
      <c r="D222" s="2"/>
      <c r="E222" s="2"/>
      <c r="F222" s="2"/>
      <c r="G222" s="593">
        <f>STORICO!C33</f>
        <v>2022</v>
      </c>
      <c r="H222" s="2"/>
      <c r="I222" s="592" t="str">
        <f t="shared" si="36"/>
        <v>ANNO   2022</v>
      </c>
      <c r="J222" s="2"/>
      <c r="K222" s="592" t="s">
        <v>585</v>
      </c>
      <c r="L222" s="2"/>
      <c r="M222" s="2"/>
      <c r="N222" s="2"/>
      <c r="O222" s="2"/>
      <c r="P222" s="2"/>
      <c r="Q222" s="2"/>
      <c r="AA222" s="591"/>
      <c r="AB222" s="591"/>
      <c r="AC222" s="591"/>
      <c r="AG222" s="591"/>
      <c r="AS222" s="591"/>
    </row>
    <row r="223" spans="1:45" ht="14.25" hidden="1" customHeight="1" x14ac:dyDescent="0.2">
      <c r="A223" s="2"/>
      <c r="B223" s="2"/>
      <c r="C223" s="2"/>
      <c r="D223" s="2"/>
      <c r="E223" s="2"/>
      <c r="F223" s="2"/>
      <c r="G223" s="593">
        <f>STORICO!C39</f>
        <v>2021</v>
      </c>
      <c r="H223" s="2"/>
      <c r="I223" s="592" t="str">
        <f t="shared" si="36"/>
        <v>ANNO   2021</v>
      </c>
      <c r="J223" s="2"/>
      <c r="K223" s="592" t="s">
        <v>586</v>
      </c>
      <c r="L223" s="2"/>
      <c r="M223" s="2"/>
      <c r="N223" s="2"/>
      <c r="O223" s="2"/>
      <c r="P223" s="2"/>
      <c r="Q223" s="2"/>
      <c r="AA223" s="591"/>
      <c r="AB223" s="591"/>
      <c r="AC223" s="591"/>
      <c r="AG223" s="591"/>
      <c r="AS223" s="591"/>
    </row>
    <row r="224" spans="1:45" ht="14.25" hidden="1" customHeight="1" x14ac:dyDescent="0.2">
      <c r="A224" s="2"/>
      <c r="B224" s="2"/>
      <c r="C224" s="2"/>
      <c r="D224" s="2"/>
      <c r="E224" s="934" t="str">
        <f>C215</f>
        <v>LORDO</v>
      </c>
      <c r="F224" s="2"/>
      <c r="G224" s="593" t="str">
        <f>CONCATENATE(G220," + ",G221)</f>
        <v>2024 + 2023</v>
      </c>
      <c r="H224" s="2"/>
      <c r="I224" s="592" t="str">
        <f t="shared" si="36"/>
        <v>ANNO   2024 + 2023</v>
      </c>
      <c r="J224" s="2"/>
      <c r="K224" s="592" t="str">
        <f>CONCATENATE(K220," + ",K221)</f>
        <v>ANNO IN CORSO + ANNO PRECEDENTE 1</v>
      </c>
      <c r="L224" s="2"/>
      <c r="M224" s="2"/>
      <c r="N224" s="2"/>
      <c r="O224" s="2"/>
      <c r="P224" s="2"/>
      <c r="Q224" s="2"/>
      <c r="AA224" s="591"/>
      <c r="AB224" s="591"/>
      <c r="AC224" s="591"/>
      <c r="AG224" s="591"/>
      <c r="AS224" s="591"/>
    </row>
    <row r="225" spans="1:45" ht="14.25" hidden="1" customHeight="1" x14ac:dyDescent="0.2">
      <c r="A225" s="2"/>
      <c r="B225" s="2"/>
      <c r="C225" s="2"/>
      <c r="D225" s="2"/>
      <c r="E225" s="934" t="str">
        <f>C216</f>
        <v>NETTO</v>
      </c>
      <c r="F225" s="2"/>
      <c r="G225" s="593" t="str">
        <f>CONCATENATE(G220," + ",G221," + ",G222)</f>
        <v>2024 + 2023 + 2022</v>
      </c>
      <c r="H225" s="2"/>
      <c r="I225" s="592" t="str">
        <f t="shared" si="36"/>
        <v>ANNO   2024 + 2023 + 2022</v>
      </c>
      <c r="J225" s="2"/>
      <c r="K225" s="592" t="str">
        <f>CONCATENATE(K220," + ",K221," + 2")</f>
        <v>ANNO IN CORSO + ANNO PRECEDENTE 1 + 2</v>
      </c>
      <c r="L225" s="2"/>
      <c r="M225" s="2"/>
      <c r="N225" s="2"/>
      <c r="O225" s="2"/>
      <c r="P225" s="2"/>
      <c r="Q225" s="2"/>
      <c r="AA225" s="591"/>
      <c r="AB225" s="591"/>
      <c r="AC225" s="591"/>
      <c r="AG225" s="591"/>
      <c r="AS225" s="591"/>
    </row>
    <row r="226" spans="1:45" ht="14.25" hidden="1" customHeight="1" x14ac:dyDescent="0.2">
      <c r="A226" s="2"/>
      <c r="B226" s="2"/>
      <c r="C226" s="2"/>
      <c r="D226" s="2"/>
      <c r="E226" s="934" t="str">
        <f>C217</f>
        <v>IVA</v>
      </c>
      <c r="F226" s="2"/>
      <c r="G226" s="593" t="str">
        <f>CONCATENATE(G220," + ",G221," + ",G222," + ",G223)</f>
        <v>2024 + 2023 + 2022 + 2021</v>
      </c>
      <c r="H226" s="2"/>
      <c r="I226" s="592" t="str">
        <f t="shared" si="36"/>
        <v>ANNO   2024 + 2023 + 2022 + 2021</v>
      </c>
      <c r="J226" s="2"/>
      <c r="K226" s="592" t="str">
        <f>CONCATENATE(K220," + ",K221," + 2 + 3")</f>
        <v>ANNO IN CORSO + ANNO PRECEDENTE 1 + 2 + 3</v>
      </c>
      <c r="L226" s="2"/>
      <c r="M226" s="2"/>
      <c r="N226" s="2"/>
      <c r="O226" s="2"/>
      <c r="P226" s="2"/>
      <c r="Q226" s="2"/>
      <c r="AA226" s="591"/>
      <c r="AB226" s="591"/>
      <c r="AC226" s="591"/>
      <c r="AG226" s="591"/>
      <c r="AS226" s="591"/>
    </row>
    <row r="227" spans="1:45" ht="14.25" hidden="1" customHeight="1" x14ac:dyDescent="0.2">
      <c r="A227" s="2"/>
      <c r="B227" s="2"/>
      <c r="C227" s="2"/>
      <c r="D227" s="2"/>
      <c r="E227" s="2"/>
      <c r="F227" s="2"/>
      <c r="G227" s="593" t="str">
        <f>CONCATENATE(G221," + ",G222)</f>
        <v>2023 + 2022</v>
      </c>
      <c r="H227" s="2"/>
      <c r="I227" s="592" t="str">
        <f t="shared" si="36"/>
        <v>ANNO   2023 + 2022</v>
      </c>
      <c r="J227" s="2"/>
      <c r="K227" s="592" t="str">
        <f>CONCATENATE(K221," + 2")</f>
        <v>ANNO PRECEDENTE 1 + 2</v>
      </c>
      <c r="L227" s="2"/>
      <c r="M227" s="2"/>
      <c r="N227" s="2"/>
      <c r="O227" s="2"/>
      <c r="P227" s="2"/>
      <c r="Q227" s="2"/>
      <c r="AA227" s="591"/>
      <c r="AB227" s="591"/>
      <c r="AC227" s="591"/>
      <c r="AG227" s="591"/>
      <c r="AS227" s="591"/>
    </row>
    <row r="228" spans="1:45" ht="14.25" hidden="1" customHeight="1" x14ac:dyDescent="0.2">
      <c r="A228" s="2"/>
      <c r="B228" s="2"/>
      <c r="C228" s="2"/>
      <c r="D228" s="2"/>
      <c r="E228" s="2"/>
      <c r="F228" s="2"/>
      <c r="G228" s="593" t="str">
        <f>CONCATENATE(G221," + ",G222," + ",G223)</f>
        <v>2023 + 2022 + 2021</v>
      </c>
      <c r="H228" s="2"/>
      <c r="I228" s="592" t="str">
        <f t="shared" si="36"/>
        <v>ANNO   2023 + 2022 + 2021</v>
      </c>
      <c r="J228" s="2"/>
      <c r="K228" s="592" t="str">
        <f>CONCATENATE(K221," + 2 + 3")</f>
        <v>ANNO PRECEDENTE 1 + 2 + 3</v>
      </c>
      <c r="L228" s="2"/>
      <c r="M228" s="2"/>
      <c r="N228" s="2"/>
      <c r="O228" s="2"/>
      <c r="P228" s="2"/>
      <c r="Q228" s="2"/>
      <c r="AA228" s="591"/>
      <c r="AB228" s="591"/>
      <c r="AC228" s="591"/>
      <c r="AG228" s="591"/>
      <c r="AS228" s="591"/>
    </row>
    <row r="229" spans="1:45" ht="14.25" hidden="1" customHeight="1" x14ac:dyDescent="0.2">
      <c r="A229" s="2"/>
      <c r="B229" s="2"/>
      <c r="C229" s="2"/>
      <c r="D229" s="2"/>
      <c r="E229" s="2"/>
      <c r="F229" s="2"/>
      <c r="G229" s="593" t="str">
        <f>CONCATENATE(G222," + ",G223)</f>
        <v>2022 + 2021</v>
      </c>
      <c r="H229" s="2"/>
      <c r="I229" s="592" t="str">
        <f t="shared" si="36"/>
        <v>ANNO   2022 + 2021</v>
      </c>
      <c r="J229" s="2"/>
      <c r="K229" s="592" t="str">
        <f>CONCATENATE(K222," + 3")</f>
        <v>ANNO PRECEDENTE 2 + 3</v>
      </c>
      <c r="L229" s="2"/>
      <c r="M229" s="2"/>
      <c r="N229" s="2"/>
      <c r="O229" s="2"/>
      <c r="P229" s="2"/>
      <c r="Q229" s="2"/>
      <c r="AA229" s="591"/>
      <c r="AB229" s="591"/>
      <c r="AC229" s="591"/>
      <c r="AG229" s="591"/>
      <c r="AS229" s="591"/>
    </row>
    <row r="230" spans="1:45" hidden="1" x14ac:dyDescent="0.2">
      <c r="A230" s="2"/>
      <c r="B230" s="2"/>
      <c r="C230" s="2"/>
      <c r="D230" s="2"/>
      <c r="E230" s="2"/>
      <c r="F230" s="2"/>
      <c r="G230" s="2"/>
      <c r="H230" s="2"/>
      <c r="I230" s="2"/>
      <c r="J230" s="2"/>
      <c r="K230" s="2"/>
      <c r="L230" s="2"/>
      <c r="M230" s="2"/>
      <c r="N230" s="2"/>
      <c r="O230" s="2"/>
      <c r="P230" s="2"/>
      <c r="Q230" s="2"/>
      <c r="AA230" s="591"/>
      <c r="AB230" s="591"/>
      <c r="AC230" s="591"/>
      <c r="AG230" s="591"/>
      <c r="AS230" s="591"/>
    </row>
    <row r="231" spans="1:45" x14ac:dyDescent="0.2">
      <c r="A231" s="2"/>
      <c r="B231" s="2"/>
      <c r="C231" s="2"/>
      <c r="D231" s="2"/>
      <c r="E231" s="2"/>
      <c r="F231" s="2"/>
      <c r="G231" s="1433" t="s">
        <v>572</v>
      </c>
      <c r="H231" s="1434" t="s">
        <v>869</v>
      </c>
      <c r="I231" s="2"/>
      <c r="J231" s="2"/>
      <c r="K231" s="2"/>
      <c r="L231" s="1433" t="s">
        <v>572</v>
      </c>
      <c r="M231" s="1434" t="s">
        <v>870</v>
      </c>
      <c r="N231" s="2"/>
      <c r="O231" s="2"/>
      <c r="P231" s="2"/>
      <c r="Q231" s="2"/>
      <c r="AA231" s="591"/>
      <c r="AB231" s="591"/>
      <c r="AC231" s="591"/>
      <c r="AG231" s="591"/>
      <c r="AS231" s="591"/>
    </row>
  </sheetData>
  <sheetProtection algorithmName="SHA-512" hashValue="T19pHC6Z5ZVqgsTAPULbALw0j9t23CfhABXRL/JWbNRnURaDf/8zaLYffFZkiQJksMa0/EuvyXCiHFAIiGPT9Q==" saltValue="1Hy8CFfBiJEYPQgWixia0w==" spinCount="100000" sheet="1" objects="1" scenarios="1" selectLockedCells="1"/>
  <mergeCells count="242">
    <mergeCell ref="I205:J205"/>
    <mergeCell ref="I206:J206"/>
    <mergeCell ref="I200:J200"/>
    <mergeCell ref="I201:J201"/>
    <mergeCell ref="I202:J202"/>
    <mergeCell ref="C3:D3"/>
    <mergeCell ref="E3:G3"/>
    <mergeCell ref="I187:J187"/>
    <mergeCell ref="I188:J188"/>
    <mergeCell ref="I189:J189"/>
    <mergeCell ref="I182:J182"/>
    <mergeCell ref="I183:J183"/>
    <mergeCell ref="I166:J166"/>
    <mergeCell ref="I167:J167"/>
    <mergeCell ref="I118:J118"/>
    <mergeCell ref="I119:J119"/>
    <mergeCell ref="I203:J203"/>
    <mergeCell ref="I204:J204"/>
    <mergeCell ref="I199:J199"/>
    <mergeCell ref="I190:J190"/>
    <mergeCell ref="I191:J191"/>
    <mergeCell ref="I192:J192"/>
    <mergeCell ref="I193:J193"/>
    <mergeCell ref="I196:J196"/>
    <mergeCell ref="C2:I2"/>
    <mergeCell ref="J2:P2"/>
    <mergeCell ref="M3:P3"/>
    <mergeCell ref="H3:L3"/>
    <mergeCell ref="K160:L160"/>
    <mergeCell ref="K156:L156"/>
    <mergeCell ref="K158:L158"/>
    <mergeCell ref="K157:L157"/>
    <mergeCell ref="AN6:AQ6"/>
    <mergeCell ref="C58:F58"/>
    <mergeCell ref="C46:D46"/>
    <mergeCell ref="C57:F57"/>
    <mergeCell ref="C45:F45"/>
    <mergeCell ref="C55:E55"/>
    <mergeCell ref="C52:E52"/>
    <mergeCell ref="C50:E50"/>
    <mergeCell ref="E47:F47"/>
    <mergeCell ref="C48:D48"/>
    <mergeCell ref="E48:F48"/>
    <mergeCell ref="C103:F103"/>
    <mergeCell ref="O97:P97"/>
    <mergeCell ref="E93:F93"/>
    <mergeCell ref="O103:P103"/>
    <mergeCell ref="C94:F94"/>
    <mergeCell ref="I197:J197"/>
    <mergeCell ref="I198:J198"/>
    <mergeCell ref="I186:J186"/>
    <mergeCell ref="I176:J176"/>
    <mergeCell ref="I177:J177"/>
    <mergeCell ref="I184:J184"/>
    <mergeCell ref="I185:J185"/>
    <mergeCell ref="I178:J178"/>
    <mergeCell ref="I179:J179"/>
    <mergeCell ref="I180:J180"/>
    <mergeCell ref="I181:J181"/>
    <mergeCell ref="I170:J170"/>
    <mergeCell ref="I171:J171"/>
    <mergeCell ref="I172:J172"/>
    <mergeCell ref="I173:J173"/>
    <mergeCell ref="I174:J174"/>
    <mergeCell ref="I175:J175"/>
    <mergeCell ref="M168:N168"/>
    <mergeCell ref="I122:J122"/>
    <mergeCell ref="K159:L159"/>
    <mergeCell ref="I169:J169"/>
    <mergeCell ref="I168:J168"/>
    <mergeCell ref="K147:L147"/>
    <mergeCell ref="K148:L148"/>
    <mergeCell ref="K149:L149"/>
    <mergeCell ref="B162:D162"/>
    <mergeCell ref="C217:D217"/>
    <mergeCell ref="E217:F217"/>
    <mergeCell ref="C215:D215"/>
    <mergeCell ref="E215:F215"/>
    <mergeCell ref="C216:D216"/>
    <mergeCell ref="E216:F216"/>
    <mergeCell ref="C167:D167"/>
    <mergeCell ref="C182:F182"/>
    <mergeCell ref="E193:F193"/>
    <mergeCell ref="C170:D170"/>
    <mergeCell ref="C183:D183"/>
    <mergeCell ref="C168:F168"/>
    <mergeCell ref="B163:D163"/>
    <mergeCell ref="E167:F167"/>
    <mergeCell ref="C180:D180"/>
    <mergeCell ref="E180:F180"/>
    <mergeCell ref="C169:F169"/>
    <mergeCell ref="C206:D206"/>
    <mergeCell ref="E206:F206"/>
    <mergeCell ref="C193:D193"/>
    <mergeCell ref="I207:K207"/>
    <mergeCell ref="I195:J195"/>
    <mergeCell ref="I194:J194"/>
    <mergeCell ref="K146:L146"/>
    <mergeCell ref="C126:M126"/>
    <mergeCell ref="I114:J114"/>
    <mergeCell ref="I115:J115"/>
    <mergeCell ref="K145:L145"/>
    <mergeCell ref="L108:M108"/>
    <mergeCell ref="L109:M109"/>
    <mergeCell ref="I116:J116"/>
    <mergeCell ref="I117:J117"/>
    <mergeCell ref="I120:J120"/>
    <mergeCell ref="I121:J121"/>
    <mergeCell ref="K144:L144"/>
    <mergeCell ref="C171:D172"/>
    <mergeCell ref="E171:E172"/>
    <mergeCell ref="C207:H207"/>
    <mergeCell ref="C197:D198"/>
    <mergeCell ref="E197:E198"/>
    <mergeCell ref="C184:D185"/>
    <mergeCell ref="E184:E185"/>
    <mergeCell ref="C196:D196"/>
    <mergeCell ref="C195:H195"/>
    <mergeCell ref="C101:F101"/>
    <mergeCell ref="C98:F98"/>
    <mergeCell ref="O102:P102"/>
    <mergeCell ref="E96:F96"/>
    <mergeCell ref="O98:P98"/>
    <mergeCell ref="O96:P96"/>
    <mergeCell ref="O101:P101"/>
    <mergeCell ref="C95:F95"/>
    <mergeCell ref="O93:P93"/>
    <mergeCell ref="C96:D96"/>
    <mergeCell ref="C97:F97"/>
    <mergeCell ref="C93:D93"/>
    <mergeCell ref="C102:F102"/>
    <mergeCell ref="L4:M5"/>
    <mergeCell ref="E7:F7"/>
    <mergeCell ref="I4:J5"/>
    <mergeCell ref="O4:P5"/>
    <mergeCell ref="E6:F6"/>
    <mergeCell ref="E4:F5"/>
    <mergeCell ref="G53:G54"/>
    <mergeCell ref="E20:F20"/>
    <mergeCell ref="E18:F18"/>
    <mergeCell ref="E24:F24"/>
    <mergeCell ref="E23:F23"/>
    <mergeCell ref="E22:F22"/>
    <mergeCell ref="C53:E53"/>
    <mergeCell ref="C39:D39"/>
    <mergeCell ref="E46:F46"/>
    <mergeCell ref="C51:E51"/>
    <mergeCell ref="C4:D5"/>
    <mergeCell ref="C7:D7"/>
    <mergeCell ref="E8:F8"/>
    <mergeCell ref="E25:F25"/>
    <mergeCell ref="E19:F19"/>
    <mergeCell ref="C6:D6"/>
    <mergeCell ref="E37:F37"/>
    <mergeCell ref="E39:F39"/>
    <mergeCell ref="E9:F9"/>
    <mergeCell ref="E10:F10"/>
    <mergeCell ref="C44:F44"/>
    <mergeCell ref="E43:F43"/>
    <mergeCell ref="E13:F13"/>
    <mergeCell ref="E14:F14"/>
    <mergeCell ref="C43:D43"/>
    <mergeCell ref="E38:F38"/>
    <mergeCell ref="E36:F36"/>
    <mergeCell ref="E17:F17"/>
    <mergeCell ref="E15:F15"/>
    <mergeCell ref="E16:F16"/>
    <mergeCell ref="E11:F11"/>
    <mergeCell ref="E12:F12"/>
    <mergeCell ref="E26:F26"/>
    <mergeCell ref="E21:F21"/>
    <mergeCell ref="E28:F28"/>
    <mergeCell ref="E27:F27"/>
    <mergeCell ref="E29:F29"/>
    <mergeCell ref="E30:F30"/>
    <mergeCell ref="E35:F35"/>
    <mergeCell ref="E31:F31"/>
    <mergeCell ref="E33:F33"/>
    <mergeCell ref="E34:F34"/>
    <mergeCell ref="C104:F104"/>
    <mergeCell ref="C100:F100"/>
    <mergeCell ref="C91:P91"/>
    <mergeCell ref="I67:J67"/>
    <mergeCell ref="I68:J68"/>
    <mergeCell ref="L68:M68"/>
    <mergeCell ref="I70:J70"/>
    <mergeCell ref="L70:M70"/>
    <mergeCell ref="I71:J71"/>
    <mergeCell ref="L71:M71"/>
    <mergeCell ref="I77:J77"/>
    <mergeCell ref="L77:M77"/>
    <mergeCell ref="I78:J78"/>
    <mergeCell ref="L78:M78"/>
    <mergeCell ref="L72:M72"/>
    <mergeCell ref="I89:J89"/>
    <mergeCell ref="I85:J85"/>
    <mergeCell ref="I86:J86"/>
    <mergeCell ref="L86:M86"/>
    <mergeCell ref="I87:J87"/>
    <mergeCell ref="L87:M87"/>
    <mergeCell ref="I79:J79"/>
    <mergeCell ref="I88:J88"/>
    <mergeCell ref="I81:J81"/>
    <mergeCell ref="E32:F32"/>
    <mergeCell ref="I76:J76"/>
    <mergeCell ref="I72:J72"/>
    <mergeCell ref="I73:J73"/>
    <mergeCell ref="I74:K74"/>
    <mergeCell ref="I69:J69"/>
    <mergeCell ref="K53:K54"/>
    <mergeCell ref="I53:J54"/>
    <mergeCell ref="I55:J55"/>
    <mergeCell ref="I56:J56"/>
    <mergeCell ref="C59:E59"/>
    <mergeCell ref="C56:D56"/>
    <mergeCell ref="I52:J52"/>
    <mergeCell ref="H53:H54"/>
    <mergeCell ref="C54:E54"/>
    <mergeCell ref="C47:D47"/>
    <mergeCell ref="I44:J44"/>
    <mergeCell ref="I82:J82"/>
    <mergeCell ref="I83:J83"/>
    <mergeCell ref="I84:J84"/>
    <mergeCell ref="M166:N166"/>
    <mergeCell ref="T65:T66"/>
    <mergeCell ref="AS7:AW7"/>
    <mergeCell ref="AB7:AE7"/>
    <mergeCell ref="AG7:AK7"/>
    <mergeCell ref="P58:Q58"/>
    <mergeCell ref="L55:M55"/>
    <mergeCell ref="L56:M56"/>
    <mergeCell ref="O44:P44"/>
    <mergeCell ref="O56:P56"/>
    <mergeCell ref="L69:M69"/>
    <mergeCell ref="L52:M52"/>
    <mergeCell ref="L53:M54"/>
    <mergeCell ref="O57:P57"/>
    <mergeCell ref="L44:M44"/>
    <mergeCell ref="I51:J51"/>
    <mergeCell ref="L51:M51"/>
    <mergeCell ref="G50:M50"/>
    <mergeCell ref="O104:P104"/>
  </mergeCells>
  <phoneticPr fontId="24" type="noConversion"/>
  <conditionalFormatting sqref="C57 G57">
    <cfRule type="expression" dxfId="3837" priority="1" stopIfTrue="1">
      <formula>C58=0</formula>
    </cfRule>
  </conditionalFormatting>
  <conditionalFormatting sqref="F121:F122">
    <cfRule type="expression" dxfId="3836" priority="2" stopIfTrue="1">
      <formula>SUM($G121:$I121)=0</formula>
    </cfRule>
  </conditionalFormatting>
  <conditionalFormatting sqref="G184:H192 K197:K205 K184:K192 K171:K179 G171:H179 G197:H205">
    <cfRule type="cellIs" dxfId="3835" priority="3" stopIfTrue="1" operator="equal">
      <formula>0</formula>
    </cfRule>
    <cfRule type="expression" dxfId="3834" priority="4" stopIfTrue="1">
      <formula>AND(G171=1,G170=0)</formula>
    </cfRule>
  </conditionalFormatting>
  <conditionalFormatting sqref="I171:J179 I184:J192 I197:J205">
    <cfRule type="cellIs" dxfId="3833" priority="5" stopIfTrue="1" operator="equal">
      <formula>0</formula>
    </cfRule>
    <cfRule type="expression" dxfId="3832" priority="6" stopIfTrue="1">
      <formula>AND($I171=1,$I170=0)</formula>
    </cfRule>
  </conditionalFormatting>
  <conditionalFormatting sqref="I93">
    <cfRule type="expression" dxfId="3831" priority="7" stopIfTrue="1">
      <formula>AND(I$155="X",I$93&lt;&gt;"")</formula>
    </cfRule>
  </conditionalFormatting>
  <conditionalFormatting sqref="I97">
    <cfRule type="expression" dxfId="3830" priority="8" stopIfTrue="1">
      <formula>AND(I$152=0,I$97&lt;&gt;0)</formula>
    </cfRule>
    <cfRule type="expression" dxfId="3829" priority="9" stopIfTrue="1">
      <formula>I$152=0</formula>
    </cfRule>
  </conditionalFormatting>
  <conditionalFormatting sqref="G98:I98">
    <cfRule type="expression" dxfId="3828" priority="10" stopIfTrue="1">
      <formula>AND(G$152=0,G$98&lt;&gt;0)</formula>
    </cfRule>
    <cfRule type="expression" dxfId="3827" priority="11" stopIfTrue="1">
      <formula>G$152=0</formula>
    </cfRule>
  </conditionalFormatting>
  <conditionalFormatting sqref="J93">
    <cfRule type="expression" dxfId="3826" priority="12" stopIfTrue="1">
      <formula>AND(I$155="X",J$93&lt;&gt;"")</formula>
    </cfRule>
  </conditionalFormatting>
  <conditionalFormatting sqref="J97">
    <cfRule type="expression" dxfId="3825" priority="13" stopIfTrue="1">
      <formula>AND(I$152=0,J$97&lt;&gt;0)</formula>
    </cfRule>
    <cfRule type="expression" dxfId="3824" priority="14" stopIfTrue="1">
      <formula>I$152=0</formula>
    </cfRule>
  </conditionalFormatting>
  <conditionalFormatting sqref="J98">
    <cfRule type="expression" dxfId="3823" priority="15" stopIfTrue="1">
      <formula>AND(I$152=0,J$98&lt;&gt;0)</formula>
    </cfRule>
    <cfRule type="expression" dxfId="3822" priority="16" stopIfTrue="1">
      <formula>I$152=0</formula>
    </cfRule>
  </conditionalFormatting>
  <conditionalFormatting sqref="G101:I101">
    <cfRule type="expression" dxfId="3821" priority="17" stopIfTrue="1">
      <formula>AND(G$152=0,G$101&lt;&gt;0)</formula>
    </cfRule>
    <cfRule type="expression" dxfId="3820" priority="18" stopIfTrue="1">
      <formula>AND($C101="ERROR",G101&gt;0)</formula>
    </cfRule>
    <cfRule type="expression" dxfId="3819" priority="19" stopIfTrue="1">
      <formula>G$152=0</formula>
    </cfRule>
  </conditionalFormatting>
  <conditionalFormatting sqref="G102:I102">
    <cfRule type="expression" dxfId="3818" priority="20" stopIfTrue="1">
      <formula>AND(G$152=0,G$102&lt;&gt;0)</formula>
    </cfRule>
    <cfRule type="expression" dxfId="3817" priority="21" stopIfTrue="1">
      <formula>AND($C102="ERROR",G102&gt;0)</formula>
    </cfRule>
    <cfRule type="expression" dxfId="3816" priority="22" stopIfTrue="1">
      <formula>G$152=0</formula>
    </cfRule>
  </conditionalFormatting>
  <conditionalFormatting sqref="G103:I103">
    <cfRule type="expression" dxfId="3815" priority="23" stopIfTrue="1">
      <formula>AND(G$152=0,G$103&lt;&gt;0)</formula>
    </cfRule>
    <cfRule type="expression" dxfId="3814" priority="24" stopIfTrue="1">
      <formula>AND($C103="ERROR",G103&gt;0)</formula>
    </cfRule>
    <cfRule type="expression" dxfId="3813" priority="25" stopIfTrue="1">
      <formula>G$152=0</formula>
    </cfRule>
  </conditionalFormatting>
  <conditionalFormatting sqref="G104:I104">
    <cfRule type="expression" dxfId="3812" priority="26" stopIfTrue="1">
      <formula>AND(G$152=0,G$104&lt;&gt;0)</formula>
    </cfRule>
    <cfRule type="expression" dxfId="3811" priority="27" stopIfTrue="1">
      <formula>AND($C104="ERROR",G104&gt;0)</formula>
    </cfRule>
    <cfRule type="expression" dxfId="3810" priority="28" stopIfTrue="1">
      <formula>G$152=0</formula>
    </cfRule>
  </conditionalFormatting>
  <conditionalFormatting sqref="J101">
    <cfRule type="expression" dxfId="3809" priority="29" stopIfTrue="1">
      <formula>AND(I$152=0,J$101&lt;&gt;0)</formula>
    </cfRule>
    <cfRule type="expression" dxfId="3808" priority="30" stopIfTrue="1">
      <formula>AND($C101="ERROR",J101&gt;0)</formula>
    </cfRule>
    <cfRule type="expression" dxfId="3807" priority="31" stopIfTrue="1">
      <formula>I$152=0</formula>
    </cfRule>
  </conditionalFormatting>
  <conditionalFormatting sqref="J102">
    <cfRule type="expression" dxfId="3806" priority="32" stopIfTrue="1">
      <formula>AND(I$152=0,J$102&lt;&gt;0)</formula>
    </cfRule>
    <cfRule type="expression" dxfId="3805" priority="33" stopIfTrue="1">
      <formula>AND($C102="ERROR",J102&gt;0)</formula>
    </cfRule>
    <cfRule type="expression" dxfId="3804" priority="34" stopIfTrue="1">
      <formula>I$152=0</formula>
    </cfRule>
  </conditionalFormatting>
  <conditionalFormatting sqref="J103">
    <cfRule type="expression" dxfId="3803" priority="35" stopIfTrue="1">
      <formula>AND(I$152=0,J$103&lt;&gt;0)</formula>
    </cfRule>
    <cfRule type="expression" dxfId="3802" priority="36" stopIfTrue="1">
      <formula>AND($C103="ERROR",J103&gt;0)</formula>
    </cfRule>
    <cfRule type="expression" dxfId="3801" priority="37" stopIfTrue="1">
      <formula>I$152=0</formula>
    </cfRule>
  </conditionalFormatting>
  <conditionalFormatting sqref="J104">
    <cfRule type="expression" dxfId="3800" priority="38" stopIfTrue="1">
      <formula>AND(I$152=0,J$104&lt;&gt;0)</formula>
    </cfRule>
    <cfRule type="expression" dxfId="3799" priority="39" stopIfTrue="1">
      <formula>AND($C104="ERROR",J104&gt;0)</formula>
    </cfRule>
    <cfRule type="expression" dxfId="3798" priority="40" stopIfTrue="1">
      <formula>I$152=0</formula>
    </cfRule>
  </conditionalFormatting>
  <conditionalFormatting sqref="O101:P104">
    <cfRule type="expression" dxfId="3797" priority="41" stopIfTrue="1">
      <formula>SUM($G$152:$J$152)=0</formula>
    </cfRule>
    <cfRule type="expression" dxfId="3796" priority="42" stopIfTrue="1">
      <formula>$B101=""</formula>
    </cfRule>
  </conditionalFormatting>
  <conditionalFormatting sqref="E8:F38">
    <cfRule type="expression" dxfId="3795" priority="43" stopIfTrue="1">
      <formula>$AA8=$Y$6</formula>
    </cfRule>
    <cfRule type="expression" dxfId="3794" priority="44" stopIfTrue="1">
      <formula>AND($AA8=0,$E8=0)</formula>
    </cfRule>
    <cfRule type="expression" dxfId="3793" priority="45" stopIfTrue="1">
      <formula>$AA8=0</formula>
    </cfRule>
  </conditionalFormatting>
  <conditionalFormatting sqref="I6 L6 O6">
    <cfRule type="expression" dxfId="3792" priority="46" stopIfTrue="1">
      <formula>I6=""</formula>
    </cfRule>
    <cfRule type="expression" dxfId="3791" priority="47" stopIfTrue="1">
      <formula>OR(I4=0,I4=$K$130)</formula>
    </cfRule>
    <cfRule type="expression" dxfId="3790" priority="48" stopIfTrue="1">
      <formula>I4&lt;&gt;$K$130</formula>
    </cfRule>
  </conditionalFormatting>
  <conditionalFormatting sqref="J6 M6 P6">
    <cfRule type="expression" dxfId="3789" priority="49" stopIfTrue="1">
      <formula>J6=""</formula>
    </cfRule>
    <cfRule type="expression" dxfId="3788" priority="50" stopIfTrue="1">
      <formula>OR(I4=0,I4=$K$130)</formula>
    </cfRule>
    <cfRule type="expression" dxfId="3787" priority="51" stopIfTrue="1">
      <formula>I4&lt;&gt;$K$130</formula>
    </cfRule>
  </conditionalFormatting>
  <conditionalFormatting sqref="I53">
    <cfRule type="expression" dxfId="3786" priority="52" stopIfTrue="1">
      <formula>ISERROR($G$155)</formula>
    </cfRule>
    <cfRule type="expression" dxfId="3785" priority="53" stopIfTrue="1">
      <formula>ISERROR($I53)</formula>
    </cfRule>
  </conditionalFormatting>
  <conditionalFormatting sqref="G39:H39">
    <cfRule type="expression" dxfId="3784" priority="54" stopIfTrue="1">
      <formula>ISERROR($G$155)</formula>
    </cfRule>
    <cfRule type="expression" dxfId="3783" priority="55" stopIfTrue="1">
      <formula>OR($I$163=0,G$4="")</formula>
    </cfRule>
    <cfRule type="expression" dxfId="3782" priority="56" stopIfTrue="1">
      <formula>OR(G$4="",ISERROR(G$155))</formula>
    </cfRule>
  </conditionalFormatting>
  <conditionalFormatting sqref="G97:H97">
    <cfRule type="expression" dxfId="3781" priority="57" stopIfTrue="1">
      <formula>AND(G$152=0,G$97&lt;&gt;0)</formula>
    </cfRule>
    <cfRule type="expression" dxfId="3780" priority="58" stopIfTrue="1">
      <formula>G$152=0</formula>
    </cfRule>
    <cfRule type="expression" dxfId="3779" priority="59" stopIfTrue="1">
      <formula>AND(G$96&lt;&gt;0,G$97="")</formula>
    </cfRule>
  </conditionalFormatting>
  <conditionalFormatting sqref="C101:F104">
    <cfRule type="cellIs" dxfId="3778" priority="60" stopIfTrue="1" operator="equal">
      <formula>"ERROR"</formula>
    </cfRule>
    <cfRule type="expression" dxfId="3777" priority="61" stopIfTrue="1">
      <formula>ISBLANK($B101)</formula>
    </cfRule>
    <cfRule type="expression" dxfId="3776" priority="62" stopIfTrue="1">
      <formula>SUM($G$152:$J$152)=0</formula>
    </cfRule>
  </conditionalFormatting>
  <conditionalFormatting sqref="K73">
    <cfRule type="expression" dxfId="3775" priority="63" stopIfTrue="1">
      <formula>ISERROR(K73)</formula>
    </cfRule>
    <cfRule type="expression" dxfId="3774" priority="64" stopIfTrue="1">
      <formula>I73=0</formula>
    </cfRule>
    <cfRule type="expression" dxfId="3773" priority="65" stopIfTrue="1">
      <formula>$C$61=0</formula>
    </cfRule>
  </conditionalFormatting>
  <conditionalFormatting sqref="G70:G71">
    <cfRule type="expression" dxfId="3772" priority="66" stopIfTrue="1">
      <formula>$C$61=0</formula>
    </cfRule>
    <cfRule type="expression" dxfId="3771" priority="67" stopIfTrue="1">
      <formula>SUM($G$69:$G$72)=0</formula>
    </cfRule>
    <cfRule type="expression" dxfId="3770" priority="68" stopIfTrue="1">
      <formula>AND(G70&lt;&gt;0,ISERROR(H70))</formula>
    </cfRule>
  </conditionalFormatting>
  <conditionalFormatting sqref="G72">
    <cfRule type="expression" dxfId="3769" priority="69" stopIfTrue="1">
      <formula>$C$61=0</formula>
    </cfRule>
    <cfRule type="expression" dxfId="3768" priority="70" stopIfTrue="1">
      <formula>SUM($G$69:$G$72)=0</formula>
    </cfRule>
    <cfRule type="expression" dxfId="3767" priority="71" stopIfTrue="1">
      <formula>AND(G72&lt;&gt;0,ISERROR(H72))</formula>
    </cfRule>
  </conditionalFormatting>
  <conditionalFormatting sqref="G69">
    <cfRule type="expression" dxfId="3766" priority="72" stopIfTrue="1">
      <formula>$C$61=0</formula>
    </cfRule>
    <cfRule type="expression" dxfId="3765" priority="73" stopIfTrue="1">
      <formula>SUM($G$69:$G$72)=0</formula>
    </cfRule>
    <cfRule type="expression" dxfId="3764" priority="74" stopIfTrue="1">
      <formula>AND(G69&lt;&gt;0,ISERROR(H69))</formula>
    </cfRule>
  </conditionalFormatting>
  <conditionalFormatting sqref="I74">
    <cfRule type="expression" dxfId="3763" priority="75" stopIfTrue="1">
      <formula>$C$61=0</formula>
    </cfRule>
    <cfRule type="expression" dxfId="3762" priority="76" stopIfTrue="1">
      <formula>I73=0</formula>
    </cfRule>
  </conditionalFormatting>
  <conditionalFormatting sqref="G89:K89">
    <cfRule type="cellIs" dxfId="3761" priority="77" stopIfTrue="1" operator="equal">
      <formula>0</formula>
    </cfRule>
    <cfRule type="expression" dxfId="3760" priority="78" stopIfTrue="1">
      <formula>G$88=0</formula>
    </cfRule>
  </conditionalFormatting>
  <conditionalFormatting sqref="I77:J78">
    <cfRule type="expression" dxfId="3759" priority="79" stopIfTrue="1">
      <formula>$C$61=0</formula>
    </cfRule>
    <cfRule type="expression" dxfId="3758" priority="80" stopIfTrue="1">
      <formula>ISERROR($I77)</formula>
    </cfRule>
    <cfRule type="cellIs" dxfId="3757" priority="81" stopIfTrue="1" operator="equal">
      <formula>0</formula>
    </cfRule>
  </conditionalFormatting>
  <conditionalFormatting sqref="I79:J79">
    <cfRule type="expression" dxfId="3756" priority="82" stopIfTrue="1">
      <formula>ISERROR($I79)</formula>
    </cfRule>
    <cfRule type="expression" dxfId="3755" priority="83" stopIfTrue="1">
      <formula>$C$61=0</formula>
    </cfRule>
    <cfRule type="cellIs" dxfId="3754" priority="84" stopIfTrue="1" operator="equal">
      <formula>0</formula>
    </cfRule>
  </conditionalFormatting>
  <conditionalFormatting sqref="L77:M78">
    <cfRule type="expression" dxfId="3753" priority="85" stopIfTrue="1">
      <formula>ISERROR($L77)</formula>
    </cfRule>
    <cfRule type="expression" dxfId="3752" priority="86" stopIfTrue="1">
      <formula>$C$61=0</formula>
    </cfRule>
  </conditionalFormatting>
  <conditionalFormatting sqref="G93:H93">
    <cfRule type="expression" dxfId="3751" priority="87" stopIfTrue="1">
      <formula>AND(G$155="X",G$93&lt;&gt;"")</formula>
    </cfRule>
  </conditionalFormatting>
  <conditionalFormatting sqref="G81:K81">
    <cfRule type="expression" dxfId="3750" priority="88" stopIfTrue="1">
      <formula>$C$61=0</formula>
    </cfRule>
    <cfRule type="expression" dxfId="3749" priority="89" stopIfTrue="1">
      <formula>G$89&lt;&gt;0</formula>
    </cfRule>
  </conditionalFormatting>
  <conditionalFormatting sqref="I88:J88">
    <cfRule type="expression" dxfId="3748" priority="90" stopIfTrue="1">
      <formula>ISERROR($I88)</formula>
    </cfRule>
    <cfRule type="cellIs" dxfId="3747" priority="91" stopIfTrue="1" operator="equal">
      <formula>0</formula>
    </cfRule>
    <cfRule type="expression" dxfId="3746" priority="92" stopIfTrue="1">
      <formula>$C$61=0</formula>
    </cfRule>
  </conditionalFormatting>
  <conditionalFormatting sqref="H69:H72">
    <cfRule type="expression" dxfId="3745" priority="93" stopIfTrue="1">
      <formula>ISERROR(H69)</formula>
    </cfRule>
    <cfRule type="expression" dxfId="3744" priority="94" stopIfTrue="1">
      <formula>$C$61=0</formula>
    </cfRule>
    <cfRule type="expression" dxfId="3743" priority="95" stopIfTrue="1">
      <formula>$H69=$E$163</formula>
    </cfRule>
  </conditionalFormatting>
  <conditionalFormatting sqref="G76:H76 K76">
    <cfRule type="expression" dxfId="3742" priority="96" stopIfTrue="1">
      <formula>ISERROR(G76)</formula>
    </cfRule>
    <cfRule type="expression" dxfId="3741" priority="97" stopIfTrue="1">
      <formula>$C$61=0</formula>
    </cfRule>
    <cfRule type="expression" dxfId="3740" priority="98" stopIfTrue="1">
      <formula>G$76=$E$163</formula>
    </cfRule>
  </conditionalFormatting>
  <conditionalFormatting sqref="I76:J76">
    <cfRule type="expression" dxfId="3739" priority="99" stopIfTrue="1">
      <formula>ISERROR($I76)</formula>
    </cfRule>
    <cfRule type="expression" dxfId="3738" priority="100" stopIfTrue="1">
      <formula>$C$61=0</formula>
    </cfRule>
    <cfRule type="expression" dxfId="3737" priority="101" stopIfTrue="1">
      <formula>$I76=$E$163</formula>
    </cfRule>
  </conditionalFormatting>
  <conditionalFormatting sqref="K69:K72">
    <cfRule type="expression" dxfId="3736" priority="102" stopIfTrue="1">
      <formula>OR(ISERROR(H69),ISERROR(K69))</formula>
    </cfRule>
    <cfRule type="expression" dxfId="3735" priority="103" stopIfTrue="1">
      <formula>AND($I69=0,$C$61&lt;&gt;0,$G69=0)</formula>
    </cfRule>
    <cfRule type="expression" dxfId="3734" priority="104" stopIfTrue="1">
      <formula>$C$61=0</formula>
    </cfRule>
  </conditionalFormatting>
  <conditionalFormatting sqref="L93">
    <cfRule type="expression" dxfId="3733" priority="105" stopIfTrue="1">
      <formula>AND(J$155="X",L$93&lt;&gt;"")</formula>
    </cfRule>
  </conditionalFormatting>
  <conditionalFormatting sqref="L97">
    <cfRule type="expression" dxfId="3732" priority="106" stopIfTrue="1">
      <formula>AND(J$152=0,L$97&lt;&gt;0)</formula>
    </cfRule>
    <cfRule type="expression" dxfId="3731" priority="107" stopIfTrue="1">
      <formula>J$152=0</formula>
    </cfRule>
  </conditionalFormatting>
  <conditionalFormatting sqref="K98:L98">
    <cfRule type="expression" dxfId="3730" priority="108" stopIfTrue="1">
      <formula>AND(I$152=0,K$98&lt;&gt;0)</formula>
    </cfRule>
    <cfRule type="expression" dxfId="3729" priority="109" stopIfTrue="1">
      <formula>I$152=0</formula>
    </cfRule>
  </conditionalFormatting>
  <conditionalFormatting sqref="N98">
    <cfRule type="expression" dxfId="3728" priority="110" stopIfTrue="1">
      <formula>AND(J$152=0,N$98&lt;&gt;0)</formula>
    </cfRule>
    <cfRule type="expression" dxfId="3727" priority="111" stopIfTrue="1">
      <formula>J$152=0</formula>
    </cfRule>
  </conditionalFormatting>
  <conditionalFormatting sqref="M93">
    <cfRule type="expression" dxfId="3726" priority="112" stopIfTrue="1">
      <formula>AND(J$155="X",M$93&lt;&gt;"")</formula>
    </cfRule>
  </conditionalFormatting>
  <conditionalFormatting sqref="M97">
    <cfRule type="expression" dxfId="3725" priority="113" stopIfTrue="1">
      <formula>AND(J$152=0,M$97&lt;&gt;0)</formula>
    </cfRule>
    <cfRule type="expression" dxfId="3724" priority="114" stopIfTrue="1">
      <formula>J$152=0</formula>
    </cfRule>
  </conditionalFormatting>
  <conditionalFormatting sqref="M98">
    <cfRule type="expression" dxfId="3723" priority="115" stopIfTrue="1">
      <formula>AND(J$152=0,M$98&lt;&gt;0)</formula>
    </cfRule>
    <cfRule type="expression" dxfId="3722" priority="116" stopIfTrue="1">
      <formula>J$152=0</formula>
    </cfRule>
  </conditionalFormatting>
  <conditionalFormatting sqref="K101:L101">
    <cfRule type="expression" dxfId="3721" priority="117" stopIfTrue="1">
      <formula>AND(I$152=0,K$101&lt;&gt;0)</formula>
    </cfRule>
    <cfRule type="expression" dxfId="3720" priority="118" stopIfTrue="1">
      <formula>AND($C101="ERROR",K101&gt;0)</formula>
    </cfRule>
    <cfRule type="expression" dxfId="3719" priority="119" stopIfTrue="1">
      <formula>I$152=0</formula>
    </cfRule>
  </conditionalFormatting>
  <conditionalFormatting sqref="K102:L102">
    <cfRule type="expression" dxfId="3718" priority="120" stopIfTrue="1">
      <formula>AND(I$152=0,K$102&lt;&gt;0)</formula>
    </cfRule>
    <cfRule type="expression" dxfId="3717" priority="121" stopIfTrue="1">
      <formula>AND($C102="ERROR",K102&gt;0)</formula>
    </cfRule>
    <cfRule type="expression" dxfId="3716" priority="122" stopIfTrue="1">
      <formula>I$152=0</formula>
    </cfRule>
  </conditionalFormatting>
  <conditionalFormatting sqref="K103:L103">
    <cfRule type="expression" dxfId="3715" priority="123" stopIfTrue="1">
      <formula>AND(I$152=0,K$103&lt;&gt;0)</formula>
    </cfRule>
    <cfRule type="expression" dxfId="3714" priority="124" stopIfTrue="1">
      <formula>AND($C103="ERROR",K103&gt;0)</formula>
    </cfRule>
    <cfRule type="expression" dxfId="3713" priority="125" stopIfTrue="1">
      <formula>I$152=0</formula>
    </cfRule>
  </conditionalFormatting>
  <conditionalFormatting sqref="K104:L104">
    <cfRule type="expression" dxfId="3712" priority="126" stopIfTrue="1">
      <formula>AND(I$152=0,K$104&lt;&gt;0)</formula>
    </cfRule>
    <cfRule type="expression" dxfId="3711" priority="127" stopIfTrue="1">
      <formula>AND($C104="ERROR",K104&gt;0)</formula>
    </cfRule>
    <cfRule type="expression" dxfId="3710" priority="128" stopIfTrue="1">
      <formula>I$152=0</formula>
    </cfRule>
  </conditionalFormatting>
  <conditionalFormatting sqref="N101">
    <cfRule type="expression" dxfId="3709" priority="129" stopIfTrue="1">
      <formula>AND(J$152=0,N$101&lt;&gt;0)</formula>
    </cfRule>
    <cfRule type="expression" dxfId="3708" priority="130" stopIfTrue="1">
      <formula>AND($C101="ERROR",N101&gt;0)</formula>
    </cfRule>
    <cfRule type="expression" dxfId="3707" priority="131" stopIfTrue="1">
      <formula>J$152=0</formula>
    </cfRule>
  </conditionalFormatting>
  <conditionalFormatting sqref="N102">
    <cfRule type="expression" dxfId="3706" priority="132" stopIfTrue="1">
      <formula>AND(J$152=0,N$102&lt;&gt;0)</formula>
    </cfRule>
    <cfRule type="expression" dxfId="3705" priority="133" stopIfTrue="1">
      <formula>AND($C102="ERROR",N102&gt;0)</formula>
    </cfRule>
    <cfRule type="expression" dxfId="3704" priority="134" stopIfTrue="1">
      <formula>J$152=0</formula>
    </cfRule>
  </conditionalFormatting>
  <conditionalFormatting sqref="N103">
    <cfRule type="expression" dxfId="3703" priority="135" stopIfTrue="1">
      <formula>AND(J$152=0,N$103&lt;&gt;0)</formula>
    </cfRule>
    <cfRule type="expression" dxfId="3702" priority="136" stopIfTrue="1">
      <formula>AND($C103="ERROR",N103&gt;0)</formula>
    </cfRule>
    <cfRule type="expression" dxfId="3701" priority="137" stopIfTrue="1">
      <formula>J$152=0</formula>
    </cfRule>
  </conditionalFormatting>
  <conditionalFormatting sqref="N104">
    <cfRule type="expression" dxfId="3700" priority="138" stopIfTrue="1">
      <formula>AND(J$152=0,N$104&lt;&gt;0)</formula>
    </cfRule>
    <cfRule type="expression" dxfId="3699" priority="139" stopIfTrue="1">
      <formula>AND($C104="ERROR",N104&gt;0)</formula>
    </cfRule>
    <cfRule type="expression" dxfId="3698" priority="140" stopIfTrue="1">
      <formula>J$152=0</formula>
    </cfRule>
  </conditionalFormatting>
  <conditionalFormatting sqref="M101">
    <cfRule type="expression" dxfId="3697" priority="141" stopIfTrue="1">
      <formula>AND(J$152=0,M$101&lt;&gt;0)</formula>
    </cfRule>
    <cfRule type="expression" dxfId="3696" priority="142" stopIfTrue="1">
      <formula>AND($C101="ERROR",M101&gt;0)</formula>
    </cfRule>
    <cfRule type="expression" dxfId="3695" priority="143" stopIfTrue="1">
      <formula>J$152=0</formula>
    </cfRule>
  </conditionalFormatting>
  <conditionalFormatting sqref="M102">
    <cfRule type="expression" dxfId="3694" priority="144" stopIfTrue="1">
      <formula>AND(J$152=0,M$102&lt;&gt;0)</formula>
    </cfRule>
    <cfRule type="expression" dxfId="3693" priority="145" stopIfTrue="1">
      <formula>AND($C102="ERROR",M102&gt;0)</formula>
    </cfRule>
    <cfRule type="expression" dxfId="3692" priority="146" stopIfTrue="1">
      <formula>J$152=0</formula>
    </cfRule>
  </conditionalFormatting>
  <conditionalFormatting sqref="M103">
    <cfRule type="expression" dxfId="3691" priority="147" stopIfTrue="1">
      <formula>AND(J$152=0,M$103&lt;&gt;0)</formula>
    </cfRule>
    <cfRule type="expression" dxfId="3690" priority="148" stopIfTrue="1">
      <formula>AND($C103="ERROR",M103&gt;0)</formula>
    </cfRule>
    <cfRule type="expression" dxfId="3689" priority="149" stopIfTrue="1">
      <formula>J$152=0</formula>
    </cfRule>
  </conditionalFormatting>
  <conditionalFormatting sqref="M104">
    <cfRule type="expression" dxfId="3688" priority="150" stopIfTrue="1">
      <formula>AND(J$152=0,M$104&lt;&gt;0)</formula>
    </cfRule>
    <cfRule type="expression" dxfId="3687" priority="151" stopIfTrue="1">
      <formula>AND($C104="ERROR",M104&gt;0)</formula>
    </cfRule>
    <cfRule type="expression" dxfId="3686" priority="152" stopIfTrue="1">
      <formula>J$152=0</formula>
    </cfRule>
  </conditionalFormatting>
  <conditionalFormatting sqref="K97">
    <cfRule type="expression" dxfId="3685" priority="153" stopIfTrue="1">
      <formula>AND(I$152=0,K$97&lt;&gt;0)</formula>
    </cfRule>
    <cfRule type="expression" dxfId="3684" priority="154" stopIfTrue="1">
      <formula>I$152=0</formula>
    </cfRule>
    <cfRule type="expression" dxfId="3683" priority="155" stopIfTrue="1">
      <formula>AND(K$96&lt;&gt;0,K$97="")</formula>
    </cfRule>
  </conditionalFormatting>
  <conditionalFormatting sqref="N97">
    <cfRule type="expression" dxfId="3682" priority="156" stopIfTrue="1">
      <formula>AND(J$152=0,N$97&lt;&gt;0)</formula>
    </cfRule>
    <cfRule type="expression" dxfId="3681" priority="157" stopIfTrue="1">
      <formula>J$152=0</formula>
    </cfRule>
    <cfRule type="expression" dxfId="3680" priority="158" stopIfTrue="1">
      <formula>AND(N$96&lt;&gt;0,N$97="")</formula>
    </cfRule>
  </conditionalFormatting>
  <conditionalFormatting sqref="G83:I83 K83">
    <cfRule type="expression" dxfId="3679" priority="159" stopIfTrue="1">
      <formula>$C$61=0</formula>
    </cfRule>
    <cfRule type="expression" dxfId="3678" priority="160" stopIfTrue="1">
      <formula>G85=$M$135</formula>
    </cfRule>
    <cfRule type="cellIs" dxfId="3677" priority="161" stopIfTrue="1" operator="equal">
      <formula>0</formula>
    </cfRule>
  </conditionalFormatting>
  <conditionalFormatting sqref="G84:I84 K84">
    <cfRule type="expression" dxfId="3676" priority="162" stopIfTrue="1">
      <formula>$C$61=0</formula>
    </cfRule>
    <cfRule type="expression" dxfId="3675" priority="163" stopIfTrue="1">
      <formula>G85=$M$135</formula>
    </cfRule>
    <cfRule type="cellIs" dxfId="3674" priority="164" stopIfTrue="1" operator="equal">
      <formula>0</formula>
    </cfRule>
  </conditionalFormatting>
  <conditionalFormatting sqref="K86 G86:H86">
    <cfRule type="expression" dxfId="3673" priority="165" stopIfTrue="1">
      <formula>$C$61=0</formula>
    </cfRule>
    <cfRule type="expression" dxfId="3672" priority="166" stopIfTrue="1">
      <formula>G85=$M$135</formula>
    </cfRule>
  </conditionalFormatting>
  <conditionalFormatting sqref="G82:K82">
    <cfRule type="expression" dxfId="3671" priority="167" stopIfTrue="1">
      <formula>$C$61=0</formula>
    </cfRule>
    <cfRule type="expression" dxfId="3670" priority="168" stopIfTrue="1">
      <formula>G85=$M$135</formula>
    </cfRule>
    <cfRule type="cellIs" dxfId="3669" priority="169" stopIfTrue="1" operator="equal">
      <formula>0</formula>
    </cfRule>
  </conditionalFormatting>
  <conditionalFormatting sqref="I86:J86">
    <cfRule type="expression" dxfId="3668" priority="170" stopIfTrue="1">
      <formula>$C$61=0</formula>
    </cfRule>
    <cfRule type="expression" dxfId="3667" priority="171" stopIfTrue="1">
      <formula>$I85=$M$135</formula>
    </cfRule>
  </conditionalFormatting>
  <conditionalFormatting sqref="G87:H87 K87">
    <cfRule type="expression" dxfId="3666" priority="172" stopIfTrue="1">
      <formula>G85=$M$135</formula>
    </cfRule>
    <cfRule type="expression" dxfId="3665" priority="173" stopIfTrue="1">
      <formula>$C$61=0</formula>
    </cfRule>
  </conditionalFormatting>
  <conditionalFormatting sqref="I87:J87">
    <cfRule type="expression" dxfId="3664" priority="174" stopIfTrue="1">
      <formula>$I85=$M$135</formula>
    </cfRule>
    <cfRule type="expression" dxfId="3663" priority="175" stopIfTrue="1">
      <formula>$C$61=0</formula>
    </cfRule>
  </conditionalFormatting>
  <conditionalFormatting sqref="K93">
    <cfRule type="expression" dxfId="3662" priority="176" stopIfTrue="1">
      <formula>AND(I$155="X",K$93&lt;&gt;"")</formula>
    </cfRule>
  </conditionalFormatting>
  <conditionalFormatting sqref="N93">
    <cfRule type="expression" dxfId="3661" priority="177" stopIfTrue="1">
      <formula>AND(J$155="X",N$93&lt;&gt;"")</formula>
    </cfRule>
  </conditionalFormatting>
  <conditionalFormatting sqref="L69:M72">
    <cfRule type="expression" dxfId="3660" priority="178" stopIfTrue="1">
      <formula>OR(ISERROR($L69),$H69="")</formula>
    </cfRule>
    <cfRule type="expression" dxfId="3659" priority="179" stopIfTrue="1">
      <formula>$C$61=0</formula>
    </cfRule>
    <cfRule type="expression" dxfId="3658" priority="180" stopIfTrue="1">
      <formula>$H69=$E$163</formula>
    </cfRule>
  </conditionalFormatting>
  <conditionalFormatting sqref="I85:J85">
    <cfRule type="expression" dxfId="3657" priority="181" stopIfTrue="1">
      <formula>$C$61=0</formula>
    </cfRule>
    <cfRule type="expression" dxfId="3656" priority="182" stopIfTrue="1">
      <formula>$I85=$M$135</formula>
    </cfRule>
  </conditionalFormatting>
  <conditionalFormatting sqref="I51:J52 L51:M52">
    <cfRule type="expression" dxfId="3655" priority="183" stopIfTrue="1">
      <formula>ISERROR(I55)</formula>
    </cfRule>
  </conditionalFormatting>
  <conditionalFormatting sqref="K51:K52">
    <cfRule type="expression" dxfId="3654" priority="184" stopIfTrue="1">
      <formula>ISERROR(G51)</formula>
    </cfRule>
  </conditionalFormatting>
  <conditionalFormatting sqref="I7:I39">
    <cfRule type="expression" dxfId="3653" priority="185" stopIfTrue="1">
      <formula>OR($I$4=0,$I$4&lt;&gt;$K$130)</formula>
    </cfRule>
    <cfRule type="expression" dxfId="3652" priority="186" stopIfTrue="1">
      <formula>$AA7&lt;&gt;0</formula>
    </cfRule>
  </conditionalFormatting>
  <conditionalFormatting sqref="J7:J39">
    <cfRule type="expression" dxfId="3651" priority="187" stopIfTrue="1">
      <formula>OR($I$4=0,$I$4&lt;&gt;$K$130)</formula>
    </cfRule>
    <cfRule type="expression" dxfId="3650" priority="188" stopIfTrue="1">
      <formula>$AA7&lt;&gt;0</formula>
    </cfRule>
  </conditionalFormatting>
  <conditionalFormatting sqref="L7:L39">
    <cfRule type="expression" dxfId="3649" priority="189" stopIfTrue="1">
      <formula>OR($L$4=0,$L$4&lt;&gt;$K$130)</formula>
    </cfRule>
    <cfRule type="expression" dxfId="3648" priority="190" stopIfTrue="1">
      <formula>$AA7&lt;&gt;0</formula>
    </cfRule>
  </conditionalFormatting>
  <conditionalFormatting sqref="M7:M39">
    <cfRule type="expression" dxfId="3647" priority="191" stopIfTrue="1">
      <formula>OR($L$4=0,$L$4&lt;&gt;$K$130)</formula>
    </cfRule>
    <cfRule type="expression" dxfId="3646" priority="192" stopIfTrue="1">
      <formula>$AA7&lt;&gt;0</formula>
    </cfRule>
  </conditionalFormatting>
  <conditionalFormatting sqref="O7:O39">
    <cfRule type="expression" dxfId="3645" priority="193" stopIfTrue="1">
      <formula>OR($O$4=0,$O$4&lt;&gt;$K$130)</formula>
    </cfRule>
    <cfRule type="expression" dxfId="3644" priority="194" stopIfTrue="1">
      <formula>$AA7&lt;&gt;0</formula>
    </cfRule>
  </conditionalFormatting>
  <conditionalFormatting sqref="P7:P39">
    <cfRule type="expression" dxfId="3643" priority="195" stopIfTrue="1">
      <formula>OR($O$4=0,$O$4&lt;&gt;$K$130)</formula>
    </cfRule>
    <cfRule type="expression" dxfId="3642" priority="196" stopIfTrue="1">
      <formula>$AA7&lt;&gt;0</formula>
    </cfRule>
  </conditionalFormatting>
  <conditionalFormatting sqref="K39">
    <cfRule type="expression" dxfId="3641" priority="197" stopIfTrue="1">
      <formula>ISERROR($G$155)</formula>
    </cfRule>
    <cfRule type="expression" dxfId="3640" priority="198" stopIfTrue="1">
      <formula>OR($I$163=0,K$4="")</formula>
    </cfRule>
    <cfRule type="expression" dxfId="3639" priority="199" stopIfTrue="1">
      <formula>OR(K$4="",ISERROR(I$155))</formula>
    </cfRule>
  </conditionalFormatting>
  <conditionalFormatting sqref="N39">
    <cfRule type="expression" dxfId="3638" priority="200" stopIfTrue="1">
      <formula>ISERROR($G$155)</formula>
    </cfRule>
    <cfRule type="expression" dxfId="3637" priority="201" stopIfTrue="1">
      <formula>OR($I$163=0,N$4="")</formula>
    </cfRule>
    <cfRule type="expression" dxfId="3636" priority="202" stopIfTrue="1">
      <formula>OR(N$4="",ISERROR(J$155))</formula>
    </cfRule>
  </conditionalFormatting>
  <conditionalFormatting sqref="G8:H38 K8:K38 N8:N38">
    <cfRule type="expression" dxfId="3635" priority="203" stopIfTrue="1">
      <formula>$AA8=$Y$6</formula>
    </cfRule>
    <cfRule type="expression" dxfId="3634" priority="204" stopIfTrue="1">
      <formula>OR($AA8=0,$E8=$E$162)</formula>
    </cfRule>
  </conditionalFormatting>
  <conditionalFormatting sqref="C8:D38">
    <cfRule type="expression" dxfId="3633" priority="205" stopIfTrue="1">
      <formula>$AA8=$Y$6</formula>
    </cfRule>
    <cfRule type="expression" dxfId="3632" priority="206" stopIfTrue="1">
      <formula>AND($L$163=0,OR($V8&lt;$B$162,$V8&gt;$B$163))</formula>
    </cfRule>
    <cfRule type="expression" dxfId="3631" priority="207" stopIfTrue="1">
      <formula>AND($AA8=0,$E8=0)</formula>
    </cfRule>
  </conditionalFormatting>
  <conditionalFormatting sqref="G46:H46 K46 N46">
    <cfRule type="expression" dxfId="3630" priority="208" stopIfTrue="1">
      <formula>G$42=$K$134</formula>
    </cfRule>
    <cfRule type="expression" dxfId="3629" priority="209" stopIfTrue="1">
      <formula>OR($I$163=0,G$4="")</formula>
    </cfRule>
    <cfRule type="expression" dxfId="3628" priority="210" stopIfTrue="1">
      <formula>G44=""</formula>
    </cfRule>
  </conditionalFormatting>
  <conditionalFormatting sqref="G47:H47 K47 N47">
    <cfRule type="expression" dxfId="3627" priority="211" stopIfTrue="1">
      <formula>OR(ISERROR(G47),G$4="")</formula>
    </cfRule>
    <cfRule type="expression" dxfId="3626" priority="212" stopIfTrue="1">
      <formula>G$42=$K$134</formula>
    </cfRule>
    <cfRule type="expression" dxfId="3625" priority="213" stopIfTrue="1">
      <formula>AND(G$46&gt;0,OR(G$99=$E$152,G$99=$K$152))</formula>
    </cfRule>
  </conditionalFormatting>
  <conditionalFormatting sqref="G48:H48 K48 N48">
    <cfRule type="expression" dxfId="3624" priority="214" stopIfTrue="1">
      <formula>OR(ISERROR(G48),G$4="")</formula>
    </cfRule>
    <cfRule type="expression" dxfId="3623" priority="215" stopIfTrue="1">
      <formula>G$42=$K$134</formula>
    </cfRule>
    <cfRule type="expression" dxfId="3622" priority="216" stopIfTrue="1">
      <formula>AND(G$46&gt;0,OR(G$99=$E$152,G$99=$K$152,COUNTIF($C$101:$F$104,"ERROR")&gt;0,G$105=$E$152,G$105=$K$152))</formula>
    </cfRule>
  </conditionalFormatting>
  <conditionalFormatting sqref="I69:J72">
    <cfRule type="expression" dxfId="3621" priority="217" stopIfTrue="1">
      <formula>$C$61=0</formula>
    </cfRule>
    <cfRule type="expression" dxfId="3620" priority="218" stopIfTrue="1">
      <formula>$Z69=0</formula>
    </cfRule>
    <cfRule type="expression" dxfId="3619" priority="219" stopIfTrue="1">
      <formula>$I69=0</formula>
    </cfRule>
  </conditionalFormatting>
  <conditionalFormatting sqref="G61:H62 K61:K62 N61:N62">
    <cfRule type="expression" dxfId="3618" priority="220" stopIfTrue="1">
      <formula>$C$61=0</formula>
    </cfRule>
    <cfRule type="expression" dxfId="3617" priority="221" stopIfTrue="1">
      <formula>G$62=$L$135</formula>
    </cfRule>
  </conditionalFormatting>
  <conditionalFormatting sqref="M166:N166">
    <cfRule type="expression" dxfId="3616" priority="222" stopIfTrue="1">
      <formula>ISBLANK($M166)</formula>
    </cfRule>
  </conditionalFormatting>
  <conditionalFormatting sqref="F107 N108:N109 F108:I109 K108:K109">
    <cfRule type="expression" dxfId="3615" priority="223" stopIfTrue="1">
      <formula>$L$108=0</formula>
    </cfRule>
  </conditionalFormatting>
  <conditionalFormatting sqref="G116:J118 K121:K122 L108:M109">
    <cfRule type="cellIs" dxfId="3614" priority="224" stopIfTrue="1" operator="equal">
      <formula>0</formula>
    </cfRule>
  </conditionalFormatting>
  <conditionalFormatting sqref="L113:M121">
    <cfRule type="expression" dxfId="3613" priority="225" stopIfTrue="1">
      <formula>$L$109=0</formula>
    </cfRule>
  </conditionalFormatting>
  <conditionalFormatting sqref="L122:M122">
    <cfRule type="expression" dxfId="3612" priority="226" stopIfTrue="1">
      <formula>$K$122=0</formula>
    </cfRule>
  </conditionalFormatting>
  <conditionalFormatting sqref="K53:K54 H53:H54">
    <cfRule type="expression" dxfId="3611" priority="227" stopIfTrue="1">
      <formula>ISERROR($G$155)</formula>
    </cfRule>
  </conditionalFormatting>
  <conditionalFormatting sqref="L180 P46 L193 L206 L215:L217">
    <cfRule type="expression" dxfId="3610" priority="228" stopIfTrue="1">
      <formula>$O$44=""</formula>
    </cfRule>
    <cfRule type="expression" dxfId="3609" priority="229" stopIfTrue="1">
      <formula>$O$44=0</formula>
    </cfRule>
  </conditionalFormatting>
  <conditionalFormatting sqref="G180:I180 K180 G215:J217 G193:I193 K206 K193 G206:I206">
    <cfRule type="expression" dxfId="3608" priority="230" stopIfTrue="1">
      <formula>ISERROR(G180)</formula>
    </cfRule>
    <cfRule type="cellIs" dxfId="3607" priority="231" stopIfTrue="1" operator="equal">
      <formula>0</formula>
    </cfRule>
  </conditionalFormatting>
  <conditionalFormatting sqref="G183:K183 G170:K170 G196:K196 G121:J122">
    <cfRule type="cellIs" dxfId="3606" priority="232" stopIfTrue="1" operator="equal">
      <formula>0</formula>
    </cfRule>
  </conditionalFormatting>
  <conditionalFormatting sqref="C126:P126">
    <cfRule type="expression" dxfId="3605" priority="233" stopIfTrue="1">
      <formula>ISERROR($H$163)</formula>
    </cfRule>
  </conditionalFormatting>
  <conditionalFormatting sqref="G53:G54">
    <cfRule type="expression" dxfId="3604" priority="234" stopIfTrue="1">
      <formula>ISERROR($G$155)</formula>
    </cfRule>
    <cfRule type="expression" dxfId="3603" priority="235" stopIfTrue="1">
      <formula>ISERROR(G53)</formula>
    </cfRule>
  </conditionalFormatting>
  <conditionalFormatting sqref="O95:P95">
    <cfRule type="expression" dxfId="3602" priority="236" stopIfTrue="1">
      <formula>$O$44=""</formula>
    </cfRule>
  </conditionalFormatting>
  <conditionalFormatting sqref="O94:P94">
    <cfRule type="expression" dxfId="3601" priority="237" stopIfTrue="1">
      <formula>$O$44=""</formula>
    </cfRule>
  </conditionalFormatting>
  <conditionalFormatting sqref="AA8:AA38 O44:P44 G58 C58 I44:J44 L44:M44 G152:J152 L168 E6:F6 K42 N42 G42:H42">
    <cfRule type="cellIs" dxfId="3600" priority="238" stopIfTrue="1" operator="equal">
      <formula>0</formula>
    </cfRule>
  </conditionalFormatting>
  <conditionalFormatting sqref="W8:Z38 R8:U37 AB8:AE38 AG8:AK37 AM8:AQ37 AS8:AW37 AY8:AY37">
    <cfRule type="cellIs" dxfId="3599" priority="239" stopIfTrue="1" operator="equal">
      <formula>0</formula>
    </cfRule>
  </conditionalFormatting>
  <conditionalFormatting sqref="O45:P45 L169">
    <cfRule type="expression" dxfId="3598" priority="240" stopIfTrue="1">
      <formula>$O$4=$K$130</formula>
    </cfRule>
    <cfRule type="expression" dxfId="3597" priority="241" stopIfTrue="1">
      <formula>$O$44=0</formula>
    </cfRule>
  </conditionalFormatting>
  <conditionalFormatting sqref="E47:F48">
    <cfRule type="expression" dxfId="3596" priority="242" stopIfTrue="1">
      <formula>ISERROR(E47)</formula>
    </cfRule>
  </conditionalFormatting>
  <conditionalFormatting sqref="G168:I169 K168:K169 E197:E198 E206:F206 E171:E172 E180:F180 E184:E185 E193:F193 G94:N95 N44:N45 G44:H45 K44:K45 E221 G51:H52">
    <cfRule type="expression" dxfId="3595" priority="243" stopIfTrue="1">
      <formula>ISERROR(E44)</formula>
    </cfRule>
  </conditionalFormatting>
  <conditionalFormatting sqref="G167:I167 K167 N43 G43:H43 K43">
    <cfRule type="cellIs" dxfId="3594" priority="244" stopIfTrue="1" operator="equal">
      <formula>0</formula>
    </cfRule>
  </conditionalFormatting>
  <conditionalFormatting sqref="G99:N99 G105:N105 H139:H141 H145:H148">
    <cfRule type="cellIs" dxfId="3593" priority="245" stopIfTrue="1" operator="equal">
      <formula>"OK"</formula>
    </cfRule>
  </conditionalFormatting>
  <conditionalFormatting sqref="I139:I141 I145:I148">
    <cfRule type="cellIs" dxfId="3592" priority="246" stopIfTrue="1" operator="greaterThan">
      <formula>0</formula>
    </cfRule>
  </conditionalFormatting>
  <conditionalFormatting sqref="F110:I112 K110:M112">
    <cfRule type="expression" dxfId="3591" priority="247" stopIfTrue="1">
      <formula>$L$108=0</formula>
    </cfRule>
  </conditionalFormatting>
  <conditionalFormatting sqref="C195:H195">
    <cfRule type="expression" dxfId="3590" priority="248" stopIfTrue="1">
      <formula>ISERROR($C$195)</formula>
    </cfRule>
  </conditionalFormatting>
  <conditionalFormatting sqref="C2:J2">
    <cfRule type="expression" dxfId="3589" priority="249" stopIfTrue="1">
      <formula>$I$163=0</formula>
    </cfRule>
  </conditionalFormatting>
  <conditionalFormatting sqref="L96:M96 I96:J96">
    <cfRule type="expression" dxfId="3588" priority="250" stopIfTrue="1">
      <formula>ISERROR($G$155)</formula>
    </cfRule>
    <cfRule type="expression" dxfId="3587" priority="251" stopIfTrue="1">
      <formula>I96=0</formula>
    </cfRule>
  </conditionalFormatting>
  <conditionalFormatting sqref="N7 G7:H7 K7">
    <cfRule type="expression" dxfId="3586" priority="252" stopIfTrue="1">
      <formula>$I$163=0</formula>
    </cfRule>
  </conditionalFormatting>
  <conditionalFormatting sqref="I48:J48">
    <cfRule type="expression" dxfId="3585" priority="253" stopIfTrue="1">
      <formula>$I$4=$K$130</formula>
    </cfRule>
  </conditionalFormatting>
  <conditionalFormatting sqref="L48:M48">
    <cfRule type="expression" dxfId="3584" priority="254" stopIfTrue="1">
      <formula>$L$4=$K$130</formula>
    </cfRule>
  </conditionalFormatting>
  <conditionalFormatting sqref="I45:J45">
    <cfRule type="expression" dxfId="3583" priority="255" stopIfTrue="1">
      <formula>$I$4=$K$130</formula>
    </cfRule>
    <cfRule type="expression" dxfId="3582" priority="256" stopIfTrue="1">
      <formula>$I$44=0</formula>
    </cfRule>
  </conditionalFormatting>
  <conditionalFormatting sqref="L45:M45">
    <cfRule type="expression" dxfId="3581" priority="257" stopIfTrue="1">
      <formula>$L$4=$K$130</formula>
    </cfRule>
    <cfRule type="expression" dxfId="3580" priority="258" stopIfTrue="1">
      <formula>$L$44=0</formula>
    </cfRule>
  </conditionalFormatting>
  <conditionalFormatting sqref="L53">
    <cfRule type="expression" dxfId="3579" priority="259" stopIfTrue="1">
      <formula>ISERROR($G$155)</formula>
    </cfRule>
    <cfRule type="expression" dxfId="3578" priority="260" stopIfTrue="1">
      <formula>ISERROR($L$53)</formula>
    </cfRule>
  </conditionalFormatting>
  <conditionalFormatting sqref="O96:P98 C97:F98">
    <cfRule type="expression" dxfId="3577" priority="261" stopIfTrue="1">
      <formula>SUM($G$152:$J$152)=0</formula>
    </cfRule>
  </conditionalFormatting>
  <conditionalFormatting sqref="G155:J155">
    <cfRule type="cellIs" dxfId="3576" priority="262" stopIfTrue="1" operator="equal">
      <formula>0</formula>
    </cfRule>
  </conditionalFormatting>
  <conditionalFormatting sqref="G157:J159">
    <cfRule type="cellIs" dxfId="3575" priority="263" stopIfTrue="1" operator="equal">
      <formula>$E$157</formula>
    </cfRule>
  </conditionalFormatting>
  <conditionalFormatting sqref="Q91:S91">
    <cfRule type="expression" dxfId="3574" priority="264" stopIfTrue="1">
      <formula>SUM($G$152:$J$152)=0</formula>
    </cfRule>
  </conditionalFormatting>
  <conditionalFormatting sqref="I4:J5">
    <cfRule type="expression" dxfId="3573" priority="265" stopIfTrue="1">
      <formula>$I$6=""</formula>
    </cfRule>
    <cfRule type="cellIs" dxfId="3572" priority="266" stopIfTrue="1" operator="equal">
      <formula>0</formula>
    </cfRule>
    <cfRule type="expression" dxfId="3571" priority="267" stopIfTrue="1">
      <formula>$I$4=$K$130</formula>
    </cfRule>
  </conditionalFormatting>
  <conditionalFormatting sqref="L4:M5">
    <cfRule type="expression" dxfId="3570" priority="268" stopIfTrue="1">
      <formula>$L$6=""</formula>
    </cfRule>
    <cfRule type="cellIs" dxfId="3569" priority="269" stopIfTrue="1" operator="equal">
      <formula>0</formula>
    </cfRule>
    <cfRule type="expression" dxfId="3568" priority="270" stopIfTrue="1">
      <formula>$L$4=$K$130</formula>
    </cfRule>
  </conditionalFormatting>
  <conditionalFormatting sqref="O4:P5">
    <cfRule type="expression" dxfId="3567" priority="271" stopIfTrue="1">
      <formula>$O$6=""</formula>
    </cfRule>
    <cfRule type="cellIs" dxfId="3566" priority="272" stopIfTrue="1" operator="equal">
      <formula>0</formula>
    </cfRule>
    <cfRule type="expression" dxfId="3565" priority="273" stopIfTrue="1">
      <formula>$O$4=$K$130</formula>
    </cfRule>
  </conditionalFormatting>
  <conditionalFormatting sqref="E46:F46">
    <cfRule type="expression" dxfId="3564" priority="274" stopIfTrue="1">
      <formula>ISERROR($E$46)</formula>
    </cfRule>
  </conditionalFormatting>
  <conditionalFormatting sqref="I46">
    <cfRule type="expression" dxfId="3563" priority="275" stopIfTrue="1">
      <formula>$I$44=""</formula>
    </cfRule>
    <cfRule type="expression" dxfId="3562" priority="276" stopIfTrue="1">
      <formula>$I$44=0</formula>
    </cfRule>
  </conditionalFormatting>
  <conditionalFormatting sqref="L46">
    <cfRule type="expression" dxfId="3561" priority="277" stopIfTrue="1">
      <formula>$L$44=""</formula>
    </cfRule>
    <cfRule type="expression" dxfId="3560" priority="278" stopIfTrue="1">
      <formula>$L$44=0</formula>
    </cfRule>
  </conditionalFormatting>
  <conditionalFormatting sqref="O46">
    <cfRule type="expression" dxfId="3559" priority="279" stopIfTrue="1">
      <formula>$O$44=""</formula>
    </cfRule>
    <cfRule type="expression" dxfId="3558" priority="280" stopIfTrue="1">
      <formula>$O$44=0</formula>
    </cfRule>
  </conditionalFormatting>
  <conditionalFormatting sqref="J46">
    <cfRule type="expression" dxfId="3557" priority="281" stopIfTrue="1">
      <formula>$I$44=""</formula>
    </cfRule>
    <cfRule type="expression" dxfId="3556" priority="282" stopIfTrue="1">
      <formula>$I$44=0</formula>
    </cfRule>
  </conditionalFormatting>
  <conditionalFormatting sqref="M46">
    <cfRule type="expression" dxfId="3555" priority="283" stopIfTrue="1">
      <formula>$L$44=""</formula>
    </cfRule>
    <cfRule type="expression" dxfId="3554" priority="284" stopIfTrue="1">
      <formula>$L$44=0</formula>
    </cfRule>
  </conditionalFormatting>
  <conditionalFormatting sqref="G96:H96 K96 N96">
    <cfRule type="expression" dxfId="3553" priority="285" stopIfTrue="1">
      <formula>ISERROR($G$155)</formula>
    </cfRule>
    <cfRule type="expression" dxfId="3552" priority="286" stopIfTrue="1">
      <formula>G96=0</formula>
    </cfRule>
    <cfRule type="expression" dxfId="3551" priority="287" stopIfTrue="1">
      <formula>G96&lt;&gt;0</formula>
    </cfRule>
  </conditionalFormatting>
  <conditionalFormatting sqref="M168:N168">
    <cfRule type="expression" dxfId="3550" priority="288" stopIfTrue="1">
      <formula>$M$168=""</formula>
    </cfRule>
  </conditionalFormatting>
  <conditionalFormatting sqref="G63:H63 K63 N63">
    <cfRule type="expression" dxfId="3549" priority="289" stopIfTrue="1">
      <formula>$C$61=0</formula>
    </cfRule>
    <cfRule type="cellIs" dxfId="3548" priority="290" stopIfTrue="1" operator="equal">
      <formula>0</formula>
    </cfRule>
  </conditionalFormatting>
  <conditionalFormatting sqref="F63 F65 F73 F76:F79 F86:F89 N78:N79 N88 L86:N87 K68 C68:C69 I67:J68">
    <cfRule type="expression" dxfId="3547" priority="291" stopIfTrue="1">
      <formula>$C$61=0</formula>
    </cfRule>
  </conditionalFormatting>
  <conditionalFormatting sqref="G65">
    <cfRule type="expression" dxfId="3546" priority="292" stopIfTrue="1">
      <formula>$C$61=0</formula>
    </cfRule>
    <cfRule type="cellIs" dxfId="3545" priority="293" stopIfTrue="1" operator="equal">
      <formula>0</formula>
    </cfRule>
  </conditionalFormatting>
  <conditionalFormatting sqref="N66:N67 N74:N77 L68:N68">
    <cfRule type="expression" dxfId="3544" priority="294" stopIfTrue="1">
      <formula>$C$61=0</formula>
    </cfRule>
  </conditionalFormatting>
  <conditionalFormatting sqref="G68:H68">
    <cfRule type="expression" dxfId="3543" priority="295" stopIfTrue="1">
      <formula>ISERROR(G68)</formula>
    </cfRule>
    <cfRule type="expression" dxfId="3542" priority="296" stopIfTrue="1">
      <formula>$C$61=0</formula>
    </cfRule>
  </conditionalFormatting>
  <conditionalFormatting sqref="N73">
    <cfRule type="expression" dxfId="3541" priority="297" stopIfTrue="1">
      <formula>$C$61=0</formula>
    </cfRule>
    <cfRule type="expression" dxfId="3540" priority="298" stopIfTrue="1">
      <formula>ISERROR(N73)</formula>
    </cfRule>
  </conditionalFormatting>
  <conditionalFormatting sqref="O73 O79 O88">
    <cfRule type="expression" dxfId="3539" priority="299" stopIfTrue="1">
      <formula>O73=$E$163</formula>
    </cfRule>
    <cfRule type="expression" dxfId="3538" priority="300" stopIfTrue="1">
      <formula>$C$61=0</formula>
    </cfRule>
    <cfRule type="expression" dxfId="3537" priority="301" stopIfTrue="1">
      <formula>ISERROR(O73)</formula>
    </cfRule>
  </conditionalFormatting>
  <conditionalFormatting sqref="C67">
    <cfRule type="expression" dxfId="3536" priority="302" stopIfTrue="1">
      <formula>$C$61=0</formula>
    </cfRule>
  </conditionalFormatting>
  <conditionalFormatting sqref="G73 I73">
    <cfRule type="expression" dxfId="3535" priority="303" stopIfTrue="1">
      <formula>ISERROR(G73)</formula>
    </cfRule>
    <cfRule type="expression" dxfId="3534" priority="304" stopIfTrue="1">
      <formula>G73=0</formula>
    </cfRule>
    <cfRule type="expression" dxfId="3533" priority="305" stopIfTrue="1">
      <formula>$C$61=0</formula>
    </cfRule>
  </conditionalFormatting>
  <conditionalFormatting sqref="G77:H78 K77:K78">
    <cfRule type="expression" dxfId="3532" priority="306" stopIfTrue="1">
      <formula>$C$61=0</formula>
    </cfRule>
    <cfRule type="expression" dxfId="3531" priority="307" stopIfTrue="1">
      <formula>ISERROR(G77)</formula>
    </cfRule>
    <cfRule type="cellIs" dxfId="3530" priority="308" stopIfTrue="1" operator="equal">
      <formula>0</formula>
    </cfRule>
  </conditionalFormatting>
  <conditionalFormatting sqref="G79:H79 K79">
    <cfRule type="expression" dxfId="3529" priority="309" stopIfTrue="1">
      <formula>ISERROR(G79)</formula>
    </cfRule>
    <cfRule type="expression" dxfId="3528" priority="310" stopIfTrue="1">
      <formula>$C$61=0</formula>
    </cfRule>
    <cfRule type="cellIs" dxfId="3527" priority="311" stopIfTrue="1" operator="equal">
      <formula>0</formula>
    </cfRule>
  </conditionalFormatting>
  <conditionalFormatting sqref="N69:N72">
    <cfRule type="expression" dxfId="3526" priority="312" stopIfTrue="1">
      <formula>$C$61=0</formula>
    </cfRule>
    <cfRule type="cellIs" dxfId="3525" priority="313" stopIfTrue="1" operator="equal">
      <formula>0</formula>
    </cfRule>
    <cfRule type="expression" dxfId="3524" priority="314" stopIfTrue="1">
      <formula>ISERROR(N69)</formula>
    </cfRule>
  </conditionalFormatting>
  <conditionalFormatting sqref="C70:C71">
    <cfRule type="expression" dxfId="3523" priority="315" stopIfTrue="1">
      <formula>$C$61=0</formula>
    </cfRule>
    <cfRule type="expression" dxfId="3522" priority="316" stopIfTrue="1">
      <formula>$G$73&lt;&gt;0</formula>
    </cfRule>
  </conditionalFormatting>
  <conditionalFormatting sqref="P60:P61">
    <cfRule type="expression" dxfId="3521" priority="317" stopIfTrue="1">
      <formula>$C$61=1</formula>
    </cfRule>
  </conditionalFormatting>
  <conditionalFormatting sqref="H66:M66">
    <cfRule type="expression" dxfId="3520" priority="318" stopIfTrue="1">
      <formula>$C$61=0</formula>
    </cfRule>
  </conditionalFormatting>
  <conditionalFormatting sqref="H65">
    <cfRule type="expression" dxfId="3519" priority="319" stopIfTrue="1">
      <formula>AND($C$61=0,$D$61&gt;0)</formula>
    </cfRule>
    <cfRule type="expression" dxfId="3518" priority="320" stopIfTrue="1">
      <formula>$C$61=0</formula>
    </cfRule>
  </conditionalFormatting>
  <conditionalFormatting sqref="G67">
    <cfRule type="expression" dxfId="3517" priority="321" stopIfTrue="1">
      <formula>$C$61=0</formula>
    </cfRule>
    <cfRule type="expression" dxfId="3516" priority="322" stopIfTrue="1">
      <formula>ISERROR(G67)</formula>
    </cfRule>
  </conditionalFormatting>
  <conditionalFormatting sqref="G88:H88 K88">
    <cfRule type="expression" dxfId="3515" priority="323" stopIfTrue="1">
      <formula>ISERROR(G88)</formula>
    </cfRule>
    <cfRule type="cellIs" dxfId="3514" priority="324" stopIfTrue="1" operator="equal">
      <formula>0</formula>
    </cfRule>
    <cfRule type="expression" dxfId="3513" priority="325" stopIfTrue="1">
      <formula>$C$61=0</formula>
    </cfRule>
  </conditionalFormatting>
  <conditionalFormatting sqref="C91:P91">
    <cfRule type="expression" dxfId="3512" priority="326" stopIfTrue="1">
      <formula>SUM($G$150:$J$150)=0</formula>
    </cfRule>
  </conditionalFormatting>
  <conditionalFormatting sqref="G85:H85 K85">
    <cfRule type="expression" dxfId="3511" priority="327" stopIfTrue="1">
      <formula>$C$61=0</formula>
    </cfRule>
    <cfRule type="expression" dxfId="3510" priority="328" stopIfTrue="1">
      <formula>G85=$M$135</formula>
    </cfRule>
  </conditionalFormatting>
  <conditionalFormatting sqref="I55:J56 L55:M56">
    <cfRule type="cellIs" dxfId="3509" priority="329" stopIfTrue="1" operator="equal">
      <formula>0</formula>
    </cfRule>
    <cfRule type="expression" dxfId="3508" priority="330" stopIfTrue="1">
      <formula>ISERROR(I55)</formula>
    </cfRule>
  </conditionalFormatting>
  <dataValidations count="7">
    <dataValidation type="whole" operator="lessThanOrEqual" allowBlank="1" showInputMessage="1" showErrorMessage="1" sqref="F52">
      <formula1>E162</formula1>
    </dataValidation>
    <dataValidation type="list" allowBlank="1" showInputMessage="1" showErrorMessage="1" sqref="I207">
      <formula1>$I$219:$I$229</formula1>
    </dataValidation>
    <dataValidation type="decimal" operator="greaterThan" allowBlank="1" showInputMessage="1" showErrorMessage="1" errorTitle="ATTENZIONE !!!" error="E' ammesso solo un valore POSITIVO" sqref="G53:G54">
      <formula1>0</formula1>
    </dataValidation>
    <dataValidation type="decimal" operator="lessThan" allowBlank="1" showInputMessage="1" showErrorMessage="1" errorTitle="ATTENZIONE !!!" error="E' ammesso solo un valore NEGATIVO" sqref="H53:H54">
      <formula1>0</formula1>
    </dataValidation>
    <dataValidation type="list" allowBlank="1" showInputMessage="1" showErrorMessage="1" sqref="M168:N168">
      <formula1>$E$218:$E$220</formula1>
    </dataValidation>
    <dataValidation type="list" allowBlank="1" showInputMessage="1" showErrorMessage="1" sqref="M166">
      <formula1>$E$223:$E$226</formula1>
    </dataValidation>
    <dataValidation type="list" allowBlank="1" showInputMessage="1" showErrorMessage="1" sqref="M3:P3">
      <formula1>$K$144:$K$149</formula1>
    </dataValidation>
  </dataValidations>
  <hyperlinks>
    <hyperlink ref="G231" location="Presentazione!I106" display="QUI"/>
    <hyperlink ref="L231" location="Presentazione!K83" display="QUI"/>
  </hyperlinks>
  <printOptions horizontalCentered="1"/>
  <pageMargins left="0.39370078740157483" right="0" top="0.39370078740157483" bottom="0" header="0" footer="0"/>
  <pageSetup paperSize="9" scale="72"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2">
    <pageSetUpPr autoPageBreaks="0"/>
  </sheetPr>
  <dimension ref="A1:BB231"/>
  <sheetViews>
    <sheetView showGridLines="0" showRowColHeaders="0" topLeftCell="A2" zoomScaleNormal="100" workbookViewId="0">
      <selection activeCell="G8" sqref="G8"/>
    </sheetView>
  </sheetViews>
  <sheetFormatPr defaultRowHeight="12.75" x14ac:dyDescent="0.2"/>
  <cols>
    <col min="1" max="2" width="2.85546875" style="4" customWidth="1"/>
    <col min="3" max="4" width="5" style="4" customWidth="1"/>
    <col min="5" max="5" width="15.7109375" style="4" customWidth="1"/>
    <col min="6" max="6" width="1.42578125" style="4" customWidth="1"/>
    <col min="7" max="8" width="15.7109375" style="4" customWidth="1"/>
    <col min="9" max="10" width="7.85546875" style="4" customWidth="1"/>
    <col min="11" max="11" width="15.7109375" style="4" customWidth="1"/>
    <col min="12" max="13" width="7.85546875" style="4" customWidth="1"/>
    <col min="14" max="14" width="15.7109375" style="4" customWidth="1"/>
    <col min="15" max="16" width="7.85546875" style="4" customWidth="1"/>
    <col min="17" max="17" width="2.140625" style="4" customWidth="1"/>
    <col min="18" max="31" width="11" style="4" hidden="1" customWidth="1"/>
    <col min="32" max="32" width="6.42578125" style="4" hidden="1" customWidth="1"/>
    <col min="33" max="37" width="11" style="4" hidden="1" customWidth="1"/>
    <col min="38" max="38" width="6.42578125" style="4" hidden="1" customWidth="1"/>
    <col min="39" max="43" width="11" style="4" hidden="1" customWidth="1"/>
    <col min="44" max="44" width="6.42578125" style="4" hidden="1" customWidth="1"/>
    <col min="45" max="49" width="11" style="4" hidden="1" customWidth="1"/>
    <col min="50" max="50" width="6.42578125" style="4" hidden="1" customWidth="1"/>
    <col min="51" max="51" width="11" style="4" hidden="1" customWidth="1"/>
    <col min="52" max="52" width="35.7109375" style="4" customWidth="1"/>
    <col min="53" max="16384" width="9.140625" style="4"/>
  </cols>
  <sheetData>
    <row r="1" spans="1:53" ht="15" hidden="1" customHeight="1" x14ac:dyDescent="0.2">
      <c r="A1" s="540"/>
      <c r="B1" s="2"/>
      <c r="C1" s="2"/>
      <c r="D1" s="2"/>
      <c r="E1" s="2"/>
      <c r="F1" s="2"/>
      <c r="G1" s="252" t="str">
        <f>CONCATENATE(IMPOSTAZIONI!F211,"-",IMPOSTAZIONI!F212,"-",IMPOSTAZIONI!F213)</f>
        <v>--</v>
      </c>
      <c r="H1" s="252" t="str">
        <f>CONCATENATE(IMPOSTAZIONI!K211,"-",IMPOSTAZIONI!K212,"-",IMPOSTAZIONI!K213)</f>
        <v>--</v>
      </c>
      <c r="I1" s="252"/>
      <c r="J1" s="252"/>
      <c r="K1" s="252" t="str">
        <f>CONCATENATE(IMPOSTAZIONI!P211,"-",IMPOSTAZIONI!P212,"-",IMPOSTAZIONI!P213)</f>
        <v>--</v>
      </c>
      <c r="L1" s="252"/>
      <c r="M1" s="252"/>
      <c r="N1" s="252" t="str">
        <f>CONCATENATE(IMPOSTAZIONI!U211,"-",IMPOSTAZIONI!U212,"-",IMPOSTAZIONI!U213)</f>
        <v>--</v>
      </c>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591"/>
    </row>
    <row r="2" spans="1:53" ht="18" customHeight="1" x14ac:dyDescent="0.2">
      <c r="A2" s="540"/>
      <c r="B2" s="2"/>
      <c r="C2" s="2057" t="str">
        <f>CONCATENATE(IMPOSTAZIONI!C73," - P.I. ",IMPOSTAZIONI!O73)</f>
        <v>Inserisci la tua Ragione Sociale - P.I. 01234567891</v>
      </c>
      <c r="D2" s="2057"/>
      <c r="E2" s="2057"/>
      <c r="F2" s="2057"/>
      <c r="G2" s="2057"/>
      <c r="H2" s="2057"/>
      <c r="I2" s="2057"/>
      <c r="J2" s="2058" t="str">
        <f>CONCATENATE(IMPOSTAZIONI!C75," - ",IMPOSTAZIONI!M75," - ",IMPOSTAZIONI!O75," - ",IMPOSTAZIONI!V75)</f>
        <v xml:space="preserve">Indirizzo per esteso -  -  - </v>
      </c>
      <c r="K2" s="2058"/>
      <c r="L2" s="2058"/>
      <c r="M2" s="2058"/>
      <c r="N2" s="2058"/>
      <c r="O2" s="2058"/>
      <c r="P2" s="2058"/>
      <c r="Q2" s="3"/>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row>
    <row r="3" spans="1:53" ht="24.75" customHeight="1" x14ac:dyDescent="0.2">
      <c r="A3" s="2"/>
      <c r="B3" s="5"/>
      <c r="C3" s="2222" t="s">
        <v>98</v>
      </c>
      <c r="D3" s="2222"/>
      <c r="E3" s="2223" t="s">
        <v>310</v>
      </c>
      <c r="F3" s="2223"/>
      <c r="G3" s="2223"/>
      <c r="H3" s="2073" t="str">
        <f>IF(I163=0,IMPOSTAZIONI!Y384,"")</f>
        <v>Devi convalidare il foglio IMPOSTAZIONI</v>
      </c>
      <c r="I3" s="2073"/>
      <c r="J3" s="2073"/>
      <c r="K3" s="2073"/>
      <c r="L3" s="2073"/>
      <c r="M3" s="2072" t="s">
        <v>543</v>
      </c>
      <c r="N3" s="2072"/>
      <c r="O3" s="2072"/>
      <c r="P3" s="2072"/>
      <c r="Q3" s="3"/>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row>
    <row r="4" spans="1:53" ht="18" customHeight="1" x14ac:dyDescent="0.2">
      <c r="A4" s="2"/>
      <c r="B4" s="2"/>
      <c r="C4" s="2147" t="s">
        <v>175</v>
      </c>
      <c r="D4" s="2148"/>
      <c r="E4" s="2170" t="str">
        <f>IMPOSTAZIONI!E24</f>
        <v>TOTALE</v>
      </c>
      <c r="F4" s="2171"/>
      <c r="G4" s="291" t="str">
        <f>IF($I$163=0,"",IMPOSTAZIONI!G211)</f>
        <v/>
      </c>
      <c r="H4" s="291" t="str">
        <f>IF($I$163=0,"",IMPOSTAZIONI!L211)</f>
        <v/>
      </c>
      <c r="I4" s="2164">
        <f>IMPOSTAZIONI!Q25</f>
        <v>0</v>
      </c>
      <c r="J4" s="2165"/>
      <c r="K4" s="291" t="str">
        <f>IF($I$163=0,"",IMPOSTAZIONI!Q211)</f>
        <v/>
      </c>
      <c r="L4" s="2164">
        <f>IMPOSTAZIONI!Y25</f>
        <v>0</v>
      </c>
      <c r="M4" s="2165"/>
      <c r="N4" s="291" t="str">
        <f>IF($I$163=0,"",IMPOSTAZIONI!V211)</f>
        <v/>
      </c>
      <c r="O4" s="2164">
        <f>IMPOSTAZIONI!AG25</f>
        <v>0</v>
      </c>
      <c r="P4" s="2165"/>
      <c r="Q4" s="83"/>
      <c r="R4" s="2"/>
      <c r="S4" s="2"/>
      <c r="T4" s="2"/>
      <c r="U4" s="2"/>
      <c r="V4" s="251" t="str">
        <f>CONCATENATE(L131,"  ")</f>
        <v xml:space="preserve">attiva trim.  </v>
      </c>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row>
    <row r="5" spans="1:53" ht="18" customHeight="1" x14ac:dyDescent="0.2">
      <c r="A5" s="2"/>
      <c r="B5" s="2"/>
      <c r="C5" s="2149"/>
      <c r="D5" s="2150"/>
      <c r="E5" s="2172"/>
      <c r="F5" s="2173"/>
      <c r="G5" s="292" t="str">
        <f>IF($I$163=0,"",IMPOSTAZIONI!G212)</f>
        <v/>
      </c>
      <c r="H5" s="292" t="str">
        <f>IF($I$163=0,"",IMPOSTAZIONI!L212)</f>
        <v/>
      </c>
      <c r="I5" s="2166"/>
      <c r="J5" s="2167"/>
      <c r="K5" s="292" t="str">
        <f>IF($I$163=0,"",IMPOSTAZIONI!Q212)</f>
        <v/>
      </c>
      <c r="L5" s="2166"/>
      <c r="M5" s="2167"/>
      <c r="N5" s="292" t="str">
        <f>IF($I$163=0,"",IMPOSTAZIONI!V212)</f>
        <v/>
      </c>
      <c r="O5" s="2166"/>
      <c r="P5" s="2167"/>
      <c r="Q5" s="83"/>
      <c r="R5" s="2"/>
      <c r="S5" s="2"/>
      <c r="T5" s="2"/>
      <c r="U5" s="2"/>
      <c r="V5" s="257"/>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row>
    <row r="6" spans="1:53" ht="18" customHeight="1" x14ac:dyDescent="0.2">
      <c r="A6" s="2"/>
      <c r="B6" s="2"/>
      <c r="C6" s="2151">
        <f>IMPOSTAZIONI!$AH$52</f>
        <v>2024</v>
      </c>
      <c r="D6" s="2152"/>
      <c r="E6" s="2153">
        <f>IMPOSTAZIONI!E25</f>
        <v>0</v>
      </c>
      <c r="F6" s="2154"/>
      <c r="G6" s="55" t="str">
        <f>IF($I$163=0,"",IMPOSTAZIONI!G213)</f>
        <v/>
      </c>
      <c r="H6" s="55" t="str">
        <f>IF($I$163=0,"",IMPOSTAZIONI!L213)</f>
        <v/>
      </c>
      <c r="I6" s="834" t="str">
        <f>IMPOSTAZIONI!Q26</f>
        <v>DAL</v>
      </c>
      <c r="J6" s="835" t="str">
        <f>IMPOSTAZIONI!S26</f>
        <v>AL</v>
      </c>
      <c r="K6" s="55" t="str">
        <f>IF($I$163=0,"",IMPOSTAZIONI!Q213)</f>
        <v/>
      </c>
      <c r="L6" s="834" t="str">
        <f>IMPOSTAZIONI!Y26</f>
        <v>DAL</v>
      </c>
      <c r="M6" s="835" t="str">
        <f>IMPOSTAZIONI!AA26</f>
        <v>AL</v>
      </c>
      <c r="N6" s="55" t="str">
        <f>IF($I$163=0,"",IMPOSTAZIONI!V213)</f>
        <v/>
      </c>
      <c r="O6" s="834" t="str">
        <f>IMPOSTAZIONI!AG26</f>
        <v>DAL</v>
      </c>
      <c r="P6" s="835" t="str">
        <f>IMPOSTAZIONI!AI26</f>
        <v>AL</v>
      </c>
      <c r="Q6" s="83"/>
      <c r="R6" s="2"/>
      <c r="S6" s="2"/>
      <c r="T6" s="2"/>
      <c r="U6" s="2"/>
      <c r="V6" s="2"/>
      <c r="W6" s="2"/>
      <c r="X6" s="2"/>
      <c r="Y6" s="501" t="str">
        <f>CASSA!W484</f>
        <v>F</v>
      </c>
      <c r="Z6" s="502" t="str">
        <f>CASSA!W485</f>
        <v>C</v>
      </c>
      <c r="AA6" s="2"/>
      <c r="AB6" s="2"/>
      <c r="AC6" s="2"/>
      <c r="AD6" s="2"/>
      <c r="AE6" s="2"/>
      <c r="AF6" s="2"/>
      <c r="AG6" s="148">
        <f>IF(SUM(G152:J152)&gt;0,1,0)</f>
        <v>0</v>
      </c>
      <c r="AH6" s="1096" t="str">
        <f>$C101</f>
        <v>Aliquota 22 %</v>
      </c>
      <c r="AI6" s="1096" t="str">
        <f>$C102</f>
        <v>Aliquota 10 %</v>
      </c>
      <c r="AJ6" s="1096" t="str">
        <f>$C103</f>
        <v>Aliquota 4 %</v>
      </c>
      <c r="AK6" s="1096" t="str">
        <f>$C104</f>
        <v/>
      </c>
      <c r="AL6" s="2"/>
      <c r="AM6" s="1097" t="s">
        <v>537</v>
      </c>
      <c r="AN6" s="2204" t="s">
        <v>782</v>
      </c>
      <c r="AO6" s="2204"/>
      <c r="AP6" s="2204"/>
      <c r="AQ6" s="2204"/>
      <c r="AR6" s="2"/>
      <c r="AS6" s="148"/>
      <c r="AT6" s="1096" t="str">
        <f>$C101</f>
        <v>Aliquota 22 %</v>
      </c>
      <c r="AU6" s="1096" t="str">
        <f>$C102</f>
        <v>Aliquota 10 %</v>
      </c>
      <c r="AV6" s="1096" t="str">
        <f>$C103</f>
        <v>Aliquota 4 %</v>
      </c>
      <c r="AW6" s="1096" t="str">
        <f>$C104</f>
        <v/>
      </c>
      <c r="AX6" s="2"/>
      <c r="AY6" s="1097" t="s">
        <v>537</v>
      </c>
      <c r="AZ6" s="1382" t="s">
        <v>14</v>
      </c>
      <c r="BA6" s="2"/>
    </row>
    <row r="7" spans="1:53" ht="20.25" customHeight="1" x14ac:dyDescent="0.2">
      <c r="A7" s="2"/>
      <c r="B7" s="2"/>
      <c r="C7" s="2242" t="s">
        <v>177</v>
      </c>
      <c r="D7" s="2243"/>
      <c r="E7" s="2175">
        <f>IMPOSTAZIONI!S265</f>
        <v>0</v>
      </c>
      <c r="F7" s="2176"/>
      <c r="G7" s="1439">
        <f>IMPOSTAZIONI!$B276</f>
        <v>0</v>
      </c>
      <c r="H7" s="1439">
        <f>IMPOSTAZIONI!$B277</f>
        <v>0</v>
      </c>
      <c r="I7" s="832"/>
      <c r="J7" s="833"/>
      <c r="K7" s="1439">
        <f>IMPOSTAZIONI!$B278</f>
        <v>0</v>
      </c>
      <c r="L7" s="832"/>
      <c r="M7" s="833"/>
      <c r="N7" s="1439">
        <f>IMPOSTAZIONI!$B279</f>
        <v>0</v>
      </c>
      <c r="O7" s="832"/>
      <c r="P7" s="833"/>
      <c r="Q7" s="83"/>
      <c r="R7" s="552" t="s">
        <v>195</v>
      </c>
      <c r="S7" s="552"/>
      <c r="T7" s="552"/>
      <c r="U7" s="552"/>
      <c r="V7" s="507">
        <f>V8-1</f>
        <v>45473</v>
      </c>
      <c r="W7" s="2"/>
      <c r="X7" s="2"/>
      <c r="Y7" s="2"/>
      <c r="Z7" s="2"/>
      <c r="AA7" s="2"/>
      <c r="AB7" s="2021" t="s">
        <v>739</v>
      </c>
      <c r="AC7" s="2021"/>
      <c r="AD7" s="2021"/>
      <c r="AE7" s="2021"/>
      <c r="AF7" s="2"/>
      <c r="AG7" s="2021" t="s">
        <v>781</v>
      </c>
      <c r="AH7" s="2021"/>
      <c r="AI7" s="2021"/>
      <c r="AJ7" s="2021"/>
      <c r="AK7" s="2021"/>
      <c r="AL7" s="2"/>
      <c r="AM7" s="2"/>
      <c r="AN7" s="2"/>
      <c r="AO7" s="2"/>
      <c r="AP7" s="2"/>
      <c r="AQ7" s="2"/>
      <c r="AR7" s="2"/>
      <c r="AS7" s="2021" t="s">
        <v>784</v>
      </c>
      <c r="AT7" s="2021"/>
      <c r="AU7" s="2021"/>
      <c r="AV7" s="2021"/>
      <c r="AW7" s="2021"/>
      <c r="AX7" s="2"/>
      <c r="AY7" s="1097" t="s">
        <v>739</v>
      </c>
      <c r="AZ7" s="1383"/>
      <c r="BA7" s="2"/>
    </row>
    <row r="8" spans="1:53" ht="20.25" customHeight="1" x14ac:dyDescent="0.2">
      <c r="A8" s="2"/>
      <c r="B8" s="18">
        <v>1</v>
      </c>
      <c r="C8" s="234">
        <f>B8</f>
        <v>1</v>
      </c>
      <c r="D8" s="235">
        <v>7</v>
      </c>
      <c r="E8" s="2168" t="str">
        <f t="shared" ref="E8:E38" si="0">IF(AND(L$163=0,OR(V8&lt;B$162,V8&gt;B$163)),CONCATENATE(L$131,"  "),IF(AND((SUM(G8:H8)+K8+N8)&lt;&gt;0,AA8=Z$6),E$163,IF(AND((SUM(G8:H8)+K8+N8)=0,AA8=Z$6),E$162,IF(ISERROR($H$163),0,SUM(G8:H8)+K8+N8-SUMIF(G$42:N$42,K$134,G8:N8)))))</f>
        <v xml:space="preserve">attiva trim.  </v>
      </c>
      <c r="F8" s="2169"/>
      <c r="G8" s="304"/>
      <c r="H8" s="304"/>
      <c r="I8" s="830"/>
      <c r="J8" s="831"/>
      <c r="K8" s="304"/>
      <c r="L8" s="830"/>
      <c r="M8" s="831"/>
      <c r="N8" s="304"/>
      <c r="O8" s="830"/>
      <c r="P8" s="831"/>
      <c r="Q8" s="83"/>
      <c r="R8" s="1050">
        <f>IF(G$62=$L$134,0,IF(AND($L$163=0,$V8&gt;$B$163),0,IF(G$155="X",0,ROUND((G8*G$155)/(100+G$155),2))))</f>
        <v>0</v>
      </c>
      <c r="S8" s="1051">
        <f t="shared" ref="S8:S38" si="1">IF(H$62=$L$134,0,IF(AND($L$163=0,$V8&gt;$B$163),0,IF(H$155="X",0,ROUND((H8*H$155)/(100+H$155),2))))</f>
        <v>0</v>
      </c>
      <c r="T8" s="1051">
        <f>IF(K$62=$L$134,0,IF(AND($L$163=0,$V8&gt;$B$163),0,IF(I$155="X",0,ROUND((K8*I$155)/(100+I$155),2))))</f>
        <v>0</v>
      </c>
      <c r="U8" s="1052">
        <f>IF(N$62=$L$134,0,IF(AND($L$163=0,$V8&gt;$B$163),0,IF(J$155="X",0,ROUND((N8*J$155)/(100+J$155),2))))</f>
        <v>0</v>
      </c>
      <c r="V8" s="231">
        <f>DATE(C$6,D8,C8)</f>
        <v>45474</v>
      </c>
      <c r="W8" s="1050">
        <f t="shared" ref="W8:W38" si="2">IF(AND($L$163=0,$V8&gt;$B$163),0,G8-R8)</f>
        <v>0</v>
      </c>
      <c r="X8" s="1051">
        <f t="shared" ref="X8:X38" si="3">IF(AND($L$163=0,$V8&gt;$B$163),0,H8-S8)</f>
        <v>0</v>
      </c>
      <c r="Y8" s="1051">
        <f t="shared" ref="Y8:Y38" si="4">IF(AND($L$163=0,$V8&gt;$B$163),0,K8-T8)</f>
        <v>0</v>
      </c>
      <c r="Z8" s="1052">
        <f t="shared" ref="Z8:Z38" si="5">IF(AND($L$163=0,$V8&gt;$B$163),0,N8-U8)</f>
        <v>0</v>
      </c>
      <c r="AA8" s="822">
        <f>VLOOKUP(V8,CASSA!$B$114:$C$479,2,FALSE)</f>
        <v>0</v>
      </c>
      <c r="AB8" s="1050">
        <f>IF(AND(G$62=$L$134,$L$78&lt;&gt;0),$L$78/$G$65*G8,0)</f>
        <v>0</v>
      </c>
      <c r="AC8" s="1051">
        <f>IF(AND(H$62=$L$134,$L$78&lt;&gt;0),$L$78/$G$65*H8,0)</f>
        <v>0</v>
      </c>
      <c r="AD8" s="1051">
        <f>IF(AND(K$62=$L$134,$L$78&lt;&gt;0),$L$78/$G$65*K8,0)</f>
        <v>0</v>
      </c>
      <c r="AE8" s="1052">
        <f>IF(AND(N$62=$L$134,$L$78&lt;&gt;0),$L$78/$G$65*N8,0)</f>
        <v>0</v>
      </c>
      <c r="AF8" s="2"/>
      <c r="AG8" s="1087">
        <f>SUMIF($G$152:$J$152,1,W8:Z8)-SUM(AH8:AK8)</f>
        <v>0</v>
      </c>
      <c r="AH8" s="1088">
        <f>IF(AND($AG$6=1,$R$101&lt;&gt;0),$R$101/$R$96*SUMIF($G$152:$J$152,1,$W8:$Z8),0)</f>
        <v>0</v>
      </c>
      <c r="AI8" s="1051">
        <f>IF(AND($AG$6=1,$R$102&lt;&gt;0),$R$102/$R$96*SUMIF($G$152:$J$152,1,$W8:$Z8),0)</f>
        <v>0</v>
      </c>
      <c r="AJ8" s="1051">
        <f>IF(AND($AG$6=1,$R$103&lt;&gt;0),$R$103/$R$96*SUMIF($G$152:$J$152,1,$W8:$Z8),0)</f>
        <v>0</v>
      </c>
      <c r="AK8" s="1089">
        <f t="shared" ref="AK8:AK38" si="6">IF(AND($AG$6=1,$R$104&lt;&gt;0),$R$104/$R$96*SUMIF($G$152:$J$152,1,$W8:$Z8),0)</f>
        <v>0</v>
      </c>
      <c r="AL8" s="2"/>
      <c r="AM8" s="1087">
        <f t="shared" ref="AM8:AM38" si="7">SUMIF($G$42:$N$42,$K$134,$G8:$N8)</f>
        <v>0</v>
      </c>
      <c r="AN8" s="1104">
        <f>IF(G$42=$K$134,R8,0)</f>
        <v>0</v>
      </c>
      <c r="AO8" s="1051">
        <f>IF(H$42=$K$134,S8,0)</f>
        <v>0</v>
      </c>
      <c r="AP8" s="1051">
        <f>IF(K$42=$K$134,T8,0)</f>
        <v>0</v>
      </c>
      <c r="AQ8" s="1089">
        <f>IF(N$42=$K$134,U8,0)</f>
        <v>0</v>
      </c>
      <c r="AR8" s="2"/>
      <c r="AS8" s="1087">
        <f>IF(AG8&lt;&gt;0,AG8*$T$97/100,0)</f>
        <v>0</v>
      </c>
      <c r="AT8" s="1088">
        <f>IF(AH8&lt;&gt;0,AH8*$T$101/100,0)</f>
        <v>0</v>
      </c>
      <c r="AU8" s="1051">
        <f>IF(AI8&lt;&gt;0,AI8*$T$102/100,0)</f>
        <v>0</v>
      </c>
      <c r="AV8" s="1051">
        <f>IF(AJ8&lt;&gt;0,AJ8*$T$103/100,0)</f>
        <v>0</v>
      </c>
      <c r="AW8" s="1089">
        <f>IF(AK8&lt;&gt;0,AK8*$T$104/100,0)</f>
        <v>0</v>
      </c>
      <c r="AX8" s="2"/>
      <c r="AY8" s="1087">
        <f>IF(SUM(AB8:AE8)=0,0,SUM(AB8:AE8)*U$90/100)</f>
        <v>0</v>
      </c>
      <c r="AZ8" s="1384" t="s">
        <v>850</v>
      </c>
      <c r="BA8" s="2"/>
    </row>
    <row r="9" spans="1:53" ht="20.25" customHeight="1" x14ac:dyDescent="0.2">
      <c r="A9" s="2"/>
      <c r="B9" s="18">
        <v>2</v>
      </c>
      <c r="C9" s="234">
        <f>IF(D9="--","--",C8+1)</f>
        <v>2</v>
      </c>
      <c r="D9" s="235">
        <f t="shared" ref="D9:D38" si="8">IF(MONTH(V9)=D$8,D8,"--")</f>
        <v>7</v>
      </c>
      <c r="E9" s="2159" t="str">
        <f t="shared" si="0"/>
        <v xml:space="preserve">attiva trim.  </v>
      </c>
      <c r="F9" s="2160"/>
      <c r="G9" s="237"/>
      <c r="H9" s="237"/>
      <c r="I9" s="828"/>
      <c r="J9" s="829"/>
      <c r="K9" s="237"/>
      <c r="L9" s="828"/>
      <c r="M9" s="829"/>
      <c r="N9" s="237"/>
      <c r="O9" s="828"/>
      <c r="P9" s="829"/>
      <c r="Q9" s="83"/>
      <c r="R9" s="1053">
        <f t="shared" ref="R9:R38" si="9">IF(G$62=$L$134,0,IF(AND($L$163=0,$V9&gt;$B$163),0,IF(G$155="X",0,ROUND((G9*G$155)/(100+G$155),2))))</f>
        <v>0</v>
      </c>
      <c r="S9" s="1054">
        <f t="shared" si="1"/>
        <v>0</v>
      </c>
      <c r="T9" s="1054">
        <f t="shared" ref="T9:T38" si="10">IF(K$62=$L$134,0,IF(AND($L$163=0,$V9&gt;$B$163),0,IF(I$155="X",0,ROUND((K9*I$155)/(100+I$155),2))))</f>
        <v>0</v>
      </c>
      <c r="U9" s="1055">
        <f t="shared" ref="U9:U38" si="11">IF(N$62=$L$134,0,IF(AND($L$163=0,$V9&gt;$B$163),0,IF(J$155="X",0,ROUND((N9*J$155)/(100+J$155),2))))</f>
        <v>0</v>
      </c>
      <c r="V9" s="231">
        <f>V8+1</f>
        <v>45475</v>
      </c>
      <c r="W9" s="1053">
        <f t="shared" si="2"/>
        <v>0</v>
      </c>
      <c r="X9" s="1054">
        <f t="shared" si="3"/>
        <v>0</v>
      </c>
      <c r="Y9" s="1054">
        <f t="shared" si="4"/>
        <v>0</v>
      </c>
      <c r="Z9" s="1055">
        <f t="shared" si="5"/>
        <v>0</v>
      </c>
      <c r="AA9" s="822">
        <f>VLOOKUP(V9,CASSA!$B$114:$C$479,2,FALSE)</f>
        <v>0</v>
      </c>
      <c r="AB9" s="1053">
        <f t="shared" ref="AB9:AB38" si="12">IF(AND(G$62=$L$134,$L$78&lt;&gt;0),$L$78/$G$65*G9,0)</f>
        <v>0</v>
      </c>
      <c r="AC9" s="1054">
        <f t="shared" ref="AC9:AC38" si="13">IF(AND(H$62=$L$134,$L$78&lt;&gt;0),$L$78/$G$65*H9,0)</f>
        <v>0</v>
      </c>
      <c r="AD9" s="1054">
        <f t="shared" ref="AD9:AD38" si="14">IF(AND(K$62=$L$134,$L$78&lt;&gt;0),$L$78/$G$65*K9,0)</f>
        <v>0</v>
      </c>
      <c r="AE9" s="1055">
        <f t="shared" ref="AE9:AE38" si="15">IF(AND(N$62=$L$134,$L$78&lt;&gt;0),$L$78/$G$65*N9,0)</f>
        <v>0</v>
      </c>
      <c r="AF9" s="2"/>
      <c r="AG9" s="1090">
        <f t="shared" ref="AG9:AG38" si="16">SUMIF($G$152:$J$152,1,W9:Z9)-SUM(AH9:AK9)</f>
        <v>0</v>
      </c>
      <c r="AH9" s="1091">
        <f t="shared" ref="AH9:AH38" si="17">IF(AND($AG$6=1,$R$101&lt;&gt;0),$R$101/$R$96*SUMIF($G$152:$J$152,1,$W9:$Z9),0)</f>
        <v>0</v>
      </c>
      <c r="AI9" s="1054">
        <f t="shared" ref="AI9:AI38" si="18">IF(AND($AG$6=1,$R$102&lt;&gt;0),$R$102/$R$96*SUMIF($G$152:$J$152,1,$W9:$Z9),0)</f>
        <v>0</v>
      </c>
      <c r="AJ9" s="1054">
        <f t="shared" ref="AJ9:AJ38" si="19">IF(AND($AG$6=1,$R$103&lt;&gt;0),$R$103/$R$96*SUMIF($G$152:$J$152,1,$W9:$Z9),0)</f>
        <v>0</v>
      </c>
      <c r="AK9" s="1092">
        <f t="shared" si="6"/>
        <v>0</v>
      </c>
      <c r="AL9" s="2"/>
      <c r="AM9" s="1090">
        <f t="shared" si="7"/>
        <v>0</v>
      </c>
      <c r="AN9" s="1105">
        <f t="shared" ref="AN9:AN38" si="20">IF(G$42=$K$134,R9,0)</f>
        <v>0</v>
      </c>
      <c r="AO9" s="1054">
        <f t="shared" ref="AO9:AO38" si="21">IF(H$42=$K$134,S9,0)</f>
        <v>0</v>
      </c>
      <c r="AP9" s="1054">
        <f t="shared" ref="AP9:AP38" si="22">IF(K$42=$K$134,T9,0)</f>
        <v>0</v>
      </c>
      <c r="AQ9" s="1092">
        <f t="shared" ref="AQ9:AQ38" si="23">IF(N$42=$K$134,U9,0)</f>
        <v>0</v>
      </c>
      <c r="AR9" s="2"/>
      <c r="AS9" s="1090">
        <f t="shared" ref="AS9:AS38" si="24">IF(AG9&lt;&gt;0,AG9*$T$97/100,0)</f>
        <v>0</v>
      </c>
      <c r="AT9" s="1091">
        <f t="shared" ref="AT9:AT38" si="25">IF(AH9&lt;&gt;0,AH9*$T$101/100,0)</f>
        <v>0</v>
      </c>
      <c r="AU9" s="1054">
        <f t="shared" ref="AU9:AU38" si="26">IF(AI9&lt;&gt;0,AI9*$T$102/100,0)</f>
        <v>0</v>
      </c>
      <c r="AV9" s="1054">
        <f t="shared" ref="AV9:AV38" si="27">IF(AJ9&lt;&gt;0,AJ9*$T$103/100,0)</f>
        <v>0</v>
      </c>
      <c r="AW9" s="1092">
        <f t="shared" ref="AW9:AW38" si="28">IF(AK9&lt;&gt;0,AK9*$T$104/100,0)</f>
        <v>0</v>
      </c>
      <c r="AX9" s="2"/>
      <c r="AY9" s="1090">
        <f t="shared" ref="AY9:AY38" si="29">IF(SUM(AB9:AE9)=0,0,SUM(AB9:AE9)*U$90/100)</f>
        <v>0</v>
      </c>
      <c r="AZ9" s="1385" t="s">
        <v>851</v>
      </c>
      <c r="BA9" s="2"/>
    </row>
    <row r="10" spans="1:53" ht="20.25" customHeight="1" x14ac:dyDescent="0.2">
      <c r="A10" s="2"/>
      <c r="B10" s="18">
        <v>3</v>
      </c>
      <c r="C10" s="234">
        <f t="shared" ref="C10:C38" si="30">IF(D10="--","--",C9+1)</f>
        <v>3</v>
      </c>
      <c r="D10" s="235">
        <f t="shared" si="8"/>
        <v>7</v>
      </c>
      <c r="E10" s="2159" t="str">
        <f t="shared" si="0"/>
        <v xml:space="preserve">attiva trim.  </v>
      </c>
      <c r="F10" s="2160"/>
      <c r="G10" s="237"/>
      <c r="H10" s="237"/>
      <c r="I10" s="828"/>
      <c r="J10" s="829"/>
      <c r="K10" s="237"/>
      <c r="L10" s="828"/>
      <c r="M10" s="829"/>
      <c r="N10" s="237"/>
      <c r="O10" s="828"/>
      <c r="P10" s="829"/>
      <c r="Q10" s="83"/>
      <c r="R10" s="1053">
        <f t="shared" si="9"/>
        <v>0</v>
      </c>
      <c r="S10" s="1054">
        <f t="shared" si="1"/>
        <v>0</v>
      </c>
      <c r="T10" s="1054">
        <f t="shared" si="10"/>
        <v>0</v>
      </c>
      <c r="U10" s="1055">
        <f t="shared" si="11"/>
        <v>0</v>
      </c>
      <c r="V10" s="231">
        <f t="shared" ref="V10:V38" si="31">V9+1</f>
        <v>45476</v>
      </c>
      <c r="W10" s="1053">
        <f t="shared" si="2"/>
        <v>0</v>
      </c>
      <c r="X10" s="1054">
        <f t="shared" si="3"/>
        <v>0</v>
      </c>
      <c r="Y10" s="1054">
        <f t="shared" si="4"/>
        <v>0</v>
      </c>
      <c r="Z10" s="1055">
        <f t="shared" si="5"/>
        <v>0</v>
      </c>
      <c r="AA10" s="822">
        <f>VLOOKUP(V10,CASSA!$B$114:$C$479,2,FALSE)</f>
        <v>0</v>
      </c>
      <c r="AB10" s="1053">
        <f t="shared" si="12"/>
        <v>0</v>
      </c>
      <c r="AC10" s="1054">
        <f t="shared" si="13"/>
        <v>0</v>
      </c>
      <c r="AD10" s="1054">
        <f t="shared" si="14"/>
        <v>0</v>
      </c>
      <c r="AE10" s="1055">
        <f t="shared" si="15"/>
        <v>0</v>
      </c>
      <c r="AF10" s="2"/>
      <c r="AG10" s="1090">
        <f t="shared" si="16"/>
        <v>0</v>
      </c>
      <c r="AH10" s="1091">
        <f t="shared" si="17"/>
        <v>0</v>
      </c>
      <c r="AI10" s="1054">
        <f t="shared" si="18"/>
        <v>0</v>
      </c>
      <c r="AJ10" s="1054">
        <f t="shared" si="19"/>
        <v>0</v>
      </c>
      <c r="AK10" s="1092">
        <f t="shared" si="6"/>
        <v>0</v>
      </c>
      <c r="AL10" s="2"/>
      <c r="AM10" s="1090">
        <f t="shared" si="7"/>
        <v>0</v>
      </c>
      <c r="AN10" s="1105">
        <f t="shared" si="20"/>
        <v>0</v>
      </c>
      <c r="AO10" s="1054">
        <f t="shared" si="21"/>
        <v>0</v>
      </c>
      <c r="AP10" s="1054">
        <f t="shared" si="22"/>
        <v>0</v>
      </c>
      <c r="AQ10" s="1092">
        <f t="shared" si="23"/>
        <v>0</v>
      </c>
      <c r="AR10" s="2"/>
      <c r="AS10" s="1090">
        <f t="shared" si="24"/>
        <v>0</v>
      </c>
      <c r="AT10" s="1091">
        <f t="shared" si="25"/>
        <v>0</v>
      </c>
      <c r="AU10" s="1054">
        <f t="shared" si="26"/>
        <v>0</v>
      </c>
      <c r="AV10" s="1054">
        <f t="shared" si="27"/>
        <v>0</v>
      </c>
      <c r="AW10" s="1092">
        <f t="shared" si="28"/>
        <v>0</v>
      </c>
      <c r="AX10" s="2"/>
      <c r="AY10" s="1090">
        <f t="shared" si="29"/>
        <v>0</v>
      </c>
      <c r="AZ10" s="1385" t="s">
        <v>852</v>
      </c>
      <c r="BA10" s="2"/>
    </row>
    <row r="11" spans="1:53" ht="20.25" customHeight="1" x14ac:dyDescent="0.2">
      <c r="A11" s="2"/>
      <c r="B11" s="18">
        <v>4</v>
      </c>
      <c r="C11" s="234">
        <f t="shared" si="30"/>
        <v>4</v>
      </c>
      <c r="D11" s="235">
        <f t="shared" si="8"/>
        <v>7</v>
      </c>
      <c r="E11" s="2159" t="str">
        <f t="shared" si="0"/>
        <v xml:space="preserve">attiva trim.  </v>
      </c>
      <c r="F11" s="2160"/>
      <c r="G11" s="237"/>
      <c r="H11" s="237"/>
      <c r="I11" s="828"/>
      <c r="J11" s="829"/>
      <c r="K11" s="237"/>
      <c r="L11" s="828"/>
      <c r="M11" s="829"/>
      <c r="N11" s="237"/>
      <c r="O11" s="828"/>
      <c r="P11" s="829"/>
      <c r="Q11" s="6"/>
      <c r="R11" s="1053">
        <f t="shared" si="9"/>
        <v>0</v>
      </c>
      <c r="S11" s="1054">
        <f t="shared" si="1"/>
        <v>0</v>
      </c>
      <c r="T11" s="1054">
        <f t="shared" si="10"/>
        <v>0</v>
      </c>
      <c r="U11" s="1055">
        <f t="shared" si="11"/>
        <v>0</v>
      </c>
      <c r="V11" s="231">
        <f t="shared" si="31"/>
        <v>45477</v>
      </c>
      <c r="W11" s="1053">
        <f t="shared" si="2"/>
        <v>0</v>
      </c>
      <c r="X11" s="1054">
        <f t="shared" si="3"/>
        <v>0</v>
      </c>
      <c r="Y11" s="1054">
        <f t="shared" si="4"/>
        <v>0</v>
      </c>
      <c r="Z11" s="1055">
        <f t="shared" si="5"/>
        <v>0</v>
      </c>
      <c r="AA11" s="822">
        <f>VLOOKUP(V11,CASSA!$B$114:$C$479,2,FALSE)</f>
        <v>0</v>
      </c>
      <c r="AB11" s="1053">
        <f t="shared" si="12"/>
        <v>0</v>
      </c>
      <c r="AC11" s="1054">
        <f t="shared" si="13"/>
        <v>0</v>
      </c>
      <c r="AD11" s="1054">
        <f t="shared" si="14"/>
        <v>0</v>
      </c>
      <c r="AE11" s="1055">
        <f t="shared" si="15"/>
        <v>0</v>
      </c>
      <c r="AF11" s="2"/>
      <c r="AG11" s="1090">
        <f t="shared" si="16"/>
        <v>0</v>
      </c>
      <c r="AH11" s="1091">
        <f t="shared" si="17"/>
        <v>0</v>
      </c>
      <c r="AI11" s="1054">
        <f t="shared" si="18"/>
        <v>0</v>
      </c>
      <c r="AJ11" s="1054">
        <f t="shared" si="19"/>
        <v>0</v>
      </c>
      <c r="AK11" s="1092">
        <f t="shared" si="6"/>
        <v>0</v>
      </c>
      <c r="AL11" s="2"/>
      <c r="AM11" s="1090">
        <f t="shared" si="7"/>
        <v>0</v>
      </c>
      <c r="AN11" s="1105">
        <f t="shared" si="20"/>
        <v>0</v>
      </c>
      <c r="AO11" s="1054">
        <f t="shared" si="21"/>
        <v>0</v>
      </c>
      <c r="AP11" s="1054">
        <f t="shared" si="22"/>
        <v>0</v>
      </c>
      <c r="AQ11" s="1092">
        <f t="shared" si="23"/>
        <v>0</v>
      </c>
      <c r="AR11" s="2"/>
      <c r="AS11" s="1090">
        <f t="shared" si="24"/>
        <v>0</v>
      </c>
      <c r="AT11" s="1091">
        <f t="shared" si="25"/>
        <v>0</v>
      </c>
      <c r="AU11" s="1054">
        <f t="shared" si="26"/>
        <v>0</v>
      </c>
      <c r="AV11" s="1054">
        <f t="shared" si="27"/>
        <v>0</v>
      </c>
      <c r="AW11" s="1092">
        <f t="shared" si="28"/>
        <v>0</v>
      </c>
      <c r="AX11" s="2"/>
      <c r="AY11" s="1090">
        <f t="shared" si="29"/>
        <v>0</v>
      </c>
      <c r="AZ11" s="1385" t="s">
        <v>853</v>
      </c>
      <c r="BA11" s="2"/>
    </row>
    <row r="12" spans="1:53" ht="20.25" customHeight="1" x14ac:dyDescent="0.2">
      <c r="A12" s="2"/>
      <c r="B12" s="18">
        <v>5</v>
      </c>
      <c r="C12" s="234">
        <f t="shared" si="30"/>
        <v>5</v>
      </c>
      <c r="D12" s="235">
        <f t="shared" si="8"/>
        <v>7</v>
      </c>
      <c r="E12" s="2159" t="str">
        <f t="shared" si="0"/>
        <v xml:space="preserve">attiva trim.  </v>
      </c>
      <c r="F12" s="2160"/>
      <c r="G12" s="237"/>
      <c r="H12" s="237"/>
      <c r="I12" s="828"/>
      <c r="J12" s="829"/>
      <c r="K12" s="237"/>
      <c r="L12" s="828"/>
      <c r="M12" s="829"/>
      <c r="N12" s="237"/>
      <c r="O12" s="828"/>
      <c r="P12" s="829"/>
      <c r="Q12" s="6"/>
      <c r="R12" s="1053">
        <f t="shared" si="9"/>
        <v>0</v>
      </c>
      <c r="S12" s="1054">
        <f t="shared" si="1"/>
        <v>0</v>
      </c>
      <c r="T12" s="1054">
        <f t="shared" si="10"/>
        <v>0</v>
      </c>
      <c r="U12" s="1055">
        <f t="shared" si="11"/>
        <v>0</v>
      </c>
      <c r="V12" s="231">
        <f t="shared" si="31"/>
        <v>45478</v>
      </c>
      <c r="W12" s="1053">
        <f t="shared" si="2"/>
        <v>0</v>
      </c>
      <c r="X12" s="1054">
        <f t="shared" si="3"/>
        <v>0</v>
      </c>
      <c r="Y12" s="1054">
        <f t="shared" si="4"/>
        <v>0</v>
      </c>
      <c r="Z12" s="1055">
        <f t="shared" si="5"/>
        <v>0</v>
      </c>
      <c r="AA12" s="822">
        <f>VLOOKUP(V12,CASSA!$B$114:$C$479,2,FALSE)</f>
        <v>0</v>
      </c>
      <c r="AB12" s="1053">
        <f t="shared" si="12"/>
        <v>0</v>
      </c>
      <c r="AC12" s="1054">
        <f t="shared" si="13"/>
        <v>0</v>
      </c>
      <c r="AD12" s="1054">
        <f t="shared" si="14"/>
        <v>0</v>
      </c>
      <c r="AE12" s="1055">
        <f t="shared" si="15"/>
        <v>0</v>
      </c>
      <c r="AF12" s="2"/>
      <c r="AG12" s="1090">
        <f t="shared" si="16"/>
        <v>0</v>
      </c>
      <c r="AH12" s="1091">
        <f t="shared" si="17"/>
        <v>0</v>
      </c>
      <c r="AI12" s="1054">
        <f t="shared" si="18"/>
        <v>0</v>
      </c>
      <c r="AJ12" s="1054">
        <f t="shared" si="19"/>
        <v>0</v>
      </c>
      <c r="AK12" s="1092">
        <f t="shared" si="6"/>
        <v>0</v>
      </c>
      <c r="AL12" s="2"/>
      <c r="AM12" s="1090">
        <f t="shared" si="7"/>
        <v>0</v>
      </c>
      <c r="AN12" s="1105">
        <f t="shared" si="20"/>
        <v>0</v>
      </c>
      <c r="AO12" s="1054">
        <f t="shared" si="21"/>
        <v>0</v>
      </c>
      <c r="AP12" s="1054">
        <f t="shared" si="22"/>
        <v>0</v>
      </c>
      <c r="AQ12" s="1092">
        <f t="shared" si="23"/>
        <v>0</v>
      </c>
      <c r="AR12" s="2"/>
      <c r="AS12" s="1090">
        <f t="shared" si="24"/>
        <v>0</v>
      </c>
      <c r="AT12" s="1091">
        <f t="shared" si="25"/>
        <v>0</v>
      </c>
      <c r="AU12" s="1054">
        <f t="shared" si="26"/>
        <v>0</v>
      </c>
      <c r="AV12" s="1054">
        <f t="shared" si="27"/>
        <v>0</v>
      </c>
      <c r="AW12" s="1092">
        <f t="shared" si="28"/>
        <v>0</v>
      </c>
      <c r="AX12" s="2"/>
      <c r="AY12" s="1090">
        <f t="shared" si="29"/>
        <v>0</v>
      </c>
      <c r="AZ12" s="1385"/>
      <c r="BA12" s="2"/>
    </row>
    <row r="13" spans="1:53" ht="20.25" customHeight="1" x14ac:dyDescent="0.2">
      <c r="A13" s="2"/>
      <c r="B13" s="18">
        <v>6</v>
      </c>
      <c r="C13" s="234">
        <f t="shared" si="30"/>
        <v>6</v>
      </c>
      <c r="D13" s="235">
        <f t="shared" si="8"/>
        <v>7</v>
      </c>
      <c r="E13" s="2159" t="str">
        <f t="shared" si="0"/>
        <v xml:space="preserve">attiva trim.  </v>
      </c>
      <c r="F13" s="2160"/>
      <c r="G13" s="237"/>
      <c r="H13" s="237"/>
      <c r="I13" s="828"/>
      <c r="J13" s="829"/>
      <c r="K13" s="237"/>
      <c r="L13" s="828"/>
      <c r="M13" s="829"/>
      <c r="N13" s="237"/>
      <c r="O13" s="828"/>
      <c r="P13" s="829"/>
      <c r="Q13" s="6"/>
      <c r="R13" s="1053">
        <f t="shared" si="9"/>
        <v>0</v>
      </c>
      <c r="S13" s="1054">
        <f t="shared" si="1"/>
        <v>0</v>
      </c>
      <c r="T13" s="1054">
        <f t="shared" si="10"/>
        <v>0</v>
      </c>
      <c r="U13" s="1055">
        <f t="shared" si="11"/>
        <v>0</v>
      </c>
      <c r="V13" s="231">
        <f t="shared" si="31"/>
        <v>45479</v>
      </c>
      <c r="W13" s="1053">
        <f t="shared" si="2"/>
        <v>0</v>
      </c>
      <c r="X13" s="1054">
        <f t="shared" si="3"/>
        <v>0</v>
      </c>
      <c r="Y13" s="1054">
        <f t="shared" si="4"/>
        <v>0</v>
      </c>
      <c r="Z13" s="1055">
        <f t="shared" si="5"/>
        <v>0</v>
      </c>
      <c r="AA13" s="822">
        <f>VLOOKUP(V13,CASSA!$B$114:$C$479,2,FALSE)</f>
        <v>0</v>
      </c>
      <c r="AB13" s="1053">
        <f t="shared" si="12"/>
        <v>0</v>
      </c>
      <c r="AC13" s="1054">
        <f t="shared" si="13"/>
        <v>0</v>
      </c>
      <c r="AD13" s="1054">
        <f t="shared" si="14"/>
        <v>0</v>
      </c>
      <c r="AE13" s="1055">
        <f t="shared" si="15"/>
        <v>0</v>
      </c>
      <c r="AF13" s="2"/>
      <c r="AG13" s="1090">
        <f t="shared" si="16"/>
        <v>0</v>
      </c>
      <c r="AH13" s="1091">
        <f t="shared" si="17"/>
        <v>0</v>
      </c>
      <c r="AI13" s="1054">
        <f t="shared" si="18"/>
        <v>0</v>
      </c>
      <c r="AJ13" s="1054">
        <f t="shared" si="19"/>
        <v>0</v>
      </c>
      <c r="AK13" s="1092">
        <f t="shared" si="6"/>
        <v>0</v>
      </c>
      <c r="AL13" s="2"/>
      <c r="AM13" s="1090">
        <f t="shared" si="7"/>
        <v>0</v>
      </c>
      <c r="AN13" s="1105">
        <f t="shared" si="20"/>
        <v>0</v>
      </c>
      <c r="AO13" s="1054">
        <f t="shared" si="21"/>
        <v>0</v>
      </c>
      <c r="AP13" s="1054">
        <f t="shared" si="22"/>
        <v>0</v>
      </c>
      <c r="AQ13" s="1092">
        <f t="shared" si="23"/>
        <v>0</v>
      </c>
      <c r="AR13" s="2"/>
      <c r="AS13" s="1090">
        <f t="shared" si="24"/>
        <v>0</v>
      </c>
      <c r="AT13" s="1091">
        <f t="shared" si="25"/>
        <v>0</v>
      </c>
      <c r="AU13" s="1054">
        <f t="shared" si="26"/>
        <v>0</v>
      </c>
      <c r="AV13" s="1054">
        <f t="shared" si="27"/>
        <v>0</v>
      </c>
      <c r="AW13" s="1092">
        <f t="shared" si="28"/>
        <v>0</v>
      </c>
      <c r="AX13" s="2"/>
      <c r="AY13" s="1090">
        <f t="shared" si="29"/>
        <v>0</v>
      </c>
      <c r="AZ13" s="1385"/>
      <c r="BA13" s="2"/>
    </row>
    <row r="14" spans="1:53" ht="20.25" customHeight="1" x14ac:dyDescent="0.2">
      <c r="A14" s="2"/>
      <c r="B14" s="18">
        <v>7</v>
      </c>
      <c r="C14" s="234">
        <f t="shared" si="30"/>
        <v>7</v>
      </c>
      <c r="D14" s="235">
        <f t="shared" si="8"/>
        <v>7</v>
      </c>
      <c r="E14" s="2159" t="str">
        <f t="shared" si="0"/>
        <v xml:space="preserve">attiva trim.  </v>
      </c>
      <c r="F14" s="2160"/>
      <c r="G14" s="237"/>
      <c r="H14" s="237"/>
      <c r="I14" s="828"/>
      <c r="J14" s="829"/>
      <c r="K14" s="237"/>
      <c r="L14" s="828"/>
      <c r="M14" s="829"/>
      <c r="N14" s="237"/>
      <c r="O14" s="828"/>
      <c r="P14" s="829"/>
      <c r="Q14" s="6"/>
      <c r="R14" s="1053">
        <f t="shared" si="9"/>
        <v>0</v>
      </c>
      <c r="S14" s="1054">
        <f t="shared" si="1"/>
        <v>0</v>
      </c>
      <c r="T14" s="1054">
        <f t="shared" si="10"/>
        <v>0</v>
      </c>
      <c r="U14" s="1055">
        <f t="shared" si="11"/>
        <v>0</v>
      </c>
      <c r="V14" s="231">
        <f t="shared" si="31"/>
        <v>45480</v>
      </c>
      <c r="W14" s="1053">
        <f t="shared" si="2"/>
        <v>0</v>
      </c>
      <c r="X14" s="1054">
        <f t="shared" si="3"/>
        <v>0</v>
      </c>
      <c r="Y14" s="1054">
        <f t="shared" si="4"/>
        <v>0</v>
      </c>
      <c r="Z14" s="1055">
        <f t="shared" si="5"/>
        <v>0</v>
      </c>
      <c r="AA14" s="822">
        <f>VLOOKUP(V14,CASSA!$B$114:$C$479,2,FALSE)</f>
        <v>0</v>
      </c>
      <c r="AB14" s="1053">
        <f t="shared" si="12"/>
        <v>0</v>
      </c>
      <c r="AC14" s="1054">
        <f t="shared" si="13"/>
        <v>0</v>
      </c>
      <c r="AD14" s="1054">
        <f t="shared" si="14"/>
        <v>0</v>
      </c>
      <c r="AE14" s="1055">
        <f t="shared" si="15"/>
        <v>0</v>
      </c>
      <c r="AF14" s="2"/>
      <c r="AG14" s="1090">
        <f t="shared" si="16"/>
        <v>0</v>
      </c>
      <c r="AH14" s="1091">
        <f t="shared" si="17"/>
        <v>0</v>
      </c>
      <c r="AI14" s="1054">
        <f t="shared" si="18"/>
        <v>0</v>
      </c>
      <c r="AJ14" s="1054">
        <f t="shared" si="19"/>
        <v>0</v>
      </c>
      <c r="AK14" s="1092">
        <f t="shared" si="6"/>
        <v>0</v>
      </c>
      <c r="AL14" s="2"/>
      <c r="AM14" s="1090">
        <f t="shared" si="7"/>
        <v>0</v>
      </c>
      <c r="AN14" s="1105">
        <f t="shared" si="20"/>
        <v>0</v>
      </c>
      <c r="AO14" s="1054">
        <f t="shared" si="21"/>
        <v>0</v>
      </c>
      <c r="AP14" s="1054">
        <f t="shared" si="22"/>
        <v>0</v>
      </c>
      <c r="AQ14" s="1092">
        <f t="shared" si="23"/>
        <v>0</v>
      </c>
      <c r="AR14" s="2"/>
      <c r="AS14" s="1090">
        <f t="shared" si="24"/>
        <v>0</v>
      </c>
      <c r="AT14" s="1091">
        <f t="shared" si="25"/>
        <v>0</v>
      </c>
      <c r="AU14" s="1054">
        <f t="shared" si="26"/>
        <v>0</v>
      </c>
      <c r="AV14" s="1054">
        <f t="shared" si="27"/>
        <v>0</v>
      </c>
      <c r="AW14" s="1092">
        <f t="shared" si="28"/>
        <v>0</v>
      </c>
      <c r="AX14" s="2"/>
      <c r="AY14" s="1090">
        <f t="shared" si="29"/>
        <v>0</v>
      </c>
      <c r="AZ14" s="1385"/>
      <c r="BA14" s="2"/>
    </row>
    <row r="15" spans="1:53" ht="20.25" customHeight="1" x14ac:dyDescent="0.2">
      <c r="A15" s="2"/>
      <c r="B15" s="18">
        <v>8</v>
      </c>
      <c r="C15" s="234">
        <f t="shared" si="30"/>
        <v>8</v>
      </c>
      <c r="D15" s="235">
        <f t="shared" si="8"/>
        <v>7</v>
      </c>
      <c r="E15" s="2159" t="str">
        <f t="shared" si="0"/>
        <v xml:space="preserve">attiva trim.  </v>
      </c>
      <c r="F15" s="2160"/>
      <c r="G15" s="237"/>
      <c r="H15" s="237"/>
      <c r="I15" s="828"/>
      <c r="J15" s="829"/>
      <c r="K15" s="237"/>
      <c r="L15" s="828"/>
      <c r="M15" s="829"/>
      <c r="N15" s="237"/>
      <c r="O15" s="828"/>
      <c r="P15" s="829"/>
      <c r="Q15" s="6"/>
      <c r="R15" s="1053">
        <f t="shared" si="9"/>
        <v>0</v>
      </c>
      <c r="S15" s="1054">
        <f t="shared" si="1"/>
        <v>0</v>
      </c>
      <c r="T15" s="1054">
        <f t="shared" si="10"/>
        <v>0</v>
      </c>
      <c r="U15" s="1055">
        <f t="shared" si="11"/>
        <v>0</v>
      </c>
      <c r="V15" s="231">
        <f t="shared" si="31"/>
        <v>45481</v>
      </c>
      <c r="W15" s="1053">
        <f t="shared" si="2"/>
        <v>0</v>
      </c>
      <c r="X15" s="1054">
        <f t="shared" si="3"/>
        <v>0</v>
      </c>
      <c r="Y15" s="1054">
        <f t="shared" si="4"/>
        <v>0</v>
      </c>
      <c r="Z15" s="1055">
        <f t="shared" si="5"/>
        <v>0</v>
      </c>
      <c r="AA15" s="822">
        <f>VLOOKUP(V15,CASSA!$B$114:$C$479,2,FALSE)</f>
        <v>0</v>
      </c>
      <c r="AB15" s="1053">
        <f t="shared" si="12"/>
        <v>0</v>
      </c>
      <c r="AC15" s="1054">
        <f t="shared" si="13"/>
        <v>0</v>
      </c>
      <c r="AD15" s="1054">
        <f t="shared" si="14"/>
        <v>0</v>
      </c>
      <c r="AE15" s="1055">
        <f t="shared" si="15"/>
        <v>0</v>
      </c>
      <c r="AF15" s="2"/>
      <c r="AG15" s="1090">
        <f t="shared" si="16"/>
        <v>0</v>
      </c>
      <c r="AH15" s="1091">
        <f t="shared" si="17"/>
        <v>0</v>
      </c>
      <c r="AI15" s="1054">
        <f t="shared" si="18"/>
        <v>0</v>
      </c>
      <c r="AJ15" s="1054">
        <f t="shared" si="19"/>
        <v>0</v>
      </c>
      <c r="AK15" s="1092">
        <f t="shared" si="6"/>
        <v>0</v>
      </c>
      <c r="AL15" s="2"/>
      <c r="AM15" s="1090">
        <f t="shared" si="7"/>
        <v>0</v>
      </c>
      <c r="AN15" s="1105">
        <f t="shared" si="20"/>
        <v>0</v>
      </c>
      <c r="AO15" s="1054">
        <f t="shared" si="21"/>
        <v>0</v>
      </c>
      <c r="AP15" s="1054">
        <f t="shared" si="22"/>
        <v>0</v>
      </c>
      <c r="AQ15" s="1092">
        <f t="shared" si="23"/>
        <v>0</v>
      </c>
      <c r="AR15" s="2"/>
      <c r="AS15" s="1090">
        <f t="shared" si="24"/>
        <v>0</v>
      </c>
      <c r="AT15" s="1091">
        <f t="shared" si="25"/>
        <v>0</v>
      </c>
      <c r="AU15" s="1054">
        <f t="shared" si="26"/>
        <v>0</v>
      </c>
      <c r="AV15" s="1054">
        <f t="shared" si="27"/>
        <v>0</v>
      </c>
      <c r="AW15" s="1092">
        <f t="shared" si="28"/>
        <v>0</v>
      </c>
      <c r="AX15" s="2"/>
      <c r="AY15" s="1090">
        <f t="shared" si="29"/>
        <v>0</v>
      </c>
      <c r="AZ15" s="1385"/>
      <c r="BA15" s="2"/>
    </row>
    <row r="16" spans="1:53" ht="20.25" customHeight="1" x14ac:dyDescent="0.2">
      <c r="A16" s="2"/>
      <c r="B16" s="18">
        <v>9</v>
      </c>
      <c r="C16" s="234">
        <f t="shared" si="30"/>
        <v>9</v>
      </c>
      <c r="D16" s="235">
        <f t="shared" si="8"/>
        <v>7</v>
      </c>
      <c r="E16" s="2159" t="str">
        <f t="shared" si="0"/>
        <v xml:space="preserve">attiva trim.  </v>
      </c>
      <c r="F16" s="2160"/>
      <c r="G16" s="237"/>
      <c r="H16" s="237"/>
      <c r="I16" s="828"/>
      <c r="J16" s="829"/>
      <c r="K16" s="237"/>
      <c r="L16" s="828"/>
      <c r="M16" s="829"/>
      <c r="N16" s="237"/>
      <c r="O16" s="828"/>
      <c r="P16" s="829"/>
      <c r="Q16" s="6"/>
      <c r="R16" s="1053">
        <f t="shared" si="9"/>
        <v>0</v>
      </c>
      <c r="S16" s="1054">
        <f t="shared" si="1"/>
        <v>0</v>
      </c>
      <c r="T16" s="1054">
        <f t="shared" si="10"/>
        <v>0</v>
      </c>
      <c r="U16" s="1055">
        <f t="shared" si="11"/>
        <v>0</v>
      </c>
      <c r="V16" s="231">
        <f t="shared" si="31"/>
        <v>45482</v>
      </c>
      <c r="W16" s="1053">
        <f t="shared" si="2"/>
        <v>0</v>
      </c>
      <c r="X16" s="1054">
        <f t="shared" si="3"/>
        <v>0</v>
      </c>
      <c r="Y16" s="1054">
        <f t="shared" si="4"/>
        <v>0</v>
      </c>
      <c r="Z16" s="1055">
        <f t="shared" si="5"/>
        <v>0</v>
      </c>
      <c r="AA16" s="822">
        <f>VLOOKUP(V16,CASSA!$B$114:$C$479,2,FALSE)</f>
        <v>0</v>
      </c>
      <c r="AB16" s="1053">
        <f t="shared" si="12"/>
        <v>0</v>
      </c>
      <c r="AC16" s="1054">
        <f t="shared" si="13"/>
        <v>0</v>
      </c>
      <c r="AD16" s="1054">
        <f t="shared" si="14"/>
        <v>0</v>
      </c>
      <c r="AE16" s="1055">
        <f t="shared" si="15"/>
        <v>0</v>
      </c>
      <c r="AF16" s="2"/>
      <c r="AG16" s="1090">
        <f t="shared" si="16"/>
        <v>0</v>
      </c>
      <c r="AH16" s="1091">
        <f t="shared" si="17"/>
        <v>0</v>
      </c>
      <c r="AI16" s="1054">
        <f t="shared" si="18"/>
        <v>0</v>
      </c>
      <c r="AJ16" s="1054">
        <f t="shared" si="19"/>
        <v>0</v>
      </c>
      <c r="AK16" s="1092">
        <f t="shared" si="6"/>
        <v>0</v>
      </c>
      <c r="AL16" s="2"/>
      <c r="AM16" s="1090">
        <f t="shared" si="7"/>
        <v>0</v>
      </c>
      <c r="AN16" s="1105">
        <f t="shared" si="20"/>
        <v>0</v>
      </c>
      <c r="AO16" s="1054">
        <f t="shared" si="21"/>
        <v>0</v>
      </c>
      <c r="AP16" s="1054">
        <f t="shared" si="22"/>
        <v>0</v>
      </c>
      <c r="AQ16" s="1092">
        <f t="shared" si="23"/>
        <v>0</v>
      </c>
      <c r="AR16" s="2"/>
      <c r="AS16" s="1090">
        <f t="shared" si="24"/>
        <v>0</v>
      </c>
      <c r="AT16" s="1091">
        <f t="shared" si="25"/>
        <v>0</v>
      </c>
      <c r="AU16" s="1054">
        <f t="shared" si="26"/>
        <v>0</v>
      </c>
      <c r="AV16" s="1054">
        <f t="shared" si="27"/>
        <v>0</v>
      </c>
      <c r="AW16" s="1092">
        <f t="shared" si="28"/>
        <v>0</v>
      </c>
      <c r="AX16" s="2"/>
      <c r="AY16" s="1090">
        <f t="shared" si="29"/>
        <v>0</v>
      </c>
      <c r="AZ16" s="1385"/>
      <c r="BA16" s="2"/>
    </row>
    <row r="17" spans="1:53" ht="20.25" customHeight="1" x14ac:dyDescent="0.2">
      <c r="A17" s="2"/>
      <c r="B17" s="18">
        <v>10</v>
      </c>
      <c r="C17" s="234">
        <f t="shared" si="30"/>
        <v>10</v>
      </c>
      <c r="D17" s="235">
        <f t="shared" si="8"/>
        <v>7</v>
      </c>
      <c r="E17" s="2159" t="str">
        <f t="shared" si="0"/>
        <v xml:space="preserve">attiva trim.  </v>
      </c>
      <c r="F17" s="2160"/>
      <c r="G17" s="237"/>
      <c r="H17" s="237"/>
      <c r="I17" s="828"/>
      <c r="J17" s="829"/>
      <c r="K17" s="237"/>
      <c r="L17" s="828"/>
      <c r="M17" s="829"/>
      <c r="N17" s="237"/>
      <c r="O17" s="828"/>
      <c r="P17" s="829"/>
      <c r="Q17" s="6"/>
      <c r="R17" s="1053">
        <f t="shared" si="9"/>
        <v>0</v>
      </c>
      <c r="S17" s="1054">
        <f t="shared" si="1"/>
        <v>0</v>
      </c>
      <c r="T17" s="1054">
        <f t="shared" si="10"/>
        <v>0</v>
      </c>
      <c r="U17" s="1055">
        <f t="shared" si="11"/>
        <v>0</v>
      </c>
      <c r="V17" s="231">
        <f t="shared" si="31"/>
        <v>45483</v>
      </c>
      <c r="W17" s="1053">
        <f t="shared" si="2"/>
        <v>0</v>
      </c>
      <c r="X17" s="1054">
        <f t="shared" si="3"/>
        <v>0</v>
      </c>
      <c r="Y17" s="1054">
        <f t="shared" si="4"/>
        <v>0</v>
      </c>
      <c r="Z17" s="1055">
        <f t="shared" si="5"/>
        <v>0</v>
      </c>
      <c r="AA17" s="822">
        <f>VLOOKUP(V17,CASSA!$B$114:$C$479,2,FALSE)</f>
        <v>0</v>
      </c>
      <c r="AB17" s="1053">
        <f t="shared" si="12"/>
        <v>0</v>
      </c>
      <c r="AC17" s="1054">
        <f t="shared" si="13"/>
        <v>0</v>
      </c>
      <c r="AD17" s="1054">
        <f t="shared" si="14"/>
        <v>0</v>
      </c>
      <c r="AE17" s="1055">
        <f t="shared" si="15"/>
        <v>0</v>
      </c>
      <c r="AF17" s="2"/>
      <c r="AG17" s="1090">
        <f t="shared" si="16"/>
        <v>0</v>
      </c>
      <c r="AH17" s="1091">
        <f t="shared" si="17"/>
        <v>0</v>
      </c>
      <c r="AI17" s="1054">
        <f t="shared" si="18"/>
        <v>0</v>
      </c>
      <c r="AJ17" s="1054">
        <f t="shared" si="19"/>
        <v>0</v>
      </c>
      <c r="AK17" s="1092">
        <f t="shared" si="6"/>
        <v>0</v>
      </c>
      <c r="AL17" s="2"/>
      <c r="AM17" s="1090">
        <f t="shared" si="7"/>
        <v>0</v>
      </c>
      <c r="AN17" s="1105">
        <f t="shared" si="20"/>
        <v>0</v>
      </c>
      <c r="AO17" s="1054">
        <f t="shared" si="21"/>
        <v>0</v>
      </c>
      <c r="AP17" s="1054">
        <f t="shared" si="22"/>
        <v>0</v>
      </c>
      <c r="AQ17" s="1092">
        <f t="shared" si="23"/>
        <v>0</v>
      </c>
      <c r="AR17" s="2"/>
      <c r="AS17" s="1090">
        <f t="shared" si="24"/>
        <v>0</v>
      </c>
      <c r="AT17" s="1091">
        <f t="shared" si="25"/>
        <v>0</v>
      </c>
      <c r="AU17" s="1054">
        <f t="shared" si="26"/>
        <v>0</v>
      </c>
      <c r="AV17" s="1054">
        <f t="shared" si="27"/>
        <v>0</v>
      </c>
      <c r="AW17" s="1092">
        <f t="shared" si="28"/>
        <v>0</v>
      </c>
      <c r="AX17" s="2"/>
      <c r="AY17" s="1090">
        <f t="shared" si="29"/>
        <v>0</v>
      </c>
      <c r="AZ17" s="1385"/>
      <c r="BA17" s="2"/>
    </row>
    <row r="18" spans="1:53" ht="20.25" customHeight="1" x14ac:dyDescent="0.2">
      <c r="A18" s="2"/>
      <c r="B18" s="18">
        <v>11</v>
      </c>
      <c r="C18" s="234">
        <f t="shared" si="30"/>
        <v>11</v>
      </c>
      <c r="D18" s="235">
        <f t="shared" si="8"/>
        <v>7</v>
      </c>
      <c r="E18" s="2159" t="str">
        <f t="shared" si="0"/>
        <v xml:space="preserve">attiva trim.  </v>
      </c>
      <c r="F18" s="2160"/>
      <c r="G18" s="237"/>
      <c r="H18" s="237"/>
      <c r="I18" s="828"/>
      <c r="J18" s="829"/>
      <c r="K18" s="237"/>
      <c r="L18" s="828"/>
      <c r="M18" s="829"/>
      <c r="N18" s="237"/>
      <c r="O18" s="828"/>
      <c r="P18" s="829"/>
      <c r="Q18" s="6"/>
      <c r="R18" s="1053">
        <f t="shared" si="9"/>
        <v>0</v>
      </c>
      <c r="S18" s="1054">
        <f t="shared" si="1"/>
        <v>0</v>
      </c>
      <c r="T18" s="1054">
        <f t="shared" si="10"/>
        <v>0</v>
      </c>
      <c r="U18" s="1055">
        <f t="shared" si="11"/>
        <v>0</v>
      </c>
      <c r="V18" s="231">
        <f t="shared" si="31"/>
        <v>45484</v>
      </c>
      <c r="W18" s="1053">
        <f t="shared" si="2"/>
        <v>0</v>
      </c>
      <c r="X18" s="1054">
        <f t="shared" si="3"/>
        <v>0</v>
      </c>
      <c r="Y18" s="1054">
        <f t="shared" si="4"/>
        <v>0</v>
      </c>
      <c r="Z18" s="1055">
        <f t="shared" si="5"/>
        <v>0</v>
      </c>
      <c r="AA18" s="822">
        <f>VLOOKUP(V18,CASSA!$B$114:$C$479,2,FALSE)</f>
        <v>0</v>
      </c>
      <c r="AB18" s="1053">
        <f t="shared" si="12"/>
        <v>0</v>
      </c>
      <c r="AC18" s="1054">
        <f t="shared" si="13"/>
        <v>0</v>
      </c>
      <c r="AD18" s="1054">
        <f t="shared" si="14"/>
        <v>0</v>
      </c>
      <c r="AE18" s="1055">
        <f t="shared" si="15"/>
        <v>0</v>
      </c>
      <c r="AF18" s="2"/>
      <c r="AG18" s="1090">
        <f t="shared" si="16"/>
        <v>0</v>
      </c>
      <c r="AH18" s="1091">
        <f t="shared" si="17"/>
        <v>0</v>
      </c>
      <c r="AI18" s="1054">
        <f t="shared" si="18"/>
        <v>0</v>
      </c>
      <c r="AJ18" s="1054">
        <f t="shared" si="19"/>
        <v>0</v>
      </c>
      <c r="AK18" s="1092">
        <f t="shared" si="6"/>
        <v>0</v>
      </c>
      <c r="AL18" s="2"/>
      <c r="AM18" s="1090">
        <f t="shared" si="7"/>
        <v>0</v>
      </c>
      <c r="AN18" s="1105">
        <f t="shared" si="20"/>
        <v>0</v>
      </c>
      <c r="AO18" s="1054">
        <f t="shared" si="21"/>
        <v>0</v>
      </c>
      <c r="AP18" s="1054">
        <f t="shared" si="22"/>
        <v>0</v>
      </c>
      <c r="AQ18" s="1092">
        <f t="shared" si="23"/>
        <v>0</v>
      </c>
      <c r="AR18" s="2"/>
      <c r="AS18" s="1090">
        <f t="shared" si="24"/>
        <v>0</v>
      </c>
      <c r="AT18" s="1091">
        <f t="shared" si="25"/>
        <v>0</v>
      </c>
      <c r="AU18" s="1054">
        <f t="shared" si="26"/>
        <v>0</v>
      </c>
      <c r="AV18" s="1054">
        <f t="shared" si="27"/>
        <v>0</v>
      </c>
      <c r="AW18" s="1092">
        <f t="shared" si="28"/>
        <v>0</v>
      </c>
      <c r="AX18" s="2"/>
      <c r="AY18" s="1090">
        <f t="shared" si="29"/>
        <v>0</v>
      </c>
      <c r="AZ18" s="1385"/>
      <c r="BA18" s="2"/>
    </row>
    <row r="19" spans="1:53" ht="20.25" customHeight="1" x14ac:dyDescent="0.2">
      <c r="A19" s="2"/>
      <c r="B19" s="18">
        <v>12</v>
      </c>
      <c r="C19" s="234">
        <f t="shared" si="30"/>
        <v>12</v>
      </c>
      <c r="D19" s="235">
        <f t="shared" si="8"/>
        <v>7</v>
      </c>
      <c r="E19" s="2159" t="str">
        <f t="shared" si="0"/>
        <v xml:space="preserve">attiva trim.  </v>
      </c>
      <c r="F19" s="2160"/>
      <c r="G19" s="237"/>
      <c r="H19" s="237"/>
      <c r="I19" s="828"/>
      <c r="J19" s="829"/>
      <c r="K19" s="237"/>
      <c r="L19" s="828"/>
      <c r="M19" s="829"/>
      <c r="N19" s="237"/>
      <c r="O19" s="828"/>
      <c r="P19" s="829"/>
      <c r="Q19" s="6"/>
      <c r="R19" s="1053">
        <f t="shared" si="9"/>
        <v>0</v>
      </c>
      <c r="S19" s="1054">
        <f t="shared" si="1"/>
        <v>0</v>
      </c>
      <c r="T19" s="1054">
        <f t="shared" si="10"/>
        <v>0</v>
      </c>
      <c r="U19" s="1055">
        <f t="shared" si="11"/>
        <v>0</v>
      </c>
      <c r="V19" s="231">
        <f t="shared" si="31"/>
        <v>45485</v>
      </c>
      <c r="W19" s="1053">
        <f t="shared" si="2"/>
        <v>0</v>
      </c>
      <c r="X19" s="1054">
        <f t="shared" si="3"/>
        <v>0</v>
      </c>
      <c r="Y19" s="1054">
        <f t="shared" si="4"/>
        <v>0</v>
      </c>
      <c r="Z19" s="1055">
        <f t="shared" si="5"/>
        <v>0</v>
      </c>
      <c r="AA19" s="822">
        <f>VLOOKUP(V19,CASSA!$B$114:$C$479,2,FALSE)</f>
        <v>0</v>
      </c>
      <c r="AB19" s="1053">
        <f t="shared" si="12"/>
        <v>0</v>
      </c>
      <c r="AC19" s="1054">
        <f t="shared" si="13"/>
        <v>0</v>
      </c>
      <c r="AD19" s="1054">
        <f t="shared" si="14"/>
        <v>0</v>
      </c>
      <c r="AE19" s="1055">
        <f t="shared" si="15"/>
        <v>0</v>
      </c>
      <c r="AF19" s="2"/>
      <c r="AG19" s="1090">
        <f t="shared" si="16"/>
        <v>0</v>
      </c>
      <c r="AH19" s="1091">
        <f t="shared" si="17"/>
        <v>0</v>
      </c>
      <c r="AI19" s="1054">
        <f t="shared" si="18"/>
        <v>0</v>
      </c>
      <c r="AJ19" s="1054">
        <f t="shared" si="19"/>
        <v>0</v>
      </c>
      <c r="AK19" s="1092">
        <f t="shared" si="6"/>
        <v>0</v>
      </c>
      <c r="AL19" s="2"/>
      <c r="AM19" s="1090">
        <f t="shared" si="7"/>
        <v>0</v>
      </c>
      <c r="AN19" s="1105">
        <f t="shared" si="20"/>
        <v>0</v>
      </c>
      <c r="AO19" s="1054">
        <f t="shared" si="21"/>
        <v>0</v>
      </c>
      <c r="AP19" s="1054">
        <f t="shared" si="22"/>
        <v>0</v>
      </c>
      <c r="AQ19" s="1092">
        <f t="shared" si="23"/>
        <v>0</v>
      </c>
      <c r="AR19" s="2"/>
      <c r="AS19" s="1090">
        <f t="shared" si="24"/>
        <v>0</v>
      </c>
      <c r="AT19" s="1091">
        <f t="shared" si="25"/>
        <v>0</v>
      </c>
      <c r="AU19" s="1054">
        <f t="shared" si="26"/>
        <v>0</v>
      </c>
      <c r="AV19" s="1054">
        <f t="shared" si="27"/>
        <v>0</v>
      </c>
      <c r="AW19" s="1092">
        <f t="shared" si="28"/>
        <v>0</v>
      </c>
      <c r="AX19" s="2"/>
      <c r="AY19" s="1090">
        <f t="shared" si="29"/>
        <v>0</v>
      </c>
      <c r="AZ19" s="1385"/>
      <c r="BA19" s="2"/>
    </row>
    <row r="20" spans="1:53" ht="20.25" customHeight="1" x14ac:dyDescent="0.2">
      <c r="A20" s="2"/>
      <c r="B20" s="18">
        <v>13</v>
      </c>
      <c r="C20" s="234">
        <f t="shared" si="30"/>
        <v>13</v>
      </c>
      <c r="D20" s="235">
        <f t="shared" si="8"/>
        <v>7</v>
      </c>
      <c r="E20" s="2159" t="str">
        <f t="shared" si="0"/>
        <v xml:space="preserve">attiva trim.  </v>
      </c>
      <c r="F20" s="2160"/>
      <c r="G20" s="237"/>
      <c r="H20" s="237"/>
      <c r="I20" s="828"/>
      <c r="J20" s="829"/>
      <c r="K20" s="237"/>
      <c r="L20" s="828"/>
      <c r="M20" s="829"/>
      <c r="N20" s="237"/>
      <c r="O20" s="828"/>
      <c r="P20" s="829"/>
      <c r="Q20" s="6"/>
      <c r="R20" s="1053">
        <f t="shared" si="9"/>
        <v>0</v>
      </c>
      <c r="S20" s="1054">
        <f t="shared" si="1"/>
        <v>0</v>
      </c>
      <c r="T20" s="1054">
        <f t="shared" si="10"/>
        <v>0</v>
      </c>
      <c r="U20" s="1055">
        <f t="shared" si="11"/>
        <v>0</v>
      </c>
      <c r="V20" s="231">
        <f t="shared" si="31"/>
        <v>45486</v>
      </c>
      <c r="W20" s="1053">
        <f t="shared" si="2"/>
        <v>0</v>
      </c>
      <c r="X20" s="1054">
        <f t="shared" si="3"/>
        <v>0</v>
      </c>
      <c r="Y20" s="1054">
        <f t="shared" si="4"/>
        <v>0</v>
      </c>
      <c r="Z20" s="1055">
        <f t="shared" si="5"/>
        <v>0</v>
      </c>
      <c r="AA20" s="822">
        <f>VLOOKUP(V20,CASSA!$B$114:$C$479,2,FALSE)</f>
        <v>0</v>
      </c>
      <c r="AB20" s="1053">
        <f t="shared" si="12"/>
        <v>0</v>
      </c>
      <c r="AC20" s="1054">
        <f t="shared" si="13"/>
        <v>0</v>
      </c>
      <c r="AD20" s="1054">
        <f t="shared" si="14"/>
        <v>0</v>
      </c>
      <c r="AE20" s="1055">
        <f t="shared" si="15"/>
        <v>0</v>
      </c>
      <c r="AF20" s="2"/>
      <c r="AG20" s="1090">
        <f t="shared" si="16"/>
        <v>0</v>
      </c>
      <c r="AH20" s="1091">
        <f t="shared" si="17"/>
        <v>0</v>
      </c>
      <c r="AI20" s="1054">
        <f t="shared" si="18"/>
        <v>0</v>
      </c>
      <c r="AJ20" s="1054">
        <f t="shared" si="19"/>
        <v>0</v>
      </c>
      <c r="AK20" s="1092">
        <f t="shared" si="6"/>
        <v>0</v>
      </c>
      <c r="AL20" s="2"/>
      <c r="AM20" s="1090">
        <f t="shared" si="7"/>
        <v>0</v>
      </c>
      <c r="AN20" s="1105">
        <f t="shared" si="20"/>
        <v>0</v>
      </c>
      <c r="AO20" s="1054">
        <f t="shared" si="21"/>
        <v>0</v>
      </c>
      <c r="AP20" s="1054">
        <f t="shared" si="22"/>
        <v>0</v>
      </c>
      <c r="AQ20" s="1092">
        <f t="shared" si="23"/>
        <v>0</v>
      </c>
      <c r="AR20" s="2"/>
      <c r="AS20" s="1090">
        <f t="shared" si="24"/>
        <v>0</v>
      </c>
      <c r="AT20" s="1091">
        <f t="shared" si="25"/>
        <v>0</v>
      </c>
      <c r="AU20" s="1054">
        <f t="shared" si="26"/>
        <v>0</v>
      </c>
      <c r="AV20" s="1054">
        <f t="shared" si="27"/>
        <v>0</v>
      </c>
      <c r="AW20" s="1092">
        <f t="shared" si="28"/>
        <v>0</v>
      </c>
      <c r="AX20" s="2"/>
      <c r="AY20" s="1090">
        <f t="shared" si="29"/>
        <v>0</v>
      </c>
      <c r="AZ20" s="1385"/>
      <c r="BA20" s="2"/>
    </row>
    <row r="21" spans="1:53" ht="20.25" customHeight="1" x14ac:dyDescent="0.2">
      <c r="A21" s="2"/>
      <c r="B21" s="18">
        <v>14</v>
      </c>
      <c r="C21" s="234">
        <f t="shared" si="30"/>
        <v>14</v>
      </c>
      <c r="D21" s="235">
        <f t="shared" si="8"/>
        <v>7</v>
      </c>
      <c r="E21" s="2159" t="str">
        <f t="shared" si="0"/>
        <v xml:space="preserve">attiva trim.  </v>
      </c>
      <c r="F21" s="2160"/>
      <c r="G21" s="237"/>
      <c r="H21" s="237"/>
      <c r="I21" s="828"/>
      <c r="J21" s="829"/>
      <c r="K21" s="237"/>
      <c r="L21" s="828"/>
      <c r="M21" s="829"/>
      <c r="N21" s="237"/>
      <c r="O21" s="828"/>
      <c r="P21" s="829"/>
      <c r="Q21" s="6"/>
      <c r="R21" s="1053">
        <f t="shared" si="9"/>
        <v>0</v>
      </c>
      <c r="S21" s="1054">
        <f t="shared" si="1"/>
        <v>0</v>
      </c>
      <c r="T21" s="1054">
        <f t="shared" si="10"/>
        <v>0</v>
      </c>
      <c r="U21" s="1055">
        <f t="shared" si="11"/>
        <v>0</v>
      </c>
      <c r="V21" s="231">
        <f t="shared" si="31"/>
        <v>45487</v>
      </c>
      <c r="W21" s="1053">
        <f t="shared" si="2"/>
        <v>0</v>
      </c>
      <c r="X21" s="1054">
        <f t="shared" si="3"/>
        <v>0</v>
      </c>
      <c r="Y21" s="1054">
        <f t="shared" si="4"/>
        <v>0</v>
      </c>
      <c r="Z21" s="1055">
        <f t="shared" si="5"/>
        <v>0</v>
      </c>
      <c r="AA21" s="822">
        <f>VLOOKUP(V21,CASSA!$B$114:$C$479,2,FALSE)</f>
        <v>0</v>
      </c>
      <c r="AB21" s="1053">
        <f t="shared" si="12"/>
        <v>0</v>
      </c>
      <c r="AC21" s="1054">
        <f t="shared" si="13"/>
        <v>0</v>
      </c>
      <c r="AD21" s="1054">
        <f t="shared" si="14"/>
        <v>0</v>
      </c>
      <c r="AE21" s="1055">
        <f t="shared" si="15"/>
        <v>0</v>
      </c>
      <c r="AF21" s="2"/>
      <c r="AG21" s="1090">
        <f t="shared" si="16"/>
        <v>0</v>
      </c>
      <c r="AH21" s="1091">
        <f t="shared" si="17"/>
        <v>0</v>
      </c>
      <c r="AI21" s="1054">
        <f t="shared" si="18"/>
        <v>0</v>
      </c>
      <c r="AJ21" s="1054">
        <f t="shared" si="19"/>
        <v>0</v>
      </c>
      <c r="AK21" s="1092">
        <f t="shared" si="6"/>
        <v>0</v>
      </c>
      <c r="AL21" s="2"/>
      <c r="AM21" s="1090">
        <f t="shared" si="7"/>
        <v>0</v>
      </c>
      <c r="AN21" s="1105">
        <f t="shared" si="20"/>
        <v>0</v>
      </c>
      <c r="AO21" s="1054">
        <f t="shared" si="21"/>
        <v>0</v>
      </c>
      <c r="AP21" s="1054">
        <f t="shared" si="22"/>
        <v>0</v>
      </c>
      <c r="AQ21" s="1092">
        <f t="shared" si="23"/>
        <v>0</v>
      </c>
      <c r="AR21" s="2"/>
      <c r="AS21" s="1090">
        <f t="shared" si="24"/>
        <v>0</v>
      </c>
      <c r="AT21" s="1091">
        <f t="shared" si="25"/>
        <v>0</v>
      </c>
      <c r="AU21" s="1054">
        <f t="shared" si="26"/>
        <v>0</v>
      </c>
      <c r="AV21" s="1054">
        <f t="shared" si="27"/>
        <v>0</v>
      </c>
      <c r="AW21" s="1092">
        <f t="shared" si="28"/>
        <v>0</v>
      </c>
      <c r="AX21" s="2"/>
      <c r="AY21" s="1090">
        <f t="shared" si="29"/>
        <v>0</v>
      </c>
      <c r="AZ21" s="1385"/>
      <c r="BA21" s="2"/>
    </row>
    <row r="22" spans="1:53" ht="20.25" customHeight="1" x14ac:dyDescent="0.2">
      <c r="A22" s="2"/>
      <c r="B22" s="18">
        <v>15</v>
      </c>
      <c r="C22" s="234">
        <f t="shared" si="30"/>
        <v>15</v>
      </c>
      <c r="D22" s="235">
        <f t="shared" si="8"/>
        <v>7</v>
      </c>
      <c r="E22" s="2159" t="str">
        <f t="shared" si="0"/>
        <v xml:space="preserve">attiva trim.  </v>
      </c>
      <c r="F22" s="2160"/>
      <c r="G22" s="237"/>
      <c r="H22" s="237"/>
      <c r="I22" s="828"/>
      <c r="J22" s="829"/>
      <c r="K22" s="237"/>
      <c r="L22" s="828"/>
      <c r="M22" s="829"/>
      <c r="N22" s="237"/>
      <c r="O22" s="828"/>
      <c r="P22" s="829"/>
      <c r="Q22" s="6"/>
      <c r="R22" s="1053">
        <f t="shared" si="9"/>
        <v>0</v>
      </c>
      <c r="S22" s="1054">
        <f t="shared" si="1"/>
        <v>0</v>
      </c>
      <c r="T22" s="1054">
        <f t="shared" si="10"/>
        <v>0</v>
      </c>
      <c r="U22" s="1055">
        <f t="shared" si="11"/>
        <v>0</v>
      </c>
      <c r="V22" s="231">
        <f t="shared" si="31"/>
        <v>45488</v>
      </c>
      <c r="W22" s="1053">
        <f t="shared" si="2"/>
        <v>0</v>
      </c>
      <c r="X22" s="1054">
        <f t="shared" si="3"/>
        <v>0</v>
      </c>
      <c r="Y22" s="1054">
        <f t="shared" si="4"/>
        <v>0</v>
      </c>
      <c r="Z22" s="1055">
        <f t="shared" si="5"/>
        <v>0</v>
      </c>
      <c r="AA22" s="822">
        <f>VLOOKUP(V22,CASSA!$B$114:$C$479,2,FALSE)</f>
        <v>0</v>
      </c>
      <c r="AB22" s="1053">
        <f t="shared" si="12"/>
        <v>0</v>
      </c>
      <c r="AC22" s="1054">
        <f t="shared" si="13"/>
        <v>0</v>
      </c>
      <c r="AD22" s="1054">
        <f t="shared" si="14"/>
        <v>0</v>
      </c>
      <c r="AE22" s="1055">
        <f t="shared" si="15"/>
        <v>0</v>
      </c>
      <c r="AF22" s="2"/>
      <c r="AG22" s="1090">
        <f t="shared" si="16"/>
        <v>0</v>
      </c>
      <c r="AH22" s="1091">
        <f t="shared" si="17"/>
        <v>0</v>
      </c>
      <c r="AI22" s="1054">
        <f t="shared" si="18"/>
        <v>0</v>
      </c>
      <c r="AJ22" s="1054">
        <f t="shared" si="19"/>
        <v>0</v>
      </c>
      <c r="AK22" s="1092">
        <f t="shared" si="6"/>
        <v>0</v>
      </c>
      <c r="AL22" s="2"/>
      <c r="AM22" s="1090">
        <f t="shared" si="7"/>
        <v>0</v>
      </c>
      <c r="AN22" s="1105">
        <f t="shared" si="20"/>
        <v>0</v>
      </c>
      <c r="AO22" s="1054">
        <f t="shared" si="21"/>
        <v>0</v>
      </c>
      <c r="AP22" s="1054">
        <f t="shared" si="22"/>
        <v>0</v>
      </c>
      <c r="AQ22" s="1092">
        <f t="shared" si="23"/>
        <v>0</v>
      </c>
      <c r="AR22" s="2"/>
      <c r="AS22" s="1090">
        <f t="shared" si="24"/>
        <v>0</v>
      </c>
      <c r="AT22" s="1091">
        <f t="shared" si="25"/>
        <v>0</v>
      </c>
      <c r="AU22" s="1054">
        <f t="shared" si="26"/>
        <v>0</v>
      </c>
      <c r="AV22" s="1054">
        <f t="shared" si="27"/>
        <v>0</v>
      </c>
      <c r="AW22" s="1092">
        <f t="shared" si="28"/>
        <v>0</v>
      </c>
      <c r="AX22" s="2"/>
      <c r="AY22" s="1090">
        <f t="shared" si="29"/>
        <v>0</v>
      </c>
      <c r="AZ22" s="1385"/>
      <c r="BA22" s="2"/>
    </row>
    <row r="23" spans="1:53" ht="20.25" customHeight="1" x14ac:dyDescent="0.2">
      <c r="A23" s="2"/>
      <c r="B23" s="18">
        <v>16</v>
      </c>
      <c r="C23" s="234">
        <f t="shared" si="30"/>
        <v>16</v>
      </c>
      <c r="D23" s="235">
        <f t="shared" si="8"/>
        <v>7</v>
      </c>
      <c r="E23" s="2159" t="str">
        <f t="shared" si="0"/>
        <v xml:space="preserve">attiva trim.  </v>
      </c>
      <c r="F23" s="2160"/>
      <c r="G23" s="237"/>
      <c r="H23" s="237"/>
      <c r="I23" s="828"/>
      <c r="J23" s="829"/>
      <c r="K23" s="237"/>
      <c r="L23" s="828"/>
      <c r="M23" s="829"/>
      <c r="N23" s="237"/>
      <c r="O23" s="828"/>
      <c r="P23" s="829"/>
      <c r="Q23" s="6"/>
      <c r="R23" s="1053">
        <f t="shared" si="9"/>
        <v>0</v>
      </c>
      <c r="S23" s="1054">
        <f t="shared" si="1"/>
        <v>0</v>
      </c>
      <c r="T23" s="1054">
        <f t="shared" si="10"/>
        <v>0</v>
      </c>
      <c r="U23" s="1055">
        <f t="shared" si="11"/>
        <v>0</v>
      </c>
      <c r="V23" s="231">
        <f t="shared" si="31"/>
        <v>45489</v>
      </c>
      <c r="W23" s="1053">
        <f t="shared" si="2"/>
        <v>0</v>
      </c>
      <c r="X23" s="1054">
        <f t="shared" si="3"/>
        <v>0</v>
      </c>
      <c r="Y23" s="1054">
        <f t="shared" si="4"/>
        <v>0</v>
      </c>
      <c r="Z23" s="1055">
        <f t="shared" si="5"/>
        <v>0</v>
      </c>
      <c r="AA23" s="822">
        <f>VLOOKUP(V23,CASSA!$B$114:$C$479,2,FALSE)</f>
        <v>0</v>
      </c>
      <c r="AB23" s="1053">
        <f t="shared" si="12"/>
        <v>0</v>
      </c>
      <c r="AC23" s="1054">
        <f t="shared" si="13"/>
        <v>0</v>
      </c>
      <c r="AD23" s="1054">
        <f t="shared" si="14"/>
        <v>0</v>
      </c>
      <c r="AE23" s="1055">
        <f t="shared" si="15"/>
        <v>0</v>
      </c>
      <c r="AF23" s="2"/>
      <c r="AG23" s="1090">
        <f t="shared" si="16"/>
        <v>0</v>
      </c>
      <c r="AH23" s="1091">
        <f t="shared" si="17"/>
        <v>0</v>
      </c>
      <c r="AI23" s="1054">
        <f t="shared" si="18"/>
        <v>0</v>
      </c>
      <c r="AJ23" s="1054">
        <f t="shared" si="19"/>
        <v>0</v>
      </c>
      <c r="AK23" s="1092">
        <f t="shared" si="6"/>
        <v>0</v>
      </c>
      <c r="AL23" s="2"/>
      <c r="AM23" s="1090">
        <f t="shared" si="7"/>
        <v>0</v>
      </c>
      <c r="AN23" s="1105">
        <f t="shared" si="20"/>
        <v>0</v>
      </c>
      <c r="AO23" s="1054">
        <f t="shared" si="21"/>
        <v>0</v>
      </c>
      <c r="AP23" s="1054">
        <f t="shared" si="22"/>
        <v>0</v>
      </c>
      <c r="AQ23" s="1092">
        <f t="shared" si="23"/>
        <v>0</v>
      </c>
      <c r="AR23" s="2"/>
      <c r="AS23" s="1090">
        <f t="shared" si="24"/>
        <v>0</v>
      </c>
      <c r="AT23" s="1091">
        <f t="shared" si="25"/>
        <v>0</v>
      </c>
      <c r="AU23" s="1054">
        <f t="shared" si="26"/>
        <v>0</v>
      </c>
      <c r="AV23" s="1054">
        <f t="shared" si="27"/>
        <v>0</v>
      </c>
      <c r="AW23" s="1092">
        <f t="shared" si="28"/>
        <v>0</v>
      </c>
      <c r="AX23" s="2"/>
      <c r="AY23" s="1090">
        <f t="shared" si="29"/>
        <v>0</v>
      </c>
      <c r="AZ23" s="1385"/>
      <c r="BA23" s="2"/>
    </row>
    <row r="24" spans="1:53" ht="20.25" customHeight="1" x14ac:dyDescent="0.2">
      <c r="A24" s="2"/>
      <c r="B24" s="18">
        <v>17</v>
      </c>
      <c r="C24" s="234">
        <f t="shared" si="30"/>
        <v>17</v>
      </c>
      <c r="D24" s="235">
        <f t="shared" si="8"/>
        <v>7</v>
      </c>
      <c r="E24" s="2159" t="str">
        <f t="shared" si="0"/>
        <v xml:space="preserve">attiva trim.  </v>
      </c>
      <c r="F24" s="2160"/>
      <c r="G24" s="237"/>
      <c r="H24" s="237"/>
      <c r="I24" s="828"/>
      <c r="J24" s="829"/>
      <c r="K24" s="237"/>
      <c r="L24" s="828"/>
      <c r="M24" s="829"/>
      <c r="N24" s="237"/>
      <c r="O24" s="828"/>
      <c r="P24" s="829"/>
      <c r="Q24" s="6"/>
      <c r="R24" s="1053">
        <f t="shared" si="9"/>
        <v>0</v>
      </c>
      <c r="S24" s="1054">
        <f t="shared" si="1"/>
        <v>0</v>
      </c>
      <c r="T24" s="1054">
        <f t="shared" si="10"/>
        <v>0</v>
      </c>
      <c r="U24" s="1055">
        <f t="shared" si="11"/>
        <v>0</v>
      </c>
      <c r="V24" s="231">
        <f t="shared" si="31"/>
        <v>45490</v>
      </c>
      <c r="W24" s="1053">
        <f t="shared" si="2"/>
        <v>0</v>
      </c>
      <c r="X24" s="1054">
        <f t="shared" si="3"/>
        <v>0</v>
      </c>
      <c r="Y24" s="1054">
        <f t="shared" si="4"/>
        <v>0</v>
      </c>
      <c r="Z24" s="1055">
        <f t="shared" si="5"/>
        <v>0</v>
      </c>
      <c r="AA24" s="822">
        <f>VLOOKUP(V24,CASSA!$B$114:$C$479,2,FALSE)</f>
        <v>0</v>
      </c>
      <c r="AB24" s="1053">
        <f t="shared" si="12"/>
        <v>0</v>
      </c>
      <c r="AC24" s="1054">
        <f t="shared" si="13"/>
        <v>0</v>
      </c>
      <c r="AD24" s="1054">
        <f t="shared" si="14"/>
        <v>0</v>
      </c>
      <c r="AE24" s="1055">
        <f t="shared" si="15"/>
        <v>0</v>
      </c>
      <c r="AF24" s="2"/>
      <c r="AG24" s="1090">
        <f t="shared" si="16"/>
        <v>0</v>
      </c>
      <c r="AH24" s="1091">
        <f t="shared" si="17"/>
        <v>0</v>
      </c>
      <c r="AI24" s="1054">
        <f t="shared" si="18"/>
        <v>0</v>
      </c>
      <c r="AJ24" s="1054">
        <f t="shared" si="19"/>
        <v>0</v>
      </c>
      <c r="AK24" s="1092">
        <f t="shared" si="6"/>
        <v>0</v>
      </c>
      <c r="AL24" s="2"/>
      <c r="AM24" s="1090">
        <f t="shared" si="7"/>
        <v>0</v>
      </c>
      <c r="AN24" s="1105">
        <f t="shared" si="20"/>
        <v>0</v>
      </c>
      <c r="AO24" s="1054">
        <f t="shared" si="21"/>
        <v>0</v>
      </c>
      <c r="AP24" s="1054">
        <f t="shared" si="22"/>
        <v>0</v>
      </c>
      <c r="AQ24" s="1092">
        <f t="shared" si="23"/>
        <v>0</v>
      </c>
      <c r="AR24" s="2"/>
      <c r="AS24" s="1090">
        <f t="shared" si="24"/>
        <v>0</v>
      </c>
      <c r="AT24" s="1091">
        <f t="shared" si="25"/>
        <v>0</v>
      </c>
      <c r="AU24" s="1054">
        <f t="shared" si="26"/>
        <v>0</v>
      </c>
      <c r="AV24" s="1054">
        <f t="shared" si="27"/>
        <v>0</v>
      </c>
      <c r="AW24" s="1092">
        <f t="shared" si="28"/>
        <v>0</v>
      </c>
      <c r="AX24" s="2"/>
      <c r="AY24" s="1090">
        <f t="shared" si="29"/>
        <v>0</v>
      </c>
      <c r="AZ24" s="1385"/>
      <c r="BA24" s="2"/>
    </row>
    <row r="25" spans="1:53" ht="20.25" customHeight="1" x14ac:dyDescent="0.2">
      <c r="A25" s="2"/>
      <c r="B25" s="18">
        <v>18</v>
      </c>
      <c r="C25" s="234">
        <f t="shared" si="30"/>
        <v>18</v>
      </c>
      <c r="D25" s="235">
        <f t="shared" si="8"/>
        <v>7</v>
      </c>
      <c r="E25" s="2159" t="str">
        <f t="shared" si="0"/>
        <v xml:space="preserve">attiva trim.  </v>
      </c>
      <c r="F25" s="2160"/>
      <c r="G25" s="237"/>
      <c r="H25" s="237"/>
      <c r="I25" s="828"/>
      <c r="J25" s="829"/>
      <c r="K25" s="237"/>
      <c r="L25" s="828"/>
      <c r="M25" s="829"/>
      <c r="N25" s="237"/>
      <c r="O25" s="828"/>
      <c r="P25" s="829"/>
      <c r="Q25" s="6"/>
      <c r="R25" s="1053">
        <f t="shared" si="9"/>
        <v>0</v>
      </c>
      <c r="S25" s="1054">
        <f t="shared" si="1"/>
        <v>0</v>
      </c>
      <c r="T25" s="1054">
        <f t="shared" si="10"/>
        <v>0</v>
      </c>
      <c r="U25" s="1055">
        <f t="shared" si="11"/>
        <v>0</v>
      </c>
      <c r="V25" s="231">
        <f t="shared" si="31"/>
        <v>45491</v>
      </c>
      <c r="W25" s="1053">
        <f t="shared" si="2"/>
        <v>0</v>
      </c>
      <c r="X25" s="1054">
        <f t="shared" si="3"/>
        <v>0</v>
      </c>
      <c r="Y25" s="1054">
        <f t="shared" si="4"/>
        <v>0</v>
      </c>
      <c r="Z25" s="1055">
        <f t="shared" si="5"/>
        <v>0</v>
      </c>
      <c r="AA25" s="822">
        <f>VLOOKUP(V25,CASSA!$B$114:$C$479,2,FALSE)</f>
        <v>0</v>
      </c>
      <c r="AB25" s="1053">
        <f t="shared" si="12"/>
        <v>0</v>
      </c>
      <c r="AC25" s="1054">
        <f t="shared" si="13"/>
        <v>0</v>
      </c>
      <c r="AD25" s="1054">
        <f t="shared" si="14"/>
        <v>0</v>
      </c>
      <c r="AE25" s="1055">
        <f t="shared" si="15"/>
        <v>0</v>
      </c>
      <c r="AF25" s="2"/>
      <c r="AG25" s="1090">
        <f t="shared" si="16"/>
        <v>0</v>
      </c>
      <c r="AH25" s="1091">
        <f t="shared" si="17"/>
        <v>0</v>
      </c>
      <c r="AI25" s="1054">
        <f t="shared" si="18"/>
        <v>0</v>
      </c>
      <c r="AJ25" s="1054">
        <f t="shared" si="19"/>
        <v>0</v>
      </c>
      <c r="AK25" s="1092">
        <f t="shared" si="6"/>
        <v>0</v>
      </c>
      <c r="AL25" s="2"/>
      <c r="AM25" s="1090">
        <f t="shared" si="7"/>
        <v>0</v>
      </c>
      <c r="AN25" s="1105">
        <f t="shared" si="20"/>
        <v>0</v>
      </c>
      <c r="AO25" s="1054">
        <f t="shared" si="21"/>
        <v>0</v>
      </c>
      <c r="AP25" s="1054">
        <f t="shared" si="22"/>
        <v>0</v>
      </c>
      <c r="AQ25" s="1092">
        <f t="shared" si="23"/>
        <v>0</v>
      </c>
      <c r="AR25" s="2"/>
      <c r="AS25" s="1090">
        <f t="shared" si="24"/>
        <v>0</v>
      </c>
      <c r="AT25" s="1091">
        <f t="shared" si="25"/>
        <v>0</v>
      </c>
      <c r="AU25" s="1054">
        <f t="shared" si="26"/>
        <v>0</v>
      </c>
      <c r="AV25" s="1054">
        <f t="shared" si="27"/>
        <v>0</v>
      </c>
      <c r="AW25" s="1092">
        <f t="shared" si="28"/>
        <v>0</v>
      </c>
      <c r="AX25" s="2"/>
      <c r="AY25" s="1090">
        <f t="shared" si="29"/>
        <v>0</v>
      </c>
      <c r="AZ25" s="1385"/>
      <c r="BA25" s="2"/>
    </row>
    <row r="26" spans="1:53" ht="20.25" customHeight="1" x14ac:dyDescent="0.2">
      <c r="A26" s="2"/>
      <c r="B26" s="18">
        <v>19</v>
      </c>
      <c r="C26" s="234">
        <f t="shared" si="30"/>
        <v>19</v>
      </c>
      <c r="D26" s="235">
        <f t="shared" si="8"/>
        <v>7</v>
      </c>
      <c r="E26" s="2159" t="str">
        <f t="shared" si="0"/>
        <v xml:space="preserve">attiva trim.  </v>
      </c>
      <c r="F26" s="2160"/>
      <c r="G26" s="237"/>
      <c r="H26" s="237"/>
      <c r="I26" s="828"/>
      <c r="J26" s="829"/>
      <c r="K26" s="237"/>
      <c r="L26" s="828"/>
      <c r="M26" s="829"/>
      <c r="N26" s="237"/>
      <c r="O26" s="828"/>
      <c r="P26" s="829"/>
      <c r="Q26" s="6"/>
      <c r="R26" s="1053">
        <f t="shared" si="9"/>
        <v>0</v>
      </c>
      <c r="S26" s="1054">
        <f t="shared" si="1"/>
        <v>0</v>
      </c>
      <c r="T26" s="1054">
        <f t="shared" si="10"/>
        <v>0</v>
      </c>
      <c r="U26" s="1055">
        <f t="shared" si="11"/>
        <v>0</v>
      </c>
      <c r="V26" s="231">
        <f t="shared" si="31"/>
        <v>45492</v>
      </c>
      <c r="W26" s="1053">
        <f t="shared" si="2"/>
        <v>0</v>
      </c>
      <c r="X26" s="1054">
        <f t="shared" si="3"/>
        <v>0</v>
      </c>
      <c r="Y26" s="1054">
        <f t="shared" si="4"/>
        <v>0</v>
      </c>
      <c r="Z26" s="1055">
        <f t="shared" si="5"/>
        <v>0</v>
      </c>
      <c r="AA26" s="822">
        <f>VLOOKUP(V26,CASSA!$B$114:$C$479,2,FALSE)</f>
        <v>0</v>
      </c>
      <c r="AB26" s="1053">
        <f t="shared" si="12"/>
        <v>0</v>
      </c>
      <c r="AC26" s="1054">
        <f t="shared" si="13"/>
        <v>0</v>
      </c>
      <c r="AD26" s="1054">
        <f t="shared" si="14"/>
        <v>0</v>
      </c>
      <c r="AE26" s="1055">
        <f t="shared" si="15"/>
        <v>0</v>
      </c>
      <c r="AF26" s="2"/>
      <c r="AG26" s="1090">
        <f t="shared" si="16"/>
        <v>0</v>
      </c>
      <c r="AH26" s="1091">
        <f t="shared" si="17"/>
        <v>0</v>
      </c>
      <c r="AI26" s="1054">
        <f t="shared" si="18"/>
        <v>0</v>
      </c>
      <c r="AJ26" s="1054">
        <f t="shared" si="19"/>
        <v>0</v>
      </c>
      <c r="AK26" s="1092">
        <f t="shared" si="6"/>
        <v>0</v>
      </c>
      <c r="AL26" s="2"/>
      <c r="AM26" s="1090">
        <f t="shared" si="7"/>
        <v>0</v>
      </c>
      <c r="AN26" s="1105">
        <f t="shared" si="20"/>
        <v>0</v>
      </c>
      <c r="AO26" s="1054">
        <f t="shared" si="21"/>
        <v>0</v>
      </c>
      <c r="AP26" s="1054">
        <f t="shared" si="22"/>
        <v>0</v>
      </c>
      <c r="AQ26" s="1092">
        <f t="shared" si="23"/>
        <v>0</v>
      </c>
      <c r="AR26" s="2"/>
      <c r="AS26" s="1090">
        <f t="shared" si="24"/>
        <v>0</v>
      </c>
      <c r="AT26" s="1091">
        <f t="shared" si="25"/>
        <v>0</v>
      </c>
      <c r="AU26" s="1054">
        <f t="shared" si="26"/>
        <v>0</v>
      </c>
      <c r="AV26" s="1054">
        <f t="shared" si="27"/>
        <v>0</v>
      </c>
      <c r="AW26" s="1092">
        <f t="shared" si="28"/>
        <v>0</v>
      </c>
      <c r="AX26" s="2"/>
      <c r="AY26" s="1090">
        <f t="shared" si="29"/>
        <v>0</v>
      </c>
      <c r="AZ26" s="1385"/>
      <c r="BA26" s="2"/>
    </row>
    <row r="27" spans="1:53" ht="20.25" customHeight="1" x14ac:dyDescent="0.2">
      <c r="A27" s="2"/>
      <c r="B27" s="18">
        <v>20</v>
      </c>
      <c r="C27" s="234">
        <f t="shared" si="30"/>
        <v>20</v>
      </c>
      <c r="D27" s="235">
        <f t="shared" si="8"/>
        <v>7</v>
      </c>
      <c r="E27" s="2159" t="str">
        <f t="shared" si="0"/>
        <v xml:space="preserve">attiva trim.  </v>
      </c>
      <c r="F27" s="2160"/>
      <c r="G27" s="237"/>
      <c r="H27" s="237"/>
      <c r="I27" s="828"/>
      <c r="J27" s="829"/>
      <c r="K27" s="237"/>
      <c r="L27" s="828"/>
      <c r="M27" s="829"/>
      <c r="N27" s="237"/>
      <c r="O27" s="828"/>
      <c r="P27" s="829"/>
      <c r="Q27" s="6"/>
      <c r="R27" s="1053">
        <f t="shared" si="9"/>
        <v>0</v>
      </c>
      <c r="S27" s="1054">
        <f t="shared" si="1"/>
        <v>0</v>
      </c>
      <c r="T27" s="1054">
        <f t="shared" si="10"/>
        <v>0</v>
      </c>
      <c r="U27" s="1055">
        <f t="shared" si="11"/>
        <v>0</v>
      </c>
      <c r="V27" s="231">
        <f t="shared" si="31"/>
        <v>45493</v>
      </c>
      <c r="W27" s="1053">
        <f t="shared" si="2"/>
        <v>0</v>
      </c>
      <c r="X27" s="1054">
        <f t="shared" si="3"/>
        <v>0</v>
      </c>
      <c r="Y27" s="1054">
        <f t="shared" si="4"/>
        <v>0</v>
      </c>
      <c r="Z27" s="1055">
        <f t="shared" si="5"/>
        <v>0</v>
      </c>
      <c r="AA27" s="822">
        <f>VLOOKUP(V27,CASSA!$B$114:$C$479,2,FALSE)</f>
        <v>0</v>
      </c>
      <c r="AB27" s="1053">
        <f t="shared" si="12"/>
        <v>0</v>
      </c>
      <c r="AC27" s="1054">
        <f t="shared" si="13"/>
        <v>0</v>
      </c>
      <c r="AD27" s="1054">
        <f t="shared" si="14"/>
        <v>0</v>
      </c>
      <c r="AE27" s="1055">
        <f t="shared" si="15"/>
        <v>0</v>
      </c>
      <c r="AF27" s="2"/>
      <c r="AG27" s="1090">
        <f t="shared" si="16"/>
        <v>0</v>
      </c>
      <c r="AH27" s="1091">
        <f t="shared" si="17"/>
        <v>0</v>
      </c>
      <c r="AI27" s="1054">
        <f t="shared" si="18"/>
        <v>0</v>
      </c>
      <c r="AJ27" s="1054">
        <f t="shared" si="19"/>
        <v>0</v>
      </c>
      <c r="AK27" s="1092">
        <f t="shared" si="6"/>
        <v>0</v>
      </c>
      <c r="AL27" s="2"/>
      <c r="AM27" s="1090">
        <f t="shared" si="7"/>
        <v>0</v>
      </c>
      <c r="AN27" s="1105">
        <f t="shared" si="20"/>
        <v>0</v>
      </c>
      <c r="AO27" s="1054">
        <f t="shared" si="21"/>
        <v>0</v>
      </c>
      <c r="AP27" s="1054">
        <f t="shared" si="22"/>
        <v>0</v>
      </c>
      <c r="AQ27" s="1092">
        <f t="shared" si="23"/>
        <v>0</v>
      </c>
      <c r="AR27" s="2"/>
      <c r="AS27" s="1090">
        <f t="shared" si="24"/>
        <v>0</v>
      </c>
      <c r="AT27" s="1091">
        <f t="shared" si="25"/>
        <v>0</v>
      </c>
      <c r="AU27" s="1054">
        <f t="shared" si="26"/>
        <v>0</v>
      </c>
      <c r="AV27" s="1054">
        <f t="shared" si="27"/>
        <v>0</v>
      </c>
      <c r="AW27" s="1092">
        <f t="shared" si="28"/>
        <v>0</v>
      </c>
      <c r="AX27" s="2"/>
      <c r="AY27" s="1090">
        <f t="shared" si="29"/>
        <v>0</v>
      </c>
      <c r="AZ27" s="1385"/>
      <c r="BA27" s="2"/>
    </row>
    <row r="28" spans="1:53" ht="20.25" customHeight="1" x14ac:dyDescent="0.2">
      <c r="A28" s="2"/>
      <c r="B28" s="18">
        <v>21</v>
      </c>
      <c r="C28" s="234">
        <f t="shared" si="30"/>
        <v>21</v>
      </c>
      <c r="D28" s="235">
        <f t="shared" si="8"/>
        <v>7</v>
      </c>
      <c r="E28" s="2159" t="str">
        <f t="shared" si="0"/>
        <v xml:space="preserve">attiva trim.  </v>
      </c>
      <c r="F28" s="2160"/>
      <c r="G28" s="237"/>
      <c r="H28" s="237"/>
      <c r="I28" s="828"/>
      <c r="J28" s="829"/>
      <c r="K28" s="237"/>
      <c r="L28" s="828"/>
      <c r="M28" s="829"/>
      <c r="N28" s="237"/>
      <c r="O28" s="828"/>
      <c r="P28" s="829"/>
      <c r="Q28" s="6"/>
      <c r="R28" s="1053">
        <f t="shared" si="9"/>
        <v>0</v>
      </c>
      <c r="S28" s="1054">
        <f t="shared" si="1"/>
        <v>0</v>
      </c>
      <c r="T28" s="1054">
        <f t="shared" si="10"/>
        <v>0</v>
      </c>
      <c r="U28" s="1055">
        <f t="shared" si="11"/>
        <v>0</v>
      </c>
      <c r="V28" s="231">
        <f t="shared" si="31"/>
        <v>45494</v>
      </c>
      <c r="W28" s="1053">
        <f t="shared" si="2"/>
        <v>0</v>
      </c>
      <c r="X28" s="1054">
        <f t="shared" si="3"/>
        <v>0</v>
      </c>
      <c r="Y28" s="1054">
        <f t="shared" si="4"/>
        <v>0</v>
      </c>
      <c r="Z28" s="1055">
        <f t="shared" si="5"/>
        <v>0</v>
      </c>
      <c r="AA28" s="822">
        <f>VLOOKUP(V28,CASSA!$B$114:$C$479,2,FALSE)</f>
        <v>0</v>
      </c>
      <c r="AB28" s="1053">
        <f t="shared" si="12"/>
        <v>0</v>
      </c>
      <c r="AC28" s="1054">
        <f t="shared" si="13"/>
        <v>0</v>
      </c>
      <c r="AD28" s="1054">
        <f t="shared" si="14"/>
        <v>0</v>
      </c>
      <c r="AE28" s="1055">
        <f t="shared" si="15"/>
        <v>0</v>
      </c>
      <c r="AF28" s="2"/>
      <c r="AG28" s="1090">
        <f t="shared" si="16"/>
        <v>0</v>
      </c>
      <c r="AH28" s="1091">
        <f t="shared" si="17"/>
        <v>0</v>
      </c>
      <c r="AI28" s="1054">
        <f t="shared" si="18"/>
        <v>0</v>
      </c>
      <c r="AJ28" s="1054">
        <f t="shared" si="19"/>
        <v>0</v>
      </c>
      <c r="AK28" s="1092">
        <f t="shared" si="6"/>
        <v>0</v>
      </c>
      <c r="AL28" s="2"/>
      <c r="AM28" s="1090">
        <f t="shared" si="7"/>
        <v>0</v>
      </c>
      <c r="AN28" s="1105">
        <f t="shared" si="20"/>
        <v>0</v>
      </c>
      <c r="AO28" s="1054">
        <f t="shared" si="21"/>
        <v>0</v>
      </c>
      <c r="AP28" s="1054">
        <f t="shared" si="22"/>
        <v>0</v>
      </c>
      <c r="AQ28" s="1092">
        <f t="shared" si="23"/>
        <v>0</v>
      </c>
      <c r="AR28" s="2"/>
      <c r="AS28" s="1090">
        <f t="shared" si="24"/>
        <v>0</v>
      </c>
      <c r="AT28" s="1091">
        <f t="shared" si="25"/>
        <v>0</v>
      </c>
      <c r="AU28" s="1054">
        <f t="shared" si="26"/>
        <v>0</v>
      </c>
      <c r="AV28" s="1054">
        <f t="shared" si="27"/>
        <v>0</v>
      </c>
      <c r="AW28" s="1092">
        <f t="shared" si="28"/>
        <v>0</v>
      </c>
      <c r="AX28" s="2"/>
      <c r="AY28" s="1090">
        <f t="shared" si="29"/>
        <v>0</v>
      </c>
      <c r="AZ28" s="1385"/>
      <c r="BA28" s="2"/>
    </row>
    <row r="29" spans="1:53" ht="20.25" customHeight="1" x14ac:dyDescent="0.2">
      <c r="A29" s="2"/>
      <c r="B29" s="18">
        <v>22</v>
      </c>
      <c r="C29" s="234">
        <f t="shared" si="30"/>
        <v>22</v>
      </c>
      <c r="D29" s="235">
        <f t="shared" si="8"/>
        <v>7</v>
      </c>
      <c r="E29" s="2159" t="str">
        <f t="shared" si="0"/>
        <v xml:space="preserve">attiva trim.  </v>
      </c>
      <c r="F29" s="2160"/>
      <c r="G29" s="237"/>
      <c r="H29" s="237"/>
      <c r="I29" s="828"/>
      <c r="J29" s="829"/>
      <c r="K29" s="237"/>
      <c r="L29" s="828"/>
      <c r="M29" s="829"/>
      <c r="N29" s="237"/>
      <c r="O29" s="828"/>
      <c r="P29" s="829"/>
      <c r="Q29" s="6"/>
      <c r="R29" s="1053">
        <f t="shared" si="9"/>
        <v>0</v>
      </c>
      <c r="S29" s="1054">
        <f t="shared" si="1"/>
        <v>0</v>
      </c>
      <c r="T29" s="1054">
        <f t="shared" si="10"/>
        <v>0</v>
      </c>
      <c r="U29" s="1055">
        <f t="shared" si="11"/>
        <v>0</v>
      </c>
      <c r="V29" s="231">
        <f t="shared" si="31"/>
        <v>45495</v>
      </c>
      <c r="W29" s="1053">
        <f t="shared" si="2"/>
        <v>0</v>
      </c>
      <c r="X29" s="1054">
        <f t="shared" si="3"/>
        <v>0</v>
      </c>
      <c r="Y29" s="1054">
        <f t="shared" si="4"/>
        <v>0</v>
      </c>
      <c r="Z29" s="1055">
        <f t="shared" si="5"/>
        <v>0</v>
      </c>
      <c r="AA29" s="822">
        <f>VLOOKUP(V29,CASSA!$B$114:$C$479,2,FALSE)</f>
        <v>0</v>
      </c>
      <c r="AB29" s="1053">
        <f t="shared" si="12"/>
        <v>0</v>
      </c>
      <c r="AC29" s="1054">
        <f t="shared" si="13"/>
        <v>0</v>
      </c>
      <c r="AD29" s="1054">
        <f t="shared" si="14"/>
        <v>0</v>
      </c>
      <c r="AE29" s="1055">
        <f t="shared" si="15"/>
        <v>0</v>
      </c>
      <c r="AF29" s="2"/>
      <c r="AG29" s="1090">
        <f t="shared" si="16"/>
        <v>0</v>
      </c>
      <c r="AH29" s="1091">
        <f t="shared" si="17"/>
        <v>0</v>
      </c>
      <c r="AI29" s="1054">
        <f t="shared" si="18"/>
        <v>0</v>
      </c>
      <c r="AJ29" s="1054">
        <f t="shared" si="19"/>
        <v>0</v>
      </c>
      <c r="AK29" s="1092">
        <f t="shared" si="6"/>
        <v>0</v>
      </c>
      <c r="AL29" s="2"/>
      <c r="AM29" s="1090">
        <f t="shared" si="7"/>
        <v>0</v>
      </c>
      <c r="AN29" s="1105">
        <f t="shared" si="20"/>
        <v>0</v>
      </c>
      <c r="AO29" s="1054">
        <f t="shared" si="21"/>
        <v>0</v>
      </c>
      <c r="AP29" s="1054">
        <f t="shared" si="22"/>
        <v>0</v>
      </c>
      <c r="AQ29" s="1092">
        <f t="shared" si="23"/>
        <v>0</v>
      </c>
      <c r="AR29" s="2"/>
      <c r="AS29" s="1090">
        <f t="shared" si="24"/>
        <v>0</v>
      </c>
      <c r="AT29" s="1091">
        <f t="shared" si="25"/>
        <v>0</v>
      </c>
      <c r="AU29" s="1054">
        <f t="shared" si="26"/>
        <v>0</v>
      </c>
      <c r="AV29" s="1054">
        <f t="shared" si="27"/>
        <v>0</v>
      </c>
      <c r="AW29" s="1092">
        <f t="shared" si="28"/>
        <v>0</v>
      </c>
      <c r="AX29" s="2"/>
      <c r="AY29" s="1090">
        <f t="shared" si="29"/>
        <v>0</v>
      </c>
      <c r="AZ29" s="1385"/>
      <c r="BA29" s="2"/>
    </row>
    <row r="30" spans="1:53" ht="20.25" customHeight="1" x14ac:dyDescent="0.2">
      <c r="A30" s="2"/>
      <c r="B30" s="18">
        <v>23</v>
      </c>
      <c r="C30" s="234">
        <f t="shared" si="30"/>
        <v>23</v>
      </c>
      <c r="D30" s="235">
        <f t="shared" si="8"/>
        <v>7</v>
      </c>
      <c r="E30" s="2159" t="str">
        <f t="shared" si="0"/>
        <v xml:space="preserve">attiva trim.  </v>
      </c>
      <c r="F30" s="2160"/>
      <c r="G30" s="237"/>
      <c r="H30" s="237"/>
      <c r="I30" s="828"/>
      <c r="J30" s="829"/>
      <c r="K30" s="237"/>
      <c r="L30" s="828"/>
      <c r="M30" s="829"/>
      <c r="N30" s="237"/>
      <c r="O30" s="828"/>
      <c r="P30" s="829"/>
      <c r="Q30" s="6"/>
      <c r="R30" s="1053">
        <f t="shared" si="9"/>
        <v>0</v>
      </c>
      <c r="S30" s="1054">
        <f t="shared" si="1"/>
        <v>0</v>
      </c>
      <c r="T30" s="1054">
        <f t="shared" si="10"/>
        <v>0</v>
      </c>
      <c r="U30" s="1055">
        <f t="shared" si="11"/>
        <v>0</v>
      </c>
      <c r="V30" s="231">
        <f t="shared" si="31"/>
        <v>45496</v>
      </c>
      <c r="W30" s="1053">
        <f t="shared" si="2"/>
        <v>0</v>
      </c>
      <c r="X30" s="1054">
        <f t="shared" si="3"/>
        <v>0</v>
      </c>
      <c r="Y30" s="1054">
        <f t="shared" si="4"/>
        <v>0</v>
      </c>
      <c r="Z30" s="1055">
        <f t="shared" si="5"/>
        <v>0</v>
      </c>
      <c r="AA30" s="822">
        <f>VLOOKUP(V30,CASSA!$B$114:$C$479,2,FALSE)</f>
        <v>0</v>
      </c>
      <c r="AB30" s="1053">
        <f t="shared" si="12"/>
        <v>0</v>
      </c>
      <c r="AC30" s="1054">
        <f t="shared" si="13"/>
        <v>0</v>
      </c>
      <c r="AD30" s="1054">
        <f t="shared" si="14"/>
        <v>0</v>
      </c>
      <c r="AE30" s="1055">
        <f t="shared" si="15"/>
        <v>0</v>
      </c>
      <c r="AF30" s="2"/>
      <c r="AG30" s="1090">
        <f t="shared" si="16"/>
        <v>0</v>
      </c>
      <c r="AH30" s="1091">
        <f t="shared" si="17"/>
        <v>0</v>
      </c>
      <c r="AI30" s="1054">
        <f t="shared" si="18"/>
        <v>0</v>
      </c>
      <c r="AJ30" s="1054">
        <f t="shared" si="19"/>
        <v>0</v>
      </c>
      <c r="AK30" s="1092">
        <f t="shared" si="6"/>
        <v>0</v>
      </c>
      <c r="AL30" s="2"/>
      <c r="AM30" s="1090">
        <f t="shared" si="7"/>
        <v>0</v>
      </c>
      <c r="AN30" s="1105">
        <f t="shared" si="20"/>
        <v>0</v>
      </c>
      <c r="AO30" s="1054">
        <f t="shared" si="21"/>
        <v>0</v>
      </c>
      <c r="AP30" s="1054">
        <f t="shared" si="22"/>
        <v>0</v>
      </c>
      <c r="AQ30" s="1092">
        <f t="shared" si="23"/>
        <v>0</v>
      </c>
      <c r="AR30" s="2"/>
      <c r="AS30" s="1090">
        <f t="shared" si="24"/>
        <v>0</v>
      </c>
      <c r="AT30" s="1091">
        <f t="shared" si="25"/>
        <v>0</v>
      </c>
      <c r="AU30" s="1054">
        <f t="shared" si="26"/>
        <v>0</v>
      </c>
      <c r="AV30" s="1054">
        <f t="shared" si="27"/>
        <v>0</v>
      </c>
      <c r="AW30" s="1092">
        <f t="shared" si="28"/>
        <v>0</v>
      </c>
      <c r="AX30" s="2"/>
      <c r="AY30" s="1090">
        <f t="shared" si="29"/>
        <v>0</v>
      </c>
      <c r="AZ30" s="1385"/>
      <c r="BA30" s="2"/>
    </row>
    <row r="31" spans="1:53" ht="20.25" customHeight="1" x14ac:dyDescent="0.2">
      <c r="A31" s="2"/>
      <c r="B31" s="18">
        <v>24</v>
      </c>
      <c r="C31" s="234">
        <f t="shared" si="30"/>
        <v>24</v>
      </c>
      <c r="D31" s="235">
        <f t="shared" si="8"/>
        <v>7</v>
      </c>
      <c r="E31" s="2159" t="str">
        <f t="shared" si="0"/>
        <v xml:space="preserve">attiva trim.  </v>
      </c>
      <c r="F31" s="2160"/>
      <c r="G31" s="237"/>
      <c r="H31" s="237"/>
      <c r="I31" s="828"/>
      <c r="J31" s="829"/>
      <c r="K31" s="237"/>
      <c r="L31" s="828"/>
      <c r="M31" s="829"/>
      <c r="N31" s="237"/>
      <c r="O31" s="828"/>
      <c r="P31" s="829"/>
      <c r="Q31" s="6"/>
      <c r="R31" s="1053">
        <f t="shared" si="9"/>
        <v>0</v>
      </c>
      <c r="S31" s="1054">
        <f t="shared" si="1"/>
        <v>0</v>
      </c>
      <c r="T31" s="1054">
        <f t="shared" si="10"/>
        <v>0</v>
      </c>
      <c r="U31" s="1055">
        <f t="shared" si="11"/>
        <v>0</v>
      </c>
      <c r="V31" s="231">
        <f t="shared" si="31"/>
        <v>45497</v>
      </c>
      <c r="W31" s="1053">
        <f t="shared" si="2"/>
        <v>0</v>
      </c>
      <c r="X31" s="1054">
        <f t="shared" si="3"/>
        <v>0</v>
      </c>
      <c r="Y31" s="1054">
        <f t="shared" si="4"/>
        <v>0</v>
      </c>
      <c r="Z31" s="1055">
        <f t="shared" si="5"/>
        <v>0</v>
      </c>
      <c r="AA31" s="822">
        <f>VLOOKUP(V31,CASSA!$B$114:$C$479,2,FALSE)</f>
        <v>0</v>
      </c>
      <c r="AB31" s="1053">
        <f t="shared" si="12"/>
        <v>0</v>
      </c>
      <c r="AC31" s="1054">
        <f t="shared" si="13"/>
        <v>0</v>
      </c>
      <c r="AD31" s="1054">
        <f t="shared" si="14"/>
        <v>0</v>
      </c>
      <c r="AE31" s="1055">
        <f t="shared" si="15"/>
        <v>0</v>
      </c>
      <c r="AF31" s="2"/>
      <c r="AG31" s="1090">
        <f t="shared" si="16"/>
        <v>0</v>
      </c>
      <c r="AH31" s="1091">
        <f t="shared" si="17"/>
        <v>0</v>
      </c>
      <c r="AI31" s="1054">
        <f t="shared" si="18"/>
        <v>0</v>
      </c>
      <c r="AJ31" s="1054">
        <f t="shared" si="19"/>
        <v>0</v>
      </c>
      <c r="AK31" s="1092">
        <f t="shared" si="6"/>
        <v>0</v>
      </c>
      <c r="AL31" s="2"/>
      <c r="AM31" s="1090">
        <f t="shared" si="7"/>
        <v>0</v>
      </c>
      <c r="AN31" s="1105">
        <f t="shared" si="20"/>
        <v>0</v>
      </c>
      <c r="AO31" s="1054">
        <f t="shared" si="21"/>
        <v>0</v>
      </c>
      <c r="AP31" s="1054">
        <f t="shared" si="22"/>
        <v>0</v>
      </c>
      <c r="AQ31" s="1092">
        <f t="shared" si="23"/>
        <v>0</v>
      </c>
      <c r="AR31" s="2"/>
      <c r="AS31" s="1090">
        <f t="shared" si="24"/>
        <v>0</v>
      </c>
      <c r="AT31" s="1091">
        <f t="shared" si="25"/>
        <v>0</v>
      </c>
      <c r="AU31" s="1054">
        <f t="shared" si="26"/>
        <v>0</v>
      </c>
      <c r="AV31" s="1054">
        <f t="shared" si="27"/>
        <v>0</v>
      </c>
      <c r="AW31" s="1092">
        <f t="shared" si="28"/>
        <v>0</v>
      </c>
      <c r="AX31" s="2"/>
      <c r="AY31" s="1090">
        <f t="shared" si="29"/>
        <v>0</v>
      </c>
      <c r="AZ31" s="1385"/>
      <c r="BA31" s="2"/>
    </row>
    <row r="32" spans="1:53" ht="20.25" customHeight="1" x14ac:dyDescent="0.2">
      <c r="A32" s="2"/>
      <c r="B32" s="18">
        <v>25</v>
      </c>
      <c r="C32" s="234">
        <f t="shared" si="30"/>
        <v>25</v>
      </c>
      <c r="D32" s="235">
        <f t="shared" si="8"/>
        <v>7</v>
      </c>
      <c r="E32" s="2159" t="str">
        <f t="shared" si="0"/>
        <v xml:space="preserve">attiva trim.  </v>
      </c>
      <c r="F32" s="2160"/>
      <c r="G32" s="237"/>
      <c r="H32" s="237"/>
      <c r="I32" s="828"/>
      <c r="J32" s="829"/>
      <c r="K32" s="237"/>
      <c r="L32" s="828"/>
      <c r="M32" s="829"/>
      <c r="N32" s="237"/>
      <c r="O32" s="828"/>
      <c r="P32" s="829"/>
      <c r="Q32" s="6"/>
      <c r="R32" s="1053">
        <f t="shared" si="9"/>
        <v>0</v>
      </c>
      <c r="S32" s="1054">
        <f t="shared" si="1"/>
        <v>0</v>
      </c>
      <c r="T32" s="1054">
        <f t="shared" si="10"/>
        <v>0</v>
      </c>
      <c r="U32" s="1055">
        <f t="shared" si="11"/>
        <v>0</v>
      </c>
      <c r="V32" s="231">
        <f t="shared" si="31"/>
        <v>45498</v>
      </c>
      <c r="W32" s="1053">
        <f t="shared" si="2"/>
        <v>0</v>
      </c>
      <c r="X32" s="1054">
        <f t="shared" si="3"/>
        <v>0</v>
      </c>
      <c r="Y32" s="1054">
        <f t="shared" si="4"/>
        <v>0</v>
      </c>
      <c r="Z32" s="1055">
        <f t="shared" si="5"/>
        <v>0</v>
      </c>
      <c r="AA32" s="822">
        <f>VLOOKUP(V32,CASSA!$B$114:$C$479,2,FALSE)</f>
        <v>0</v>
      </c>
      <c r="AB32" s="1053">
        <f t="shared" si="12"/>
        <v>0</v>
      </c>
      <c r="AC32" s="1054">
        <f t="shared" si="13"/>
        <v>0</v>
      </c>
      <c r="AD32" s="1054">
        <f t="shared" si="14"/>
        <v>0</v>
      </c>
      <c r="AE32" s="1055">
        <f t="shared" si="15"/>
        <v>0</v>
      </c>
      <c r="AF32" s="2"/>
      <c r="AG32" s="1090">
        <f t="shared" si="16"/>
        <v>0</v>
      </c>
      <c r="AH32" s="1091">
        <f t="shared" si="17"/>
        <v>0</v>
      </c>
      <c r="AI32" s="1054">
        <f t="shared" si="18"/>
        <v>0</v>
      </c>
      <c r="AJ32" s="1054">
        <f t="shared" si="19"/>
        <v>0</v>
      </c>
      <c r="AK32" s="1092">
        <f t="shared" si="6"/>
        <v>0</v>
      </c>
      <c r="AL32" s="2"/>
      <c r="AM32" s="1090">
        <f t="shared" si="7"/>
        <v>0</v>
      </c>
      <c r="AN32" s="1105">
        <f t="shared" si="20"/>
        <v>0</v>
      </c>
      <c r="AO32" s="1054">
        <f t="shared" si="21"/>
        <v>0</v>
      </c>
      <c r="AP32" s="1054">
        <f t="shared" si="22"/>
        <v>0</v>
      </c>
      <c r="AQ32" s="1092">
        <f t="shared" si="23"/>
        <v>0</v>
      </c>
      <c r="AR32" s="2"/>
      <c r="AS32" s="1090">
        <f t="shared" si="24"/>
        <v>0</v>
      </c>
      <c r="AT32" s="1091">
        <f t="shared" si="25"/>
        <v>0</v>
      </c>
      <c r="AU32" s="1054">
        <f t="shared" si="26"/>
        <v>0</v>
      </c>
      <c r="AV32" s="1054">
        <f t="shared" si="27"/>
        <v>0</v>
      </c>
      <c r="AW32" s="1092">
        <f t="shared" si="28"/>
        <v>0</v>
      </c>
      <c r="AX32" s="2"/>
      <c r="AY32" s="1090">
        <f t="shared" si="29"/>
        <v>0</v>
      </c>
      <c r="AZ32" s="1385"/>
      <c r="BA32" s="2"/>
    </row>
    <row r="33" spans="1:54" ht="20.25" customHeight="1" x14ac:dyDescent="0.2">
      <c r="A33" s="2"/>
      <c r="B33" s="18">
        <v>26</v>
      </c>
      <c r="C33" s="234">
        <f t="shared" si="30"/>
        <v>26</v>
      </c>
      <c r="D33" s="235">
        <f t="shared" si="8"/>
        <v>7</v>
      </c>
      <c r="E33" s="2159" t="str">
        <f t="shared" si="0"/>
        <v xml:space="preserve">attiva trim.  </v>
      </c>
      <c r="F33" s="2160"/>
      <c r="G33" s="237"/>
      <c r="H33" s="237"/>
      <c r="I33" s="828"/>
      <c r="J33" s="829"/>
      <c r="K33" s="237"/>
      <c r="L33" s="828"/>
      <c r="M33" s="829"/>
      <c r="N33" s="237"/>
      <c r="O33" s="828"/>
      <c r="P33" s="829"/>
      <c r="Q33" s="6"/>
      <c r="R33" s="1053">
        <f t="shared" si="9"/>
        <v>0</v>
      </c>
      <c r="S33" s="1054">
        <f t="shared" si="1"/>
        <v>0</v>
      </c>
      <c r="T33" s="1054">
        <f t="shared" si="10"/>
        <v>0</v>
      </c>
      <c r="U33" s="1055">
        <f t="shared" si="11"/>
        <v>0</v>
      </c>
      <c r="V33" s="231">
        <f t="shared" si="31"/>
        <v>45499</v>
      </c>
      <c r="W33" s="1053">
        <f t="shared" si="2"/>
        <v>0</v>
      </c>
      <c r="X33" s="1054">
        <f t="shared" si="3"/>
        <v>0</v>
      </c>
      <c r="Y33" s="1054">
        <f t="shared" si="4"/>
        <v>0</v>
      </c>
      <c r="Z33" s="1055">
        <f t="shared" si="5"/>
        <v>0</v>
      </c>
      <c r="AA33" s="822">
        <f>VLOOKUP(V33,CASSA!$B$114:$C$479,2,FALSE)</f>
        <v>0</v>
      </c>
      <c r="AB33" s="1053">
        <f t="shared" si="12"/>
        <v>0</v>
      </c>
      <c r="AC33" s="1054">
        <f t="shared" si="13"/>
        <v>0</v>
      </c>
      <c r="AD33" s="1054">
        <f t="shared" si="14"/>
        <v>0</v>
      </c>
      <c r="AE33" s="1055">
        <f t="shared" si="15"/>
        <v>0</v>
      </c>
      <c r="AF33" s="2"/>
      <c r="AG33" s="1090">
        <f t="shared" si="16"/>
        <v>0</v>
      </c>
      <c r="AH33" s="1091">
        <f t="shared" si="17"/>
        <v>0</v>
      </c>
      <c r="AI33" s="1054">
        <f t="shared" si="18"/>
        <v>0</v>
      </c>
      <c r="AJ33" s="1054">
        <f t="shared" si="19"/>
        <v>0</v>
      </c>
      <c r="AK33" s="1092">
        <f t="shared" si="6"/>
        <v>0</v>
      </c>
      <c r="AL33" s="2"/>
      <c r="AM33" s="1090">
        <f t="shared" si="7"/>
        <v>0</v>
      </c>
      <c r="AN33" s="1105">
        <f t="shared" si="20"/>
        <v>0</v>
      </c>
      <c r="AO33" s="1054">
        <f t="shared" si="21"/>
        <v>0</v>
      </c>
      <c r="AP33" s="1054">
        <f t="shared" si="22"/>
        <v>0</v>
      </c>
      <c r="AQ33" s="1092">
        <f t="shared" si="23"/>
        <v>0</v>
      </c>
      <c r="AR33" s="2"/>
      <c r="AS33" s="1090">
        <f t="shared" si="24"/>
        <v>0</v>
      </c>
      <c r="AT33" s="1091">
        <f t="shared" si="25"/>
        <v>0</v>
      </c>
      <c r="AU33" s="1054">
        <f t="shared" si="26"/>
        <v>0</v>
      </c>
      <c r="AV33" s="1054">
        <f t="shared" si="27"/>
        <v>0</v>
      </c>
      <c r="AW33" s="1092">
        <f t="shared" si="28"/>
        <v>0</v>
      </c>
      <c r="AX33" s="2"/>
      <c r="AY33" s="1090">
        <f t="shared" si="29"/>
        <v>0</v>
      </c>
      <c r="AZ33" s="1385"/>
      <c r="BA33" s="2"/>
    </row>
    <row r="34" spans="1:54" ht="20.25" customHeight="1" x14ac:dyDescent="0.2">
      <c r="A34" s="2"/>
      <c r="B34" s="18">
        <v>27</v>
      </c>
      <c r="C34" s="234">
        <f t="shared" si="30"/>
        <v>27</v>
      </c>
      <c r="D34" s="235">
        <f t="shared" si="8"/>
        <v>7</v>
      </c>
      <c r="E34" s="2159" t="str">
        <f t="shared" si="0"/>
        <v xml:space="preserve">attiva trim.  </v>
      </c>
      <c r="F34" s="2160"/>
      <c r="G34" s="237"/>
      <c r="H34" s="237"/>
      <c r="I34" s="828"/>
      <c r="J34" s="829"/>
      <c r="K34" s="237"/>
      <c r="L34" s="828"/>
      <c r="M34" s="829"/>
      <c r="N34" s="237"/>
      <c r="O34" s="828"/>
      <c r="P34" s="829"/>
      <c r="Q34" s="6"/>
      <c r="R34" s="1053">
        <f t="shared" si="9"/>
        <v>0</v>
      </c>
      <c r="S34" s="1054">
        <f t="shared" si="1"/>
        <v>0</v>
      </c>
      <c r="T34" s="1054">
        <f t="shared" si="10"/>
        <v>0</v>
      </c>
      <c r="U34" s="1055">
        <f t="shared" si="11"/>
        <v>0</v>
      </c>
      <c r="V34" s="231">
        <f t="shared" si="31"/>
        <v>45500</v>
      </c>
      <c r="W34" s="1053">
        <f t="shared" si="2"/>
        <v>0</v>
      </c>
      <c r="X34" s="1054">
        <f t="shared" si="3"/>
        <v>0</v>
      </c>
      <c r="Y34" s="1054">
        <f t="shared" si="4"/>
        <v>0</v>
      </c>
      <c r="Z34" s="1055">
        <f t="shared" si="5"/>
        <v>0</v>
      </c>
      <c r="AA34" s="822">
        <f>VLOOKUP(V34,CASSA!$B$114:$C$479,2,FALSE)</f>
        <v>0</v>
      </c>
      <c r="AB34" s="1053">
        <f t="shared" si="12"/>
        <v>0</v>
      </c>
      <c r="AC34" s="1054">
        <f t="shared" si="13"/>
        <v>0</v>
      </c>
      <c r="AD34" s="1054">
        <f t="shared" si="14"/>
        <v>0</v>
      </c>
      <c r="AE34" s="1055">
        <f t="shared" si="15"/>
        <v>0</v>
      </c>
      <c r="AF34" s="2"/>
      <c r="AG34" s="1090">
        <f t="shared" si="16"/>
        <v>0</v>
      </c>
      <c r="AH34" s="1091">
        <f t="shared" si="17"/>
        <v>0</v>
      </c>
      <c r="AI34" s="1054">
        <f t="shared" si="18"/>
        <v>0</v>
      </c>
      <c r="AJ34" s="1054">
        <f t="shared" si="19"/>
        <v>0</v>
      </c>
      <c r="AK34" s="1092">
        <f t="shared" si="6"/>
        <v>0</v>
      </c>
      <c r="AL34" s="2"/>
      <c r="AM34" s="1090">
        <f t="shared" si="7"/>
        <v>0</v>
      </c>
      <c r="AN34" s="1105">
        <f t="shared" si="20"/>
        <v>0</v>
      </c>
      <c r="AO34" s="1054">
        <f t="shared" si="21"/>
        <v>0</v>
      </c>
      <c r="AP34" s="1054">
        <f t="shared" si="22"/>
        <v>0</v>
      </c>
      <c r="AQ34" s="1092">
        <f t="shared" si="23"/>
        <v>0</v>
      </c>
      <c r="AR34" s="2"/>
      <c r="AS34" s="1090">
        <f t="shared" si="24"/>
        <v>0</v>
      </c>
      <c r="AT34" s="1091">
        <f t="shared" si="25"/>
        <v>0</v>
      </c>
      <c r="AU34" s="1054">
        <f t="shared" si="26"/>
        <v>0</v>
      </c>
      <c r="AV34" s="1054">
        <f t="shared" si="27"/>
        <v>0</v>
      </c>
      <c r="AW34" s="1092">
        <f t="shared" si="28"/>
        <v>0</v>
      </c>
      <c r="AX34" s="2"/>
      <c r="AY34" s="1090">
        <f t="shared" si="29"/>
        <v>0</v>
      </c>
      <c r="AZ34" s="1385"/>
      <c r="BA34" s="2"/>
    </row>
    <row r="35" spans="1:54" ht="20.25" customHeight="1" x14ac:dyDescent="0.2">
      <c r="A35" s="2"/>
      <c r="B35" s="18">
        <v>28</v>
      </c>
      <c r="C35" s="234">
        <f t="shared" si="30"/>
        <v>28</v>
      </c>
      <c r="D35" s="235">
        <f t="shared" si="8"/>
        <v>7</v>
      </c>
      <c r="E35" s="2159" t="str">
        <f t="shared" si="0"/>
        <v xml:space="preserve">attiva trim.  </v>
      </c>
      <c r="F35" s="2160"/>
      <c r="G35" s="237"/>
      <c r="H35" s="237"/>
      <c r="I35" s="828"/>
      <c r="J35" s="829"/>
      <c r="K35" s="237"/>
      <c r="L35" s="828"/>
      <c r="M35" s="829"/>
      <c r="N35" s="237"/>
      <c r="O35" s="828"/>
      <c r="P35" s="829"/>
      <c r="Q35" s="6"/>
      <c r="R35" s="1053">
        <f t="shared" si="9"/>
        <v>0</v>
      </c>
      <c r="S35" s="1054">
        <f t="shared" si="1"/>
        <v>0</v>
      </c>
      <c r="T35" s="1054">
        <f t="shared" si="10"/>
        <v>0</v>
      </c>
      <c r="U35" s="1055">
        <f t="shared" si="11"/>
        <v>0</v>
      </c>
      <c r="V35" s="231">
        <f t="shared" si="31"/>
        <v>45501</v>
      </c>
      <c r="W35" s="1053">
        <f t="shared" si="2"/>
        <v>0</v>
      </c>
      <c r="X35" s="1054">
        <f t="shared" si="3"/>
        <v>0</v>
      </c>
      <c r="Y35" s="1054">
        <f t="shared" si="4"/>
        <v>0</v>
      </c>
      <c r="Z35" s="1055">
        <f t="shared" si="5"/>
        <v>0</v>
      </c>
      <c r="AA35" s="822">
        <f>VLOOKUP(V35,CASSA!$B$114:$C$479,2,FALSE)</f>
        <v>0</v>
      </c>
      <c r="AB35" s="1053">
        <f t="shared" si="12"/>
        <v>0</v>
      </c>
      <c r="AC35" s="1054">
        <f t="shared" si="13"/>
        <v>0</v>
      </c>
      <c r="AD35" s="1054">
        <f t="shared" si="14"/>
        <v>0</v>
      </c>
      <c r="AE35" s="1055">
        <f t="shared" si="15"/>
        <v>0</v>
      </c>
      <c r="AF35" s="2"/>
      <c r="AG35" s="1090">
        <f t="shared" si="16"/>
        <v>0</v>
      </c>
      <c r="AH35" s="1091">
        <f t="shared" si="17"/>
        <v>0</v>
      </c>
      <c r="AI35" s="1054">
        <f t="shared" si="18"/>
        <v>0</v>
      </c>
      <c r="AJ35" s="1054">
        <f t="shared" si="19"/>
        <v>0</v>
      </c>
      <c r="AK35" s="1092">
        <f t="shared" si="6"/>
        <v>0</v>
      </c>
      <c r="AL35" s="2"/>
      <c r="AM35" s="1090">
        <f t="shared" si="7"/>
        <v>0</v>
      </c>
      <c r="AN35" s="1105">
        <f t="shared" si="20"/>
        <v>0</v>
      </c>
      <c r="AO35" s="1054">
        <f t="shared" si="21"/>
        <v>0</v>
      </c>
      <c r="AP35" s="1054">
        <f t="shared" si="22"/>
        <v>0</v>
      </c>
      <c r="AQ35" s="1092">
        <f t="shared" si="23"/>
        <v>0</v>
      </c>
      <c r="AR35" s="2"/>
      <c r="AS35" s="1090">
        <f t="shared" si="24"/>
        <v>0</v>
      </c>
      <c r="AT35" s="1091">
        <f t="shared" si="25"/>
        <v>0</v>
      </c>
      <c r="AU35" s="1054">
        <f t="shared" si="26"/>
        <v>0</v>
      </c>
      <c r="AV35" s="1054">
        <f t="shared" si="27"/>
        <v>0</v>
      </c>
      <c r="AW35" s="1092">
        <f t="shared" si="28"/>
        <v>0</v>
      </c>
      <c r="AX35" s="2"/>
      <c r="AY35" s="1090">
        <f t="shared" si="29"/>
        <v>0</v>
      </c>
      <c r="AZ35" s="1385"/>
      <c r="BA35" s="2"/>
    </row>
    <row r="36" spans="1:54" ht="20.25" customHeight="1" x14ac:dyDescent="0.2">
      <c r="A36" s="2"/>
      <c r="B36" s="18">
        <v>29</v>
      </c>
      <c r="C36" s="234">
        <f t="shared" si="30"/>
        <v>29</v>
      </c>
      <c r="D36" s="235">
        <f t="shared" si="8"/>
        <v>7</v>
      </c>
      <c r="E36" s="2159" t="str">
        <f t="shared" si="0"/>
        <v xml:space="preserve">attiva trim.  </v>
      </c>
      <c r="F36" s="2160"/>
      <c r="G36" s="237"/>
      <c r="H36" s="237"/>
      <c r="I36" s="828"/>
      <c r="J36" s="829"/>
      <c r="K36" s="237"/>
      <c r="L36" s="828"/>
      <c r="M36" s="829"/>
      <c r="N36" s="237"/>
      <c r="O36" s="828"/>
      <c r="P36" s="829"/>
      <c r="Q36" s="6"/>
      <c r="R36" s="1053">
        <f t="shared" si="9"/>
        <v>0</v>
      </c>
      <c r="S36" s="1054">
        <f t="shared" si="1"/>
        <v>0</v>
      </c>
      <c r="T36" s="1054">
        <f t="shared" si="10"/>
        <v>0</v>
      </c>
      <c r="U36" s="1055">
        <f t="shared" si="11"/>
        <v>0</v>
      </c>
      <c r="V36" s="231">
        <f t="shared" si="31"/>
        <v>45502</v>
      </c>
      <c r="W36" s="1053">
        <f t="shared" si="2"/>
        <v>0</v>
      </c>
      <c r="X36" s="1054">
        <f t="shared" si="3"/>
        <v>0</v>
      </c>
      <c r="Y36" s="1054">
        <f t="shared" si="4"/>
        <v>0</v>
      </c>
      <c r="Z36" s="1055">
        <f t="shared" si="5"/>
        <v>0</v>
      </c>
      <c r="AA36" s="822">
        <f>VLOOKUP(V36,CASSA!$B$114:$C$479,2,FALSE)</f>
        <v>0</v>
      </c>
      <c r="AB36" s="1053">
        <f t="shared" si="12"/>
        <v>0</v>
      </c>
      <c r="AC36" s="1054">
        <f t="shared" si="13"/>
        <v>0</v>
      </c>
      <c r="AD36" s="1054">
        <f t="shared" si="14"/>
        <v>0</v>
      </c>
      <c r="AE36" s="1055">
        <f t="shared" si="15"/>
        <v>0</v>
      </c>
      <c r="AF36" s="2"/>
      <c r="AG36" s="1090">
        <f t="shared" si="16"/>
        <v>0</v>
      </c>
      <c r="AH36" s="1091">
        <f t="shared" si="17"/>
        <v>0</v>
      </c>
      <c r="AI36" s="1054">
        <f t="shared" si="18"/>
        <v>0</v>
      </c>
      <c r="AJ36" s="1054">
        <f t="shared" si="19"/>
        <v>0</v>
      </c>
      <c r="AK36" s="1092">
        <f t="shared" si="6"/>
        <v>0</v>
      </c>
      <c r="AL36" s="2"/>
      <c r="AM36" s="1090">
        <f t="shared" si="7"/>
        <v>0</v>
      </c>
      <c r="AN36" s="1105">
        <f t="shared" si="20"/>
        <v>0</v>
      </c>
      <c r="AO36" s="1054">
        <f t="shared" si="21"/>
        <v>0</v>
      </c>
      <c r="AP36" s="1054">
        <f t="shared" si="22"/>
        <v>0</v>
      </c>
      <c r="AQ36" s="1092">
        <f t="shared" si="23"/>
        <v>0</v>
      </c>
      <c r="AR36" s="2"/>
      <c r="AS36" s="1090">
        <f t="shared" si="24"/>
        <v>0</v>
      </c>
      <c r="AT36" s="1091">
        <f t="shared" si="25"/>
        <v>0</v>
      </c>
      <c r="AU36" s="1054">
        <f t="shared" si="26"/>
        <v>0</v>
      </c>
      <c r="AV36" s="1054">
        <f t="shared" si="27"/>
        <v>0</v>
      </c>
      <c r="AW36" s="1092">
        <f t="shared" si="28"/>
        <v>0</v>
      </c>
      <c r="AX36" s="2"/>
      <c r="AY36" s="1090">
        <f t="shared" si="29"/>
        <v>0</v>
      </c>
      <c r="AZ36" s="1385"/>
      <c r="BA36" s="2"/>
    </row>
    <row r="37" spans="1:54" ht="20.25" customHeight="1" x14ac:dyDescent="0.2">
      <c r="A37" s="2"/>
      <c r="B37" s="18">
        <v>30</v>
      </c>
      <c r="C37" s="234">
        <f t="shared" si="30"/>
        <v>30</v>
      </c>
      <c r="D37" s="235">
        <f t="shared" si="8"/>
        <v>7</v>
      </c>
      <c r="E37" s="2159" t="str">
        <f t="shared" si="0"/>
        <v xml:space="preserve">attiva trim.  </v>
      </c>
      <c r="F37" s="2160"/>
      <c r="G37" s="237"/>
      <c r="H37" s="237"/>
      <c r="I37" s="828"/>
      <c r="J37" s="829"/>
      <c r="K37" s="237"/>
      <c r="L37" s="828"/>
      <c r="M37" s="829"/>
      <c r="N37" s="237"/>
      <c r="O37" s="828"/>
      <c r="P37" s="829"/>
      <c r="Q37" s="6"/>
      <c r="R37" s="1053">
        <f t="shared" si="9"/>
        <v>0</v>
      </c>
      <c r="S37" s="1054">
        <f t="shared" si="1"/>
        <v>0</v>
      </c>
      <c r="T37" s="1054">
        <f t="shared" si="10"/>
        <v>0</v>
      </c>
      <c r="U37" s="1055">
        <f t="shared" si="11"/>
        <v>0</v>
      </c>
      <c r="V37" s="231">
        <f t="shared" si="31"/>
        <v>45503</v>
      </c>
      <c r="W37" s="1053">
        <f t="shared" si="2"/>
        <v>0</v>
      </c>
      <c r="X37" s="1054">
        <f t="shared" si="3"/>
        <v>0</v>
      </c>
      <c r="Y37" s="1054">
        <f t="shared" si="4"/>
        <v>0</v>
      </c>
      <c r="Z37" s="1055">
        <f t="shared" si="5"/>
        <v>0</v>
      </c>
      <c r="AA37" s="822">
        <f>VLOOKUP(V37,CASSA!$B$114:$C$479,2,FALSE)</f>
        <v>0</v>
      </c>
      <c r="AB37" s="1053">
        <f t="shared" si="12"/>
        <v>0</v>
      </c>
      <c r="AC37" s="1054">
        <f t="shared" si="13"/>
        <v>0</v>
      </c>
      <c r="AD37" s="1054">
        <f t="shared" si="14"/>
        <v>0</v>
      </c>
      <c r="AE37" s="1055">
        <f t="shared" si="15"/>
        <v>0</v>
      </c>
      <c r="AF37" s="2"/>
      <c r="AG37" s="1090">
        <f t="shared" si="16"/>
        <v>0</v>
      </c>
      <c r="AH37" s="1091">
        <f t="shared" si="17"/>
        <v>0</v>
      </c>
      <c r="AI37" s="1054">
        <f t="shared" si="18"/>
        <v>0</v>
      </c>
      <c r="AJ37" s="1054">
        <f t="shared" si="19"/>
        <v>0</v>
      </c>
      <c r="AK37" s="1092">
        <f t="shared" si="6"/>
        <v>0</v>
      </c>
      <c r="AL37" s="2"/>
      <c r="AM37" s="1090">
        <f t="shared" si="7"/>
        <v>0</v>
      </c>
      <c r="AN37" s="1105">
        <f t="shared" si="20"/>
        <v>0</v>
      </c>
      <c r="AO37" s="1054">
        <f t="shared" si="21"/>
        <v>0</v>
      </c>
      <c r="AP37" s="1054">
        <f t="shared" si="22"/>
        <v>0</v>
      </c>
      <c r="AQ37" s="1092">
        <f t="shared" si="23"/>
        <v>0</v>
      </c>
      <c r="AR37" s="2"/>
      <c r="AS37" s="1090">
        <f t="shared" si="24"/>
        <v>0</v>
      </c>
      <c r="AT37" s="1091">
        <f t="shared" si="25"/>
        <v>0</v>
      </c>
      <c r="AU37" s="1054">
        <f t="shared" si="26"/>
        <v>0</v>
      </c>
      <c r="AV37" s="1054">
        <f t="shared" si="27"/>
        <v>0</v>
      </c>
      <c r="AW37" s="1092">
        <f t="shared" si="28"/>
        <v>0</v>
      </c>
      <c r="AX37" s="2"/>
      <c r="AY37" s="1090">
        <f t="shared" si="29"/>
        <v>0</v>
      </c>
      <c r="AZ37" s="1385"/>
      <c r="BA37" s="2"/>
    </row>
    <row r="38" spans="1:54" ht="20.25" customHeight="1" x14ac:dyDescent="0.2">
      <c r="A38" s="2"/>
      <c r="B38" s="18">
        <v>31</v>
      </c>
      <c r="C38" s="234">
        <f t="shared" si="30"/>
        <v>31</v>
      </c>
      <c r="D38" s="235">
        <f t="shared" si="8"/>
        <v>7</v>
      </c>
      <c r="E38" s="2162" t="str">
        <f t="shared" si="0"/>
        <v xml:space="preserve">attiva trim.  </v>
      </c>
      <c r="F38" s="2163"/>
      <c r="G38" s="824"/>
      <c r="H38" s="824"/>
      <c r="I38" s="836"/>
      <c r="J38" s="837"/>
      <c r="K38" s="824"/>
      <c r="L38" s="836"/>
      <c r="M38" s="837"/>
      <c r="N38" s="824"/>
      <c r="O38" s="836"/>
      <c r="P38" s="837"/>
      <c r="Q38" s="6"/>
      <c r="R38" s="1056">
        <f t="shared" si="9"/>
        <v>0</v>
      </c>
      <c r="S38" s="1057">
        <f t="shared" si="1"/>
        <v>0</v>
      </c>
      <c r="T38" s="1057">
        <f t="shared" si="10"/>
        <v>0</v>
      </c>
      <c r="U38" s="1058">
        <f t="shared" si="11"/>
        <v>0</v>
      </c>
      <c r="V38" s="231">
        <f t="shared" si="31"/>
        <v>45504</v>
      </c>
      <c r="W38" s="1056">
        <f t="shared" si="2"/>
        <v>0</v>
      </c>
      <c r="X38" s="1057">
        <f t="shared" si="3"/>
        <v>0</v>
      </c>
      <c r="Y38" s="1057">
        <f t="shared" si="4"/>
        <v>0</v>
      </c>
      <c r="Z38" s="1058">
        <f t="shared" si="5"/>
        <v>0</v>
      </c>
      <c r="AA38" s="822">
        <f>VLOOKUP(V38,CASSA!$B$114:$C$479,2,FALSE)</f>
        <v>0</v>
      </c>
      <c r="AB38" s="1056">
        <f t="shared" si="12"/>
        <v>0</v>
      </c>
      <c r="AC38" s="1057">
        <f t="shared" si="13"/>
        <v>0</v>
      </c>
      <c r="AD38" s="1057">
        <f t="shared" si="14"/>
        <v>0</v>
      </c>
      <c r="AE38" s="1058">
        <f t="shared" si="15"/>
        <v>0</v>
      </c>
      <c r="AF38" s="2"/>
      <c r="AG38" s="1093">
        <f t="shared" si="16"/>
        <v>0</v>
      </c>
      <c r="AH38" s="1094">
        <f t="shared" si="17"/>
        <v>0</v>
      </c>
      <c r="AI38" s="1057">
        <f t="shared" si="18"/>
        <v>0</v>
      </c>
      <c r="AJ38" s="1057">
        <f t="shared" si="19"/>
        <v>0</v>
      </c>
      <c r="AK38" s="1095">
        <f t="shared" si="6"/>
        <v>0</v>
      </c>
      <c r="AL38" s="2"/>
      <c r="AM38" s="1093">
        <f t="shared" si="7"/>
        <v>0</v>
      </c>
      <c r="AN38" s="1106">
        <f t="shared" si="20"/>
        <v>0</v>
      </c>
      <c r="AO38" s="1057">
        <f t="shared" si="21"/>
        <v>0</v>
      </c>
      <c r="AP38" s="1057">
        <f t="shared" si="22"/>
        <v>0</v>
      </c>
      <c r="AQ38" s="1095">
        <f t="shared" si="23"/>
        <v>0</v>
      </c>
      <c r="AR38" s="2"/>
      <c r="AS38" s="1093">
        <f t="shared" si="24"/>
        <v>0</v>
      </c>
      <c r="AT38" s="1094">
        <f t="shared" si="25"/>
        <v>0</v>
      </c>
      <c r="AU38" s="1057">
        <f t="shared" si="26"/>
        <v>0</v>
      </c>
      <c r="AV38" s="1057">
        <f t="shared" si="27"/>
        <v>0</v>
      </c>
      <c r="AW38" s="1095">
        <f t="shared" si="28"/>
        <v>0</v>
      </c>
      <c r="AX38" s="2"/>
      <c r="AY38" s="1093">
        <f t="shared" si="29"/>
        <v>0</v>
      </c>
      <c r="AZ38" s="1386"/>
      <c r="BA38" s="2"/>
    </row>
    <row r="39" spans="1:54" ht="20.25" customHeight="1" x14ac:dyDescent="0.2">
      <c r="A39" s="2"/>
      <c r="B39" s="7"/>
      <c r="C39" s="2077" t="s">
        <v>177</v>
      </c>
      <c r="D39" s="2078"/>
      <c r="E39" s="2074">
        <f>IMPOSTAZIONI!V265</f>
        <v>0</v>
      </c>
      <c r="F39" s="2075"/>
      <c r="G39" s="1440">
        <f>IF(ISERROR(G$155),0,SUM(G7:G38)-SUMIF($E8:$E38,$V4,G8:G38))</f>
        <v>0</v>
      </c>
      <c r="H39" s="1440">
        <f>IF(ISERROR(H$155),0,SUM(H7:H38)-SUMIF($E8:$E38,$V4,H8:H38))</f>
        <v>0</v>
      </c>
      <c r="I39" s="838"/>
      <c r="J39" s="839"/>
      <c r="K39" s="1440">
        <f>IF(ISERROR(I$155),0,SUM(K7:K38)-SUMIF($E8:$E38,$V4,K8:K38))</f>
        <v>0</v>
      </c>
      <c r="L39" s="838"/>
      <c r="M39" s="839"/>
      <c r="N39" s="1440">
        <f>IF(ISERROR(J$155),0,SUM(N7:N38)-SUMIF($E8:$E38,$V4,N8:N38))</f>
        <v>0</v>
      </c>
      <c r="O39" s="838"/>
      <c r="P39" s="839"/>
      <c r="Q39" s="6"/>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1383"/>
      <c r="BA39" s="2"/>
    </row>
    <row r="40" spans="1:54" ht="3" customHeight="1" x14ac:dyDescent="0.2">
      <c r="A40" s="2"/>
      <c r="B40" s="2"/>
      <c r="C40" s="8"/>
      <c r="D40" s="9"/>
      <c r="E40" s="825"/>
      <c r="F40" s="826"/>
      <c r="G40" s="827"/>
      <c r="H40" s="827"/>
      <c r="I40" s="825"/>
      <c r="J40" s="826"/>
      <c r="K40" s="827"/>
      <c r="L40" s="825"/>
      <c r="M40" s="826"/>
      <c r="N40" s="827"/>
      <c r="O40" s="825"/>
      <c r="P40" s="826"/>
      <c r="Q40" s="6"/>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row>
    <row r="41" spans="1:54" ht="6" customHeight="1" x14ac:dyDescent="0.2">
      <c r="A41" s="2"/>
      <c r="B41" s="2"/>
      <c r="C41" s="10"/>
      <c r="D41" s="10"/>
      <c r="E41" s="11"/>
      <c r="F41" s="11"/>
      <c r="G41" s="11"/>
      <c r="H41" s="11"/>
      <c r="I41" s="11"/>
      <c r="J41" s="11"/>
      <c r="K41" s="11"/>
      <c r="L41" s="11"/>
      <c r="M41" s="11"/>
      <c r="N41" s="11"/>
      <c r="O41" s="11"/>
      <c r="P41" s="11"/>
      <c r="Q41" s="1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row>
    <row r="42" spans="1:54" ht="18.75" customHeight="1" x14ac:dyDescent="0.2">
      <c r="A42" s="2"/>
      <c r="B42" s="2"/>
      <c r="C42" s="946" t="s">
        <v>657</v>
      </c>
      <c r="D42" s="14"/>
      <c r="E42" s="12"/>
      <c r="F42" s="12"/>
      <c r="G42" s="957">
        <f>IMPOSTAZIONI!I33</f>
        <v>0</v>
      </c>
      <c r="H42" s="957">
        <f>IMPOSTAZIONI!M33</f>
        <v>0</v>
      </c>
      <c r="I42" s="12"/>
      <c r="J42" s="12"/>
      <c r="K42" s="957">
        <f>IMPOSTAZIONI!U33</f>
        <v>0</v>
      </c>
      <c r="L42" s="12"/>
      <c r="M42" s="12"/>
      <c r="N42" s="957">
        <f>IMPOSTAZIONI!AC33</f>
        <v>0</v>
      </c>
      <c r="O42" s="12"/>
      <c r="P42" s="12"/>
      <c r="Q42" s="12"/>
      <c r="R42" s="2"/>
      <c r="S42" s="591"/>
      <c r="T42" s="591"/>
      <c r="U42" s="591"/>
      <c r="V42" s="591"/>
      <c r="W42" s="591"/>
      <c r="X42" s="591"/>
      <c r="Y42" s="591"/>
      <c r="Z42" s="591"/>
      <c r="AA42" s="591"/>
      <c r="AB42" s="591"/>
      <c r="AC42" s="591"/>
      <c r="AD42" s="591"/>
      <c r="AE42" s="591"/>
      <c r="AF42" s="591"/>
      <c r="AG42" s="591"/>
      <c r="AH42" s="591"/>
      <c r="AI42" s="591"/>
      <c r="AJ42" s="591"/>
      <c r="AK42" s="591"/>
      <c r="AL42" s="591"/>
      <c r="AM42" s="591"/>
      <c r="AN42" s="591"/>
      <c r="AO42" s="591"/>
      <c r="AP42" s="591"/>
      <c r="AQ42" s="591"/>
      <c r="AR42" s="591"/>
      <c r="AS42" s="591"/>
      <c r="AT42" s="591"/>
      <c r="AU42" s="591"/>
      <c r="AV42" s="591"/>
      <c r="AW42" s="591"/>
      <c r="AX42" s="591"/>
      <c r="AY42" s="591"/>
      <c r="AZ42" s="2"/>
      <c r="BA42" s="2"/>
      <c r="BB42" s="591"/>
    </row>
    <row r="43" spans="1:54" ht="18" customHeight="1" x14ac:dyDescent="0.2">
      <c r="A43" s="2"/>
      <c r="B43" s="2"/>
      <c r="C43" s="2161" t="s">
        <v>175</v>
      </c>
      <c r="D43" s="2161"/>
      <c r="E43" s="2076">
        <f>C6</f>
        <v>2024</v>
      </c>
      <c r="F43" s="2076"/>
      <c r="G43" s="888" t="str">
        <f>G6</f>
        <v/>
      </c>
      <c r="H43" s="889" t="str">
        <f>H6</f>
        <v/>
      </c>
      <c r="I43" s="2"/>
      <c r="J43" s="2"/>
      <c r="K43" s="887" t="str">
        <f>K6</f>
        <v/>
      </c>
      <c r="L43" s="2"/>
      <c r="M43" s="2"/>
      <c r="N43" s="887" t="str">
        <f>N6</f>
        <v/>
      </c>
      <c r="O43" s="2"/>
      <c r="P43" s="2"/>
      <c r="Q43" s="12"/>
      <c r="R43" s="2"/>
      <c r="S43" s="591"/>
      <c r="T43" s="591"/>
      <c r="U43" s="591"/>
      <c r="V43" s="591"/>
      <c r="W43" s="591"/>
      <c r="X43" s="591"/>
      <c r="Y43" s="591"/>
      <c r="Z43" s="591"/>
      <c r="AA43" s="591"/>
      <c r="AB43" s="591"/>
      <c r="AC43" s="591"/>
      <c r="AD43" s="591"/>
      <c r="AE43" s="591"/>
      <c r="AF43" s="591"/>
      <c r="AG43" s="591"/>
      <c r="AH43" s="591"/>
      <c r="AI43" s="591"/>
      <c r="AJ43" s="591"/>
      <c r="AK43" s="591"/>
      <c r="AL43" s="591"/>
      <c r="AM43" s="591"/>
      <c r="AN43" s="591"/>
      <c r="AO43" s="591"/>
      <c r="AP43" s="591"/>
      <c r="AQ43" s="591"/>
      <c r="AR43" s="591"/>
      <c r="AS43" s="591"/>
      <c r="AT43" s="591"/>
      <c r="AU43" s="591"/>
      <c r="AV43" s="591"/>
      <c r="AW43" s="591"/>
      <c r="AX43" s="591"/>
      <c r="AY43" s="591"/>
      <c r="AZ43" s="2"/>
      <c r="BA43" s="2"/>
      <c r="BB43" s="591"/>
    </row>
    <row r="44" spans="1:54" ht="22.5" customHeight="1" x14ac:dyDescent="0.2">
      <c r="A44" s="2"/>
      <c r="B44" s="2"/>
      <c r="C44" s="2091" t="s">
        <v>298</v>
      </c>
      <c r="D44" s="2091"/>
      <c r="E44" s="2091"/>
      <c r="F44" s="2091"/>
      <c r="G44" s="57" t="str">
        <f t="shared" ref="G44:K45" si="32">G4</f>
        <v/>
      </c>
      <c r="H44" s="57" t="str">
        <f t="shared" si="32"/>
        <v/>
      </c>
      <c r="I44" s="2034">
        <f>IF(I4=K130,"",I4)</f>
        <v>0</v>
      </c>
      <c r="J44" s="2034"/>
      <c r="K44" s="57" t="str">
        <f t="shared" si="32"/>
        <v/>
      </c>
      <c r="L44" s="2034">
        <f>IF(L4=K130,"",L4)</f>
        <v>0</v>
      </c>
      <c r="M44" s="2034"/>
      <c r="N44" s="57" t="str">
        <f>N4</f>
        <v/>
      </c>
      <c r="O44" s="2034">
        <f>IF(O4=K130,"",O4)</f>
        <v>0</v>
      </c>
      <c r="P44" s="2034"/>
      <c r="Q44" s="12"/>
      <c r="R44" s="2"/>
      <c r="S44" s="591"/>
      <c r="T44" s="591"/>
      <c r="U44" s="591"/>
      <c r="V44" s="591"/>
      <c r="W44" s="591"/>
      <c r="X44" s="591"/>
      <c r="Y44" s="591"/>
      <c r="Z44" s="591"/>
      <c r="AA44" s="591"/>
      <c r="AB44" s="591"/>
      <c r="AC44" s="591"/>
      <c r="AD44" s="591"/>
      <c r="AE44" s="591"/>
      <c r="AF44" s="591"/>
      <c r="AG44" s="591"/>
      <c r="AH44" s="591"/>
      <c r="AI44" s="591"/>
      <c r="AJ44" s="591"/>
      <c r="AK44" s="591"/>
      <c r="AL44" s="591"/>
      <c r="AM44" s="591"/>
      <c r="AN44" s="591"/>
      <c r="AO44" s="591"/>
      <c r="AP44" s="591"/>
      <c r="AQ44" s="591"/>
      <c r="AR44" s="591"/>
      <c r="AS44" s="591"/>
      <c r="AT44" s="591"/>
      <c r="AU44" s="591"/>
      <c r="AV44" s="591"/>
      <c r="AW44" s="591"/>
      <c r="AX44" s="591"/>
      <c r="AY44" s="591"/>
      <c r="AZ44" s="2"/>
      <c r="BA44" s="2"/>
      <c r="BB44" s="591"/>
    </row>
    <row r="45" spans="1:54" ht="22.5" customHeight="1" x14ac:dyDescent="0.2">
      <c r="A45" s="2"/>
      <c r="B45" s="2"/>
      <c r="C45" s="2081" t="s">
        <v>311</v>
      </c>
      <c r="D45" s="2081"/>
      <c r="E45" s="2082"/>
      <c r="F45" s="2082"/>
      <c r="G45" s="58" t="str">
        <f t="shared" si="32"/>
        <v/>
      </c>
      <c r="H45" s="58" t="str">
        <f t="shared" si="32"/>
        <v/>
      </c>
      <c r="I45" s="488" t="str">
        <f>I6</f>
        <v>DAL</v>
      </c>
      <c r="J45" s="489" t="str">
        <f>J6</f>
        <v>AL</v>
      </c>
      <c r="K45" s="58" t="str">
        <f t="shared" si="32"/>
        <v/>
      </c>
      <c r="L45" s="488" t="str">
        <f>L6</f>
        <v>DAL</v>
      </c>
      <c r="M45" s="489" t="str">
        <f>M6</f>
        <v>AL</v>
      </c>
      <c r="N45" s="58" t="str">
        <f>N5</f>
        <v/>
      </c>
      <c r="O45" s="488" t="str">
        <f>O6</f>
        <v>DAL</v>
      </c>
      <c r="P45" s="489" t="str">
        <f>P6</f>
        <v>AL</v>
      </c>
      <c r="Q45" s="12"/>
      <c r="R45" s="2"/>
      <c r="S45" s="591"/>
      <c r="T45" s="591"/>
      <c r="U45" s="591"/>
      <c r="V45" s="591"/>
      <c r="W45" s="591"/>
      <c r="X45" s="591"/>
      <c r="Y45" s="591"/>
      <c r="Z45" s="591"/>
      <c r="AA45" s="591"/>
      <c r="AB45" s="591"/>
      <c r="AC45" s="591"/>
      <c r="AD45" s="591"/>
      <c r="AE45" s="591"/>
      <c r="AF45" s="591"/>
      <c r="AG45" s="591"/>
      <c r="AH45" s="591"/>
      <c r="AI45" s="591"/>
      <c r="AJ45" s="591"/>
      <c r="AK45" s="591"/>
      <c r="AL45" s="591"/>
      <c r="AM45" s="591"/>
      <c r="AN45" s="591"/>
      <c r="AO45" s="591"/>
      <c r="AP45" s="591"/>
      <c r="AQ45" s="591"/>
      <c r="AR45" s="591"/>
      <c r="AS45" s="591"/>
      <c r="AT45" s="591"/>
      <c r="AU45" s="591"/>
      <c r="AV45" s="591"/>
      <c r="AW45" s="591"/>
      <c r="AX45" s="591"/>
      <c r="AY45" s="591"/>
      <c r="AZ45" s="2"/>
      <c r="BA45" s="2"/>
      <c r="BB45" s="591"/>
    </row>
    <row r="46" spans="1:54" ht="21.95" customHeight="1" x14ac:dyDescent="0.2">
      <c r="A46" s="2"/>
      <c r="B46" s="7"/>
      <c r="C46" s="2079" t="s">
        <v>193</v>
      </c>
      <c r="D46" s="2080"/>
      <c r="E46" s="2157">
        <f>IF(E150=1,SUM(E8:E38),SUM(G46:H46)+K46+N46-SUMIF(G42:N42,K134,G46:N46))</f>
        <v>0</v>
      </c>
      <c r="F46" s="2158"/>
      <c r="G46" s="881">
        <f>IF(ISERROR(G$155),0,SUM(G8:G38)-SUMIF($E8:$E38,$V4,G8:G38)+IF(ISERROR(VLOOKUP(G1,IMPOSTAZIONI!$B$401:$AM$407,$E$149,FALSE)),0,VLOOKUP(G1,IMPOSTAZIONI!$B$401:$AM$407,$E$149,FALSE)))</f>
        <v>0</v>
      </c>
      <c r="H46" s="882">
        <f>IF(ISERROR(H$155),0,SUM(H8:H38)-SUMIF($E8:$E38,$V4,H8:H38)+IF(ISERROR(VLOOKUP(H1,IMPOSTAZIONI!$B$401:$AM$407,$E$149,FALSE)),0,VLOOKUP(H1,IMPOSTAZIONI!$B$401:$AM$407,$E$149,FALSE)))</f>
        <v>0</v>
      </c>
      <c r="I46" s="884"/>
      <c r="J46" s="883"/>
      <c r="K46" s="297">
        <f>IF(ISERROR(I$155),0,SUM(K8:K38)-SUMIF($E8:$E38,$V4,K8:K38)+IF(ISERROR(VLOOKUP(K1,IMPOSTAZIONI!$B$401:$AM$407,$E$149,FALSE)),0,VLOOKUP(K1,IMPOSTAZIONI!$B$401:$AM$407,$E$149,FALSE)))</f>
        <v>0</v>
      </c>
      <c r="L46" s="884"/>
      <c r="M46" s="883"/>
      <c r="N46" s="297">
        <f>IF(ISERROR(J$155),0,SUM(N8:N38)-SUMIF($E8:$E38,$V4,N8:N38)+IF(ISERROR(VLOOKUP(N1,IMPOSTAZIONI!$B$401:$AM$407,$E$149,FALSE)),0,VLOOKUP(N1,IMPOSTAZIONI!$B$401:$AM$407,$E$149,FALSE)))</f>
        <v>0</v>
      </c>
      <c r="O46" s="885"/>
      <c r="P46" s="886"/>
      <c r="Q46" s="12"/>
      <c r="R46" s="2"/>
      <c r="S46" s="591"/>
      <c r="T46" s="591"/>
      <c r="U46" s="591"/>
      <c r="V46" s="591"/>
      <c r="W46" s="591"/>
      <c r="X46" s="591"/>
      <c r="Y46" s="591"/>
      <c r="Z46" s="591"/>
      <c r="AA46" s="591"/>
      <c r="AB46" s="591"/>
      <c r="AC46" s="591"/>
      <c r="AD46" s="591"/>
      <c r="AE46" s="591"/>
      <c r="AF46" s="591"/>
      <c r="AG46" s="591"/>
      <c r="AH46" s="591"/>
      <c r="AI46" s="591"/>
      <c r="AJ46" s="591"/>
      <c r="AK46" s="591"/>
      <c r="AL46" s="591"/>
      <c r="AM46" s="591"/>
      <c r="AN46" s="591"/>
      <c r="AO46" s="591"/>
      <c r="AP46" s="591"/>
      <c r="AQ46" s="591"/>
      <c r="AR46" s="591"/>
      <c r="AS46" s="591"/>
      <c r="AT46" s="591"/>
      <c r="AU46" s="591"/>
      <c r="AV46" s="591"/>
      <c r="AW46" s="591"/>
      <c r="AX46" s="591"/>
      <c r="AY46" s="591"/>
      <c r="AZ46" s="2"/>
      <c r="BA46" s="2"/>
      <c r="BB46" s="591"/>
    </row>
    <row r="47" spans="1:54" ht="16.5" customHeight="1" x14ac:dyDescent="0.2">
      <c r="A47" s="2"/>
      <c r="B47" s="7"/>
      <c r="C47" s="2179" t="s">
        <v>194</v>
      </c>
      <c r="D47" s="2180"/>
      <c r="E47" s="2177">
        <f>E46-E48</f>
        <v>0</v>
      </c>
      <c r="F47" s="2178"/>
      <c r="G47" s="238">
        <f>G46-G48</f>
        <v>0</v>
      </c>
      <c r="H47" s="652">
        <f>H46-H48</f>
        <v>0</v>
      </c>
      <c r="I47" s="2"/>
      <c r="J47" s="2"/>
      <c r="K47" s="654">
        <f>K46-K48</f>
        <v>0</v>
      </c>
      <c r="L47" s="2"/>
      <c r="M47" s="2"/>
      <c r="N47" s="654">
        <f>N46-N48</f>
        <v>0</v>
      </c>
      <c r="O47" s="2"/>
      <c r="P47" s="2"/>
      <c r="Q47" s="12"/>
      <c r="R47" s="2"/>
      <c r="S47" s="591"/>
      <c r="T47" s="591"/>
      <c r="U47" s="591"/>
      <c r="V47" s="591"/>
      <c r="W47" s="591"/>
      <c r="X47" s="591"/>
      <c r="Y47" s="591"/>
      <c r="Z47" s="591"/>
      <c r="AA47" s="591"/>
      <c r="AB47" s="591"/>
      <c r="AC47" s="591"/>
      <c r="AD47" s="591"/>
      <c r="AE47" s="591"/>
      <c r="AF47" s="591"/>
      <c r="AG47" s="591"/>
      <c r="AH47" s="591"/>
      <c r="AI47" s="591"/>
      <c r="AJ47" s="591"/>
      <c r="AK47" s="591"/>
      <c r="AL47" s="591"/>
      <c r="AM47" s="591"/>
      <c r="AN47" s="591"/>
      <c r="AO47" s="591"/>
      <c r="AP47" s="591"/>
      <c r="AQ47" s="591"/>
      <c r="AR47" s="591"/>
      <c r="AS47" s="591"/>
      <c r="AT47" s="591"/>
      <c r="AU47" s="591"/>
      <c r="AV47" s="591"/>
      <c r="AW47" s="591"/>
      <c r="AX47" s="591"/>
      <c r="AY47" s="591"/>
      <c r="AZ47" s="2"/>
      <c r="BA47" s="2"/>
      <c r="BB47" s="591"/>
    </row>
    <row r="48" spans="1:54" ht="16.5" customHeight="1" x14ac:dyDescent="0.2">
      <c r="A48" s="2"/>
      <c r="B48" s="7"/>
      <c r="C48" s="2070" t="s">
        <v>195</v>
      </c>
      <c r="D48" s="2071"/>
      <c r="E48" s="2181">
        <f>IF(I163=0,0,SUM(G48:H48)+K48+N48-SUMIF(G42:N42,K134,G48:N48))</f>
        <v>0</v>
      </c>
      <c r="F48" s="2182"/>
      <c r="G48" s="239">
        <f>IF(AND(C61=1,G63&lt;&gt;0),G87,IF(G152=0,SUM(R8:R38)-SUMIF($E8:$E38,$V4,R8:R38)+VLOOKUP(G1,IMPOSTAZIONI!$B$419:$AK$425,$E$149,FALSE),G98))</f>
        <v>0</v>
      </c>
      <c r="H48" s="653">
        <f>IF(AND(C61=1,H63&lt;&gt;0),H87,IF(H152=0,SUM(S8:S38)-SUMIF($E8:$E38,$V4,S8:S38)+VLOOKUP(H1,IMPOSTAZIONI!$B$419:$AK$425,$E$149,FALSE),H98))</f>
        <v>0</v>
      </c>
      <c r="I48" s="59"/>
      <c r="J48" s="139"/>
      <c r="K48" s="655">
        <f>IF(AND(C61=1,K63&lt;&gt;0),I87,IF(I152=0,SUM(T8:T38)-SUMIF($E8:$E38,$V4,T8:T38)+VLOOKUP(K1,IMPOSTAZIONI!$B$419:$AK$425,$E$149,FALSE),K98))</f>
        <v>0</v>
      </c>
      <c r="L48" s="59"/>
      <c r="M48" s="139"/>
      <c r="N48" s="655">
        <f>IF(AND(C61=1,N63&lt;&gt;0),K87,IF(J152=0,SUM(U8:U38)-SUMIF($E8:$E38,$V4,U8:U38)+VLOOKUP(N1,IMPOSTAZIONI!$B$419:$AK$425,$E$149,FALSE),N98))</f>
        <v>0</v>
      </c>
      <c r="O48" s="2"/>
      <c r="P48" s="2"/>
      <c r="Q48" s="13"/>
      <c r="R48" s="2"/>
      <c r="S48" s="591"/>
      <c r="T48" s="591"/>
      <c r="U48" s="591"/>
      <c r="V48" s="591"/>
      <c r="W48" s="591"/>
      <c r="X48" s="591"/>
      <c r="Y48" s="591"/>
      <c r="Z48" s="591"/>
      <c r="AA48" s="591"/>
      <c r="AB48" s="591"/>
      <c r="AC48" s="591"/>
      <c r="AD48" s="591"/>
      <c r="AE48" s="591"/>
      <c r="AF48" s="591"/>
      <c r="AG48" s="591"/>
      <c r="AH48" s="591"/>
      <c r="AI48" s="591"/>
      <c r="AJ48" s="591"/>
      <c r="AK48" s="591"/>
      <c r="AL48" s="591"/>
      <c r="AM48" s="591"/>
      <c r="AN48" s="591"/>
      <c r="AO48" s="591"/>
      <c r="AP48" s="591"/>
      <c r="AQ48" s="591"/>
      <c r="AR48" s="591"/>
      <c r="AS48" s="591"/>
      <c r="AT48" s="591"/>
      <c r="AU48" s="591"/>
      <c r="AV48" s="591"/>
      <c r="AW48" s="591"/>
      <c r="AX48" s="591"/>
      <c r="AY48" s="591"/>
      <c r="AZ48" s="2"/>
      <c r="BA48" s="2"/>
      <c r="BB48" s="591"/>
    </row>
    <row r="49" spans="1:54" ht="37.5" customHeight="1" x14ac:dyDescent="0.2">
      <c r="A49" s="2"/>
      <c r="B49" s="2"/>
      <c r="C49" s="14"/>
      <c r="D49" s="14"/>
      <c r="E49" s="12"/>
      <c r="F49" s="12"/>
      <c r="G49" s="11"/>
      <c r="H49" s="11"/>
      <c r="I49" s="12"/>
      <c r="J49" s="12"/>
      <c r="K49" s="11"/>
      <c r="L49" s="12"/>
      <c r="M49" s="12"/>
      <c r="N49" s="11"/>
      <c r="O49" s="12"/>
      <c r="P49" s="12"/>
      <c r="Q49" s="12"/>
      <c r="R49" s="12"/>
      <c r="S49" s="1308"/>
      <c r="T49" s="1308"/>
      <c r="U49" s="591"/>
      <c r="V49" s="591"/>
      <c r="W49" s="591"/>
      <c r="X49" s="591"/>
      <c r="Y49" s="591"/>
      <c r="Z49" s="591"/>
      <c r="AA49" s="591"/>
      <c r="AB49" s="591"/>
      <c r="AC49" s="591"/>
      <c r="AD49" s="591"/>
      <c r="AE49" s="591"/>
      <c r="AF49" s="591"/>
      <c r="AG49" s="591"/>
      <c r="AH49" s="591"/>
      <c r="AI49" s="591"/>
      <c r="AJ49" s="591"/>
      <c r="AK49" s="591"/>
      <c r="AL49" s="591"/>
      <c r="AM49" s="591"/>
      <c r="AN49" s="591"/>
      <c r="AO49" s="591"/>
      <c r="AP49" s="591"/>
      <c r="AQ49" s="591"/>
      <c r="AR49" s="591"/>
      <c r="AS49" s="591"/>
      <c r="AT49" s="591"/>
      <c r="AU49" s="591"/>
      <c r="AV49" s="591"/>
      <c r="AW49" s="591"/>
      <c r="AX49" s="591"/>
      <c r="AY49" s="591"/>
      <c r="AZ49" s="2"/>
      <c r="BA49" s="2"/>
      <c r="BB49" s="591"/>
    </row>
    <row r="50" spans="1:54" ht="18.75" customHeight="1" x14ac:dyDescent="0.2">
      <c r="A50" s="2"/>
      <c r="B50" s="2"/>
      <c r="C50" s="2174" t="s">
        <v>196</v>
      </c>
      <c r="D50" s="2174"/>
      <c r="E50" s="2174"/>
      <c r="F50" s="96"/>
      <c r="G50" s="2225" t="s">
        <v>488</v>
      </c>
      <c r="H50" s="2226"/>
      <c r="I50" s="2226"/>
      <c r="J50" s="2226"/>
      <c r="K50" s="2226"/>
      <c r="L50" s="2226"/>
      <c r="M50" s="2227"/>
      <c r="N50" s="656"/>
      <c r="O50" s="656"/>
      <c r="P50" s="14"/>
      <c r="Q50" s="2"/>
      <c r="R50" s="15"/>
      <c r="S50" s="1309"/>
      <c r="T50" s="591"/>
      <c r="U50" s="591"/>
      <c r="V50" s="591"/>
      <c r="W50" s="591"/>
      <c r="X50" s="591"/>
      <c r="Y50" s="591"/>
      <c r="Z50" s="1308"/>
      <c r="AA50" s="1309"/>
      <c r="AB50" s="591"/>
      <c r="AC50" s="591"/>
      <c r="AD50" s="591"/>
      <c r="AE50" s="591"/>
      <c r="AF50" s="591"/>
      <c r="AG50" s="591"/>
      <c r="AH50" s="591"/>
      <c r="AI50" s="591"/>
      <c r="AJ50" s="591"/>
      <c r="AK50" s="591"/>
      <c r="AL50" s="591"/>
      <c r="AM50" s="591"/>
      <c r="AN50" s="591"/>
      <c r="AO50" s="591"/>
      <c r="AP50" s="591"/>
      <c r="AQ50" s="591"/>
      <c r="AR50" s="591"/>
      <c r="AS50" s="591"/>
      <c r="AT50" s="591"/>
      <c r="AU50" s="591"/>
      <c r="AV50" s="591"/>
      <c r="AW50" s="591"/>
      <c r="AX50" s="591"/>
      <c r="AY50" s="591"/>
      <c r="AZ50" s="2"/>
      <c r="BA50" s="2"/>
      <c r="BB50" s="591"/>
    </row>
    <row r="51" spans="1:54" ht="16.5" customHeight="1" x14ac:dyDescent="0.25">
      <c r="A51" s="2"/>
      <c r="B51" s="2"/>
      <c r="C51" s="2126" t="s">
        <v>197</v>
      </c>
      <c r="D51" s="2127"/>
      <c r="E51" s="2128"/>
      <c r="F51" s="554"/>
      <c r="G51" s="293" t="str">
        <f>VLOOKUP(M3,K144:M148,3,FALSE)</f>
        <v>IVA a debito</v>
      </c>
      <c r="H51" s="294" t="str">
        <f>VLOOKUP(M3,K144:O148,5,FALSE)</f>
        <v>IVA a credito</v>
      </c>
      <c r="I51" s="2214" t="s">
        <v>200</v>
      </c>
      <c r="J51" s="2215"/>
      <c r="K51" s="1303" t="s">
        <v>201</v>
      </c>
      <c r="L51" s="2214" t="s">
        <v>71</v>
      </c>
      <c r="M51" s="2215"/>
      <c r="N51" s="14"/>
      <c r="O51" s="14"/>
      <c r="P51" s="14"/>
      <c r="Q51" s="12"/>
      <c r="R51" s="2"/>
      <c r="S51" s="591"/>
      <c r="T51" s="591"/>
      <c r="U51" s="591"/>
      <c r="V51" s="591"/>
      <c r="W51" s="591"/>
      <c r="X51" s="591"/>
      <c r="Y51" s="591"/>
      <c r="Z51" s="591"/>
      <c r="AA51" s="591"/>
      <c r="AB51" s="591"/>
      <c r="AC51" s="591"/>
      <c r="AD51" s="591"/>
      <c r="AE51" s="591"/>
      <c r="AF51" s="591"/>
      <c r="AG51" s="591"/>
      <c r="AH51" s="591"/>
      <c r="AI51" s="591"/>
      <c r="AJ51" s="591"/>
      <c r="AK51" s="591"/>
      <c r="AL51" s="591"/>
      <c r="AM51" s="591"/>
      <c r="AN51" s="591"/>
      <c r="AO51" s="591"/>
      <c r="AP51" s="591"/>
      <c r="AQ51" s="591"/>
      <c r="AR51" s="591"/>
      <c r="AS51" s="591"/>
      <c r="AT51" s="591"/>
      <c r="AU51" s="591"/>
      <c r="AV51" s="591"/>
      <c r="AW51" s="591"/>
      <c r="AX51" s="591"/>
      <c r="AY51" s="591"/>
      <c r="AZ51" s="2"/>
      <c r="BA51" s="2"/>
      <c r="BB51" s="591"/>
    </row>
    <row r="52" spans="1:54" ht="16.5" customHeight="1" x14ac:dyDescent="0.2">
      <c r="A52" s="2"/>
      <c r="B52" s="2"/>
      <c r="C52" s="2129"/>
      <c r="D52" s="2130"/>
      <c r="E52" s="2131"/>
      <c r="F52" s="576"/>
      <c r="G52" s="295" t="str">
        <f>VLOOKUP(M3,K144:N148,4,FALSE)</f>
        <v>corrispettivi</v>
      </c>
      <c r="H52" s="296" t="str">
        <f>VLOOKUP(M3,K144:P148,6,FALSE)</f>
        <v>ACQUISTI</v>
      </c>
      <c r="I52" s="2212" t="s">
        <v>201</v>
      </c>
      <c r="J52" s="2213"/>
      <c r="K52" s="1304" t="s">
        <v>204</v>
      </c>
      <c r="L52" s="2212" t="s">
        <v>205</v>
      </c>
      <c r="M52" s="2213"/>
      <c r="N52" s="14"/>
      <c r="O52" s="14"/>
      <c r="P52" s="14"/>
      <c r="Q52" s="12"/>
      <c r="R52" s="2"/>
      <c r="S52" s="591"/>
      <c r="T52" s="591"/>
      <c r="U52" s="591"/>
      <c r="V52" s="591"/>
      <c r="W52" s="591"/>
      <c r="X52" s="591"/>
      <c r="Y52" s="591"/>
      <c r="Z52" s="591"/>
      <c r="AA52" s="591"/>
      <c r="AB52" s="591"/>
      <c r="AC52" s="591"/>
      <c r="AD52" s="591"/>
      <c r="AE52" s="591"/>
      <c r="AF52" s="591"/>
      <c r="AG52" s="591"/>
      <c r="AH52" s="591"/>
      <c r="AI52" s="591"/>
      <c r="AJ52" s="591"/>
      <c r="AK52" s="591"/>
      <c r="AL52" s="591"/>
      <c r="AM52" s="591"/>
      <c r="AN52" s="591"/>
      <c r="AO52" s="591"/>
      <c r="AP52" s="591"/>
      <c r="AQ52" s="591"/>
      <c r="AR52" s="591"/>
      <c r="AS52" s="591"/>
      <c r="AT52" s="591"/>
      <c r="AU52" s="591"/>
      <c r="AV52" s="591"/>
      <c r="AW52" s="591"/>
      <c r="AX52" s="591"/>
      <c r="AY52" s="591"/>
      <c r="AZ52" s="2"/>
      <c r="BA52" s="2"/>
      <c r="BB52" s="591"/>
    </row>
    <row r="53" spans="1:54" ht="16.5" customHeight="1" x14ac:dyDescent="0.2">
      <c r="A53" s="2"/>
      <c r="B53" s="2"/>
      <c r="C53" s="2132" t="s">
        <v>816</v>
      </c>
      <c r="D53" s="2133"/>
      <c r="E53" s="2134"/>
      <c r="F53" s="554"/>
      <c r="G53" s="2045">
        <f>E48</f>
        <v>0</v>
      </c>
      <c r="H53" s="2047"/>
      <c r="I53" s="2066">
        <f>G53+H53</f>
        <v>0</v>
      </c>
      <c r="J53" s="2067"/>
      <c r="K53" s="2183"/>
      <c r="L53" s="2066">
        <f>I53+K53</f>
        <v>0</v>
      </c>
      <c r="M53" s="2067"/>
      <c r="N53" s="14"/>
      <c r="O53" s="14"/>
      <c r="P53" s="14"/>
      <c r="Q53" s="12"/>
      <c r="R53" s="2"/>
      <c r="S53" s="591"/>
      <c r="T53" s="591"/>
      <c r="U53" s="591"/>
      <c r="V53" s="591"/>
      <c r="W53" s="591"/>
      <c r="X53" s="591"/>
      <c r="Y53" s="591"/>
      <c r="Z53" s="591"/>
      <c r="AA53" s="591"/>
      <c r="AB53" s="591"/>
      <c r="AC53" s="591"/>
      <c r="AD53" s="591"/>
      <c r="AE53" s="591"/>
      <c r="AF53" s="591"/>
      <c r="AG53" s="591"/>
      <c r="AH53" s="591"/>
      <c r="AI53" s="591"/>
      <c r="AJ53" s="591"/>
      <c r="AK53" s="591"/>
      <c r="AL53" s="591"/>
      <c r="AM53" s="591"/>
      <c r="AN53" s="591"/>
      <c r="AO53" s="591"/>
      <c r="AP53" s="591"/>
      <c r="AQ53" s="591"/>
      <c r="AR53" s="591"/>
      <c r="AS53" s="591"/>
      <c r="AT53" s="591"/>
      <c r="AU53" s="591"/>
      <c r="AV53" s="591"/>
      <c r="AW53" s="591"/>
      <c r="AX53" s="591"/>
      <c r="AY53" s="591"/>
      <c r="AZ53" s="2"/>
      <c r="BA53" s="2"/>
      <c r="BB53" s="591"/>
    </row>
    <row r="54" spans="1:54" ht="16.5" customHeight="1" x14ac:dyDescent="0.2">
      <c r="A54" s="2"/>
      <c r="B54" s="2"/>
      <c r="C54" s="2042"/>
      <c r="D54" s="2043"/>
      <c r="E54" s="2044"/>
      <c r="F54" s="577"/>
      <c r="G54" s="2046"/>
      <c r="H54" s="2048"/>
      <c r="I54" s="2068"/>
      <c r="J54" s="2069"/>
      <c r="K54" s="2184"/>
      <c r="L54" s="2068"/>
      <c r="M54" s="2069"/>
      <c r="N54" s="14"/>
      <c r="O54" s="14"/>
      <c r="P54" s="14"/>
      <c r="Q54" s="12"/>
      <c r="R54" s="2"/>
      <c r="S54" s="591"/>
      <c r="T54" s="591"/>
      <c r="U54" s="591"/>
      <c r="V54" s="591"/>
      <c r="W54" s="591"/>
      <c r="X54" s="591"/>
      <c r="Y54" s="591"/>
      <c r="Z54" s="591"/>
      <c r="AA54" s="591"/>
      <c r="AB54" s="591"/>
      <c r="AC54" s="591"/>
      <c r="AD54" s="591"/>
      <c r="AE54" s="591"/>
      <c r="AF54" s="591"/>
      <c r="AG54" s="591"/>
      <c r="AH54" s="591"/>
      <c r="AI54" s="591"/>
      <c r="AJ54" s="591"/>
      <c r="AK54" s="591"/>
      <c r="AL54" s="591"/>
      <c r="AM54" s="591"/>
      <c r="AN54" s="591"/>
      <c r="AO54" s="591"/>
      <c r="AP54" s="591"/>
      <c r="AQ54" s="591"/>
      <c r="AR54" s="591"/>
      <c r="AS54" s="591"/>
      <c r="AT54" s="591"/>
      <c r="AU54" s="591"/>
      <c r="AV54" s="591"/>
      <c r="AW54" s="591"/>
      <c r="AX54" s="591"/>
      <c r="AY54" s="591"/>
      <c r="AZ54" s="2"/>
      <c r="BA54" s="2"/>
      <c r="BB54" s="591"/>
    </row>
    <row r="55" spans="1:54" ht="16.5" customHeight="1" x14ac:dyDescent="0.2">
      <c r="A55" s="2"/>
      <c r="B55" s="2"/>
      <c r="C55" s="2132" t="s">
        <v>815</v>
      </c>
      <c r="D55" s="2133"/>
      <c r="E55" s="2134"/>
      <c r="F55" s="555"/>
      <c r="G55" s="16" t="s">
        <v>206</v>
      </c>
      <c r="H55" s="890" t="s">
        <v>207</v>
      </c>
      <c r="I55" s="2120" t="str">
        <f>VLOOKUP(M3,K144:Q148,7,FALSE)</f>
        <v>DEBITO +</v>
      </c>
      <c r="J55" s="2121"/>
      <c r="K55" s="891" t="s">
        <v>208</v>
      </c>
      <c r="L55" s="2120" t="str">
        <f>VLOOKUP(M3,K144:T148,9,FALSE)</f>
        <v>DEBITO +</v>
      </c>
      <c r="M55" s="2121"/>
      <c r="N55" s="14"/>
      <c r="O55" s="14"/>
      <c r="P55" s="12"/>
      <c r="Q55" s="2"/>
      <c r="R55" s="2"/>
      <c r="S55" s="591"/>
      <c r="T55" s="591"/>
      <c r="U55" s="591"/>
      <c r="V55" s="591"/>
      <c r="W55" s="591"/>
      <c r="X55" s="591"/>
      <c r="Y55" s="591"/>
      <c r="Z55" s="591"/>
      <c r="AA55" s="591"/>
      <c r="AB55" s="591"/>
      <c r="AC55" s="591"/>
      <c r="AD55" s="591"/>
      <c r="AE55" s="591"/>
      <c r="AF55" s="591"/>
      <c r="AG55" s="591"/>
      <c r="AH55" s="591"/>
      <c r="AI55" s="591"/>
      <c r="AJ55" s="591"/>
      <c r="AK55" s="591"/>
      <c r="AL55" s="591"/>
      <c r="AM55" s="591"/>
      <c r="AN55" s="591"/>
      <c r="AO55" s="591"/>
      <c r="AP55" s="591"/>
      <c r="AQ55" s="591"/>
      <c r="AR55" s="591"/>
      <c r="AS55" s="591"/>
      <c r="AT55" s="591"/>
      <c r="AU55" s="591"/>
      <c r="AV55" s="591"/>
      <c r="AW55" s="591"/>
      <c r="AX55" s="591"/>
      <c r="AY55" s="591"/>
      <c r="AZ55" s="2"/>
      <c r="BA55" s="2"/>
      <c r="BB55" s="591"/>
    </row>
    <row r="56" spans="1:54" ht="16.5" customHeight="1" x14ac:dyDescent="0.2">
      <c r="A56" s="2"/>
      <c r="B56" s="2"/>
      <c r="C56" s="2138"/>
      <c r="D56" s="2139"/>
      <c r="E56" s="1215"/>
      <c r="F56" s="514"/>
      <c r="G56" s="97"/>
      <c r="H56" s="14"/>
      <c r="I56" s="2123" t="str">
        <f>VLOOKUP(M3,K144:R148,8,FALSE)</f>
        <v>CREDITO -</v>
      </c>
      <c r="J56" s="2124"/>
      <c r="K56" s="14"/>
      <c r="L56" s="2123" t="str">
        <f>VLOOKUP(M3,K144:T148,10,FALSE)</f>
        <v>CREDITO -</v>
      </c>
      <c r="M56" s="2124"/>
      <c r="N56" s="14"/>
      <c r="O56" s="2122"/>
      <c r="P56" s="2122"/>
      <c r="Q56" s="14"/>
      <c r="R56" s="2"/>
      <c r="S56" s="591"/>
      <c r="T56" s="591"/>
      <c r="U56" s="591"/>
      <c r="V56" s="591"/>
      <c r="W56" s="591"/>
      <c r="X56" s="591"/>
      <c r="Y56" s="591"/>
      <c r="Z56" s="591"/>
      <c r="AA56" s="591"/>
      <c r="AB56" s="591"/>
      <c r="AC56" s="591"/>
      <c r="AD56" s="591"/>
      <c r="AE56" s="591"/>
      <c r="AF56" s="591"/>
      <c r="AG56" s="591"/>
      <c r="AH56" s="591"/>
      <c r="AI56" s="591"/>
      <c r="AJ56" s="591"/>
      <c r="AK56" s="591"/>
      <c r="AL56" s="591"/>
      <c r="AM56" s="591"/>
      <c r="AN56" s="591"/>
      <c r="AO56" s="591"/>
      <c r="AP56" s="591"/>
      <c r="AQ56" s="591"/>
      <c r="AR56" s="591"/>
      <c r="AS56" s="591"/>
      <c r="AT56" s="591"/>
      <c r="AU56" s="591"/>
      <c r="AV56" s="591"/>
      <c r="AW56" s="591"/>
      <c r="AX56" s="591"/>
      <c r="AY56" s="591"/>
      <c r="AZ56" s="2"/>
      <c r="BA56" s="2"/>
      <c r="BB56" s="591"/>
    </row>
    <row r="57" spans="1:54" ht="30" customHeight="1" x14ac:dyDescent="0.2">
      <c r="A57" s="2"/>
      <c r="B57" s="17"/>
      <c r="C57" s="2144" t="s">
        <v>346</v>
      </c>
      <c r="D57" s="2144"/>
      <c r="E57" s="2145"/>
      <c r="F57" s="2145"/>
      <c r="G57" s="892" t="s">
        <v>347</v>
      </c>
      <c r="H57" s="892"/>
      <c r="I57" s="892"/>
      <c r="J57" s="892"/>
      <c r="K57" s="892"/>
      <c r="L57" s="892"/>
      <c r="M57" s="892"/>
      <c r="N57" s="892"/>
      <c r="O57" s="2211" t="s">
        <v>405</v>
      </c>
      <c r="P57" s="2211"/>
      <c r="Q57" s="255"/>
      <c r="R57" s="255"/>
      <c r="S57" s="1307"/>
      <c r="T57" s="1307"/>
      <c r="U57" s="591"/>
      <c r="V57" s="591"/>
      <c r="W57" s="591"/>
      <c r="X57" s="591"/>
      <c r="Y57" s="591"/>
      <c r="Z57" s="591"/>
      <c r="AA57" s="1307"/>
      <c r="AB57" s="1307"/>
      <c r="AC57" s="591"/>
      <c r="AD57" s="591"/>
      <c r="AE57" s="591"/>
      <c r="AF57" s="591"/>
      <c r="AG57" s="591"/>
      <c r="AH57" s="591"/>
      <c r="AI57" s="591"/>
      <c r="AJ57" s="591"/>
      <c r="AK57" s="591"/>
      <c r="AL57" s="591"/>
      <c r="AM57" s="591"/>
      <c r="AN57" s="591"/>
      <c r="AO57" s="591"/>
      <c r="AP57" s="591"/>
      <c r="AQ57" s="591"/>
      <c r="AR57" s="591"/>
      <c r="AS57" s="591"/>
      <c r="AT57" s="591"/>
      <c r="AU57" s="591"/>
      <c r="AV57" s="591"/>
      <c r="AW57" s="591"/>
      <c r="AX57" s="591"/>
      <c r="AY57" s="591"/>
      <c r="AZ57" s="2"/>
      <c r="BA57" s="2"/>
      <c r="BB57" s="591"/>
    </row>
    <row r="58" spans="1:54" ht="24.75" customHeight="1" x14ac:dyDescent="0.2">
      <c r="A58" s="2"/>
      <c r="B58" s="2"/>
      <c r="C58" s="2143">
        <f>IMPOSTAZIONI!T73</f>
        <v>0</v>
      </c>
      <c r="D58" s="2143"/>
      <c r="E58" s="2143"/>
      <c r="F58" s="2143"/>
      <c r="G58" s="893" t="str">
        <f>IMPOSTAZIONI!Y75</f>
        <v>Indirizzo esteso UBICAZIONE dell' Esercizio (facoltativo)</v>
      </c>
      <c r="H58" s="893"/>
      <c r="I58" s="893"/>
      <c r="J58" s="893"/>
      <c r="K58" s="893"/>
      <c r="L58" s="893"/>
      <c r="M58" s="893"/>
      <c r="N58" s="893"/>
      <c r="O58" s="1113" t="s">
        <v>344</v>
      </c>
      <c r="P58" s="2119">
        <v>7</v>
      </c>
      <c r="Q58" s="2119"/>
      <c r="R58" s="14"/>
      <c r="S58" s="591"/>
      <c r="T58" s="591"/>
      <c r="U58" s="591"/>
      <c r="V58" s="591"/>
      <c r="W58" s="591"/>
      <c r="X58" s="591"/>
      <c r="Y58" s="591"/>
      <c r="Z58" s="591"/>
      <c r="AA58" s="591"/>
      <c r="AB58" s="591"/>
      <c r="AC58" s="591"/>
      <c r="AD58" s="591"/>
      <c r="AE58" s="591"/>
      <c r="AF58" s="591"/>
      <c r="AG58" s="591"/>
      <c r="AH58" s="591"/>
      <c r="AI58" s="591"/>
      <c r="AJ58" s="591"/>
      <c r="AK58" s="591"/>
      <c r="AL58" s="591"/>
      <c r="AM58" s="591"/>
      <c r="AN58" s="591"/>
      <c r="AO58" s="591"/>
      <c r="AP58" s="591"/>
      <c r="AQ58" s="591"/>
      <c r="AR58" s="591"/>
      <c r="AS58" s="591"/>
      <c r="AT58" s="591"/>
      <c r="AU58" s="591"/>
      <c r="AV58" s="591"/>
      <c r="AW58" s="591"/>
      <c r="AX58" s="591"/>
      <c r="AY58" s="591"/>
      <c r="AZ58" s="2"/>
      <c r="BA58" s="2"/>
      <c r="BB58" s="591"/>
    </row>
    <row r="59" spans="1:54" ht="15.75" customHeight="1" x14ac:dyDescent="0.2">
      <c r="A59" s="2"/>
      <c r="B59" s="2"/>
      <c r="C59" s="2146" t="s">
        <v>248</v>
      </c>
      <c r="D59" s="2146"/>
      <c r="E59" s="2146"/>
      <c r="F59" s="2"/>
      <c r="G59" s="2"/>
      <c r="H59" s="2"/>
      <c r="I59" s="2"/>
      <c r="J59" s="2"/>
      <c r="K59" s="2"/>
      <c r="L59" s="2"/>
      <c r="M59" s="2"/>
      <c r="N59" s="2"/>
      <c r="O59" s="2"/>
      <c r="P59" s="2"/>
      <c r="Q59" s="2"/>
      <c r="R59" s="2"/>
      <c r="S59" s="591"/>
      <c r="T59" s="591"/>
      <c r="U59" s="591"/>
      <c r="V59" s="591"/>
      <c r="W59" s="591"/>
      <c r="X59" s="591"/>
      <c r="Y59" s="591"/>
      <c r="Z59" s="591"/>
      <c r="AA59" s="591"/>
      <c r="AB59" s="591"/>
      <c r="AC59" s="591"/>
      <c r="AD59" s="591"/>
      <c r="AE59" s="591"/>
      <c r="AF59" s="591"/>
      <c r="AG59" s="591"/>
      <c r="AH59" s="591"/>
      <c r="AI59" s="591"/>
      <c r="AJ59" s="591"/>
      <c r="AK59" s="591"/>
      <c r="AL59" s="591"/>
      <c r="AM59" s="591"/>
      <c r="AN59" s="591"/>
      <c r="AO59" s="591"/>
      <c r="AP59" s="591"/>
      <c r="AQ59" s="591"/>
      <c r="AR59" s="591"/>
      <c r="AS59" s="591"/>
      <c r="AT59" s="591"/>
      <c r="AU59" s="591"/>
      <c r="AV59" s="591"/>
      <c r="AW59" s="591"/>
      <c r="AX59" s="591"/>
      <c r="AY59" s="591"/>
      <c r="AZ59" s="591"/>
      <c r="BA59" s="591"/>
      <c r="BB59" s="591"/>
    </row>
    <row r="60" spans="1:54" ht="15" hidden="1" customHeight="1" x14ac:dyDescent="0.2">
      <c r="A60" s="2"/>
      <c r="B60" s="2"/>
      <c r="C60" s="2"/>
      <c r="D60" s="2"/>
      <c r="E60" s="2"/>
      <c r="F60" s="2"/>
      <c r="G60" s="2"/>
      <c r="H60" s="2"/>
      <c r="I60" s="2"/>
      <c r="J60" s="2"/>
      <c r="K60" s="2"/>
      <c r="L60" s="2"/>
      <c r="M60" s="2"/>
      <c r="N60" s="2"/>
      <c r="O60" s="2"/>
      <c r="P60" s="1012" t="s">
        <v>765</v>
      </c>
      <c r="Q60" s="2"/>
      <c r="R60" s="2"/>
      <c r="S60" s="591"/>
      <c r="T60" s="591"/>
      <c r="U60" s="591"/>
      <c r="V60" s="591"/>
      <c r="W60" s="591"/>
      <c r="X60" s="591"/>
      <c r="Y60" s="591"/>
      <c r="Z60" s="591"/>
      <c r="AA60" s="591"/>
      <c r="AB60" s="591"/>
      <c r="AC60" s="591"/>
      <c r="AD60" s="591"/>
      <c r="AE60" s="591"/>
      <c r="AF60" s="591"/>
      <c r="AG60" s="591"/>
      <c r="AH60" s="591"/>
      <c r="AI60" s="591"/>
      <c r="AJ60" s="591"/>
      <c r="AK60" s="591"/>
      <c r="AL60" s="591"/>
      <c r="AM60" s="591"/>
      <c r="AN60" s="591"/>
      <c r="AO60" s="591"/>
      <c r="AP60" s="591"/>
      <c r="AQ60" s="591"/>
      <c r="AR60" s="591"/>
      <c r="AS60" s="591"/>
      <c r="AT60" s="591"/>
      <c r="AU60" s="591"/>
      <c r="AV60" s="591"/>
      <c r="AW60" s="591"/>
      <c r="AX60" s="591"/>
      <c r="AY60" s="591"/>
      <c r="AZ60" s="591"/>
      <c r="BA60" s="591"/>
      <c r="BB60" s="591"/>
    </row>
    <row r="61" spans="1:54" ht="16.5" hidden="1" customHeight="1" x14ac:dyDescent="0.2">
      <c r="A61" s="2"/>
      <c r="B61" s="2"/>
      <c r="C61" s="1369">
        <f>IF(M3=K147,0,IF(T65=0,0,IF(E8=CONCATENATE(L131,"  "),0,IF(COUNTIF(G62:N62,$L$134)&gt;0,1,0))))</f>
        <v>0</v>
      </c>
      <c r="D61" s="1369">
        <f>IMPOSTAZIONI!H35</f>
        <v>0</v>
      </c>
      <c r="E61" s="2"/>
      <c r="F61" s="2"/>
      <c r="G61" s="1010" t="str">
        <f>IMPOSTAZIONI!$I$19</f>
        <v>Colonna 1</v>
      </c>
      <c r="H61" s="1010" t="str">
        <f>IMPOSTAZIONI!$M$19</f>
        <v>Colonna 2</v>
      </c>
      <c r="I61" s="101"/>
      <c r="J61" s="101"/>
      <c r="K61" s="1010" t="str">
        <f>IMPOSTAZIONI!$U$19</f>
        <v>Colonna 3</v>
      </c>
      <c r="L61" s="101"/>
      <c r="M61" s="101"/>
      <c r="N61" s="1010" t="str">
        <f>IMPOSTAZIONI!$AC$19</f>
        <v>Colonna 4</v>
      </c>
      <c r="O61" s="2"/>
      <c r="P61" s="1013" t="s">
        <v>766</v>
      </c>
      <c r="Q61" s="2"/>
      <c r="R61" s="2"/>
      <c r="S61" s="591"/>
      <c r="T61" s="591"/>
      <c r="U61" s="591"/>
      <c r="V61" s="591"/>
      <c r="W61" s="591"/>
      <c r="X61" s="591"/>
      <c r="Y61" s="591"/>
      <c r="Z61" s="591"/>
      <c r="AA61" s="591"/>
      <c r="AB61" s="591"/>
      <c r="AC61" s="591"/>
      <c r="AD61" s="591"/>
      <c r="AE61" s="591"/>
      <c r="AF61" s="591"/>
      <c r="AG61" s="591"/>
      <c r="AH61" s="591"/>
      <c r="AI61" s="591"/>
      <c r="AJ61" s="591"/>
      <c r="AK61" s="591"/>
      <c r="AL61" s="591"/>
      <c r="AM61" s="591"/>
      <c r="AN61" s="591"/>
      <c r="AO61" s="591"/>
      <c r="AP61" s="591"/>
      <c r="AQ61" s="591"/>
      <c r="AR61" s="591"/>
      <c r="AS61" s="591"/>
      <c r="AT61" s="591"/>
      <c r="AU61" s="591"/>
      <c r="AV61" s="591"/>
      <c r="AW61" s="591"/>
      <c r="AX61" s="591"/>
      <c r="AY61" s="591"/>
      <c r="AZ61" s="591"/>
      <c r="BA61" s="591"/>
      <c r="BB61" s="591"/>
    </row>
    <row r="62" spans="1:54" ht="20.25" hidden="1" customHeight="1" x14ac:dyDescent="0.2">
      <c r="A62" s="2"/>
      <c r="B62" s="2"/>
      <c r="C62" s="2"/>
      <c r="D62" s="2"/>
      <c r="E62" s="2"/>
      <c r="F62" s="2"/>
      <c r="G62" s="1011" t="str">
        <f>IF(IMPOSTAZIONI!$I$35=0,$L$135,IMPOSTAZIONI!$I$35)</f>
        <v>SCORPORO</v>
      </c>
      <c r="H62" s="1011" t="str">
        <f>IF(IMPOSTAZIONI!$M$35=0,$L$135,IMPOSTAZIONI!$M$35)</f>
        <v>SCORPORO</v>
      </c>
      <c r="I62" s="101"/>
      <c r="J62" s="101"/>
      <c r="K62" s="1011" t="str">
        <f>IF(IMPOSTAZIONI!$U$35=0,$L$135,IMPOSTAZIONI!$U$35)</f>
        <v>SCORPORO</v>
      </c>
      <c r="L62" s="101"/>
      <c r="M62" s="101"/>
      <c r="N62" s="1011" t="str">
        <f>IF(IMPOSTAZIONI!$AC$35=0,$L$135,IMPOSTAZIONI!$AC$35)</f>
        <v>SCORPORO</v>
      </c>
      <c r="O62" s="2"/>
      <c r="P62" s="2"/>
      <c r="Q62" s="2"/>
      <c r="R62" s="2"/>
      <c r="S62" s="2"/>
      <c r="T62" s="2"/>
      <c r="U62" s="2"/>
      <c r="V62" s="2"/>
      <c r="W62" s="2"/>
      <c r="X62" s="2"/>
      <c r="Y62" s="2"/>
      <c r="Z62" s="2"/>
      <c r="AA62" s="2"/>
      <c r="AB62" s="591"/>
      <c r="AC62" s="591"/>
      <c r="AD62" s="591"/>
      <c r="AE62" s="591"/>
      <c r="AF62" s="591"/>
      <c r="AG62" s="591"/>
      <c r="AH62" s="591"/>
      <c r="AI62" s="591"/>
      <c r="AJ62" s="591"/>
      <c r="AK62" s="591"/>
      <c r="AL62" s="591"/>
      <c r="AM62" s="591"/>
      <c r="AN62" s="591"/>
      <c r="AO62" s="591"/>
      <c r="AP62" s="591"/>
      <c r="AQ62" s="591"/>
      <c r="AR62" s="591"/>
      <c r="AS62" s="591"/>
      <c r="AT62" s="591"/>
      <c r="AU62" s="591"/>
      <c r="AV62" s="591"/>
      <c r="AW62" s="591"/>
      <c r="AX62" s="591"/>
      <c r="AY62" s="591"/>
      <c r="AZ62" s="591"/>
      <c r="BA62" s="591"/>
      <c r="BB62" s="591"/>
    </row>
    <row r="63" spans="1:54" ht="20.25" hidden="1" customHeight="1" x14ac:dyDescent="0.2">
      <c r="A63" s="2"/>
      <c r="B63" s="2"/>
      <c r="C63" s="2"/>
      <c r="D63" s="2"/>
      <c r="E63" s="2"/>
      <c r="F63" s="966" t="s">
        <v>814</v>
      </c>
      <c r="G63" s="965">
        <f>IF(G62=$L134,ROUND(G46,2),0)</f>
        <v>0</v>
      </c>
      <c r="H63" s="964">
        <f>IF(H62=$L134,ROUND(H46,2),0)</f>
        <v>0</v>
      </c>
      <c r="I63" s="2"/>
      <c r="J63" s="2"/>
      <c r="K63" s="963">
        <f>IF(K62=$L134,ROUND(K46,2),0)</f>
        <v>0</v>
      </c>
      <c r="L63" s="2"/>
      <c r="M63" s="2"/>
      <c r="N63" s="963">
        <f>IF(N62=$L134,ROUND(N46,2),0)</f>
        <v>0</v>
      </c>
      <c r="O63" s="2"/>
      <c r="P63" s="2"/>
      <c r="Q63" s="2"/>
      <c r="R63" s="2"/>
      <c r="S63" s="2"/>
      <c r="T63" s="2"/>
      <c r="U63" s="2"/>
      <c r="V63" s="2"/>
      <c r="W63" s="2"/>
      <c r="X63" s="2"/>
      <c r="Y63" s="2"/>
      <c r="Z63" s="2"/>
      <c r="AA63" s="2"/>
      <c r="AB63" s="591"/>
      <c r="AC63" s="591"/>
      <c r="AD63" s="591"/>
      <c r="AE63" s="591"/>
      <c r="AF63" s="591"/>
      <c r="AG63" s="591"/>
      <c r="AH63" s="591"/>
      <c r="AI63" s="591"/>
      <c r="AJ63" s="591"/>
      <c r="AK63" s="591"/>
      <c r="AL63" s="591"/>
      <c r="AM63" s="591"/>
      <c r="AN63" s="591"/>
      <c r="AO63" s="591"/>
      <c r="AP63" s="591"/>
      <c r="AQ63" s="591"/>
      <c r="AR63" s="591"/>
      <c r="AS63" s="591"/>
      <c r="AT63" s="591"/>
      <c r="AU63" s="591"/>
      <c r="AV63" s="591"/>
      <c r="AW63" s="591"/>
      <c r="AX63" s="591"/>
      <c r="AY63" s="591"/>
      <c r="AZ63" s="591"/>
      <c r="BA63" s="591"/>
      <c r="BB63" s="591"/>
    </row>
    <row r="64" spans="1:54" ht="3.75" hidden="1"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591"/>
      <c r="AC64" s="591"/>
      <c r="AD64" s="591"/>
      <c r="AE64" s="591"/>
      <c r="AF64" s="591"/>
      <c r="AG64" s="591"/>
      <c r="AH64" s="591"/>
      <c r="AI64" s="591"/>
      <c r="AJ64" s="591"/>
      <c r="AK64" s="591"/>
      <c r="AL64" s="591"/>
      <c r="AM64" s="591"/>
      <c r="AN64" s="591"/>
      <c r="AO64" s="591"/>
      <c r="AP64" s="591"/>
      <c r="AQ64" s="591"/>
      <c r="AR64" s="591"/>
      <c r="AS64" s="591"/>
      <c r="AT64" s="591"/>
      <c r="AU64" s="591"/>
      <c r="AV64" s="591"/>
      <c r="AW64" s="591"/>
      <c r="AX64" s="591"/>
      <c r="AY64" s="591"/>
      <c r="AZ64" s="591"/>
      <c r="BA64" s="591"/>
      <c r="BB64" s="591"/>
    </row>
    <row r="65" spans="1:54" ht="20.25" hidden="1" customHeight="1" x14ac:dyDescent="0.2">
      <c r="A65" s="2"/>
      <c r="B65" s="2"/>
      <c r="C65" s="2"/>
      <c r="D65" s="2"/>
      <c r="E65" s="2"/>
      <c r="F65" s="966" t="s">
        <v>744</v>
      </c>
      <c r="G65" s="967">
        <f>G63+H63+K63+N63</f>
        <v>0</v>
      </c>
      <c r="H65" s="1114" t="str">
        <f>IF(M3=K147,"",CONCATENATE("VENTILAZIONE ",IMPOSTAZIONI!D35,IMPOSTAZIONI!B32))</f>
        <v xml:space="preserve">VENTILAZIONE </v>
      </c>
      <c r="I65" s="2"/>
      <c r="J65" s="2"/>
      <c r="K65" s="2"/>
      <c r="L65" s="2"/>
      <c r="M65" s="2"/>
      <c r="N65" s="2"/>
      <c r="O65" s="2"/>
      <c r="P65" s="2"/>
      <c r="Q65" s="2"/>
      <c r="R65" s="2"/>
      <c r="S65" s="1111" t="str">
        <f>IMPOSTAZIONI!H143</f>
        <v>MENSILE</v>
      </c>
      <c r="T65" s="2019">
        <f>IMPOSTAZIONI!D35</f>
        <v>0</v>
      </c>
      <c r="U65" s="1116" t="str">
        <f>$C182</f>
        <v>01/01 - 31/07</v>
      </c>
      <c r="V65" s="1081" t="s">
        <v>790</v>
      </c>
      <c r="W65" s="2"/>
      <c r="X65" s="2"/>
      <c r="Y65" s="1081" t="s">
        <v>792</v>
      </c>
      <c r="Z65" s="2"/>
      <c r="AA65" s="2"/>
      <c r="AB65" s="591"/>
      <c r="AC65" s="591"/>
      <c r="AD65" s="591"/>
      <c r="AE65" s="591"/>
      <c r="AF65" s="591"/>
      <c r="AG65" s="591"/>
      <c r="AH65" s="591"/>
      <c r="AI65" s="591"/>
      <c r="AJ65" s="591"/>
      <c r="AK65" s="591"/>
      <c r="AL65" s="591"/>
      <c r="AM65" s="591"/>
      <c r="AN65" s="591"/>
      <c r="AO65" s="591"/>
      <c r="AP65" s="591"/>
      <c r="AQ65" s="591"/>
      <c r="AR65" s="591"/>
      <c r="AS65" s="591"/>
      <c r="AT65" s="591"/>
      <c r="AU65" s="591"/>
      <c r="AV65" s="591"/>
      <c r="AW65" s="591"/>
      <c r="AX65" s="591"/>
      <c r="AY65" s="591"/>
      <c r="AZ65" s="591"/>
      <c r="BA65" s="591"/>
      <c r="BB65" s="591"/>
    </row>
    <row r="66" spans="1:54" ht="20.25" hidden="1" customHeight="1" x14ac:dyDescent="0.2">
      <c r="A66" s="2"/>
      <c r="B66" s="2"/>
      <c r="C66" s="2"/>
      <c r="D66" s="2"/>
      <c r="E66" s="2"/>
      <c r="F66" s="2"/>
      <c r="G66" s="2"/>
      <c r="H66" s="10"/>
      <c r="I66" s="10"/>
      <c r="J66" s="10"/>
      <c r="K66" s="10"/>
      <c r="L66" s="10"/>
      <c r="M66" s="10"/>
      <c r="N66" s="1008" t="s">
        <v>746</v>
      </c>
      <c r="O66" s="2"/>
      <c r="P66" s="2"/>
      <c r="Q66" s="2"/>
      <c r="R66" s="2"/>
      <c r="S66" s="1112" t="str">
        <f>IMPOSTAZIONI!H144</f>
        <v>TRIMESTRALE</v>
      </c>
      <c r="T66" s="2020"/>
      <c r="U66" s="806" t="str">
        <f>SET!U65</f>
        <v>01/01 - 30/09</v>
      </c>
      <c r="V66" s="478" t="s">
        <v>791</v>
      </c>
      <c r="W66" s="2"/>
      <c r="X66" s="2"/>
      <c r="Y66" s="478" t="s">
        <v>793</v>
      </c>
      <c r="Z66" s="2"/>
      <c r="AA66" s="2"/>
      <c r="AB66" s="591"/>
      <c r="AC66" s="591"/>
      <c r="AD66" s="591"/>
      <c r="AE66" s="591"/>
      <c r="AF66" s="591"/>
      <c r="AG66" s="591"/>
      <c r="AH66" s="591"/>
      <c r="AI66" s="591"/>
      <c r="AJ66" s="591"/>
      <c r="AK66" s="591"/>
      <c r="AM66" s="591"/>
      <c r="AN66" s="591"/>
      <c r="AO66" s="591"/>
      <c r="AP66" s="591"/>
      <c r="AQ66" s="591"/>
      <c r="AS66" s="591"/>
      <c r="AT66" s="591"/>
      <c r="AU66" s="591"/>
      <c r="AV66" s="591"/>
      <c r="AW66" s="591"/>
      <c r="AY66" s="591"/>
    </row>
    <row r="67" spans="1:54" ht="24" hidden="1" customHeight="1" x14ac:dyDescent="0.2">
      <c r="A67" s="2"/>
      <c r="B67" s="2"/>
      <c r="C67" s="1183" t="s">
        <v>747</v>
      </c>
      <c r="D67" s="1165"/>
      <c r="E67" s="1165"/>
      <c r="F67" s="1165"/>
      <c r="G67" s="1197" t="e">
        <f>VLOOKUP(T65,S65:V66,4,FALSE)</f>
        <v>#N/A</v>
      </c>
      <c r="H67" s="1165"/>
      <c r="I67" s="2136" t="s">
        <v>748</v>
      </c>
      <c r="J67" s="2136"/>
      <c r="K67" s="1167"/>
      <c r="L67" s="14"/>
      <c r="M67" s="14"/>
      <c r="N67" s="1009" t="s">
        <v>749</v>
      </c>
      <c r="O67" s="2"/>
      <c r="P67" s="2"/>
      <c r="Q67" s="2"/>
      <c r="R67" s="2"/>
      <c r="S67" s="1129" t="e">
        <f>VLOOKUP(G67,V65:Y66,4,FALSE)</f>
        <v>#N/A</v>
      </c>
      <c r="T67" s="1115" t="str">
        <f>IF(T65=S66,U66,U65)</f>
        <v>01/01 - 31/07</v>
      </c>
      <c r="U67" s="2"/>
      <c r="V67" s="2"/>
      <c r="W67" s="2"/>
      <c r="X67" s="2"/>
      <c r="Y67" s="2"/>
      <c r="Z67" s="2"/>
      <c r="AA67" s="2"/>
      <c r="AB67" s="591"/>
      <c r="AC67" s="591"/>
      <c r="AD67" s="591"/>
      <c r="AE67" s="591"/>
      <c r="AF67" s="591"/>
      <c r="AG67" s="591"/>
      <c r="AH67" s="591"/>
      <c r="AI67" s="591"/>
      <c r="AJ67" s="591"/>
      <c r="AK67" s="591"/>
      <c r="AM67" s="591"/>
      <c r="AN67" s="591"/>
      <c r="AO67" s="591"/>
      <c r="AP67" s="591"/>
      <c r="AQ67" s="591"/>
      <c r="AS67" s="591"/>
      <c r="AT67" s="591"/>
      <c r="AU67" s="591"/>
      <c r="AV67" s="591"/>
      <c r="AW67" s="591"/>
      <c r="AY67" s="591"/>
    </row>
    <row r="68" spans="1:54" ht="20.25" hidden="1" customHeight="1" x14ac:dyDescent="0.2">
      <c r="A68" s="2"/>
      <c r="B68" s="2"/>
      <c r="C68" s="1169" t="s">
        <v>750</v>
      </c>
      <c r="D68" s="14"/>
      <c r="E68" s="14"/>
      <c r="F68" s="14"/>
      <c r="G68" s="1209" t="str">
        <f>C95</f>
        <v>01/07 - 31/07</v>
      </c>
      <c r="H68" s="971" t="s">
        <v>751</v>
      </c>
      <c r="I68" s="2137" t="str">
        <f>T67</f>
        <v>01/01 - 31/07</v>
      </c>
      <c r="J68" s="2137"/>
      <c r="K68" s="1208" t="s">
        <v>752</v>
      </c>
      <c r="L68" s="2022" t="s">
        <v>195</v>
      </c>
      <c r="M68" s="2022"/>
      <c r="N68" s="972" t="s">
        <v>353</v>
      </c>
      <c r="O68" s="2"/>
      <c r="P68" s="2"/>
      <c r="Q68" s="2"/>
      <c r="R68" s="2"/>
      <c r="S68" s="2"/>
      <c r="T68" s="2"/>
      <c r="U68" s="2"/>
      <c r="V68" s="2"/>
      <c r="W68" s="2"/>
      <c r="X68" s="2"/>
      <c r="Y68" s="2"/>
      <c r="Z68" s="2"/>
      <c r="AA68" s="2"/>
      <c r="AB68" s="591"/>
      <c r="AC68" s="591"/>
      <c r="AD68" s="591"/>
      <c r="AE68" s="591"/>
      <c r="AF68" s="591"/>
      <c r="AG68" s="591"/>
      <c r="AH68" s="591"/>
      <c r="AI68" s="591"/>
      <c r="AJ68" s="591"/>
      <c r="AK68" s="591"/>
      <c r="AM68" s="591"/>
      <c r="AN68" s="591"/>
      <c r="AO68" s="591"/>
      <c r="AP68" s="591"/>
      <c r="AQ68" s="591"/>
      <c r="AS68" s="591"/>
      <c r="AT68" s="591"/>
      <c r="AU68" s="591"/>
      <c r="AV68" s="591"/>
      <c r="AW68" s="591"/>
      <c r="AY68" s="591"/>
    </row>
    <row r="69" spans="1:54" ht="20.25" hidden="1" customHeight="1" x14ac:dyDescent="0.2">
      <c r="A69" s="2"/>
      <c r="B69" s="2"/>
      <c r="C69" s="1198" t="s">
        <v>753</v>
      </c>
      <c r="D69" s="14"/>
      <c r="E69" s="14"/>
      <c r="F69" s="14"/>
      <c r="G69" s="1015"/>
      <c r="H69" s="1202">
        <f>IF(AND(IMPOSTAZIONI!AF$147="",G69&lt;&gt;0),E$163,IMPOSTAZIONI!AF$147)</f>
        <v>22</v>
      </c>
      <c r="I69" s="2024">
        <f>IF($T$65=$S$66,Z69,G69+GIU!I69)</f>
        <v>0</v>
      </c>
      <c r="J69" s="2025"/>
      <c r="K69" s="1201">
        <f>IF(I73=0,0,K73-SUM(K70:K72))</f>
        <v>0</v>
      </c>
      <c r="L69" s="2023" t="str">
        <f>CONCATENATE("al ",H69," %")</f>
        <v>al 22 %</v>
      </c>
      <c r="M69" s="2023"/>
      <c r="N69" s="973">
        <f>IF(SUM(I69:J72)=0,0,ROUND(G65-SUM(N70:N72),2))</f>
        <v>0</v>
      </c>
      <c r="O69" s="2"/>
      <c r="P69" s="2"/>
      <c r="Q69" s="2"/>
      <c r="R69" s="2"/>
      <c r="S69" s="974">
        <f>IF(ISERROR(G77),0,G77)</f>
        <v>0</v>
      </c>
      <c r="T69" s="975">
        <f>IF(ISERROR(G78),0,G78)</f>
        <v>0</v>
      </c>
      <c r="U69" s="976">
        <f>IF(ISERROR(G79),0,G79)</f>
        <v>0</v>
      </c>
      <c r="V69" s="2"/>
      <c r="W69" s="1117">
        <f>LUG!$G69</f>
        <v>0</v>
      </c>
      <c r="X69" s="1118">
        <f>AGO!$G69</f>
        <v>0</v>
      </c>
      <c r="Y69" s="1119">
        <f>SET!$G69</f>
        <v>0</v>
      </c>
      <c r="Z69" s="1120">
        <f>SUM(W69:Y69)+GIU!Z69</f>
        <v>0</v>
      </c>
      <c r="AA69" s="2"/>
      <c r="AB69" s="591"/>
      <c r="AC69" s="591"/>
      <c r="AD69" s="591"/>
      <c r="AE69" s="591"/>
      <c r="AF69" s="591"/>
      <c r="AG69" s="591"/>
      <c r="AH69" s="591"/>
      <c r="AI69" s="591"/>
      <c r="AJ69" s="591"/>
      <c r="AK69" s="591"/>
      <c r="AM69" s="591"/>
      <c r="AN69" s="591"/>
      <c r="AO69" s="591"/>
      <c r="AP69" s="591"/>
      <c r="AQ69" s="591"/>
      <c r="AS69" s="591"/>
      <c r="AT69" s="591"/>
      <c r="AU69" s="591"/>
      <c r="AV69" s="591"/>
      <c r="AW69" s="591"/>
      <c r="AY69" s="591"/>
    </row>
    <row r="70" spans="1:54" ht="20.25" hidden="1" customHeight="1" x14ac:dyDescent="0.25">
      <c r="A70" s="2"/>
      <c r="B70" s="2"/>
      <c r="C70" s="1199" t="s">
        <v>754</v>
      </c>
      <c r="D70" s="14"/>
      <c r="E70" s="14"/>
      <c r="F70" s="14"/>
      <c r="G70" s="1016"/>
      <c r="H70" s="1202">
        <f>IF(AND(IMPOSTAZIONI!AG$147="",G70&lt;&gt;0),E$163,IMPOSTAZIONI!AG$147)</f>
        <v>10</v>
      </c>
      <c r="I70" s="2026">
        <f>IF($T$65=$S$66,Z70,G70+GIU!I70)</f>
        <v>0</v>
      </c>
      <c r="J70" s="2027"/>
      <c r="K70" s="1201">
        <f>IF(I$73=0,0,ROUND(I70/I$73*100,2))</f>
        <v>0</v>
      </c>
      <c r="L70" s="2023" t="str">
        <f>CONCATENATE("al ",H70," %")</f>
        <v>al 10 %</v>
      </c>
      <c r="M70" s="2023"/>
      <c r="N70" s="977">
        <f>ROUND(G$65*K70/100,2)</f>
        <v>0</v>
      </c>
      <c r="O70" s="2"/>
      <c r="P70" s="2"/>
      <c r="Q70" s="2"/>
      <c r="R70" s="2"/>
      <c r="S70" s="978">
        <f>IF(ISERROR(H77),0,H77)</f>
        <v>0</v>
      </c>
      <c r="T70" s="968">
        <f>IF(ISERROR(H78),0,H78)</f>
        <v>0</v>
      </c>
      <c r="U70" s="979">
        <f>IF(ISERROR(H79),0,H79)</f>
        <v>0</v>
      </c>
      <c r="V70" s="2"/>
      <c r="W70" s="1121">
        <f>LUG!$G70</f>
        <v>0</v>
      </c>
      <c r="X70" s="1122">
        <f>AGO!$G70</f>
        <v>0</v>
      </c>
      <c r="Y70" s="1123">
        <f>SET!$G70</f>
        <v>0</v>
      </c>
      <c r="Z70" s="1124">
        <f>SUM(W70:Y70)+GIU!Z70</f>
        <v>0</v>
      </c>
      <c r="AA70" s="2"/>
      <c r="AB70" s="591"/>
      <c r="AC70" s="591"/>
      <c r="AD70" s="591"/>
      <c r="AE70" s="591"/>
      <c r="AF70" s="591"/>
      <c r="AG70" s="591"/>
      <c r="AH70" s="591"/>
      <c r="AI70" s="591"/>
      <c r="AJ70" s="591"/>
      <c r="AK70" s="591"/>
      <c r="AM70" s="591"/>
      <c r="AN70" s="591"/>
      <c r="AO70" s="591"/>
      <c r="AP70" s="591"/>
      <c r="AQ70" s="591"/>
      <c r="AS70" s="591"/>
      <c r="AT70" s="591"/>
      <c r="AU70" s="591"/>
      <c r="AV70" s="591"/>
      <c r="AW70" s="591"/>
      <c r="AY70" s="591"/>
    </row>
    <row r="71" spans="1:54" ht="20.25" hidden="1" customHeight="1" x14ac:dyDescent="0.2">
      <c r="A71" s="2"/>
      <c r="B71" s="2"/>
      <c r="C71" s="1200" t="s">
        <v>755</v>
      </c>
      <c r="D71" s="14"/>
      <c r="E71" s="14"/>
      <c r="F71" s="14"/>
      <c r="G71" s="1016"/>
      <c r="H71" s="1202">
        <f>IF(AND(IMPOSTAZIONI!AH$147="",G71&lt;&gt;0),E$163,IMPOSTAZIONI!AH$147)</f>
        <v>4</v>
      </c>
      <c r="I71" s="2026">
        <f>IF($T$65=$S$66,Z71,G71+GIU!I71)</f>
        <v>0</v>
      </c>
      <c r="J71" s="2027"/>
      <c r="K71" s="1201">
        <f>IF(I$73=0,0,ROUND(I71/I$73*100,2))</f>
        <v>0</v>
      </c>
      <c r="L71" s="2023" t="str">
        <f>CONCATENATE("al ",H71," %")</f>
        <v>al 4 %</v>
      </c>
      <c r="M71" s="2023"/>
      <c r="N71" s="977">
        <f>ROUND(G$65*K71/100,2)</f>
        <v>0</v>
      </c>
      <c r="O71" s="2"/>
      <c r="P71" s="2"/>
      <c r="Q71" s="2"/>
      <c r="R71" s="2"/>
      <c r="S71" s="978">
        <f>IF(ISERROR(I77),0,I77)</f>
        <v>0</v>
      </c>
      <c r="T71" s="968">
        <f>IF(ISERROR(I78),0,I78)</f>
        <v>0</v>
      </c>
      <c r="U71" s="979">
        <f>IF(ISERROR(I79),0,I79)</f>
        <v>0</v>
      </c>
      <c r="V71" s="2"/>
      <c r="W71" s="1121">
        <f>LUG!$G71</f>
        <v>0</v>
      </c>
      <c r="X71" s="1122">
        <f>AGO!$G71</f>
        <v>0</v>
      </c>
      <c r="Y71" s="1123">
        <f>SET!$G71</f>
        <v>0</v>
      </c>
      <c r="Z71" s="1124">
        <f>SUM(W71:Y71)+GIU!Z71</f>
        <v>0</v>
      </c>
      <c r="AA71" s="2"/>
      <c r="AB71" s="591"/>
      <c r="AC71" s="591"/>
      <c r="AD71" s="591"/>
      <c r="AE71" s="591"/>
      <c r="AF71" s="591"/>
      <c r="AG71" s="591"/>
      <c r="AH71" s="591"/>
      <c r="AI71" s="591"/>
      <c r="AJ71" s="591"/>
      <c r="AK71" s="591"/>
      <c r="AM71" s="591"/>
      <c r="AN71" s="591"/>
      <c r="AO71" s="591"/>
      <c r="AP71" s="591"/>
      <c r="AQ71" s="591"/>
      <c r="AS71" s="591"/>
      <c r="AT71" s="591"/>
      <c r="AU71" s="591"/>
      <c r="AV71" s="591"/>
      <c r="AW71" s="591"/>
      <c r="AY71" s="591"/>
    </row>
    <row r="72" spans="1:54" ht="20.25" hidden="1" customHeight="1" x14ac:dyDescent="0.2">
      <c r="A72" s="2"/>
      <c r="B72" s="2"/>
      <c r="C72" s="1171"/>
      <c r="D72" s="14"/>
      <c r="E72" s="14"/>
      <c r="F72" s="14"/>
      <c r="G72" s="1017"/>
      <c r="H72" s="1202" t="str">
        <f>IF(AND(IMPOSTAZIONI!AI$147="",G72&lt;&gt;0),E$163,IMPOSTAZIONI!AI$147)</f>
        <v/>
      </c>
      <c r="I72" s="2039">
        <f>IF($T$65=$S$66,Z72,G72+GIU!I72)</f>
        <v>0</v>
      </c>
      <c r="J72" s="2040"/>
      <c r="K72" s="1201">
        <f>IF(I$73=0,0,ROUND(I72/I$73*100,2))</f>
        <v>0</v>
      </c>
      <c r="L72" s="2023" t="str">
        <f>CONCATENATE("al ",H72," %")</f>
        <v>al  %</v>
      </c>
      <c r="M72" s="2023"/>
      <c r="N72" s="980">
        <f>ROUND(G$65*K72/100,2)</f>
        <v>0</v>
      </c>
      <c r="O72" s="2"/>
      <c r="P72" s="2"/>
      <c r="Q72" s="2"/>
      <c r="R72" s="2"/>
      <c r="S72" s="981">
        <f>IF(ISERROR(K77),0,K77)</f>
        <v>0</v>
      </c>
      <c r="T72" s="969">
        <f>IF(ISERROR(K78),0,K78)</f>
        <v>0</v>
      </c>
      <c r="U72" s="982">
        <f>IF(ISERROR(K79),0,K79)</f>
        <v>0</v>
      </c>
      <c r="V72" s="2"/>
      <c r="W72" s="1125">
        <f>LUG!$G72</f>
        <v>0</v>
      </c>
      <c r="X72" s="1126">
        <f>AGO!$G72</f>
        <v>0</v>
      </c>
      <c r="Y72" s="1127">
        <f>SET!$G72</f>
        <v>0</v>
      </c>
      <c r="Z72" s="1128">
        <f>SUM(W72:Y72)+GIU!Z72</f>
        <v>0</v>
      </c>
      <c r="AA72" s="2"/>
      <c r="AB72" s="591"/>
      <c r="AC72" s="591"/>
      <c r="AD72" s="591"/>
      <c r="AE72" s="591"/>
      <c r="AF72" s="591"/>
      <c r="AG72" s="591"/>
      <c r="AH72" s="591"/>
      <c r="AI72" s="591"/>
      <c r="AJ72" s="591"/>
      <c r="AK72" s="591"/>
      <c r="AM72" s="591"/>
      <c r="AN72" s="591"/>
      <c r="AO72" s="591"/>
      <c r="AP72" s="591"/>
      <c r="AQ72" s="591"/>
      <c r="AS72" s="591"/>
      <c r="AT72" s="591"/>
      <c r="AU72" s="591"/>
      <c r="AV72" s="591"/>
      <c r="AW72" s="591"/>
      <c r="AY72" s="591"/>
    </row>
    <row r="73" spans="1:54" ht="20.25" hidden="1" customHeight="1" x14ac:dyDescent="0.2">
      <c r="A73" s="2"/>
      <c r="B73" s="2"/>
      <c r="C73" s="1171"/>
      <c r="D73" s="14"/>
      <c r="E73" s="14"/>
      <c r="F73" s="983" t="s">
        <v>105</v>
      </c>
      <c r="G73" s="1014">
        <f>SUM(G69:G72)</f>
        <v>0</v>
      </c>
      <c r="H73" s="866"/>
      <c r="I73" s="2041">
        <f>SUM(I69:I72)</f>
        <v>0</v>
      </c>
      <c r="J73" s="2041"/>
      <c r="K73" s="1196">
        <v>100</v>
      </c>
      <c r="L73" s="2"/>
      <c r="M73" s="2"/>
      <c r="N73" s="967">
        <f>SUM(N69:N72)</f>
        <v>0</v>
      </c>
      <c r="O73" s="503" t="str">
        <f>IF(C61=0,"",IF(G65=N73,"OK",E163))</f>
        <v/>
      </c>
      <c r="P73" s="2"/>
      <c r="Q73" s="2"/>
      <c r="R73" s="2"/>
      <c r="S73" s="2"/>
      <c r="T73" s="2"/>
      <c r="U73" s="2"/>
      <c r="V73" s="2"/>
      <c r="W73" s="2"/>
      <c r="X73" s="2"/>
      <c r="Y73" s="2"/>
      <c r="Z73" s="2"/>
      <c r="AA73" s="2"/>
      <c r="AB73" s="591"/>
      <c r="AC73" s="591"/>
      <c r="AD73" s="591"/>
      <c r="AE73" s="591"/>
      <c r="AF73" s="591"/>
      <c r="AG73" s="591"/>
      <c r="AH73" s="591"/>
      <c r="AI73" s="591"/>
      <c r="AJ73" s="591"/>
      <c r="AK73" s="591"/>
      <c r="AM73" s="591"/>
      <c r="AN73" s="591"/>
      <c r="AO73" s="591"/>
      <c r="AP73" s="591"/>
      <c r="AQ73" s="591"/>
      <c r="AS73" s="591"/>
      <c r="AT73" s="591"/>
      <c r="AU73" s="591"/>
      <c r="AV73" s="591"/>
      <c r="AW73" s="591"/>
      <c r="AY73" s="591"/>
    </row>
    <row r="74" spans="1:54" ht="20.25" hidden="1" customHeight="1" x14ac:dyDescent="0.2">
      <c r="A74" s="2"/>
      <c r="B74" s="2"/>
      <c r="C74" s="1172"/>
      <c r="D74" s="1173"/>
      <c r="E74" s="1173"/>
      <c r="F74" s="1173"/>
      <c r="G74" s="1173"/>
      <c r="H74" s="1173"/>
      <c r="I74" s="2051" t="s">
        <v>756</v>
      </c>
      <c r="J74" s="2051"/>
      <c r="K74" s="2052"/>
      <c r="L74" s="14"/>
      <c r="M74" s="14"/>
      <c r="N74" s="139"/>
      <c r="O74" s="2"/>
      <c r="P74" s="2"/>
      <c r="Q74" s="2"/>
      <c r="R74" s="2"/>
      <c r="S74" s="2"/>
      <c r="T74" s="2"/>
      <c r="U74" s="2"/>
      <c r="V74" s="2"/>
      <c r="W74" s="2"/>
      <c r="X74" s="2"/>
      <c r="Y74" s="2"/>
      <c r="Z74" s="2"/>
      <c r="AA74" s="2"/>
      <c r="AB74" s="591"/>
      <c r="AC74" s="591"/>
      <c r="AD74" s="591"/>
      <c r="AE74" s="591"/>
      <c r="AF74" s="591"/>
      <c r="AG74" s="591"/>
      <c r="AH74" s="591"/>
      <c r="AI74" s="591"/>
      <c r="AJ74" s="591"/>
      <c r="AK74" s="591"/>
      <c r="AM74" s="591"/>
      <c r="AN74" s="591"/>
      <c r="AO74" s="591"/>
      <c r="AP74" s="591"/>
      <c r="AQ74" s="591"/>
      <c r="AS74" s="591"/>
      <c r="AT74" s="591"/>
      <c r="AU74" s="591"/>
      <c r="AV74" s="591"/>
      <c r="AW74" s="591"/>
      <c r="AY74" s="591"/>
    </row>
    <row r="75" spans="1:54" ht="11.25" hidden="1" customHeight="1" x14ac:dyDescent="0.2">
      <c r="A75" s="2"/>
      <c r="B75" s="2"/>
      <c r="C75" s="2"/>
      <c r="D75" s="2"/>
      <c r="E75" s="2"/>
      <c r="F75" s="2"/>
      <c r="G75" s="2"/>
      <c r="H75" s="2"/>
      <c r="I75" s="2"/>
      <c r="J75" s="2"/>
      <c r="K75" s="2"/>
      <c r="L75" s="14"/>
      <c r="M75" s="14"/>
      <c r="N75" s="139"/>
      <c r="O75" s="2"/>
      <c r="P75" s="2"/>
      <c r="Q75" s="2"/>
      <c r="R75" s="2"/>
      <c r="S75" s="2"/>
      <c r="T75" s="2"/>
      <c r="U75" s="2"/>
      <c r="V75" s="2"/>
      <c r="W75" s="2"/>
      <c r="X75" s="2"/>
      <c r="Y75" s="2"/>
      <c r="Z75" s="2"/>
      <c r="AA75" s="2"/>
      <c r="AB75" s="591"/>
      <c r="AC75" s="591"/>
      <c r="AD75" s="591"/>
      <c r="AE75" s="591"/>
      <c r="AF75" s="591"/>
      <c r="AG75" s="591"/>
      <c r="AH75" s="591"/>
      <c r="AI75" s="591"/>
      <c r="AJ75" s="591"/>
      <c r="AK75" s="591"/>
      <c r="AM75" s="591"/>
      <c r="AN75" s="591"/>
      <c r="AO75" s="591"/>
      <c r="AP75" s="591"/>
      <c r="AQ75" s="591"/>
      <c r="AS75" s="591"/>
      <c r="AT75" s="591"/>
      <c r="AU75" s="591"/>
      <c r="AV75" s="591"/>
      <c r="AW75" s="591"/>
      <c r="AY75" s="591"/>
    </row>
    <row r="76" spans="1:54" ht="20.25" hidden="1" customHeight="1" x14ac:dyDescent="0.2">
      <c r="A76" s="2"/>
      <c r="B76" s="2"/>
      <c r="C76" s="2"/>
      <c r="D76" s="2"/>
      <c r="E76" s="20"/>
      <c r="F76" s="984" t="s">
        <v>764</v>
      </c>
      <c r="G76" s="985">
        <f>H69</f>
        <v>22</v>
      </c>
      <c r="H76" s="985">
        <f>H70</f>
        <v>10</v>
      </c>
      <c r="I76" s="2142">
        <f>H71</f>
        <v>4</v>
      </c>
      <c r="J76" s="2142"/>
      <c r="K76" s="1162" t="str">
        <f>H72</f>
        <v/>
      </c>
      <c r="L76" s="2"/>
      <c r="M76" s="2"/>
      <c r="N76" s="986"/>
      <c r="O76" s="2"/>
      <c r="P76" s="2"/>
      <c r="Q76" s="2"/>
      <c r="R76" s="2"/>
      <c r="S76" s="2"/>
      <c r="T76" s="2"/>
      <c r="U76" s="2"/>
      <c r="V76" s="2"/>
      <c r="W76" s="2"/>
      <c r="X76" s="591"/>
      <c r="Y76" s="591"/>
      <c r="AB76" s="591"/>
      <c r="AC76" s="591"/>
      <c r="AD76" s="591"/>
      <c r="AE76" s="591"/>
      <c r="AF76" s="591"/>
      <c r="AG76" s="591"/>
      <c r="AH76" s="591"/>
      <c r="AI76" s="591"/>
      <c r="AJ76" s="591"/>
      <c r="AK76" s="591"/>
      <c r="AM76" s="591"/>
      <c r="AN76" s="591"/>
      <c r="AO76" s="591"/>
      <c r="AP76" s="591"/>
      <c r="AQ76" s="591"/>
      <c r="AS76" s="591"/>
      <c r="AT76" s="591"/>
      <c r="AU76" s="591"/>
      <c r="AV76" s="591"/>
      <c r="AW76" s="591"/>
      <c r="AY76" s="591"/>
    </row>
    <row r="77" spans="1:54" ht="20.25" hidden="1" customHeight="1" x14ac:dyDescent="0.2">
      <c r="A77" s="2"/>
      <c r="B77" s="2"/>
      <c r="C77" s="2"/>
      <c r="D77" s="2"/>
      <c r="E77" s="2"/>
      <c r="F77" s="987" t="s">
        <v>757</v>
      </c>
      <c r="G77" s="988">
        <f>N69-G78</f>
        <v>0</v>
      </c>
      <c r="H77" s="989">
        <f>N70-H78</f>
        <v>0</v>
      </c>
      <c r="I77" s="2037">
        <f>N71-I78</f>
        <v>0</v>
      </c>
      <c r="J77" s="2038"/>
      <c r="K77" s="989">
        <f>N72-K78</f>
        <v>0</v>
      </c>
      <c r="L77" s="2233">
        <f>SUM(S69:S72)</f>
        <v>0</v>
      </c>
      <c r="M77" s="2234"/>
      <c r="N77" s="990" t="s">
        <v>758</v>
      </c>
      <c r="O77" s="2"/>
      <c r="P77" s="2"/>
      <c r="Q77" s="2"/>
      <c r="R77" s="2"/>
      <c r="S77" s="2"/>
      <c r="T77" s="2"/>
      <c r="U77" s="2"/>
      <c r="V77" s="2"/>
      <c r="W77" s="2"/>
      <c r="X77" s="591"/>
      <c r="Y77" s="591"/>
      <c r="AG77" s="591"/>
      <c r="AH77" s="591"/>
      <c r="AI77" s="591"/>
      <c r="AJ77" s="591"/>
      <c r="AK77" s="591"/>
      <c r="AM77" s="591"/>
      <c r="AN77" s="591"/>
      <c r="AO77" s="591"/>
      <c r="AP77" s="591"/>
      <c r="AQ77" s="591"/>
      <c r="AS77" s="591"/>
      <c r="AT77" s="591"/>
      <c r="AU77" s="591"/>
      <c r="AV77" s="591"/>
      <c r="AW77" s="591"/>
      <c r="AY77" s="591"/>
    </row>
    <row r="78" spans="1:54" ht="20.25" hidden="1" customHeight="1" x14ac:dyDescent="0.2">
      <c r="A78" s="2"/>
      <c r="B78" s="2"/>
      <c r="C78" s="2"/>
      <c r="D78" s="2"/>
      <c r="E78" s="2"/>
      <c r="F78" s="991" t="s">
        <v>759</v>
      </c>
      <c r="G78" s="992">
        <f>IF(G76="",0,ROUND(N69*G76/(100+G76),2))</f>
        <v>0</v>
      </c>
      <c r="H78" s="993">
        <f>IF(H76="",0,ROUND(N70*H76/(100+H76),2))</f>
        <v>0</v>
      </c>
      <c r="I78" s="2140">
        <f>IF(I76="",0,ROUND(N71*I76/(100+I76),2))</f>
        <v>0</v>
      </c>
      <c r="J78" s="2141"/>
      <c r="K78" s="993">
        <f>IF(K76="",0,ROUND(N72*K76/(100+K76),2))</f>
        <v>0</v>
      </c>
      <c r="L78" s="2235">
        <f>SUM(T69:T72)</f>
        <v>0</v>
      </c>
      <c r="M78" s="2236"/>
      <c r="N78" s="994" t="s">
        <v>760</v>
      </c>
      <c r="O78" s="2"/>
      <c r="P78" s="2"/>
      <c r="Q78" s="2"/>
      <c r="R78" s="2"/>
      <c r="S78" s="2"/>
      <c r="T78" s="2"/>
      <c r="U78" s="128" t="s">
        <v>783</v>
      </c>
      <c r="V78" s="2"/>
      <c r="W78" s="2"/>
      <c r="X78" s="591"/>
      <c r="Y78" s="591"/>
      <c r="AG78" s="591"/>
      <c r="AH78" s="591"/>
      <c r="AI78" s="591"/>
      <c r="AJ78" s="591"/>
      <c r="AK78" s="591"/>
      <c r="AM78" s="591"/>
      <c r="AN78" s="591"/>
      <c r="AO78" s="591"/>
      <c r="AP78" s="591"/>
      <c r="AQ78" s="591"/>
      <c r="AS78" s="591"/>
      <c r="AT78" s="591"/>
      <c r="AU78" s="591"/>
      <c r="AV78" s="591"/>
      <c r="AW78" s="591"/>
      <c r="AY78" s="591"/>
    </row>
    <row r="79" spans="1:54" ht="20.25" hidden="1" customHeight="1" x14ac:dyDescent="0.2">
      <c r="A79" s="2"/>
      <c r="B79" s="2"/>
      <c r="C79" s="2"/>
      <c r="D79" s="2"/>
      <c r="E79" s="287"/>
      <c r="F79" s="995" t="s">
        <v>105</v>
      </c>
      <c r="G79" s="996">
        <f>G77+G78</f>
        <v>0</v>
      </c>
      <c r="H79" s="996">
        <f>H77+H78</f>
        <v>0</v>
      </c>
      <c r="I79" s="2135">
        <f>I77+I78</f>
        <v>0</v>
      </c>
      <c r="J79" s="2135"/>
      <c r="K79" s="996">
        <f>K77+K78</f>
        <v>0</v>
      </c>
      <c r="L79" s="287"/>
      <c r="M79" s="287"/>
      <c r="N79" s="996">
        <f>SUM(U69:U72)</f>
        <v>0</v>
      </c>
      <c r="O79" s="503" t="str">
        <f>IF(N79=N73,"OK",E163)</f>
        <v>OK</v>
      </c>
      <c r="P79" s="2"/>
      <c r="Q79" s="2"/>
      <c r="R79" s="924" t="str">
        <f>G62</f>
        <v>SCORPORO</v>
      </c>
      <c r="S79" s="997">
        <f>IF(R79=L$134,G$63,0)</f>
        <v>0</v>
      </c>
      <c r="T79" s="92">
        <f>G42</f>
        <v>0</v>
      </c>
      <c r="U79" s="997">
        <f>IF(T79=K$134,S79,0)</f>
        <v>0</v>
      </c>
      <c r="V79" s="2"/>
      <c r="W79" s="2"/>
      <c r="X79" s="591"/>
      <c r="Y79" s="591"/>
      <c r="AG79" s="591"/>
      <c r="AH79" s="591"/>
      <c r="AI79" s="591"/>
      <c r="AJ79" s="591"/>
      <c r="AK79" s="591"/>
      <c r="AM79" s="591"/>
      <c r="AN79" s="591"/>
      <c r="AO79" s="591"/>
      <c r="AP79" s="591"/>
      <c r="AQ79" s="591"/>
      <c r="AS79" s="591"/>
      <c r="AT79" s="591"/>
      <c r="AU79" s="591"/>
      <c r="AV79" s="591"/>
      <c r="AW79" s="591"/>
      <c r="AY79" s="591"/>
    </row>
    <row r="80" spans="1:54" ht="20.25" hidden="1" customHeight="1" x14ac:dyDescent="0.2">
      <c r="A80" s="2"/>
      <c r="B80" s="2"/>
      <c r="C80" s="2"/>
      <c r="D80" s="2"/>
      <c r="E80" s="2"/>
      <c r="F80" s="2"/>
      <c r="G80" s="2"/>
      <c r="H80" s="2"/>
      <c r="I80" s="2"/>
      <c r="J80" s="2"/>
      <c r="K80" s="2"/>
      <c r="L80" s="2"/>
      <c r="M80" s="2"/>
      <c r="N80" s="10"/>
      <c r="O80" s="2"/>
      <c r="P80" s="2"/>
      <c r="Q80" s="2"/>
      <c r="R80" s="924" t="str">
        <f>H62</f>
        <v>SCORPORO</v>
      </c>
      <c r="S80" s="998">
        <f>IF(R80=L$134,H63,0)</f>
        <v>0</v>
      </c>
      <c r="T80" s="92">
        <f>H42</f>
        <v>0</v>
      </c>
      <c r="U80" s="998">
        <f>IF(T80=K$134,S80,0)</f>
        <v>0</v>
      </c>
      <c r="V80" s="2"/>
      <c r="W80" s="2"/>
      <c r="X80" s="591"/>
      <c r="Y80" s="591"/>
      <c r="AG80" s="591"/>
      <c r="AH80" s="591"/>
      <c r="AI80" s="591"/>
      <c r="AJ80" s="591"/>
      <c r="AK80" s="591"/>
      <c r="AM80" s="591"/>
      <c r="AN80" s="591"/>
      <c r="AO80" s="591"/>
      <c r="AP80" s="591"/>
      <c r="AQ80" s="591"/>
      <c r="AS80" s="591"/>
      <c r="AT80" s="591"/>
      <c r="AU80" s="591"/>
      <c r="AV80" s="591"/>
      <c r="AW80" s="591"/>
      <c r="AY80" s="591"/>
    </row>
    <row r="81" spans="1:51" ht="20.25" hidden="1" customHeight="1" x14ac:dyDescent="0.2">
      <c r="A81" s="2"/>
      <c r="B81" s="2"/>
      <c r="C81" s="2"/>
      <c r="D81" s="2"/>
      <c r="E81" s="2"/>
      <c r="F81" s="2"/>
      <c r="G81" s="103" t="str">
        <f>G61</f>
        <v>Colonna 1</v>
      </c>
      <c r="H81" s="103" t="str">
        <f>H61</f>
        <v>Colonna 2</v>
      </c>
      <c r="I81" s="2053" t="str">
        <f>K61</f>
        <v>Colonna 3</v>
      </c>
      <c r="J81" s="2053"/>
      <c r="K81" s="103" t="str">
        <f>N61</f>
        <v>Colonna 4</v>
      </c>
      <c r="L81" s="2"/>
      <c r="M81" s="2"/>
      <c r="N81" s="14"/>
      <c r="O81" s="2"/>
      <c r="P81" s="2"/>
      <c r="Q81" s="2"/>
      <c r="R81" s="924" t="str">
        <f>K62</f>
        <v>SCORPORO</v>
      </c>
      <c r="S81" s="998">
        <f>IF(R81=L$134,K63,0)</f>
        <v>0</v>
      </c>
      <c r="T81" s="92">
        <f>K42</f>
        <v>0</v>
      </c>
      <c r="U81" s="998">
        <f>IF(T81=K$134,S81,0)</f>
        <v>0</v>
      </c>
      <c r="V81" s="2"/>
      <c r="W81" s="2"/>
      <c r="X81" s="591"/>
      <c r="Y81" s="591"/>
      <c r="AG81" s="591"/>
      <c r="AH81" s="591"/>
      <c r="AI81" s="591"/>
      <c r="AJ81" s="591"/>
      <c r="AK81" s="591"/>
      <c r="AM81" s="591"/>
      <c r="AN81" s="591"/>
      <c r="AO81" s="591"/>
      <c r="AP81" s="591"/>
      <c r="AQ81" s="591"/>
      <c r="AS81" s="591"/>
      <c r="AT81" s="591"/>
      <c r="AU81" s="591"/>
      <c r="AV81" s="591"/>
      <c r="AW81" s="591"/>
      <c r="AY81" s="591"/>
    </row>
    <row r="82" spans="1:51" ht="18" hidden="1" customHeight="1" x14ac:dyDescent="0.2">
      <c r="A82" s="2"/>
      <c r="B82" s="2"/>
      <c r="C82" s="2"/>
      <c r="D82" s="2"/>
      <c r="E82" s="2"/>
      <c r="F82" s="2"/>
      <c r="G82" s="1203" t="str">
        <f t="shared" ref="G82:H84" si="33">G43</f>
        <v/>
      </c>
      <c r="H82" s="1204" t="str">
        <f t="shared" si="33"/>
        <v/>
      </c>
      <c r="I82" s="2031" t="str">
        <f>K43</f>
        <v/>
      </c>
      <c r="J82" s="2031"/>
      <c r="K82" s="1205" t="str">
        <f>N43</f>
        <v/>
      </c>
      <c r="L82" s="2"/>
      <c r="M82" s="2"/>
      <c r="N82" s="14"/>
      <c r="O82" s="2"/>
      <c r="P82" s="2"/>
      <c r="Q82" s="2"/>
      <c r="R82" s="924" t="str">
        <f>N62</f>
        <v>SCORPORO</v>
      </c>
      <c r="S82" s="1007">
        <f>IF(R82=L$134,N63,0)</f>
        <v>0</v>
      </c>
      <c r="T82" s="92">
        <f>N42</f>
        <v>0</v>
      </c>
      <c r="U82" s="1007">
        <f>IF(T82=K$134,S82,0)</f>
        <v>0</v>
      </c>
      <c r="V82" s="2"/>
      <c r="W82" s="2"/>
      <c r="X82" s="591"/>
      <c r="Y82" s="591"/>
      <c r="AG82" s="591"/>
      <c r="AH82" s="591"/>
      <c r="AI82" s="591"/>
      <c r="AJ82" s="591"/>
      <c r="AK82" s="591"/>
      <c r="AM82" s="591"/>
      <c r="AN82" s="591"/>
      <c r="AO82" s="591"/>
      <c r="AP82" s="591"/>
      <c r="AQ82" s="591"/>
      <c r="AS82" s="591"/>
      <c r="AT82" s="591"/>
      <c r="AU82" s="591"/>
      <c r="AV82" s="591"/>
      <c r="AW82" s="591"/>
      <c r="AY82" s="591"/>
    </row>
    <row r="83" spans="1:51" ht="18" hidden="1" customHeight="1" x14ac:dyDescent="0.2">
      <c r="A83" s="2"/>
      <c r="B83" s="2"/>
      <c r="C83" s="2"/>
      <c r="D83" s="2"/>
      <c r="E83" s="2"/>
      <c r="F83" s="2"/>
      <c r="G83" s="1000" t="str">
        <f t="shared" si="33"/>
        <v/>
      </c>
      <c r="H83" s="1000" t="str">
        <f t="shared" si="33"/>
        <v/>
      </c>
      <c r="I83" s="2054" t="str">
        <f>K44</f>
        <v/>
      </c>
      <c r="J83" s="2054"/>
      <c r="K83" s="1000" t="str">
        <f>N44</f>
        <v/>
      </c>
      <c r="L83" s="2"/>
      <c r="M83" s="2"/>
      <c r="N83" s="14"/>
      <c r="O83" s="2"/>
      <c r="P83" s="2"/>
      <c r="Q83" s="2"/>
      <c r="R83" s="2"/>
      <c r="S83" s="999"/>
      <c r="T83" s="2"/>
      <c r="U83" s="999"/>
      <c r="V83" s="2"/>
      <c r="W83" s="2"/>
      <c r="X83" s="591"/>
      <c r="Y83" s="591"/>
      <c r="AG83" s="591"/>
      <c r="AH83" s="591"/>
      <c r="AI83" s="591"/>
      <c r="AJ83" s="591"/>
      <c r="AK83" s="591"/>
      <c r="AM83" s="591"/>
      <c r="AN83" s="591"/>
      <c r="AO83" s="591"/>
      <c r="AP83" s="591"/>
      <c r="AQ83" s="591"/>
      <c r="AS83" s="591"/>
      <c r="AT83" s="591"/>
      <c r="AU83" s="591"/>
      <c r="AV83" s="591"/>
      <c r="AW83" s="591"/>
      <c r="AY83" s="591"/>
    </row>
    <row r="84" spans="1:51" ht="18" hidden="1" customHeight="1" x14ac:dyDescent="0.2">
      <c r="A84" s="2"/>
      <c r="B84" s="2"/>
      <c r="C84" s="2"/>
      <c r="D84" s="2"/>
      <c r="E84" s="2"/>
      <c r="F84" s="2"/>
      <c r="G84" s="1001" t="str">
        <f t="shared" si="33"/>
        <v/>
      </c>
      <c r="H84" s="1001" t="str">
        <f t="shared" si="33"/>
        <v/>
      </c>
      <c r="I84" s="2055" t="str">
        <f>K45</f>
        <v/>
      </c>
      <c r="J84" s="2055"/>
      <c r="K84" s="1001" t="str">
        <f>N45</f>
        <v/>
      </c>
      <c r="L84" s="2"/>
      <c r="M84" s="2"/>
      <c r="N84" s="14"/>
      <c r="O84" s="2"/>
      <c r="P84" s="2"/>
      <c r="Q84" s="2"/>
      <c r="R84" s="2"/>
      <c r="S84" s="999"/>
      <c r="T84" s="2"/>
      <c r="U84" s="999"/>
      <c r="V84" s="2"/>
      <c r="W84" s="2"/>
      <c r="X84" s="591"/>
      <c r="Y84" s="591"/>
      <c r="AG84" s="591"/>
      <c r="AH84" s="591"/>
      <c r="AI84" s="591"/>
      <c r="AJ84" s="591"/>
      <c r="AK84" s="591"/>
      <c r="AM84" s="591"/>
      <c r="AN84" s="591"/>
      <c r="AO84" s="591"/>
      <c r="AP84" s="591"/>
      <c r="AQ84" s="591"/>
      <c r="AS84" s="591"/>
      <c r="AT84" s="591"/>
      <c r="AU84" s="591"/>
      <c r="AV84" s="591"/>
      <c r="AW84" s="591"/>
      <c r="AY84" s="591"/>
    </row>
    <row r="85" spans="1:51" ht="18" hidden="1" customHeight="1" x14ac:dyDescent="0.2">
      <c r="A85" s="2"/>
      <c r="B85" s="2"/>
      <c r="C85" s="2"/>
      <c r="D85" s="2"/>
      <c r="E85" s="2"/>
      <c r="F85" s="2"/>
      <c r="G85" s="1011" t="str">
        <f>VLOOKUP(G62,$L$134:$M$135,2,FALSE)</f>
        <v>SCORPORO</v>
      </c>
      <c r="H85" s="1011" t="str">
        <f>VLOOKUP(H62,$L$134:$M$135,2,FALSE)</f>
        <v>SCORPORO</v>
      </c>
      <c r="I85" s="2056" t="str">
        <f>VLOOKUP(K62,$L$134:$M$135,2,FALSE)</f>
        <v>SCORPORO</v>
      </c>
      <c r="J85" s="2056"/>
      <c r="K85" s="1011" t="str">
        <f>VLOOKUP(N62,$L$134:$M$135,2,FALSE)</f>
        <v>SCORPORO</v>
      </c>
      <c r="L85" s="2"/>
      <c r="M85" s="2"/>
      <c r="N85" s="14"/>
      <c r="O85" s="2"/>
      <c r="P85" s="2"/>
      <c r="Q85" s="2"/>
      <c r="R85" s="2"/>
      <c r="S85" s="999"/>
      <c r="T85" s="2"/>
      <c r="U85" s="999"/>
      <c r="V85" s="2"/>
      <c r="W85" s="2"/>
      <c r="X85" s="591"/>
      <c r="Y85" s="591"/>
      <c r="AG85" s="591"/>
      <c r="AH85" s="591"/>
      <c r="AI85" s="591"/>
      <c r="AJ85" s="591"/>
      <c r="AK85" s="591"/>
      <c r="AM85" s="591"/>
      <c r="AN85" s="591"/>
      <c r="AO85" s="591"/>
      <c r="AP85" s="591"/>
      <c r="AQ85" s="591"/>
      <c r="AS85" s="591"/>
      <c r="AT85" s="591"/>
      <c r="AU85" s="591"/>
      <c r="AV85" s="591"/>
      <c r="AW85" s="591"/>
      <c r="AY85" s="591"/>
    </row>
    <row r="86" spans="1:51" ht="20.25" hidden="1" customHeight="1" x14ac:dyDescent="0.2">
      <c r="A86" s="2"/>
      <c r="B86" s="2"/>
      <c r="C86" s="2"/>
      <c r="D86" s="2"/>
      <c r="E86" s="2"/>
      <c r="F86" s="1002" t="s">
        <v>761</v>
      </c>
      <c r="G86" s="1206">
        <f>IF($L77=0,0,$S79-G87)</f>
        <v>0</v>
      </c>
      <c r="H86" s="1206">
        <f>IF($L77=0,0,S80-H87)</f>
        <v>0</v>
      </c>
      <c r="I86" s="2035">
        <f>IF($L77=0,0,S81-I87)</f>
        <v>0</v>
      </c>
      <c r="J86" s="2036"/>
      <c r="K86" s="1206">
        <f>IF($L77=0,0,S82-K87)</f>
        <v>0</v>
      </c>
      <c r="L86" s="2237">
        <f>SUM(G86:K86)</f>
        <v>0</v>
      </c>
      <c r="M86" s="2237"/>
      <c r="N86" s="1003" t="s">
        <v>758</v>
      </c>
      <c r="O86" s="2"/>
      <c r="P86" s="2"/>
      <c r="Q86" s="2"/>
      <c r="R86" s="2"/>
      <c r="S86" s="999"/>
      <c r="T86" s="2"/>
      <c r="U86" s="999"/>
      <c r="V86" s="2"/>
      <c r="W86" s="2"/>
      <c r="X86" s="591"/>
      <c r="Y86" s="591"/>
      <c r="AG86" s="591"/>
      <c r="AH86" s="591"/>
      <c r="AI86" s="591"/>
      <c r="AJ86" s="591"/>
      <c r="AK86" s="591"/>
      <c r="AM86" s="591"/>
      <c r="AN86" s="591"/>
      <c r="AO86" s="591"/>
      <c r="AP86" s="591"/>
      <c r="AQ86" s="591"/>
      <c r="AS86" s="591"/>
      <c r="AT86" s="591"/>
      <c r="AU86" s="591"/>
      <c r="AV86" s="591"/>
      <c r="AW86" s="591"/>
      <c r="AY86" s="591"/>
    </row>
    <row r="87" spans="1:51" ht="20.25" hidden="1" customHeight="1" x14ac:dyDescent="0.2">
      <c r="A87" s="2"/>
      <c r="B87" s="2"/>
      <c r="C87" s="2"/>
      <c r="D87" s="2"/>
      <c r="E87" s="2"/>
      <c r="F87" s="1004" t="s">
        <v>762</v>
      </c>
      <c r="G87" s="1207">
        <f>IF($C$61=0,0,ROUND($L78*G89/100,2))</f>
        <v>0</v>
      </c>
      <c r="H87" s="1207">
        <f>IF($C$61=0,0,ROUND($L78*H89/100,2))</f>
        <v>0</v>
      </c>
      <c r="I87" s="2028">
        <f>IF($C$61=0,0,ROUND($L78*I89/100,2))</f>
        <v>0</v>
      </c>
      <c r="J87" s="2029"/>
      <c r="K87" s="1207">
        <f>IF($C$61=0,0,L78-G87-H87-I87)</f>
        <v>0</v>
      </c>
      <c r="L87" s="2125">
        <f>SUM(G87:K87)</f>
        <v>0</v>
      </c>
      <c r="M87" s="2125"/>
      <c r="N87" s="1005" t="s">
        <v>760</v>
      </c>
      <c r="O87" s="2"/>
      <c r="P87" s="2"/>
      <c r="Q87" s="2"/>
      <c r="R87" s="2"/>
      <c r="S87" s="999"/>
      <c r="T87" s="2"/>
      <c r="U87" s="999"/>
      <c r="V87" s="2"/>
      <c r="W87" s="2"/>
      <c r="X87" s="591"/>
      <c r="Y87" s="591"/>
      <c r="AG87" s="591"/>
      <c r="AH87" s="591"/>
      <c r="AI87" s="591"/>
      <c r="AJ87" s="591"/>
      <c r="AK87" s="591"/>
      <c r="AM87" s="591"/>
      <c r="AN87" s="591"/>
      <c r="AO87" s="591"/>
      <c r="AP87" s="591"/>
      <c r="AQ87" s="591"/>
      <c r="AS87" s="591"/>
      <c r="AT87" s="591"/>
      <c r="AU87" s="591"/>
      <c r="AV87" s="591"/>
      <c r="AW87" s="591"/>
      <c r="AY87" s="591"/>
    </row>
    <row r="88" spans="1:51" ht="20.25" hidden="1" customHeight="1" x14ac:dyDescent="0.2">
      <c r="A88" s="2"/>
      <c r="B88" s="2"/>
      <c r="C88" s="2"/>
      <c r="D88" s="2"/>
      <c r="E88" s="287"/>
      <c r="F88" s="995" t="s">
        <v>105</v>
      </c>
      <c r="G88" s="1020">
        <f>IF(G85=$M135,0,G86+G87)</f>
        <v>0</v>
      </c>
      <c r="H88" s="1020">
        <f>IF(H85=$M135,0,H86+H87)</f>
        <v>0</v>
      </c>
      <c r="I88" s="2216">
        <f>IF(I85=$M135,0,I86+I87)</f>
        <v>0</v>
      </c>
      <c r="J88" s="2216"/>
      <c r="K88" s="1020">
        <f>IF(K85=$M135,0,K86+K87)</f>
        <v>0</v>
      </c>
      <c r="L88" s="287"/>
      <c r="M88" s="287"/>
      <c r="N88" s="996">
        <f>SUM(G88:K88)</f>
        <v>0</v>
      </c>
      <c r="O88" s="503" t="str">
        <f>IF(N88=N79,"OK",E163)</f>
        <v>OK</v>
      </c>
      <c r="P88" s="2"/>
      <c r="Q88" s="2"/>
      <c r="R88" s="2"/>
      <c r="S88" s="1006"/>
      <c r="T88" s="2"/>
      <c r="U88" s="1006"/>
      <c r="V88" s="2"/>
      <c r="W88" s="2"/>
      <c r="X88" s="591"/>
      <c r="Y88" s="591"/>
      <c r="AG88" s="591"/>
      <c r="AH88" s="591"/>
      <c r="AI88" s="591"/>
      <c r="AJ88" s="591"/>
      <c r="AK88" s="591"/>
      <c r="AM88" s="591"/>
      <c r="AN88" s="591"/>
      <c r="AO88" s="591"/>
      <c r="AP88" s="591"/>
      <c r="AQ88" s="591"/>
      <c r="AS88" s="591"/>
      <c r="AT88" s="591"/>
      <c r="AU88" s="591"/>
      <c r="AV88" s="591"/>
      <c r="AW88" s="591"/>
      <c r="AY88" s="591"/>
    </row>
    <row r="89" spans="1:51" ht="20.25" hidden="1" customHeight="1" x14ac:dyDescent="0.2">
      <c r="A89" s="2"/>
      <c r="B89" s="2"/>
      <c r="C89" s="2"/>
      <c r="D89" s="2"/>
      <c r="E89" s="2"/>
      <c r="F89" s="970" t="s">
        <v>763</v>
      </c>
      <c r="G89" s="1021">
        <f>IF($C$61=0,0,IF(S79=0,0,ROUND($S79/$S89*100,10)))</f>
        <v>0</v>
      </c>
      <c r="H89" s="1021">
        <f>IF($C$61=0,0,IF(S80=0,0,ROUND(S80/$S89*100,10)))</f>
        <v>0</v>
      </c>
      <c r="I89" s="2101">
        <f>IF($C$61=0,0,IF(S81=0,0,ROUND(S81/$S89*100,10)))</f>
        <v>0</v>
      </c>
      <c r="J89" s="2101"/>
      <c r="K89" s="1021">
        <f>IF($C$61=0,0,IF(S82=0,0,100-G89-H89-I89))</f>
        <v>0</v>
      </c>
      <c r="L89" s="2"/>
      <c r="M89" s="2"/>
      <c r="N89" s="2"/>
      <c r="O89" s="2"/>
      <c r="P89" s="2"/>
      <c r="Q89" s="2"/>
      <c r="R89" s="2"/>
      <c r="S89" s="1006">
        <f>SUM(S79:S88)</f>
        <v>0</v>
      </c>
      <c r="T89" s="2"/>
      <c r="U89" s="1006">
        <f>SUM(U79:U88)</f>
        <v>0</v>
      </c>
      <c r="V89" s="2"/>
      <c r="W89" s="2"/>
      <c r="X89" s="591"/>
      <c r="Y89" s="591"/>
      <c r="Z89" s="591"/>
      <c r="AA89" s="591"/>
      <c r="AB89" s="591"/>
      <c r="AC89" s="591"/>
      <c r="AG89" s="591"/>
      <c r="AH89" s="591"/>
      <c r="AI89" s="591"/>
      <c r="AJ89" s="591"/>
      <c r="AK89" s="591"/>
      <c r="AM89" s="591"/>
      <c r="AN89" s="591"/>
      <c r="AO89" s="591"/>
      <c r="AP89" s="591"/>
      <c r="AQ89" s="591"/>
      <c r="AS89" s="591"/>
      <c r="AT89" s="591"/>
      <c r="AU89" s="591"/>
      <c r="AV89" s="591"/>
      <c r="AW89" s="591"/>
      <c r="AY89" s="591"/>
    </row>
    <row r="90" spans="1:51" ht="20.25" customHeight="1" x14ac:dyDescent="0.2">
      <c r="A90" s="2"/>
      <c r="B90" s="2"/>
      <c r="C90" s="2"/>
      <c r="D90" s="2"/>
      <c r="E90" s="2"/>
      <c r="F90" s="2"/>
      <c r="G90" s="2"/>
      <c r="H90" s="2"/>
      <c r="I90" s="2"/>
      <c r="J90" s="2"/>
      <c r="K90" s="2"/>
      <c r="L90" s="2"/>
      <c r="M90" s="2"/>
      <c r="N90" s="2"/>
      <c r="O90" s="2"/>
      <c r="P90" s="2"/>
      <c r="Q90" s="2"/>
      <c r="R90" s="2"/>
      <c r="S90" s="2"/>
      <c r="T90" s="2"/>
      <c r="U90" s="1110" t="e">
        <f>U89/S89*100</f>
        <v>#DIV/0!</v>
      </c>
      <c r="V90" s="2"/>
      <c r="W90" s="2"/>
      <c r="X90" s="591"/>
      <c r="Y90" s="591"/>
      <c r="Z90" s="591"/>
      <c r="AA90" s="591"/>
      <c r="AB90" s="591"/>
      <c r="AC90" s="591"/>
      <c r="AG90" s="591"/>
      <c r="AH90" s="591"/>
      <c r="AI90" s="591"/>
      <c r="AJ90" s="591"/>
      <c r="AK90" s="591"/>
      <c r="AM90" s="591"/>
      <c r="AN90" s="591"/>
      <c r="AO90" s="591"/>
      <c r="AP90" s="591"/>
      <c r="AQ90" s="591"/>
      <c r="AS90" s="591"/>
      <c r="AT90" s="591"/>
      <c r="AU90" s="591"/>
      <c r="AV90" s="591"/>
      <c r="AW90" s="591"/>
      <c r="AY90" s="591"/>
    </row>
    <row r="91" spans="1:51" ht="30" customHeight="1" x14ac:dyDescent="0.2">
      <c r="A91" s="2"/>
      <c r="B91" s="2"/>
      <c r="C91" s="2030" t="str">
        <f>IF(SUM(G150:J150)&gt;0,G151,IMPOSTAZIONI!Y383)</f>
        <v>Quest' area si attiva con colonne IVA "Aliquote diverse" - Al momento non c'è nessun importo da scorporare manualmente.</v>
      </c>
      <c r="D91" s="2030"/>
      <c r="E91" s="2030"/>
      <c r="F91" s="2030"/>
      <c r="G91" s="2030"/>
      <c r="H91" s="2030"/>
      <c r="I91" s="2030"/>
      <c r="J91" s="2030"/>
      <c r="K91" s="2030"/>
      <c r="L91" s="2030"/>
      <c r="M91" s="2030"/>
      <c r="N91" s="2030"/>
      <c r="O91" s="2030"/>
      <c r="P91" s="2030"/>
      <c r="Q91" s="98"/>
      <c r="R91" s="98"/>
      <c r="S91" s="98"/>
      <c r="T91" s="2"/>
      <c r="U91" s="2"/>
      <c r="V91" s="2"/>
      <c r="W91" s="2"/>
      <c r="X91" s="591"/>
      <c r="Y91" s="591"/>
      <c r="Z91" s="591"/>
      <c r="AA91" s="591"/>
      <c r="AB91" s="591"/>
      <c r="AC91" s="591"/>
      <c r="AG91" s="591"/>
      <c r="AH91" s="591"/>
      <c r="AI91" s="591"/>
      <c r="AJ91" s="591"/>
      <c r="AK91" s="591"/>
      <c r="AM91" s="591"/>
      <c r="AN91" s="591"/>
      <c r="AO91" s="591"/>
      <c r="AP91" s="591"/>
      <c r="AQ91" s="591"/>
      <c r="AS91" s="591"/>
      <c r="AT91" s="591"/>
      <c r="AU91" s="591"/>
      <c r="AV91" s="591"/>
      <c r="AW91" s="591"/>
      <c r="AY91" s="591"/>
    </row>
    <row r="92" spans="1:51" ht="5.25" customHeight="1" x14ac:dyDescent="0.2">
      <c r="A92" s="2"/>
      <c r="B92" s="2"/>
      <c r="C92" s="2"/>
      <c r="D92" s="2"/>
      <c r="E92" s="2"/>
      <c r="F92" s="2"/>
      <c r="G92" s="2"/>
      <c r="H92" s="2"/>
      <c r="I92" s="2"/>
      <c r="J92" s="2"/>
      <c r="K92" s="2"/>
      <c r="L92" s="2"/>
      <c r="M92" s="2"/>
      <c r="N92" s="2"/>
      <c r="O92" s="2"/>
      <c r="P92" s="2"/>
      <c r="Q92" s="2"/>
      <c r="R92" s="2"/>
      <c r="S92" s="2"/>
      <c r="T92" s="2"/>
      <c r="U92" s="2"/>
      <c r="V92" s="2"/>
      <c r="W92" s="2"/>
      <c r="X92" s="591"/>
      <c r="Y92" s="591"/>
      <c r="Z92" s="591"/>
      <c r="AA92" s="591"/>
      <c r="AB92" s="591"/>
      <c r="AC92" s="591"/>
      <c r="AG92" s="591"/>
      <c r="AH92" s="591"/>
      <c r="AI92" s="591"/>
      <c r="AJ92" s="591"/>
      <c r="AK92" s="591"/>
      <c r="AM92" s="591"/>
      <c r="AN92" s="591"/>
      <c r="AO92" s="591"/>
      <c r="AP92" s="591"/>
      <c r="AQ92" s="591"/>
      <c r="AS92" s="591"/>
      <c r="AT92" s="591"/>
      <c r="AU92" s="591"/>
      <c r="AV92" s="591"/>
      <c r="AW92" s="591"/>
      <c r="AY92" s="591"/>
    </row>
    <row r="93" spans="1:51" ht="18" customHeight="1" x14ac:dyDescent="0.2">
      <c r="A93" s="2"/>
      <c r="B93" s="2"/>
      <c r="C93" s="2111"/>
      <c r="D93" s="2111"/>
      <c r="E93" s="2112"/>
      <c r="F93" s="2113"/>
      <c r="G93" s="298" t="str">
        <f t="shared" ref="G93:H95" si="34">IF(G$155="X",G43,"")</f>
        <v/>
      </c>
      <c r="H93" s="298" t="str">
        <f t="shared" si="34"/>
        <v/>
      </c>
      <c r="I93" s="298"/>
      <c r="J93" s="298"/>
      <c r="K93" s="298" t="str">
        <f>IF(I$155="X",K43,"")</f>
        <v/>
      </c>
      <c r="L93" s="298"/>
      <c r="M93" s="298"/>
      <c r="N93" s="298" t="str">
        <f>IF(J$155="X",N43,"")</f>
        <v/>
      </c>
      <c r="O93" s="2033"/>
      <c r="P93" s="2033"/>
      <c r="Q93" s="12"/>
      <c r="R93" s="2"/>
      <c r="S93" s="2"/>
      <c r="T93" s="2"/>
      <c r="U93" s="2"/>
      <c r="V93" s="2"/>
      <c r="W93" s="2"/>
      <c r="X93" s="591"/>
      <c r="Y93" s="591"/>
      <c r="Z93" s="591"/>
      <c r="AA93" s="591"/>
      <c r="AB93" s="591"/>
      <c r="AC93" s="591"/>
      <c r="AG93" s="591"/>
      <c r="AH93" s="591"/>
      <c r="AI93" s="591"/>
      <c r="AJ93" s="591"/>
      <c r="AK93" s="591"/>
      <c r="AM93" s="591"/>
      <c r="AN93" s="591"/>
      <c r="AO93" s="591"/>
      <c r="AP93" s="591"/>
      <c r="AQ93" s="591"/>
      <c r="AS93" s="591"/>
      <c r="AT93" s="591"/>
      <c r="AU93" s="591"/>
      <c r="AV93" s="591"/>
      <c r="AW93" s="591"/>
      <c r="AY93" s="591"/>
    </row>
    <row r="94" spans="1:51" ht="18" customHeight="1" x14ac:dyDescent="0.2">
      <c r="A94" s="2"/>
      <c r="B94" s="2"/>
      <c r="C94" s="2114" t="str">
        <f>C44</f>
        <v>TOTALI DEL PERIODO:</v>
      </c>
      <c r="D94" s="2091"/>
      <c r="E94" s="2091"/>
      <c r="F94" s="2091"/>
      <c r="G94" s="57" t="str">
        <f t="shared" si="34"/>
        <v/>
      </c>
      <c r="H94" s="57" t="str">
        <f t="shared" si="34"/>
        <v/>
      </c>
      <c r="I94" s="57" t="s">
        <v>288</v>
      </c>
      <c r="J94" s="57"/>
      <c r="K94" s="57" t="str">
        <f>IF(I$155="X",K44,"")</f>
        <v/>
      </c>
      <c r="L94" s="57" t="s">
        <v>288</v>
      </c>
      <c r="M94" s="57"/>
      <c r="N94" s="57" t="str">
        <f>IF(J$155="X",N44,"")</f>
        <v/>
      </c>
      <c r="O94" s="85"/>
      <c r="P94" s="85"/>
      <c r="Q94" s="12"/>
      <c r="R94" s="2"/>
      <c r="S94" s="2"/>
      <c r="T94" s="2"/>
      <c r="U94" s="2"/>
      <c r="V94" s="2"/>
      <c r="W94" s="2"/>
      <c r="X94" s="591"/>
      <c r="Y94" s="591"/>
      <c r="Z94" s="591"/>
      <c r="AA94" s="591"/>
      <c r="AB94" s="591"/>
      <c r="AC94" s="591"/>
      <c r="AG94" s="591"/>
      <c r="AH94" s="591"/>
      <c r="AI94" s="591"/>
      <c r="AJ94" s="591"/>
      <c r="AK94" s="591"/>
      <c r="AM94" s="591"/>
      <c r="AN94" s="591"/>
      <c r="AO94" s="591"/>
      <c r="AP94" s="591"/>
      <c r="AQ94" s="591"/>
      <c r="AS94" s="591"/>
      <c r="AT94" s="591"/>
      <c r="AU94" s="591"/>
      <c r="AV94" s="591"/>
      <c r="AW94" s="591"/>
      <c r="AY94" s="591"/>
    </row>
    <row r="95" spans="1:51" ht="18" customHeight="1" x14ac:dyDescent="0.2">
      <c r="A95" s="2"/>
      <c r="B95" s="2"/>
      <c r="C95" s="2115" t="str">
        <f>C45</f>
        <v>01/07 - 31/07</v>
      </c>
      <c r="D95" s="2115"/>
      <c r="E95" s="2115"/>
      <c r="F95" s="2115"/>
      <c r="G95" s="90" t="str">
        <f t="shared" si="34"/>
        <v/>
      </c>
      <c r="H95" s="90" t="str">
        <f t="shared" si="34"/>
        <v/>
      </c>
      <c r="I95" s="90" t="s">
        <v>288</v>
      </c>
      <c r="J95" s="90"/>
      <c r="K95" s="90" t="str">
        <f>IF(I$155="X",K45,"")</f>
        <v/>
      </c>
      <c r="L95" s="90" t="s">
        <v>288</v>
      </c>
      <c r="M95" s="90"/>
      <c r="N95" s="90" t="str">
        <f>IF(J$155="X",N45,"")</f>
        <v/>
      </c>
      <c r="O95" s="89"/>
      <c r="P95" s="89"/>
      <c r="Q95" s="12"/>
      <c r="R95" s="2"/>
      <c r="S95" s="2"/>
      <c r="T95" s="2"/>
      <c r="U95" s="2"/>
      <c r="V95" s="2"/>
      <c r="W95" s="2"/>
      <c r="X95" s="591"/>
      <c r="Y95" s="591"/>
      <c r="Z95" s="591"/>
      <c r="AA95" s="591"/>
      <c r="AB95" s="591"/>
      <c r="AC95" s="591"/>
      <c r="AG95" s="591"/>
      <c r="AH95" s="591"/>
      <c r="AI95" s="591"/>
      <c r="AJ95" s="591"/>
      <c r="AK95" s="591"/>
      <c r="AM95" s="591"/>
      <c r="AN95" s="591"/>
      <c r="AO95" s="591"/>
      <c r="AP95" s="591"/>
      <c r="AQ95" s="591"/>
      <c r="AS95" s="591"/>
      <c r="AT95" s="591"/>
      <c r="AU95" s="591"/>
      <c r="AV95" s="591"/>
      <c r="AW95" s="591"/>
      <c r="AY95" s="591"/>
    </row>
    <row r="96" spans="1:51" ht="18.75" customHeight="1" x14ac:dyDescent="0.2">
      <c r="A96" s="2"/>
      <c r="B96" s="7"/>
      <c r="C96" s="2110"/>
      <c r="D96" s="2110"/>
      <c r="E96" s="2109"/>
      <c r="F96" s="2109"/>
      <c r="G96" s="297">
        <f>IF(G155="X",G46,0)</f>
        <v>0</v>
      </c>
      <c r="H96" s="297">
        <f>IF(H155="X",H46,0)</f>
        <v>0</v>
      </c>
      <c r="I96" s="657"/>
      <c r="J96" s="657"/>
      <c r="K96" s="297">
        <f>IF(I155="X",K46,0)</f>
        <v>0</v>
      </c>
      <c r="L96" s="657"/>
      <c r="M96" s="657"/>
      <c r="N96" s="297">
        <f>IF(J155="X",N46,0)</f>
        <v>0</v>
      </c>
      <c r="O96" s="2210" t="s">
        <v>353</v>
      </c>
      <c r="P96" s="2210"/>
      <c r="Q96" s="12"/>
      <c r="R96" s="462">
        <f>R97+R98</f>
        <v>0</v>
      </c>
      <c r="S96" s="2"/>
      <c r="T96" s="2"/>
      <c r="U96" s="2"/>
      <c r="V96" s="591"/>
      <c r="W96" s="591"/>
      <c r="X96" s="591"/>
      <c r="Y96" s="591"/>
      <c r="Z96" s="591"/>
      <c r="AA96" s="591"/>
      <c r="AB96" s="591"/>
      <c r="AC96" s="591"/>
      <c r="AG96" s="591"/>
      <c r="AH96" s="591"/>
      <c r="AI96" s="591"/>
      <c r="AJ96" s="591"/>
      <c r="AK96" s="591"/>
      <c r="AM96" s="591"/>
      <c r="AN96" s="591"/>
      <c r="AO96" s="591"/>
      <c r="AP96" s="591"/>
      <c r="AQ96" s="591"/>
      <c r="AS96" s="591"/>
      <c r="AT96" s="591"/>
      <c r="AU96" s="591"/>
      <c r="AV96" s="591"/>
      <c r="AW96" s="591"/>
      <c r="AY96" s="591"/>
    </row>
    <row r="97" spans="1:51" ht="18.75" customHeight="1" x14ac:dyDescent="0.25">
      <c r="A97" s="2"/>
      <c r="B97" s="7"/>
      <c r="C97" s="2032" t="s">
        <v>350</v>
      </c>
      <c r="D97" s="2032"/>
      <c r="E97" s="2032"/>
      <c r="F97" s="2032"/>
      <c r="G97" s="299"/>
      <c r="H97" s="299"/>
      <c r="I97" s="658"/>
      <c r="J97" s="658"/>
      <c r="K97" s="299"/>
      <c r="L97" s="658"/>
      <c r="M97" s="658"/>
      <c r="N97" s="299"/>
      <c r="O97" s="2221" t="s">
        <v>355</v>
      </c>
      <c r="P97" s="2221"/>
      <c r="Q97" s="12"/>
      <c r="R97" s="462">
        <f>SUM(G97:N97)</f>
        <v>0</v>
      </c>
      <c r="S97" s="462">
        <f>SUMIF($G$42:N$42,K$134,$G97:N97)</f>
        <v>0</v>
      </c>
      <c r="T97" s="1110" t="e">
        <f>S97/R97*100</f>
        <v>#DIV/0!</v>
      </c>
      <c r="U97" s="2"/>
      <c r="V97" s="591"/>
      <c r="W97" s="591"/>
      <c r="X97" s="591"/>
      <c r="Y97" s="591"/>
      <c r="Z97" s="591"/>
      <c r="AA97" s="591"/>
      <c r="AB97" s="591"/>
      <c r="AC97" s="591"/>
      <c r="AG97" s="591"/>
      <c r="AH97" s="591"/>
      <c r="AI97" s="591"/>
      <c r="AJ97" s="591"/>
      <c r="AK97" s="591"/>
      <c r="AM97" s="591"/>
      <c r="AN97" s="591"/>
      <c r="AO97" s="591"/>
      <c r="AP97" s="591"/>
      <c r="AQ97" s="591"/>
      <c r="AS97" s="591"/>
      <c r="AT97" s="591"/>
      <c r="AU97" s="591"/>
      <c r="AV97" s="591"/>
      <c r="AW97" s="591"/>
      <c r="AY97" s="591"/>
    </row>
    <row r="98" spans="1:51" ht="18.75" customHeight="1" x14ac:dyDescent="0.2">
      <c r="A98" s="2"/>
      <c r="B98" s="7"/>
      <c r="C98" s="2108" t="s">
        <v>490</v>
      </c>
      <c r="D98" s="2108"/>
      <c r="E98" s="2108"/>
      <c r="F98" s="2108"/>
      <c r="G98" s="300"/>
      <c r="H98" s="660"/>
      <c r="I98" s="659"/>
      <c r="J98" s="659"/>
      <c r="K98" s="660"/>
      <c r="L98" s="659"/>
      <c r="M98" s="659"/>
      <c r="N98" s="660"/>
      <c r="O98" s="2018" t="s">
        <v>349</v>
      </c>
      <c r="P98" s="2018"/>
      <c r="Q98" s="13"/>
      <c r="R98" s="462">
        <f>SUM(G98:N98)</f>
        <v>0</v>
      </c>
      <c r="S98" s="2"/>
      <c r="T98" s="2"/>
      <c r="U98" s="2"/>
      <c r="V98" s="591"/>
      <c r="W98" s="591"/>
      <c r="X98" s="591"/>
      <c r="Y98" s="591"/>
      <c r="Z98" s="591"/>
      <c r="AA98" s="591"/>
      <c r="AB98" s="591"/>
      <c r="AC98" s="591"/>
      <c r="AG98" s="591"/>
      <c r="AH98" s="591"/>
      <c r="AI98" s="591"/>
      <c r="AJ98" s="591"/>
      <c r="AK98" s="591"/>
      <c r="AM98" s="591"/>
      <c r="AN98" s="591"/>
      <c r="AO98" s="591"/>
      <c r="AP98" s="591"/>
      <c r="AQ98" s="591"/>
      <c r="AS98" s="591"/>
      <c r="AT98" s="591"/>
      <c r="AU98" s="591"/>
      <c r="AV98" s="591"/>
      <c r="AW98" s="591"/>
      <c r="AY98" s="591"/>
    </row>
    <row r="99" spans="1:51" ht="15" customHeight="1" x14ac:dyDescent="0.2">
      <c r="A99" s="2"/>
      <c r="B99" s="2"/>
      <c r="C99" s="10"/>
      <c r="D99" s="10"/>
      <c r="E99" s="10"/>
      <c r="F99" s="10"/>
      <c r="G99" s="91" t="str">
        <f>IF(AND(SUM(G97:G98)&lt;&gt;0,G152=0),$L$152,IF(G152=0,"",IF(G97=0,IMPOSTAZIONI!$J$383,IF((G97+G98)&lt;&gt;G96,IMPOSTAZIONI!$M$383,IMPOSTAZIONI!$H$383))))</f>
        <v/>
      </c>
      <c r="H99" s="91" t="str">
        <f>IF(AND(SUM(H97:H98)&lt;&gt;0,H152=0),$L$152,IF(H152=0,"",IF(H97=0,IMPOSTAZIONI!$J$383,IF((H97+H98)&lt;&gt;H96,IMPOSTAZIONI!$M$383,IMPOSTAZIONI!$H$383))))</f>
        <v/>
      </c>
      <c r="I99" s="91"/>
      <c r="J99" s="91"/>
      <c r="K99" s="91" t="str">
        <f>IF(AND(SUM(K97:K98)&lt;&gt;0,I152=0),$L$152,IF(I152=0,"",IF(K97=0,IMPOSTAZIONI!$J$383,IF((K97+K98)&lt;&gt;K96,IMPOSTAZIONI!$M$383,IMPOSTAZIONI!$H$383))))</f>
        <v/>
      </c>
      <c r="L99" s="91"/>
      <c r="M99" s="91"/>
      <c r="N99" s="91" t="str">
        <f>IF(AND(SUM(N97:N98)&lt;&gt;0,J152=0),$L$152,IF(J152=0,"",IF(N97=0,IMPOSTAZIONI!$J$383,IF((N97+N98)&lt;&gt;N96,IMPOSTAZIONI!$M$383,IMPOSTAZIONI!$H$383))))</f>
        <v/>
      </c>
      <c r="O99" s="10"/>
      <c r="P99" s="10"/>
      <c r="Q99" s="2"/>
      <c r="R99" s="2"/>
      <c r="S99" s="2"/>
      <c r="T99" s="2"/>
      <c r="U99" s="2"/>
      <c r="V99" s="591"/>
      <c r="W99" s="591"/>
      <c r="X99" s="591"/>
      <c r="Y99" s="591"/>
      <c r="Z99" s="591"/>
      <c r="AA99" s="591"/>
      <c r="AB99" s="591"/>
      <c r="AC99" s="591"/>
      <c r="AG99" s="591"/>
      <c r="AH99" s="591"/>
      <c r="AI99" s="591"/>
      <c r="AJ99" s="591"/>
      <c r="AK99" s="591"/>
      <c r="AM99" s="591"/>
      <c r="AN99" s="591"/>
      <c r="AO99" s="591"/>
      <c r="AP99" s="591"/>
      <c r="AQ99" s="591"/>
      <c r="AS99" s="591"/>
      <c r="AT99" s="591"/>
      <c r="AU99" s="591"/>
      <c r="AV99" s="591"/>
      <c r="AW99" s="591"/>
      <c r="AY99" s="591"/>
    </row>
    <row r="100" spans="1:51" ht="21" customHeight="1" x14ac:dyDescent="0.2">
      <c r="A100" s="2"/>
      <c r="B100" s="2"/>
      <c r="C100" s="2116" t="s">
        <v>354</v>
      </c>
      <c r="D100" s="2116"/>
      <c r="E100" s="2116"/>
      <c r="F100" s="2116"/>
      <c r="G100" s="2"/>
      <c r="H100" s="2"/>
      <c r="I100" s="2"/>
      <c r="J100" s="2"/>
      <c r="K100" s="2"/>
      <c r="L100" s="2"/>
      <c r="M100" s="2"/>
      <c r="N100" s="2"/>
      <c r="O100" s="2"/>
      <c r="P100" s="2"/>
      <c r="Q100" s="2"/>
      <c r="R100" s="2"/>
      <c r="S100" s="2"/>
      <c r="T100" s="128" t="s">
        <v>783</v>
      </c>
      <c r="U100" s="2"/>
      <c r="V100" s="591"/>
      <c r="W100" s="591"/>
      <c r="X100" s="591"/>
      <c r="Y100" s="591"/>
      <c r="Z100" s="591"/>
      <c r="AA100" s="591"/>
      <c r="AB100" s="591"/>
      <c r="AC100" s="591"/>
      <c r="AG100" s="591"/>
      <c r="AH100" s="591"/>
      <c r="AI100" s="591"/>
      <c r="AJ100" s="591"/>
      <c r="AK100" s="591"/>
      <c r="AM100" s="591"/>
      <c r="AN100" s="591"/>
      <c r="AO100" s="591"/>
      <c r="AP100" s="591"/>
      <c r="AQ100" s="591"/>
      <c r="AS100" s="591"/>
      <c r="AT100" s="591"/>
      <c r="AU100" s="591"/>
      <c r="AV100" s="591"/>
      <c r="AW100" s="591"/>
      <c r="AY100" s="591"/>
    </row>
    <row r="101" spans="1:51" ht="16.5" customHeight="1" x14ac:dyDescent="0.2">
      <c r="A101" s="2"/>
      <c r="B101" s="18" t="e">
        <f>VERIFICA!#REF!</f>
        <v>#REF!</v>
      </c>
      <c r="C101" s="2106" t="str">
        <f>IF(AND(RIEPILOGO!B8="",SUM(G101:N101)&gt;0),"ERROR",RIEPILOGO!B8)</f>
        <v>Aliquota 22 %</v>
      </c>
      <c r="D101" s="2106"/>
      <c r="E101" s="2106"/>
      <c r="F101" s="2106"/>
      <c r="G101" s="236"/>
      <c r="H101" s="236"/>
      <c r="I101" s="658"/>
      <c r="J101" s="658"/>
      <c r="K101" s="236"/>
      <c r="L101" s="658"/>
      <c r="M101" s="658"/>
      <c r="N101" s="236"/>
      <c r="O101" s="2218" t="s">
        <v>349</v>
      </c>
      <c r="P101" s="2218"/>
      <c r="Q101" s="12"/>
      <c r="R101" s="93">
        <f>SUM(G101:N101)</f>
        <v>0</v>
      </c>
      <c r="S101" s="93">
        <f>SUMIF($G$42:N$42,K$134,$G101:N101)</f>
        <v>0</v>
      </c>
      <c r="T101" s="1110" t="e">
        <f>S101/R101*100</f>
        <v>#DIV/0!</v>
      </c>
      <c r="U101" s="2"/>
      <c r="V101" s="591"/>
      <c r="W101" s="591"/>
      <c r="X101" s="591"/>
      <c r="Y101" s="591"/>
      <c r="Z101" s="591"/>
      <c r="AA101" s="591"/>
      <c r="AB101" s="591"/>
      <c r="AC101" s="591"/>
      <c r="AG101" s="591"/>
      <c r="AH101" s="591"/>
      <c r="AI101" s="591"/>
      <c r="AJ101" s="591"/>
      <c r="AK101" s="591"/>
      <c r="AM101" s="591"/>
      <c r="AN101" s="591"/>
      <c r="AO101" s="591"/>
      <c r="AP101" s="591"/>
      <c r="AQ101" s="591"/>
      <c r="AS101" s="591"/>
      <c r="AT101" s="591"/>
      <c r="AU101" s="591"/>
      <c r="AV101" s="591"/>
      <c r="AW101" s="591"/>
      <c r="AY101" s="591"/>
    </row>
    <row r="102" spans="1:51" ht="16.5" customHeight="1" x14ac:dyDescent="0.2">
      <c r="A102" s="2"/>
      <c r="B102" s="18" t="e">
        <f>VERIFICA!#REF!</f>
        <v>#REF!</v>
      </c>
      <c r="C102" s="2106" t="str">
        <f>IF(AND(RIEPILOGO!B9="",SUM(G102:N102)&gt;0),"ERROR",RIEPILOGO!B9)</f>
        <v>Aliquota 10 %</v>
      </c>
      <c r="D102" s="2106"/>
      <c r="E102" s="2106"/>
      <c r="F102" s="2106"/>
      <c r="G102" s="237"/>
      <c r="H102" s="237"/>
      <c r="I102" s="658"/>
      <c r="J102" s="658"/>
      <c r="K102" s="237"/>
      <c r="L102" s="658"/>
      <c r="M102" s="658"/>
      <c r="N102" s="237"/>
      <c r="O102" s="2218" t="s">
        <v>349</v>
      </c>
      <c r="P102" s="2218"/>
      <c r="Q102" s="12"/>
      <c r="R102" s="94">
        <f>SUM(G102:N102)</f>
        <v>0</v>
      </c>
      <c r="S102" s="94">
        <f>SUMIF($G$42:N$42,K$134,$G102:N102)</f>
        <v>0</v>
      </c>
      <c r="T102" s="1110" t="e">
        <f>S102/R102*100</f>
        <v>#DIV/0!</v>
      </c>
      <c r="U102" s="2"/>
      <c r="V102" s="591"/>
      <c r="W102" s="591"/>
      <c r="X102" s="591"/>
      <c r="Y102" s="591"/>
      <c r="Z102" s="591"/>
      <c r="AA102" s="591"/>
      <c r="AB102" s="591"/>
      <c r="AC102" s="591"/>
      <c r="AG102" s="591"/>
      <c r="AH102" s="591"/>
      <c r="AI102" s="591"/>
      <c r="AJ102" s="591"/>
      <c r="AK102" s="591"/>
      <c r="AM102" s="591"/>
      <c r="AN102" s="591"/>
      <c r="AO102" s="591"/>
      <c r="AP102" s="591"/>
      <c r="AQ102" s="591"/>
      <c r="AS102" s="591"/>
      <c r="AT102" s="591"/>
      <c r="AU102" s="591"/>
      <c r="AV102" s="591"/>
      <c r="AW102" s="591"/>
      <c r="AY102" s="591"/>
    </row>
    <row r="103" spans="1:51" ht="16.5" customHeight="1" x14ac:dyDescent="0.2">
      <c r="A103" s="2"/>
      <c r="B103" s="18" t="e">
        <f>VERIFICA!#REF!</f>
        <v>#REF!</v>
      </c>
      <c r="C103" s="2106" t="str">
        <f>IF(AND(RIEPILOGO!B10="",SUM(G103:N103)&gt;0),"ERROR",RIEPILOGO!B10)</f>
        <v>Aliquota 4 %</v>
      </c>
      <c r="D103" s="2106"/>
      <c r="E103" s="2106"/>
      <c r="F103" s="2106"/>
      <c r="G103" s="304"/>
      <c r="H103" s="304"/>
      <c r="I103" s="658"/>
      <c r="J103" s="658"/>
      <c r="K103" s="304"/>
      <c r="L103" s="658"/>
      <c r="M103" s="658"/>
      <c r="N103" s="304"/>
      <c r="O103" s="2218" t="s">
        <v>349</v>
      </c>
      <c r="P103" s="2218"/>
      <c r="Q103" s="12"/>
      <c r="R103" s="94">
        <f>SUM(G103:N103)</f>
        <v>0</v>
      </c>
      <c r="S103" s="94">
        <f>SUMIF($G$42:N$42,K$134,$G103:N103)</f>
        <v>0</v>
      </c>
      <c r="T103" s="1110" t="e">
        <f>S103/R103*100</f>
        <v>#DIV/0!</v>
      </c>
      <c r="U103" s="2"/>
      <c r="V103" s="591"/>
      <c r="W103" s="591"/>
      <c r="X103" s="591"/>
      <c r="Y103" s="591"/>
      <c r="Z103" s="591"/>
      <c r="AA103" s="591"/>
      <c r="AB103" s="591"/>
      <c r="AC103" s="591"/>
      <c r="AG103" s="591"/>
      <c r="AH103" s="591"/>
      <c r="AI103" s="591"/>
      <c r="AJ103" s="591"/>
      <c r="AK103" s="591"/>
      <c r="AM103" s="591"/>
      <c r="AN103" s="591"/>
      <c r="AO103" s="591"/>
      <c r="AP103" s="591"/>
      <c r="AQ103" s="591"/>
      <c r="AS103" s="591"/>
      <c r="AT103" s="591"/>
      <c r="AU103" s="591"/>
      <c r="AV103" s="591"/>
      <c r="AW103" s="591"/>
      <c r="AY103" s="591"/>
    </row>
    <row r="104" spans="1:51" ht="16.5" customHeight="1" x14ac:dyDescent="0.2">
      <c r="A104" s="2"/>
      <c r="B104" s="18" t="e">
        <f>VERIFICA!#REF!</f>
        <v>#REF!</v>
      </c>
      <c r="C104" s="2106" t="str">
        <f>IF(AND(RIEPILOGO!B11="",SUM(G104:N104)&gt;0),"ERROR",RIEPILOGO!B11)</f>
        <v/>
      </c>
      <c r="D104" s="2106"/>
      <c r="E104" s="2106"/>
      <c r="F104" s="2106"/>
      <c r="G104" s="304"/>
      <c r="H104" s="660"/>
      <c r="I104" s="659"/>
      <c r="J104" s="659"/>
      <c r="K104" s="660"/>
      <c r="L104" s="659"/>
      <c r="M104" s="659"/>
      <c r="N104" s="660"/>
      <c r="O104" s="2217" t="s">
        <v>349</v>
      </c>
      <c r="P104" s="2217"/>
      <c r="Q104" s="12"/>
      <c r="R104" s="95">
        <f>SUM(G104:N104)</f>
        <v>0</v>
      </c>
      <c r="S104" s="95">
        <f>SUMIF($G$42:N$42,K$134,$G104:N104)</f>
        <v>0</v>
      </c>
      <c r="T104" s="1110" t="e">
        <f>S104/R104*100</f>
        <v>#DIV/0!</v>
      </c>
      <c r="U104" s="2"/>
      <c r="V104" s="591"/>
      <c r="W104" s="591"/>
      <c r="X104" s="591"/>
      <c r="Y104" s="591"/>
      <c r="Z104" s="591"/>
      <c r="AA104" s="591"/>
      <c r="AB104" s="591"/>
      <c r="AC104" s="591"/>
      <c r="AG104" s="591"/>
      <c r="AH104" s="591"/>
      <c r="AI104" s="591"/>
      <c r="AJ104" s="591"/>
      <c r="AK104" s="591"/>
      <c r="AM104" s="591"/>
      <c r="AN104" s="591"/>
      <c r="AO104" s="591"/>
      <c r="AP104" s="591"/>
      <c r="AQ104" s="591"/>
      <c r="AS104" s="591"/>
      <c r="AT104" s="591"/>
      <c r="AU104" s="591"/>
      <c r="AV104" s="591"/>
      <c r="AW104" s="591"/>
      <c r="AY104" s="591"/>
    </row>
    <row r="105" spans="1:51" ht="15" customHeight="1" x14ac:dyDescent="0.2">
      <c r="A105" s="2"/>
      <c r="B105" s="2"/>
      <c r="C105" s="10"/>
      <c r="D105" s="10"/>
      <c r="E105" s="10"/>
      <c r="F105" s="10"/>
      <c r="G105" s="91" t="str">
        <f>IF(AND(SUM(G101:G104)&lt;&gt;0,G152=0),$L$152,IF(G152=0,"",IF(SUM(G101:G104)&lt;&gt;G98,IMPOSTAZIONI!$J$383,IF(SUM(G101:G104)&lt;&gt;G98,IMPOSTAZIONI!$M$383,IMPOSTAZIONI!$H$383))))</f>
        <v/>
      </c>
      <c r="H105" s="91" t="str">
        <f>IF(AND(SUM(H101:H104)&lt;&gt;0,H152=0),$L$152,IF(H152=0,"",IF(SUM(H101:H104)&lt;&gt;H98,IMPOSTAZIONI!$J$383,IF(SUM(H101:H104)&lt;&gt;H98,IMPOSTAZIONI!$M$383,IMPOSTAZIONI!$H$383))))</f>
        <v/>
      </c>
      <c r="I105" s="91"/>
      <c r="J105" s="91"/>
      <c r="K105" s="91" t="str">
        <f>IF(AND(SUM(K101:K104)&lt;&gt;0,I152=0),$L$152,IF(I152=0,"",IF(SUM(K101:K104)&lt;&gt;K98,IMPOSTAZIONI!$J$383,IF(SUM(K101:K104)&lt;&gt;K98,IMPOSTAZIONI!$M$383,IMPOSTAZIONI!$H$383))))</f>
        <v/>
      </c>
      <c r="L105" s="91"/>
      <c r="M105" s="91"/>
      <c r="N105" s="91" t="str">
        <f>IF(AND(SUM(N101:N104)&lt;&gt;0,J152=0),$L$152,IF(J152=0,"",IF(SUM(N101:N104)&lt;&gt;N98,IMPOSTAZIONI!$J$383,IF(SUM(N101:N104)&lt;&gt;N98,IMPOSTAZIONI!$M$383,IMPOSTAZIONI!$H$383))))</f>
        <v/>
      </c>
      <c r="O105" s="10"/>
      <c r="P105" s="10"/>
      <c r="Q105" s="2"/>
      <c r="R105" s="2"/>
      <c r="S105" s="2"/>
      <c r="T105" s="2"/>
      <c r="U105" s="2"/>
      <c r="V105" s="591"/>
      <c r="W105" s="591"/>
      <c r="X105" s="591"/>
      <c r="Y105" s="591"/>
      <c r="Z105" s="591"/>
      <c r="AA105" s="591"/>
      <c r="AB105" s="591"/>
      <c r="AC105" s="591"/>
      <c r="AG105" s="591"/>
      <c r="AH105" s="591"/>
      <c r="AI105" s="591"/>
      <c r="AJ105" s="591"/>
      <c r="AK105" s="591"/>
      <c r="AM105" s="591"/>
      <c r="AN105" s="591"/>
      <c r="AO105" s="591"/>
      <c r="AP105" s="591"/>
      <c r="AQ105" s="591"/>
      <c r="AS105" s="591"/>
      <c r="AT105" s="591"/>
      <c r="AU105" s="591"/>
      <c r="AV105" s="591"/>
      <c r="AW105" s="591"/>
      <c r="AY105" s="591"/>
    </row>
    <row r="106" spans="1:51" ht="21" customHeight="1" x14ac:dyDescent="0.2">
      <c r="A106" s="2"/>
      <c r="B106" s="2"/>
      <c r="C106" s="2"/>
      <c r="D106" s="2"/>
      <c r="E106" s="2"/>
      <c r="F106" s="2"/>
      <c r="G106" s="2"/>
      <c r="H106" s="2"/>
      <c r="I106" s="2"/>
      <c r="J106" s="2"/>
      <c r="K106" s="2"/>
      <c r="L106" s="2"/>
      <c r="M106" s="2"/>
      <c r="N106" s="2"/>
      <c r="O106" s="2"/>
      <c r="P106" s="2"/>
      <c r="Q106" s="2"/>
      <c r="R106" s="2"/>
      <c r="S106" s="2"/>
      <c r="T106" s="2"/>
      <c r="U106" s="2"/>
      <c r="V106" s="591"/>
      <c r="W106" s="591"/>
      <c r="X106" s="591"/>
      <c r="Y106" s="591"/>
      <c r="Z106" s="591"/>
      <c r="AA106" s="591"/>
      <c r="AB106" s="591"/>
      <c r="AC106" s="591"/>
      <c r="AG106" s="591"/>
      <c r="AH106" s="591"/>
      <c r="AI106" s="591"/>
      <c r="AJ106" s="591"/>
      <c r="AK106" s="591"/>
      <c r="AM106" s="591"/>
      <c r="AN106" s="591"/>
      <c r="AO106" s="591"/>
      <c r="AP106" s="591"/>
      <c r="AQ106" s="591"/>
      <c r="AS106" s="591"/>
      <c r="AT106" s="591"/>
      <c r="AU106" s="591"/>
      <c r="AV106" s="591"/>
      <c r="AW106" s="591"/>
      <c r="AY106" s="591"/>
    </row>
    <row r="107" spans="1:51" ht="21" customHeight="1" x14ac:dyDescent="0.2">
      <c r="A107" s="2"/>
      <c r="B107" s="2"/>
      <c r="C107" s="2"/>
      <c r="D107" s="2"/>
      <c r="E107" s="2"/>
      <c r="F107" s="278" t="s">
        <v>324</v>
      </c>
      <c r="G107" s="2"/>
      <c r="H107" s="2"/>
      <c r="I107" s="256"/>
      <c r="J107" s="256"/>
      <c r="K107" s="256"/>
      <c r="L107" s="2"/>
      <c r="M107" s="2"/>
      <c r="N107" s="2"/>
      <c r="O107" s="2"/>
      <c r="P107" s="2"/>
      <c r="Q107" s="2"/>
      <c r="R107" s="2"/>
      <c r="S107" s="2"/>
      <c r="T107" s="2"/>
      <c r="U107" s="2"/>
      <c r="V107" s="591"/>
      <c r="W107" s="591"/>
      <c r="X107" s="591"/>
      <c r="Y107" s="591"/>
      <c r="Z107" s="591"/>
      <c r="AA107" s="591"/>
      <c r="AB107" s="591"/>
      <c r="AC107" s="591"/>
      <c r="AG107" s="591"/>
      <c r="AH107" s="591"/>
      <c r="AI107" s="591"/>
      <c r="AJ107" s="591"/>
      <c r="AK107" s="591"/>
      <c r="AM107" s="591"/>
      <c r="AN107" s="591"/>
      <c r="AO107" s="591"/>
      <c r="AP107" s="591"/>
      <c r="AQ107" s="591"/>
      <c r="AS107" s="591"/>
      <c r="AT107" s="591"/>
      <c r="AU107" s="591"/>
      <c r="AV107" s="591"/>
      <c r="AW107" s="591"/>
      <c r="AY107" s="591"/>
    </row>
    <row r="108" spans="1:51" ht="18.75" customHeight="1" x14ac:dyDescent="0.2">
      <c r="A108" s="2"/>
      <c r="B108" s="2"/>
      <c r="C108" s="2"/>
      <c r="D108" s="2"/>
      <c r="E108" s="2"/>
      <c r="F108" s="763" t="s">
        <v>735</v>
      </c>
      <c r="G108" s="763"/>
      <c r="H108" s="763"/>
      <c r="I108" s="763"/>
      <c r="J108" s="2"/>
      <c r="K108" s="666">
        <f>E7</f>
        <v>0</v>
      </c>
      <c r="L108" s="2245">
        <f>K108-(SUM(G7:H7)+K7+N7)+SUMIF(G42:N42,K134,G7:N7)</f>
        <v>0</v>
      </c>
      <c r="M108" s="2246"/>
      <c r="N108" s="1045" t="s">
        <v>492</v>
      </c>
      <c r="O108" s="2"/>
      <c r="P108" s="2"/>
      <c r="Q108" s="2"/>
      <c r="R108" s="2"/>
      <c r="S108" s="2"/>
      <c r="T108" s="2"/>
      <c r="U108" s="2"/>
      <c r="V108" s="591"/>
      <c r="W108" s="591"/>
      <c r="X108" s="591"/>
      <c r="Y108" s="591"/>
      <c r="Z108" s="591"/>
      <c r="AA108" s="591"/>
      <c r="AB108" s="591"/>
      <c r="AC108" s="591"/>
      <c r="AG108" s="591"/>
      <c r="AH108" s="591"/>
      <c r="AI108" s="591"/>
      <c r="AJ108" s="591"/>
      <c r="AK108" s="591"/>
      <c r="AM108" s="591"/>
      <c r="AN108" s="591"/>
      <c r="AO108" s="591"/>
      <c r="AP108" s="591"/>
      <c r="AQ108" s="591"/>
      <c r="AS108" s="591"/>
      <c r="AT108" s="591"/>
      <c r="AU108" s="591"/>
      <c r="AV108" s="591"/>
      <c r="AW108" s="591"/>
      <c r="AY108" s="591"/>
    </row>
    <row r="109" spans="1:51" ht="18.75" customHeight="1" x14ac:dyDescent="0.2">
      <c r="A109" s="2"/>
      <c r="B109" s="2"/>
      <c r="C109" s="2"/>
      <c r="D109" s="2"/>
      <c r="E109" s="2"/>
      <c r="F109" s="764" t="s">
        <v>736</v>
      </c>
      <c r="G109" s="764"/>
      <c r="H109" s="764"/>
      <c r="I109" s="764"/>
      <c r="J109" s="2"/>
      <c r="K109" s="279">
        <f>E39</f>
        <v>0</v>
      </c>
      <c r="L109" s="2247">
        <f>K109-(SUM(G39:H39)+K39+N39)+SUMIF(G42:N42,K134,G39:N39)</f>
        <v>0</v>
      </c>
      <c r="M109" s="2248"/>
      <c r="N109" s="1046" t="s">
        <v>493</v>
      </c>
      <c r="O109" s="2"/>
      <c r="P109" s="2"/>
      <c r="Q109" s="2"/>
      <c r="R109" s="2"/>
      <c r="S109" s="2"/>
      <c r="T109" s="2"/>
      <c r="U109" s="2"/>
      <c r="V109" s="591"/>
      <c r="W109" s="591"/>
      <c r="X109" s="591"/>
      <c r="Y109" s="591"/>
      <c r="Z109" s="591"/>
      <c r="AA109" s="591"/>
      <c r="AB109" s="591"/>
      <c r="AC109" s="591"/>
      <c r="AG109" s="591"/>
      <c r="AH109" s="591"/>
      <c r="AI109" s="591"/>
      <c r="AJ109" s="591"/>
      <c r="AK109" s="591"/>
      <c r="AM109" s="591"/>
      <c r="AN109" s="591"/>
      <c r="AO109" s="591"/>
      <c r="AP109" s="591"/>
      <c r="AQ109" s="591"/>
      <c r="AS109" s="591"/>
      <c r="AT109" s="591"/>
      <c r="AU109" s="591"/>
      <c r="AV109" s="591"/>
      <c r="AW109" s="591"/>
      <c r="AY109" s="591"/>
    </row>
    <row r="110" spans="1:51" ht="19.5" customHeight="1" x14ac:dyDescent="0.25">
      <c r="A110" s="2"/>
      <c r="B110" s="2"/>
      <c r="C110" s="2"/>
      <c r="D110" s="2"/>
      <c r="E110" s="2"/>
      <c r="F110" s="661" t="s">
        <v>485</v>
      </c>
      <c r="G110" s="661"/>
      <c r="H110" s="661"/>
      <c r="I110" s="661"/>
      <c r="J110" s="2"/>
      <c r="K110" s="661"/>
      <c r="L110" s="668"/>
      <c r="M110" s="662"/>
      <c r="N110" s="2"/>
      <c r="O110" s="2"/>
      <c r="P110" s="2"/>
      <c r="Q110" s="2"/>
      <c r="R110" s="2"/>
      <c r="S110" s="2"/>
      <c r="T110" s="2"/>
      <c r="U110" s="2"/>
      <c r="V110" s="591"/>
      <c r="W110" s="591"/>
      <c r="X110" s="591"/>
      <c r="Y110" s="591"/>
      <c r="Z110" s="591"/>
      <c r="AA110" s="591"/>
      <c r="AB110" s="591"/>
      <c r="AC110" s="591"/>
      <c r="AG110" s="591"/>
      <c r="AH110" s="591"/>
      <c r="AI110" s="591"/>
      <c r="AJ110" s="591"/>
      <c r="AK110" s="591"/>
      <c r="AM110" s="591"/>
      <c r="AN110" s="591"/>
      <c r="AO110" s="591"/>
      <c r="AP110" s="591"/>
      <c r="AQ110" s="591"/>
      <c r="AS110" s="591"/>
      <c r="AT110" s="591"/>
      <c r="AU110" s="591"/>
      <c r="AV110" s="591"/>
      <c r="AW110" s="591"/>
      <c r="AY110" s="591"/>
    </row>
    <row r="111" spans="1:51" ht="19.5" customHeight="1" x14ac:dyDescent="0.2">
      <c r="A111" s="2"/>
      <c r="B111" s="2"/>
      <c r="C111" s="2"/>
      <c r="D111" s="2"/>
      <c r="E111" s="2"/>
      <c r="F111" s="663" t="s">
        <v>480</v>
      </c>
      <c r="G111" s="663"/>
      <c r="H111" s="663"/>
      <c r="I111" s="663"/>
      <c r="J111" s="2"/>
      <c r="K111" s="663"/>
      <c r="L111" s="669"/>
      <c r="M111" s="664"/>
      <c r="N111" s="2"/>
      <c r="O111" s="2"/>
      <c r="P111" s="2"/>
      <c r="Q111" s="2"/>
      <c r="R111" s="2"/>
      <c r="S111" s="2"/>
      <c r="T111" s="2"/>
      <c r="U111" s="2"/>
      <c r="V111" s="591"/>
      <c r="W111" s="591"/>
      <c r="X111" s="591"/>
      <c r="Y111" s="591"/>
      <c r="Z111" s="591"/>
      <c r="AA111" s="591"/>
      <c r="AB111" s="591"/>
      <c r="AC111" s="591"/>
      <c r="AG111" s="591"/>
      <c r="AH111" s="591"/>
      <c r="AI111" s="591"/>
      <c r="AJ111" s="591"/>
      <c r="AK111" s="591"/>
      <c r="AM111" s="591"/>
      <c r="AN111" s="591"/>
      <c r="AO111" s="591"/>
      <c r="AP111" s="591"/>
      <c r="AQ111" s="591"/>
      <c r="AS111" s="591"/>
      <c r="AT111" s="591"/>
      <c r="AU111" s="591"/>
      <c r="AV111" s="591"/>
      <c r="AW111" s="591"/>
      <c r="AY111" s="591"/>
    </row>
    <row r="112" spans="1:51" ht="21" customHeight="1" x14ac:dyDescent="0.2">
      <c r="A112" s="2"/>
      <c r="B112" s="2"/>
      <c r="C112" s="2"/>
      <c r="D112" s="2"/>
      <c r="E112" s="2"/>
      <c r="F112" s="104" t="s">
        <v>97</v>
      </c>
      <c r="G112" s="104"/>
      <c r="H112" s="104"/>
      <c r="I112" s="104"/>
      <c r="J112" s="2"/>
      <c r="K112" s="104"/>
      <c r="L112" s="484"/>
      <c r="M112" s="665"/>
      <c r="N112" s="2"/>
      <c r="O112" s="2"/>
      <c r="P112" s="2"/>
      <c r="Q112" s="2"/>
      <c r="R112" s="2"/>
      <c r="S112" s="2"/>
      <c r="T112" s="2"/>
      <c r="U112" s="2"/>
      <c r="V112" s="591"/>
      <c r="W112" s="591"/>
      <c r="X112" s="591"/>
      <c r="Y112" s="591"/>
      <c r="Z112" s="591"/>
      <c r="AA112" s="591"/>
      <c r="AB112" s="591"/>
      <c r="AC112" s="591"/>
      <c r="AG112" s="591"/>
      <c r="AH112" s="591"/>
      <c r="AI112" s="591"/>
      <c r="AJ112" s="591"/>
      <c r="AK112" s="591"/>
      <c r="AM112" s="591"/>
      <c r="AN112" s="591"/>
      <c r="AO112" s="591"/>
      <c r="AP112" s="591"/>
      <c r="AQ112" s="591"/>
      <c r="AS112" s="591"/>
      <c r="AT112" s="591"/>
      <c r="AU112" s="591"/>
      <c r="AV112" s="591"/>
      <c r="AW112" s="591"/>
      <c r="AY112" s="591"/>
    </row>
    <row r="113" spans="1:51" ht="12" customHeight="1" x14ac:dyDescent="0.2">
      <c r="A113" s="2"/>
      <c r="B113" s="2"/>
      <c r="C113" s="2"/>
      <c r="D113" s="2"/>
      <c r="E113" s="2"/>
      <c r="F113" s="2"/>
      <c r="G113" s="2"/>
      <c r="H113" s="2"/>
      <c r="I113" s="2"/>
      <c r="J113" s="2"/>
      <c r="K113" s="2"/>
      <c r="L113" s="14"/>
      <c r="M113" s="139"/>
      <c r="N113" s="2"/>
      <c r="O113" s="2"/>
      <c r="P113" s="2"/>
      <c r="Q113" s="2"/>
      <c r="R113" s="2"/>
      <c r="S113" s="2"/>
      <c r="T113" s="2"/>
      <c r="U113" s="2"/>
      <c r="V113" s="591"/>
      <c r="W113" s="591"/>
      <c r="X113" s="591"/>
      <c r="Y113" s="591"/>
      <c r="Z113" s="591"/>
      <c r="AA113" s="591"/>
      <c r="AB113" s="591"/>
      <c r="AC113" s="591"/>
      <c r="AG113" s="591"/>
      <c r="AH113" s="591"/>
      <c r="AI113" s="591"/>
      <c r="AJ113" s="591"/>
      <c r="AK113" s="591"/>
      <c r="AM113" s="591"/>
      <c r="AN113" s="591"/>
      <c r="AO113" s="591"/>
      <c r="AP113" s="591"/>
      <c r="AQ113" s="591"/>
      <c r="AS113" s="591"/>
      <c r="AT113" s="591"/>
      <c r="AU113" s="591"/>
      <c r="AV113" s="591"/>
      <c r="AW113" s="591"/>
      <c r="AY113" s="591"/>
    </row>
    <row r="114" spans="1:51" ht="15" hidden="1" customHeight="1" x14ac:dyDescent="0.2">
      <c r="A114" s="2"/>
      <c r="B114" s="2"/>
      <c r="C114" s="2"/>
      <c r="D114" s="2"/>
      <c r="E114" s="2"/>
      <c r="F114" s="2"/>
      <c r="G114" s="103">
        <f>IF(ISERROR(G$135),HLOOKUP(L$138,$J$138:$L$138,1,FALSE),HLOOKUP(G$135,$G$129:$I129,1,FALSE))</f>
        <v>3</v>
      </c>
      <c r="H114" s="103">
        <f>IF(ISERROR(H$135),HLOOKUP(K$138,$J$138:$L$138,1,FALSE),HLOOKUP(H$135,$G$129:$I129,1,FALSE))</f>
        <v>2</v>
      </c>
      <c r="I114" s="2053">
        <f>IF(ISERROR(I$135),HLOOKUP(J$138,$J$138:$L$138,1,FALSE),HLOOKUP(I$135,$G$129:$I129,1,FALSE))</f>
        <v>1</v>
      </c>
      <c r="J114" s="2053"/>
      <c r="K114" s="2"/>
      <c r="L114" s="14"/>
      <c r="M114" s="139"/>
      <c r="N114" s="2"/>
      <c r="O114" s="2"/>
      <c r="P114" s="2"/>
      <c r="Q114" s="2"/>
      <c r="R114" s="2"/>
      <c r="S114" s="2"/>
      <c r="T114" s="2"/>
      <c r="U114" s="2"/>
      <c r="V114" s="591"/>
      <c r="W114" s="591"/>
      <c r="X114" s="591"/>
      <c r="Y114" s="591"/>
      <c r="Z114" s="591"/>
      <c r="AA114" s="591"/>
      <c r="AB114" s="591"/>
      <c r="AC114" s="591"/>
      <c r="AG114" s="591"/>
      <c r="AH114" s="591"/>
      <c r="AI114" s="591"/>
      <c r="AJ114" s="591"/>
      <c r="AK114" s="591"/>
      <c r="AM114" s="591"/>
      <c r="AN114" s="591"/>
      <c r="AO114" s="591"/>
      <c r="AP114" s="591"/>
      <c r="AQ114" s="591"/>
      <c r="AS114" s="591"/>
      <c r="AT114" s="591"/>
      <c r="AU114" s="591"/>
      <c r="AV114" s="591"/>
      <c r="AW114" s="591"/>
      <c r="AY114" s="591"/>
    </row>
    <row r="115" spans="1:51" ht="21" hidden="1" customHeight="1" x14ac:dyDescent="0.2">
      <c r="A115" s="2"/>
      <c r="B115" s="2"/>
      <c r="C115" s="2"/>
      <c r="D115" s="2"/>
      <c r="E115" s="2"/>
      <c r="F115" s="2"/>
      <c r="G115" s="129">
        <f>IF(ISERROR(G$135),0,HLOOKUP(G$135,$G$129:$I130,2,FALSE))</f>
        <v>0</v>
      </c>
      <c r="H115" s="129">
        <f>IF(ISERROR(H$135),0,HLOOKUP(H$135,$G$129:$I130,2,FALSE))</f>
        <v>0</v>
      </c>
      <c r="I115" s="2244">
        <f>IF(ISERROR(I$135),0,HLOOKUP(I$135,$G$129:$I130,2,FALSE))</f>
        <v>0</v>
      </c>
      <c r="J115" s="2244"/>
      <c r="K115" s="2"/>
      <c r="L115" s="14"/>
      <c r="M115" s="139"/>
      <c r="N115" s="2"/>
      <c r="O115" s="2"/>
      <c r="P115" s="2"/>
      <c r="Q115" s="2"/>
      <c r="R115" s="2"/>
      <c r="S115" s="2"/>
      <c r="T115" s="2"/>
      <c r="U115" s="2"/>
      <c r="V115" s="591"/>
      <c r="W115" s="591"/>
      <c r="X115" s="591"/>
      <c r="Y115" s="591"/>
      <c r="Z115" s="591"/>
      <c r="AA115" s="591"/>
      <c r="AB115" s="591"/>
      <c r="AC115" s="591"/>
      <c r="AG115" s="591"/>
      <c r="AH115" s="591"/>
      <c r="AI115" s="591"/>
      <c r="AJ115" s="591"/>
      <c r="AK115" s="591"/>
      <c r="AM115" s="591"/>
      <c r="AN115" s="591"/>
      <c r="AO115" s="591"/>
      <c r="AP115" s="591"/>
      <c r="AQ115" s="591"/>
      <c r="AS115" s="591"/>
      <c r="AT115" s="591"/>
      <c r="AU115" s="591"/>
      <c r="AV115" s="591"/>
      <c r="AW115" s="591"/>
      <c r="AY115" s="591"/>
    </row>
    <row r="116" spans="1:51" ht="18" customHeight="1" x14ac:dyDescent="0.2">
      <c r="A116" s="2"/>
      <c r="B116" s="2"/>
      <c r="C116" s="2"/>
      <c r="D116" s="2"/>
      <c r="E116" s="2"/>
      <c r="F116" s="2"/>
      <c r="G116" s="280">
        <f>IF(ISERROR(G$135),HLOOKUP(L$138,$J$138:$L140,3,FALSE),HLOOKUP(G$135,$G$129:$I131,3,FALSE))</f>
        <v>0</v>
      </c>
      <c r="H116" s="280">
        <f>IF(ISERROR(H$135),HLOOKUP(K$138,$J$138:$L140,3,FALSE),HLOOKUP(H$135,$G$129:$I131,3,FALSE))</f>
        <v>0</v>
      </c>
      <c r="I116" s="2249">
        <f>IF(ISERROR(I$135),HLOOKUP(J$138,$J$138:$L140,3,FALSE),HLOOKUP(I$135,$G$129:$I131,3,FALSE))</f>
        <v>0</v>
      </c>
      <c r="J116" s="2250"/>
      <c r="K116" s="2"/>
      <c r="L116" s="14"/>
      <c r="M116" s="139"/>
      <c r="N116" s="2"/>
      <c r="O116" s="2"/>
      <c r="P116" s="2"/>
      <c r="Q116" s="2"/>
      <c r="R116" s="2"/>
      <c r="S116" s="2"/>
      <c r="T116" s="2"/>
      <c r="U116" s="2"/>
      <c r="V116" s="591"/>
      <c r="W116" s="591"/>
      <c r="X116" s="591"/>
      <c r="Y116" s="591"/>
      <c r="Z116" s="591"/>
      <c r="AA116" s="591"/>
      <c r="AB116" s="591"/>
      <c r="AC116" s="591"/>
      <c r="AG116" s="591"/>
      <c r="AH116" s="591"/>
      <c r="AI116" s="591"/>
      <c r="AJ116" s="591"/>
      <c r="AK116" s="591"/>
      <c r="AM116" s="591"/>
      <c r="AN116" s="591"/>
      <c r="AO116" s="591"/>
      <c r="AP116" s="591"/>
      <c r="AQ116" s="591"/>
      <c r="AS116" s="591"/>
      <c r="AT116" s="591"/>
      <c r="AU116" s="591"/>
      <c r="AV116" s="591"/>
      <c r="AW116" s="591"/>
      <c r="AY116" s="591"/>
    </row>
    <row r="117" spans="1:51" ht="18" customHeight="1" x14ac:dyDescent="0.2">
      <c r="A117" s="2"/>
      <c r="B117" s="2"/>
      <c r="C117" s="2"/>
      <c r="D117" s="2"/>
      <c r="E117" s="2"/>
      <c r="F117" s="2"/>
      <c r="G117" s="281">
        <f>IF(ISERROR(G$135),HLOOKUP(L$138,$J$138:$L141,4,FALSE),HLOOKUP(G$135,$G$129:$I132,4,FALSE))</f>
        <v>0</v>
      </c>
      <c r="H117" s="281">
        <f>IF(ISERROR(H$135),HLOOKUP(K$138,$J$138:$L141,4,FALSE),HLOOKUP(H$135,$G$129:$I132,4,FALSE))</f>
        <v>0</v>
      </c>
      <c r="I117" s="2251">
        <f>IF(ISERROR(I$135),HLOOKUP(J$138,$J$138:$L141,4,FALSE),HLOOKUP(I$135,$G$129:$I132,4,FALSE))</f>
        <v>0</v>
      </c>
      <c r="J117" s="2252"/>
      <c r="K117" s="2"/>
      <c r="L117" s="14"/>
      <c r="M117" s="139"/>
      <c r="N117" s="2"/>
      <c r="O117" s="2"/>
      <c r="P117" s="2"/>
      <c r="Q117" s="2"/>
      <c r="R117" s="2"/>
      <c r="S117" s="2"/>
      <c r="T117" s="2"/>
      <c r="U117" s="2"/>
      <c r="V117" s="591"/>
      <c r="W117" s="591"/>
      <c r="X117" s="591"/>
      <c r="Y117" s="591"/>
      <c r="Z117" s="591"/>
      <c r="AA117" s="591"/>
      <c r="AB117" s="591"/>
      <c r="AC117" s="591"/>
      <c r="AG117" s="591"/>
      <c r="AH117" s="591"/>
      <c r="AI117" s="591"/>
      <c r="AJ117" s="591"/>
      <c r="AK117" s="591"/>
      <c r="AM117" s="591"/>
      <c r="AN117" s="591"/>
      <c r="AO117" s="591"/>
      <c r="AP117" s="591"/>
      <c r="AQ117" s="591"/>
      <c r="AS117" s="591"/>
      <c r="AT117" s="591"/>
      <c r="AU117" s="591"/>
      <c r="AV117" s="591"/>
      <c r="AW117" s="591"/>
      <c r="AY117" s="591"/>
    </row>
    <row r="118" spans="1:51" ht="18" customHeight="1" x14ac:dyDescent="0.2">
      <c r="A118" s="2"/>
      <c r="B118" s="2"/>
      <c r="C118" s="2"/>
      <c r="D118" s="2"/>
      <c r="E118" s="2"/>
      <c r="F118" s="2"/>
      <c r="G118" s="282">
        <f>IF(ISERROR(G$135),HLOOKUP(L$138,$J$138:$L142,5,FALSE),HLOOKUP(G$135,$G$129:$I133,5,FALSE))</f>
        <v>0</v>
      </c>
      <c r="H118" s="282">
        <f>IF(ISERROR(H$135),HLOOKUP(K$138,$J$138:$L142,5,FALSE),HLOOKUP(H$135,$G$129:$I133,5,FALSE))</f>
        <v>0</v>
      </c>
      <c r="I118" s="2257">
        <f>IF(ISERROR(I$135),HLOOKUP(J$138,$J$138:$L142,5,FALSE),HLOOKUP(I$135,$G$129:$I133,5,FALSE))</f>
        <v>0</v>
      </c>
      <c r="J118" s="2258"/>
      <c r="K118" s="2"/>
      <c r="L118" s="14"/>
      <c r="M118" s="139"/>
      <c r="N118" s="2"/>
      <c r="O118" s="2"/>
      <c r="P118" s="2"/>
      <c r="Q118" s="2"/>
      <c r="R118" s="2"/>
      <c r="S118" s="2"/>
      <c r="T118" s="2"/>
      <c r="U118" s="2"/>
      <c r="V118" s="591"/>
      <c r="W118" s="591"/>
      <c r="X118" s="591"/>
      <c r="Y118" s="591"/>
      <c r="Z118" s="591"/>
      <c r="AA118" s="591"/>
      <c r="AB118" s="591"/>
      <c r="AC118" s="591"/>
      <c r="AG118" s="591"/>
      <c r="AH118" s="591"/>
      <c r="AI118" s="591"/>
      <c r="AJ118" s="591"/>
      <c r="AK118" s="591"/>
      <c r="AM118" s="591"/>
      <c r="AN118" s="591"/>
      <c r="AO118" s="591"/>
      <c r="AP118" s="591"/>
      <c r="AQ118" s="591"/>
      <c r="AS118" s="591"/>
      <c r="AT118" s="591"/>
      <c r="AU118" s="591"/>
      <c r="AV118" s="591"/>
      <c r="AW118" s="591"/>
      <c r="AY118" s="591"/>
    </row>
    <row r="119" spans="1:51" ht="21" hidden="1" customHeight="1" x14ac:dyDescent="0.2">
      <c r="A119" s="2"/>
      <c r="B119" s="2"/>
      <c r="C119" s="2"/>
      <c r="D119" s="2"/>
      <c r="E119" s="2"/>
      <c r="F119" s="2"/>
      <c r="G119" s="117" t="e">
        <f>IF(ISERROR(G$135),HLOOKUP(L$138,$J$138:$L139,2,FALSE),HLOOKUP(G$135,$G$129:$I136,8,FALSE))</f>
        <v>#N/A</v>
      </c>
      <c r="H119" s="117" t="e">
        <f>IF(ISERROR(H$135),HLOOKUP(K$138,$J$138:$L139,2,FALSE),HLOOKUP(H$135,$G$129:$I136,8,FALSE))</f>
        <v>#N/A</v>
      </c>
      <c r="I119" s="2259" t="e">
        <f>IF(ISERROR(I$135),HLOOKUP(J$138,$J$138:$L139,2,FALSE),HLOOKUP(I$135,$G$129:$I136,8,FALSE))</f>
        <v>#N/A</v>
      </c>
      <c r="J119" s="2259"/>
      <c r="K119" s="2"/>
      <c r="L119" s="14"/>
      <c r="M119" s="139"/>
      <c r="N119" s="2"/>
      <c r="O119" s="2"/>
      <c r="P119" s="2"/>
      <c r="Q119" s="2"/>
      <c r="R119" s="2"/>
      <c r="S119" s="2"/>
      <c r="T119" s="2"/>
      <c r="U119" s="2"/>
      <c r="V119" s="591"/>
      <c r="W119" s="591"/>
      <c r="X119" s="591"/>
      <c r="Y119" s="591"/>
      <c r="Z119" s="591"/>
      <c r="AA119" s="591"/>
      <c r="AB119" s="591"/>
      <c r="AC119" s="591"/>
      <c r="AG119" s="591"/>
      <c r="AH119" s="591"/>
      <c r="AI119" s="591"/>
      <c r="AJ119" s="591"/>
      <c r="AK119" s="591"/>
      <c r="AM119" s="591"/>
      <c r="AN119" s="591"/>
      <c r="AO119" s="591"/>
      <c r="AP119" s="591"/>
      <c r="AQ119" s="591"/>
      <c r="AS119" s="591"/>
      <c r="AT119" s="591"/>
      <c r="AU119" s="591"/>
      <c r="AV119" s="591"/>
      <c r="AW119" s="591"/>
      <c r="AY119" s="591"/>
    </row>
    <row r="120" spans="1:51" ht="4.5" customHeight="1" x14ac:dyDescent="0.2">
      <c r="A120" s="2"/>
      <c r="B120" s="2"/>
      <c r="C120" s="2"/>
      <c r="D120" s="2"/>
      <c r="E120" s="2"/>
      <c r="F120" s="2"/>
      <c r="G120" s="14"/>
      <c r="H120" s="14"/>
      <c r="I120" s="2202"/>
      <c r="J120" s="2202"/>
      <c r="K120" s="2"/>
      <c r="L120" s="14"/>
      <c r="M120" s="139"/>
      <c r="N120" s="2"/>
      <c r="O120" s="2"/>
      <c r="P120" s="2"/>
      <c r="Q120" s="2"/>
      <c r="R120" s="2"/>
      <c r="S120" s="2"/>
      <c r="T120" s="2"/>
      <c r="U120" s="2"/>
      <c r="V120" s="591"/>
      <c r="W120" s="591"/>
      <c r="X120" s="591"/>
      <c r="Y120" s="591"/>
      <c r="Z120" s="591"/>
      <c r="AA120" s="591"/>
      <c r="AB120" s="591"/>
      <c r="AC120" s="591"/>
      <c r="AG120" s="591"/>
      <c r="AH120" s="591"/>
      <c r="AI120" s="591"/>
      <c r="AJ120" s="591"/>
      <c r="AK120" s="591"/>
      <c r="AM120" s="591"/>
      <c r="AN120" s="591"/>
      <c r="AO120" s="591"/>
      <c r="AP120" s="591"/>
      <c r="AQ120" s="591"/>
      <c r="AS120" s="591"/>
      <c r="AT120" s="591"/>
      <c r="AU120" s="591"/>
      <c r="AV120" s="591"/>
      <c r="AW120" s="591"/>
      <c r="AY120" s="591"/>
    </row>
    <row r="121" spans="1:51" ht="18" customHeight="1" x14ac:dyDescent="0.25">
      <c r="A121" s="2"/>
      <c r="B121" s="2"/>
      <c r="C121" s="2"/>
      <c r="D121" s="2"/>
      <c r="E121" s="2"/>
      <c r="F121" s="283" t="s">
        <v>483</v>
      </c>
      <c r="G121" s="285">
        <f>IMPOSTAZIONI!B291</f>
        <v>0</v>
      </c>
      <c r="H121" s="285">
        <f>IMPOSTAZIONI!B292</f>
        <v>0</v>
      </c>
      <c r="I121" s="2253">
        <f>IMPOSTAZIONI!B293</f>
        <v>0</v>
      </c>
      <c r="J121" s="2254"/>
      <c r="K121" s="667">
        <f>SUM(G121:I121)</f>
        <v>0</v>
      </c>
      <c r="L121" s="14"/>
      <c r="M121" s="139"/>
      <c r="N121" s="2"/>
      <c r="O121" s="2"/>
      <c r="P121" s="2"/>
      <c r="Q121" s="2"/>
      <c r="R121" s="2"/>
      <c r="S121" s="2"/>
      <c r="T121" s="2"/>
      <c r="U121" s="2"/>
      <c r="V121" s="591"/>
      <c r="W121" s="591"/>
      <c r="X121" s="591"/>
      <c r="Y121" s="591"/>
      <c r="Z121" s="591"/>
      <c r="AA121" s="591"/>
      <c r="AB121" s="591"/>
      <c r="AC121" s="591"/>
      <c r="AG121" s="591"/>
      <c r="AH121" s="591"/>
      <c r="AI121" s="591"/>
      <c r="AJ121" s="591"/>
      <c r="AK121" s="591"/>
      <c r="AM121" s="591"/>
      <c r="AN121" s="591"/>
      <c r="AO121" s="591"/>
      <c r="AP121" s="591"/>
      <c r="AQ121" s="591"/>
      <c r="AS121" s="591"/>
      <c r="AT121" s="591"/>
      <c r="AU121" s="591"/>
      <c r="AV121" s="591"/>
      <c r="AW121" s="591"/>
      <c r="AY121" s="591"/>
    </row>
    <row r="122" spans="1:51" ht="18" customHeight="1" x14ac:dyDescent="0.2">
      <c r="A122" s="2"/>
      <c r="B122" s="2"/>
      <c r="C122" s="2"/>
      <c r="D122" s="2"/>
      <c r="E122" s="2"/>
      <c r="F122" s="284" t="s">
        <v>484</v>
      </c>
      <c r="G122" s="286">
        <f>IMPOSTAZIONI!G291</f>
        <v>0</v>
      </c>
      <c r="H122" s="286">
        <f>IMPOSTAZIONI!G292</f>
        <v>0</v>
      </c>
      <c r="I122" s="2255">
        <f>IMPOSTAZIONI!G293</f>
        <v>0</v>
      </c>
      <c r="J122" s="2256"/>
      <c r="K122" s="310">
        <f>SUM(G122:I122)</f>
        <v>0</v>
      </c>
      <c r="L122" s="287"/>
      <c r="M122" s="311"/>
      <c r="N122" s="2"/>
      <c r="O122" s="2"/>
      <c r="P122" s="2"/>
      <c r="Q122" s="2"/>
      <c r="R122" s="2"/>
      <c r="S122" s="2"/>
      <c r="T122" s="2"/>
      <c r="U122" s="2"/>
      <c r="V122" s="591"/>
      <c r="W122" s="591"/>
      <c r="X122" s="591"/>
      <c r="Y122" s="591"/>
      <c r="Z122" s="591"/>
      <c r="AA122" s="591"/>
      <c r="AB122" s="591"/>
      <c r="AC122" s="591"/>
      <c r="AG122" s="591"/>
      <c r="AH122" s="591"/>
      <c r="AI122" s="591"/>
      <c r="AJ122" s="591"/>
      <c r="AK122" s="591"/>
      <c r="AM122" s="591"/>
      <c r="AN122" s="591"/>
      <c r="AO122" s="591"/>
      <c r="AP122" s="591"/>
      <c r="AQ122" s="591"/>
      <c r="AS122" s="591"/>
      <c r="AT122" s="591"/>
      <c r="AU122" s="591"/>
      <c r="AV122" s="591"/>
      <c r="AW122" s="591"/>
      <c r="AY122" s="591"/>
    </row>
    <row r="123" spans="1:51" ht="21" customHeight="1" x14ac:dyDescent="0.2">
      <c r="A123" s="2"/>
      <c r="B123" s="2"/>
      <c r="C123" s="2"/>
      <c r="D123" s="2"/>
      <c r="E123" s="2"/>
      <c r="F123" s="2"/>
      <c r="G123" s="2"/>
      <c r="H123" s="2"/>
      <c r="I123" s="2"/>
      <c r="J123" s="2"/>
      <c r="K123" s="2"/>
      <c r="L123" s="2"/>
      <c r="M123" s="2"/>
      <c r="N123" s="2"/>
      <c r="O123" s="2"/>
      <c r="P123" s="2"/>
      <c r="Q123" s="2"/>
      <c r="R123" s="2"/>
      <c r="S123" s="2"/>
      <c r="T123" s="2"/>
      <c r="U123" s="2"/>
      <c r="V123" s="591"/>
      <c r="W123" s="591"/>
      <c r="X123" s="591"/>
      <c r="Y123" s="591"/>
      <c r="Z123" s="591"/>
      <c r="AA123" s="591"/>
      <c r="AB123" s="591"/>
      <c r="AC123" s="591"/>
      <c r="AG123" s="591"/>
      <c r="AH123" s="591"/>
      <c r="AI123" s="591"/>
      <c r="AJ123" s="591"/>
      <c r="AK123" s="591"/>
      <c r="AM123" s="591"/>
      <c r="AN123" s="591"/>
      <c r="AO123" s="591"/>
      <c r="AP123" s="591"/>
      <c r="AQ123" s="591"/>
      <c r="AS123" s="591"/>
      <c r="AT123" s="591"/>
      <c r="AU123" s="591"/>
      <c r="AV123" s="591"/>
      <c r="AW123" s="591"/>
      <c r="AY123" s="591"/>
    </row>
    <row r="124" spans="1:51" ht="21" customHeight="1" x14ac:dyDescent="0.2">
      <c r="A124" s="2"/>
      <c r="B124" s="2"/>
      <c r="C124" s="287"/>
      <c r="D124" s="287"/>
      <c r="E124" s="287"/>
      <c r="F124" s="287"/>
      <c r="G124" s="287"/>
      <c r="H124" s="287"/>
      <c r="I124" s="287"/>
      <c r="J124" s="287"/>
      <c r="K124" s="287"/>
      <c r="L124" s="287"/>
      <c r="M124" s="287"/>
      <c r="N124" s="287"/>
      <c r="O124" s="287"/>
      <c r="P124" s="2"/>
      <c r="Q124" s="2"/>
      <c r="R124" s="2"/>
      <c r="S124" s="2"/>
      <c r="T124" s="2"/>
      <c r="U124" s="2"/>
      <c r="V124" s="591"/>
      <c r="W124" s="591"/>
      <c r="X124" s="591"/>
      <c r="Y124" s="591"/>
      <c r="Z124" s="591"/>
      <c r="AA124" s="591"/>
      <c r="AB124" s="591"/>
      <c r="AC124" s="591"/>
      <c r="AG124" s="591"/>
      <c r="AH124" s="591"/>
      <c r="AI124" s="591"/>
      <c r="AJ124" s="591"/>
      <c r="AK124" s="591"/>
      <c r="AM124" s="591"/>
      <c r="AN124" s="591"/>
      <c r="AO124" s="591"/>
      <c r="AP124" s="591"/>
      <c r="AQ124" s="591"/>
      <c r="AS124" s="591"/>
      <c r="AT124" s="591"/>
      <c r="AU124" s="591"/>
      <c r="AV124" s="591"/>
      <c r="AW124" s="591"/>
      <c r="AY124" s="591"/>
    </row>
    <row r="125" spans="1:51" ht="13.5" hidden="1" customHeight="1" x14ac:dyDescent="0.2">
      <c r="A125" s="2"/>
      <c r="B125" s="2"/>
      <c r="C125" s="2"/>
      <c r="D125" s="2"/>
      <c r="E125" s="2"/>
      <c r="F125" s="2"/>
      <c r="G125" s="2"/>
      <c r="H125" s="2"/>
      <c r="I125" s="2"/>
      <c r="J125" s="2"/>
      <c r="K125" s="2"/>
      <c r="L125" s="2"/>
      <c r="M125" s="2"/>
      <c r="N125" s="2"/>
      <c r="O125" s="2"/>
      <c r="P125" s="2"/>
      <c r="Q125" s="2"/>
      <c r="R125" s="2"/>
      <c r="S125" s="2"/>
      <c r="T125" s="2"/>
      <c r="U125" s="2"/>
      <c r="V125" s="591"/>
      <c r="W125" s="591"/>
      <c r="X125" s="591"/>
      <c r="Y125" s="591"/>
      <c r="Z125" s="591"/>
      <c r="AA125" s="591"/>
      <c r="AB125" s="591"/>
      <c r="AC125" s="591"/>
      <c r="AG125" s="591"/>
      <c r="AH125" s="591"/>
      <c r="AI125" s="591"/>
      <c r="AJ125" s="591"/>
      <c r="AK125" s="591"/>
      <c r="AM125" s="591"/>
      <c r="AN125" s="591"/>
      <c r="AO125" s="591"/>
      <c r="AP125" s="591"/>
      <c r="AQ125" s="591"/>
      <c r="AS125" s="591"/>
      <c r="AT125" s="591"/>
      <c r="AU125" s="591"/>
      <c r="AV125" s="591"/>
      <c r="AW125" s="591"/>
      <c r="AY125" s="591"/>
    </row>
    <row r="126" spans="1:51" ht="18.75" customHeight="1" x14ac:dyDescent="0.2">
      <c r="A126" s="2"/>
      <c r="B126" s="2"/>
      <c r="C126" s="2083" t="str">
        <f ca="1">Presentazione!D70</f>
        <v>Questo file risulta al momento completamente funzionante ed il sistema rileva tutti i suoi fogli.</v>
      </c>
      <c r="D126" s="2083"/>
      <c r="E126" s="2083"/>
      <c r="F126" s="2083"/>
      <c r="G126" s="2083"/>
      <c r="H126" s="2083"/>
      <c r="I126" s="2083"/>
      <c r="J126" s="2083"/>
      <c r="K126" s="2083"/>
      <c r="L126" s="2083"/>
      <c r="M126" s="2083"/>
      <c r="N126" s="553"/>
      <c r="O126" s="553"/>
      <c r="P126" s="553"/>
      <c r="Q126" s="2"/>
      <c r="R126" s="2"/>
      <c r="S126" s="2"/>
      <c r="T126" s="2"/>
      <c r="U126" s="2"/>
      <c r="V126" s="591"/>
      <c r="W126" s="591"/>
      <c r="X126" s="591"/>
      <c r="Y126" s="591"/>
      <c r="Z126" s="591"/>
      <c r="AA126" s="591"/>
      <c r="AB126" s="591"/>
      <c r="AC126" s="591"/>
      <c r="AG126" s="591"/>
      <c r="AH126" s="591"/>
      <c r="AI126" s="591"/>
      <c r="AJ126" s="591"/>
      <c r="AK126" s="591"/>
      <c r="AM126" s="591"/>
      <c r="AN126" s="591"/>
      <c r="AO126" s="591"/>
      <c r="AP126" s="591"/>
      <c r="AQ126" s="591"/>
      <c r="AS126" s="591"/>
      <c r="AT126" s="591"/>
      <c r="AU126" s="591"/>
      <c r="AV126" s="591"/>
      <c r="AW126" s="591"/>
      <c r="AY126" s="591"/>
    </row>
    <row r="127" spans="1:51" ht="33" customHeight="1" x14ac:dyDescent="0.25">
      <c r="A127" s="2"/>
      <c r="B127" s="2"/>
      <c r="C127" s="930" t="s">
        <v>716</v>
      </c>
      <c r="D127" s="930"/>
      <c r="E127" s="930"/>
      <c r="F127" s="930"/>
      <c r="G127" s="930"/>
      <c r="H127" s="2"/>
      <c r="I127" s="2"/>
      <c r="J127" s="2"/>
      <c r="K127" s="2"/>
      <c r="L127" s="2"/>
      <c r="M127" s="908" t="s">
        <v>581</v>
      </c>
      <c r="N127" s="2"/>
      <c r="O127" s="2"/>
      <c r="P127" s="2"/>
      <c r="Q127" s="2"/>
      <c r="R127" s="2"/>
      <c r="S127" s="2"/>
      <c r="T127" s="2"/>
      <c r="U127" s="2"/>
      <c r="V127" s="591"/>
      <c r="W127" s="591"/>
      <c r="X127" s="591"/>
      <c r="Y127" s="591"/>
      <c r="Z127" s="591"/>
      <c r="AA127" s="591"/>
      <c r="AB127" s="591"/>
      <c r="AC127" s="591"/>
      <c r="AG127" s="591"/>
      <c r="AH127" s="591"/>
      <c r="AI127" s="591"/>
      <c r="AJ127" s="591"/>
      <c r="AK127" s="591"/>
      <c r="AM127" s="591"/>
      <c r="AN127" s="591"/>
      <c r="AO127" s="591"/>
      <c r="AP127" s="591"/>
      <c r="AQ127" s="591"/>
      <c r="AS127" s="591"/>
      <c r="AT127" s="591"/>
      <c r="AU127" s="591"/>
      <c r="AV127" s="591"/>
      <c r="AW127" s="591"/>
      <c r="AY127" s="591"/>
    </row>
    <row r="128" spans="1:51" ht="21" hidden="1" customHeight="1" x14ac:dyDescent="0.2">
      <c r="A128" s="2"/>
      <c r="B128" s="2"/>
      <c r="C128" s="2"/>
      <c r="D128" s="2"/>
      <c r="E128" s="2"/>
      <c r="F128" s="2"/>
      <c r="G128" s="2"/>
      <c r="H128" s="2"/>
      <c r="I128" s="2"/>
      <c r="J128" s="2"/>
      <c r="K128" s="2"/>
      <c r="L128" s="2"/>
      <c r="M128" s="2"/>
      <c r="N128" s="2"/>
      <c r="O128" s="2"/>
      <c r="P128" s="2"/>
      <c r="Q128" s="2"/>
      <c r="R128" s="2"/>
      <c r="S128" s="2"/>
      <c r="T128" s="2"/>
      <c r="U128" s="2"/>
      <c r="V128" s="591"/>
      <c r="W128" s="591"/>
      <c r="X128" s="591"/>
      <c r="Y128" s="591"/>
      <c r="Z128" s="591"/>
      <c r="AA128" s="591"/>
      <c r="AB128" s="591"/>
      <c r="AC128" s="591"/>
      <c r="AG128" s="591"/>
      <c r="AH128" s="591"/>
      <c r="AI128" s="591"/>
      <c r="AJ128" s="591"/>
      <c r="AK128" s="591"/>
      <c r="AM128" s="591"/>
      <c r="AN128" s="591"/>
      <c r="AO128" s="591"/>
      <c r="AP128" s="591"/>
      <c r="AQ128" s="591"/>
      <c r="AS128" s="591"/>
      <c r="AT128" s="591"/>
      <c r="AU128" s="591"/>
      <c r="AV128" s="591"/>
      <c r="AW128" s="591"/>
      <c r="AY128" s="591"/>
    </row>
    <row r="129" spans="1:51" ht="15.75" hidden="1" customHeight="1" x14ac:dyDescent="0.2">
      <c r="A129" s="2"/>
      <c r="B129" s="2"/>
      <c r="C129" s="2"/>
      <c r="D129" s="2"/>
      <c r="E129" s="2"/>
      <c r="F129" s="2"/>
      <c r="G129" s="257">
        <v>1</v>
      </c>
      <c r="H129" s="257">
        <v>2</v>
      </c>
      <c r="I129" s="257">
        <v>3</v>
      </c>
      <c r="J129" s="2"/>
      <c r="K129" s="2"/>
      <c r="L129" s="2"/>
      <c r="M129" s="2"/>
      <c r="N129" s="2"/>
      <c r="O129" s="2"/>
      <c r="P129" s="2"/>
      <c r="Q129" s="2"/>
      <c r="R129" s="2"/>
      <c r="S129" s="2"/>
      <c r="T129" s="2"/>
      <c r="U129" s="2"/>
      <c r="V129" s="591"/>
      <c r="W129" s="591"/>
      <c r="X129" s="591"/>
      <c r="Y129" s="591"/>
      <c r="Z129" s="591"/>
      <c r="AA129" s="591"/>
      <c r="AB129" s="591"/>
      <c r="AC129" s="591"/>
      <c r="AG129" s="591"/>
      <c r="AH129" s="591"/>
      <c r="AI129" s="591"/>
      <c r="AJ129" s="591"/>
      <c r="AK129" s="591"/>
      <c r="AM129" s="591"/>
      <c r="AN129" s="591"/>
      <c r="AO129" s="591"/>
      <c r="AP129" s="591"/>
      <c r="AQ129" s="591"/>
      <c r="AS129" s="591"/>
      <c r="AT129" s="591"/>
      <c r="AU129" s="591"/>
      <c r="AV129" s="591"/>
      <c r="AW129" s="591"/>
      <c r="AY129" s="591"/>
    </row>
    <row r="130" spans="1:51" ht="15.75" hidden="1" customHeight="1" x14ac:dyDescent="0.2">
      <c r="A130" s="2"/>
      <c r="B130" s="2"/>
      <c r="C130" s="2"/>
      <c r="D130" s="2"/>
      <c r="E130" s="2"/>
      <c r="F130" s="2"/>
      <c r="G130" s="263">
        <f>IF(E$131=1,IMPOSTAZIONI!J94,0)</f>
        <v>0</v>
      </c>
      <c r="H130" s="263">
        <f>IF(E$132=1,IMPOSTAZIONI!J102,0)</f>
        <v>0</v>
      </c>
      <c r="I130" s="263">
        <f>IF(E$133=1,IMPOSTAZIONI!J110,0)</f>
        <v>0</v>
      </c>
      <c r="J130" s="2"/>
      <c r="K130" s="263" t="str">
        <f>IMPOSTAZIONI!C154</f>
        <v>Note</v>
      </c>
      <c r="L130" s="2"/>
      <c r="M130" s="2"/>
      <c r="N130" s="2"/>
      <c r="O130" s="2"/>
      <c r="P130" s="2"/>
      <c r="Q130" s="2"/>
      <c r="R130" s="2"/>
      <c r="S130" s="2"/>
      <c r="T130" s="2"/>
      <c r="U130" s="2"/>
      <c r="V130" s="591"/>
      <c r="W130" s="591"/>
      <c r="X130" s="591"/>
      <c r="Y130" s="591"/>
      <c r="Z130" s="591"/>
      <c r="AA130" s="591"/>
      <c r="AB130" s="591"/>
      <c r="AC130" s="591"/>
      <c r="AG130" s="591"/>
      <c r="AH130" s="591"/>
      <c r="AI130" s="591"/>
      <c r="AJ130" s="591"/>
      <c r="AK130" s="591"/>
      <c r="AM130" s="591"/>
      <c r="AN130" s="591"/>
      <c r="AO130" s="591"/>
      <c r="AP130" s="591"/>
      <c r="AQ130" s="591"/>
      <c r="AS130" s="591"/>
      <c r="AT130" s="591"/>
      <c r="AU130" s="591"/>
      <c r="AV130" s="591"/>
      <c r="AW130" s="591"/>
      <c r="AY130" s="591"/>
    </row>
    <row r="131" spans="1:51" ht="15.75" hidden="1" customHeight="1" x14ac:dyDescent="0.2">
      <c r="A131" s="2"/>
      <c r="B131" s="2"/>
      <c r="C131" s="2"/>
      <c r="D131" s="2"/>
      <c r="E131" s="263">
        <f>IF(IMPOSTAZIONI!U184=0,1,0)</f>
        <v>0</v>
      </c>
      <c r="F131" s="2"/>
      <c r="G131" s="267">
        <f>IF(E$131=1,IMPOSTAZIONI!J96,0)</f>
        <v>0</v>
      </c>
      <c r="H131" s="268">
        <f>IF(E$132=1,IMPOSTAZIONI!J104,0)</f>
        <v>0</v>
      </c>
      <c r="I131" s="269">
        <f>IF(E$133=1,IMPOSTAZIONI!J112,0)</f>
        <v>0</v>
      </c>
      <c r="J131" s="2"/>
      <c r="K131" s="2"/>
      <c r="L131" s="925" t="str">
        <f>Presentazione!$K$150</f>
        <v>attiva trim.</v>
      </c>
      <c r="M131" s="2"/>
      <c r="N131" s="2"/>
      <c r="O131" s="2"/>
      <c r="P131" s="2"/>
      <c r="Q131" s="2"/>
      <c r="R131" s="2"/>
      <c r="S131" s="2"/>
      <c r="T131" s="2"/>
      <c r="U131" s="2"/>
      <c r="V131" s="591"/>
      <c r="W131" s="591"/>
      <c r="X131" s="591"/>
      <c r="Y131" s="591"/>
      <c r="Z131" s="591"/>
      <c r="AA131" s="591"/>
      <c r="AB131" s="591"/>
      <c r="AC131" s="591"/>
      <c r="AG131" s="591"/>
      <c r="AH131" s="591"/>
      <c r="AI131" s="591"/>
      <c r="AJ131" s="591"/>
      <c r="AK131" s="591"/>
      <c r="AM131" s="591"/>
      <c r="AN131" s="591"/>
      <c r="AO131" s="591"/>
      <c r="AP131" s="591"/>
      <c r="AQ131" s="591"/>
      <c r="AS131" s="591"/>
      <c r="AT131" s="591"/>
      <c r="AU131" s="591"/>
      <c r="AV131" s="591"/>
      <c r="AW131" s="591"/>
      <c r="AY131" s="591"/>
    </row>
    <row r="132" spans="1:51" ht="15.75" hidden="1" customHeight="1" x14ac:dyDescent="0.2">
      <c r="A132" s="2"/>
      <c r="B132" s="2"/>
      <c r="C132" s="2"/>
      <c r="D132" s="2"/>
      <c r="E132" s="263">
        <f>IF(IMPOSTAZIONI!U185=0,1,0)</f>
        <v>0</v>
      </c>
      <c r="F132" s="2"/>
      <c r="G132" s="264">
        <f>IF(E$131=1,IMPOSTAZIONI!J97,0)</f>
        <v>0</v>
      </c>
      <c r="H132" s="266">
        <f>IF(E$132=1,IMPOSTAZIONI!J105,0)</f>
        <v>0</v>
      </c>
      <c r="I132" s="265">
        <f>IF(E$133=1,IMPOSTAZIONI!J113,0)</f>
        <v>0</v>
      </c>
      <c r="J132" s="2"/>
      <c r="K132" s="263" t="s">
        <v>356</v>
      </c>
      <c r="L132" s="2"/>
      <c r="M132" s="2"/>
      <c r="N132" s="2"/>
      <c r="O132" s="2"/>
      <c r="P132" s="2"/>
      <c r="Q132" s="2"/>
      <c r="R132" s="2"/>
      <c r="S132" s="2"/>
      <c r="T132" s="2"/>
      <c r="U132" s="2"/>
      <c r="V132" s="591"/>
      <c r="W132" s="591"/>
      <c r="X132" s="591"/>
      <c r="Y132" s="591"/>
      <c r="Z132" s="591"/>
      <c r="AA132" s="591"/>
      <c r="AB132" s="591"/>
      <c r="AC132" s="591"/>
      <c r="AG132" s="591"/>
      <c r="AH132" s="591"/>
      <c r="AI132" s="591"/>
      <c r="AJ132" s="591"/>
      <c r="AK132" s="591"/>
      <c r="AM132" s="591"/>
      <c r="AN132" s="591"/>
      <c r="AO132" s="591"/>
      <c r="AP132" s="591"/>
      <c r="AQ132" s="591"/>
      <c r="AS132" s="591"/>
      <c r="AT132" s="591"/>
      <c r="AU132" s="591"/>
      <c r="AV132" s="591"/>
      <c r="AW132" s="591"/>
      <c r="AY132" s="591"/>
    </row>
    <row r="133" spans="1:51" ht="15.75" hidden="1" customHeight="1" x14ac:dyDescent="0.2">
      <c r="A133" s="2"/>
      <c r="B133" s="2"/>
      <c r="C133" s="2"/>
      <c r="D133" s="2"/>
      <c r="E133" s="263">
        <f>IF(IMPOSTAZIONI!U186=0,1,0)</f>
        <v>0</v>
      </c>
      <c r="F133" s="2"/>
      <c r="G133" s="270">
        <f>IF(E$131=1,IMPOSTAZIONI!J98,0)</f>
        <v>0</v>
      </c>
      <c r="H133" s="271">
        <f>IF(E$132=1,IMPOSTAZIONI!J106,0)</f>
        <v>0</v>
      </c>
      <c r="I133" s="272">
        <f>IF(E$133=1,IMPOSTAZIONI!J114,0)</f>
        <v>0</v>
      </c>
      <c r="J133" s="2"/>
      <c r="K133" s="2"/>
      <c r="L133" s="2"/>
      <c r="M133" s="2"/>
      <c r="N133" s="2"/>
      <c r="O133" s="2"/>
      <c r="P133" s="2"/>
      <c r="Q133" s="2"/>
      <c r="R133" s="2"/>
      <c r="S133" s="2"/>
      <c r="T133" s="2"/>
      <c r="U133" s="2"/>
      <c r="V133" s="591"/>
      <c r="W133" s="591"/>
      <c r="X133" s="591"/>
      <c r="Y133" s="591"/>
      <c r="Z133" s="591"/>
      <c r="AA133" s="591"/>
      <c r="AB133" s="591"/>
      <c r="AC133" s="591"/>
      <c r="AG133" s="591"/>
      <c r="AH133" s="591"/>
      <c r="AI133" s="591"/>
      <c r="AJ133" s="591"/>
      <c r="AK133" s="591"/>
      <c r="AM133" s="591"/>
      <c r="AN133" s="591"/>
      <c r="AO133" s="591"/>
      <c r="AP133" s="591"/>
      <c r="AQ133" s="591"/>
      <c r="AS133" s="591"/>
      <c r="AT133" s="591"/>
      <c r="AU133" s="591"/>
      <c r="AV133" s="591"/>
      <c r="AW133" s="591"/>
      <c r="AY133" s="591"/>
    </row>
    <row r="134" spans="1:51" ht="15.75" hidden="1" customHeight="1" x14ac:dyDescent="0.2">
      <c r="A134" s="2"/>
      <c r="B134" s="2"/>
      <c r="C134" s="2"/>
      <c r="D134" s="2"/>
      <c r="E134" s="129"/>
      <c r="F134" s="2"/>
      <c r="G134" s="108">
        <f>IF(G130=0,0,G129)</f>
        <v>0</v>
      </c>
      <c r="H134" s="108">
        <f>IF(H130=0,0,H129)</f>
        <v>0</v>
      </c>
      <c r="I134" s="108">
        <f>IF(I130=0,0,I129)</f>
        <v>0</v>
      </c>
      <c r="J134" s="2"/>
      <c r="K134" s="263" t="str">
        <f>IMPOSTAZIONI!C146</f>
        <v>ESCLUDI</v>
      </c>
      <c r="L134" s="263" t="str">
        <f>IMPOSTAZIONI!H146</f>
        <v>VENTILAZIONE</v>
      </c>
      <c r="M134" s="306" t="s">
        <v>745</v>
      </c>
      <c r="N134" s="2"/>
      <c r="O134" s="2"/>
      <c r="P134" s="2"/>
      <c r="Q134" s="2"/>
      <c r="R134" s="2"/>
      <c r="S134" s="2"/>
      <c r="T134" s="2"/>
      <c r="U134" s="2"/>
      <c r="V134" s="591"/>
      <c r="W134" s="591"/>
      <c r="X134" s="591"/>
      <c r="Y134" s="591"/>
      <c r="Z134" s="591"/>
      <c r="AA134" s="591"/>
      <c r="AB134" s="591"/>
      <c r="AC134" s="591"/>
      <c r="AG134" s="591"/>
      <c r="AH134" s="591"/>
      <c r="AI134" s="591"/>
      <c r="AJ134" s="591"/>
      <c r="AK134" s="591"/>
      <c r="AM134" s="591"/>
      <c r="AN134" s="591"/>
      <c r="AO134" s="591"/>
      <c r="AP134" s="591"/>
      <c r="AQ134" s="591"/>
      <c r="AS134" s="591"/>
      <c r="AT134" s="591"/>
      <c r="AU134" s="591"/>
      <c r="AV134" s="591"/>
      <c r="AW134" s="591"/>
      <c r="AY134" s="591"/>
    </row>
    <row r="135" spans="1:51" ht="15.75" hidden="1" customHeight="1" x14ac:dyDescent="0.2">
      <c r="A135" s="2"/>
      <c r="B135" s="2"/>
      <c r="C135" s="2"/>
      <c r="D135" s="2"/>
      <c r="E135" s="274">
        <f>COUNTIF(G134:I134,0)</f>
        <v>3</v>
      </c>
      <c r="F135" s="2"/>
      <c r="G135" s="273" t="e">
        <f>SMALL($G134:$I134,$E135+1)</f>
        <v>#NUM!</v>
      </c>
      <c r="H135" s="273" t="e">
        <f>SMALL($G134:$I134,$E135+2)</f>
        <v>#NUM!</v>
      </c>
      <c r="I135" s="273" t="e">
        <f>SMALL($G134:$I134,$E135+3)</f>
        <v>#NUM!</v>
      </c>
      <c r="J135" s="2"/>
      <c r="K135" s="2"/>
      <c r="L135" s="263" t="str">
        <f>IMPOSTAZIONI!H148</f>
        <v>SCORPORO</v>
      </c>
      <c r="M135" s="306" t="s">
        <v>742</v>
      </c>
      <c r="N135" s="2"/>
      <c r="O135" s="2"/>
      <c r="P135" s="2"/>
      <c r="Q135" s="2"/>
      <c r="R135" s="2"/>
      <c r="S135" s="2"/>
      <c r="T135" s="2"/>
      <c r="U135" s="2"/>
      <c r="V135" s="591"/>
      <c r="W135" s="591"/>
      <c r="X135" s="591"/>
      <c r="Y135" s="591"/>
      <c r="Z135" s="591"/>
      <c r="AA135" s="591"/>
      <c r="AB135" s="591"/>
      <c r="AC135" s="591"/>
      <c r="AG135" s="591"/>
      <c r="AH135" s="591"/>
      <c r="AI135" s="591"/>
      <c r="AJ135" s="591"/>
      <c r="AK135" s="591"/>
      <c r="AM135" s="591"/>
      <c r="AN135" s="591"/>
      <c r="AO135" s="591"/>
      <c r="AP135" s="591"/>
      <c r="AQ135" s="591"/>
      <c r="AS135" s="591"/>
      <c r="AT135" s="591"/>
      <c r="AU135" s="591"/>
      <c r="AV135" s="591"/>
      <c r="AW135" s="591"/>
      <c r="AY135" s="591"/>
    </row>
    <row r="136" spans="1:51" ht="15.75" hidden="1" customHeight="1" x14ac:dyDescent="0.2">
      <c r="A136" s="2"/>
      <c r="B136" s="2"/>
      <c r="C136" s="2"/>
      <c r="D136" s="2"/>
      <c r="E136" s="274"/>
      <c r="F136" s="2"/>
      <c r="G136" s="275">
        <f>IF(E$131=1,CONCATENATE(IMPOSTAZIONI!I96,"-",IMPOSTAZIONI!I97,"-",IMPOSTAZIONI!I98),0)</f>
        <v>0</v>
      </c>
      <c r="H136" s="276">
        <f>IF(E$132=1,CONCATENATE(IMPOSTAZIONI!I104,"-",IMPOSTAZIONI!I105,"-",IMPOSTAZIONI!I106),0)</f>
        <v>0</v>
      </c>
      <c r="I136" s="277">
        <f>IF(E$133=1,CONCATENATE(IMPOSTAZIONI!I112,"-",IMPOSTAZIONI!I113,"-",IMPOSTAZIONI!I114),0)</f>
        <v>0</v>
      </c>
      <c r="J136" s="2"/>
      <c r="K136" s="2"/>
      <c r="L136" s="2"/>
      <c r="M136" s="2"/>
      <c r="N136" s="2"/>
      <c r="O136" s="2"/>
      <c r="P136" s="2"/>
      <c r="Q136" s="2"/>
      <c r="R136" s="2"/>
      <c r="S136" s="2"/>
      <c r="T136" s="2"/>
      <c r="U136" s="2"/>
      <c r="V136" s="591"/>
      <c r="W136" s="591"/>
      <c r="X136" s="591"/>
      <c r="Y136" s="591"/>
      <c r="Z136" s="591"/>
      <c r="AA136" s="591"/>
      <c r="AB136" s="591"/>
      <c r="AC136" s="591"/>
      <c r="AG136" s="591"/>
      <c r="AH136" s="591"/>
      <c r="AI136" s="591"/>
      <c r="AJ136" s="591"/>
      <c r="AK136" s="591"/>
      <c r="AM136" s="591"/>
      <c r="AN136" s="591"/>
      <c r="AO136" s="591"/>
      <c r="AP136" s="591"/>
      <c r="AQ136" s="591"/>
      <c r="AS136" s="591"/>
      <c r="AT136" s="591"/>
      <c r="AU136" s="591"/>
      <c r="AV136" s="591"/>
      <c r="AW136" s="591"/>
      <c r="AY136" s="591"/>
    </row>
    <row r="137" spans="1:51" ht="15.75" hidden="1" customHeight="1" x14ac:dyDescent="0.2">
      <c r="A137" s="2"/>
      <c r="B137" s="2"/>
      <c r="C137" s="2"/>
      <c r="D137" s="2"/>
      <c r="E137" s="129"/>
      <c r="F137" s="2"/>
      <c r="G137" s="273"/>
      <c r="H137" s="273"/>
      <c r="I137" s="2"/>
      <c r="J137" s="2"/>
      <c r="K137" s="2"/>
      <c r="L137" s="2"/>
      <c r="M137" s="2"/>
      <c r="N137" s="2"/>
      <c r="O137" s="2"/>
      <c r="P137" s="2"/>
      <c r="Q137" s="2"/>
      <c r="R137" s="2"/>
      <c r="S137" s="2"/>
      <c r="T137" s="2"/>
      <c r="U137" s="2"/>
      <c r="V137" s="591"/>
      <c r="W137" s="591"/>
      <c r="X137" s="591"/>
      <c r="Y137" s="591"/>
      <c r="Z137" s="591"/>
      <c r="AA137" s="591"/>
      <c r="AB137" s="591"/>
      <c r="AC137" s="591"/>
      <c r="AG137" s="591"/>
      <c r="AH137" s="591"/>
      <c r="AI137" s="591"/>
      <c r="AJ137" s="591"/>
      <c r="AK137" s="591"/>
      <c r="AM137" s="591"/>
      <c r="AN137" s="591"/>
      <c r="AO137" s="591"/>
      <c r="AP137" s="591"/>
      <c r="AQ137" s="591"/>
      <c r="AS137" s="591"/>
      <c r="AT137" s="591"/>
      <c r="AU137" s="591"/>
      <c r="AV137" s="591"/>
      <c r="AW137" s="591"/>
      <c r="AY137" s="591"/>
    </row>
    <row r="138" spans="1:51" ht="15.75" hidden="1" customHeight="1" x14ac:dyDescent="0.2">
      <c r="A138" s="2"/>
      <c r="B138" s="2"/>
      <c r="C138" s="2"/>
      <c r="D138" s="2"/>
      <c r="E138" s="129"/>
      <c r="F138" s="2"/>
      <c r="G138" s="273"/>
      <c r="H138" s="273"/>
      <c r="I138" s="273"/>
      <c r="J138" s="148">
        <v>1</v>
      </c>
      <c r="K138" s="148">
        <v>2</v>
      </c>
      <c r="L138" s="148">
        <v>3</v>
      </c>
      <c r="M138" s="2"/>
      <c r="N138" s="2"/>
      <c r="O138" s="2"/>
      <c r="P138" s="2"/>
      <c r="Q138" s="2"/>
      <c r="R138" s="2"/>
      <c r="S138" s="2"/>
      <c r="T138" s="2"/>
      <c r="U138" s="2"/>
      <c r="V138" s="591"/>
      <c r="W138" s="591"/>
      <c r="X138" s="591"/>
      <c r="Y138" s="591"/>
      <c r="Z138" s="591"/>
      <c r="AA138" s="591"/>
      <c r="AB138" s="591"/>
      <c r="AC138" s="591"/>
      <c r="AG138" s="591"/>
      <c r="AH138" s="591"/>
      <c r="AI138" s="591"/>
      <c r="AJ138" s="591"/>
      <c r="AK138" s="591"/>
      <c r="AM138" s="591"/>
      <c r="AN138" s="591"/>
      <c r="AO138" s="591"/>
      <c r="AP138" s="591"/>
      <c r="AQ138" s="591"/>
      <c r="AS138" s="591"/>
      <c r="AT138" s="591"/>
      <c r="AU138" s="591"/>
      <c r="AV138" s="591"/>
      <c r="AW138" s="591"/>
      <c r="AY138" s="591"/>
    </row>
    <row r="139" spans="1:51" ht="15.75" hidden="1" customHeight="1" x14ac:dyDescent="0.2">
      <c r="A139" s="2"/>
      <c r="B139" s="2"/>
      <c r="C139" s="148">
        <v>1</v>
      </c>
      <c r="D139" s="148">
        <f>IF(I139=0,0,1)</f>
        <v>0</v>
      </c>
      <c r="E139" s="263" t="str">
        <f>IMPOSTAZIONI!B298</f>
        <v>--</v>
      </c>
      <c r="F139" s="2"/>
      <c r="G139" s="305">
        <f>VLOOKUP(E139,IMPOSTAZIONI!$B$298:$AK$304,$E$149,FALSE)</f>
        <v>0</v>
      </c>
      <c r="H139" s="306" t="str">
        <f>IF(G139&gt;0,IF(AND(ISERROR(HLOOKUP(E139,G$136:I$136,1,FALSE)),ISERROR(HLOOKUP(E139,G$1:N$1,1,FALSE))),E139,"OK"),"")</f>
        <v/>
      </c>
      <c r="I139" s="307">
        <f>IF(H139="OK",0,IF(H139="",0,1))</f>
        <v>0</v>
      </c>
      <c r="J139" s="263" t="e">
        <f>VLOOKUP(C139,$D$139:$H$148,5,FALSE)</f>
        <v>#N/A</v>
      </c>
      <c r="K139" s="263" t="e">
        <f>VLOOKUP(C140,$D$139:$H$148,5,FALSE)</f>
        <v>#N/A</v>
      </c>
      <c r="L139" s="263" t="e">
        <f>VLOOKUP(C141,$D$139:$H$148,5,FALSE)</f>
        <v>#N/A</v>
      </c>
      <c r="M139" s="2"/>
      <c r="N139" s="2"/>
      <c r="O139" s="2"/>
      <c r="P139" s="2"/>
      <c r="Q139" s="2"/>
      <c r="R139" s="2"/>
      <c r="S139" s="2"/>
      <c r="T139" s="2"/>
      <c r="U139" s="2"/>
      <c r="V139" s="591"/>
      <c r="W139" s="591"/>
      <c r="X139" s="591"/>
      <c r="Y139" s="591"/>
      <c r="Z139" s="591"/>
      <c r="AA139" s="591"/>
      <c r="AB139" s="591"/>
      <c r="AC139" s="591"/>
      <c r="AG139" s="591"/>
      <c r="AH139" s="591"/>
      <c r="AI139" s="591"/>
      <c r="AJ139" s="591"/>
      <c r="AK139" s="591"/>
      <c r="AM139" s="591"/>
      <c r="AN139" s="591"/>
      <c r="AO139" s="591"/>
      <c r="AP139" s="591"/>
      <c r="AQ139" s="591"/>
      <c r="AS139" s="591"/>
      <c r="AT139" s="591"/>
      <c r="AU139" s="591"/>
      <c r="AV139" s="591"/>
      <c r="AW139" s="591"/>
      <c r="AY139" s="591"/>
    </row>
    <row r="140" spans="1:51" ht="15.75" hidden="1" customHeight="1" x14ac:dyDescent="0.2">
      <c r="A140" s="2"/>
      <c r="B140" s="2"/>
      <c r="C140" s="148">
        <v>2</v>
      </c>
      <c r="D140" s="103">
        <f>IF(I140=0,0,COUNTIF(D$139:D139,"&gt;0")+1)</f>
        <v>0</v>
      </c>
      <c r="E140" s="263" t="str">
        <f>IMPOSTAZIONI!B299</f>
        <v>--</v>
      </c>
      <c r="F140" s="2"/>
      <c r="G140" s="305">
        <f>VLOOKUP(E140,IMPOSTAZIONI!$B$298:$AK$304,$E$149,FALSE)</f>
        <v>0</v>
      </c>
      <c r="H140" s="306" t="str">
        <f>IF(G140&gt;0,IF(AND(ISERROR(HLOOKUP(E140,G$136:I$136,1,FALSE)),ISERROR(HLOOKUP(E140,G$1:N$1,1,FALSE))),E140,"OK"),"")</f>
        <v/>
      </c>
      <c r="I140" s="307">
        <f t="shared" ref="I140:I148" si="35">IF(H140="OK",0,IF(H140="",0,1))</f>
        <v>0</v>
      </c>
      <c r="J140" s="267">
        <f>IF(ISERROR(J$139),0,HLOOKUP(J$139,IMPOSTAZIONI!$AB$183:$AH$187,3,FALSE))</f>
        <v>0</v>
      </c>
      <c r="K140" s="267">
        <f>IF(ISERROR(K$139),0,HLOOKUP(K$139,IMPOSTAZIONI!$AB$183:$AH$187,3,FALSE))</f>
        <v>0</v>
      </c>
      <c r="L140" s="268">
        <f>IF(ISERROR(L$139),0,HLOOKUP(L$139,IMPOSTAZIONI!$AB$183:$AH$187,3,FALSE))</f>
        <v>0</v>
      </c>
      <c r="M140" s="2"/>
      <c r="N140" s="2"/>
      <c r="O140" s="2"/>
      <c r="P140" s="2"/>
      <c r="Q140" s="2"/>
      <c r="R140" s="2"/>
      <c r="S140" s="2"/>
      <c r="T140" s="2"/>
      <c r="U140" s="2"/>
      <c r="V140" s="591"/>
      <c r="W140" s="591"/>
      <c r="X140" s="591"/>
      <c r="Y140" s="591"/>
      <c r="Z140" s="591"/>
      <c r="AA140" s="591"/>
      <c r="AB140" s="591"/>
      <c r="AC140" s="591"/>
      <c r="AG140" s="591"/>
      <c r="AH140" s="591"/>
      <c r="AI140" s="591"/>
      <c r="AJ140" s="591"/>
      <c r="AK140" s="591"/>
      <c r="AM140" s="591"/>
      <c r="AN140" s="591"/>
      <c r="AO140" s="591"/>
      <c r="AP140" s="591"/>
      <c r="AQ140" s="591"/>
      <c r="AS140" s="591"/>
      <c r="AT140" s="591"/>
      <c r="AU140" s="591"/>
      <c r="AV140" s="591"/>
      <c r="AW140" s="591"/>
      <c r="AY140" s="591"/>
    </row>
    <row r="141" spans="1:51" ht="15.75" hidden="1" customHeight="1" x14ac:dyDescent="0.2">
      <c r="A141" s="2"/>
      <c r="B141" s="2"/>
      <c r="C141" s="148">
        <v>3</v>
      </c>
      <c r="D141" s="103">
        <f>IF(I141=0,0,COUNTIF(D$139:D140,"&gt;0")+1)</f>
        <v>0</v>
      </c>
      <c r="E141" s="263" t="str">
        <f>IMPOSTAZIONI!B300</f>
        <v>--</v>
      </c>
      <c r="F141" s="2"/>
      <c r="G141" s="305">
        <f>VLOOKUP(E141,IMPOSTAZIONI!$B$298:$AK$304,$E$149,FALSE)</f>
        <v>0</v>
      </c>
      <c r="H141" s="306" t="str">
        <f>IF(G141&gt;0,IF(AND(ISERROR(HLOOKUP(E141,G$136:I$136,1,FALSE)),ISERROR(HLOOKUP(E141,G$1:N$1,1,FALSE))),E141,"OK"),"")</f>
        <v/>
      </c>
      <c r="I141" s="307">
        <f t="shared" si="35"/>
        <v>0</v>
      </c>
      <c r="J141" s="264">
        <f>IF(ISERROR(J$139),0,HLOOKUP(J$139,IMPOSTAZIONI!$AB$183:$AH$187,4,FALSE))</f>
        <v>0</v>
      </c>
      <c r="K141" s="264">
        <f>IF(ISERROR(K$139),0,HLOOKUP(K$139,IMPOSTAZIONI!$AB$183:$AH$187,4,FALSE))</f>
        <v>0</v>
      </c>
      <c r="L141" s="266">
        <f>IF(ISERROR(L$139),0,HLOOKUP(L$139,IMPOSTAZIONI!$AB$183:$AH$187,4,FALSE))</f>
        <v>0</v>
      </c>
      <c r="M141" s="2"/>
      <c r="N141" s="2"/>
      <c r="O141" s="2"/>
      <c r="P141" s="2"/>
      <c r="Q141" s="2"/>
      <c r="R141" s="2"/>
      <c r="S141" s="2"/>
      <c r="T141" s="2"/>
      <c r="U141" s="2"/>
      <c r="V141" s="591"/>
      <c r="W141" s="591"/>
      <c r="X141" s="591"/>
      <c r="Y141" s="591"/>
      <c r="Z141" s="591"/>
      <c r="AA141" s="591"/>
      <c r="AB141" s="591"/>
      <c r="AC141" s="591"/>
      <c r="AG141" s="591"/>
      <c r="AH141" s="591"/>
      <c r="AI141" s="591"/>
      <c r="AJ141" s="591"/>
      <c r="AK141" s="591"/>
      <c r="AM141" s="591"/>
      <c r="AN141" s="591"/>
      <c r="AO141" s="591"/>
      <c r="AP141" s="591"/>
      <c r="AQ141" s="591"/>
      <c r="AS141" s="591"/>
      <c r="AT141" s="591"/>
      <c r="AU141" s="591"/>
      <c r="AV141" s="591"/>
      <c r="AW141" s="591"/>
      <c r="AY141" s="591"/>
    </row>
    <row r="142" spans="1:51" ht="15.75" hidden="1" customHeight="1" x14ac:dyDescent="0.2">
      <c r="A142" s="2"/>
      <c r="B142" s="2"/>
      <c r="C142" s="103"/>
      <c r="D142" s="591"/>
      <c r="E142" s="591"/>
      <c r="F142" s="591"/>
      <c r="G142" s="591"/>
      <c r="H142" s="591"/>
      <c r="I142" s="591"/>
      <c r="J142" s="270">
        <f>IF(ISERROR(J$139),0,HLOOKUP(J$139,IMPOSTAZIONI!$AB$183:$AH$187,5,FALSE))</f>
        <v>0</v>
      </c>
      <c r="K142" s="270">
        <f>IF(ISERROR(K$139),0,HLOOKUP(K$139,IMPOSTAZIONI!$AB$183:$AH$187,5,FALSE))</f>
        <v>0</v>
      </c>
      <c r="L142" s="271">
        <f>IF(ISERROR(L$139),0,HLOOKUP(L$139,IMPOSTAZIONI!$AB$183:$AH$187,5,FALSE))</f>
        <v>0</v>
      </c>
      <c r="M142" s="2"/>
      <c r="N142" s="2"/>
      <c r="O142" s="2"/>
      <c r="P142" s="2"/>
      <c r="Q142" s="2"/>
      <c r="R142" s="2"/>
      <c r="S142" s="2"/>
      <c r="T142" s="2"/>
      <c r="U142" s="2"/>
      <c r="V142" s="591"/>
      <c r="W142" s="591"/>
      <c r="X142" s="591"/>
      <c r="Y142" s="591"/>
      <c r="Z142" s="591"/>
      <c r="AA142" s="591"/>
      <c r="AB142" s="591"/>
      <c r="AC142" s="591"/>
      <c r="AG142" s="591"/>
      <c r="AH142" s="591"/>
      <c r="AI142" s="591"/>
      <c r="AJ142" s="591"/>
      <c r="AK142" s="591"/>
      <c r="AM142" s="591"/>
      <c r="AN142" s="591"/>
      <c r="AO142" s="591"/>
      <c r="AP142" s="591"/>
      <c r="AQ142" s="591"/>
      <c r="AS142" s="591"/>
      <c r="AT142" s="591"/>
      <c r="AU142" s="591"/>
      <c r="AV142" s="591"/>
      <c r="AW142" s="591"/>
      <c r="AY142" s="591"/>
    </row>
    <row r="143" spans="1:51" ht="15.75" hidden="1" customHeight="1" x14ac:dyDescent="0.2">
      <c r="A143" s="2"/>
      <c r="B143" s="2"/>
      <c r="C143" s="103"/>
      <c r="D143" s="591"/>
      <c r="E143" s="591"/>
      <c r="F143" s="591"/>
      <c r="G143" s="591"/>
      <c r="H143" s="591"/>
      <c r="I143" s="591"/>
      <c r="J143" s="2"/>
      <c r="K143" s="2"/>
      <c r="L143" s="2"/>
      <c r="M143" s="2"/>
      <c r="N143" s="2"/>
      <c r="O143" s="2"/>
      <c r="P143" s="2"/>
      <c r="Q143" s="2"/>
      <c r="R143" s="2"/>
      <c r="S143" s="2"/>
      <c r="T143" s="2"/>
      <c r="U143" s="2"/>
      <c r="V143" s="591"/>
      <c r="W143" s="591"/>
      <c r="X143" s="591"/>
      <c r="Y143" s="591"/>
      <c r="Z143" s="591"/>
      <c r="AA143" s="591"/>
      <c r="AB143" s="591"/>
      <c r="AC143" s="591"/>
      <c r="AG143" s="591"/>
      <c r="AH143" s="591"/>
      <c r="AI143" s="591"/>
      <c r="AJ143" s="591"/>
      <c r="AK143" s="591"/>
      <c r="AM143" s="591"/>
      <c r="AN143" s="591"/>
      <c r="AO143" s="591"/>
      <c r="AP143" s="591"/>
      <c r="AQ143" s="591"/>
      <c r="AS143" s="591"/>
      <c r="AT143" s="591"/>
      <c r="AU143" s="591"/>
      <c r="AV143" s="591"/>
      <c r="AW143" s="591"/>
      <c r="AY143" s="591"/>
    </row>
    <row r="144" spans="1:51" ht="15.75" hidden="1" customHeight="1" x14ac:dyDescent="0.2">
      <c r="A144" s="2"/>
      <c r="B144" s="2"/>
      <c r="C144" s="103"/>
      <c r="D144" s="591"/>
      <c r="E144" s="591"/>
      <c r="F144" s="591"/>
      <c r="G144" s="591"/>
      <c r="H144" s="591"/>
      <c r="I144" s="591"/>
      <c r="J144" s="2"/>
      <c r="K144" s="2102" t="s">
        <v>543</v>
      </c>
      <c r="L144" s="2103"/>
      <c r="M144" s="1297" t="s">
        <v>198</v>
      </c>
      <c r="N144" s="1298" t="s">
        <v>202</v>
      </c>
      <c r="O144" s="1297" t="s">
        <v>199</v>
      </c>
      <c r="P144" s="1298" t="s">
        <v>203</v>
      </c>
      <c r="Q144" s="1297" t="s">
        <v>65</v>
      </c>
      <c r="R144" s="1298" t="s">
        <v>66</v>
      </c>
      <c r="S144" s="1297" t="s">
        <v>65</v>
      </c>
      <c r="T144" s="1298" t="s">
        <v>66</v>
      </c>
      <c r="U144" s="2"/>
      <c r="V144" s="591"/>
      <c r="W144" s="591"/>
      <c r="X144" s="591"/>
      <c r="Y144" s="591"/>
      <c r="Z144" s="591"/>
      <c r="AA144" s="591"/>
      <c r="AB144" s="591"/>
      <c r="AC144" s="591"/>
      <c r="AG144" s="591"/>
      <c r="AH144" s="591"/>
      <c r="AI144" s="591"/>
      <c r="AJ144" s="591"/>
      <c r="AK144" s="591"/>
      <c r="AM144" s="591"/>
      <c r="AN144" s="591"/>
      <c r="AO144" s="591"/>
      <c r="AP144" s="591"/>
      <c r="AQ144" s="591"/>
      <c r="AS144" s="591"/>
      <c r="AT144" s="591"/>
      <c r="AU144" s="591"/>
      <c r="AV144" s="591"/>
      <c r="AW144" s="591"/>
      <c r="AY144" s="591"/>
    </row>
    <row r="145" spans="1:51" ht="15.75" hidden="1" customHeight="1" x14ac:dyDescent="0.2">
      <c r="A145" s="2"/>
      <c r="B145" s="2"/>
      <c r="C145" s="103"/>
      <c r="D145" s="103">
        <f>IF(I145=0,0,COUNTIF(D$139:D144,"&gt;0")+1)</f>
        <v>0</v>
      </c>
      <c r="E145" s="263" t="str">
        <f>IMPOSTAZIONI!B301</f>
        <v>--</v>
      </c>
      <c r="F145" s="2"/>
      <c r="G145" s="305">
        <f>VLOOKUP(E145,IMPOSTAZIONI!$B$298:$AK$304,$E$149,FALSE)</f>
        <v>0</v>
      </c>
      <c r="H145" s="306" t="str">
        <f>IF(G145&gt;0,IF(AND(ISERROR(HLOOKUP(E145,G$136:I$136,1,FALSE)),ISERROR(HLOOKUP(E145,G$1:N$1,1,FALSE))),E145,"OK"),"")</f>
        <v/>
      </c>
      <c r="I145" s="307">
        <f t="shared" si="35"/>
        <v>0</v>
      </c>
      <c r="J145" s="2"/>
      <c r="K145" s="2102" t="s">
        <v>58</v>
      </c>
      <c r="L145" s="2103"/>
      <c r="M145" s="100" t="s">
        <v>198</v>
      </c>
      <c r="N145" s="1299" t="s">
        <v>202</v>
      </c>
      <c r="O145" s="100" t="s">
        <v>199</v>
      </c>
      <c r="P145" s="1299" t="s">
        <v>203</v>
      </c>
      <c r="Q145" s="100" t="s">
        <v>65</v>
      </c>
      <c r="R145" s="1299" t="s">
        <v>66</v>
      </c>
      <c r="S145" s="100" t="s">
        <v>65</v>
      </c>
      <c r="T145" s="1299" t="s">
        <v>66</v>
      </c>
      <c r="U145" s="2"/>
      <c r="V145" s="591"/>
      <c r="W145" s="591"/>
      <c r="X145" s="591"/>
      <c r="Y145" s="591"/>
      <c r="Z145" s="591"/>
      <c r="AA145" s="591"/>
      <c r="AB145" s="591"/>
      <c r="AC145" s="591"/>
      <c r="AG145" s="591"/>
      <c r="AH145" s="591"/>
      <c r="AI145" s="591"/>
      <c r="AJ145" s="591"/>
      <c r="AK145" s="591"/>
      <c r="AM145" s="591"/>
      <c r="AN145" s="591"/>
      <c r="AO145" s="591"/>
      <c r="AP145" s="591"/>
      <c r="AQ145" s="591"/>
      <c r="AS145" s="591"/>
      <c r="AT145" s="591"/>
      <c r="AU145" s="591"/>
      <c r="AV145" s="591"/>
      <c r="AW145" s="591"/>
      <c r="AY145" s="591"/>
    </row>
    <row r="146" spans="1:51" ht="15.75" hidden="1" customHeight="1" x14ac:dyDescent="0.2">
      <c r="A146" s="2"/>
      <c r="B146" s="2"/>
      <c r="C146" s="103"/>
      <c r="D146" s="103">
        <f>IF(I146=0,0,COUNTIF(D$139:D145,"&gt;0")+1)</f>
        <v>0</v>
      </c>
      <c r="E146" s="263" t="str">
        <f>IMPOSTAZIONI!B302</f>
        <v/>
      </c>
      <c r="F146" s="2"/>
      <c r="G146" s="305">
        <f>VLOOKUP(E146,IMPOSTAZIONI!$B$298:$AK$304,$E$149,FALSE)</f>
        <v>0</v>
      </c>
      <c r="H146" s="306" t="str">
        <f>IF(G146&gt;0,IF(AND(ISERROR(HLOOKUP(E146,G$136:I$136,1,FALSE)),ISERROR(HLOOKUP(E146,G$1:N$1,1,FALSE))),E146,"OK"),"")</f>
        <v/>
      </c>
      <c r="I146" s="307">
        <f t="shared" si="35"/>
        <v>0</v>
      </c>
      <c r="J146" s="2"/>
      <c r="K146" s="2102" t="s">
        <v>59</v>
      </c>
      <c r="L146" s="2103"/>
      <c r="M146" s="100" t="s">
        <v>198</v>
      </c>
      <c r="N146" s="1299" t="s">
        <v>62</v>
      </c>
      <c r="O146" s="100" t="s">
        <v>199</v>
      </c>
      <c r="P146" s="1299" t="s">
        <v>203</v>
      </c>
      <c r="Q146" s="100" t="s">
        <v>65</v>
      </c>
      <c r="R146" s="1299" t="s">
        <v>66</v>
      </c>
      <c r="S146" s="100" t="s">
        <v>65</v>
      </c>
      <c r="T146" s="1299" t="s">
        <v>66</v>
      </c>
      <c r="U146" s="2"/>
      <c r="V146" s="591"/>
      <c r="W146" s="591"/>
      <c r="X146" s="591"/>
      <c r="Y146" s="591"/>
      <c r="Z146" s="591"/>
      <c r="AA146" s="591"/>
      <c r="AB146" s="591"/>
      <c r="AC146" s="591"/>
      <c r="AG146" s="591"/>
      <c r="AH146" s="591"/>
      <c r="AI146" s="591"/>
      <c r="AJ146" s="591"/>
      <c r="AK146" s="591"/>
      <c r="AM146" s="591"/>
      <c r="AN146" s="591"/>
      <c r="AO146" s="591"/>
      <c r="AP146" s="591"/>
      <c r="AQ146" s="591"/>
      <c r="AS146" s="591"/>
      <c r="AT146" s="591"/>
      <c r="AU146" s="591"/>
      <c r="AV146" s="591"/>
      <c r="AW146" s="591"/>
      <c r="AY146" s="591"/>
    </row>
    <row r="147" spans="1:51" ht="15.75" hidden="1" customHeight="1" x14ac:dyDescent="0.2">
      <c r="A147" s="2"/>
      <c r="B147" s="2"/>
      <c r="C147" s="103"/>
      <c r="D147" s="103">
        <f>IF(I147=0,0,COUNTIF(D$139:D146,"&gt;0")+1)</f>
        <v>0</v>
      </c>
      <c r="E147" s="263" t="str">
        <f>IMPOSTAZIONI!B303</f>
        <v/>
      </c>
      <c r="F147" s="2"/>
      <c r="G147" s="305">
        <f>VLOOKUP(E147,IMPOSTAZIONI!$B$298:$AK$304,$E$149,FALSE)</f>
        <v>0</v>
      </c>
      <c r="H147" s="306" t="str">
        <f>IF(G147&gt;0,IF(AND(ISERROR(HLOOKUP(E147,G$136:I$136,1,FALSE)),ISERROR(HLOOKUP(E147,G$1:N$1,1,FALSE))),E147,"OK"),"")</f>
        <v/>
      </c>
      <c r="I147" s="307">
        <f t="shared" si="35"/>
        <v>0</v>
      </c>
      <c r="J147" s="2"/>
      <c r="K147" s="2102" t="s">
        <v>60</v>
      </c>
      <c r="L147" s="2103"/>
      <c r="M147" s="100" t="s">
        <v>199</v>
      </c>
      <c r="N147" s="1299" t="s">
        <v>203</v>
      </c>
      <c r="O147" s="100" t="s">
        <v>198</v>
      </c>
      <c r="P147" s="1299" t="s">
        <v>63</v>
      </c>
      <c r="Q147" s="100" t="s">
        <v>67</v>
      </c>
      <c r="R147" s="1299" t="s">
        <v>68</v>
      </c>
      <c r="S147" s="100" t="s">
        <v>67</v>
      </c>
      <c r="T147" s="1299" t="s">
        <v>68</v>
      </c>
      <c r="U147" s="2"/>
      <c r="V147" s="591"/>
      <c r="W147" s="591"/>
      <c r="X147" s="591"/>
      <c r="Y147" s="591"/>
      <c r="Z147" s="591"/>
      <c r="AA147" s="591"/>
      <c r="AB147" s="591"/>
      <c r="AC147" s="591"/>
      <c r="AG147" s="591"/>
      <c r="AH147" s="591"/>
      <c r="AI147" s="591"/>
      <c r="AJ147" s="591"/>
      <c r="AK147" s="591"/>
      <c r="AM147" s="591"/>
      <c r="AN147" s="591"/>
      <c r="AO147" s="591"/>
      <c r="AP147" s="591"/>
      <c r="AQ147" s="591"/>
      <c r="AS147" s="591"/>
      <c r="AT147" s="591"/>
      <c r="AU147" s="591"/>
      <c r="AV147" s="591"/>
      <c r="AW147" s="591"/>
      <c r="AY147" s="591"/>
    </row>
    <row r="148" spans="1:51" ht="15.75" hidden="1" customHeight="1" x14ac:dyDescent="0.2">
      <c r="A148" s="2"/>
      <c r="B148" s="2"/>
      <c r="C148" s="103"/>
      <c r="D148" s="103">
        <f>IF(I148=0,0,COUNTIF(D$139:D147,"&gt;0")+1)</f>
        <v>0</v>
      </c>
      <c r="E148" s="263" t="str">
        <f>IMPOSTAZIONI!B304</f>
        <v/>
      </c>
      <c r="F148" s="2"/>
      <c r="G148" s="305">
        <f>VLOOKUP(E148,IMPOSTAZIONI!$B$298:$AK$304,$E$149,FALSE)</f>
        <v>0</v>
      </c>
      <c r="H148" s="306" t="str">
        <f>IF(G148&gt;0,IF(AND(ISERROR(HLOOKUP(E148,G$136:I$136,1,FALSE)),ISERROR(HLOOKUP(E148,G$1:N$1,1,FALSE))),E148,"OK"),"")</f>
        <v/>
      </c>
      <c r="I148" s="307">
        <f t="shared" si="35"/>
        <v>0</v>
      </c>
      <c r="J148" s="2"/>
      <c r="K148" s="2102" t="s">
        <v>61</v>
      </c>
      <c r="L148" s="2103"/>
      <c r="M148" s="100" t="s">
        <v>195</v>
      </c>
      <c r="N148" s="1301" t="s">
        <v>64</v>
      </c>
      <c r="O148" s="1300" t="s">
        <v>195</v>
      </c>
      <c r="P148" s="1301" t="s">
        <v>64</v>
      </c>
      <c r="Q148" s="1300" t="s">
        <v>69</v>
      </c>
      <c r="R148" s="1301"/>
      <c r="S148" s="1300" t="s">
        <v>70</v>
      </c>
      <c r="T148" s="1301"/>
      <c r="U148" s="2"/>
      <c r="V148" s="591"/>
      <c r="W148" s="591"/>
      <c r="X148" s="591"/>
      <c r="Y148" s="591"/>
      <c r="Z148" s="591"/>
      <c r="AA148" s="591"/>
      <c r="AB148" s="591"/>
      <c r="AC148" s="591"/>
      <c r="AG148" s="591"/>
      <c r="AH148" s="591"/>
      <c r="AI148" s="591"/>
      <c r="AJ148" s="591"/>
      <c r="AK148" s="591"/>
      <c r="AM148" s="591"/>
      <c r="AN148" s="591"/>
      <c r="AO148" s="591"/>
      <c r="AP148" s="591"/>
      <c r="AQ148" s="591"/>
      <c r="AS148" s="591"/>
      <c r="AT148" s="591"/>
      <c r="AU148" s="591"/>
      <c r="AV148" s="591"/>
      <c r="AW148" s="591"/>
      <c r="AY148" s="591"/>
    </row>
    <row r="149" spans="1:51" ht="15.75" hidden="1" customHeight="1" x14ac:dyDescent="0.2">
      <c r="A149" s="2"/>
      <c r="B149" s="2"/>
      <c r="C149" s="2"/>
      <c r="D149" s="2"/>
      <c r="E149" s="306">
        <v>21</v>
      </c>
      <c r="F149" s="2"/>
      <c r="G149" s="306" t="str">
        <f>IF(MAX(D139:D148)&gt;C141,K132,"")</f>
        <v/>
      </c>
      <c r="H149" s="308">
        <f>IF((MAX(D139:D148)+3-E135)&gt;3,K132,MAX(D139:D148))</f>
        <v>0</v>
      </c>
      <c r="I149" s="273"/>
      <c r="J149" s="2"/>
      <c r="K149" s="2099"/>
      <c r="L149" s="2099"/>
      <c r="M149" s="1302"/>
      <c r="N149" s="1302"/>
      <c r="O149" s="2"/>
      <c r="P149" s="2"/>
      <c r="Q149" s="2"/>
      <c r="R149" s="2"/>
      <c r="S149" s="2"/>
      <c r="T149" s="2"/>
      <c r="U149" s="2"/>
      <c r="V149" s="591"/>
      <c r="W149" s="591"/>
      <c r="X149" s="591"/>
      <c r="Y149" s="591"/>
      <c r="Z149" s="591"/>
      <c r="AA149" s="591"/>
      <c r="AB149" s="591"/>
      <c r="AC149" s="591"/>
      <c r="AG149" s="591"/>
      <c r="AH149" s="591"/>
      <c r="AI149" s="591"/>
      <c r="AJ149" s="591"/>
      <c r="AK149" s="591"/>
      <c r="AM149" s="591"/>
      <c r="AN149" s="591"/>
      <c r="AO149" s="591"/>
      <c r="AP149" s="591"/>
      <c r="AQ149" s="591"/>
      <c r="AS149" s="591"/>
      <c r="AT149" s="591"/>
      <c r="AU149" s="591"/>
      <c r="AV149" s="591"/>
      <c r="AW149" s="591"/>
      <c r="AY149" s="591"/>
    </row>
    <row r="150" spans="1:51" ht="21" hidden="1" customHeight="1" x14ac:dyDescent="0.2">
      <c r="A150" s="2"/>
      <c r="B150" s="2"/>
      <c r="C150" s="2"/>
      <c r="D150" s="2"/>
      <c r="E150" s="807">
        <f>VLOOKUP(E3,STORICO!C153:AO197,39,FALSE)</f>
        <v>0</v>
      </c>
      <c r="F150" s="2"/>
      <c r="G150" s="1211">
        <f>IF(AND(G152&gt;0,OR(G99&lt;&gt;"OK",G105&lt;&gt;"OK")),1,0)</f>
        <v>0</v>
      </c>
      <c r="H150" s="1211">
        <f>IF(AND(H152&gt;0,OR(H99&lt;&gt;"OK",H105&lt;&gt;"OK")),1,0)</f>
        <v>0</v>
      </c>
      <c r="I150" s="1211">
        <f>IF(AND(I152&gt;0,OR(K99&lt;&gt;"OK",K105&lt;&gt;"OK")),1,0)</f>
        <v>0</v>
      </c>
      <c r="J150" s="1211">
        <f>IF(AND(J152&gt;0,OR(N99&lt;&gt;"OK",N105&lt;&gt;"OK")),1,0)</f>
        <v>0</v>
      </c>
      <c r="K150" s="2"/>
      <c r="L150" s="2"/>
      <c r="M150" s="2"/>
      <c r="N150" s="2"/>
      <c r="O150" s="2"/>
      <c r="P150" s="2"/>
      <c r="Q150" s="2"/>
      <c r="R150" s="2"/>
      <c r="S150" s="2"/>
      <c r="T150" s="2"/>
      <c r="U150" s="2"/>
      <c r="V150" s="591"/>
      <c r="W150" s="591"/>
      <c r="X150" s="591"/>
      <c r="Y150" s="591"/>
      <c r="Z150" s="591"/>
      <c r="AA150" s="591"/>
      <c r="AB150" s="591"/>
      <c r="AC150" s="591"/>
      <c r="AG150" s="591"/>
      <c r="AH150" s="591"/>
      <c r="AI150" s="591"/>
      <c r="AJ150" s="591"/>
      <c r="AK150" s="591"/>
      <c r="AM150" s="591"/>
      <c r="AN150" s="591"/>
      <c r="AO150" s="591"/>
      <c r="AP150" s="591"/>
      <c r="AQ150" s="591"/>
      <c r="AS150" s="591"/>
      <c r="AT150" s="591"/>
      <c r="AU150" s="591"/>
      <c r="AV150" s="591"/>
      <c r="AW150" s="591"/>
      <c r="AY150" s="591"/>
    </row>
    <row r="151" spans="1:51" ht="21" hidden="1" customHeight="1" x14ac:dyDescent="0.2">
      <c r="A151" s="2"/>
      <c r="B151" s="2"/>
      <c r="C151" s="2"/>
      <c r="D151" s="2"/>
      <c r="E151" s="2"/>
      <c r="F151" s="2"/>
      <c r="G151" s="1212" t="str">
        <f>IMPOSTAZIONI!Y382</f>
        <v>Hai delle colonne ALIQUOTE DIVERSE che DEVI SCORPORARE manualmente qui.</v>
      </c>
      <c r="H151" s="1212"/>
      <c r="I151" s="1212"/>
      <c r="J151" s="1212"/>
      <c r="K151" s="1213"/>
      <c r="L151" s="1213"/>
      <c r="M151" s="1213"/>
      <c r="N151" s="1213"/>
      <c r="O151" s="688"/>
      <c r="P151" s="688"/>
      <c r="Q151" s="688"/>
      <c r="R151" s="99"/>
      <c r="S151" s="1306"/>
      <c r="T151" s="591"/>
      <c r="U151" s="591"/>
      <c r="V151" s="591"/>
      <c r="W151" s="591"/>
      <c r="X151" s="591"/>
      <c r="Y151" s="591"/>
      <c r="Z151" s="591"/>
      <c r="AA151" s="591"/>
      <c r="AB151" s="591"/>
      <c r="AC151" s="591"/>
      <c r="AG151" s="591"/>
      <c r="AH151" s="591"/>
      <c r="AI151" s="591"/>
      <c r="AJ151" s="591"/>
      <c r="AK151" s="591"/>
      <c r="AM151" s="591"/>
      <c r="AN151" s="591"/>
      <c r="AO151" s="591"/>
      <c r="AP151" s="591"/>
      <c r="AQ151" s="591"/>
      <c r="AS151" s="591"/>
      <c r="AT151" s="591"/>
      <c r="AU151" s="591"/>
      <c r="AV151" s="591"/>
      <c r="AW151" s="591"/>
      <c r="AY151" s="591"/>
    </row>
    <row r="152" spans="1:51" ht="21" hidden="1" customHeight="1" x14ac:dyDescent="0.2">
      <c r="A152" s="2"/>
      <c r="B152" s="2"/>
      <c r="C152" s="2"/>
      <c r="D152" s="2"/>
      <c r="E152" s="92" t="str">
        <f>IMPOSTAZIONI!J383</f>
        <v>INSERISCI</v>
      </c>
      <c r="F152" s="2"/>
      <c r="G152" s="86">
        <f>IF(G46=0,0,IF(AND(G62&lt;&gt;$L134,G155="X"),1,0))</f>
        <v>0</v>
      </c>
      <c r="H152" s="87">
        <f>IF(H46=0,0,IF(AND(H62&lt;&gt;$L134,H155="X"),1,0))</f>
        <v>0</v>
      </c>
      <c r="I152" s="87">
        <f>IF(K46=0,0,IF(AND(K62&lt;&gt;$L134,I155="X"),1,0))</f>
        <v>0</v>
      </c>
      <c r="J152" s="88">
        <f>IF(N46=0,0,IF(AND(N62&lt;&gt;$L134,J155="X"),1,0))</f>
        <v>0</v>
      </c>
      <c r="K152" s="100" t="str">
        <f>IMPOSTAZIONI!M383</f>
        <v>VERIFICA</v>
      </c>
      <c r="L152" s="92" t="str">
        <f>IMPOSTAZIONI!P383</f>
        <v>CANCELLA</v>
      </c>
      <c r="M152" s="2"/>
      <c r="N152" s="2"/>
      <c r="O152" s="2"/>
      <c r="P152" s="2"/>
      <c r="Q152" s="2"/>
      <c r="R152" s="2"/>
      <c r="S152" s="591"/>
      <c r="T152" s="591"/>
      <c r="U152" s="591"/>
      <c r="V152" s="591"/>
      <c r="W152" s="591"/>
      <c r="X152" s="591"/>
      <c r="Y152" s="591"/>
      <c r="Z152" s="591"/>
      <c r="AA152" s="591"/>
      <c r="AB152" s="591"/>
      <c r="AC152" s="591"/>
      <c r="AG152" s="591"/>
      <c r="AH152" s="591"/>
      <c r="AI152" s="591"/>
      <c r="AJ152" s="591"/>
      <c r="AK152" s="591"/>
      <c r="AM152" s="591"/>
      <c r="AN152" s="591"/>
      <c r="AO152" s="591"/>
      <c r="AP152" s="591"/>
      <c r="AQ152" s="591"/>
      <c r="AS152" s="591"/>
      <c r="AT152" s="591"/>
      <c r="AU152" s="591"/>
      <c r="AV152" s="591"/>
      <c r="AW152" s="591"/>
      <c r="AY152" s="591"/>
    </row>
    <row r="153" spans="1:51" hidden="1" x14ac:dyDescent="0.2">
      <c r="A153" s="2"/>
      <c r="B153" s="2"/>
      <c r="C153" s="2"/>
      <c r="D153" s="2"/>
      <c r="E153" s="2"/>
      <c r="F153" s="2"/>
      <c r="G153" s="756">
        <f>G46</f>
        <v>0</v>
      </c>
      <c r="H153" s="757">
        <f>H46</f>
        <v>0</v>
      </c>
      <c r="I153" s="757">
        <f>K46</f>
        <v>0</v>
      </c>
      <c r="J153" s="758">
        <f>N46</f>
        <v>0</v>
      </c>
      <c r="K153" s="2"/>
      <c r="L153" s="2"/>
      <c r="M153" s="2"/>
      <c r="N153" s="2"/>
      <c r="O153" s="2"/>
      <c r="P153" s="2"/>
      <c r="Q153" s="2"/>
      <c r="R153" s="2"/>
      <c r="S153" s="591"/>
      <c r="T153" s="591"/>
      <c r="U153" s="591"/>
      <c r="V153" s="591"/>
      <c r="W153" s="591"/>
      <c r="X153" s="591"/>
      <c r="Y153" s="591"/>
      <c r="Z153" s="591"/>
      <c r="AA153" s="591"/>
      <c r="AB153" s="591"/>
      <c r="AC153" s="591"/>
      <c r="AG153" s="591"/>
      <c r="AH153" s="591"/>
      <c r="AI153" s="591"/>
      <c r="AJ153" s="591"/>
      <c r="AK153" s="591"/>
      <c r="AM153" s="591"/>
      <c r="AN153" s="591"/>
      <c r="AO153" s="591"/>
      <c r="AP153" s="591"/>
      <c r="AQ153" s="591"/>
      <c r="AS153" s="591"/>
      <c r="AT153" s="591"/>
      <c r="AU153" s="591"/>
      <c r="AV153" s="591"/>
      <c r="AW153" s="591"/>
      <c r="AY153" s="591"/>
    </row>
    <row r="154" spans="1:51" ht="16.5" hidden="1" customHeight="1" x14ac:dyDescent="0.2">
      <c r="A154" s="2"/>
      <c r="B154" s="2"/>
      <c r="C154" s="2"/>
      <c r="D154" s="2"/>
      <c r="E154" s="2"/>
      <c r="F154" s="2"/>
      <c r="G154" s="756">
        <f>G48</f>
        <v>0</v>
      </c>
      <c r="H154" s="757">
        <f>H48</f>
        <v>0</v>
      </c>
      <c r="I154" s="757">
        <f>K48</f>
        <v>0</v>
      </c>
      <c r="J154" s="758">
        <f>N48</f>
        <v>0</v>
      </c>
      <c r="K154" s="2"/>
      <c r="L154" s="2"/>
      <c r="M154" s="2"/>
      <c r="N154" s="2"/>
      <c r="O154" s="2"/>
      <c r="P154" s="2"/>
      <c r="Q154" s="2"/>
      <c r="R154" s="2"/>
      <c r="S154" s="591"/>
      <c r="T154" s="591"/>
      <c r="U154" s="591"/>
      <c r="V154" s="591"/>
      <c r="W154" s="591"/>
      <c r="X154" s="591"/>
      <c r="Y154" s="591"/>
      <c r="Z154" s="591"/>
      <c r="AA154" s="591"/>
      <c r="AB154" s="591"/>
      <c r="AC154" s="591"/>
      <c r="AG154" s="591"/>
      <c r="AH154" s="591"/>
      <c r="AI154" s="591"/>
      <c r="AJ154" s="591"/>
      <c r="AK154" s="591"/>
      <c r="AM154" s="591"/>
      <c r="AN154" s="591"/>
      <c r="AO154" s="591"/>
      <c r="AP154" s="591"/>
      <c r="AQ154" s="591"/>
      <c r="AS154" s="591"/>
      <c r="AT154" s="591"/>
      <c r="AU154" s="591"/>
      <c r="AV154" s="591"/>
      <c r="AW154" s="591"/>
      <c r="AY154" s="591"/>
    </row>
    <row r="155" spans="1:51" ht="15" hidden="1" customHeight="1" x14ac:dyDescent="0.2">
      <c r="A155" s="2"/>
      <c r="B155" s="2"/>
      <c r="C155" s="2"/>
      <c r="D155" s="2"/>
      <c r="E155" s="2"/>
      <c r="F155" s="2"/>
      <c r="G155" s="753">
        <f>IF(G156="",0,VLOOKUP(G156,IMPOSTAZIONI!$R$131:$AD$145,13,FALSE))</f>
        <v>0</v>
      </c>
      <c r="H155" s="754">
        <f>IF(H156="",0,VLOOKUP(H156,IMPOSTAZIONI!$R$131:$AD$145,13,FALSE))</f>
        <v>0</v>
      </c>
      <c r="I155" s="754">
        <f>IF(I156="",0,VLOOKUP(I156,IMPOSTAZIONI!$R$131:$AD$145,13,FALSE))</f>
        <v>0</v>
      </c>
      <c r="J155" s="755">
        <f>IF(J156="",0,VLOOKUP(J156,IMPOSTAZIONI!$R$131:$AD$145,13,FALSE))</f>
        <v>0</v>
      </c>
      <c r="K155" s="2"/>
      <c r="L155" s="2"/>
      <c r="M155" s="2"/>
      <c r="N155" s="2"/>
      <c r="O155" s="2"/>
      <c r="P155" s="2"/>
      <c r="Q155" s="2"/>
      <c r="R155" s="2"/>
      <c r="S155" s="591"/>
      <c r="T155" s="591"/>
      <c r="U155" s="591"/>
      <c r="V155" s="591"/>
      <c r="W155" s="591"/>
      <c r="X155" s="591"/>
      <c r="Y155" s="591"/>
      <c r="Z155" s="591"/>
      <c r="AA155" s="591"/>
      <c r="AB155" s="591"/>
      <c r="AC155" s="591"/>
      <c r="AG155" s="591"/>
      <c r="AH155" s="591"/>
      <c r="AI155" s="591"/>
      <c r="AJ155" s="591"/>
      <c r="AK155" s="591"/>
      <c r="AM155" s="591"/>
      <c r="AN155" s="591"/>
      <c r="AO155" s="591"/>
      <c r="AP155" s="591"/>
      <c r="AQ155" s="591"/>
      <c r="AS155" s="591"/>
      <c r="AT155" s="591"/>
      <c r="AU155" s="591"/>
      <c r="AV155" s="591"/>
      <c r="AW155" s="591"/>
      <c r="AY155" s="591"/>
    </row>
    <row r="156" spans="1:51" ht="15" hidden="1" customHeight="1" x14ac:dyDescent="0.2">
      <c r="A156" s="2"/>
      <c r="B156" s="2"/>
      <c r="C156" s="2"/>
      <c r="D156" s="2"/>
      <c r="E156" s="2"/>
      <c r="F156" s="56"/>
      <c r="G156" s="752" t="str">
        <f>IMPOSTAZIONI!F212</f>
        <v/>
      </c>
      <c r="H156" s="752" t="str">
        <f>IMPOSTAZIONI!K212</f>
        <v/>
      </c>
      <c r="I156" s="752" t="str">
        <f>IMPOSTAZIONI!P212</f>
        <v/>
      </c>
      <c r="J156" s="752" t="str">
        <f>IMPOSTAZIONI!U212</f>
        <v/>
      </c>
      <c r="K156" s="2100" t="s">
        <v>195</v>
      </c>
      <c r="L156" s="2100"/>
      <c r="M156" s="2"/>
      <c r="N156" s="2"/>
      <c r="O156" s="2"/>
      <c r="P156" s="2"/>
      <c r="Q156" s="2"/>
      <c r="R156" s="2"/>
      <c r="S156" s="591"/>
      <c r="T156" s="591"/>
      <c r="U156" s="591"/>
      <c r="V156" s="591"/>
      <c r="W156" s="591"/>
      <c r="X156" s="591"/>
      <c r="Y156" s="591"/>
      <c r="Z156" s="591"/>
      <c r="AA156" s="591"/>
      <c r="AB156" s="591"/>
      <c r="AC156" s="591"/>
      <c r="AG156" s="591"/>
      <c r="AH156" s="591"/>
      <c r="AI156" s="591"/>
      <c r="AJ156" s="591"/>
      <c r="AK156" s="591"/>
      <c r="AM156" s="591"/>
      <c r="AN156" s="591"/>
      <c r="AO156" s="591"/>
      <c r="AP156" s="591"/>
      <c r="AQ156" s="591"/>
      <c r="AS156" s="591"/>
      <c r="AT156" s="591"/>
      <c r="AU156" s="591"/>
      <c r="AV156" s="591"/>
      <c r="AW156" s="591"/>
      <c r="AY156" s="591"/>
    </row>
    <row r="157" spans="1:51" ht="15" hidden="1" customHeight="1" x14ac:dyDescent="0.2">
      <c r="A157" s="2"/>
      <c r="B157" s="2"/>
      <c r="C157" s="2"/>
      <c r="D157" s="2"/>
      <c r="E157" s="288" t="str">
        <f>IMPOSTAZIONI!B321</f>
        <v>SC</v>
      </c>
      <c r="F157" s="56"/>
      <c r="G157" s="288" t="str">
        <f>IF(MID(G1,7,2)="",$E157,MID(G1,7,2))</f>
        <v>SC</v>
      </c>
      <c r="H157" s="288" t="str">
        <f>IF(MID(H1,7,2)="",$E157,MID(H1,7,2))</f>
        <v>SC</v>
      </c>
      <c r="I157" s="288" t="str">
        <f>IF(MID(K1,7,2)="",$E157,MID(K1,7,2))</f>
        <v>SC</v>
      </c>
      <c r="J157" s="288" t="str">
        <f>IF(MID(N1,7,2)="",$E157,MID(N1,7,2))</f>
        <v>SC</v>
      </c>
      <c r="K157" s="2100" t="str">
        <f>IMPOSTAZIONI!AH7</f>
        <v>Categoria</v>
      </c>
      <c r="L157" s="2100"/>
      <c r="M157" s="2"/>
      <c r="N157" s="2"/>
      <c r="O157" s="2"/>
      <c r="P157" s="2"/>
      <c r="Q157" s="2"/>
      <c r="R157" s="2"/>
      <c r="S157" s="591"/>
      <c r="T157" s="591"/>
      <c r="U157" s="591"/>
      <c r="V157" s="591"/>
      <c r="W157" s="591"/>
      <c r="X157" s="591"/>
      <c r="Y157" s="591"/>
      <c r="Z157" s="591"/>
      <c r="AA157" s="591"/>
      <c r="AB157" s="591"/>
      <c r="AC157" s="591"/>
      <c r="AG157" s="591"/>
      <c r="AH157" s="591"/>
      <c r="AI157" s="591"/>
      <c r="AJ157" s="591"/>
      <c r="AK157" s="591"/>
      <c r="AM157" s="591"/>
      <c r="AN157" s="591"/>
      <c r="AO157" s="591"/>
      <c r="AP157" s="591"/>
      <c r="AQ157" s="591"/>
      <c r="AS157" s="591"/>
      <c r="AT157" s="591"/>
      <c r="AU157" s="591"/>
      <c r="AV157" s="591"/>
      <c r="AW157" s="591"/>
      <c r="AY157" s="591"/>
    </row>
    <row r="158" spans="1:51" ht="15" hidden="1" customHeight="1" x14ac:dyDescent="0.2">
      <c r="A158" s="2"/>
      <c r="B158" s="2"/>
      <c r="C158" s="2"/>
      <c r="D158" s="2"/>
      <c r="E158" s="288" t="str">
        <f>IMPOSTAZIONI!B351</f>
        <v>%</v>
      </c>
      <c r="F158" s="56"/>
      <c r="G158" s="288" t="str">
        <f>IF(OR(G155&gt;0,G155="X"),$E158,IF(G156="","",MID(G1,4,2)))</f>
        <v/>
      </c>
      <c r="H158" s="288" t="str">
        <f>IF(OR(H155&gt;0,H155="X"),$E158,IF(H156="","",MID(H1,4,2)))</f>
        <v/>
      </c>
      <c r="I158" s="288" t="str">
        <f>IF(OR(I155&gt;0,I155="X"),$E158,IF(I156="","",MID(K1,4,2)))</f>
        <v/>
      </c>
      <c r="J158" s="288" t="str">
        <f>IF(OR(J155&gt;0,J155="X"),$E158,IF(J156="","",MID(N1,4,2)))</f>
        <v/>
      </c>
      <c r="K158" s="2100" t="str">
        <f>IMPOSTAZIONI!B337</f>
        <v>NO IVA</v>
      </c>
      <c r="L158" s="2100"/>
      <c r="M158" s="2"/>
      <c r="N158" s="2"/>
      <c r="O158" s="2"/>
      <c r="P158" s="2"/>
      <c r="Q158" s="2"/>
      <c r="R158" s="2"/>
      <c r="S158" s="591"/>
      <c r="T158" s="591"/>
      <c r="U158" s="591"/>
      <c r="V158" s="591"/>
      <c r="W158" s="591"/>
      <c r="X158" s="591"/>
      <c r="Y158" s="591"/>
      <c r="Z158" s="591"/>
      <c r="AA158" s="591"/>
      <c r="AB158" s="591"/>
      <c r="AC158" s="591"/>
      <c r="AG158" s="591"/>
      <c r="AH158" s="591"/>
      <c r="AI158" s="591"/>
      <c r="AJ158" s="591"/>
      <c r="AK158" s="591"/>
      <c r="AM158" s="591"/>
      <c r="AN158" s="591"/>
      <c r="AO158" s="591"/>
      <c r="AP158" s="591"/>
      <c r="AQ158" s="591"/>
      <c r="AS158" s="591"/>
      <c r="AT158" s="591"/>
      <c r="AU158" s="591"/>
      <c r="AV158" s="591"/>
      <c r="AW158" s="591"/>
      <c r="AY158" s="591"/>
    </row>
    <row r="159" spans="1:51" ht="15" hidden="1" customHeight="1" x14ac:dyDescent="0.2">
      <c r="A159" s="2"/>
      <c r="B159" s="2"/>
      <c r="C159" s="2"/>
      <c r="D159" s="2"/>
      <c r="E159" s="288"/>
      <c r="F159" s="56"/>
      <c r="G159" s="376" t="str">
        <f>MID(G1,1,2)</f>
        <v>--</v>
      </c>
      <c r="H159" s="376" t="str">
        <f>MID(H1,1,2)</f>
        <v>--</v>
      </c>
      <c r="I159" s="376" t="str">
        <f>MID(K1,1,2)</f>
        <v>--</v>
      </c>
      <c r="J159" s="376" t="str">
        <f>MID(N1,1,2)</f>
        <v>--</v>
      </c>
      <c r="K159" s="2100" t="str">
        <f>IMPOSTAZIONI!B354</f>
        <v>TIPO</v>
      </c>
      <c r="L159" s="2100"/>
      <c r="M159" s="2"/>
      <c r="N159" s="2"/>
      <c r="O159" s="2"/>
      <c r="P159" s="2"/>
      <c r="Q159" s="2"/>
      <c r="R159" s="2"/>
      <c r="S159" s="591"/>
      <c r="T159" s="591"/>
      <c r="U159" s="591"/>
      <c r="V159" s="591"/>
      <c r="W159" s="591"/>
      <c r="X159" s="591"/>
      <c r="Y159" s="591"/>
      <c r="Z159" s="591"/>
      <c r="AA159" s="591"/>
      <c r="AB159" s="591"/>
      <c r="AC159" s="591"/>
      <c r="AG159" s="591"/>
      <c r="AH159" s="591"/>
      <c r="AI159" s="591"/>
      <c r="AJ159" s="591"/>
      <c r="AK159" s="591"/>
      <c r="AM159" s="591"/>
      <c r="AN159" s="591"/>
      <c r="AO159" s="591"/>
      <c r="AP159" s="591"/>
      <c r="AQ159" s="591"/>
      <c r="AS159" s="591"/>
      <c r="AT159" s="591"/>
      <c r="AU159" s="591"/>
      <c r="AV159" s="591"/>
      <c r="AW159" s="591"/>
      <c r="AY159" s="591"/>
    </row>
    <row r="160" spans="1:51" ht="15" hidden="1" customHeight="1" x14ac:dyDescent="0.2">
      <c r="A160" s="2"/>
      <c r="B160" s="2"/>
      <c r="C160" s="2"/>
      <c r="D160" s="2"/>
      <c r="E160" s="288"/>
      <c r="F160" s="56"/>
      <c r="G160" s="951">
        <f>SUM(G101:G104)</f>
        <v>0</v>
      </c>
      <c r="H160" s="377">
        <f>SUM(H101:H104)</f>
        <v>0</v>
      </c>
      <c r="I160" s="377">
        <f>SUM(K101:K104)</f>
        <v>0</v>
      </c>
      <c r="J160" s="377">
        <f>SUM(N101:N104)</f>
        <v>0</v>
      </c>
      <c r="K160" s="2107" t="s">
        <v>529</v>
      </c>
      <c r="L160" s="2107"/>
      <c r="M160" s="14"/>
      <c r="N160" s="14"/>
      <c r="O160" s="14"/>
      <c r="P160" s="14"/>
      <c r="Q160" s="14"/>
      <c r="R160" s="2"/>
      <c r="S160" s="591"/>
      <c r="T160" s="591"/>
      <c r="U160" s="591"/>
      <c r="V160" s="591"/>
      <c r="W160" s="591"/>
      <c r="X160" s="591"/>
      <c r="Y160" s="591"/>
      <c r="Z160" s="591"/>
      <c r="AA160" s="591"/>
      <c r="AB160" s="591"/>
      <c r="AC160" s="591"/>
      <c r="AG160" s="591"/>
      <c r="AH160" s="591"/>
      <c r="AI160" s="591"/>
      <c r="AJ160" s="591"/>
      <c r="AK160" s="591"/>
      <c r="AM160" s="591"/>
      <c r="AN160" s="591"/>
      <c r="AO160" s="591"/>
      <c r="AP160" s="591"/>
      <c r="AQ160" s="591"/>
      <c r="AS160" s="591"/>
      <c r="AT160" s="591"/>
      <c r="AU160" s="591"/>
      <c r="AV160" s="591"/>
      <c r="AW160" s="591"/>
      <c r="AY160" s="591"/>
    </row>
    <row r="161" spans="1:51" ht="15" hidden="1" customHeight="1" x14ac:dyDescent="0.2">
      <c r="A161" s="2"/>
      <c r="B161" s="2"/>
      <c r="C161" s="2"/>
      <c r="D161" s="2"/>
      <c r="E161" s="72"/>
      <c r="F161" s="2"/>
      <c r="G161" s="950">
        <f>IF(AND(G42=$K134,G62=$L135),G48,0)</f>
        <v>0</v>
      </c>
      <c r="H161" s="950">
        <f>IF(AND(H42=$K134,H62=$L135),H48,0)</f>
        <v>0</v>
      </c>
      <c r="I161" s="950">
        <f>IF(AND(K42=$K134,K62=$L135),K48,0)</f>
        <v>0</v>
      </c>
      <c r="J161" s="950">
        <f>IF(AND(N42=$K134,N62=$L135),N48,0)</f>
        <v>0</v>
      </c>
      <c r="K161" s="211"/>
      <c r="L161" s="211"/>
      <c r="M161" s="211"/>
      <c r="N161" s="211"/>
      <c r="O161" s="211"/>
      <c r="P161" s="211"/>
      <c r="Q161" s="211"/>
      <c r="R161" s="2"/>
      <c r="S161" s="591"/>
      <c r="T161" s="591"/>
      <c r="U161" s="591"/>
      <c r="V161" s="591"/>
      <c r="W161" s="591"/>
      <c r="X161" s="591"/>
      <c r="Y161" s="591"/>
      <c r="Z161" s="591"/>
      <c r="AA161" s="591"/>
      <c r="AB161" s="591"/>
      <c r="AC161" s="591"/>
      <c r="AG161" s="591"/>
      <c r="AH161" s="591"/>
      <c r="AI161" s="591"/>
      <c r="AJ161" s="591"/>
      <c r="AK161" s="591"/>
      <c r="AM161" s="591"/>
      <c r="AN161" s="591"/>
      <c r="AO161" s="591"/>
      <c r="AP161" s="591"/>
      <c r="AQ161" s="591"/>
      <c r="AS161" s="591"/>
      <c r="AT161" s="591"/>
      <c r="AU161" s="591"/>
      <c r="AV161" s="591"/>
      <c r="AW161" s="591"/>
      <c r="AY161" s="591"/>
    </row>
    <row r="162" spans="1:51" hidden="1" x14ac:dyDescent="0.2">
      <c r="A162" s="2"/>
      <c r="B162" s="2086">
        <f>Presentazione!Q13</f>
        <v>45292</v>
      </c>
      <c r="C162" s="2087"/>
      <c r="D162" s="2088"/>
      <c r="E162" s="288" t="str">
        <f>CONCATENATE(CASSA!X485,"    ")</f>
        <v xml:space="preserve">Chiuso    </v>
      </c>
      <c r="F162" s="2"/>
      <c r="G162" s="950">
        <f>IF(G62&lt;&gt;$L134,G48-G161,0)</f>
        <v>0</v>
      </c>
      <c r="H162" s="950">
        <f>IF(H62&lt;&gt;$L134,H48-H161,0)</f>
        <v>0</v>
      </c>
      <c r="I162" s="950">
        <f>IF(K62&lt;&gt;$L134,K48-I161,0)</f>
        <v>0</v>
      </c>
      <c r="J162" s="950">
        <f>IF(N62&lt;&gt;$L134,N48-J161,0)</f>
        <v>0</v>
      </c>
      <c r="K162" s="2"/>
      <c r="L162" s="2"/>
      <c r="M162" s="2"/>
      <c r="N162" s="2"/>
      <c r="O162" s="2"/>
      <c r="P162" s="2"/>
      <c r="Q162" s="2"/>
      <c r="R162" s="2"/>
      <c r="S162" s="591"/>
      <c r="T162" s="591"/>
      <c r="U162" s="591"/>
      <c r="V162" s="591"/>
      <c r="W162" s="591"/>
      <c r="X162" s="591"/>
      <c r="Y162" s="591"/>
      <c r="Z162" s="591"/>
      <c r="AA162" s="591"/>
      <c r="AB162" s="591"/>
      <c r="AC162" s="591"/>
      <c r="AG162" s="591"/>
      <c r="AH162" s="591"/>
      <c r="AI162" s="591"/>
      <c r="AJ162" s="591"/>
      <c r="AK162" s="591"/>
      <c r="AM162" s="591"/>
      <c r="AN162" s="591"/>
      <c r="AO162" s="591"/>
      <c r="AP162" s="591"/>
      <c r="AQ162" s="591"/>
      <c r="AS162" s="591"/>
      <c r="AT162" s="591"/>
      <c r="AU162" s="591"/>
      <c r="AV162" s="591"/>
      <c r="AW162" s="591"/>
      <c r="AY162" s="591"/>
    </row>
    <row r="163" spans="1:51" ht="15" hidden="1" customHeight="1" x14ac:dyDescent="0.2">
      <c r="A163" s="2"/>
      <c r="B163" s="2086">
        <f>Presentazione!R13</f>
        <v>45382</v>
      </c>
      <c r="C163" s="2087"/>
      <c r="D163" s="2088"/>
      <c r="E163" s="288" t="str">
        <f>CONCATENATE(IMPOSTAZIONI!L188,"    ")</f>
        <v xml:space="preserve">ERROR    </v>
      </c>
      <c r="F163" s="232"/>
      <c r="G163" s="233" t="s">
        <v>299</v>
      </c>
      <c r="H163" s="60">
        <f>IMPOSTAZIONI!N387</f>
        <v>18</v>
      </c>
      <c r="I163" s="288">
        <f>IMPOSTAZIONI!Y153</f>
        <v>0</v>
      </c>
      <c r="J163" s="140" t="s">
        <v>463</v>
      </c>
      <c r="K163" s="233" t="s">
        <v>549</v>
      </c>
      <c r="L163" s="60">
        <f>Presentazione!E159</f>
        <v>0</v>
      </c>
      <c r="M163" s="170" t="s">
        <v>398</v>
      </c>
      <c r="N163" s="79">
        <v>1</v>
      </c>
      <c r="O163" s="508">
        <f>IF(OR(COUNTIF(G99:N99,E152)&gt;0,COUNTIF(G99:N99,K152)&gt;0,COUNTIF(G99:N99,L152)&gt;0,COUNTIF(G105:N105,E152)&gt;0,COUNTIF(G105:N105,K152)&gt;0,COUNTIF(G105:N105,L152)&gt;0,COUNTIF(C101:F104,"ERROR")&gt;0,COUNTIF(E8:F38,E163)&gt;0),1,0)</f>
        <v>0</v>
      </c>
      <c r="P163" s="509" t="s">
        <v>550</v>
      </c>
      <c r="Q163" s="2"/>
      <c r="R163" s="2"/>
      <c r="S163" s="591"/>
      <c r="T163" s="591"/>
      <c r="U163" s="591"/>
      <c r="V163" s="591"/>
      <c r="W163" s="591"/>
      <c r="X163" s="591"/>
      <c r="Y163" s="591"/>
      <c r="Z163" s="591"/>
      <c r="AA163" s="591"/>
      <c r="AB163" s="591"/>
      <c r="AC163" s="591"/>
      <c r="AG163" s="591"/>
      <c r="AH163" s="591"/>
      <c r="AI163" s="591"/>
      <c r="AJ163" s="591"/>
      <c r="AK163" s="591"/>
      <c r="AM163" s="591"/>
      <c r="AN163" s="591"/>
      <c r="AO163" s="591"/>
      <c r="AP163" s="591"/>
      <c r="AQ163" s="591"/>
      <c r="AS163" s="591"/>
      <c r="AT163" s="591"/>
      <c r="AU163" s="591"/>
      <c r="AV163" s="591"/>
      <c r="AW163" s="591"/>
      <c r="AY163" s="591"/>
    </row>
    <row r="164" spans="1:51" ht="15" hidden="1" customHeight="1" x14ac:dyDescent="0.2">
      <c r="A164" s="2"/>
      <c r="B164" s="2"/>
      <c r="C164" s="2"/>
      <c r="D164" s="2"/>
      <c r="E164" s="2"/>
      <c r="F164" s="2"/>
      <c r="G164" s="950">
        <f>IF(G42=$K134,0,G87)</f>
        <v>0</v>
      </c>
      <c r="H164" s="950">
        <f>IF(H42=$K134,0,H87)</f>
        <v>0</v>
      </c>
      <c r="I164" s="950">
        <f>IF(K42=$K134,0,I87)</f>
        <v>0</v>
      </c>
      <c r="J164" s="950">
        <f>IF(N42=$K134,0,K87)</f>
        <v>0</v>
      </c>
      <c r="K164" s="2"/>
      <c r="L164" s="2"/>
      <c r="M164" s="2"/>
      <c r="N164" s="2"/>
      <c r="O164" s="2"/>
      <c r="P164" s="2"/>
      <c r="Q164" s="2"/>
      <c r="R164" s="2"/>
      <c r="S164" s="591"/>
      <c r="T164" s="591"/>
      <c r="U164" s="591"/>
      <c r="V164" s="591"/>
      <c r="W164" s="591"/>
      <c r="X164" s="591"/>
      <c r="Y164" s="591"/>
      <c r="Z164" s="591"/>
      <c r="AA164" s="591"/>
      <c r="AB164" s="591"/>
      <c r="AC164" s="591"/>
      <c r="AG164" s="591"/>
      <c r="AH164" s="591"/>
      <c r="AI164" s="591"/>
      <c r="AJ164" s="591"/>
      <c r="AK164" s="591"/>
      <c r="AM164" s="591"/>
      <c r="AN164" s="591"/>
      <c r="AO164" s="591"/>
      <c r="AP164" s="591"/>
      <c r="AQ164" s="591"/>
      <c r="AS164" s="591"/>
      <c r="AT164" s="591"/>
      <c r="AU164" s="591"/>
      <c r="AV164" s="591"/>
      <c r="AW164" s="591"/>
      <c r="AY164" s="591"/>
    </row>
    <row r="165" spans="1:51" hidden="1" x14ac:dyDescent="0.2">
      <c r="A165" s="2"/>
      <c r="B165" s="2"/>
      <c r="C165" s="2"/>
      <c r="D165" s="2"/>
      <c r="E165" s="2"/>
      <c r="F165" s="2"/>
      <c r="G165" s="2"/>
      <c r="H165" s="2"/>
      <c r="I165" s="2"/>
      <c r="J165" s="2"/>
      <c r="K165" s="2"/>
      <c r="L165" s="2"/>
      <c r="M165" s="2"/>
      <c r="N165" s="2"/>
      <c r="O165" s="2"/>
      <c r="P165" s="2"/>
      <c r="Q165" s="2"/>
      <c r="R165" s="2"/>
      <c r="S165" s="591"/>
      <c r="T165" s="591"/>
      <c r="U165" s="591"/>
      <c r="V165" s="591"/>
      <c r="W165" s="591"/>
      <c r="X165" s="591"/>
      <c r="Y165" s="591"/>
      <c r="Z165" s="591"/>
      <c r="AA165" s="591"/>
      <c r="AB165" s="591"/>
      <c r="AC165" s="591"/>
      <c r="AG165" s="591"/>
      <c r="AH165" s="591"/>
      <c r="AI165" s="591"/>
      <c r="AJ165" s="591"/>
      <c r="AK165" s="591"/>
      <c r="AM165" s="591"/>
      <c r="AN165" s="591"/>
      <c r="AO165" s="591"/>
      <c r="AP165" s="591"/>
      <c r="AQ165" s="591"/>
      <c r="AS165" s="591"/>
      <c r="AT165" s="591"/>
      <c r="AU165" s="591"/>
      <c r="AV165" s="591"/>
      <c r="AW165" s="591"/>
      <c r="AY165" s="591"/>
    </row>
    <row r="166" spans="1:51" ht="22.5" customHeight="1" x14ac:dyDescent="0.2">
      <c r="A166" s="2"/>
      <c r="B166" s="2"/>
      <c r="C166" s="2"/>
      <c r="D166" s="2"/>
      <c r="E166" s="2"/>
      <c r="F166" s="2"/>
      <c r="G166" s="624">
        <v>1</v>
      </c>
      <c r="H166" s="624">
        <v>2</v>
      </c>
      <c r="I166" s="2229">
        <v>5</v>
      </c>
      <c r="J166" s="2229"/>
      <c r="K166" s="624">
        <v>8</v>
      </c>
      <c r="L166" s="2"/>
      <c r="M166" s="2228" t="s">
        <v>193</v>
      </c>
      <c r="N166" s="2228"/>
      <c r="O166" s="2"/>
      <c r="P166" s="2"/>
      <c r="Q166" s="2"/>
      <c r="R166" s="591"/>
      <c r="S166" s="591"/>
      <c r="T166" s="591"/>
      <c r="U166" s="591"/>
      <c r="V166" s="591"/>
      <c r="W166" s="591"/>
      <c r="X166" s="591"/>
      <c r="Y166" s="591"/>
      <c r="Z166" s="591"/>
      <c r="AA166" s="591"/>
      <c r="AB166" s="591"/>
      <c r="AC166" s="591"/>
      <c r="AG166" s="591"/>
      <c r="AS166" s="591"/>
    </row>
    <row r="167" spans="1:51" ht="18" customHeight="1" x14ac:dyDescent="0.2">
      <c r="A167" s="2"/>
      <c r="B167" s="2"/>
      <c r="C167" s="2084" t="s">
        <v>175</v>
      </c>
      <c r="D167" s="2084"/>
      <c r="E167" s="2085">
        <f>E43</f>
        <v>2024</v>
      </c>
      <c r="F167" s="2085">
        <f>F43</f>
        <v>0</v>
      </c>
      <c r="G167" s="590" t="str">
        <f>G43</f>
        <v/>
      </c>
      <c r="H167" s="590" t="str">
        <f>H43</f>
        <v/>
      </c>
      <c r="I167" s="2232" t="str">
        <f>K43</f>
        <v/>
      </c>
      <c r="J167" s="2232"/>
      <c r="K167" s="590" t="str">
        <f>N43</f>
        <v/>
      </c>
      <c r="L167" s="2"/>
      <c r="M167" s="908" t="s">
        <v>717</v>
      </c>
      <c r="N167" s="2"/>
      <c r="O167" s="2"/>
      <c r="P167" s="2"/>
      <c r="Q167" s="2"/>
      <c r="R167" s="591"/>
      <c r="S167" s="591"/>
      <c r="T167" s="591"/>
      <c r="U167" s="591"/>
      <c r="V167" s="591"/>
      <c r="W167" s="591"/>
      <c r="X167" s="591"/>
      <c r="Y167" s="591"/>
      <c r="Z167" s="591"/>
      <c r="AA167" s="591"/>
      <c r="AB167" s="591"/>
      <c r="AC167" s="591"/>
      <c r="AG167" s="591"/>
      <c r="AS167" s="591"/>
    </row>
    <row r="168" spans="1:51" ht="22.5" customHeight="1" x14ac:dyDescent="0.2">
      <c r="A168" s="2"/>
      <c r="B168" s="2"/>
      <c r="C168" s="2091" t="s">
        <v>298</v>
      </c>
      <c r="D168" s="2091"/>
      <c r="E168" s="2091"/>
      <c r="F168" s="2091"/>
      <c r="G168" s="57" t="str">
        <f>G44</f>
        <v/>
      </c>
      <c r="H168" s="57" t="str">
        <f>H44</f>
        <v/>
      </c>
      <c r="I168" s="2230" t="str">
        <f>K44</f>
        <v/>
      </c>
      <c r="J168" s="2230"/>
      <c r="K168" s="57" t="str">
        <f>N44</f>
        <v/>
      </c>
      <c r="L168" s="2"/>
      <c r="M168" s="2228" t="s">
        <v>719</v>
      </c>
      <c r="N168" s="2228"/>
      <c r="O168" s="2"/>
      <c r="P168" s="2"/>
      <c r="Q168" s="2"/>
      <c r="R168" s="591"/>
      <c r="S168" s="591"/>
      <c r="T168" s="591"/>
      <c r="U168" s="591"/>
      <c r="V168" s="591"/>
      <c r="W168" s="591"/>
      <c r="X168" s="591"/>
      <c r="Y168" s="591"/>
      <c r="Z168" s="591"/>
      <c r="AA168" s="591"/>
      <c r="AB168" s="591"/>
      <c r="AC168" s="591"/>
      <c r="AG168" s="591"/>
      <c r="AS168" s="591"/>
    </row>
    <row r="169" spans="1:51" ht="19.5" customHeight="1" x14ac:dyDescent="0.2">
      <c r="A169" s="2"/>
      <c r="B169" s="2"/>
      <c r="C169" s="2094" t="str">
        <f>C95</f>
        <v>01/07 - 31/07</v>
      </c>
      <c r="D169" s="2095"/>
      <c r="E169" s="2095"/>
      <c r="F169" s="2095"/>
      <c r="G169" s="90" t="str">
        <f>G45</f>
        <v/>
      </c>
      <c r="H169" s="90" t="str">
        <f>H45</f>
        <v/>
      </c>
      <c r="I169" s="2231" t="str">
        <f>K45</f>
        <v/>
      </c>
      <c r="J169" s="2231"/>
      <c r="K169" s="90" t="str">
        <f>N45</f>
        <v/>
      </c>
      <c r="L169" s="2"/>
      <c r="M169" s="12"/>
      <c r="N169" s="2"/>
      <c r="O169" s="2"/>
      <c r="P169" s="2"/>
      <c r="Q169" s="2"/>
      <c r="R169" s="591"/>
      <c r="S169" s="591"/>
      <c r="T169" s="591"/>
      <c r="U169" s="591"/>
      <c r="V169" s="591"/>
      <c r="W169" s="591"/>
      <c r="X169" s="591"/>
      <c r="Y169" s="591"/>
      <c r="Z169" s="591"/>
      <c r="AA169" s="591"/>
      <c r="AB169" s="591"/>
      <c r="AC169" s="591"/>
      <c r="AG169" s="591"/>
      <c r="AS169" s="591"/>
    </row>
    <row r="170" spans="1:51" ht="7.5" customHeight="1" x14ac:dyDescent="0.2">
      <c r="A170" s="2"/>
      <c r="B170" s="2"/>
      <c r="C170" s="2089"/>
      <c r="D170" s="2090"/>
      <c r="E170" s="484"/>
      <c r="F170" s="2"/>
      <c r="G170" s="597">
        <f>IF(AND(G$180&lt;&gt;0,G$180&gt;0),IF(($E$171*9)&gt;=G$180,0,1),IF(AND(G$180&lt;&gt;0,G$180&lt;0),IF(($E$171*9)&lt;=G$180,0,1),0))</f>
        <v>0</v>
      </c>
      <c r="H170" s="597">
        <f>IF(AND(H$180&lt;&gt;0,H$180&gt;0),IF(($E$171*9)&gt;=H$180,0,1),IF(AND(H$180&lt;&gt;0,H$180&lt;0),IF(($E$171*9)&lt;=H$180,0,1),0))</f>
        <v>0</v>
      </c>
      <c r="I170" s="2104">
        <f>IF(AND(I$180&lt;&gt;0,I$180&gt;0),IF(($E$171*9)&gt;=I$180,0,1),IF(AND(I$180&lt;&gt;0,I$180&lt;0),IF(($E$171*9)&lt;=I$180,0,1),0))</f>
        <v>0</v>
      </c>
      <c r="J170" s="2105"/>
      <c r="K170" s="597">
        <f>IF(AND(K$180&lt;&gt;0,K$180&gt;0),IF(($E$171*9)&gt;=K$180,0,1),IF(AND(K$180&lt;&gt;0,K$180&lt;0),IF(($E$171*9)&lt;=K$180,0,1),0))</f>
        <v>0</v>
      </c>
      <c r="L170" s="2"/>
      <c r="M170" s="2"/>
      <c r="N170" s="2"/>
      <c r="O170" s="2"/>
      <c r="P170" s="2"/>
      <c r="Q170" s="2"/>
      <c r="R170" s="591"/>
      <c r="S170" s="591"/>
      <c r="T170" s="591"/>
      <c r="U170" s="591"/>
      <c r="V170" s="591"/>
      <c r="W170" s="591"/>
      <c r="X170" s="591"/>
      <c r="Y170" s="591"/>
      <c r="Z170" s="591"/>
      <c r="AA170" s="591"/>
      <c r="AB170" s="591"/>
      <c r="AC170" s="591"/>
      <c r="AG170" s="591"/>
      <c r="AS170" s="591"/>
    </row>
    <row r="171" spans="1:51" ht="7.5" customHeight="1" x14ac:dyDescent="0.2">
      <c r="A171" s="2"/>
      <c r="B171" s="2"/>
      <c r="C171" s="2096" t="s">
        <v>587</v>
      </c>
      <c r="D171" s="2096"/>
      <c r="E171" s="2098">
        <f>IF(OR(M166=0,M168=""),0,IF(M168=E220,E221,MAX(G180:K180)/10))</f>
        <v>0</v>
      </c>
      <c r="F171" s="2"/>
      <c r="G171" s="598">
        <f>IF(AND(G$180&lt;&gt;0,G$180&gt;0),IF(($E$171*8)&gt;=G$180,0,1),IF(AND(G$180&lt;&gt;0,G$180&lt;0),IF(($E$171*8)&lt;=G$180,0,1),0))</f>
        <v>0</v>
      </c>
      <c r="H171" s="598">
        <f>IF(AND(H$180&lt;&gt;0,H$180&gt;0),IF(($E$171*8)&gt;=H$180,0,1),IF(AND(H$180&lt;&gt;0,H$180&lt;0),IF(($E$171*8)&lt;=H$180,0,1),0))</f>
        <v>0</v>
      </c>
      <c r="I171" s="2061">
        <f>IF(AND(I$180&lt;&gt;0,I$180&gt;0),IF(($E$171*8)&gt;=I$180,0,1),IF(AND(I$180&lt;&gt;0,I$180&lt;0),IF(($E$171*8)&lt;=I$180,0,1),0))</f>
        <v>0</v>
      </c>
      <c r="J171" s="2062"/>
      <c r="K171" s="598">
        <f>IF(AND(K$180&lt;&gt;0,K$180&gt;0),IF(($E$171*8)&gt;=K$180,0,1),IF(AND(K$180&lt;&gt;0,K$180&lt;0),IF(($E$171*8)&lt;=K$180,0,1),0))</f>
        <v>0</v>
      </c>
      <c r="L171" s="2"/>
      <c r="M171" s="2"/>
      <c r="N171" s="2"/>
      <c r="O171" s="2"/>
      <c r="P171" s="2"/>
      <c r="Q171" s="2"/>
      <c r="R171" s="591"/>
      <c r="S171" s="591"/>
      <c r="T171" s="591"/>
      <c r="U171" s="591"/>
      <c r="V171" s="591"/>
      <c r="W171" s="591"/>
      <c r="X171" s="591"/>
      <c r="AA171" s="591"/>
      <c r="AB171" s="591"/>
      <c r="AC171" s="591"/>
      <c r="AG171" s="591"/>
      <c r="AS171" s="591"/>
    </row>
    <row r="172" spans="1:51" ht="7.5" customHeight="1" x14ac:dyDescent="0.2">
      <c r="A172" s="2"/>
      <c r="B172" s="2"/>
      <c r="C172" s="2097"/>
      <c r="D172" s="2097"/>
      <c r="E172" s="2098"/>
      <c r="F172" s="2"/>
      <c r="G172" s="598">
        <f>IF(AND(G$180&lt;&gt;0,G$180&gt;0),IF(($E$171*7)&gt;=G$180,0,1),IF(AND(G$180&lt;&gt;0,G$180&lt;0),IF(($E$171*7)&lt;=G$180,0,1),0))</f>
        <v>0</v>
      </c>
      <c r="H172" s="598">
        <f>IF(AND(H$180&lt;&gt;0,H$180&gt;0),IF(($E$171*7)&gt;=H$180,0,1),IF(AND(H$180&lt;&gt;0,H$180&lt;0),IF(($E$171*7)&lt;=H$180,0,1),0))</f>
        <v>0</v>
      </c>
      <c r="I172" s="2061">
        <f>IF(AND(I$180&lt;&gt;0,I$180&gt;0),IF(($E$171*7)&gt;=I$180,0,1),IF(AND(I$180&lt;&gt;0,I$180&lt;0),IF(($E$171*7)&lt;=I$180,0,1),0))</f>
        <v>0</v>
      </c>
      <c r="J172" s="2062"/>
      <c r="K172" s="598">
        <f>IF(AND(K$180&lt;&gt;0,K$180&gt;0),IF(($E$171*7)&gt;=K$180,0,1),IF(AND(K$180&lt;&gt;0,K$180&lt;0),IF(($E$171*7)&lt;=K$180,0,1),0))</f>
        <v>0</v>
      </c>
      <c r="L172" s="2"/>
      <c r="M172" s="2"/>
      <c r="N172" s="2"/>
      <c r="O172" s="2"/>
      <c r="P172" s="2"/>
      <c r="Q172" s="2"/>
      <c r="R172" s="591"/>
      <c r="S172" s="591"/>
      <c r="T172" s="591"/>
      <c r="U172" s="591"/>
      <c r="V172" s="591"/>
      <c r="W172" s="591"/>
      <c r="X172" s="591"/>
      <c r="AA172" s="591"/>
      <c r="AB172" s="591"/>
      <c r="AC172" s="591"/>
      <c r="AG172" s="591"/>
      <c r="AS172" s="591"/>
    </row>
    <row r="173" spans="1:51" ht="7.5" customHeight="1" x14ac:dyDescent="0.2">
      <c r="A173" s="2"/>
      <c r="B173" s="2"/>
      <c r="C173" s="2"/>
      <c r="D173" s="2"/>
      <c r="E173" s="2"/>
      <c r="F173" s="2"/>
      <c r="G173" s="598">
        <f>IF(AND(G$180&lt;&gt;0,G$180&gt;0),IF(($E$171*6)&gt;=G$180,0,1),IF(AND(G$180&lt;&gt;0,G$180&lt;0),IF(($E$171*6)&lt;=G$180,0,1),0))</f>
        <v>0</v>
      </c>
      <c r="H173" s="598">
        <f>IF(AND(H$180&lt;&gt;0,H$180&gt;0),IF(($E$171*6)&gt;=H$180,0,1),IF(AND(H$180&lt;&gt;0,H$180&lt;0),IF(($E$171*6)&lt;=H$180,0,1),0))</f>
        <v>0</v>
      </c>
      <c r="I173" s="2061">
        <f>IF(AND(I$180&lt;&gt;0,I$180&gt;0),IF(($E$171*6)&gt;=I$180,0,1),IF(AND(I$180&lt;&gt;0,I$180&lt;0),IF(($E$171*6)&lt;=I$180,0,1),0))</f>
        <v>0</v>
      </c>
      <c r="J173" s="2062"/>
      <c r="K173" s="598">
        <f>IF(AND(K$180&lt;&gt;0,K$180&gt;0),IF(($E$171*6)&gt;=K$180,0,1),IF(AND(K$180&lt;&gt;0,K$180&lt;0),IF(($E$171*6)&lt;=K$180,0,1),0))</f>
        <v>0</v>
      </c>
      <c r="L173" s="2"/>
      <c r="M173" s="2"/>
      <c r="N173" s="2"/>
      <c r="O173" s="2"/>
      <c r="P173" s="2"/>
      <c r="Q173" s="2"/>
      <c r="R173" s="591"/>
      <c r="S173" s="591"/>
      <c r="T173" s="591"/>
      <c r="U173" s="591"/>
      <c r="V173" s="591"/>
      <c r="W173" s="591"/>
      <c r="X173" s="591"/>
      <c r="AA173" s="591"/>
      <c r="AB173" s="591"/>
      <c r="AC173" s="591"/>
      <c r="AG173" s="591"/>
      <c r="AS173" s="591"/>
    </row>
    <row r="174" spans="1:51" ht="7.5" customHeight="1" x14ac:dyDescent="0.2">
      <c r="A174" s="2"/>
      <c r="B174" s="2"/>
      <c r="C174" s="2"/>
      <c r="D174" s="2"/>
      <c r="E174" s="2"/>
      <c r="F174" s="2"/>
      <c r="G174" s="598">
        <f>IF(AND(G$180&lt;&gt;0,G$180&gt;0),IF(($E$171*5)&gt;=G$180,0,1),IF(AND(G$180&lt;&gt;0,G$180&lt;0),IF(($E$171*5)&lt;=G$180,0,1),0))</f>
        <v>0</v>
      </c>
      <c r="H174" s="598">
        <f>IF(AND(H$180&lt;&gt;0,H$180&gt;0),IF(($E$171*5)&gt;=H$180,0,1),IF(AND(H$180&lt;&gt;0,H$180&lt;0),IF(($E$171*5)&lt;=H$180,0,1),0))</f>
        <v>0</v>
      </c>
      <c r="I174" s="2061">
        <f>IF(AND(I$180&lt;&gt;0,I$180&gt;0),IF(($E$171*5)&gt;=I$180,0,1),IF(AND(I$180&lt;&gt;0,I$180&lt;0),IF(($E$171*5)&lt;=I$180,0,1),0))</f>
        <v>0</v>
      </c>
      <c r="J174" s="2062"/>
      <c r="K174" s="598">
        <f>IF(AND(K$180&lt;&gt;0,K$180&gt;0),IF(($E$171*5)&gt;=K$180,0,1),IF(AND(K$180&lt;&gt;0,K$180&lt;0),IF(($E$171*5)&lt;=K$180,0,1),0))</f>
        <v>0</v>
      </c>
      <c r="L174" s="2"/>
      <c r="M174" s="2"/>
      <c r="N174" s="2"/>
      <c r="O174" s="2"/>
      <c r="P174" s="2"/>
      <c r="Q174" s="2"/>
      <c r="R174" s="591"/>
      <c r="S174" s="591"/>
      <c r="T174" s="591"/>
      <c r="U174" s="591"/>
      <c r="V174" s="591"/>
      <c r="W174" s="591"/>
      <c r="X174" s="591"/>
      <c r="AA174" s="591"/>
      <c r="AB174" s="591"/>
      <c r="AC174" s="591"/>
      <c r="AG174" s="591"/>
      <c r="AS174" s="591"/>
    </row>
    <row r="175" spans="1:51" ht="7.5" customHeight="1" x14ac:dyDescent="0.2">
      <c r="A175" s="2"/>
      <c r="B175" s="2"/>
      <c r="C175" s="2"/>
      <c r="D175" s="2"/>
      <c r="E175" s="2"/>
      <c r="F175" s="2"/>
      <c r="G175" s="598">
        <f>IF(AND(G$180&lt;&gt;0,G$180&gt;0),IF(($E$171*4)&gt;=G$180,0,1),IF(AND(G$180&lt;&gt;0,G$180&lt;0),IF(($E$171*4)&lt;=G$180,0,1),0))</f>
        <v>0</v>
      </c>
      <c r="H175" s="598">
        <f>IF(AND(H$180&lt;&gt;0,H$180&gt;0),IF(($E$171*4)&gt;=H$180,0,1),IF(AND(H$180&lt;&gt;0,H$180&lt;0),IF(($E$171*4)&lt;=H$180,0,1),0))</f>
        <v>0</v>
      </c>
      <c r="I175" s="2061">
        <f>IF(AND(I$180&lt;&gt;0,I$180&gt;0),IF(($E$171*4)&gt;=I$180,0,1),IF(AND(I$180&lt;&gt;0,I$180&lt;0),IF(($E$171*4)&lt;=I$180,0,1),0))</f>
        <v>0</v>
      </c>
      <c r="J175" s="2062"/>
      <c r="K175" s="598">
        <f>IF(AND(K$180&lt;&gt;0,K$180&gt;0),IF(($E$171*4)&gt;=K$180,0,1),IF(AND(K$180&lt;&gt;0,K$180&lt;0),IF(($E$171*4)&lt;=K$180,0,1),0))</f>
        <v>0</v>
      </c>
      <c r="L175" s="2"/>
      <c r="M175" s="2"/>
      <c r="N175" s="2"/>
      <c r="O175" s="2"/>
      <c r="P175" s="2"/>
      <c r="Q175" s="2"/>
      <c r="R175" s="591"/>
      <c r="S175" s="591"/>
      <c r="T175" s="591"/>
      <c r="U175" s="591"/>
      <c r="V175" s="591"/>
      <c r="W175" s="591"/>
      <c r="X175" s="591"/>
      <c r="AA175" s="591"/>
      <c r="AB175" s="591"/>
      <c r="AC175" s="591"/>
      <c r="AG175" s="591"/>
      <c r="AS175" s="591"/>
    </row>
    <row r="176" spans="1:51" ht="7.5" customHeight="1" x14ac:dyDescent="0.2">
      <c r="A176" s="2"/>
      <c r="B176" s="2"/>
      <c r="C176" s="2"/>
      <c r="D176" s="2"/>
      <c r="E176" s="2"/>
      <c r="F176" s="2"/>
      <c r="G176" s="598">
        <f>IF(AND(G$180&lt;&gt;0,G$180&gt;0),IF(($E$171*3)&gt;=G$180,0,1),IF(AND(G$180&lt;&gt;0,G$180&lt;0),IF(($E$171*3)&lt;=G$180,0,1),0))</f>
        <v>0</v>
      </c>
      <c r="H176" s="598">
        <f>IF(AND(H$180&lt;&gt;0,H$180&gt;0),IF(($E$171*3)&gt;=H$180,0,1),IF(AND(H$180&lt;&gt;0,H$180&lt;0),IF(($E$171*3)&lt;=H$180,0,1),0))</f>
        <v>0</v>
      </c>
      <c r="I176" s="2061">
        <f>IF(AND(I$180&lt;&gt;0,I$180&gt;0),IF(($E$171*3)&gt;=I$180,0,1),IF(AND(I$180&lt;&gt;0,I$180&lt;0),IF(($E$171*3)&lt;=I$180,0,1),0))</f>
        <v>0</v>
      </c>
      <c r="J176" s="2062"/>
      <c r="K176" s="598">
        <f>IF(AND(K$180&lt;&gt;0,K$180&gt;0),IF(($E$171*3)&gt;=K$180,0,1),IF(AND(K$180&lt;&gt;0,K$180&lt;0),IF(($E$171*3)&lt;=K$180,0,1),0))</f>
        <v>0</v>
      </c>
      <c r="L176" s="2"/>
      <c r="M176" s="2"/>
      <c r="N176" s="2"/>
      <c r="O176" s="2"/>
      <c r="P176" s="2"/>
      <c r="Q176" s="2"/>
      <c r="R176" s="591"/>
      <c r="S176" s="591"/>
      <c r="T176" s="591"/>
      <c r="U176" s="591"/>
      <c r="V176" s="591"/>
      <c r="W176" s="591"/>
      <c r="X176" s="591"/>
      <c r="AA176" s="591"/>
      <c r="AB176" s="591"/>
      <c r="AC176" s="591"/>
      <c r="AG176" s="591"/>
      <c r="AS176" s="591"/>
    </row>
    <row r="177" spans="1:45" ht="7.5" customHeight="1" x14ac:dyDescent="0.2">
      <c r="A177" s="2"/>
      <c r="B177" s="2"/>
      <c r="C177" s="2"/>
      <c r="D177" s="2"/>
      <c r="E177" s="2"/>
      <c r="F177" s="2"/>
      <c r="G177" s="598">
        <f>IF(AND(G$180&lt;&gt;0,G$180&gt;0),IF(($E$171*2)&gt;=G$180,0,1),IF(AND(G$180&lt;&gt;0,G$180&lt;0),IF(($E$171*2)&lt;=G$180,0,1),0))</f>
        <v>0</v>
      </c>
      <c r="H177" s="598">
        <f>IF(AND(H$180&lt;&gt;0,H$180&gt;0),IF(($E$171*2)&gt;=H$180,0,1),IF(AND(H$180&lt;&gt;0,H$180&lt;0),IF(($E$171*2)&lt;=H$180,0,1),0))</f>
        <v>0</v>
      </c>
      <c r="I177" s="2061">
        <f>IF(AND(I$180&lt;&gt;0,I$180&gt;0),IF(($E$171*2)&gt;=I$180,0,1),IF(AND(I$180&lt;&gt;0,I$180&lt;0),IF(($E$171*2)&lt;=I$180,0,1),0))</f>
        <v>0</v>
      </c>
      <c r="J177" s="2062"/>
      <c r="K177" s="598">
        <f>IF(AND(K$180&lt;&gt;0,K$180&gt;0),IF(($E$171*2)&gt;=K$180,0,1),IF(AND(K$180&lt;&gt;0,K$180&lt;0),IF(($E$171*2)&lt;=K$180,0,1),0))</f>
        <v>0</v>
      </c>
      <c r="L177" s="2"/>
      <c r="M177" s="2"/>
      <c r="N177" s="2"/>
      <c r="O177" s="2"/>
      <c r="P177" s="2"/>
      <c r="Q177" s="2"/>
      <c r="R177" s="591"/>
      <c r="S177" s="591"/>
      <c r="T177" s="591"/>
      <c r="U177" s="591"/>
      <c r="V177" s="591"/>
      <c r="W177" s="591"/>
      <c r="X177" s="591"/>
      <c r="AA177" s="591"/>
      <c r="AB177" s="591"/>
      <c r="AC177" s="591"/>
      <c r="AG177" s="591"/>
      <c r="AS177" s="591"/>
    </row>
    <row r="178" spans="1:45" ht="7.5" customHeight="1" x14ac:dyDescent="0.2">
      <c r="A178" s="2"/>
      <c r="B178" s="2"/>
      <c r="C178" s="2"/>
      <c r="D178" s="2"/>
      <c r="E178" s="2"/>
      <c r="F178" s="2"/>
      <c r="G178" s="598">
        <f>IF(AND(G$180&lt;&gt;0,G$180&gt;0),IF(($E$171*1)&gt;=G$180,0,1),IF(AND(G$180&lt;&gt;0,G$180&lt;0),IF(($E$171*1)&lt;=G$180,0,1),0))</f>
        <v>0</v>
      </c>
      <c r="H178" s="598">
        <f>IF(AND(H$180&lt;&gt;0,H$180&gt;0),IF(($E$171*1)&gt;=H$180,0,1),IF(AND(H$180&lt;&gt;0,H$180&lt;0),IF(($E$171*1)&lt;=H$180,0,1),0))</f>
        <v>0</v>
      </c>
      <c r="I178" s="2061">
        <f>IF(AND(I$180&lt;&gt;0,I$180&gt;0),IF(($E$171*1)&gt;=I$180,0,1),IF(AND(I$180&lt;&gt;0,I$180&lt;0),IF(($E$171*1)&lt;=I$180,0,1),0))</f>
        <v>0</v>
      </c>
      <c r="J178" s="2062"/>
      <c r="K178" s="598">
        <f>IF(AND(K$180&lt;&gt;0,K$180&gt;0),IF(($E$171*1)&gt;=K$180,0,1),IF(AND(K$180&lt;&gt;0,K$180&lt;0),IF(($E$171*1)&lt;=K$180,0,1),0))</f>
        <v>0</v>
      </c>
      <c r="L178" s="2"/>
      <c r="M178" s="2"/>
      <c r="N178" s="2"/>
      <c r="O178" s="2"/>
      <c r="P178" s="2"/>
      <c r="Q178" s="2"/>
      <c r="R178" s="591"/>
      <c r="S178" s="591"/>
      <c r="T178" s="591"/>
      <c r="U178" s="591"/>
      <c r="V178" s="591"/>
      <c r="W178" s="591"/>
      <c r="X178" s="591"/>
      <c r="AA178" s="591"/>
      <c r="AB178" s="591"/>
      <c r="AC178" s="591"/>
      <c r="AG178" s="591"/>
      <c r="AS178" s="591"/>
    </row>
    <row r="179" spans="1:45" ht="7.5" customHeight="1" x14ac:dyDescent="0.2">
      <c r="A179" s="2"/>
      <c r="B179" s="2"/>
      <c r="C179" s="2"/>
      <c r="D179" s="2"/>
      <c r="E179" s="2"/>
      <c r="F179" s="2"/>
      <c r="G179" s="599">
        <f>IF(G180&lt;&gt;0,1,0)</f>
        <v>0</v>
      </c>
      <c r="H179" s="599">
        <f>IF(H180&lt;&gt;0,1,0)</f>
        <v>0</v>
      </c>
      <c r="I179" s="2199">
        <f>IF(I180&lt;&gt;0,1,0)</f>
        <v>0</v>
      </c>
      <c r="J179" s="2200"/>
      <c r="K179" s="599">
        <f>IF(K180&lt;&gt;0,1,0)</f>
        <v>0</v>
      </c>
      <c r="L179" s="2"/>
      <c r="M179" s="2"/>
      <c r="N179" s="2"/>
      <c r="O179" s="2"/>
      <c r="P179" s="2"/>
      <c r="Q179" s="2"/>
      <c r="R179" s="591"/>
      <c r="S179" s="591"/>
      <c r="T179" s="591"/>
      <c r="U179" s="591"/>
      <c r="V179" s="591"/>
      <c r="W179" s="591"/>
      <c r="X179" s="591"/>
      <c r="AA179" s="591"/>
      <c r="AB179" s="591"/>
      <c r="AC179" s="591"/>
      <c r="AG179" s="591"/>
      <c r="AS179" s="591"/>
    </row>
    <row r="180" spans="1:45" ht="21.95" customHeight="1" x14ac:dyDescent="0.2">
      <c r="A180" s="2"/>
      <c r="B180" s="7"/>
      <c r="C180" s="2092" t="s">
        <v>582</v>
      </c>
      <c r="D180" s="2092"/>
      <c r="E180" s="2093">
        <f>SUM(G180:K180)</f>
        <v>0</v>
      </c>
      <c r="F180" s="2093"/>
      <c r="G180" s="623">
        <f>VLOOKUP($M166,$C46:G48,G166+4,FALSE)</f>
        <v>0</v>
      </c>
      <c r="H180" s="623">
        <f>VLOOKUP($M166,$C46:H48,H166+4,FALSE)</f>
        <v>0</v>
      </c>
      <c r="I180" s="2196">
        <f>VLOOKUP($M166,$C46:K48,I166+4,FALSE)</f>
        <v>0</v>
      </c>
      <c r="J180" s="2196"/>
      <c r="K180" s="623">
        <f>VLOOKUP($M166,$C46:N48,K166+4,FALSE)</f>
        <v>0</v>
      </c>
      <c r="L180" s="2"/>
      <c r="M180" s="12"/>
      <c r="N180" s="2"/>
      <c r="O180" s="2"/>
      <c r="P180" s="2"/>
      <c r="Q180" s="2"/>
      <c r="R180" s="591"/>
      <c r="S180" s="591"/>
      <c r="T180" s="591"/>
      <c r="U180" s="591"/>
      <c r="V180" s="591"/>
      <c r="W180" s="591"/>
      <c r="X180" s="591"/>
      <c r="AA180" s="591"/>
      <c r="AB180" s="591"/>
      <c r="AC180" s="591"/>
      <c r="AG180" s="591"/>
      <c r="AS180" s="591"/>
    </row>
    <row r="181" spans="1:45" ht="11.25" customHeight="1" x14ac:dyDescent="0.2">
      <c r="A181" s="2"/>
      <c r="B181" s="2"/>
      <c r="C181" s="2"/>
      <c r="D181" s="2"/>
      <c r="E181" s="2"/>
      <c r="F181" s="2"/>
      <c r="G181" s="2"/>
      <c r="H181" s="2"/>
      <c r="I181" s="2201"/>
      <c r="J181" s="2201"/>
      <c r="K181" s="2"/>
      <c r="L181" s="2"/>
      <c r="M181" s="2"/>
      <c r="N181" s="2"/>
      <c r="O181" s="2"/>
      <c r="P181" s="2"/>
      <c r="Q181" s="2"/>
      <c r="R181" s="591"/>
      <c r="S181" s="591"/>
      <c r="T181" s="591"/>
      <c r="U181" s="591"/>
      <c r="V181" s="591"/>
      <c r="W181" s="591"/>
      <c r="X181" s="591"/>
      <c r="AA181" s="591"/>
      <c r="AB181" s="591"/>
      <c r="AC181" s="591"/>
      <c r="AG181" s="591"/>
      <c r="AS181" s="591"/>
    </row>
    <row r="182" spans="1:45" ht="19.5" customHeight="1" x14ac:dyDescent="0.2">
      <c r="A182" s="2"/>
      <c r="B182" s="2"/>
      <c r="C182" s="2095" t="str">
        <f>CONCATENATE("01/01 - ",RIGHT(C169,5))</f>
        <v>01/01 - 31/07</v>
      </c>
      <c r="D182" s="2095"/>
      <c r="E182" s="2095"/>
      <c r="F182" s="2095"/>
      <c r="G182" s="2"/>
      <c r="H182" s="2"/>
      <c r="I182" s="2202"/>
      <c r="J182" s="2202"/>
      <c r="K182" s="2"/>
      <c r="L182" s="2"/>
      <c r="M182" s="2"/>
      <c r="N182" s="2"/>
      <c r="O182" s="2"/>
      <c r="P182" s="2"/>
      <c r="Q182" s="2"/>
      <c r="R182" s="591"/>
      <c r="S182" s="591"/>
      <c r="T182" s="591"/>
      <c r="U182" s="591"/>
      <c r="V182" s="591"/>
      <c r="W182" s="591"/>
      <c r="X182" s="591"/>
      <c r="AA182" s="591"/>
      <c r="AB182" s="591"/>
      <c r="AC182" s="591"/>
      <c r="AG182" s="591"/>
      <c r="AS182" s="591"/>
    </row>
    <row r="183" spans="1:45" ht="7.5" customHeight="1" x14ac:dyDescent="0.2">
      <c r="A183" s="2"/>
      <c r="B183" s="2"/>
      <c r="C183" s="2089"/>
      <c r="D183" s="2090"/>
      <c r="E183" s="484"/>
      <c r="F183" s="2"/>
      <c r="G183" s="597">
        <f>IF(AND(G$193&lt;&gt;0,G$193&gt;0),IF(($E$184*9)&gt;=G$193,0,1),IF(AND(G$193&lt;&gt;0,G$193&lt;0),IF(($E$184*9)&lt;=G$193,0,1),0))</f>
        <v>0</v>
      </c>
      <c r="H183" s="597">
        <f>IF(AND(H$193&lt;&gt;0,H$193&gt;0),IF(($E$184*9)&gt;=H$193,0,1),IF(AND(H$193&lt;&gt;0,H$193&lt;0),IF(($E$184*9)&lt;=H$193,0,1),0))</f>
        <v>0</v>
      </c>
      <c r="I183" s="2104">
        <f>IF(AND(I$193&lt;&gt;0,I$193&gt;0),IF(($E$184*9)&gt;=I$193,0,1),IF(AND(I$193&lt;&gt;0,I$193&lt;0),IF(($E$184*9)&lt;=I$193,0,1),0))</f>
        <v>0</v>
      </c>
      <c r="J183" s="2105"/>
      <c r="K183" s="597">
        <f>IF(AND(K$193&lt;&gt;0,K$193&gt;0),IF(($E$184*9)&gt;=K$193,0,1),IF(AND(K$193&lt;&gt;0,K$193&lt;0),IF(($E$184*9)&lt;=K$193,0,1),0))</f>
        <v>0</v>
      </c>
      <c r="L183" s="2"/>
      <c r="M183" s="2"/>
      <c r="N183" s="2"/>
      <c r="O183" s="2"/>
      <c r="P183" s="2"/>
      <c r="Q183" s="2"/>
      <c r="R183" s="591"/>
      <c r="S183" s="591"/>
      <c r="T183" s="591"/>
      <c r="U183" s="591"/>
      <c r="V183" s="591"/>
      <c r="W183" s="591"/>
      <c r="X183" s="591"/>
      <c r="AA183" s="591"/>
      <c r="AB183" s="591"/>
      <c r="AC183" s="591"/>
      <c r="AG183" s="591"/>
      <c r="AS183" s="591"/>
    </row>
    <row r="184" spans="1:45" ht="7.5" customHeight="1" x14ac:dyDescent="0.2">
      <c r="A184" s="2"/>
      <c r="B184" s="2"/>
      <c r="C184" s="2096" t="s">
        <v>587</v>
      </c>
      <c r="D184" s="2096"/>
      <c r="E184" s="2098">
        <f>IF(OR(M166=0,M168=""),0,IF(M168=E220,E221,MAX(G193:K193)/10))</f>
        <v>0</v>
      </c>
      <c r="F184" s="2"/>
      <c r="G184" s="598">
        <f>IF(AND(G$193&lt;&gt;0,G$193&gt;0),IF(($E$184*8)&gt;=G$193,0,1),IF(AND(G$193&lt;&gt;0,G$193&lt;0),IF(($E$184*8)&lt;=G$193,0,1),0))</f>
        <v>0</v>
      </c>
      <c r="H184" s="598">
        <f>IF(AND(H$193&lt;&gt;0,H$193&gt;0),IF(($E$184*8)&gt;=H$193,0,1),IF(AND(H$193&lt;&gt;0,H$193&lt;0),IF(($E$184*8)&lt;=H$193,0,1),0))</f>
        <v>0</v>
      </c>
      <c r="I184" s="2061">
        <f>IF(AND(I$193&lt;&gt;0,I$193&gt;0),IF(($E$184*8)&gt;=I$193,0,1),IF(AND(I$193&lt;&gt;0,I$193&lt;0),IF(($E$184*8)&lt;=I$193,0,1),0))</f>
        <v>0</v>
      </c>
      <c r="J184" s="2062"/>
      <c r="K184" s="598">
        <f>IF(AND(K$193&lt;&gt;0,K$193&gt;0),IF(($E$184*8)&gt;=K$193,0,1),IF(AND(K$193&lt;&gt;0,K$193&lt;0),IF(($E$184*8)&lt;=K$193,0,1),0))</f>
        <v>0</v>
      </c>
      <c r="L184" s="2"/>
      <c r="M184" s="2"/>
      <c r="N184" s="2"/>
      <c r="O184" s="2"/>
      <c r="P184" s="2"/>
      <c r="Q184" s="2"/>
      <c r="R184" s="591"/>
      <c r="S184" s="591"/>
      <c r="T184" s="591"/>
      <c r="U184" s="591"/>
      <c r="V184" s="591"/>
      <c r="W184" s="591"/>
      <c r="X184" s="591"/>
      <c r="AA184" s="591"/>
      <c r="AB184" s="591"/>
      <c r="AC184" s="591"/>
      <c r="AG184" s="591"/>
      <c r="AS184" s="591"/>
    </row>
    <row r="185" spans="1:45" ht="7.5" customHeight="1" x14ac:dyDescent="0.2">
      <c r="A185" s="2"/>
      <c r="B185" s="2"/>
      <c r="C185" s="2097"/>
      <c r="D185" s="2097"/>
      <c r="E185" s="2098"/>
      <c r="F185" s="2"/>
      <c r="G185" s="598">
        <f>IF(AND(G$193&lt;&gt;0,G$193&gt;0),IF(($E$184*7)&gt;=G$193,0,1),IF(AND(G$193&lt;&gt;0,G$193&lt;0),IF(($E$184*7)&lt;=G$193,0,1),0))</f>
        <v>0</v>
      </c>
      <c r="H185" s="598">
        <f>IF(AND(H$193&lt;&gt;0,H$193&gt;0),IF(($E$184*7)&gt;=H$193,0,1),IF(AND(H$193&lt;&gt;0,H$193&lt;0),IF(($E$184*7)&lt;=H$193,0,1),0))</f>
        <v>0</v>
      </c>
      <c r="I185" s="2061">
        <f>IF(AND(I$193&lt;&gt;0,I$193&gt;0),IF(($E$184*7)&gt;=I$193,0,1),IF(AND(I$193&lt;&gt;0,I$193&lt;0),IF(($E$184*7)&lt;=I$193,0,1),0))</f>
        <v>0</v>
      </c>
      <c r="J185" s="2062"/>
      <c r="K185" s="598">
        <f>IF(AND(K$193&lt;&gt;0,K$193&gt;0),IF(($E$184*7)&gt;=K$193,0,1),IF(AND(K$193&lt;&gt;0,K$193&lt;0),IF(($E$184*7)&lt;=K$193,0,1),0))</f>
        <v>0</v>
      </c>
      <c r="L185" s="2"/>
      <c r="M185" s="2"/>
      <c r="N185" s="2"/>
      <c r="O185" s="2"/>
      <c r="P185" s="2"/>
      <c r="Q185" s="2"/>
      <c r="R185" s="591"/>
      <c r="S185" s="591"/>
      <c r="T185" s="591"/>
      <c r="U185" s="591"/>
      <c r="V185" s="591"/>
      <c r="W185" s="591"/>
      <c r="X185" s="591"/>
      <c r="AA185" s="591"/>
      <c r="AB185" s="591"/>
      <c r="AC185" s="591"/>
      <c r="AG185" s="591"/>
      <c r="AS185" s="591"/>
    </row>
    <row r="186" spans="1:45" ht="7.5" customHeight="1" x14ac:dyDescent="0.2">
      <c r="A186" s="2"/>
      <c r="B186" s="2"/>
      <c r="C186" s="2"/>
      <c r="D186" s="2"/>
      <c r="E186" s="2"/>
      <c r="F186" s="2"/>
      <c r="G186" s="598">
        <f>IF(AND(G$193&lt;&gt;0,G$193&gt;0),IF(($E$184*6)&gt;=G$193,0,1),IF(AND(G$193&lt;&gt;0,G$193&lt;0),IF(($E$184*6)&lt;=G$193,0,1),0))</f>
        <v>0</v>
      </c>
      <c r="H186" s="598">
        <f>IF(AND(H$193&lt;&gt;0,H$193&gt;0),IF(($E$184*6)&gt;=H$193,0,1),IF(AND(H$193&lt;&gt;0,H$193&lt;0),IF(($E$184*6)&lt;=H$193,0,1),0))</f>
        <v>0</v>
      </c>
      <c r="I186" s="2061">
        <f>IF(AND(I$193&lt;&gt;0,I$193&gt;0),IF(($E$184*6)&gt;=I$193,0,1),IF(AND(I$193&lt;&gt;0,I$193&lt;0),IF(($E$184*6)&lt;=I$193,0,1),0))</f>
        <v>0</v>
      </c>
      <c r="J186" s="2062"/>
      <c r="K186" s="598">
        <f>IF(AND(K$193&lt;&gt;0,K$193&gt;0),IF(($E$184*6)&gt;=K$193,0,1),IF(AND(K$193&lt;&gt;0,K$193&lt;0),IF(($E$184*6)&lt;=K$193,0,1),0))</f>
        <v>0</v>
      </c>
      <c r="L186" s="2"/>
      <c r="M186" s="2"/>
      <c r="N186" s="2"/>
      <c r="O186" s="2"/>
      <c r="P186" s="2"/>
      <c r="Q186" s="2"/>
      <c r="R186" s="591"/>
      <c r="S186" s="591"/>
      <c r="T186" s="591"/>
      <c r="U186" s="591"/>
      <c r="V186" s="591"/>
      <c r="W186" s="591"/>
      <c r="X186" s="591"/>
      <c r="AA186" s="591"/>
      <c r="AB186" s="591"/>
      <c r="AC186" s="591"/>
      <c r="AG186" s="591"/>
      <c r="AS186" s="591"/>
    </row>
    <row r="187" spans="1:45" ht="7.5" customHeight="1" x14ac:dyDescent="0.2">
      <c r="A187" s="2"/>
      <c r="B187" s="2"/>
      <c r="C187" s="2"/>
      <c r="D187" s="2"/>
      <c r="E187" s="2"/>
      <c r="F187" s="2"/>
      <c r="G187" s="598">
        <f>IF(AND(G$193&lt;&gt;0,G$193&gt;0),IF(($E$184*5)&gt;=G$193,0,1),IF(AND(G$193&lt;&gt;0,G$193&lt;0),IF(($E$184*5)&lt;=G$193,0,1),0))</f>
        <v>0</v>
      </c>
      <c r="H187" s="598">
        <f>IF(AND(H$193&lt;&gt;0,H$193&gt;0),IF(($E$184*5)&gt;=H$193,0,1),IF(AND(H$193&lt;&gt;0,H$193&lt;0),IF(($E$184*5)&lt;=H$193,0,1),0))</f>
        <v>0</v>
      </c>
      <c r="I187" s="2061">
        <f>IF(AND(I$193&lt;&gt;0,I$193&gt;0),IF(($E$184*5)&gt;=I$193,0,1),IF(AND(I$193&lt;&gt;0,I$193&lt;0),IF(($E$184*5)&lt;=I$193,0,1),0))</f>
        <v>0</v>
      </c>
      <c r="J187" s="2062"/>
      <c r="K187" s="598">
        <f>IF(AND(K$193&lt;&gt;0,K$193&gt;0),IF(($E$184*5)&gt;=K$193,0,1),IF(AND(K$193&lt;&gt;0,K$193&lt;0),IF(($E$184*5)&lt;=K$193,0,1),0))</f>
        <v>0</v>
      </c>
      <c r="L187" s="2"/>
      <c r="M187" s="2"/>
      <c r="N187" s="2"/>
      <c r="O187" s="2"/>
      <c r="P187" s="2"/>
      <c r="Q187" s="2"/>
      <c r="R187" s="591"/>
      <c r="S187" s="591"/>
      <c r="T187" s="591"/>
      <c r="U187" s="591"/>
      <c r="V187" s="591"/>
      <c r="W187" s="591"/>
      <c r="X187" s="591"/>
      <c r="AA187" s="591"/>
      <c r="AB187" s="591"/>
      <c r="AC187" s="591"/>
      <c r="AG187" s="591"/>
      <c r="AS187" s="591"/>
    </row>
    <row r="188" spans="1:45" ht="7.5" customHeight="1" x14ac:dyDescent="0.2">
      <c r="A188" s="2"/>
      <c r="B188" s="2"/>
      <c r="C188" s="2"/>
      <c r="D188" s="2"/>
      <c r="E188" s="2"/>
      <c r="F188" s="2"/>
      <c r="G188" s="598">
        <f>IF(AND(G$193&lt;&gt;0,G$193&gt;0),IF(($E$184*4)&gt;=G$193,0,1),IF(AND(G$193&lt;&gt;0,G$193&lt;0),IF(($E$184*4)&lt;=G$193,0,1),0))</f>
        <v>0</v>
      </c>
      <c r="H188" s="598">
        <f>IF(AND(H$193&lt;&gt;0,H$193&gt;0),IF(($E$184*4)&gt;=H$193,0,1),IF(AND(H$193&lt;&gt;0,H$193&lt;0),IF(($E$184*4)&lt;=H$193,0,1),0))</f>
        <v>0</v>
      </c>
      <c r="I188" s="2061">
        <f>IF(AND(I$193&lt;&gt;0,I$193&gt;0),IF(($E$184*4)&gt;=I$193,0,1),IF(AND(I$193&lt;&gt;0,I$193&lt;0),IF(($E$184*4)&lt;=I$193,0,1),0))</f>
        <v>0</v>
      </c>
      <c r="J188" s="2062"/>
      <c r="K188" s="598">
        <f>IF(AND(K$193&lt;&gt;0,K$193&gt;0),IF(($E$184*4)&gt;=K$193,0,1),IF(AND(K$193&lt;&gt;0,K$193&lt;0),IF(($E$184*4)&lt;=K$193,0,1),0))</f>
        <v>0</v>
      </c>
      <c r="L188" s="2"/>
      <c r="M188" s="2"/>
      <c r="N188" s="2"/>
      <c r="O188" s="2"/>
      <c r="P188" s="2"/>
      <c r="Q188" s="2"/>
      <c r="R188" s="591"/>
      <c r="S188" s="591"/>
      <c r="T188" s="591"/>
      <c r="U188" s="591"/>
      <c r="V188" s="591"/>
      <c r="W188" s="591"/>
      <c r="X188" s="591"/>
      <c r="AA188" s="591"/>
      <c r="AB188" s="591"/>
      <c r="AC188" s="591"/>
      <c r="AG188" s="591"/>
      <c r="AS188" s="591"/>
    </row>
    <row r="189" spans="1:45" ht="7.5" customHeight="1" x14ac:dyDescent="0.2">
      <c r="A189" s="2"/>
      <c r="B189" s="2"/>
      <c r="C189" s="2"/>
      <c r="D189" s="2"/>
      <c r="E189" s="2"/>
      <c r="F189" s="2"/>
      <c r="G189" s="598">
        <f>IF(AND(G$193&lt;&gt;0,G$193&gt;0),IF(($E$184*3)&gt;=G$193,0,1),IF(AND(G$193&lt;&gt;0,G$193&lt;0),IF(($E$184*3)&lt;=G$193,0,1),0))</f>
        <v>0</v>
      </c>
      <c r="H189" s="598">
        <f>IF(AND(H$193&lt;&gt;0,H$193&gt;0),IF(($E$184*3)&gt;=H$193,0,1),IF(AND(H$193&lt;&gt;0,H$193&lt;0),IF(($E$184*3)&lt;=H$193,0,1),0))</f>
        <v>0</v>
      </c>
      <c r="I189" s="2061">
        <f>IF(AND(I$193&lt;&gt;0,I$193&gt;0),IF(($E$184*3)&gt;=I$193,0,1),IF(AND(I$193&lt;&gt;0,I$193&lt;0),IF(($E$184*3)&lt;=I$193,0,1),0))</f>
        <v>0</v>
      </c>
      <c r="J189" s="2062"/>
      <c r="K189" s="598">
        <f>IF(AND(K$193&lt;&gt;0,K$193&gt;0),IF(($E$184*3)&gt;=K$193,0,1),IF(AND(K$193&lt;&gt;0,K$193&lt;0),IF(($E$184*3)&lt;=K$193,0,1),0))</f>
        <v>0</v>
      </c>
      <c r="L189" s="2"/>
      <c r="M189" s="2"/>
      <c r="N189" s="2"/>
      <c r="O189" s="2"/>
      <c r="P189" s="2"/>
      <c r="Q189" s="2"/>
      <c r="R189" s="591"/>
      <c r="S189" s="591"/>
      <c r="T189" s="591"/>
      <c r="U189" s="591"/>
      <c r="V189" s="591"/>
      <c r="W189" s="591"/>
      <c r="X189" s="591"/>
      <c r="AA189" s="591"/>
      <c r="AB189" s="591"/>
      <c r="AC189" s="591"/>
      <c r="AG189" s="591"/>
      <c r="AS189" s="591"/>
    </row>
    <row r="190" spans="1:45" ht="7.5" customHeight="1" x14ac:dyDescent="0.2">
      <c r="A190" s="2"/>
      <c r="B190" s="2"/>
      <c r="C190" s="2"/>
      <c r="D190" s="2"/>
      <c r="E190" s="2"/>
      <c r="F190" s="2"/>
      <c r="G190" s="598">
        <f>IF(AND(G$193&lt;&gt;0,G$193&gt;0),IF(($E$184*2)&gt;=G$193,0,1),IF(AND(G$193&lt;&gt;0,G$193&lt;0),IF(($E$184*2)&lt;=G$193,0,1),0))</f>
        <v>0</v>
      </c>
      <c r="H190" s="598">
        <f>IF(AND(H$193&lt;&gt;0,H$193&gt;0),IF(($E$184*2)&gt;=H$193,0,1),IF(AND(H$193&lt;&gt;0,H$193&lt;0),IF(($E$184*2)&lt;=H$193,0,1),0))</f>
        <v>0</v>
      </c>
      <c r="I190" s="2061">
        <f>IF(AND(I$193&lt;&gt;0,I$193&gt;0),IF(($E$184*2)&gt;=I$193,0,1),IF(AND(I$193&lt;&gt;0,I$193&lt;0),IF(($E$184*2)&lt;=I$193,0,1),0))</f>
        <v>0</v>
      </c>
      <c r="J190" s="2062"/>
      <c r="K190" s="598">
        <f>IF(AND(K$193&lt;&gt;0,K$193&gt;0),IF(($E$184*2)&gt;=K$193,0,1),IF(AND(K$193&lt;&gt;0,K$193&lt;0),IF(($E$184*2)&lt;=K$193,0,1),0))</f>
        <v>0</v>
      </c>
      <c r="L190" s="2"/>
      <c r="M190" s="2"/>
      <c r="N190" s="2"/>
      <c r="O190" s="2"/>
      <c r="P190" s="2"/>
      <c r="Q190" s="2"/>
      <c r="R190" s="591"/>
      <c r="S190" s="591"/>
      <c r="T190" s="591"/>
      <c r="U190" s="591"/>
      <c r="V190" s="591"/>
      <c r="W190" s="591"/>
      <c r="X190" s="591"/>
      <c r="AA190" s="591"/>
      <c r="AB190" s="591"/>
      <c r="AC190" s="591"/>
      <c r="AG190" s="591"/>
      <c r="AS190" s="591"/>
    </row>
    <row r="191" spans="1:45" ht="7.5" customHeight="1" x14ac:dyDescent="0.2">
      <c r="A191" s="2"/>
      <c r="B191" s="2"/>
      <c r="C191" s="2"/>
      <c r="D191" s="2"/>
      <c r="E191" s="2"/>
      <c r="F191" s="2"/>
      <c r="G191" s="598">
        <f>IF(AND(G$193&lt;&gt;0,G$193&gt;0),IF(($E$184*1)&gt;=G$193,0,1),IF(AND(G$193&lt;&gt;0,G$193&lt;0),IF(($E$184*1)&lt;=G$193,0,1),0))</f>
        <v>0</v>
      </c>
      <c r="H191" s="598">
        <f>IF(AND(H$193&lt;&gt;0,H$193&gt;0),IF(($E$184*1)&gt;=H$193,0,1),IF(AND(H$193&lt;&gt;0,H$193&lt;0),IF(($E$184*1)&lt;=H$193,0,1),0))</f>
        <v>0</v>
      </c>
      <c r="I191" s="2061">
        <f>IF(AND(I$193&lt;&gt;0,I$193&gt;0),IF(($E$184*1)&gt;=I$193,0,1),IF(AND(I$193&lt;&gt;0,I$193&lt;0),IF(($E$184*1)&lt;=I$193,0,1),0))</f>
        <v>0</v>
      </c>
      <c r="J191" s="2062"/>
      <c r="K191" s="598">
        <f>IF(AND(K$193&lt;&gt;0,K$193&gt;0),IF(($E$184*1)&gt;=K$193,0,1),IF(AND(K$193&lt;&gt;0,K$193&lt;0),IF(($E$184*1)&lt;=K$193,0,1),0))</f>
        <v>0</v>
      </c>
      <c r="L191" s="2"/>
      <c r="M191" s="2"/>
      <c r="N191" s="2"/>
      <c r="O191" s="2"/>
      <c r="P191" s="2"/>
      <c r="Q191" s="2"/>
      <c r="R191" s="591"/>
      <c r="S191" s="591"/>
      <c r="T191" s="591"/>
      <c r="U191" s="591"/>
      <c r="V191" s="591"/>
      <c r="W191" s="591"/>
      <c r="X191" s="591"/>
      <c r="AA191" s="591"/>
      <c r="AB191" s="591"/>
      <c r="AC191" s="591"/>
      <c r="AG191" s="591"/>
      <c r="AS191" s="591"/>
    </row>
    <row r="192" spans="1:45" ht="7.5" customHeight="1" x14ac:dyDescent="0.2">
      <c r="A192" s="2"/>
      <c r="B192" s="2"/>
      <c r="C192" s="2"/>
      <c r="D192" s="2"/>
      <c r="E192" s="2"/>
      <c r="F192" s="2"/>
      <c r="G192" s="599">
        <f>IF(G193&lt;&gt;0,1,0)</f>
        <v>0</v>
      </c>
      <c r="H192" s="599">
        <f>IF(H193&lt;&gt;0,1,0)</f>
        <v>0</v>
      </c>
      <c r="I192" s="2199">
        <f>IF(I193&lt;&gt;0,1,0)</f>
        <v>0</v>
      </c>
      <c r="J192" s="2200"/>
      <c r="K192" s="599">
        <f>IF(K193&lt;&gt;0,1,0)</f>
        <v>0</v>
      </c>
      <c r="L192" s="2"/>
      <c r="M192" s="2"/>
      <c r="N192" s="2"/>
      <c r="O192" s="2"/>
      <c r="P192" s="2"/>
      <c r="Q192" s="2"/>
      <c r="R192" s="591"/>
      <c r="S192" s="591"/>
      <c r="T192" s="591"/>
      <c r="U192" s="591"/>
      <c r="V192" s="591"/>
      <c r="W192" s="591"/>
      <c r="X192" s="591"/>
      <c r="AA192" s="591"/>
      <c r="AB192" s="591"/>
      <c r="AC192" s="591"/>
      <c r="AG192" s="591"/>
      <c r="AS192" s="591"/>
    </row>
    <row r="193" spans="1:45" ht="21.95" customHeight="1" x14ac:dyDescent="0.2">
      <c r="A193" s="2"/>
      <c r="B193" s="7"/>
      <c r="C193" s="2092" t="s">
        <v>582</v>
      </c>
      <c r="D193" s="2092"/>
      <c r="E193" s="2093">
        <f>SUM(G193:K193)</f>
        <v>0</v>
      </c>
      <c r="F193" s="2093"/>
      <c r="G193" s="623">
        <f>VLOOKUP($M166,$C215:G217,G214,FALSE)</f>
        <v>0</v>
      </c>
      <c r="H193" s="623">
        <f>VLOOKUP($M166,$C215:H217,H214,FALSE)</f>
        <v>0</v>
      </c>
      <c r="I193" s="2196">
        <f>VLOOKUP($M166,$C215:I217,I214,FALSE)</f>
        <v>0</v>
      </c>
      <c r="J193" s="2196"/>
      <c r="K193" s="623">
        <f>VLOOKUP($M166,$C215:J217,J214,FALSE)</f>
        <v>0</v>
      </c>
      <c r="L193" s="2"/>
      <c r="M193" s="12"/>
      <c r="N193" s="2"/>
      <c r="O193" s="2"/>
      <c r="P193" s="2"/>
      <c r="Q193" s="2"/>
      <c r="R193" s="591"/>
      <c r="S193" s="591"/>
      <c r="T193" s="591"/>
      <c r="U193" s="591"/>
      <c r="V193" s="591"/>
      <c r="W193" s="591"/>
      <c r="X193" s="591"/>
      <c r="AA193" s="591"/>
      <c r="AB193" s="591"/>
      <c r="AC193" s="591"/>
      <c r="AG193" s="591"/>
      <c r="AS193" s="591"/>
    </row>
    <row r="194" spans="1:45" ht="11.25" customHeight="1" x14ac:dyDescent="0.2">
      <c r="A194" s="2"/>
      <c r="B194" s="2"/>
      <c r="C194" s="2"/>
      <c r="D194" s="2"/>
      <c r="E194" s="2"/>
      <c r="F194" s="2"/>
      <c r="G194" s="2"/>
      <c r="H194" s="2"/>
      <c r="I194" s="2203"/>
      <c r="J194" s="2203"/>
      <c r="K194" s="2"/>
      <c r="L194" s="2"/>
      <c r="M194" s="2"/>
      <c r="N194" s="2"/>
      <c r="O194" s="2"/>
      <c r="P194" s="2"/>
      <c r="Q194" s="2"/>
      <c r="R194" s="591"/>
      <c r="S194" s="591"/>
      <c r="T194" s="591"/>
      <c r="U194" s="591"/>
      <c r="V194" s="591"/>
      <c r="W194" s="591"/>
      <c r="X194" s="591"/>
      <c r="AA194" s="591"/>
      <c r="AB194" s="591"/>
      <c r="AC194" s="591"/>
      <c r="AG194" s="591"/>
      <c r="AS194" s="591"/>
    </row>
    <row r="195" spans="1:45" ht="19.5" customHeight="1" x14ac:dyDescent="0.2">
      <c r="A195" s="2"/>
      <c r="B195" s="2"/>
      <c r="C195" s="2063" t="e">
        <f>VLOOKUP(I207,I220:K229,3,FALSE)</f>
        <v>#N/A</v>
      </c>
      <c r="D195" s="2063"/>
      <c r="E195" s="2063"/>
      <c r="F195" s="2063"/>
      <c r="G195" s="2063"/>
      <c r="H195" s="2063"/>
      <c r="I195" s="2202"/>
      <c r="J195" s="2202"/>
      <c r="K195" s="2"/>
      <c r="L195" s="2"/>
      <c r="M195" s="2"/>
      <c r="N195" s="2"/>
      <c r="O195" s="2"/>
      <c r="P195" s="2"/>
      <c r="Q195" s="2"/>
      <c r="R195" s="591"/>
      <c r="S195" s="591"/>
      <c r="T195" s="591"/>
      <c r="U195" s="591"/>
      <c r="V195" s="591"/>
      <c r="W195" s="591"/>
      <c r="X195" s="591"/>
      <c r="AA195" s="591"/>
      <c r="AB195" s="591"/>
      <c r="AC195" s="591"/>
      <c r="AG195" s="591"/>
      <c r="AS195" s="591"/>
    </row>
    <row r="196" spans="1:45" ht="7.5" customHeight="1" x14ac:dyDescent="0.2">
      <c r="A196" s="2"/>
      <c r="B196" s="2"/>
      <c r="C196" s="2064"/>
      <c r="D196" s="2065"/>
      <c r="E196" s="484"/>
      <c r="F196" s="2"/>
      <c r="G196" s="594" t="e">
        <f>IF(AND(G$206&lt;&gt;0,G$206&gt;0),IF(($E$197*9)&gt;=G$206,0,1),IF(AND(G$206&lt;&gt;0,G$206&lt;0),IF(($E$197*9)&lt;=G$206,0,1),0))</f>
        <v>#N/A</v>
      </c>
      <c r="H196" s="594" t="e">
        <f>IF(AND(H$206&lt;&gt;0,H$206&gt;0),IF(($E$197*9)&gt;=H$206,0,1),IF(AND(H$206&lt;&gt;0,H$206&lt;0),IF(($E$197*9)&lt;=H$206,0,1),0))</f>
        <v>#N/A</v>
      </c>
      <c r="I196" s="2197" t="e">
        <f>IF(AND(I$206&lt;&gt;0,I$206&gt;0),IF(($E$197*9)&gt;=I$206,0,1),IF(AND(I$206&lt;&gt;0,I$206&lt;0),IF(($E$197*9)&lt;=I$206,0,1),0))</f>
        <v>#N/A</v>
      </c>
      <c r="J196" s="2198"/>
      <c r="K196" s="594" t="e">
        <f>IF(AND(K$206&lt;&gt;0,K$206&gt;0),IF(($E$197*9)&gt;=K$206,0,1),IF(AND(K$206&lt;&gt;0,K$206&lt;0),IF(($E$197*9)&lt;=K$206,0,1),0))</f>
        <v>#N/A</v>
      </c>
      <c r="L196" s="2"/>
      <c r="M196" s="2"/>
      <c r="N196" s="2"/>
      <c r="O196" s="2"/>
      <c r="P196" s="2"/>
      <c r="Q196" s="2"/>
      <c r="R196" s="591"/>
      <c r="S196" s="591"/>
      <c r="T196" s="591"/>
      <c r="U196" s="591"/>
      <c r="V196" s="591"/>
      <c r="W196" s="591"/>
      <c r="X196" s="591"/>
      <c r="AA196" s="591"/>
      <c r="AB196" s="591"/>
      <c r="AC196" s="591"/>
      <c r="AG196" s="591"/>
      <c r="AS196" s="591"/>
    </row>
    <row r="197" spans="1:45" ht="7.5" customHeight="1" x14ac:dyDescent="0.2">
      <c r="A197" s="2"/>
      <c r="B197" s="2"/>
      <c r="C197" s="2096" t="s">
        <v>587</v>
      </c>
      <c r="D197" s="2096"/>
      <c r="E197" s="2098">
        <f>IF(OR(M166=0,M168=""),0,IF(M168=E220,E221,MAX(G206:K206)/10))</f>
        <v>0</v>
      </c>
      <c r="F197" s="2"/>
      <c r="G197" s="595" t="e">
        <f>IF(AND(G$206&lt;&gt;0,G$206&gt;0),IF(($E$197*8)&gt;=G$206,0,1),IF(AND(G$206&lt;&gt;0,G$206&lt;0),IF(($E$197*8)&lt;=G$206,0,1),0))</f>
        <v>#N/A</v>
      </c>
      <c r="H197" s="595" t="e">
        <f>IF(AND(H$206&lt;&gt;0,H$206&gt;0),IF(($E$197*8)&gt;=H$206,0,1),IF(AND(H$206&lt;&gt;0,H$206&lt;0),IF(($E$197*8)&lt;=H$206,0,1),0))</f>
        <v>#N/A</v>
      </c>
      <c r="I197" s="2049" t="e">
        <f>IF(AND(I$206&lt;&gt;0,I$206&gt;0),IF(($E$197*8)&gt;=I$206,0,1),IF(AND(I$206&lt;&gt;0,I$206&lt;0),IF(($E$197*8)&lt;=I$206,0,1),0))</f>
        <v>#N/A</v>
      </c>
      <c r="J197" s="2050"/>
      <c r="K197" s="595" t="e">
        <f>IF(AND(K$206&lt;&gt;0,K$206&gt;0),IF(($E$197*8)&gt;=K$206,0,1),IF(AND(K$206&lt;&gt;0,K$206&lt;0),IF(($E$197*8)&lt;=K$206,0,1),0))</f>
        <v>#N/A</v>
      </c>
      <c r="L197" s="2"/>
      <c r="M197" s="2"/>
      <c r="N197" s="2"/>
      <c r="O197" s="2"/>
      <c r="P197" s="2"/>
      <c r="Q197" s="2"/>
      <c r="R197" s="591"/>
      <c r="S197" s="591"/>
      <c r="T197" s="591"/>
      <c r="U197" s="591"/>
      <c r="V197" s="591"/>
      <c r="W197" s="591"/>
      <c r="X197" s="591"/>
      <c r="AA197" s="591"/>
      <c r="AB197" s="591"/>
      <c r="AC197" s="591"/>
      <c r="AG197" s="591"/>
      <c r="AS197" s="591"/>
    </row>
    <row r="198" spans="1:45" ht="7.5" customHeight="1" x14ac:dyDescent="0.2">
      <c r="A198" s="2"/>
      <c r="B198" s="2"/>
      <c r="C198" s="2097"/>
      <c r="D198" s="2097"/>
      <c r="E198" s="2098"/>
      <c r="F198" s="2"/>
      <c r="G198" s="595" t="e">
        <f>IF(AND(G$206&lt;&gt;0,G$206&gt;0),IF(($E$197*7)&gt;=G$206,0,1),IF(AND(G$206&lt;&gt;0,G$206&lt;0),IF(($E$197*7)&lt;=G$206,0,1),0))</f>
        <v>#N/A</v>
      </c>
      <c r="H198" s="595" t="e">
        <f>IF(AND(H$206&lt;&gt;0,H$206&gt;0),IF(($E$197*7)&gt;=H$206,0,1),IF(AND(H$206&lt;&gt;0,H$206&lt;0),IF(($E$197*7)&lt;=H$206,0,1),0))</f>
        <v>#N/A</v>
      </c>
      <c r="I198" s="2049" t="e">
        <f>IF(AND(I$206&lt;&gt;0,I$206&gt;0),IF(($E$197*7)&gt;=I$206,0,1),IF(AND(I$206&lt;&gt;0,I$206&lt;0),IF(($E$197*7)&lt;=I$206,0,1),0))</f>
        <v>#N/A</v>
      </c>
      <c r="J198" s="2050"/>
      <c r="K198" s="595" t="e">
        <f>IF(AND(K$206&lt;&gt;0,K$206&gt;0),IF(($E$197*7)&gt;=K$206,0,1),IF(AND(K$206&lt;&gt;0,K$206&lt;0),IF(($E$197*7)&lt;=K$206,0,1),0))</f>
        <v>#N/A</v>
      </c>
      <c r="L198" s="2"/>
      <c r="M198" s="2"/>
      <c r="N198" s="2"/>
      <c r="O198" s="2"/>
      <c r="P198" s="2"/>
      <c r="Q198" s="2"/>
      <c r="R198" s="591"/>
      <c r="S198" s="591"/>
      <c r="T198" s="591"/>
      <c r="U198" s="591"/>
      <c r="V198" s="591"/>
      <c r="W198" s="591"/>
      <c r="X198" s="591"/>
      <c r="AA198" s="591"/>
      <c r="AB198" s="591"/>
      <c r="AC198" s="591"/>
      <c r="AG198" s="591"/>
      <c r="AS198" s="591"/>
    </row>
    <row r="199" spans="1:45" ht="7.5" customHeight="1" x14ac:dyDescent="0.2">
      <c r="A199" s="2"/>
      <c r="B199" s="2"/>
      <c r="C199" s="2"/>
      <c r="D199" s="2"/>
      <c r="E199" s="2"/>
      <c r="F199" s="2"/>
      <c r="G199" s="595" t="e">
        <f>IF(AND(G$206&lt;&gt;0,G$206&gt;0),IF(($E$197*6)&gt;=G$206,0,1),IF(AND(G$206&lt;&gt;0,G$206&lt;0),IF(($E$197*6)&lt;=G$206,0,1),0))</f>
        <v>#N/A</v>
      </c>
      <c r="H199" s="595" t="e">
        <f>IF(AND(H$206&lt;&gt;0,H$206&gt;0),IF(($E$197*6)&gt;=H$206,0,1),IF(AND(H$206&lt;&gt;0,H$206&lt;0),IF(($E$197*6)&lt;=H$206,0,1),0))</f>
        <v>#N/A</v>
      </c>
      <c r="I199" s="2049" t="e">
        <f>IF(AND(I$206&lt;&gt;0,I$206&gt;0),IF(($E$197*6)&gt;=I$206,0,1),IF(AND(I$206&lt;&gt;0,I$206&lt;0),IF(($E$197*6)&lt;=I$206,0,1),0))</f>
        <v>#N/A</v>
      </c>
      <c r="J199" s="2050"/>
      <c r="K199" s="595" t="e">
        <f>IF(AND(K$206&lt;&gt;0,K$206&gt;0),IF(($E$197*6)&gt;=K$206,0,1),IF(AND(K$206&lt;&gt;0,K$206&lt;0),IF(($E$197*6)&lt;=K$206,0,1),0))</f>
        <v>#N/A</v>
      </c>
      <c r="L199" s="2"/>
      <c r="M199" s="2"/>
      <c r="N199" s="2"/>
      <c r="O199" s="2"/>
      <c r="P199" s="2"/>
      <c r="Q199" s="2"/>
      <c r="R199" s="591"/>
      <c r="S199" s="591"/>
      <c r="T199" s="591"/>
      <c r="U199" s="591"/>
      <c r="V199" s="591"/>
      <c r="W199" s="591"/>
      <c r="X199" s="591"/>
      <c r="AA199" s="591"/>
      <c r="AB199" s="591"/>
      <c r="AC199" s="591"/>
      <c r="AG199" s="591"/>
      <c r="AS199" s="591"/>
    </row>
    <row r="200" spans="1:45" ht="7.5" customHeight="1" x14ac:dyDescent="0.2">
      <c r="A200" s="2"/>
      <c r="B200" s="2"/>
      <c r="C200" s="2"/>
      <c r="D200" s="2"/>
      <c r="E200" s="2"/>
      <c r="F200" s="2"/>
      <c r="G200" s="595" t="e">
        <f>IF(AND(G$206&lt;&gt;0,G$206&gt;0),IF(($E$197*5)&gt;=G$206,0,1),IF(AND(G$206&lt;&gt;0,G$206&lt;0),IF(($E$197*5)&lt;=G$206,0,1),0))</f>
        <v>#N/A</v>
      </c>
      <c r="H200" s="595" t="e">
        <f>IF(AND(H$206&lt;&gt;0,H$206&gt;0),IF(($E$197*5)&gt;=H$206,0,1),IF(AND(H$206&lt;&gt;0,H$206&lt;0),IF(($E$197*5)&lt;=H$206,0,1),0))</f>
        <v>#N/A</v>
      </c>
      <c r="I200" s="2049" t="e">
        <f>IF(AND(I$206&lt;&gt;0,I$206&gt;0),IF(($E$197*5)&gt;=I$206,0,1),IF(AND(I$206&lt;&gt;0,I$206&lt;0),IF(($E$197*5)&lt;=I$206,0,1),0))</f>
        <v>#N/A</v>
      </c>
      <c r="J200" s="2050"/>
      <c r="K200" s="595" t="e">
        <f>IF(AND(K$206&lt;&gt;0,K$206&gt;0),IF(($E$197*5)&gt;=K$206,0,1),IF(AND(K$206&lt;&gt;0,K$206&lt;0),IF(($E$197*5)&lt;=K$206,0,1),0))</f>
        <v>#N/A</v>
      </c>
      <c r="L200" s="2"/>
      <c r="M200" s="2"/>
      <c r="N200" s="2"/>
      <c r="O200" s="2"/>
      <c r="P200" s="2"/>
      <c r="Q200" s="2"/>
      <c r="R200" s="591"/>
      <c r="S200" s="591"/>
      <c r="T200" s="591"/>
      <c r="U200" s="591"/>
      <c r="V200" s="591"/>
      <c r="W200" s="591"/>
      <c r="X200" s="591"/>
      <c r="AA200" s="591"/>
      <c r="AB200" s="591"/>
      <c r="AC200" s="591"/>
      <c r="AG200" s="591"/>
      <c r="AS200" s="591"/>
    </row>
    <row r="201" spans="1:45" ht="7.5" customHeight="1" x14ac:dyDescent="0.2">
      <c r="A201" s="2"/>
      <c r="B201" s="2"/>
      <c r="C201" s="2"/>
      <c r="D201" s="2"/>
      <c r="E201" s="2"/>
      <c r="F201" s="2"/>
      <c r="G201" s="595" t="e">
        <f>IF(AND(G$206&lt;&gt;0,G$206&gt;0),IF(($E$197*4)&gt;=G$206,0,1),IF(AND(G$206&lt;&gt;0,G$206&lt;0),IF(($E$197*4)&lt;=G$206,0,1),0))</f>
        <v>#N/A</v>
      </c>
      <c r="H201" s="595" t="e">
        <f>IF(AND(H$206&lt;&gt;0,H$206&gt;0),IF(($E$197*4)&gt;=H$206,0,1),IF(AND(H$206&lt;&gt;0,H$206&lt;0),IF(($E$197*4)&lt;=H$206,0,1),0))</f>
        <v>#N/A</v>
      </c>
      <c r="I201" s="2049" t="e">
        <f>IF(AND(I$206&lt;&gt;0,I$206&gt;0),IF(($E$197*4)&gt;=I$206,0,1),IF(AND(I$206&lt;&gt;0,I$206&lt;0),IF(($E$197*4)&lt;=I$206,0,1),0))</f>
        <v>#N/A</v>
      </c>
      <c r="J201" s="2050"/>
      <c r="K201" s="595" t="e">
        <f>IF(AND(K$206&lt;&gt;0,K$206&gt;0),IF(($E$197*4)&gt;=K$206,0,1),IF(AND(K$206&lt;&gt;0,K$206&lt;0),IF(($E$197*4)&lt;=K$206,0,1),0))</f>
        <v>#N/A</v>
      </c>
      <c r="L201" s="2"/>
      <c r="M201" s="2"/>
      <c r="N201" s="2"/>
      <c r="O201" s="2"/>
      <c r="P201" s="2"/>
      <c r="Q201" s="2"/>
      <c r="R201" s="591"/>
      <c r="S201" s="591"/>
      <c r="T201" s="591"/>
      <c r="U201" s="591"/>
      <c r="V201" s="591"/>
      <c r="W201" s="591"/>
      <c r="X201" s="591"/>
      <c r="AA201" s="591"/>
      <c r="AB201" s="591"/>
      <c r="AC201" s="591"/>
      <c r="AG201" s="591"/>
      <c r="AS201" s="591"/>
    </row>
    <row r="202" spans="1:45" ht="7.5" customHeight="1" x14ac:dyDescent="0.2">
      <c r="A202" s="2"/>
      <c r="B202" s="2"/>
      <c r="C202" s="2"/>
      <c r="D202" s="2"/>
      <c r="E202" s="2"/>
      <c r="F202" s="2"/>
      <c r="G202" s="595" t="e">
        <f>IF(AND(G$206&lt;&gt;0,G$206&gt;0),IF(($E$197*3)&gt;=G$206,0,1),IF(AND(G$206&lt;&gt;0,G$206&lt;0),IF(($E$197*3)&lt;=G$206,0,1),0))</f>
        <v>#N/A</v>
      </c>
      <c r="H202" s="595" t="e">
        <f>IF(AND(H$206&lt;&gt;0,H$206&gt;0),IF(($E$197*3)&gt;=H$206,0,1),IF(AND(H$206&lt;&gt;0,H$206&lt;0),IF(($E$197*3)&lt;=H$206,0,1),0))</f>
        <v>#N/A</v>
      </c>
      <c r="I202" s="2049" t="e">
        <f>IF(AND(I$206&lt;&gt;0,I$206&gt;0),IF(($E$197*3)&gt;=I$206,0,1),IF(AND(I$206&lt;&gt;0,I$206&lt;0),IF(($E$197*3)&lt;=I$206,0,1),0))</f>
        <v>#N/A</v>
      </c>
      <c r="J202" s="2050"/>
      <c r="K202" s="595" t="e">
        <f>IF(AND(K$206&lt;&gt;0,K$206&gt;0),IF(($E$197*3)&gt;=K$206,0,1),IF(AND(K$206&lt;&gt;0,K$206&lt;0),IF(($E$197*3)&lt;=K$206,0,1),0))</f>
        <v>#N/A</v>
      </c>
      <c r="L202" s="2"/>
      <c r="M202" s="2"/>
      <c r="N202" s="2"/>
      <c r="O202" s="2"/>
      <c r="P202" s="2"/>
      <c r="Q202" s="2"/>
      <c r="R202" s="591"/>
      <c r="S202" s="591"/>
      <c r="T202" s="591"/>
      <c r="U202" s="591"/>
      <c r="V202" s="591"/>
      <c r="W202" s="591"/>
      <c r="X202" s="591"/>
      <c r="AA202" s="591"/>
      <c r="AB202" s="591"/>
      <c r="AC202" s="591"/>
      <c r="AG202" s="591"/>
      <c r="AS202" s="591"/>
    </row>
    <row r="203" spans="1:45" ht="7.5" customHeight="1" x14ac:dyDescent="0.2">
      <c r="A203" s="2"/>
      <c r="B203" s="2"/>
      <c r="C203" s="2"/>
      <c r="D203" s="2"/>
      <c r="E203" s="2"/>
      <c r="F203" s="2"/>
      <c r="G203" s="595" t="e">
        <f>IF(AND(G$206&lt;&gt;0,G$206&gt;0),IF(($E$197*2)&gt;=G$206,0,1),IF(AND(G$206&lt;&gt;0,G$206&lt;0),IF(($E$197*2)&lt;=G$206,0,1),0))</f>
        <v>#N/A</v>
      </c>
      <c r="H203" s="595" t="e">
        <f>IF(AND(H$206&lt;&gt;0,H$206&gt;0),IF(($E$197*2)&gt;=H$206,0,1),IF(AND(H$206&lt;&gt;0,H$206&lt;0),IF(($E$197*2)&lt;=H$206,0,1),0))</f>
        <v>#N/A</v>
      </c>
      <c r="I203" s="2049" t="e">
        <f>IF(AND(I$206&lt;&gt;0,I$206&gt;0),IF(($E$197*2)&gt;=I$206,0,1),IF(AND(I$206&lt;&gt;0,I$206&lt;0),IF(($E$197*2)&lt;=I$206,0,1),0))</f>
        <v>#N/A</v>
      </c>
      <c r="J203" s="2050"/>
      <c r="K203" s="595" t="e">
        <f>IF(AND(K$206&lt;&gt;0,K$206&gt;0),IF(($E$197*2)&gt;=K$206,0,1),IF(AND(K$206&lt;&gt;0,K$206&lt;0),IF(($E$197*2)&lt;=K$206,0,1),0))</f>
        <v>#N/A</v>
      </c>
      <c r="L203" s="2"/>
      <c r="M203" s="2"/>
      <c r="N203" s="2"/>
      <c r="O203" s="2"/>
      <c r="P203" s="2"/>
      <c r="Q203" s="2"/>
      <c r="R203" s="591"/>
      <c r="S203" s="591"/>
      <c r="T203" s="591"/>
      <c r="U203" s="591"/>
      <c r="V203" s="591"/>
      <c r="W203" s="591"/>
      <c r="X203" s="591"/>
      <c r="AA203" s="591"/>
      <c r="AB203" s="591"/>
      <c r="AC203" s="591"/>
      <c r="AG203" s="591"/>
      <c r="AS203" s="591"/>
    </row>
    <row r="204" spans="1:45" ht="7.5" customHeight="1" x14ac:dyDescent="0.2">
      <c r="A204" s="2"/>
      <c r="B204" s="2"/>
      <c r="C204" s="2"/>
      <c r="D204" s="2"/>
      <c r="E204" s="2"/>
      <c r="F204" s="2"/>
      <c r="G204" s="595" t="e">
        <f>IF(AND(G$206&lt;&gt;0,G$206&gt;0),IF(($E$197*1)&gt;=G$206,0,1),IF(AND(G$206&lt;&gt;0,G$206&lt;0),IF(($E$197*1)&lt;=G$206,0,1),0))</f>
        <v>#N/A</v>
      </c>
      <c r="H204" s="595" t="e">
        <f>IF(AND(H$206&lt;&gt;0,H$206&gt;0),IF(($E$197*1)&gt;=H$206,0,1),IF(AND(H$206&lt;&gt;0,H$206&lt;0),IF(($E$197*1)&lt;=H$206,0,1),0))</f>
        <v>#N/A</v>
      </c>
      <c r="I204" s="2049" t="e">
        <f>IF(AND(I$206&lt;&gt;0,I$206&gt;0),IF(($E$197*1)&gt;=I$206,0,1),IF(AND(I$206&lt;&gt;0,I$206&lt;0),IF(($E$197*1)&lt;=I$206,0,1),0))</f>
        <v>#N/A</v>
      </c>
      <c r="J204" s="2050"/>
      <c r="K204" s="595" t="e">
        <f>IF(AND(K$206&lt;&gt;0,K$206&gt;0),IF(($E$197*1)&gt;=K$206,0,1),IF(AND(K$206&lt;&gt;0,K$206&lt;0),IF(($E$197*1)&lt;=K$206,0,1),0))</f>
        <v>#N/A</v>
      </c>
      <c r="L204" s="2"/>
      <c r="M204" s="2"/>
      <c r="N204" s="2"/>
      <c r="O204" s="2"/>
      <c r="P204" s="2"/>
      <c r="Q204" s="2"/>
      <c r="R204" s="591"/>
      <c r="S204" s="591"/>
      <c r="T204" s="591"/>
      <c r="U204" s="591"/>
      <c r="V204" s="591"/>
      <c r="W204" s="591"/>
      <c r="X204" s="591"/>
      <c r="AA204" s="591"/>
      <c r="AB204" s="591"/>
      <c r="AC204" s="591"/>
      <c r="AG204" s="591"/>
      <c r="AS204" s="591"/>
    </row>
    <row r="205" spans="1:45" ht="7.5" customHeight="1" x14ac:dyDescent="0.2">
      <c r="A205" s="2"/>
      <c r="B205" s="2"/>
      <c r="C205" s="2"/>
      <c r="D205" s="2"/>
      <c r="E205" s="2"/>
      <c r="F205" s="2"/>
      <c r="G205" s="596" t="e">
        <f>IF(G206&lt;&gt;0,1,0)</f>
        <v>#N/A</v>
      </c>
      <c r="H205" s="596" t="e">
        <f>IF(H206&lt;&gt;0,1,0)</f>
        <v>#N/A</v>
      </c>
      <c r="I205" s="2194" t="e">
        <f>IF(I206&lt;&gt;0,1,0)</f>
        <v>#N/A</v>
      </c>
      <c r="J205" s="2195"/>
      <c r="K205" s="596" t="e">
        <f>IF(K206&lt;&gt;0,1,0)</f>
        <v>#N/A</v>
      </c>
      <c r="L205" s="2"/>
      <c r="M205" s="2"/>
      <c r="N205" s="2"/>
      <c r="O205" s="2"/>
      <c r="P205" s="2"/>
      <c r="Q205" s="2"/>
      <c r="R205" s="591"/>
      <c r="S205" s="591"/>
      <c r="T205" s="591"/>
      <c r="U205" s="591"/>
      <c r="V205" s="591"/>
      <c r="W205" s="591"/>
      <c r="X205" s="591"/>
      <c r="AA205" s="591"/>
      <c r="AB205" s="591"/>
      <c r="AC205" s="591"/>
      <c r="AG205" s="591"/>
      <c r="AS205" s="591"/>
    </row>
    <row r="206" spans="1:45" ht="21.95" customHeight="1" x14ac:dyDescent="0.2">
      <c r="A206" s="2"/>
      <c r="B206" s="7"/>
      <c r="C206" s="2092" t="s">
        <v>582</v>
      </c>
      <c r="D206" s="2092"/>
      <c r="E206" s="2093" t="e">
        <f>SUM(G206:K206)</f>
        <v>#N/A</v>
      </c>
      <c r="F206" s="2093"/>
      <c r="G206" s="623" t="e">
        <f>HLOOKUP(G1,STORICO!$E$109:$Y$140,VLOOKUP(CONCATENATE($M166,$I207),STORICO!$AP$111:$AQ$140,2,FALSE),FALSE)</f>
        <v>#N/A</v>
      </c>
      <c r="H206" s="623" t="e">
        <f>HLOOKUP(H1,STORICO!$E$109:$Y$140,VLOOKUP(CONCATENATE($M166,$I207),STORICO!$AP$111:$AQ$140,2,FALSE),FALSE)</f>
        <v>#N/A</v>
      </c>
      <c r="I206" s="2196" t="e">
        <f>HLOOKUP(K1,STORICO!$E$109:$Y$140,VLOOKUP(CONCATENATE($M166,$I207),STORICO!$AP$111:$AQ$140,2,FALSE),FALSE)</f>
        <v>#N/A</v>
      </c>
      <c r="J206" s="2196"/>
      <c r="K206" s="623" t="e">
        <f>HLOOKUP(N1,STORICO!$E$109:$Y$140,VLOOKUP(CONCATENATE($M166,$I207),STORICO!$AP$111:$AQ$140,2,FALSE),FALSE)</f>
        <v>#N/A</v>
      </c>
      <c r="L206" s="2"/>
      <c r="M206" s="12"/>
      <c r="N206" s="2"/>
      <c r="O206" s="2"/>
      <c r="P206" s="2"/>
      <c r="Q206" s="2"/>
      <c r="R206" s="591"/>
      <c r="S206" s="591"/>
      <c r="T206" s="591"/>
      <c r="U206" s="591"/>
      <c r="V206" s="591"/>
      <c r="W206" s="591"/>
      <c r="X206" s="591"/>
      <c r="AA206" s="591"/>
      <c r="AB206" s="591"/>
      <c r="AC206" s="591"/>
      <c r="AG206" s="591"/>
      <c r="AS206" s="591"/>
    </row>
    <row r="207" spans="1:45" ht="18.75" customHeight="1" x14ac:dyDescent="0.2">
      <c r="A207" s="2"/>
      <c r="B207" s="2"/>
      <c r="C207" s="2059" t="s">
        <v>563</v>
      </c>
      <c r="D207" s="2059"/>
      <c r="E207" s="2059"/>
      <c r="F207" s="2059"/>
      <c r="G207" s="2059"/>
      <c r="H207" s="2060"/>
      <c r="I207" s="2191"/>
      <c r="J207" s="2192"/>
      <c r="K207" s="2193"/>
      <c r="L207" s="2"/>
      <c r="M207" s="2"/>
      <c r="N207" s="2"/>
      <c r="O207" s="2"/>
      <c r="P207" s="2"/>
      <c r="Q207" s="2"/>
      <c r="R207" s="591"/>
      <c r="S207" s="591"/>
      <c r="T207" s="591"/>
      <c r="U207" s="591"/>
      <c r="V207" s="591"/>
      <c r="W207" s="591"/>
      <c r="X207" s="591"/>
      <c r="AA207" s="591"/>
      <c r="AB207" s="591"/>
      <c r="AC207" s="591"/>
      <c r="AG207" s="591"/>
      <c r="AS207" s="591"/>
    </row>
    <row r="208" spans="1:45" ht="18.75" customHeight="1" x14ac:dyDescent="0.2">
      <c r="A208" s="2"/>
      <c r="B208" s="2"/>
      <c r="C208" s="14"/>
      <c r="D208" s="14"/>
      <c r="E208" s="14"/>
      <c r="F208" s="14"/>
      <c r="G208" s="14"/>
      <c r="H208" s="14"/>
      <c r="I208" s="14"/>
      <c r="J208" s="2"/>
      <c r="K208" s="2"/>
      <c r="L208" s="2"/>
      <c r="M208" s="2"/>
      <c r="N208" s="2"/>
      <c r="O208" s="2"/>
      <c r="P208" s="2"/>
      <c r="Q208" s="2"/>
      <c r="R208" s="591"/>
      <c r="S208" s="591"/>
      <c r="T208" s="591"/>
      <c r="U208" s="591"/>
      <c r="V208" s="591"/>
      <c r="W208" s="591"/>
      <c r="X208" s="591"/>
      <c r="AA208" s="591"/>
      <c r="AB208" s="591"/>
      <c r="AC208" s="591"/>
      <c r="AG208" s="591"/>
      <c r="AS208" s="591"/>
    </row>
    <row r="209" spans="1:45" ht="18.75" customHeight="1" x14ac:dyDescent="0.2">
      <c r="A209" s="2"/>
      <c r="B209" s="2"/>
      <c r="C209" s="2"/>
      <c r="D209" s="2"/>
      <c r="E209" s="2"/>
      <c r="F209" s="2"/>
      <c r="G209" s="2"/>
      <c r="H209" s="2"/>
      <c r="I209" s="2"/>
      <c r="J209" s="2"/>
      <c r="K209" s="638" t="str">
        <f ca="1">Presentazione!$H$13</f>
        <v/>
      </c>
      <c r="L209" s="2"/>
      <c r="M209" s="2"/>
      <c r="N209" s="2"/>
      <c r="O209" s="2"/>
      <c r="P209" s="2"/>
      <c r="Q209" s="2"/>
      <c r="R209" s="591"/>
      <c r="S209" s="591"/>
      <c r="T209" s="591"/>
      <c r="U209" s="591"/>
      <c r="V209" s="591"/>
      <c r="W209" s="591"/>
      <c r="X209" s="591"/>
      <c r="AA209" s="591"/>
      <c r="AB209" s="591"/>
      <c r="AC209" s="591"/>
      <c r="AG209" s="591"/>
      <c r="AS209" s="591"/>
    </row>
    <row r="210" spans="1:45" ht="18.75" customHeight="1" x14ac:dyDescent="0.2">
      <c r="A210" s="2"/>
      <c r="B210" s="2"/>
      <c r="C210" s="2"/>
      <c r="D210" s="2"/>
      <c r="E210" s="2"/>
      <c r="F210" s="2"/>
      <c r="G210" s="2"/>
      <c r="H210" s="2"/>
      <c r="I210" s="2"/>
      <c r="J210" s="2"/>
      <c r="K210" s="639" t="str">
        <f ca="1">IF(Presentazione!$J$165=Presentazione!$K$83,CONCATENATE(Presentazione!$F$77,"   -   ","P.I./C.F ",Presentazione!$K$79),Presentazione!$I$157)</f>
        <v>Sistema parzialmente attivato. Inserisci il tuo CODICE di PROPRIETA' nel foglio Presentazione.</v>
      </c>
      <c r="L210" s="2"/>
      <c r="M210" s="2"/>
      <c r="N210" s="2"/>
      <c r="O210" s="2"/>
      <c r="P210" s="2"/>
      <c r="Q210" s="2"/>
      <c r="R210" s="591"/>
      <c r="S210" s="591"/>
      <c r="T210" s="591"/>
      <c r="U210" s="591"/>
      <c r="V210" s="591"/>
      <c r="W210" s="591"/>
      <c r="X210" s="591"/>
      <c r="AA210" s="591"/>
      <c r="AB210" s="591"/>
      <c r="AC210" s="591"/>
      <c r="AG210" s="591"/>
      <c r="AS210" s="591"/>
    </row>
    <row r="211" spans="1:45" ht="18.75" customHeight="1" x14ac:dyDescent="0.2">
      <c r="A211" s="2"/>
      <c r="B211" s="2"/>
      <c r="C211" s="2"/>
      <c r="D211" s="2"/>
      <c r="E211" s="2"/>
      <c r="F211" s="2"/>
      <c r="G211" s="2"/>
      <c r="H211" s="2"/>
      <c r="I211" s="2"/>
      <c r="J211" s="2"/>
      <c r="K211" s="2"/>
      <c r="L211" s="2"/>
      <c r="M211" s="2"/>
      <c r="N211" s="2"/>
      <c r="O211" s="2"/>
      <c r="P211" s="2"/>
      <c r="Q211" s="2"/>
      <c r="R211" s="591"/>
      <c r="S211" s="591"/>
      <c r="T211" s="591"/>
      <c r="U211" s="591"/>
      <c r="V211" s="591"/>
      <c r="W211" s="591"/>
      <c r="X211" s="591"/>
      <c r="AA211" s="591"/>
      <c r="AB211" s="591"/>
      <c r="AC211" s="591"/>
      <c r="AG211" s="591"/>
      <c r="AS211" s="591"/>
    </row>
    <row r="212" spans="1:45" ht="18.75" customHeight="1" x14ac:dyDescent="0.2">
      <c r="A212" s="2"/>
      <c r="B212" s="2"/>
      <c r="C212" s="637" t="str">
        <f>CASSA!B108</f>
        <v>www.marcopiccoli.it   -   Registro dei Corrispettivi 5.2.4 3txt - per EXCEL .xlsm</v>
      </c>
      <c r="D212" s="2"/>
      <c r="E212" s="2"/>
      <c r="F212" s="2"/>
      <c r="G212" s="2"/>
      <c r="H212" s="2"/>
      <c r="I212" s="2"/>
      <c r="J212" s="2"/>
      <c r="K212" s="2"/>
      <c r="L212" s="2"/>
      <c r="M212" s="2"/>
      <c r="N212" s="2"/>
      <c r="O212" s="2"/>
      <c r="P212" s="2"/>
      <c r="Q212" s="2"/>
      <c r="R212" s="591"/>
      <c r="S212" s="591"/>
      <c r="T212" s="591"/>
      <c r="U212" s="591"/>
      <c r="V212" s="591"/>
      <c r="W212" s="591"/>
      <c r="X212" s="591"/>
      <c r="AA212" s="591"/>
      <c r="AB212" s="591"/>
      <c r="AC212" s="591"/>
      <c r="AG212" s="591"/>
      <c r="AS212" s="591"/>
    </row>
    <row r="213" spans="1:45" ht="18.75" customHeight="1" x14ac:dyDescent="0.2">
      <c r="A213" s="2"/>
      <c r="B213" s="2"/>
      <c r="C213" s="2"/>
      <c r="D213" s="2"/>
      <c r="E213" s="2"/>
      <c r="F213" s="2"/>
      <c r="G213" s="2"/>
      <c r="H213" s="2"/>
      <c r="I213" s="2"/>
      <c r="J213" s="2"/>
      <c r="K213" s="2"/>
      <c r="L213" s="2"/>
      <c r="M213" s="2"/>
      <c r="N213" s="2"/>
      <c r="O213" s="2"/>
      <c r="P213" s="2"/>
      <c r="Q213" s="2"/>
      <c r="R213" s="591"/>
      <c r="S213" s="591"/>
      <c r="T213" s="591"/>
      <c r="U213" s="591"/>
      <c r="V213" s="591"/>
      <c r="W213" s="591"/>
      <c r="X213" s="591"/>
      <c r="AA213" s="591"/>
      <c r="AB213" s="591"/>
      <c r="AC213" s="591"/>
      <c r="AG213" s="591"/>
      <c r="AS213" s="591"/>
    </row>
    <row r="214" spans="1:45" ht="18.75" hidden="1" customHeight="1" x14ac:dyDescent="0.2">
      <c r="A214" s="2"/>
      <c r="B214" s="2"/>
      <c r="C214" s="2"/>
      <c r="D214" s="600">
        <v>21</v>
      </c>
      <c r="E214" s="2"/>
      <c r="F214" s="2"/>
      <c r="G214" s="148">
        <v>5</v>
      </c>
      <c r="H214" s="148">
        <v>6</v>
      </c>
      <c r="I214" s="148">
        <v>7</v>
      </c>
      <c r="J214" s="148">
        <v>8</v>
      </c>
      <c r="K214" s="2"/>
      <c r="L214" s="2"/>
      <c r="M214" s="2"/>
      <c r="N214" s="2"/>
      <c r="O214" s="2"/>
      <c r="P214" s="2"/>
      <c r="Q214" s="2"/>
      <c r="R214" s="591"/>
      <c r="S214" s="591"/>
      <c r="T214" s="591"/>
      <c r="U214" s="591"/>
      <c r="V214" s="591"/>
      <c r="W214" s="591"/>
      <c r="X214" s="591"/>
      <c r="AA214" s="591"/>
      <c r="AB214" s="591"/>
      <c r="AC214" s="591"/>
      <c r="AG214" s="591"/>
      <c r="AS214" s="591"/>
    </row>
    <row r="215" spans="1:45" ht="21.95" hidden="1" customHeight="1" x14ac:dyDescent="0.2">
      <c r="A215" s="2"/>
      <c r="B215" s="7"/>
      <c r="C215" s="2187" t="str">
        <f>C46</f>
        <v>LORDO</v>
      </c>
      <c r="D215" s="2187"/>
      <c r="E215" s="2188">
        <f>SUM(G215:J215)</f>
        <v>0</v>
      </c>
      <c r="F215" s="2188"/>
      <c r="G215" s="602">
        <f>VLOOKUP(G$1,IMPOSTAZIONI!$B$298:$AM$304,$D$214,FALSE)</f>
        <v>0</v>
      </c>
      <c r="H215" s="602">
        <f>VLOOKUP(H$1,IMPOSTAZIONI!$B$298:$AM$304,$D$214,FALSE)</f>
        <v>0</v>
      </c>
      <c r="I215" s="602">
        <f>VLOOKUP(K$1,IMPOSTAZIONI!$B$298:$AM$304,$D$214,FALSE)</f>
        <v>0</v>
      </c>
      <c r="J215" s="602">
        <f>VLOOKUP(N$1,IMPOSTAZIONI!$B$298:$AM$304,$D$214,FALSE)</f>
        <v>0</v>
      </c>
      <c r="K215" s="14"/>
      <c r="L215" s="2"/>
      <c r="M215" s="12"/>
      <c r="N215" s="2"/>
      <c r="O215" s="2"/>
      <c r="P215" s="2"/>
      <c r="Q215" s="2"/>
      <c r="R215" s="591"/>
      <c r="S215" s="591"/>
      <c r="T215" s="591"/>
      <c r="U215" s="591"/>
      <c r="V215" s="591"/>
      <c r="W215" s="591"/>
      <c r="X215" s="591"/>
      <c r="AA215" s="591"/>
      <c r="AB215" s="591"/>
      <c r="AC215" s="591"/>
      <c r="AG215" s="591"/>
      <c r="AS215" s="591"/>
    </row>
    <row r="216" spans="1:45" hidden="1" x14ac:dyDescent="0.2">
      <c r="A216" s="2"/>
      <c r="B216" s="7"/>
      <c r="C216" s="2189" t="str">
        <f>C47</f>
        <v>NETTO</v>
      </c>
      <c r="D216" s="2189"/>
      <c r="E216" s="2190">
        <f>SUM(G216:J216)</f>
        <v>4000</v>
      </c>
      <c r="F216" s="2190"/>
      <c r="G216" s="601">
        <f>VLOOKUP(G$1,IMPOSTAZIONI!$B$391:$AM$397,$D$214,FALSE)</f>
        <v>1000</v>
      </c>
      <c r="H216" s="601">
        <f>VLOOKUP(H$1,IMPOSTAZIONI!$B$391:$AM$397,$D$214,FALSE)</f>
        <v>1000</v>
      </c>
      <c r="I216" s="601">
        <f>VLOOKUP(K$1,IMPOSTAZIONI!$B$391:$AM$397,$D$214,FALSE)</f>
        <v>1000</v>
      </c>
      <c r="J216" s="601">
        <f>VLOOKUP(N$1,IMPOSTAZIONI!$B$391:$AM$397,$D$214,FALSE)</f>
        <v>1000</v>
      </c>
      <c r="K216" s="14"/>
      <c r="L216" s="2"/>
      <c r="M216" s="12"/>
      <c r="N216" s="2"/>
      <c r="O216" s="2"/>
      <c r="P216" s="2"/>
      <c r="Q216" s="2"/>
      <c r="R216" s="591"/>
      <c r="S216" s="591"/>
      <c r="T216" s="591"/>
      <c r="U216" s="591"/>
      <c r="V216" s="591"/>
      <c r="W216" s="591"/>
      <c r="X216" s="591"/>
      <c r="AA216" s="591"/>
      <c r="AB216" s="591"/>
      <c r="AC216" s="591"/>
      <c r="AG216" s="591"/>
      <c r="AS216" s="591"/>
    </row>
    <row r="217" spans="1:45" ht="21.95" hidden="1" customHeight="1" x14ac:dyDescent="0.2">
      <c r="A217" s="2"/>
      <c r="B217" s="7"/>
      <c r="C217" s="2185" t="str">
        <f>C48</f>
        <v>IVA</v>
      </c>
      <c r="D217" s="2185"/>
      <c r="E217" s="2186">
        <f>SUM(G217:J217)</f>
        <v>-4000</v>
      </c>
      <c r="F217" s="2186"/>
      <c r="G217" s="603">
        <f>G215-G216</f>
        <v>-1000</v>
      </c>
      <c r="H217" s="603">
        <f>H215-H216</f>
        <v>-1000</v>
      </c>
      <c r="I217" s="603">
        <f>I215-I216</f>
        <v>-1000</v>
      </c>
      <c r="J217" s="603">
        <f>J215-J216</f>
        <v>-1000</v>
      </c>
      <c r="K217" s="14"/>
      <c r="L217" s="2"/>
      <c r="M217" s="12"/>
      <c r="N217" s="2"/>
      <c r="O217" s="2"/>
      <c r="P217" s="2"/>
      <c r="Q217" s="2"/>
      <c r="R217" s="591"/>
      <c r="S217" s="591"/>
      <c r="T217" s="591"/>
      <c r="U217" s="591"/>
      <c r="V217" s="591"/>
      <c r="W217" s="591"/>
      <c r="X217" s="591"/>
      <c r="AA217" s="591"/>
      <c r="AB217" s="591"/>
      <c r="AC217" s="591"/>
      <c r="AG217" s="591"/>
      <c r="AS217" s="591"/>
    </row>
    <row r="218" spans="1:45" ht="18.75" hidden="1" customHeight="1" x14ac:dyDescent="0.2">
      <c r="A218" s="2"/>
      <c r="B218" s="2"/>
      <c r="C218" s="2"/>
      <c r="D218" s="2"/>
      <c r="E218" s="2"/>
      <c r="F218" s="2"/>
      <c r="G218" s="2"/>
      <c r="H218" s="2"/>
      <c r="I218" s="2"/>
      <c r="J218" s="2"/>
      <c r="K218" s="2"/>
      <c r="L218" s="2"/>
      <c r="M218" s="2"/>
      <c r="N218" s="2"/>
      <c r="O218" s="2"/>
      <c r="P218" s="2"/>
      <c r="Q218" s="2"/>
      <c r="R218" s="591"/>
      <c r="S218" s="591"/>
      <c r="T218" s="591"/>
      <c r="U218" s="591"/>
      <c r="V218" s="591"/>
      <c r="W218" s="591"/>
      <c r="X218" s="591"/>
      <c r="AA218" s="591"/>
      <c r="AB218" s="591"/>
      <c r="AC218" s="591"/>
      <c r="AG218" s="591"/>
      <c r="AS218" s="591"/>
    </row>
    <row r="219" spans="1:45" hidden="1" x14ac:dyDescent="0.2">
      <c r="A219" s="2"/>
      <c r="B219" s="2"/>
      <c r="C219" s="2"/>
      <c r="D219" s="2"/>
      <c r="E219" s="931" t="s">
        <v>718</v>
      </c>
      <c r="F219" s="2"/>
      <c r="G219" s="592" t="s">
        <v>175</v>
      </c>
      <c r="H219" s="2"/>
      <c r="I219" s="2"/>
      <c r="J219" s="2"/>
      <c r="K219" s="2"/>
      <c r="L219" s="2"/>
      <c r="M219" s="2"/>
      <c r="N219" s="2"/>
      <c r="O219" s="2"/>
      <c r="P219" s="2"/>
      <c r="Q219" s="2"/>
      <c r="R219" s="591"/>
      <c r="S219" s="591"/>
      <c r="T219" s="591"/>
      <c r="U219" s="591"/>
      <c r="V219" s="591"/>
      <c r="W219" s="591"/>
      <c r="X219" s="591"/>
      <c r="AA219" s="591"/>
      <c r="AB219" s="591"/>
      <c r="AC219" s="591"/>
      <c r="AG219" s="591"/>
      <c r="AS219" s="591"/>
    </row>
    <row r="220" spans="1:45" ht="14.25" hidden="1" customHeight="1" x14ac:dyDescent="0.2">
      <c r="A220" s="2"/>
      <c r="B220" s="2"/>
      <c r="C220" s="2"/>
      <c r="D220" s="2"/>
      <c r="E220" s="932" t="s">
        <v>719</v>
      </c>
      <c r="F220" s="2"/>
      <c r="G220" s="593">
        <f>STORICO!C16</f>
        <v>2024</v>
      </c>
      <c r="H220" s="2"/>
      <c r="I220" s="592" t="str">
        <f t="shared" ref="I220:I229" si="36">CONCATENATE(G$219,"   ",G220)</f>
        <v>ANNO   2024</v>
      </c>
      <c r="J220" s="2"/>
      <c r="K220" s="592" t="s">
        <v>583</v>
      </c>
      <c r="L220" s="2"/>
      <c r="M220" s="2"/>
      <c r="N220" s="2"/>
      <c r="O220" s="2"/>
      <c r="P220" s="2"/>
      <c r="Q220" s="2"/>
      <c r="R220" s="591"/>
      <c r="S220" s="591"/>
      <c r="T220" s="591"/>
      <c r="U220" s="591"/>
      <c r="V220" s="591"/>
      <c r="W220" s="591"/>
      <c r="X220" s="591"/>
      <c r="AA220" s="591"/>
      <c r="AB220" s="591"/>
      <c r="AC220" s="591"/>
      <c r="AG220" s="591"/>
      <c r="AS220" s="591"/>
    </row>
    <row r="221" spans="1:45" ht="14.25" hidden="1" customHeight="1" x14ac:dyDescent="0.2">
      <c r="A221" s="2"/>
      <c r="B221" s="2"/>
      <c r="C221" s="2"/>
      <c r="D221" s="2"/>
      <c r="E221" s="933">
        <f>IF(ISERROR(G206),MAX(G180:K180,G193:K193)/10,MAX(G180:K180,G193:K193,G206:K206)/10)</f>
        <v>0</v>
      </c>
      <c r="F221" s="2"/>
      <c r="G221" s="593">
        <f>STORICO!C27</f>
        <v>2023</v>
      </c>
      <c r="H221" s="2"/>
      <c r="I221" s="592" t="str">
        <f t="shared" si="36"/>
        <v>ANNO   2023</v>
      </c>
      <c r="J221" s="2"/>
      <c r="K221" s="592" t="s">
        <v>584</v>
      </c>
      <c r="L221" s="2"/>
      <c r="M221" s="2"/>
      <c r="N221" s="2"/>
      <c r="O221" s="2"/>
      <c r="P221" s="2"/>
      <c r="Q221" s="2"/>
      <c r="AA221" s="591"/>
      <c r="AB221" s="591"/>
      <c r="AC221" s="591"/>
      <c r="AG221" s="591"/>
      <c r="AS221" s="591"/>
    </row>
    <row r="222" spans="1:45" ht="14.25" hidden="1" customHeight="1" x14ac:dyDescent="0.2">
      <c r="A222" s="2"/>
      <c r="B222" s="2"/>
      <c r="C222" s="2"/>
      <c r="D222" s="2"/>
      <c r="E222" s="2"/>
      <c r="F222" s="2"/>
      <c r="G222" s="593">
        <f>STORICO!C33</f>
        <v>2022</v>
      </c>
      <c r="H222" s="2"/>
      <c r="I222" s="592" t="str">
        <f t="shared" si="36"/>
        <v>ANNO   2022</v>
      </c>
      <c r="J222" s="2"/>
      <c r="K222" s="592" t="s">
        <v>585</v>
      </c>
      <c r="L222" s="2"/>
      <c r="M222" s="2"/>
      <c r="N222" s="2"/>
      <c r="O222" s="2"/>
      <c r="P222" s="2"/>
      <c r="Q222" s="2"/>
      <c r="AA222" s="591"/>
      <c r="AB222" s="591"/>
      <c r="AC222" s="591"/>
      <c r="AG222" s="591"/>
      <c r="AS222" s="591"/>
    </row>
    <row r="223" spans="1:45" ht="14.25" hidden="1" customHeight="1" x14ac:dyDescent="0.2">
      <c r="A223" s="2"/>
      <c r="B223" s="2"/>
      <c r="C223" s="2"/>
      <c r="D223" s="2"/>
      <c r="E223" s="2"/>
      <c r="F223" s="2"/>
      <c r="G223" s="593">
        <f>STORICO!C39</f>
        <v>2021</v>
      </c>
      <c r="H223" s="2"/>
      <c r="I223" s="592" t="str">
        <f t="shared" si="36"/>
        <v>ANNO   2021</v>
      </c>
      <c r="J223" s="2"/>
      <c r="K223" s="592" t="s">
        <v>586</v>
      </c>
      <c r="L223" s="2"/>
      <c r="M223" s="2"/>
      <c r="N223" s="2"/>
      <c r="O223" s="2"/>
      <c r="P223" s="2"/>
      <c r="Q223" s="2"/>
      <c r="AA223" s="591"/>
      <c r="AB223" s="591"/>
      <c r="AC223" s="591"/>
      <c r="AG223" s="591"/>
      <c r="AS223" s="591"/>
    </row>
    <row r="224" spans="1:45" ht="14.25" hidden="1" customHeight="1" x14ac:dyDescent="0.2">
      <c r="A224" s="2"/>
      <c r="B224" s="2"/>
      <c r="C224" s="2"/>
      <c r="D224" s="2"/>
      <c r="E224" s="934" t="str">
        <f>C215</f>
        <v>LORDO</v>
      </c>
      <c r="F224" s="2"/>
      <c r="G224" s="593" t="str">
        <f>CONCATENATE(G220," + ",G221)</f>
        <v>2024 + 2023</v>
      </c>
      <c r="H224" s="2"/>
      <c r="I224" s="592" t="str">
        <f t="shared" si="36"/>
        <v>ANNO   2024 + 2023</v>
      </c>
      <c r="J224" s="2"/>
      <c r="K224" s="592" t="str">
        <f>CONCATENATE(K220," + ",K221)</f>
        <v>ANNO IN CORSO + ANNO PRECEDENTE 1</v>
      </c>
      <c r="L224" s="2"/>
      <c r="M224" s="2"/>
      <c r="N224" s="2"/>
      <c r="O224" s="2"/>
      <c r="P224" s="2"/>
      <c r="Q224" s="2"/>
      <c r="AA224" s="591"/>
      <c r="AB224" s="591"/>
      <c r="AC224" s="591"/>
      <c r="AG224" s="591"/>
      <c r="AS224" s="591"/>
    </row>
    <row r="225" spans="1:45" ht="14.25" hidden="1" customHeight="1" x14ac:dyDescent="0.2">
      <c r="A225" s="2"/>
      <c r="B225" s="2"/>
      <c r="C225" s="2"/>
      <c r="D225" s="2"/>
      <c r="E225" s="934" t="str">
        <f>C216</f>
        <v>NETTO</v>
      </c>
      <c r="F225" s="2"/>
      <c r="G225" s="593" t="str">
        <f>CONCATENATE(G220," + ",G221," + ",G222)</f>
        <v>2024 + 2023 + 2022</v>
      </c>
      <c r="H225" s="2"/>
      <c r="I225" s="592" t="str">
        <f t="shared" si="36"/>
        <v>ANNO   2024 + 2023 + 2022</v>
      </c>
      <c r="J225" s="2"/>
      <c r="K225" s="592" t="str">
        <f>CONCATENATE(K220," + ",K221," + 2")</f>
        <v>ANNO IN CORSO + ANNO PRECEDENTE 1 + 2</v>
      </c>
      <c r="L225" s="2"/>
      <c r="M225" s="2"/>
      <c r="N225" s="2"/>
      <c r="O225" s="2"/>
      <c r="P225" s="2"/>
      <c r="Q225" s="2"/>
      <c r="AA225" s="591"/>
      <c r="AB225" s="591"/>
      <c r="AC225" s="591"/>
      <c r="AG225" s="591"/>
      <c r="AS225" s="591"/>
    </row>
    <row r="226" spans="1:45" ht="14.25" hidden="1" customHeight="1" x14ac:dyDescent="0.2">
      <c r="A226" s="2"/>
      <c r="B226" s="2"/>
      <c r="C226" s="2"/>
      <c r="D226" s="2"/>
      <c r="E226" s="934" t="str">
        <f>C217</f>
        <v>IVA</v>
      </c>
      <c r="F226" s="2"/>
      <c r="G226" s="593" t="str">
        <f>CONCATENATE(G220," + ",G221," + ",G222," + ",G223)</f>
        <v>2024 + 2023 + 2022 + 2021</v>
      </c>
      <c r="H226" s="2"/>
      <c r="I226" s="592" t="str">
        <f t="shared" si="36"/>
        <v>ANNO   2024 + 2023 + 2022 + 2021</v>
      </c>
      <c r="J226" s="2"/>
      <c r="K226" s="592" t="str">
        <f>CONCATENATE(K220," + ",K221," + 2 + 3")</f>
        <v>ANNO IN CORSO + ANNO PRECEDENTE 1 + 2 + 3</v>
      </c>
      <c r="L226" s="2"/>
      <c r="M226" s="2"/>
      <c r="N226" s="2"/>
      <c r="O226" s="2"/>
      <c r="P226" s="2"/>
      <c r="Q226" s="2"/>
      <c r="AA226" s="591"/>
      <c r="AB226" s="591"/>
      <c r="AC226" s="591"/>
      <c r="AG226" s="591"/>
      <c r="AS226" s="591"/>
    </row>
    <row r="227" spans="1:45" ht="14.25" hidden="1" customHeight="1" x14ac:dyDescent="0.2">
      <c r="A227" s="2"/>
      <c r="B227" s="2"/>
      <c r="C227" s="2"/>
      <c r="D227" s="2"/>
      <c r="E227" s="2"/>
      <c r="F227" s="2"/>
      <c r="G227" s="593" t="str">
        <f>CONCATENATE(G221," + ",G222)</f>
        <v>2023 + 2022</v>
      </c>
      <c r="H227" s="2"/>
      <c r="I227" s="592" t="str">
        <f t="shared" si="36"/>
        <v>ANNO   2023 + 2022</v>
      </c>
      <c r="J227" s="2"/>
      <c r="K227" s="592" t="str">
        <f>CONCATENATE(K221," + 2")</f>
        <v>ANNO PRECEDENTE 1 + 2</v>
      </c>
      <c r="L227" s="2"/>
      <c r="M227" s="2"/>
      <c r="N227" s="2"/>
      <c r="O227" s="2"/>
      <c r="P227" s="2"/>
      <c r="Q227" s="2"/>
      <c r="AA227" s="591"/>
      <c r="AB227" s="591"/>
      <c r="AC227" s="591"/>
      <c r="AG227" s="591"/>
      <c r="AS227" s="591"/>
    </row>
    <row r="228" spans="1:45" ht="14.25" hidden="1" customHeight="1" x14ac:dyDescent="0.2">
      <c r="A228" s="2"/>
      <c r="B228" s="2"/>
      <c r="C228" s="2"/>
      <c r="D228" s="2"/>
      <c r="E228" s="2"/>
      <c r="F228" s="2"/>
      <c r="G228" s="593" t="str">
        <f>CONCATENATE(G221," + ",G222," + ",G223)</f>
        <v>2023 + 2022 + 2021</v>
      </c>
      <c r="H228" s="2"/>
      <c r="I228" s="592" t="str">
        <f t="shared" si="36"/>
        <v>ANNO   2023 + 2022 + 2021</v>
      </c>
      <c r="J228" s="2"/>
      <c r="K228" s="592" t="str">
        <f>CONCATENATE(K221," + 2 + 3")</f>
        <v>ANNO PRECEDENTE 1 + 2 + 3</v>
      </c>
      <c r="L228" s="2"/>
      <c r="M228" s="2"/>
      <c r="N228" s="2"/>
      <c r="O228" s="2"/>
      <c r="P228" s="2"/>
      <c r="Q228" s="2"/>
      <c r="AA228" s="591"/>
      <c r="AB228" s="591"/>
      <c r="AC228" s="591"/>
      <c r="AG228" s="591"/>
      <c r="AS228" s="591"/>
    </row>
    <row r="229" spans="1:45" ht="14.25" hidden="1" customHeight="1" x14ac:dyDescent="0.2">
      <c r="A229" s="2"/>
      <c r="B229" s="2"/>
      <c r="C229" s="2"/>
      <c r="D229" s="2"/>
      <c r="E229" s="2"/>
      <c r="F229" s="2"/>
      <c r="G229" s="593" t="str">
        <f>CONCATENATE(G222," + ",G223)</f>
        <v>2022 + 2021</v>
      </c>
      <c r="H229" s="2"/>
      <c r="I229" s="592" t="str">
        <f t="shared" si="36"/>
        <v>ANNO   2022 + 2021</v>
      </c>
      <c r="J229" s="2"/>
      <c r="K229" s="592" t="str">
        <f>CONCATENATE(K222," + 3")</f>
        <v>ANNO PRECEDENTE 2 + 3</v>
      </c>
      <c r="L229" s="2"/>
      <c r="M229" s="2"/>
      <c r="N229" s="2"/>
      <c r="O229" s="2"/>
      <c r="P229" s="2"/>
      <c r="Q229" s="2"/>
      <c r="AA229" s="591"/>
      <c r="AB229" s="591"/>
      <c r="AC229" s="591"/>
      <c r="AG229" s="591"/>
      <c r="AS229" s="591"/>
    </row>
    <row r="230" spans="1:45" hidden="1" x14ac:dyDescent="0.2">
      <c r="A230" s="2"/>
      <c r="B230" s="2"/>
      <c r="C230" s="2"/>
      <c r="D230" s="2"/>
      <c r="E230" s="2"/>
      <c r="F230" s="2"/>
      <c r="G230" s="2"/>
      <c r="H230" s="2"/>
      <c r="I230" s="2"/>
      <c r="J230" s="2"/>
      <c r="K230" s="2"/>
      <c r="L230" s="2"/>
      <c r="M230" s="2"/>
      <c r="N230" s="2"/>
      <c r="O230" s="2"/>
      <c r="P230" s="2"/>
      <c r="Q230" s="2"/>
      <c r="AA230" s="591"/>
      <c r="AB230" s="591"/>
      <c r="AC230" s="591"/>
      <c r="AG230" s="591"/>
      <c r="AS230" s="591"/>
    </row>
    <row r="231" spans="1:45" x14ac:dyDescent="0.2">
      <c r="A231" s="2"/>
      <c r="B231" s="2"/>
      <c r="C231" s="2"/>
      <c r="D231" s="2"/>
      <c r="E231" s="2"/>
      <c r="F231" s="2"/>
      <c r="G231" s="1433" t="s">
        <v>572</v>
      </c>
      <c r="H231" s="1434" t="s">
        <v>869</v>
      </c>
      <c r="I231" s="2"/>
      <c r="J231" s="2"/>
      <c r="K231" s="2"/>
      <c r="L231" s="1433" t="s">
        <v>572</v>
      </c>
      <c r="M231" s="1434" t="s">
        <v>870</v>
      </c>
      <c r="N231" s="2"/>
      <c r="O231" s="2"/>
      <c r="P231" s="2"/>
      <c r="Q231" s="2"/>
      <c r="AA231" s="591"/>
      <c r="AB231" s="591"/>
      <c r="AC231" s="591"/>
      <c r="AG231" s="591"/>
      <c r="AS231" s="591"/>
    </row>
  </sheetData>
  <sheetProtection algorithmName="SHA-512" hashValue="f+1RKkPpdKy7ZQVNAm3/OzyTSrO7/brKI6fDWayk876NIkgnnnfrsPQIUYi4LS8y+vAyOVQoj2m+RQ8EsaGuFg==" saltValue="5fKZ/hCcDWa7TDLQ/4tdzw==" spinCount="100000" sheet="1" objects="1" scenarios="1" selectLockedCells="1"/>
  <mergeCells count="242">
    <mergeCell ref="I205:J205"/>
    <mergeCell ref="I206:J206"/>
    <mergeCell ref="I200:J200"/>
    <mergeCell ref="I201:J201"/>
    <mergeCell ref="I202:J202"/>
    <mergeCell ref="C3:D3"/>
    <mergeCell ref="E3:G3"/>
    <mergeCell ref="I187:J187"/>
    <mergeCell ref="I188:J188"/>
    <mergeCell ref="I189:J189"/>
    <mergeCell ref="I182:J182"/>
    <mergeCell ref="I183:J183"/>
    <mergeCell ref="I166:J166"/>
    <mergeCell ref="I167:J167"/>
    <mergeCell ref="I118:J118"/>
    <mergeCell ref="I119:J119"/>
    <mergeCell ref="I203:J203"/>
    <mergeCell ref="I204:J204"/>
    <mergeCell ref="I199:J199"/>
    <mergeCell ref="I190:J190"/>
    <mergeCell ref="I191:J191"/>
    <mergeCell ref="I192:J192"/>
    <mergeCell ref="I193:J193"/>
    <mergeCell ref="I196:J196"/>
    <mergeCell ref="C2:I2"/>
    <mergeCell ref="J2:P2"/>
    <mergeCell ref="M3:P3"/>
    <mergeCell ref="H3:L3"/>
    <mergeCell ref="K160:L160"/>
    <mergeCell ref="K156:L156"/>
    <mergeCell ref="K158:L158"/>
    <mergeCell ref="K157:L157"/>
    <mergeCell ref="AN6:AQ6"/>
    <mergeCell ref="C58:F58"/>
    <mergeCell ref="C46:D46"/>
    <mergeCell ref="C57:F57"/>
    <mergeCell ref="C45:F45"/>
    <mergeCell ref="C55:E55"/>
    <mergeCell ref="C52:E52"/>
    <mergeCell ref="C50:E50"/>
    <mergeCell ref="E47:F47"/>
    <mergeCell ref="C48:D48"/>
    <mergeCell ref="E48:F48"/>
    <mergeCell ref="C103:F103"/>
    <mergeCell ref="O97:P97"/>
    <mergeCell ref="E93:F93"/>
    <mergeCell ref="O103:P103"/>
    <mergeCell ref="C94:F94"/>
    <mergeCell ref="I197:J197"/>
    <mergeCell ref="I198:J198"/>
    <mergeCell ref="I186:J186"/>
    <mergeCell ref="I176:J176"/>
    <mergeCell ref="I177:J177"/>
    <mergeCell ref="I184:J184"/>
    <mergeCell ref="I185:J185"/>
    <mergeCell ref="I178:J178"/>
    <mergeCell ref="I179:J179"/>
    <mergeCell ref="I180:J180"/>
    <mergeCell ref="I181:J181"/>
    <mergeCell ref="I170:J170"/>
    <mergeCell ref="I171:J171"/>
    <mergeCell ref="I172:J172"/>
    <mergeCell ref="I173:J173"/>
    <mergeCell ref="I174:J174"/>
    <mergeCell ref="I175:J175"/>
    <mergeCell ref="M168:N168"/>
    <mergeCell ref="I122:J122"/>
    <mergeCell ref="K159:L159"/>
    <mergeCell ref="I169:J169"/>
    <mergeCell ref="I168:J168"/>
    <mergeCell ref="K147:L147"/>
    <mergeCell ref="K148:L148"/>
    <mergeCell ref="K149:L149"/>
    <mergeCell ref="B162:D162"/>
    <mergeCell ref="C217:D217"/>
    <mergeCell ref="E217:F217"/>
    <mergeCell ref="C215:D215"/>
    <mergeCell ref="E215:F215"/>
    <mergeCell ref="C216:D216"/>
    <mergeCell ref="E216:F216"/>
    <mergeCell ref="C167:D167"/>
    <mergeCell ref="C182:F182"/>
    <mergeCell ref="E193:F193"/>
    <mergeCell ref="C170:D170"/>
    <mergeCell ref="C183:D183"/>
    <mergeCell ref="C168:F168"/>
    <mergeCell ref="B163:D163"/>
    <mergeCell ref="E167:F167"/>
    <mergeCell ref="C180:D180"/>
    <mergeCell ref="E180:F180"/>
    <mergeCell ref="C169:F169"/>
    <mergeCell ref="C206:D206"/>
    <mergeCell ref="E206:F206"/>
    <mergeCell ref="C193:D193"/>
    <mergeCell ref="I207:K207"/>
    <mergeCell ref="I195:J195"/>
    <mergeCell ref="I194:J194"/>
    <mergeCell ref="K146:L146"/>
    <mergeCell ref="C126:M126"/>
    <mergeCell ref="I114:J114"/>
    <mergeCell ref="I115:J115"/>
    <mergeCell ref="K145:L145"/>
    <mergeCell ref="L108:M108"/>
    <mergeCell ref="L109:M109"/>
    <mergeCell ref="I116:J116"/>
    <mergeCell ref="I117:J117"/>
    <mergeCell ref="I120:J120"/>
    <mergeCell ref="I121:J121"/>
    <mergeCell ref="K144:L144"/>
    <mergeCell ref="C171:D172"/>
    <mergeCell ref="E171:E172"/>
    <mergeCell ref="C207:H207"/>
    <mergeCell ref="C197:D198"/>
    <mergeCell ref="E197:E198"/>
    <mergeCell ref="C184:D185"/>
    <mergeCell ref="E184:E185"/>
    <mergeCell ref="C196:D196"/>
    <mergeCell ref="C195:H195"/>
    <mergeCell ref="C101:F101"/>
    <mergeCell ref="C98:F98"/>
    <mergeCell ref="O102:P102"/>
    <mergeCell ref="E96:F96"/>
    <mergeCell ref="O98:P98"/>
    <mergeCell ref="O96:P96"/>
    <mergeCell ref="O101:P101"/>
    <mergeCell ref="C95:F95"/>
    <mergeCell ref="O93:P93"/>
    <mergeCell ref="C96:D96"/>
    <mergeCell ref="C97:F97"/>
    <mergeCell ref="C93:D93"/>
    <mergeCell ref="C102:F102"/>
    <mergeCell ref="L4:M5"/>
    <mergeCell ref="E7:F7"/>
    <mergeCell ref="I4:J5"/>
    <mergeCell ref="O4:P5"/>
    <mergeCell ref="E6:F6"/>
    <mergeCell ref="E4:F5"/>
    <mergeCell ref="G53:G54"/>
    <mergeCell ref="E20:F20"/>
    <mergeCell ref="E18:F18"/>
    <mergeCell ref="E24:F24"/>
    <mergeCell ref="E23:F23"/>
    <mergeCell ref="E22:F22"/>
    <mergeCell ref="C53:E53"/>
    <mergeCell ref="C39:D39"/>
    <mergeCell ref="E46:F46"/>
    <mergeCell ref="C51:E51"/>
    <mergeCell ref="C4:D5"/>
    <mergeCell ref="C7:D7"/>
    <mergeCell ref="E8:F8"/>
    <mergeCell ref="E25:F25"/>
    <mergeCell ref="E19:F19"/>
    <mergeCell ref="C6:D6"/>
    <mergeCell ref="E37:F37"/>
    <mergeCell ref="E39:F39"/>
    <mergeCell ref="E9:F9"/>
    <mergeCell ref="E10:F10"/>
    <mergeCell ref="C44:F44"/>
    <mergeCell ref="E43:F43"/>
    <mergeCell ref="E13:F13"/>
    <mergeCell ref="E14:F14"/>
    <mergeCell ref="C43:D43"/>
    <mergeCell ref="E38:F38"/>
    <mergeCell ref="E36:F36"/>
    <mergeCell ref="E17:F17"/>
    <mergeCell ref="E15:F15"/>
    <mergeCell ref="E16:F16"/>
    <mergeCell ref="E11:F11"/>
    <mergeCell ref="E12:F12"/>
    <mergeCell ref="E26:F26"/>
    <mergeCell ref="E21:F21"/>
    <mergeCell ref="E28:F28"/>
    <mergeCell ref="E27:F27"/>
    <mergeCell ref="E29:F29"/>
    <mergeCell ref="E30:F30"/>
    <mergeCell ref="E35:F35"/>
    <mergeCell ref="E31:F31"/>
    <mergeCell ref="E33:F33"/>
    <mergeCell ref="E34:F34"/>
    <mergeCell ref="C104:F104"/>
    <mergeCell ref="C100:F100"/>
    <mergeCell ref="C91:P91"/>
    <mergeCell ref="I67:J67"/>
    <mergeCell ref="I68:J68"/>
    <mergeCell ref="L68:M68"/>
    <mergeCell ref="I70:J70"/>
    <mergeCell ref="L70:M70"/>
    <mergeCell ref="I71:J71"/>
    <mergeCell ref="L71:M71"/>
    <mergeCell ref="I77:J77"/>
    <mergeCell ref="L77:M77"/>
    <mergeCell ref="I78:J78"/>
    <mergeCell ref="L78:M78"/>
    <mergeCell ref="L72:M72"/>
    <mergeCell ref="I89:J89"/>
    <mergeCell ref="I85:J85"/>
    <mergeCell ref="I86:J86"/>
    <mergeCell ref="L86:M86"/>
    <mergeCell ref="I87:J87"/>
    <mergeCell ref="L87:M87"/>
    <mergeCell ref="I79:J79"/>
    <mergeCell ref="I88:J88"/>
    <mergeCell ref="I81:J81"/>
    <mergeCell ref="E32:F32"/>
    <mergeCell ref="I76:J76"/>
    <mergeCell ref="I72:J72"/>
    <mergeCell ref="I73:J73"/>
    <mergeCell ref="I74:K74"/>
    <mergeCell ref="I69:J69"/>
    <mergeCell ref="K53:K54"/>
    <mergeCell ref="I53:J54"/>
    <mergeCell ref="I55:J55"/>
    <mergeCell ref="I56:J56"/>
    <mergeCell ref="C59:E59"/>
    <mergeCell ref="C56:D56"/>
    <mergeCell ref="I52:J52"/>
    <mergeCell ref="H53:H54"/>
    <mergeCell ref="C54:E54"/>
    <mergeCell ref="C47:D47"/>
    <mergeCell ref="I44:J44"/>
    <mergeCell ref="I82:J82"/>
    <mergeCell ref="I83:J83"/>
    <mergeCell ref="I84:J84"/>
    <mergeCell ref="M166:N166"/>
    <mergeCell ref="T65:T66"/>
    <mergeCell ref="AS7:AW7"/>
    <mergeCell ref="AB7:AE7"/>
    <mergeCell ref="AG7:AK7"/>
    <mergeCell ref="P58:Q58"/>
    <mergeCell ref="L55:M55"/>
    <mergeCell ref="L56:M56"/>
    <mergeCell ref="O44:P44"/>
    <mergeCell ref="O56:P56"/>
    <mergeCell ref="L69:M69"/>
    <mergeCell ref="L52:M52"/>
    <mergeCell ref="L53:M54"/>
    <mergeCell ref="O57:P57"/>
    <mergeCell ref="L44:M44"/>
    <mergeCell ref="I51:J51"/>
    <mergeCell ref="L51:M51"/>
    <mergeCell ref="G50:M50"/>
    <mergeCell ref="O104:P104"/>
  </mergeCells>
  <phoneticPr fontId="24" type="noConversion"/>
  <conditionalFormatting sqref="C57 G57">
    <cfRule type="expression" dxfId="3507" priority="1" stopIfTrue="1">
      <formula>C58=0</formula>
    </cfRule>
  </conditionalFormatting>
  <conditionalFormatting sqref="F121:F122">
    <cfRule type="expression" dxfId="3506" priority="2" stopIfTrue="1">
      <formula>SUM($G121:$I121)=0</formula>
    </cfRule>
  </conditionalFormatting>
  <conditionalFormatting sqref="G184:H192 K197:K205 K184:K192 K171:K179 G171:H179 G197:H205">
    <cfRule type="cellIs" dxfId="3505" priority="3" stopIfTrue="1" operator="equal">
      <formula>0</formula>
    </cfRule>
    <cfRule type="expression" dxfId="3504" priority="4" stopIfTrue="1">
      <formula>AND(G171=1,G170=0)</formula>
    </cfRule>
  </conditionalFormatting>
  <conditionalFormatting sqref="I171:J179 I184:J192 I197:J205">
    <cfRule type="cellIs" dxfId="3503" priority="5" stopIfTrue="1" operator="equal">
      <formula>0</formula>
    </cfRule>
    <cfRule type="expression" dxfId="3502" priority="6" stopIfTrue="1">
      <formula>AND($I171=1,$I170=0)</formula>
    </cfRule>
  </conditionalFormatting>
  <conditionalFormatting sqref="I93">
    <cfRule type="expression" dxfId="3501" priority="7" stopIfTrue="1">
      <formula>AND(I$155="X",I$93&lt;&gt;"")</formula>
    </cfRule>
  </conditionalFormatting>
  <conditionalFormatting sqref="I97">
    <cfRule type="expression" dxfId="3500" priority="8" stopIfTrue="1">
      <formula>AND(I$152=0,I$97&lt;&gt;0)</formula>
    </cfRule>
    <cfRule type="expression" dxfId="3499" priority="9" stopIfTrue="1">
      <formula>I$152=0</formula>
    </cfRule>
  </conditionalFormatting>
  <conditionalFormatting sqref="G98:I98">
    <cfRule type="expression" dxfId="3498" priority="10" stopIfTrue="1">
      <formula>AND(G$152=0,G$98&lt;&gt;0)</formula>
    </cfRule>
    <cfRule type="expression" dxfId="3497" priority="11" stopIfTrue="1">
      <formula>G$152=0</formula>
    </cfRule>
  </conditionalFormatting>
  <conditionalFormatting sqref="J93">
    <cfRule type="expression" dxfId="3496" priority="12" stopIfTrue="1">
      <formula>AND(I$155="X",J$93&lt;&gt;"")</formula>
    </cfRule>
  </conditionalFormatting>
  <conditionalFormatting sqref="J97">
    <cfRule type="expression" dxfId="3495" priority="13" stopIfTrue="1">
      <formula>AND(I$152=0,J$97&lt;&gt;0)</formula>
    </cfRule>
    <cfRule type="expression" dxfId="3494" priority="14" stopIfTrue="1">
      <formula>I$152=0</formula>
    </cfRule>
  </conditionalFormatting>
  <conditionalFormatting sqref="J98">
    <cfRule type="expression" dxfId="3493" priority="15" stopIfTrue="1">
      <formula>AND(I$152=0,J$98&lt;&gt;0)</formula>
    </cfRule>
    <cfRule type="expression" dxfId="3492" priority="16" stopIfTrue="1">
      <formula>I$152=0</formula>
    </cfRule>
  </conditionalFormatting>
  <conditionalFormatting sqref="G101:I101">
    <cfRule type="expression" dxfId="3491" priority="17" stopIfTrue="1">
      <formula>AND(G$152=0,G$101&lt;&gt;0)</formula>
    </cfRule>
    <cfRule type="expression" dxfId="3490" priority="18" stopIfTrue="1">
      <formula>AND($C101="ERROR",G101&gt;0)</formula>
    </cfRule>
    <cfRule type="expression" dxfId="3489" priority="19" stopIfTrue="1">
      <formula>G$152=0</formula>
    </cfRule>
  </conditionalFormatting>
  <conditionalFormatting sqref="G102:I102">
    <cfRule type="expression" dxfId="3488" priority="20" stopIfTrue="1">
      <formula>AND(G$152=0,G$102&lt;&gt;0)</formula>
    </cfRule>
    <cfRule type="expression" dxfId="3487" priority="21" stopIfTrue="1">
      <formula>AND($C102="ERROR",G102&gt;0)</formula>
    </cfRule>
    <cfRule type="expression" dxfId="3486" priority="22" stopIfTrue="1">
      <formula>G$152=0</formula>
    </cfRule>
  </conditionalFormatting>
  <conditionalFormatting sqref="G103:I103">
    <cfRule type="expression" dxfId="3485" priority="23" stopIfTrue="1">
      <formula>AND(G$152=0,G$103&lt;&gt;0)</formula>
    </cfRule>
    <cfRule type="expression" dxfId="3484" priority="24" stopIfTrue="1">
      <formula>AND($C103="ERROR",G103&gt;0)</formula>
    </cfRule>
    <cfRule type="expression" dxfId="3483" priority="25" stopIfTrue="1">
      <formula>G$152=0</formula>
    </cfRule>
  </conditionalFormatting>
  <conditionalFormatting sqref="G104:I104">
    <cfRule type="expression" dxfId="3482" priority="26" stopIfTrue="1">
      <formula>AND(G$152=0,G$104&lt;&gt;0)</formula>
    </cfRule>
    <cfRule type="expression" dxfId="3481" priority="27" stopIfTrue="1">
      <formula>AND($C104="ERROR",G104&gt;0)</formula>
    </cfRule>
    <cfRule type="expression" dxfId="3480" priority="28" stopIfTrue="1">
      <formula>G$152=0</formula>
    </cfRule>
  </conditionalFormatting>
  <conditionalFormatting sqref="J101">
    <cfRule type="expression" dxfId="3479" priority="29" stopIfTrue="1">
      <formula>AND(I$152=0,J$101&lt;&gt;0)</formula>
    </cfRule>
    <cfRule type="expression" dxfId="3478" priority="30" stopIfTrue="1">
      <formula>AND($C101="ERROR",J101&gt;0)</formula>
    </cfRule>
    <cfRule type="expression" dxfId="3477" priority="31" stopIfTrue="1">
      <formula>I$152=0</formula>
    </cfRule>
  </conditionalFormatting>
  <conditionalFormatting sqref="J102">
    <cfRule type="expression" dxfId="3476" priority="32" stopIfTrue="1">
      <formula>AND(I$152=0,J$102&lt;&gt;0)</formula>
    </cfRule>
    <cfRule type="expression" dxfId="3475" priority="33" stopIfTrue="1">
      <formula>AND($C102="ERROR",J102&gt;0)</formula>
    </cfRule>
    <cfRule type="expression" dxfId="3474" priority="34" stopIfTrue="1">
      <formula>I$152=0</formula>
    </cfRule>
  </conditionalFormatting>
  <conditionalFormatting sqref="J103">
    <cfRule type="expression" dxfId="3473" priority="35" stopIfTrue="1">
      <formula>AND(I$152=0,J$103&lt;&gt;0)</formula>
    </cfRule>
    <cfRule type="expression" dxfId="3472" priority="36" stopIfTrue="1">
      <formula>AND($C103="ERROR",J103&gt;0)</formula>
    </cfRule>
    <cfRule type="expression" dxfId="3471" priority="37" stopIfTrue="1">
      <formula>I$152=0</formula>
    </cfRule>
  </conditionalFormatting>
  <conditionalFormatting sqref="J104">
    <cfRule type="expression" dxfId="3470" priority="38" stopIfTrue="1">
      <formula>AND(I$152=0,J$104&lt;&gt;0)</formula>
    </cfRule>
    <cfRule type="expression" dxfId="3469" priority="39" stopIfTrue="1">
      <formula>AND($C104="ERROR",J104&gt;0)</formula>
    </cfRule>
    <cfRule type="expression" dxfId="3468" priority="40" stopIfTrue="1">
      <formula>I$152=0</formula>
    </cfRule>
  </conditionalFormatting>
  <conditionalFormatting sqref="O101:P104">
    <cfRule type="expression" dxfId="3467" priority="41" stopIfTrue="1">
      <formula>SUM($G$152:$J$152)=0</formula>
    </cfRule>
    <cfRule type="expression" dxfId="3466" priority="42" stopIfTrue="1">
      <formula>$B101=""</formula>
    </cfRule>
  </conditionalFormatting>
  <conditionalFormatting sqref="E8:F38">
    <cfRule type="expression" dxfId="3465" priority="43" stopIfTrue="1">
      <formula>$AA8=$Y$6</formula>
    </cfRule>
    <cfRule type="expression" dxfId="3464" priority="44" stopIfTrue="1">
      <formula>AND($AA8=0,$E8=0)</formula>
    </cfRule>
    <cfRule type="expression" dxfId="3463" priority="45" stopIfTrue="1">
      <formula>$AA8=0</formula>
    </cfRule>
  </conditionalFormatting>
  <conditionalFormatting sqref="I6 L6 O6">
    <cfRule type="expression" dxfId="3462" priority="46" stopIfTrue="1">
      <formula>I6=""</formula>
    </cfRule>
    <cfRule type="expression" dxfId="3461" priority="47" stopIfTrue="1">
      <formula>OR(I4=0,I4=$K$130)</formula>
    </cfRule>
    <cfRule type="expression" dxfId="3460" priority="48" stopIfTrue="1">
      <formula>I4&lt;&gt;$K$130</formula>
    </cfRule>
  </conditionalFormatting>
  <conditionalFormatting sqref="J6 M6 P6">
    <cfRule type="expression" dxfId="3459" priority="49" stopIfTrue="1">
      <formula>J6=""</formula>
    </cfRule>
    <cfRule type="expression" dxfId="3458" priority="50" stopIfTrue="1">
      <formula>OR(I4=0,I4=$K$130)</formula>
    </cfRule>
    <cfRule type="expression" dxfId="3457" priority="51" stopIfTrue="1">
      <formula>I4&lt;&gt;$K$130</formula>
    </cfRule>
  </conditionalFormatting>
  <conditionalFormatting sqref="I53">
    <cfRule type="expression" dxfId="3456" priority="52" stopIfTrue="1">
      <formula>ISERROR($G$155)</formula>
    </cfRule>
    <cfRule type="expression" dxfId="3455" priority="53" stopIfTrue="1">
      <formula>ISERROR($I53)</formula>
    </cfRule>
  </conditionalFormatting>
  <conditionalFormatting sqref="G39:H39">
    <cfRule type="expression" dxfId="3454" priority="54" stopIfTrue="1">
      <formula>ISERROR($G$155)</formula>
    </cfRule>
    <cfRule type="expression" dxfId="3453" priority="55" stopIfTrue="1">
      <formula>OR($I$163=0,G$4="")</formula>
    </cfRule>
    <cfRule type="expression" dxfId="3452" priority="56" stopIfTrue="1">
      <formula>OR(G$4="",ISERROR(G$155))</formula>
    </cfRule>
  </conditionalFormatting>
  <conditionalFormatting sqref="G97:H97">
    <cfRule type="expression" dxfId="3451" priority="57" stopIfTrue="1">
      <formula>AND(G$152=0,G$97&lt;&gt;0)</formula>
    </cfRule>
    <cfRule type="expression" dxfId="3450" priority="58" stopIfTrue="1">
      <formula>G$152=0</formula>
    </cfRule>
    <cfRule type="expression" dxfId="3449" priority="59" stopIfTrue="1">
      <formula>AND(G$96&lt;&gt;0,G$97="")</formula>
    </cfRule>
  </conditionalFormatting>
  <conditionalFormatting sqref="C101:F104">
    <cfRule type="cellIs" dxfId="3448" priority="60" stopIfTrue="1" operator="equal">
      <formula>"ERROR"</formula>
    </cfRule>
    <cfRule type="expression" dxfId="3447" priority="61" stopIfTrue="1">
      <formula>ISBLANK($B101)</formula>
    </cfRule>
    <cfRule type="expression" dxfId="3446" priority="62" stopIfTrue="1">
      <formula>SUM($G$152:$J$152)=0</formula>
    </cfRule>
  </conditionalFormatting>
  <conditionalFormatting sqref="K73">
    <cfRule type="expression" dxfId="3445" priority="63" stopIfTrue="1">
      <formula>ISERROR(K73)</formula>
    </cfRule>
    <cfRule type="expression" dxfId="3444" priority="64" stopIfTrue="1">
      <formula>I73=0</formula>
    </cfRule>
    <cfRule type="expression" dxfId="3443" priority="65" stopIfTrue="1">
      <formula>$C$61=0</formula>
    </cfRule>
  </conditionalFormatting>
  <conditionalFormatting sqref="G70:G71">
    <cfRule type="expression" dxfId="3442" priority="66" stopIfTrue="1">
      <formula>$C$61=0</formula>
    </cfRule>
    <cfRule type="expression" dxfId="3441" priority="67" stopIfTrue="1">
      <formula>SUM($G$69:$G$72)=0</formula>
    </cfRule>
    <cfRule type="expression" dxfId="3440" priority="68" stopIfTrue="1">
      <formula>AND(G70&lt;&gt;0,ISERROR(H70))</formula>
    </cfRule>
  </conditionalFormatting>
  <conditionalFormatting sqref="G72">
    <cfRule type="expression" dxfId="3439" priority="69" stopIfTrue="1">
      <formula>$C$61=0</formula>
    </cfRule>
    <cfRule type="expression" dxfId="3438" priority="70" stopIfTrue="1">
      <formula>SUM($G$69:$G$72)=0</formula>
    </cfRule>
    <cfRule type="expression" dxfId="3437" priority="71" stopIfTrue="1">
      <formula>AND(G72&lt;&gt;0,ISERROR(H72))</formula>
    </cfRule>
  </conditionalFormatting>
  <conditionalFormatting sqref="G69">
    <cfRule type="expression" dxfId="3436" priority="72" stopIfTrue="1">
      <formula>$C$61=0</formula>
    </cfRule>
    <cfRule type="expression" dxfId="3435" priority="73" stopIfTrue="1">
      <formula>SUM($G$69:$G$72)=0</formula>
    </cfRule>
    <cfRule type="expression" dxfId="3434" priority="74" stopIfTrue="1">
      <formula>AND(G69&lt;&gt;0,ISERROR(H69))</formula>
    </cfRule>
  </conditionalFormatting>
  <conditionalFormatting sqref="I74">
    <cfRule type="expression" dxfId="3433" priority="75" stopIfTrue="1">
      <formula>$C$61=0</formula>
    </cfRule>
    <cfRule type="expression" dxfId="3432" priority="76" stopIfTrue="1">
      <formula>I73=0</formula>
    </cfRule>
  </conditionalFormatting>
  <conditionalFormatting sqref="G89:K89">
    <cfRule type="cellIs" dxfId="3431" priority="77" stopIfTrue="1" operator="equal">
      <formula>0</formula>
    </cfRule>
    <cfRule type="expression" dxfId="3430" priority="78" stopIfTrue="1">
      <formula>G$88=0</formula>
    </cfRule>
  </conditionalFormatting>
  <conditionalFormatting sqref="I77:J78">
    <cfRule type="expression" dxfId="3429" priority="79" stopIfTrue="1">
      <formula>$C$61=0</formula>
    </cfRule>
    <cfRule type="expression" dxfId="3428" priority="80" stopIfTrue="1">
      <formula>ISERROR($I77)</formula>
    </cfRule>
    <cfRule type="cellIs" dxfId="3427" priority="81" stopIfTrue="1" operator="equal">
      <formula>0</formula>
    </cfRule>
  </conditionalFormatting>
  <conditionalFormatting sqref="I79:J79">
    <cfRule type="expression" dxfId="3426" priority="82" stopIfTrue="1">
      <formula>ISERROR($I79)</formula>
    </cfRule>
    <cfRule type="expression" dxfId="3425" priority="83" stopIfTrue="1">
      <formula>$C$61=0</formula>
    </cfRule>
    <cfRule type="cellIs" dxfId="3424" priority="84" stopIfTrue="1" operator="equal">
      <formula>0</formula>
    </cfRule>
  </conditionalFormatting>
  <conditionalFormatting sqref="L77:M78">
    <cfRule type="expression" dxfId="3423" priority="85" stopIfTrue="1">
      <formula>ISERROR($L77)</formula>
    </cfRule>
    <cfRule type="expression" dxfId="3422" priority="86" stopIfTrue="1">
      <formula>$C$61=0</formula>
    </cfRule>
  </conditionalFormatting>
  <conditionalFormatting sqref="G93:H93">
    <cfRule type="expression" dxfId="3421" priority="87" stopIfTrue="1">
      <formula>AND(G$155="X",G$93&lt;&gt;"")</formula>
    </cfRule>
  </conditionalFormatting>
  <conditionalFormatting sqref="G81:K81">
    <cfRule type="expression" dxfId="3420" priority="88" stopIfTrue="1">
      <formula>$C$61=0</formula>
    </cfRule>
    <cfRule type="expression" dxfId="3419" priority="89" stopIfTrue="1">
      <formula>G$89&lt;&gt;0</formula>
    </cfRule>
  </conditionalFormatting>
  <conditionalFormatting sqref="I88:J88">
    <cfRule type="expression" dxfId="3418" priority="90" stopIfTrue="1">
      <formula>ISERROR($I88)</formula>
    </cfRule>
    <cfRule type="cellIs" dxfId="3417" priority="91" stopIfTrue="1" operator="equal">
      <formula>0</formula>
    </cfRule>
    <cfRule type="expression" dxfId="3416" priority="92" stopIfTrue="1">
      <formula>$C$61=0</formula>
    </cfRule>
  </conditionalFormatting>
  <conditionalFormatting sqref="H69:H72">
    <cfRule type="expression" dxfId="3415" priority="93" stopIfTrue="1">
      <formula>ISERROR(H69)</formula>
    </cfRule>
    <cfRule type="expression" dxfId="3414" priority="94" stopIfTrue="1">
      <formula>$C$61=0</formula>
    </cfRule>
    <cfRule type="expression" dxfId="3413" priority="95" stopIfTrue="1">
      <formula>$H69=$E$163</formula>
    </cfRule>
  </conditionalFormatting>
  <conditionalFormatting sqref="G76:H76 K76">
    <cfRule type="expression" dxfId="3412" priority="96" stopIfTrue="1">
      <formula>ISERROR(G76)</formula>
    </cfRule>
    <cfRule type="expression" dxfId="3411" priority="97" stopIfTrue="1">
      <formula>$C$61=0</formula>
    </cfRule>
    <cfRule type="expression" dxfId="3410" priority="98" stopIfTrue="1">
      <formula>G$76=$E$163</formula>
    </cfRule>
  </conditionalFormatting>
  <conditionalFormatting sqref="I76:J76">
    <cfRule type="expression" dxfId="3409" priority="99" stopIfTrue="1">
      <formula>ISERROR($I76)</formula>
    </cfRule>
    <cfRule type="expression" dxfId="3408" priority="100" stopIfTrue="1">
      <formula>$C$61=0</formula>
    </cfRule>
    <cfRule type="expression" dxfId="3407" priority="101" stopIfTrue="1">
      <formula>$I76=$E$163</formula>
    </cfRule>
  </conditionalFormatting>
  <conditionalFormatting sqref="K69:K72">
    <cfRule type="expression" dxfId="3406" priority="102" stopIfTrue="1">
      <formula>OR(ISERROR(H69),ISERROR(K69))</formula>
    </cfRule>
    <cfRule type="expression" dxfId="3405" priority="103" stopIfTrue="1">
      <formula>AND($I69=0,$C$61&lt;&gt;0,$G69=0)</formula>
    </cfRule>
    <cfRule type="expression" dxfId="3404" priority="104" stopIfTrue="1">
      <formula>$C$61=0</formula>
    </cfRule>
  </conditionalFormatting>
  <conditionalFormatting sqref="L93">
    <cfRule type="expression" dxfId="3403" priority="105" stopIfTrue="1">
      <formula>AND(J$155="X",L$93&lt;&gt;"")</formula>
    </cfRule>
  </conditionalFormatting>
  <conditionalFormatting sqref="L97">
    <cfRule type="expression" dxfId="3402" priority="106" stopIfTrue="1">
      <formula>AND(J$152=0,L$97&lt;&gt;0)</formula>
    </cfRule>
    <cfRule type="expression" dxfId="3401" priority="107" stopIfTrue="1">
      <formula>J$152=0</formula>
    </cfRule>
  </conditionalFormatting>
  <conditionalFormatting sqref="K98:L98">
    <cfRule type="expression" dxfId="3400" priority="108" stopIfTrue="1">
      <formula>AND(I$152=0,K$98&lt;&gt;0)</formula>
    </cfRule>
    <cfRule type="expression" dxfId="3399" priority="109" stopIfTrue="1">
      <formula>I$152=0</formula>
    </cfRule>
  </conditionalFormatting>
  <conditionalFormatting sqref="N98">
    <cfRule type="expression" dxfId="3398" priority="110" stopIfTrue="1">
      <formula>AND(J$152=0,N$98&lt;&gt;0)</formula>
    </cfRule>
    <cfRule type="expression" dxfId="3397" priority="111" stopIfTrue="1">
      <formula>J$152=0</formula>
    </cfRule>
  </conditionalFormatting>
  <conditionalFormatting sqref="M93">
    <cfRule type="expression" dxfId="3396" priority="112" stopIfTrue="1">
      <formula>AND(J$155="X",M$93&lt;&gt;"")</formula>
    </cfRule>
  </conditionalFormatting>
  <conditionalFormatting sqref="M97">
    <cfRule type="expression" dxfId="3395" priority="113" stopIfTrue="1">
      <formula>AND(J$152=0,M$97&lt;&gt;0)</formula>
    </cfRule>
    <cfRule type="expression" dxfId="3394" priority="114" stopIfTrue="1">
      <formula>J$152=0</formula>
    </cfRule>
  </conditionalFormatting>
  <conditionalFormatting sqref="M98">
    <cfRule type="expression" dxfId="3393" priority="115" stopIfTrue="1">
      <formula>AND(J$152=0,M$98&lt;&gt;0)</formula>
    </cfRule>
    <cfRule type="expression" dxfId="3392" priority="116" stopIfTrue="1">
      <formula>J$152=0</formula>
    </cfRule>
  </conditionalFormatting>
  <conditionalFormatting sqref="K101:L101">
    <cfRule type="expression" dxfId="3391" priority="117" stopIfTrue="1">
      <formula>AND(I$152=0,K$101&lt;&gt;0)</formula>
    </cfRule>
    <cfRule type="expression" dxfId="3390" priority="118" stopIfTrue="1">
      <formula>AND($C101="ERROR",K101&gt;0)</formula>
    </cfRule>
    <cfRule type="expression" dxfId="3389" priority="119" stopIfTrue="1">
      <formula>I$152=0</formula>
    </cfRule>
  </conditionalFormatting>
  <conditionalFormatting sqref="K102:L102">
    <cfRule type="expression" dxfId="3388" priority="120" stopIfTrue="1">
      <formula>AND(I$152=0,K$102&lt;&gt;0)</formula>
    </cfRule>
    <cfRule type="expression" dxfId="3387" priority="121" stopIfTrue="1">
      <formula>AND($C102="ERROR",K102&gt;0)</formula>
    </cfRule>
    <cfRule type="expression" dxfId="3386" priority="122" stopIfTrue="1">
      <formula>I$152=0</formula>
    </cfRule>
  </conditionalFormatting>
  <conditionalFormatting sqref="K103:L103">
    <cfRule type="expression" dxfId="3385" priority="123" stopIfTrue="1">
      <formula>AND(I$152=0,K$103&lt;&gt;0)</formula>
    </cfRule>
    <cfRule type="expression" dxfId="3384" priority="124" stopIfTrue="1">
      <formula>AND($C103="ERROR",K103&gt;0)</formula>
    </cfRule>
    <cfRule type="expression" dxfId="3383" priority="125" stopIfTrue="1">
      <formula>I$152=0</formula>
    </cfRule>
  </conditionalFormatting>
  <conditionalFormatting sqref="K104:L104">
    <cfRule type="expression" dxfId="3382" priority="126" stopIfTrue="1">
      <formula>AND(I$152=0,K$104&lt;&gt;0)</formula>
    </cfRule>
    <cfRule type="expression" dxfId="3381" priority="127" stopIfTrue="1">
      <formula>AND($C104="ERROR",K104&gt;0)</formula>
    </cfRule>
    <cfRule type="expression" dxfId="3380" priority="128" stopIfTrue="1">
      <formula>I$152=0</formula>
    </cfRule>
  </conditionalFormatting>
  <conditionalFormatting sqref="N101">
    <cfRule type="expression" dxfId="3379" priority="129" stopIfTrue="1">
      <formula>AND(J$152=0,N$101&lt;&gt;0)</formula>
    </cfRule>
    <cfRule type="expression" dxfId="3378" priority="130" stopIfTrue="1">
      <formula>AND($C101="ERROR",N101&gt;0)</formula>
    </cfRule>
    <cfRule type="expression" dxfId="3377" priority="131" stopIfTrue="1">
      <formula>J$152=0</formula>
    </cfRule>
  </conditionalFormatting>
  <conditionalFormatting sqref="N102">
    <cfRule type="expression" dxfId="3376" priority="132" stopIfTrue="1">
      <formula>AND(J$152=0,N$102&lt;&gt;0)</formula>
    </cfRule>
    <cfRule type="expression" dxfId="3375" priority="133" stopIfTrue="1">
      <formula>AND($C102="ERROR",N102&gt;0)</formula>
    </cfRule>
    <cfRule type="expression" dxfId="3374" priority="134" stopIfTrue="1">
      <formula>J$152=0</formula>
    </cfRule>
  </conditionalFormatting>
  <conditionalFormatting sqref="N103">
    <cfRule type="expression" dxfId="3373" priority="135" stopIfTrue="1">
      <formula>AND(J$152=0,N$103&lt;&gt;0)</formula>
    </cfRule>
    <cfRule type="expression" dxfId="3372" priority="136" stopIfTrue="1">
      <formula>AND($C103="ERROR",N103&gt;0)</formula>
    </cfRule>
    <cfRule type="expression" dxfId="3371" priority="137" stopIfTrue="1">
      <formula>J$152=0</formula>
    </cfRule>
  </conditionalFormatting>
  <conditionalFormatting sqref="N104">
    <cfRule type="expression" dxfId="3370" priority="138" stopIfTrue="1">
      <formula>AND(J$152=0,N$104&lt;&gt;0)</formula>
    </cfRule>
    <cfRule type="expression" dxfId="3369" priority="139" stopIfTrue="1">
      <formula>AND($C104="ERROR",N104&gt;0)</formula>
    </cfRule>
    <cfRule type="expression" dxfId="3368" priority="140" stopIfTrue="1">
      <formula>J$152=0</formula>
    </cfRule>
  </conditionalFormatting>
  <conditionalFormatting sqref="M101">
    <cfRule type="expression" dxfId="3367" priority="141" stopIfTrue="1">
      <formula>AND(J$152=0,M$101&lt;&gt;0)</formula>
    </cfRule>
    <cfRule type="expression" dxfId="3366" priority="142" stopIfTrue="1">
      <formula>AND($C101="ERROR",M101&gt;0)</formula>
    </cfRule>
    <cfRule type="expression" dxfId="3365" priority="143" stopIfTrue="1">
      <formula>J$152=0</formula>
    </cfRule>
  </conditionalFormatting>
  <conditionalFormatting sqref="M102">
    <cfRule type="expression" dxfId="3364" priority="144" stopIfTrue="1">
      <formula>AND(J$152=0,M$102&lt;&gt;0)</formula>
    </cfRule>
    <cfRule type="expression" dxfId="3363" priority="145" stopIfTrue="1">
      <formula>AND($C102="ERROR",M102&gt;0)</formula>
    </cfRule>
    <cfRule type="expression" dxfId="3362" priority="146" stopIfTrue="1">
      <formula>J$152=0</formula>
    </cfRule>
  </conditionalFormatting>
  <conditionalFormatting sqref="M103">
    <cfRule type="expression" dxfId="3361" priority="147" stopIfTrue="1">
      <formula>AND(J$152=0,M$103&lt;&gt;0)</formula>
    </cfRule>
    <cfRule type="expression" dxfId="3360" priority="148" stopIfTrue="1">
      <formula>AND($C103="ERROR",M103&gt;0)</formula>
    </cfRule>
    <cfRule type="expression" dxfId="3359" priority="149" stopIfTrue="1">
      <formula>J$152=0</formula>
    </cfRule>
  </conditionalFormatting>
  <conditionalFormatting sqref="M104">
    <cfRule type="expression" dxfId="3358" priority="150" stopIfTrue="1">
      <formula>AND(J$152=0,M$104&lt;&gt;0)</formula>
    </cfRule>
    <cfRule type="expression" dxfId="3357" priority="151" stopIfTrue="1">
      <formula>AND($C104="ERROR",M104&gt;0)</formula>
    </cfRule>
    <cfRule type="expression" dxfId="3356" priority="152" stopIfTrue="1">
      <formula>J$152=0</formula>
    </cfRule>
  </conditionalFormatting>
  <conditionalFormatting sqref="K97">
    <cfRule type="expression" dxfId="3355" priority="153" stopIfTrue="1">
      <formula>AND(I$152=0,K$97&lt;&gt;0)</formula>
    </cfRule>
    <cfRule type="expression" dxfId="3354" priority="154" stopIfTrue="1">
      <formula>I$152=0</formula>
    </cfRule>
    <cfRule type="expression" dxfId="3353" priority="155" stopIfTrue="1">
      <formula>AND(K$96&lt;&gt;0,K$97="")</formula>
    </cfRule>
  </conditionalFormatting>
  <conditionalFormatting sqref="N97">
    <cfRule type="expression" dxfId="3352" priority="156" stopIfTrue="1">
      <formula>AND(J$152=0,N$97&lt;&gt;0)</formula>
    </cfRule>
    <cfRule type="expression" dxfId="3351" priority="157" stopIfTrue="1">
      <formula>J$152=0</formula>
    </cfRule>
    <cfRule type="expression" dxfId="3350" priority="158" stopIfTrue="1">
      <formula>AND(N$96&lt;&gt;0,N$97="")</formula>
    </cfRule>
  </conditionalFormatting>
  <conditionalFormatting sqref="G83:I83 K83">
    <cfRule type="expression" dxfId="3349" priority="159" stopIfTrue="1">
      <formula>$C$61=0</formula>
    </cfRule>
    <cfRule type="expression" dxfId="3348" priority="160" stopIfTrue="1">
      <formula>G85=$M$135</formula>
    </cfRule>
    <cfRule type="cellIs" dxfId="3347" priority="161" stopIfTrue="1" operator="equal">
      <formula>0</formula>
    </cfRule>
  </conditionalFormatting>
  <conditionalFormatting sqref="G84:I84 K84">
    <cfRule type="expression" dxfId="3346" priority="162" stopIfTrue="1">
      <formula>$C$61=0</formula>
    </cfRule>
    <cfRule type="expression" dxfId="3345" priority="163" stopIfTrue="1">
      <formula>G85=$M$135</formula>
    </cfRule>
    <cfRule type="cellIs" dxfId="3344" priority="164" stopIfTrue="1" operator="equal">
      <formula>0</formula>
    </cfRule>
  </conditionalFormatting>
  <conditionalFormatting sqref="K86 G86:H86">
    <cfRule type="expression" dxfId="3343" priority="165" stopIfTrue="1">
      <formula>$C$61=0</formula>
    </cfRule>
    <cfRule type="expression" dxfId="3342" priority="166" stopIfTrue="1">
      <formula>G85=$M$135</formula>
    </cfRule>
  </conditionalFormatting>
  <conditionalFormatting sqref="G82:K82">
    <cfRule type="expression" dxfId="3341" priority="167" stopIfTrue="1">
      <formula>$C$61=0</formula>
    </cfRule>
    <cfRule type="expression" dxfId="3340" priority="168" stopIfTrue="1">
      <formula>G85=$M$135</formula>
    </cfRule>
    <cfRule type="cellIs" dxfId="3339" priority="169" stopIfTrue="1" operator="equal">
      <formula>0</formula>
    </cfRule>
  </conditionalFormatting>
  <conditionalFormatting sqref="I86:J86">
    <cfRule type="expression" dxfId="3338" priority="170" stopIfTrue="1">
      <formula>$C$61=0</formula>
    </cfRule>
    <cfRule type="expression" dxfId="3337" priority="171" stopIfTrue="1">
      <formula>$I85=$M$135</formula>
    </cfRule>
  </conditionalFormatting>
  <conditionalFormatting sqref="G87:H87 K87">
    <cfRule type="expression" dxfId="3336" priority="172" stopIfTrue="1">
      <formula>G85=$M$135</formula>
    </cfRule>
    <cfRule type="expression" dxfId="3335" priority="173" stopIfTrue="1">
      <formula>$C$61=0</formula>
    </cfRule>
  </conditionalFormatting>
  <conditionalFormatting sqref="I87:J87">
    <cfRule type="expression" dxfId="3334" priority="174" stopIfTrue="1">
      <formula>$I85=$M$135</formula>
    </cfRule>
    <cfRule type="expression" dxfId="3333" priority="175" stopIfTrue="1">
      <formula>$C$61=0</formula>
    </cfRule>
  </conditionalFormatting>
  <conditionalFormatting sqref="K93">
    <cfRule type="expression" dxfId="3332" priority="176" stopIfTrue="1">
      <formula>AND(I$155="X",K$93&lt;&gt;"")</formula>
    </cfRule>
  </conditionalFormatting>
  <conditionalFormatting sqref="N93">
    <cfRule type="expression" dxfId="3331" priority="177" stopIfTrue="1">
      <formula>AND(J$155="X",N$93&lt;&gt;"")</formula>
    </cfRule>
  </conditionalFormatting>
  <conditionalFormatting sqref="L69:M72">
    <cfRule type="expression" dxfId="3330" priority="178" stopIfTrue="1">
      <formula>OR(ISERROR($L69),$H69="")</formula>
    </cfRule>
    <cfRule type="expression" dxfId="3329" priority="179" stopIfTrue="1">
      <formula>$C$61=0</formula>
    </cfRule>
    <cfRule type="expression" dxfId="3328" priority="180" stopIfTrue="1">
      <formula>$H69=$E$163</formula>
    </cfRule>
  </conditionalFormatting>
  <conditionalFormatting sqref="I85:J85">
    <cfRule type="expression" dxfId="3327" priority="181" stopIfTrue="1">
      <formula>$C$61=0</formula>
    </cfRule>
    <cfRule type="expression" dxfId="3326" priority="182" stopIfTrue="1">
      <formula>$I85=$M$135</formula>
    </cfRule>
  </conditionalFormatting>
  <conditionalFormatting sqref="I51:J52 L51:M52">
    <cfRule type="expression" dxfId="3325" priority="183" stopIfTrue="1">
      <formula>ISERROR(I55)</formula>
    </cfRule>
  </conditionalFormatting>
  <conditionalFormatting sqref="K51:K52">
    <cfRule type="expression" dxfId="3324" priority="184" stopIfTrue="1">
      <formula>ISERROR(G51)</formula>
    </cfRule>
  </conditionalFormatting>
  <conditionalFormatting sqref="I7:I39">
    <cfRule type="expression" dxfId="3323" priority="185" stopIfTrue="1">
      <formula>OR($I$4=0,$I$4&lt;&gt;$K$130)</formula>
    </cfRule>
    <cfRule type="expression" dxfId="3322" priority="186" stopIfTrue="1">
      <formula>$AA7&lt;&gt;0</formula>
    </cfRule>
  </conditionalFormatting>
  <conditionalFormatting sqref="J7:J39">
    <cfRule type="expression" dxfId="3321" priority="187" stopIfTrue="1">
      <formula>OR($I$4=0,$I$4&lt;&gt;$K$130)</formula>
    </cfRule>
    <cfRule type="expression" dxfId="3320" priority="188" stopIfTrue="1">
      <formula>$AA7&lt;&gt;0</formula>
    </cfRule>
  </conditionalFormatting>
  <conditionalFormatting sqref="L7:L39">
    <cfRule type="expression" dxfId="3319" priority="189" stopIfTrue="1">
      <formula>OR($L$4=0,$L$4&lt;&gt;$K$130)</formula>
    </cfRule>
    <cfRule type="expression" dxfId="3318" priority="190" stopIfTrue="1">
      <formula>$AA7&lt;&gt;0</formula>
    </cfRule>
  </conditionalFormatting>
  <conditionalFormatting sqref="M7:M39">
    <cfRule type="expression" dxfId="3317" priority="191" stopIfTrue="1">
      <formula>OR($L$4=0,$L$4&lt;&gt;$K$130)</formula>
    </cfRule>
    <cfRule type="expression" dxfId="3316" priority="192" stopIfTrue="1">
      <formula>$AA7&lt;&gt;0</formula>
    </cfRule>
  </conditionalFormatting>
  <conditionalFormatting sqref="O7:O39">
    <cfRule type="expression" dxfId="3315" priority="193" stopIfTrue="1">
      <formula>OR($O$4=0,$O$4&lt;&gt;$K$130)</formula>
    </cfRule>
    <cfRule type="expression" dxfId="3314" priority="194" stopIfTrue="1">
      <formula>$AA7&lt;&gt;0</formula>
    </cfRule>
  </conditionalFormatting>
  <conditionalFormatting sqref="P7:P39">
    <cfRule type="expression" dxfId="3313" priority="195" stopIfTrue="1">
      <formula>OR($O$4=0,$O$4&lt;&gt;$K$130)</formula>
    </cfRule>
    <cfRule type="expression" dxfId="3312" priority="196" stopIfTrue="1">
      <formula>$AA7&lt;&gt;0</formula>
    </cfRule>
  </conditionalFormatting>
  <conditionalFormatting sqref="K39">
    <cfRule type="expression" dxfId="3311" priority="197" stopIfTrue="1">
      <formula>ISERROR($G$155)</formula>
    </cfRule>
    <cfRule type="expression" dxfId="3310" priority="198" stopIfTrue="1">
      <formula>OR($I$163=0,K$4="")</formula>
    </cfRule>
    <cfRule type="expression" dxfId="3309" priority="199" stopIfTrue="1">
      <formula>OR(K$4="",ISERROR(I$155))</formula>
    </cfRule>
  </conditionalFormatting>
  <conditionalFormatting sqref="N39">
    <cfRule type="expression" dxfId="3308" priority="200" stopIfTrue="1">
      <formula>ISERROR($G$155)</formula>
    </cfRule>
    <cfRule type="expression" dxfId="3307" priority="201" stopIfTrue="1">
      <formula>OR($I$163=0,N$4="")</formula>
    </cfRule>
    <cfRule type="expression" dxfId="3306" priority="202" stopIfTrue="1">
      <formula>OR(N$4="",ISERROR(J$155))</formula>
    </cfRule>
  </conditionalFormatting>
  <conditionalFormatting sqref="G8:H38 K8:K38 N8:N38">
    <cfRule type="expression" dxfId="3305" priority="203" stopIfTrue="1">
      <formula>$AA8=$Y$6</formula>
    </cfRule>
    <cfRule type="expression" dxfId="3304" priority="204" stopIfTrue="1">
      <formula>OR($AA8=0,$E8=$E$162)</formula>
    </cfRule>
  </conditionalFormatting>
  <conditionalFormatting sqref="C8:D38">
    <cfRule type="expression" dxfId="3303" priority="205" stopIfTrue="1">
      <formula>$AA8=$Y$6</formula>
    </cfRule>
    <cfRule type="expression" dxfId="3302" priority="206" stopIfTrue="1">
      <formula>AND($L$163=0,OR($V8&lt;$B$162,$V8&gt;$B$163))</formula>
    </cfRule>
    <cfRule type="expression" dxfId="3301" priority="207" stopIfTrue="1">
      <formula>AND($AA8=0,$E8=0)</formula>
    </cfRule>
  </conditionalFormatting>
  <conditionalFormatting sqref="G46:H46 K46 N46">
    <cfRule type="expression" dxfId="3300" priority="208" stopIfTrue="1">
      <formula>G$42=$K$134</formula>
    </cfRule>
    <cfRule type="expression" dxfId="3299" priority="209" stopIfTrue="1">
      <formula>OR($I$163=0,G$4="")</formula>
    </cfRule>
    <cfRule type="expression" dxfId="3298" priority="210" stopIfTrue="1">
      <formula>G44=""</formula>
    </cfRule>
  </conditionalFormatting>
  <conditionalFormatting sqref="G47:H47 K47 N47">
    <cfRule type="expression" dxfId="3297" priority="211" stopIfTrue="1">
      <formula>OR(ISERROR(G47),G$4="")</formula>
    </cfRule>
    <cfRule type="expression" dxfId="3296" priority="212" stopIfTrue="1">
      <formula>G$42=$K$134</formula>
    </cfRule>
    <cfRule type="expression" dxfId="3295" priority="213" stopIfTrue="1">
      <formula>AND(G$46&gt;0,OR(G$99=$E$152,G$99=$K$152))</formula>
    </cfRule>
  </conditionalFormatting>
  <conditionalFormatting sqref="G48:H48 K48 N48">
    <cfRule type="expression" dxfId="3294" priority="214" stopIfTrue="1">
      <formula>OR(ISERROR(G48),G$4="")</formula>
    </cfRule>
    <cfRule type="expression" dxfId="3293" priority="215" stopIfTrue="1">
      <formula>G$42=$K$134</formula>
    </cfRule>
    <cfRule type="expression" dxfId="3292" priority="216" stopIfTrue="1">
      <formula>AND(G$46&gt;0,OR(G$99=$E$152,G$99=$K$152,COUNTIF($C$101:$F$104,"ERROR")&gt;0,G$105=$E$152,G$105=$K$152))</formula>
    </cfRule>
  </conditionalFormatting>
  <conditionalFormatting sqref="I69:J72">
    <cfRule type="expression" dxfId="3291" priority="217" stopIfTrue="1">
      <formula>$C$61=0</formula>
    </cfRule>
    <cfRule type="expression" dxfId="3290" priority="218" stopIfTrue="1">
      <formula>$Z69=0</formula>
    </cfRule>
    <cfRule type="expression" dxfId="3289" priority="219" stopIfTrue="1">
      <formula>$I69=0</formula>
    </cfRule>
  </conditionalFormatting>
  <conditionalFormatting sqref="G61:H62 K61:K62 N61:N62">
    <cfRule type="expression" dxfId="3288" priority="220" stopIfTrue="1">
      <formula>$C$61=0</formula>
    </cfRule>
    <cfRule type="expression" dxfId="3287" priority="221" stopIfTrue="1">
      <formula>G$62=$L$135</formula>
    </cfRule>
  </conditionalFormatting>
  <conditionalFormatting sqref="M166:N166">
    <cfRule type="expression" dxfId="3286" priority="222" stopIfTrue="1">
      <formula>ISBLANK($M166)</formula>
    </cfRule>
  </conditionalFormatting>
  <conditionalFormatting sqref="F107 N108:N109 F108:I109 K108:K109">
    <cfRule type="expression" dxfId="3285" priority="223" stopIfTrue="1">
      <formula>$L$108=0</formula>
    </cfRule>
  </conditionalFormatting>
  <conditionalFormatting sqref="G116:J118 K121:K122 L108:M109">
    <cfRule type="cellIs" dxfId="3284" priority="224" stopIfTrue="1" operator="equal">
      <formula>0</formula>
    </cfRule>
  </conditionalFormatting>
  <conditionalFormatting sqref="L113:M121">
    <cfRule type="expression" dxfId="3283" priority="225" stopIfTrue="1">
      <formula>$L$109=0</formula>
    </cfRule>
  </conditionalFormatting>
  <conditionalFormatting sqref="L122:M122">
    <cfRule type="expression" dxfId="3282" priority="226" stopIfTrue="1">
      <formula>$K$122=0</formula>
    </cfRule>
  </conditionalFormatting>
  <conditionalFormatting sqref="K53:K54 H53:H54">
    <cfRule type="expression" dxfId="3281" priority="227" stopIfTrue="1">
      <formula>ISERROR($G$155)</formula>
    </cfRule>
  </conditionalFormatting>
  <conditionalFormatting sqref="L180 P46 L193 L206 L215:L217">
    <cfRule type="expression" dxfId="3280" priority="228" stopIfTrue="1">
      <formula>$O$44=""</formula>
    </cfRule>
    <cfRule type="expression" dxfId="3279" priority="229" stopIfTrue="1">
      <formula>$O$44=0</formula>
    </cfRule>
  </conditionalFormatting>
  <conditionalFormatting sqref="G180:I180 K180 G215:J217 G193:I193 K206 K193 G206:I206">
    <cfRule type="expression" dxfId="3278" priority="230" stopIfTrue="1">
      <formula>ISERROR(G180)</formula>
    </cfRule>
    <cfRule type="cellIs" dxfId="3277" priority="231" stopIfTrue="1" operator="equal">
      <formula>0</formula>
    </cfRule>
  </conditionalFormatting>
  <conditionalFormatting sqref="G183:K183 G170:K170 G196:K196 G121:J122">
    <cfRule type="cellIs" dxfId="3276" priority="232" stopIfTrue="1" operator="equal">
      <formula>0</formula>
    </cfRule>
  </conditionalFormatting>
  <conditionalFormatting sqref="C126:P126">
    <cfRule type="expression" dxfId="3275" priority="233" stopIfTrue="1">
      <formula>ISERROR($H$163)</formula>
    </cfRule>
  </conditionalFormatting>
  <conditionalFormatting sqref="G53:G54">
    <cfRule type="expression" dxfId="3274" priority="234" stopIfTrue="1">
      <formula>ISERROR($G$155)</formula>
    </cfRule>
    <cfRule type="expression" dxfId="3273" priority="235" stopIfTrue="1">
      <formula>ISERROR(G53)</formula>
    </cfRule>
  </conditionalFormatting>
  <conditionalFormatting sqref="O95:P95">
    <cfRule type="expression" dxfId="3272" priority="236" stopIfTrue="1">
      <formula>$O$44=""</formula>
    </cfRule>
  </conditionalFormatting>
  <conditionalFormatting sqref="O94:P94">
    <cfRule type="expression" dxfId="3271" priority="237" stopIfTrue="1">
      <formula>$O$44=""</formula>
    </cfRule>
  </conditionalFormatting>
  <conditionalFormatting sqref="AA8:AA38 O44:P44 G58 C58 I44:J44 L44:M44 G152:J152 L168 E6:F6 K42 N42 G42:H42">
    <cfRule type="cellIs" dxfId="3270" priority="238" stopIfTrue="1" operator="equal">
      <formula>0</formula>
    </cfRule>
  </conditionalFormatting>
  <conditionalFormatting sqref="W8:Z38 R8:U38 AB8:AE38 AG8:AK38 AM8:AQ38 AS8:AW38 AY8:AY38">
    <cfRule type="cellIs" dxfId="3269" priority="239" stopIfTrue="1" operator="equal">
      <formula>0</formula>
    </cfRule>
  </conditionalFormatting>
  <conditionalFormatting sqref="O45:P45 L169">
    <cfRule type="expression" dxfId="3268" priority="240" stopIfTrue="1">
      <formula>$O$4=$K$130</formula>
    </cfRule>
    <cfRule type="expression" dxfId="3267" priority="241" stopIfTrue="1">
      <formula>$O$44=0</formula>
    </cfRule>
  </conditionalFormatting>
  <conditionalFormatting sqref="E47:F48">
    <cfRule type="expression" dxfId="3266" priority="242" stopIfTrue="1">
      <formula>ISERROR(E47)</formula>
    </cfRule>
  </conditionalFormatting>
  <conditionalFormatting sqref="G168:I169 K168:K169 E197:E198 E206:F206 E171:E172 E180:F180 E184:E185 E193:F193 G94:N95 N44:N45 G44:H45 K44:K45 E221 G51:H52">
    <cfRule type="expression" dxfId="3265" priority="243" stopIfTrue="1">
      <formula>ISERROR(E44)</formula>
    </cfRule>
  </conditionalFormatting>
  <conditionalFormatting sqref="G167:I167 K167 N43 G43:H43 K43">
    <cfRule type="cellIs" dxfId="3264" priority="244" stopIfTrue="1" operator="equal">
      <formula>0</formula>
    </cfRule>
  </conditionalFormatting>
  <conditionalFormatting sqref="G99:N99 G105:N105 H139:H141 H145:H148">
    <cfRule type="cellIs" dxfId="3263" priority="245" stopIfTrue="1" operator="equal">
      <formula>"OK"</formula>
    </cfRule>
  </conditionalFormatting>
  <conditionalFormatting sqref="I139:I141 I145:I148">
    <cfRule type="cellIs" dxfId="3262" priority="246" stopIfTrue="1" operator="greaterThan">
      <formula>0</formula>
    </cfRule>
  </conditionalFormatting>
  <conditionalFormatting sqref="F110:I112 K110:M112">
    <cfRule type="expression" dxfId="3261" priority="247" stopIfTrue="1">
      <formula>$L$108=0</formula>
    </cfRule>
  </conditionalFormatting>
  <conditionalFormatting sqref="C195:H195">
    <cfRule type="expression" dxfId="3260" priority="248" stopIfTrue="1">
      <formula>ISERROR($C$195)</formula>
    </cfRule>
  </conditionalFormatting>
  <conditionalFormatting sqref="C2:J2">
    <cfRule type="expression" dxfId="3259" priority="249" stopIfTrue="1">
      <formula>$I$163=0</formula>
    </cfRule>
  </conditionalFormatting>
  <conditionalFormatting sqref="L96:M96 I96:J96">
    <cfRule type="expression" dxfId="3258" priority="250" stopIfTrue="1">
      <formula>ISERROR($G$155)</formula>
    </cfRule>
    <cfRule type="expression" dxfId="3257" priority="251" stopIfTrue="1">
      <formula>I96=0</formula>
    </cfRule>
  </conditionalFormatting>
  <conditionalFormatting sqref="N7 G7:H7 K7">
    <cfRule type="expression" dxfId="3256" priority="252" stopIfTrue="1">
      <formula>$I$163=0</formula>
    </cfRule>
  </conditionalFormatting>
  <conditionalFormatting sqref="I48:J48">
    <cfRule type="expression" dxfId="3255" priority="253" stopIfTrue="1">
      <formula>$I$4=$K$130</formula>
    </cfRule>
  </conditionalFormatting>
  <conditionalFormatting sqref="L48:M48">
    <cfRule type="expression" dxfId="3254" priority="254" stopIfTrue="1">
      <formula>$L$4=$K$130</formula>
    </cfRule>
  </conditionalFormatting>
  <conditionalFormatting sqref="I45:J45">
    <cfRule type="expression" dxfId="3253" priority="255" stopIfTrue="1">
      <formula>$I$4=$K$130</formula>
    </cfRule>
    <cfRule type="expression" dxfId="3252" priority="256" stopIfTrue="1">
      <formula>$I$44=0</formula>
    </cfRule>
  </conditionalFormatting>
  <conditionalFormatting sqref="L45:M45">
    <cfRule type="expression" dxfId="3251" priority="257" stopIfTrue="1">
      <formula>$L$4=$K$130</formula>
    </cfRule>
    <cfRule type="expression" dxfId="3250" priority="258" stopIfTrue="1">
      <formula>$L$44=0</formula>
    </cfRule>
  </conditionalFormatting>
  <conditionalFormatting sqref="L53">
    <cfRule type="expression" dxfId="3249" priority="259" stopIfTrue="1">
      <formula>ISERROR($G$155)</formula>
    </cfRule>
    <cfRule type="expression" dxfId="3248" priority="260" stopIfTrue="1">
      <formula>ISERROR($L$53)</formula>
    </cfRule>
  </conditionalFormatting>
  <conditionalFormatting sqref="O96:P98 C97:F98">
    <cfRule type="expression" dxfId="3247" priority="261" stopIfTrue="1">
      <formula>SUM($G$152:$J$152)=0</formula>
    </cfRule>
  </conditionalFormatting>
  <conditionalFormatting sqref="G155:J155">
    <cfRule type="cellIs" dxfId="3246" priority="262" stopIfTrue="1" operator="equal">
      <formula>0</formula>
    </cfRule>
  </conditionalFormatting>
  <conditionalFormatting sqref="G157:J159">
    <cfRule type="cellIs" dxfId="3245" priority="263" stopIfTrue="1" operator="equal">
      <formula>$E$157</formula>
    </cfRule>
  </conditionalFormatting>
  <conditionalFormatting sqref="Q91:S91">
    <cfRule type="expression" dxfId="3244" priority="264" stopIfTrue="1">
      <formula>SUM($G$152:$J$152)=0</formula>
    </cfRule>
  </conditionalFormatting>
  <conditionalFormatting sqref="I4:J5">
    <cfRule type="expression" dxfId="3243" priority="265" stopIfTrue="1">
      <formula>$I$6=""</formula>
    </cfRule>
    <cfRule type="cellIs" dxfId="3242" priority="266" stopIfTrue="1" operator="equal">
      <formula>0</formula>
    </cfRule>
    <cfRule type="expression" dxfId="3241" priority="267" stopIfTrue="1">
      <formula>$I$4=$K$130</formula>
    </cfRule>
  </conditionalFormatting>
  <conditionalFormatting sqref="L4:M5">
    <cfRule type="expression" dxfId="3240" priority="268" stopIfTrue="1">
      <formula>$L$6=""</formula>
    </cfRule>
    <cfRule type="cellIs" dxfId="3239" priority="269" stopIfTrue="1" operator="equal">
      <formula>0</formula>
    </cfRule>
    <cfRule type="expression" dxfId="3238" priority="270" stopIfTrue="1">
      <formula>$L$4=$K$130</formula>
    </cfRule>
  </conditionalFormatting>
  <conditionalFormatting sqref="O4:P5">
    <cfRule type="expression" dxfId="3237" priority="271" stopIfTrue="1">
      <formula>$O$6=""</formula>
    </cfRule>
    <cfRule type="cellIs" dxfId="3236" priority="272" stopIfTrue="1" operator="equal">
      <formula>0</formula>
    </cfRule>
    <cfRule type="expression" dxfId="3235" priority="273" stopIfTrue="1">
      <formula>$O$4=$K$130</formula>
    </cfRule>
  </conditionalFormatting>
  <conditionalFormatting sqref="E46:F46">
    <cfRule type="expression" dxfId="3234" priority="274" stopIfTrue="1">
      <formula>ISERROR($E$46)</formula>
    </cfRule>
  </conditionalFormatting>
  <conditionalFormatting sqref="I46">
    <cfRule type="expression" dxfId="3233" priority="275" stopIfTrue="1">
      <formula>$I$44=""</formula>
    </cfRule>
    <cfRule type="expression" dxfId="3232" priority="276" stopIfTrue="1">
      <formula>$I$44=0</formula>
    </cfRule>
  </conditionalFormatting>
  <conditionalFormatting sqref="L46">
    <cfRule type="expression" dxfId="3231" priority="277" stopIfTrue="1">
      <formula>$L$44=""</formula>
    </cfRule>
    <cfRule type="expression" dxfId="3230" priority="278" stopIfTrue="1">
      <formula>$L$44=0</formula>
    </cfRule>
  </conditionalFormatting>
  <conditionalFormatting sqref="O46">
    <cfRule type="expression" dxfId="3229" priority="279" stopIfTrue="1">
      <formula>$O$44=""</formula>
    </cfRule>
    <cfRule type="expression" dxfId="3228" priority="280" stopIfTrue="1">
      <formula>$O$44=0</formula>
    </cfRule>
  </conditionalFormatting>
  <conditionalFormatting sqref="J46">
    <cfRule type="expression" dxfId="3227" priority="281" stopIfTrue="1">
      <formula>$I$44=""</formula>
    </cfRule>
    <cfRule type="expression" dxfId="3226" priority="282" stopIfTrue="1">
      <formula>$I$44=0</formula>
    </cfRule>
  </conditionalFormatting>
  <conditionalFormatting sqref="M46">
    <cfRule type="expression" dxfId="3225" priority="283" stopIfTrue="1">
      <formula>$L$44=""</formula>
    </cfRule>
    <cfRule type="expression" dxfId="3224" priority="284" stopIfTrue="1">
      <formula>$L$44=0</formula>
    </cfRule>
  </conditionalFormatting>
  <conditionalFormatting sqref="G96:H96 K96 N96">
    <cfRule type="expression" dxfId="3223" priority="285" stopIfTrue="1">
      <formula>ISERROR($G$155)</formula>
    </cfRule>
    <cfRule type="expression" dxfId="3222" priority="286" stopIfTrue="1">
      <formula>G96=0</formula>
    </cfRule>
    <cfRule type="expression" dxfId="3221" priority="287" stopIfTrue="1">
      <formula>G96&lt;&gt;0</formula>
    </cfRule>
  </conditionalFormatting>
  <conditionalFormatting sqref="M168:N168">
    <cfRule type="expression" dxfId="3220" priority="288" stopIfTrue="1">
      <formula>$M$168=""</formula>
    </cfRule>
  </conditionalFormatting>
  <conditionalFormatting sqref="G63:H63 K63 N63">
    <cfRule type="expression" dxfId="3219" priority="289" stopIfTrue="1">
      <formula>$C$61=0</formula>
    </cfRule>
    <cfRule type="cellIs" dxfId="3218" priority="290" stopIfTrue="1" operator="equal">
      <formula>0</formula>
    </cfRule>
  </conditionalFormatting>
  <conditionalFormatting sqref="F63 F65 F73 F76:F79 F86:F89 N78:N79 N88 L86:N87 K68 C68:C69 I67:J68">
    <cfRule type="expression" dxfId="3217" priority="291" stopIfTrue="1">
      <formula>$C$61=0</formula>
    </cfRule>
  </conditionalFormatting>
  <conditionalFormatting sqref="G65">
    <cfRule type="expression" dxfId="3216" priority="292" stopIfTrue="1">
      <formula>$C$61=0</formula>
    </cfRule>
    <cfRule type="cellIs" dxfId="3215" priority="293" stopIfTrue="1" operator="equal">
      <formula>0</formula>
    </cfRule>
  </conditionalFormatting>
  <conditionalFormatting sqref="N66:N67 N74:N77 L68:N68">
    <cfRule type="expression" dxfId="3214" priority="294" stopIfTrue="1">
      <formula>$C$61=0</formula>
    </cfRule>
  </conditionalFormatting>
  <conditionalFormatting sqref="G68:H68">
    <cfRule type="expression" dxfId="3213" priority="295" stopIfTrue="1">
      <formula>ISERROR(G68)</formula>
    </cfRule>
    <cfRule type="expression" dxfId="3212" priority="296" stopIfTrue="1">
      <formula>$C$61=0</formula>
    </cfRule>
  </conditionalFormatting>
  <conditionalFormatting sqref="N73">
    <cfRule type="expression" dxfId="3211" priority="297" stopIfTrue="1">
      <formula>$C$61=0</formula>
    </cfRule>
    <cfRule type="expression" dxfId="3210" priority="298" stopIfTrue="1">
      <formula>ISERROR(N73)</formula>
    </cfRule>
  </conditionalFormatting>
  <conditionalFormatting sqref="O73 O79 O88">
    <cfRule type="expression" dxfId="3209" priority="299" stopIfTrue="1">
      <formula>O73=$E$163</formula>
    </cfRule>
    <cfRule type="expression" dxfId="3208" priority="300" stopIfTrue="1">
      <formula>$C$61=0</formula>
    </cfRule>
    <cfRule type="expression" dxfId="3207" priority="301" stopIfTrue="1">
      <formula>ISERROR(O73)</formula>
    </cfRule>
  </conditionalFormatting>
  <conditionalFormatting sqref="C67">
    <cfRule type="expression" dxfId="3206" priority="302" stopIfTrue="1">
      <formula>$C$61=0</formula>
    </cfRule>
  </conditionalFormatting>
  <conditionalFormatting sqref="G73 I73">
    <cfRule type="expression" dxfId="3205" priority="303" stopIfTrue="1">
      <formula>ISERROR(G73)</formula>
    </cfRule>
    <cfRule type="expression" dxfId="3204" priority="304" stopIfTrue="1">
      <formula>G73=0</formula>
    </cfRule>
    <cfRule type="expression" dxfId="3203" priority="305" stopIfTrue="1">
      <formula>$C$61=0</formula>
    </cfRule>
  </conditionalFormatting>
  <conditionalFormatting sqref="G77:H78 K77:K78">
    <cfRule type="expression" dxfId="3202" priority="306" stopIfTrue="1">
      <formula>$C$61=0</formula>
    </cfRule>
    <cfRule type="expression" dxfId="3201" priority="307" stopIfTrue="1">
      <formula>ISERROR(G77)</formula>
    </cfRule>
    <cfRule type="cellIs" dxfId="3200" priority="308" stopIfTrue="1" operator="equal">
      <formula>0</formula>
    </cfRule>
  </conditionalFormatting>
  <conditionalFormatting sqref="G79:H79 K79">
    <cfRule type="expression" dxfId="3199" priority="309" stopIfTrue="1">
      <formula>ISERROR(G79)</formula>
    </cfRule>
    <cfRule type="expression" dxfId="3198" priority="310" stopIfTrue="1">
      <formula>$C$61=0</formula>
    </cfRule>
    <cfRule type="cellIs" dxfId="3197" priority="311" stopIfTrue="1" operator="equal">
      <formula>0</formula>
    </cfRule>
  </conditionalFormatting>
  <conditionalFormatting sqref="N69:N72">
    <cfRule type="expression" dxfId="3196" priority="312" stopIfTrue="1">
      <formula>$C$61=0</formula>
    </cfRule>
    <cfRule type="cellIs" dxfId="3195" priority="313" stopIfTrue="1" operator="equal">
      <formula>0</formula>
    </cfRule>
    <cfRule type="expression" dxfId="3194" priority="314" stopIfTrue="1">
      <formula>ISERROR(N69)</formula>
    </cfRule>
  </conditionalFormatting>
  <conditionalFormatting sqref="C70:C71">
    <cfRule type="expression" dxfId="3193" priority="315" stopIfTrue="1">
      <formula>$C$61=0</formula>
    </cfRule>
    <cfRule type="expression" dxfId="3192" priority="316" stopIfTrue="1">
      <formula>$G$73&lt;&gt;0</formula>
    </cfRule>
  </conditionalFormatting>
  <conditionalFormatting sqref="P60:P61">
    <cfRule type="expression" dxfId="3191" priority="317" stopIfTrue="1">
      <formula>$C$61=1</formula>
    </cfRule>
  </conditionalFormatting>
  <conditionalFormatting sqref="H66:M66">
    <cfRule type="expression" dxfId="3190" priority="318" stopIfTrue="1">
      <formula>$C$61=0</formula>
    </cfRule>
  </conditionalFormatting>
  <conditionalFormatting sqref="H65">
    <cfRule type="expression" dxfId="3189" priority="319" stopIfTrue="1">
      <formula>AND($C$61=0,$D$61&gt;0)</formula>
    </cfRule>
    <cfRule type="expression" dxfId="3188" priority="320" stopIfTrue="1">
      <formula>$C$61=0</formula>
    </cfRule>
  </conditionalFormatting>
  <conditionalFormatting sqref="G67">
    <cfRule type="expression" dxfId="3187" priority="321" stopIfTrue="1">
      <formula>$C$61=0</formula>
    </cfRule>
    <cfRule type="expression" dxfId="3186" priority="322" stopIfTrue="1">
      <formula>ISERROR(G67)</formula>
    </cfRule>
  </conditionalFormatting>
  <conditionalFormatting sqref="G88:H88 K88">
    <cfRule type="expression" dxfId="3185" priority="323" stopIfTrue="1">
      <formula>ISERROR(G88)</formula>
    </cfRule>
    <cfRule type="cellIs" dxfId="3184" priority="324" stopIfTrue="1" operator="equal">
      <formula>0</formula>
    </cfRule>
    <cfRule type="expression" dxfId="3183" priority="325" stopIfTrue="1">
      <formula>$C$61=0</formula>
    </cfRule>
  </conditionalFormatting>
  <conditionalFormatting sqref="C91:P91">
    <cfRule type="expression" dxfId="3182" priority="326" stopIfTrue="1">
      <formula>SUM($G$150:$J$150)=0</formula>
    </cfRule>
  </conditionalFormatting>
  <conditionalFormatting sqref="G85:H85 K85">
    <cfRule type="expression" dxfId="3181" priority="327" stopIfTrue="1">
      <formula>$C$61=0</formula>
    </cfRule>
    <cfRule type="expression" dxfId="3180" priority="328" stopIfTrue="1">
      <formula>G85=$M$135</formula>
    </cfRule>
  </conditionalFormatting>
  <conditionalFormatting sqref="I55:J56 L55:M56">
    <cfRule type="cellIs" dxfId="3179" priority="329" stopIfTrue="1" operator="equal">
      <formula>0</formula>
    </cfRule>
    <cfRule type="expression" dxfId="3178" priority="330" stopIfTrue="1">
      <formula>ISERROR(I55)</formula>
    </cfRule>
  </conditionalFormatting>
  <dataValidations count="7">
    <dataValidation type="whole" operator="lessThanOrEqual" allowBlank="1" showInputMessage="1" showErrorMessage="1" sqref="F52">
      <formula1>E162</formula1>
    </dataValidation>
    <dataValidation type="list" allowBlank="1" showInputMessage="1" showErrorMessage="1" sqref="I207">
      <formula1>$I$219:$I$229</formula1>
    </dataValidation>
    <dataValidation type="decimal" operator="greaterThan" allowBlank="1" showInputMessage="1" showErrorMessage="1" errorTitle="ATTENZIONE !!!" error="E' ammesso solo un valore POSITIVO" sqref="G53:G54">
      <formula1>0</formula1>
    </dataValidation>
    <dataValidation type="decimal" operator="lessThan" allowBlank="1" showInputMessage="1" showErrorMessage="1" errorTitle="ATTENZIONE !!!" error="E' ammesso solo un valore NEGATIVO" sqref="H53:H54">
      <formula1>0</formula1>
    </dataValidation>
    <dataValidation type="list" allowBlank="1" showInputMessage="1" showErrorMessage="1" sqref="M168:N168">
      <formula1>$E$218:$E$220</formula1>
    </dataValidation>
    <dataValidation type="list" allowBlank="1" showInputMessage="1" showErrorMessage="1" sqref="M166">
      <formula1>$E$223:$E$226</formula1>
    </dataValidation>
    <dataValidation type="list" allowBlank="1" showInputMessage="1" showErrorMessage="1" sqref="M3:P3">
      <formula1>$K$144:$K$149</formula1>
    </dataValidation>
  </dataValidations>
  <hyperlinks>
    <hyperlink ref="G231" location="Presentazione!I106" display="QUI"/>
    <hyperlink ref="L231" location="Presentazione!K83" display="QUI"/>
  </hyperlinks>
  <printOptions horizontalCentered="1"/>
  <pageMargins left="0.39370078740157483" right="0" top="0.39370078740157483" bottom="0" header="0" footer="0"/>
  <pageSetup paperSize="9" scale="72"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20</vt:i4>
      </vt:variant>
      <vt:variant>
        <vt:lpstr>Intervalli denominati</vt:lpstr>
      </vt:variant>
      <vt:variant>
        <vt:i4>22</vt:i4>
      </vt:variant>
    </vt:vector>
  </HeadingPairs>
  <TitlesOfParts>
    <vt:vector size="42" baseType="lpstr">
      <vt:lpstr>Presentazione</vt:lpstr>
      <vt:lpstr>IMPOSTAZIONI</vt:lpstr>
      <vt:lpstr>GEN</vt:lpstr>
      <vt:lpstr>FEB</vt:lpstr>
      <vt:lpstr>MAR</vt:lpstr>
      <vt:lpstr>APR</vt:lpstr>
      <vt:lpstr>MAG</vt:lpstr>
      <vt:lpstr>GIU</vt:lpstr>
      <vt:lpstr>LUG</vt:lpstr>
      <vt:lpstr>AGO</vt:lpstr>
      <vt:lpstr>SET</vt:lpstr>
      <vt:lpstr>OTT</vt:lpstr>
      <vt:lpstr>NOV</vt:lpstr>
      <vt:lpstr>DIC</vt:lpstr>
      <vt:lpstr>CASSA</vt:lpstr>
      <vt:lpstr>RIEPILOGO</vt:lpstr>
      <vt:lpstr>VERIFICA</vt:lpstr>
      <vt:lpstr>STORICO</vt:lpstr>
      <vt:lpstr>SA.1</vt:lpstr>
      <vt:lpstr>SA.2</vt:lpstr>
      <vt:lpstr>AGO!Area_stampa</vt:lpstr>
      <vt:lpstr>APR!Area_stampa</vt:lpstr>
      <vt:lpstr>CASSA!Area_stampa</vt:lpstr>
      <vt:lpstr>DIC!Area_stampa</vt:lpstr>
      <vt:lpstr>FEB!Area_stampa</vt:lpstr>
      <vt:lpstr>GEN!Area_stampa</vt:lpstr>
      <vt:lpstr>GIU!Area_stampa</vt:lpstr>
      <vt:lpstr>IMPOSTAZIONI!Area_stampa</vt:lpstr>
      <vt:lpstr>LUG!Area_stampa</vt:lpstr>
      <vt:lpstr>MAG!Area_stampa</vt:lpstr>
      <vt:lpstr>MAR!Area_stampa</vt:lpstr>
      <vt:lpstr>NOV!Area_stampa</vt:lpstr>
      <vt:lpstr>OTT!Area_stampa</vt:lpstr>
      <vt:lpstr>Presentazione!Area_stampa</vt:lpstr>
      <vt:lpstr>RIEPILOGO!Area_stampa</vt:lpstr>
      <vt:lpstr>SA.1!Area_stampa</vt:lpstr>
      <vt:lpstr>SA.2!Area_stampa</vt:lpstr>
      <vt:lpstr>SET!Area_stampa</vt:lpstr>
      <vt:lpstr>STORICO!Area_stampa</vt:lpstr>
      <vt:lpstr>VERIFICA!Area_stampa</vt:lpstr>
      <vt:lpstr>RIEPILOGO!Titoli_stampa</vt:lpstr>
      <vt:lpstr>STORICO!Titoli_stampa</vt:lpstr>
    </vt:vector>
  </TitlesOfParts>
  <Company>Marco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Marco</dc:creator>
  <cp:lastModifiedBy>MarcoPiccoli</cp:lastModifiedBy>
  <cp:lastPrinted>2017-12-27T10:36:12Z</cp:lastPrinted>
  <dcterms:created xsi:type="dcterms:W3CDTF">2009-06-17T21:33:33Z</dcterms:created>
  <dcterms:modified xsi:type="dcterms:W3CDTF">2023-12-28T07:51:30Z</dcterms:modified>
</cp:coreProperties>
</file>